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71.xml" ContentType="application/vnd.openxmlformats-officedocument.spreadsheetml.worksheet+xml"/>
  <Override PartName="/xl/worksheets/sheet13.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39.xml" ContentType="application/vnd.openxmlformats-officedocument.drawing+xml"/>
  <Override PartName="/xl/drawings/drawing17.xml" ContentType="application/vnd.openxmlformats-officedocument.drawing+xml"/>
  <Override PartName="/xl/drawings/drawing28.xml" ContentType="application/vnd.openxmlformats-officedocument.drawing+xml"/>
  <Override PartName="/xl/charts/chart109.xml" ContentType="application/vnd.openxmlformats-officedocument.drawingml.chart+xml"/>
  <Override PartName="/xl/drawings/drawing64.xml" ContentType="application/vnd.openxmlformats-officedocument.drawing+xml"/>
  <Override PartName="/xl/drawings/drawing75.xml" ContentType="application/vnd.openxmlformats-officedocument.drawing+xml"/>
  <Override PartName="/xl/charts/chart156.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charts/chart96.xml" ContentType="application/vnd.openxmlformats-officedocument.drawingml.chart+xml"/>
  <Override PartName="/xl/drawings/drawing53.xml" ContentType="application/vnd.openxmlformats-officedocument.drawing+xml"/>
  <Override PartName="/xl/charts/chart145.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charts/chart74.xml" ContentType="application/vnd.openxmlformats-officedocument.drawingml.chart+xml"/>
  <Override PartName="/xl/drawings/drawing42.xml" ContentType="application/vnd.openxmlformats-officedocument.drawing+xml"/>
  <Override PartName="/xl/charts/chart85.xml" ContentType="application/vnd.openxmlformats-officedocument.drawingml.chart+xml"/>
  <Override PartName="/xl/charts/chart134.xml" ContentType="application/vnd.openxmlformats-officedocument.drawingml.chart+xml"/>
  <Override PartName="/xl/charts/chart16.xml" ContentType="application/vnd.openxmlformats-officedocument.drawingml.chart+xml"/>
  <Override PartName="/xl/drawings/drawing20.xml" ContentType="application/vnd.openxmlformats-officedocument.drawing+xml"/>
  <Override PartName="/xl/drawings/drawing31.xml" ContentType="application/vnd.openxmlformats-officedocument.drawing+xml"/>
  <Override PartName="/xl/charts/chart63.xml" ContentType="application/vnd.openxmlformats-officedocument.drawingml.chart+xml"/>
  <Override PartName="/xl/charts/chart112.xml" ContentType="application/vnd.openxmlformats-officedocument.drawingml.chart+xml"/>
  <Override PartName="/xl/charts/chart123.xml" ContentType="application/vnd.openxmlformats-officedocument.drawingml.chart+xml"/>
  <Override PartName="/xl/worksheets/sheet29.xml" ContentType="application/vnd.openxmlformats-officedocument.spreadsheetml.worksheet+xml"/>
  <Override PartName="/xl/worksheets/sheet76.xml" ContentType="application/vnd.openxmlformats-officedocument.spreadsheetml.worksheet+xml"/>
  <Override PartName="/xl/charts/chart52.xml" ContentType="application/vnd.openxmlformats-officedocument.drawingml.chart+xml"/>
  <Override PartName="/xl/charts/chart101.xml" ContentType="application/vnd.openxmlformats-officedocument.drawingml.chart+xml"/>
  <Override PartName="/xl/worksheets/sheet18.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charts/chart9.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43.xml" ContentType="application/vnd.openxmlformats-officedocument.spreadsheetml.worksheet+xml"/>
  <Default Extension="png" ContentType="image/png"/>
  <Override PartName="/xl/drawings/drawing69.xml" ContentType="application/vnd.openxmlformats-officedocument.drawing+xml"/>
  <Override PartName="/xl/worksheets/sheet32.xml" ContentType="application/vnd.openxmlformats-officedocument.spreadsheetml.worksheet+xml"/>
  <Override PartName="/xl/drawings/drawing7.xml" ContentType="application/vnd.openxmlformats-officedocument.drawing+xml"/>
  <Override PartName="/xl/drawings/drawing58.xml" ContentType="application/vnd.openxmlformats-officedocument.drawing+xml"/>
  <Override PartName="/xl/charts/chart139.xml" ContentType="application/vnd.openxmlformats-officedocument.drawingml.chart+xml"/>
  <Override PartName="/xl/worksheets/sheet8.xml" ContentType="application/vnd.openxmlformats-officedocument.spreadsheetml.worksheet+xml"/>
  <Override PartName="/xl/worksheets/sheet21.xml" ContentType="application/vnd.openxmlformats-officedocument.spreadsheetml.worksheet+xml"/>
  <Override PartName="/xl/drawings/drawing36.xml" ContentType="application/vnd.openxmlformats-officedocument.drawing+xml"/>
  <Override PartName="/xl/charts/chart79.xml" ContentType="application/vnd.openxmlformats-officedocument.drawingml.chart+xml"/>
  <Override PartName="/xl/drawings/drawing47.xml" ContentType="application/vnd.openxmlformats-officedocument.drawing+xml"/>
  <Override PartName="/xl/charts/chart128.xml" ContentType="application/vnd.openxmlformats-officedocument.drawingml.chart+xml"/>
  <Override PartName="/xl/worksheets/sheet10.xml" ContentType="application/vnd.openxmlformats-officedocument.spreadsheetml.worksheet+xml"/>
  <Override PartName="/xl/charts/chart1.xml" ContentType="application/vnd.openxmlformats-officedocument.drawingml.chart+xml"/>
  <Override PartName="/xl/drawings/drawing25.xml" ContentType="application/vnd.openxmlformats-officedocument.drawing+xml"/>
  <Override PartName="/xl/charts/chart57.xml" ContentType="application/vnd.openxmlformats-officedocument.drawingml.chart+xml"/>
  <Override PartName="/xl/charts/chart68.xml" ContentType="application/vnd.openxmlformats-officedocument.drawingml.chart+xml"/>
  <Override PartName="/xl/charts/chart117.xml" ContentType="application/vnd.openxmlformats-officedocument.drawingml.chart+xml"/>
  <Override PartName="/xl/drawings/drawing72.xml" ContentType="application/vnd.openxmlformats-officedocument.drawing+xml"/>
  <Override PartName="/docProps/app.xml" ContentType="application/vnd.openxmlformats-officedocument.extended-properties+xml"/>
  <Override PartName="/xl/drawings/drawing14.xml" ContentType="application/vnd.openxmlformats-officedocument.drawing+xml"/>
  <Override PartName="/xl/charts/chart46.xml" ContentType="application/vnd.openxmlformats-officedocument.drawingml.chart+xml"/>
  <Override PartName="/xl/charts/chart93.xml" ContentType="application/vnd.openxmlformats-officedocument.drawingml.chart+xml"/>
  <Override PartName="/xl/charts/chart106.xml" ContentType="application/vnd.openxmlformats-officedocument.drawingml.chart+xml"/>
  <Override PartName="/xl/drawings/drawing61.xml" ContentType="application/vnd.openxmlformats-officedocument.drawing+xml"/>
  <Override PartName="/xl/charts/chart142.xml" ContentType="application/vnd.openxmlformats-officedocument.drawingml.chart+xml"/>
  <Override PartName="/xl/charts/chart153.xml" ContentType="application/vnd.openxmlformats-officedocument.drawingml.chart+xml"/>
  <Override PartName="/xl/worksheets/sheet59.xml" ContentType="application/vnd.openxmlformats-officedocument.spreadsheetml.worksheet+xml"/>
  <Override PartName="/xl/charts/chart35.xml" ContentType="application/vnd.openxmlformats-officedocument.drawingml.chart+xml"/>
  <Override PartName="/xl/charts/chart82.xml" ContentType="application/vnd.openxmlformats-officedocument.drawingml.chart+xml"/>
  <Override PartName="/xl/drawings/drawing50.xml" ContentType="application/vnd.openxmlformats-officedocument.drawing+xml"/>
  <Override PartName="/xl/charts/chart131.xml" ContentType="application/vnd.openxmlformats-officedocument.drawingml.chart+xml"/>
  <Override PartName="/xl/calcChain.xml" ContentType="application/vnd.openxmlformats-officedocument.spreadsheetml.calcChain+xml"/>
  <Override PartName="/xl/worksheets/sheet48.xml" ContentType="application/vnd.openxmlformats-officedocument.spreadsheetml.worksheet+xml"/>
  <Override PartName="/xl/charts/chart13.xml" ContentType="application/vnd.openxmlformats-officedocument.drawingml.chart+xml"/>
  <Override PartName="/xl/charts/chart24.xml" ContentType="application/vnd.openxmlformats-officedocument.drawingml.chart+xml"/>
  <Override PartName="/xl/charts/chart71.xml" ContentType="application/vnd.openxmlformats-officedocument.drawingml.chart+xml"/>
  <Override PartName="/xl/charts/chart120.xml" ContentType="application/vnd.openxmlformats-officedocument.drawingml.chart+xml"/>
  <Override PartName="/xl/worksheets/sheet26.xml" ContentType="application/vnd.openxmlformats-officedocument.spreadsheetml.worksheet+xml"/>
  <Override PartName="/xl/worksheets/sheet37.xml" ContentType="application/vnd.openxmlformats-officedocument.spreadsheetml.worksheet+xml"/>
  <Override PartName="/xl/worksheets/sheet73.xml" ContentType="application/vnd.openxmlformats-officedocument.spreadsheetml.worksheet+xml"/>
  <Override PartName="/xl/charts/chart60.xml" ContentType="application/vnd.openxmlformats-officedocument.drawingml.chart+xml"/>
  <Override PartName="/xl/worksheets/sheet15.xml" ContentType="application/vnd.openxmlformats-officedocument.spreadsheetml.worksheet+xml"/>
  <Override PartName="/xl/worksheets/sheet62.xml" ContentType="application/vnd.openxmlformats-officedocument.spreadsheetml.worksheet+xml"/>
  <Override PartName="/xl/charts/chart6.xml" ContentType="application/vnd.openxmlformats-officedocument.drawingml.chart+xml"/>
  <Override PartName="/xl/worksheets/sheet51.xml" ContentType="application/vnd.openxmlformats-officedocument.spreadsheetml.worksheet+xml"/>
  <Override PartName="/xl/drawings/drawing19.xml" ContentType="application/vnd.openxmlformats-officedocument.drawing+xml"/>
  <Override PartName="/xl/drawings/drawing66.xml" ContentType="application/vnd.openxmlformats-officedocument.drawing+xml"/>
  <Override PartName="/xl/drawings/drawing77.xml" ContentType="application/vnd.openxmlformats-officedocument.drawing+xml"/>
  <Override PartName="/xl/charts/chart158.xml" ContentType="application/vnd.openxmlformats-officedocument.drawingml.chart+xml"/>
  <Override PartName="/xl/worksheets/sheet40.xml" ContentType="application/vnd.openxmlformats-officedocument.spreadsheetml.worksheet+xml"/>
  <Override PartName="/xl/drawings/drawing4.xml" ContentType="application/vnd.openxmlformats-officedocument.drawing+xml"/>
  <Override PartName="/xl/charts/chart98.xml" ContentType="application/vnd.openxmlformats-officedocument.drawingml.chart+xml"/>
  <Override PartName="/xl/drawings/drawing55.xml" ContentType="application/vnd.openxmlformats-officedocument.drawing+xml"/>
  <Override PartName="/xl/charts/chart147.xml" ContentType="application/vnd.openxmlformats-officedocument.drawingml.chart+xml"/>
  <Override PartName="/xl/worksheets/sheet5.xml" ContentType="application/vnd.openxmlformats-officedocument.spreadsheetml.worksheet+xml"/>
  <Override PartName="/xl/charts/chart29.xml" ContentType="application/vnd.openxmlformats-officedocument.drawingml.chart+xml"/>
  <Override PartName="/xl/charts/chart76.xml" ContentType="application/vnd.openxmlformats-officedocument.drawingml.chart+xml"/>
  <Override PartName="/xl/charts/chart87.xml" ContentType="application/vnd.openxmlformats-officedocument.drawingml.chart+xml"/>
  <Override PartName="/xl/drawings/drawing44.xml" ContentType="application/vnd.openxmlformats-officedocument.drawing+xml"/>
  <Override PartName="/xl/charts/chart136.xml" ContentType="application/vnd.openxmlformats-officedocument.drawingml.chart+xml"/>
  <Override PartName="/xl/charts/chart18.xml" ContentType="application/vnd.openxmlformats-officedocument.drawingml.chart+xml"/>
  <Override PartName="/xl/drawings/drawing22.xml" ContentType="application/vnd.openxmlformats-officedocument.drawing+xml"/>
  <Override PartName="/xl/charts/chart65.xml" ContentType="application/vnd.openxmlformats-officedocument.drawingml.chart+xml"/>
  <Override PartName="/xl/drawings/drawing33.xml" ContentType="application/vnd.openxmlformats-officedocument.drawing+xml"/>
  <Override PartName="/xl/charts/chart114.xml" ContentType="application/vnd.openxmlformats-officedocument.drawingml.chart+xml"/>
  <Override PartName="/xl/charts/chart125.xml" ContentType="application/vnd.openxmlformats-officedocument.drawingml.chart+xml"/>
  <Override PartName="/xl/charts/chart161.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103.xml" ContentType="application/vnd.openxmlformats-officedocument.drawingml.chart+xml"/>
  <Override PartName="/xl/charts/chart150.xml" ContentType="application/vnd.openxmlformats-officedocument.drawingml.chart+xml"/>
  <Override PartName="/xl/worksheets/sheet67.xml" ContentType="application/vnd.openxmlformats-officedocument.spreadsheetml.worksheet+xml"/>
  <Override PartName="/xl/charts/chart32.xml" ContentType="application/vnd.openxmlformats-officedocument.drawingml.chart+xml"/>
  <Override PartName="/xl/charts/chart43.xml" ContentType="application/vnd.openxmlformats-officedocument.drawingml.chart+xml"/>
  <Override PartName="/xl/charts/chart90.xml" ContentType="application/vnd.openxmlformats-officedocument.drawingml.chart+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worksheets/sheet70.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xml"/>
  <Override PartName="/xl/charts/chart99.xml" ContentType="application/vnd.openxmlformats-officedocument.drawingml.chart+xml"/>
  <Override PartName="/xl/drawings/drawing67.xml" ContentType="application/vnd.openxmlformats-officedocument.drawing+xml"/>
  <Override PartName="/xl/charts/chart159.xml" ContentType="application/vnd.openxmlformats-officedocument.drawingml.chart+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27.xml" ContentType="application/vnd.openxmlformats-officedocument.drawing+xml"/>
  <Override PartName="/xl/charts/chart59.xml" ContentType="application/vnd.openxmlformats-officedocument.drawingml.chart+xml"/>
  <Override PartName="/xl/charts/chart88.xml" ContentType="application/vnd.openxmlformats-officedocument.drawingml.chart+xml"/>
  <Override PartName="/xl/drawings/drawing45.xml" ContentType="application/vnd.openxmlformats-officedocument.drawing+xml"/>
  <Override PartName="/xl/drawings/drawing56.xml" ContentType="application/vnd.openxmlformats-officedocument.drawing+xml"/>
  <Override PartName="/xl/charts/chart119.xml" ContentType="application/vnd.openxmlformats-officedocument.drawingml.chart+xml"/>
  <Override PartName="/xl/charts/chart137.xml" ContentType="application/vnd.openxmlformats-officedocument.drawingml.chart+xml"/>
  <Override PartName="/xl/charts/chart148.xml" ContentType="application/vnd.openxmlformats-officedocument.drawingml.chart+xml"/>
  <Override PartName="/xl/drawings/drawing74.xml" ContentType="application/vnd.openxmlformats-officedocument.drawing+xml"/>
  <Override PartName="/xl/drawings/drawing16.xml" ContentType="application/vnd.openxmlformats-officedocument.drawing+xml"/>
  <Override PartName="/xl/charts/chart48.xml" ContentType="application/vnd.openxmlformats-officedocument.drawingml.chart+xml"/>
  <Override PartName="/xl/drawings/drawing34.xml" ContentType="application/vnd.openxmlformats-officedocument.drawing+xml"/>
  <Override PartName="/xl/charts/chart77.xml" ContentType="application/vnd.openxmlformats-officedocument.drawingml.chart+xml"/>
  <Override PartName="/xl/charts/chart95.xml" ContentType="application/vnd.openxmlformats-officedocument.drawingml.chart+xml"/>
  <Override PartName="/xl/charts/chart108.xml" ContentType="application/vnd.openxmlformats-officedocument.drawingml.chart+xml"/>
  <Override PartName="/xl/charts/chart126.xml" ContentType="application/vnd.openxmlformats-officedocument.drawingml.chart+xml"/>
  <Override PartName="/xl/drawings/drawing63.xml" ContentType="application/vnd.openxmlformats-officedocument.drawing+xml"/>
  <Override PartName="/xl/charts/chart155.xml" ContentType="application/vnd.openxmlformats-officedocument.drawingml.chart+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37.xml" ContentType="application/vnd.openxmlformats-officedocument.drawingml.chart+xml"/>
  <Override PartName="/xl/drawings/drawing23.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drawings/drawing41.xml" ContentType="application/vnd.openxmlformats-officedocument.drawing+xml"/>
  <Override PartName="/xl/charts/chart84.xml" ContentType="application/vnd.openxmlformats-officedocument.drawingml.chart+xml"/>
  <Override PartName="/xl/drawings/drawing52.xml" ContentType="application/vnd.openxmlformats-officedocument.drawing+xml"/>
  <Override PartName="/xl/charts/chart115.xml" ContentType="application/vnd.openxmlformats-officedocument.drawingml.chart+xml"/>
  <Override PartName="/xl/charts/chart133.xml" ContentType="application/vnd.openxmlformats-officedocument.drawingml.chart+xml"/>
  <Override PartName="/xl/drawings/drawing70.xml" ContentType="application/vnd.openxmlformats-officedocument.drawing+xml"/>
  <Override PartName="/xl/charts/chart144.xml" ContentType="application/vnd.openxmlformats-officedocument.drawingml.chart+xml"/>
  <Override PartName="/xl/charts/chart162.xml" ContentType="application/vnd.openxmlformats-officedocument.drawingml.chart+xml"/>
  <Override PartName="/xl/worksheets/sheet68.xml" ContentType="application/vnd.openxmlformats-officedocument.spreadsheetml.worksheet+xml"/>
  <Override PartName="/xl/drawings/drawing12.xml" ContentType="application/vnd.openxmlformats-officedocument.drawing+xml"/>
  <Override PartName="/xl/charts/chart26.xml" ContentType="application/vnd.openxmlformats-officedocument.drawingml.chart+xml"/>
  <Override PartName="/xl/charts/chart44.xml" ContentType="application/vnd.openxmlformats-officedocument.drawingml.chart+xml"/>
  <Override PartName="/xl/drawings/drawing30.xml" ContentType="application/vnd.openxmlformats-officedocument.drawing+xml"/>
  <Override PartName="/xl/charts/chart73.xml" ContentType="application/vnd.openxmlformats-officedocument.drawingml.chart+xml"/>
  <Override PartName="/xl/charts/chart91.xml" ContentType="application/vnd.openxmlformats-officedocument.drawingml.chart+xml"/>
  <Override PartName="/xl/charts/chart104.xml" ContentType="application/vnd.openxmlformats-officedocument.drawingml.chart+xml"/>
  <Override PartName="/xl/charts/chart122.xml" ContentType="application/vnd.openxmlformats-officedocument.drawingml.chart+xml"/>
  <Override PartName="/xl/charts/chart140.xml" ContentType="application/vnd.openxmlformats-officedocument.drawingml.chart+xml"/>
  <Override PartName="/xl/charts/chart151.xml" ContentType="application/vnd.openxmlformats-officedocument.drawingml.chart+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worksheets/sheet75.xml" ContentType="application/vnd.openxmlformats-officedocument.spreadsheetml.worksheet+xml"/>
  <Override PartName="/xl/charts/chart15.xml" ContentType="application/vnd.openxmlformats-officedocument.drawingml.chart+xml"/>
  <Override PartName="/xl/charts/chart33.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80.xml" ContentType="application/vnd.openxmlformats-officedocument.drawingml.chart+xml"/>
  <Override PartName="/xl/charts/chart111.xml" ContentType="application/vnd.openxmlformats-officedocument.drawingml.chart+xml"/>
  <Override PartName="/xl/worksheets/sheet17.xml" ContentType="application/vnd.openxmlformats-officedocument.spreadsheetml.worksheet+xml"/>
  <Override PartName="/xl/worksheets/sheet46.xml" ContentType="application/vnd.openxmlformats-officedocument.spreadsheetml.worksheet+xml"/>
  <Override PartName="/xl/worksheets/sheet64.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40.xml" ContentType="application/vnd.openxmlformats-officedocument.drawingml.chart+xml"/>
  <Override PartName="/xl/charts/chart100.xml" ContentType="application/vnd.openxmlformats-officedocument.drawingml.chart+xml"/>
  <Override PartName="/xl/worksheets/sheet53.xml" ContentType="application/vnd.openxmlformats-officedocument.spreadsheetml.worksheet+xml"/>
  <Override PartName="/xl/drawings/drawing68.xml" ContentType="application/vnd.openxmlformats-officedocument.drawing+xml"/>
  <Override PartName="/xl/worksheets/sheet42.xml" ContentType="application/vnd.openxmlformats-officedocument.spreadsheetml.worksheet+xml"/>
  <Override PartName="/xl/drawings/drawing6.xml" ContentType="application/vnd.openxmlformats-officedocument.drawing+xml"/>
  <Override PartName="/xl/drawings/drawing57.xml" ContentType="application/vnd.openxmlformats-officedocument.drawing+xml"/>
  <Override PartName="/xl/charts/chart149.xml" ContentType="application/vnd.openxmlformats-officedocument.drawingml.chart+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harts/chart78.xml" ContentType="application/vnd.openxmlformats-officedocument.drawingml.chart+xml"/>
  <Override PartName="/xl/charts/chart89.xml" ContentType="application/vnd.openxmlformats-officedocument.drawingml.chart+xml"/>
  <Override PartName="/xl/drawings/drawing46.xml" ContentType="application/vnd.openxmlformats-officedocument.drawing+xml"/>
  <Override PartName="/xl/charts/chart138.xml" ContentType="application/vnd.openxmlformats-officedocument.drawingml.chart+xml"/>
  <Override PartName="/xl/charts/chart67.xml" ContentType="application/vnd.openxmlformats-officedocument.drawingml.chart+xml"/>
  <Override PartName="/xl/drawings/drawing35.xml" ContentType="application/vnd.openxmlformats-officedocument.drawing+xml"/>
  <Override PartName="/xl/charts/chart116.xml" ContentType="application/vnd.openxmlformats-officedocument.drawingml.chart+xml"/>
  <Override PartName="/xl/charts/chart127.xml" ContentType="application/vnd.openxmlformats-officedocument.drawingml.chart+xml"/>
  <Override PartName="/xl/charts/chart163.xml" ContentType="application/vnd.openxmlformats-officedocument.drawingml.chart+xml"/>
  <Override PartName="/xl/drawings/drawing13.xml" ContentType="application/vnd.openxmlformats-officedocument.drawing+xml"/>
  <Override PartName="/xl/drawings/drawing24.xml" ContentType="application/vnd.openxmlformats-officedocument.drawing+xml"/>
  <Override PartName="/xl/charts/chart56.xml" ContentType="application/vnd.openxmlformats-officedocument.drawingml.chart+xml"/>
  <Override PartName="/xl/charts/chart105.xml" ContentType="application/vnd.openxmlformats-officedocument.drawingml.chart+xml"/>
  <Override PartName="/xl/drawings/drawing60.xml" ContentType="application/vnd.openxmlformats-officedocument.drawing+xml"/>
  <Override PartName="/xl/drawings/drawing71.xml" ContentType="application/vnd.openxmlformats-officedocument.drawing+xml"/>
  <Override PartName="/xl/charts/chart152.xml" ContentType="application/vnd.openxmlformats-officedocument.drawingml.chart+xml"/>
  <Override PartName="/xl/worksheets/sheet69.xml" ContentType="application/vnd.openxmlformats-officedocument.spreadsheetml.worksheet+xml"/>
  <Override PartName="/xl/charts/chart34.xml" ContentType="application/vnd.openxmlformats-officedocument.drawingml.chart+xml"/>
  <Override PartName="/xl/charts/chart45.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charts/chart141.xml" ContentType="application/vnd.openxmlformats-officedocument.drawingml.chart+xml"/>
  <Override PartName="/xl/worksheets/sheet4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charts/chart70.xml" ContentType="application/vnd.openxmlformats-officedocument.drawingml.chart+xml"/>
  <Override PartName="/xl/charts/chart130.xml" ContentType="application/vnd.openxmlformats-officedocument.drawingml.chart+xml"/>
  <Override PartName="/xl/worksheets/sheet36.xml" ContentType="application/vnd.openxmlformats-officedocument.spreadsheetml.worksheet+xml"/>
  <Override PartName="/xl/charts/chart12.xml" ContentType="application/vnd.openxmlformats-officedocument.drawingml.chart+xml"/>
  <Override PartName="/xl/worksheets/sheet25.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charts/chart5.xml" ContentType="application/vnd.openxmlformats-officedocument.drawingml.chart+xml"/>
  <Override PartName="/xl/drawings/drawing29.xml" ContentType="application/vnd.openxmlformats-officedocument.drawing+xml"/>
  <Override PartName="/xl/drawings/drawing76.xml" ContentType="application/vnd.openxmlformats-officedocument.drawing+xml"/>
  <Override PartName="/xl/drawings/drawing18.xml" ContentType="application/vnd.openxmlformats-officedocument.drawing+xml"/>
  <Override PartName="/xl/charts/chart97.xml" ContentType="application/vnd.openxmlformats-officedocument.drawingml.chart+xml"/>
  <Override PartName="/xl/drawings/drawing65.xml" ContentType="application/vnd.openxmlformats-officedocument.drawing+xml"/>
  <Override PartName="/xl/charts/chart157.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ml.chartshapes+xml"/>
  <Override PartName="/xl/charts/chart39.xml" ContentType="application/vnd.openxmlformats-officedocument.drawingml.chart+xml"/>
  <Override PartName="/xl/charts/chart86.xml" ContentType="application/vnd.openxmlformats-officedocument.drawingml.chart+xml"/>
  <Override PartName="/xl/drawings/drawing43.xml" ContentType="application/vnd.openxmlformats-officedocument.drawing+xml"/>
  <Override PartName="/xl/drawings/drawing54.xml" ContentType="application/vnd.openxmlformats-officedocument.drawing+xml"/>
  <Override PartName="/xl/charts/chart135.xml" ContentType="application/vnd.openxmlformats-officedocument.drawingml.chart+xml"/>
  <Override PartName="/xl/charts/chart146.xml" ContentType="application/vnd.openxmlformats-officedocument.drawingml.chart+xml"/>
  <Override PartName="/xl/charts/chart28.xml" ContentType="application/vnd.openxmlformats-officedocument.drawingml.chart+xml"/>
  <Override PartName="/xl/drawings/drawing32.xml" ContentType="application/vnd.openxmlformats-officedocument.drawing+xml"/>
  <Override PartName="/xl/charts/chart75.xml" ContentType="application/vnd.openxmlformats-officedocument.drawingml.chart+xml"/>
  <Override PartName="/xl/charts/chart124.xml" ContentType="application/vnd.openxmlformats-officedocument.drawingml.chart+xml"/>
  <Override PartName="/xl/worksheets/sheet77.xml" ContentType="application/vnd.openxmlformats-officedocument.spreadsheetml.worksheet+xml"/>
  <Override PartName="/xl/charts/chart17.xml" ContentType="application/vnd.openxmlformats-officedocument.drawingml.chart+xml"/>
  <Override PartName="/xl/drawings/drawing21.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113.xml" ContentType="application/vnd.openxmlformats-officedocument.drawingml.chart+xml"/>
  <Override PartName="/xl/charts/chart160.xml" ContentType="application/vnd.openxmlformats-officedocument.drawingml.chart+xml"/>
  <Override PartName="/xl/worksheets/sheet19.xml" ContentType="application/vnd.openxmlformats-officedocument.spreadsheetml.worksheet+xml"/>
  <Override PartName="/xl/worksheets/sheet66.xml" ContentType="application/vnd.openxmlformats-officedocument.spreadsheetml.worksheet+xml"/>
  <Override PartName="/xl/drawings/drawing10.xml" ContentType="application/vnd.openxmlformats-officedocument.drawing+xml"/>
  <Override PartName="/xl/charts/chart42.xml" ContentType="application/vnd.openxmlformats-officedocument.drawingml.chart+xml"/>
  <Override PartName="/xl/charts/chart102.xml" ContentType="application/vnd.openxmlformats-officedocument.drawingml.chart+xml"/>
  <Override PartName="/xl/worksheets/sheet55.xml" ContentType="application/vnd.openxmlformats-officedocument.spreadsheetml.worksheet+xml"/>
  <Override PartName="/xl/charts/chart31.xml" ContentType="application/vnd.openxmlformats-officedocument.drawingml.chart+xml"/>
  <Override PartName="/docProps/core.xml" ContentType="application/vnd.openxmlformats-package.core-properties+xml"/>
  <Override PartName="/xl/worksheets/sheet44.xml" ContentType="application/vnd.openxmlformats-officedocument.spreadsheetml.worksheet+xml"/>
  <Override PartName="/xl/charts/chart20.xml" ContentType="application/vnd.openxmlformats-officedocument.drawingml.chart+xml"/>
  <Override PartName="/xl/drawings/drawing59.xml" ContentType="application/vnd.openxmlformats-officedocument.drawing+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48.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charts/chart69.xml" ContentType="application/vnd.openxmlformats-officedocument.drawingml.chart+xml"/>
  <Override PartName="/xl/drawings/drawing37.xml" ContentType="application/vnd.openxmlformats-officedocument.drawing+xml"/>
  <Override PartName="/xl/charts/chart118.xml" ContentType="application/vnd.openxmlformats-officedocument.drawingml.chart+xml"/>
  <Override PartName="/xl/charts/chart129.xml" ContentType="application/vnd.openxmlformats-officedocument.drawingml.chart+xml"/>
  <Default Extension="rels" ContentType="application/vnd.openxmlformats-package.relationships+xml"/>
  <Override PartName="/xl/drawings/drawing15.xml" ContentType="application/vnd.openxmlformats-officedocument.drawing+xml"/>
  <Override PartName="/xl/drawings/drawing26.xml" ContentType="application/vnd.openxmlformats-officedocument.drawing+xml"/>
  <Override PartName="/xl/charts/chart58.xml" ContentType="application/vnd.openxmlformats-officedocument.drawingml.chart+xml"/>
  <Override PartName="/xl/charts/chart107.xml" ContentType="application/vnd.openxmlformats-officedocument.drawingml.chart+xml"/>
  <Override PartName="/xl/drawings/drawing62.xml" ContentType="application/vnd.openxmlformats-officedocument.drawing+xml"/>
  <Override PartName="/xl/drawings/drawing73.xml" ContentType="application/vnd.openxmlformats-officedocument.drawing+xml"/>
  <Override PartName="/xl/charts/chart154.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drawings/drawing51.xml" ContentType="application/vnd.openxmlformats-officedocument.drawing+xml"/>
  <Override PartName="/xl/charts/chart143.xml" ContentType="application/vnd.openxmlformats-officedocument.drawingml.chart+xml"/>
  <Override PartName="/xl/worksheets/sheet1.xml" ContentType="application/vnd.openxmlformats-officedocument.spreadsheetml.worksheet+xml"/>
  <Override PartName="/xl/worksheets/sheet49.xml" ContentType="application/vnd.openxmlformats-officedocument.spreadsheetml.worksheet+xml"/>
  <Override PartName="/xl/charts/chart25.xml" ContentType="application/vnd.openxmlformats-officedocument.drawingml.chart+xml"/>
  <Override PartName="/xl/charts/chart72.xml" ContentType="application/vnd.openxmlformats-officedocument.drawingml.chart+xml"/>
  <Override PartName="/xl/drawings/drawing40.xml" ContentType="application/vnd.openxmlformats-officedocument.drawing+xml"/>
  <Override PartName="/xl/charts/chart132.xml" ContentType="application/vnd.openxmlformats-officedocument.drawingml.chart+xml"/>
  <Override PartName="/xl/worksheets/sheet38.xml" ContentType="application/vnd.openxmlformats-officedocument.spreadsheetml.worksheet+xml"/>
  <Override PartName="/xl/charts/chart14.xml" ContentType="application/vnd.openxmlformats-officedocument.drawingml.chart+xml"/>
  <Override PartName="/xl/charts/chart61.xml" ContentType="application/vnd.openxmlformats-officedocument.drawingml.chart+xml"/>
  <Override PartName="/xl/charts/chart110.xml" ContentType="application/vnd.openxmlformats-officedocument.drawingml.chart+xml"/>
  <Override PartName="/xl/charts/chart12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codeName="ThisWorkbook" autoCompressPictures="0"/>
  <bookViews>
    <workbookView xWindow="228" yWindow="612" windowWidth="11160" windowHeight="8616" tabRatio="601"/>
  </bookViews>
  <sheets>
    <sheet name="Intro" sheetId="266" r:id="rId1"/>
    <sheet name="Database" sheetId="19" r:id="rId2"/>
    <sheet name="Summary" sheetId="83" r:id="rId3"/>
    <sheet name="LatVent" sheetId="64" r:id="rId4"/>
    <sheet name="LatVent_MRI" sheetId="122" r:id="rId5"/>
    <sheet name="LatVent_CT" sheetId="123" r:id="rId6"/>
    <sheet name="4v" sheetId="148" r:id="rId7"/>
    <sheet name="CSF" sheetId="65" r:id="rId8"/>
    <sheet name="ICV" sheetId="72" r:id="rId9"/>
    <sheet name="Brain" sheetId="63" r:id="rId10"/>
    <sheet name="Cerebrum" sheetId="73" r:id="rId11"/>
    <sheet name="Gray" sheetId="70" r:id="rId12"/>
    <sheet name="White" sheetId="74" r:id="rId13"/>
    <sheet name="L_caud" sheetId="71" r:id="rId14"/>
    <sheet name="R_caud" sheetId="84" r:id="rId15"/>
    <sheet name="caud_TLR" sheetId="156" r:id="rId16"/>
    <sheet name="L_putamen" sheetId="78" r:id="rId17"/>
    <sheet name="R_putamen" sheetId="85" r:id="rId18"/>
    <sheet name="putamen_TLR" sheetId="158" r:id="rId19"/>
    <sheet name="globus_pallidus" sheetId="179" r:id="rId20"/>
    <sheet name="thalamus" sheetId="81" r:id="rId21"/>
    <sheet name="L_Temporal" sheetId="76" r:id="rId22"/>
    <sheet name="R_Temporal" sheetId="86" r:id="rId23"/>
    <sheet name="Temporal_TLR" sheetId="166" r:id="rId24"/>
    <sheet name="L_hipp" sheetId="60" r:id="rId25"/>
    <sheet name="R_hipp" sheetId="62" r:id="rId26"/>
    <sheet name="T_hipp_TLR" sheetId="167" r:id="rId27"/>
    <sheet name="T_hipp_TLR_recov" sheetId="223" r:id="rId28"/>
    <sheet name="T_hipp_TLR_recov_vs_dep" sheetId="224" r:id="rId29"/>
    <sheet name="T_hipp_TLR_early_late" sheetId="226" r:id="rId30"/>
    <sheet name="T_hipp_TLR_single_vs_mult" sheetId="225" r:id="rId31"/>
    <sheet name="T_hipp_TLR_first_episode" sheetId="247" r:id="rId32"/>
    <sheet name="T_hipp_no_comorbid_anx" sheetId="256" r:id="rId33"/>
    <sheet name="T_hipp_TLR _noAlcSubs" sheetId="255" r:id="rId34"/>
    <sheet name="T_hipp_TLR_adolescents" sheetId="257" r:id="rId35"/>
    <sheet name="T_hipp_TLR_20to60" sheetId="260" r:id="rId36"/>
    <sheet name="T_hipp_TLR_60_over" sheetId="259" r:id="rId37"/>
    <sheet name="L_amhpc" sheetId="149" r:id="rId38"/>
    <sheet name="R_amhpc" sheetId="150" r:id="rId39"/>
    <sheet name="amhpc_TLR" sheetId="176" r:id="rId40"/>
    <sheet name="L_amyg" sheetId="75" r:id="rId41"/>
    <sheet name="R_amyg" sheetId="87" r:id="rId42"/>
    <sheet name="amyg_TLR" sheetId="249" r:id="rId43"/>
    <sheet name="Ant_cing" sheetId="151" r:id="rId44"/>
    <sheet name="L_Ant_cing" sheetId="98" r:id="rId45"/>
    <sheet name="R_Ant_cing" sheetId="99" r:id="rId46"/>
    <sheet name="L_Frontal" sheetId="92" r:id="rId47"/>
    <sheet name="R_Frontal" sheetId="93" r:id="rId48"/>
    <sheet name="Frontal_TLR" sheetId="169" r:id="rId49"/>
    <sheet name="L_Frontal_G" sheetId="94" r:id="rId50"/>
    <sheet name="R_Frontal_G" sheetId="95" r:id="rId51"/>
    <sheet name="Frontal_G_TLR" sheetId="170" r:id="rId52"/>
    <sheet name="L_Frontal_W" sheetId="96" r:id="rId53"/>
    <sheet name="R_Frontal_W" sheetId="97" r:id="rId54"/>
    <sheet name="Frontal_W_TLR" sheetId="171" r:id="rId55"/>
    <sheet name="orb_TLR" sheetId="172" r:id="rId56"/>
    <sheet name="L_orb_G" sheetId="130" r:id="rId57"/>
    <sheet name="R_orb_G" sheetId="135" r:id="rId58"/>
    <sheet name="orb_G_TLR" sheetId="173" r:id="rId59"/>
    <sheet name="Gmedorb" sheetId="132" r:id="rId60"/>
    <sheet name="Glatorb" sheetId="182" r:id="rId61"/>
    <sheet name="L_sgPFC" sheetId="67" r:id="rId62"/>
    <sheet name="R_sgPFC" sheetId="88" r:id="rId63"/>
    <sheet name="sgPFC_TLR" sheetId="177" r:id="rId64"/>
    <sheet name="gyrus_rectus" sheetId="180" r:id="rId65"/>
    <sheet name="cc" sheetId="68" r:id="rId66"/>
    <sheet name="cca" sheetId="152" r:id="rId67"/>
    <sheet name="ccl" sheetId="181" r:id="rId68"/>
    <sheet name="pty" sheetId="82" r:id="rId69"/>
    <sheet name="All_hyperintensities" sheetId="116" r:id="rId70"/>
    <sheet name="DWMH" sheetId="103" r:id="rId71"/>
    <sheet name="DWMH_rating" sheetId="109" r:id="rId72"/>
    <sheet name="PVH" sheetId="114" r:id="rId73"/>
    <sheet name="PVH_rating" sheetId="110" r:id="rId74"/>
    <sheet name="ScGMH" sheetId="115" r:id="rId75"/>
    <sheet name="ScGMH_rating" sheetId="111" r:id="rId76"/>
    <sheet name="Graphs" sheetId="267" r:id="rId77"/>
  </sheets>
  <definedNames>
    <definedName name="content" localSheetId="1">Database!$G$22</definedName>
    <definedName name="toccontent" localSheetId="1">Database!$G$23</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E8" i="19"/>
  <c r="BE9"/>
  <c r="BE10"/>
  <c r="BE11"/>
  <c r="BE12"/>
  <c r="BE13"/>
  <c r="BE14"/>
  <c r="BE15"/>
  <c r="BE16"/>
  <c r="BE17"/>
  <c r="BE18"/>
  <c r="BE19"/>
  <c r="BE20"/>
  <c r="BE21"/>
  <c r="BE22"/>
  <c r="BE23"/>
  <c r="BE24"/>
  <c r="BE25"/>
  <c r="BE26"/>
  <c r="BE27"/>
  <c r="BE28"/>
  <c r="BE29"/>
  <c r="BE30"/>
  <c r="BE31"/>
  <c r="BE32"/>
  <c r="BE33"/>
  <c r="BE34"/>
  <c r="BE35"/>
  <c r="BE36"/>
  <c r="BE37"/>
  <c r="BE38"/>
  <c r="BE39"/>
  <c r="BE40"/>
  <c r="BE41"/>
  <c r="BE42"/>
  <c r="BE43"/>
  <c r="BE44"/>
  <c r="BE45"/>
  <c r="BE46"/>
  <c r="BE47"/>
  <c r="BE48"/>
  <c r="BE49"/>
  <c r="BE50"/>
  <c r="BE51"/>
  <c r="BE52"/>
  <c r="BE53"/>
  <c r="BE54"/>
  <c r="BE55"/>
  <c r="BE56"/>
  <c r="BE57"/>
  <c r="BE58"/>
  <c r="BE59"/>
  <c r="BE60"/>
  <c r="BE61"/>
  <c r="BE62"/>
  <c r="BE63"/>
  <c r="BE64"/>
  <c r="BE65"/>
  <c r="BE66"/>
  <c r="BE67"/>
  <c r="BE68"/>
  <c r="BE69"/>
  <c r="BE70"/>
  <c r="BE71"/>
  <c r="BE72"/>
  <c r="BE73"/>
  <c r="BE74"/>
  <c r="BE75"/>
  <c r="BE76"/>
  <c r="BE77"/>
  <c r="BE78"/>
  <c r="BE79"/>
  <c r="BE80"/>
  <c r="BE81"/>
  <c r="BE82"/>
  <c r="BE83"/>
  <c r="BE84"/>
  <c r="BE85"/>
  <c r="BE86"/>
  <c r="BE87"/>
  <c r="BE88"/>
  <c r="BE89"/>
  <c r="BE90"/>
  <c r="BE91"/>
  <c r="BE92"/>
  <c r="BE93"/>
  <c r="BE94"/>
  <c r="BE95"/>
  <c r="BE96"/>
  <c r="BE97"/>
  <c r="BE98"/>
  <c r="BE99"/>
  <c r="BE100"/>
  <c r="BE101"/>
  <c r="BE102"/>
  <c r="BE103"/>
  <c r="BE104"/>
  <c r="BE105"/>
  <c r="BE106"/>
  <c r="BE107"/>
  <c r="BE108"/>
  <c r="BE109"/>
  <c r="BE110"/>
  <c r="BE111"/>
  <c r="BE112"/>
  <c r="BE113"/>
  <c r="BE114"/>
  <c r="BE115"/>
  <c r="BE116"/>
  <c r="BE117"/>
  <c r="BE118"/>
  <c r="BE119"/>
  <c r="BE120"/>
  <c r="BE121"/>
  <c r="BE122"/>
  <c r="BE123"/>
  <c r="BE124"/>
  <c r="BE125"/>
  <c r="BE126"/>
  <c r="BE127"/>
  <c r="BE128"/>
  <c r="BE129"/>
  <c r="BE130"/>
  <c r="BE131"/>
  <c r="BE132"/>
  <c r="BE133"/>
  <c r="BE134"/>
  <c r="BE135"/>
  <c r="BE136"/>
  <c r="BE137"/>
  <c r="BE138"/>
  <c r="BE139"/>
  <c r="BE140"/>
  <c r="BE141"/>
  <c r="BE142"/>
  <c r="BE143"/>
  <c r="BE144"/>
  <c r="BE145"/>
  <c r="BE146"/>
  <c r="BE147"/>
  <c r="BE148"/>
  <c r="BE149"/>
  <c r="BE150"/>
  <c r="BE151"/>
  <c r="BE152"/>
  <c r="BE153"/>
  <c r="BE154"/>
  <c r="BE155"/>
  <c r="BE156"/>
  <c r="BE157"/>
  <c r="BE158"/>
  <c r="BE159"/>
  <c r="BE160"/>
  <c r="BE161"/>
  <c r="BE162"/>
  <c r="BE163"/>
  <c r="BE164"/>
  <c r="BE165"/>
  <c r="BE166"/>
  <c r="BE167"/>
  <c r="BE168"/>
  <c r="BE169"/>
  <c r="BE170"/>
  <c r="BE171"/>
  <c r="BE172"/>
  <c r="BE173"/>
  <c r="BE174"/>
  <c r="BE175"/>
  <c r="BE176"/>
  <c r="BE177"/>
  <c r="BE178"/>
  <c r="BE179"/>
  <c r="BE180"/>
  <c r="BE181"/>
  <c r="BE182"/>
  <c r="BE183"/>
  <c r="BE184"/>
  <c r="BE185"/>
  <c r="BE186"/>
  <c r="BE187"/>
  <c r="BE188"/>
  <c r="BE189"/>
  <c r="BE190"/>
  <c r="BE191"/>
  <c r="BE192"/>
  <c r="BE193"/>
  <c r="BE194"/>
  <c r="BE195"/>
  <c r="BE196"/>
  <c r="BE197"/>
  <c r="BE198"/>
  <c r="BE199"/>
  <c r="BE200"/>
  <c r="BE201"/>
  <c r="BE202"/>
  <c r="BE203"/>
  <c r="BE204"/>
  <c r="BE205"/>
  <c r="BE206"/>
  <c r="BE207"/>
  <c r="BE208"/>
  <c r="BE209"/>
  <c r="BE210"/>
  <c r="BE211"/>
  <c r="BE212"/>
  <c r="BE213"/>
  <c r="BE214"/>
  <c r="BE215"/>
  <c r="BE216"/>
  <c r="BE217"/>
  <c r="BE218"/>
  <c r="T219"/>
  <c r="BE219"/>
  <c r="BE220"/>
  <c r="BE221"/>
  <c r="BE222"/>
  <c r="BE223"/>
  <c r="BE224"/>
  <c r="BE225"/>
  <c r="BE226"/>
  <c r="BE227"/>
  <c r="BE228"/>
  <c r="BE229"/>
  <c r="BE230"/>
  <c r="BE231"/>
  <c r="BE232"/>
  <c r="BD19"/>
  <c r="BD20"/>
  <c r="BD21"/>
  <c r="BD22"/>
  <c r="BD23"/>
  <c r="BD24"/>
  <c r="BD25"/>
  <c r="BD26"/>
  <c r="BD27"/>
  <c r="BD28"/>
  <c r="BD29"/>
  <c r="BD30"/>
  <c r="BD31"/>
  <c r="BD32"/>
  <c r="BD33"/>
  <c r="BD34"/>
  <c r="BD35"/>
  <c r="BD36"/>
  <c r="BD37"/>
  <c r="BD38"/>
  <c r="BD39"/>
  <c r="BD40"/>
  <c r="BD41"/>
  <c r="BD42"/>
  <c r="BD43"/>
  <c r="BD44"/>
  <c r="BD45"/>
  <c r="BD46"/>
  <c r="BD47"/>
  <c r="BD48"/>
  <c r="BD49"/>
  <c r="BD50"/>
  <c r="BD51"/>
  <c r="BD52"/>
  <c r="BD53"/>
  <c r="BD54"/>
  <c r="BD55"/>
  <c r="BD56"/>
  <c r="BD57"/>
  <c r="BD58"/>
  <c r="BD59"/>
  <c r="BD60"/>
  <c r="BD61"/>
  <c r="BD62"/>
  <c r="BD63"/>
  <c r="BD64"/>
  <c r="BD65"/>
  <c r="BD66"/>
  <c r="BD67"/>
  <c r="BD68"/>
  <c r="BD69"/>
  <c r="BD70"/>
  <c r="BD71"/>
  <c r="BD72"/>
  <c r="BD73"/>
  <c r="BD74"/>
  <c r="BD75"/>
  <c r="BD76"/>
  <c r="BD77"/>
  <c r="BD78"/>
  <c r="BD79"/>
  <c r="BD80"/>
  <c r="BD81"/>
  <c r="BD82"/>
  <c r="BD83"/>
  <c r="BD84"/>
  <c r="BD85"/>
  <c r="BD86"/>
  <c r="BD87"/>
  <c r="BD88"/>
  <c r="BD89"/>
  <c r="BD90"/>
  <c r="BD91"/>
  <c r="BD92"/>
  <c r="BD93"/>
  <c r="BD94"/>
  <c r="BD95"/>
  <c r="BD96"/>
  <c r="BD97"/>
  <c r="BD98"/>
  <c r="BD99"/>
  <c r="BD100"/>
  <c r="BD101"/>
  <c r="BD102"/>
  <c r="BD103"/>
  <c r="BD104"/>
  <c r="BD105"/>
  <c r="BD106"/>
  <c r="BD107"/>
  <c r="BD108"/>
  <c r="BD109"/>
  <c r="BD110"/>
  <c r="BD111"/>
  <c r="BD112"/>
  <c r="BD113"/>
  <c r="BD114"/>
  <c r="BD115"/>
  <c r="BD116"/>
  <c r="BD117"/>
  <c r="BD118"/>
  <c r="BD119"/>
  <c r="BD120"/>
  <c r="BD121"/>
  <c r="BD122"/>
  <c r="BD123"/>
  <c r="BD124"/>
  <c r="BD125"/>
  <c r="BD126"/>
  <c r="BD127"/>
  <c r="BD128"/>
  <c r="BD129"/>
  <c r="BD130"/>
  <c r="BD131"/>
  <c r="BD132"/>
  <c r="BD133"/>
  <c r="BD134"/>
  <c r="BD135"/>
  <c r="BD136"/>
  <c r="BD137"/>
  <c r="BD138"/>
  <c r="BD139"/>
  <c r="BD140"/>
  <c r="BD141"/>
  <c r="BD142"/>
  <c r="BD143"/>
  <c r="BD144"/>
  <c r="BD145"/>
  <c r="BD146"/>
  <c r="BD147"/>
  <c r="BD148"/>
  <c r="BD149"/>
  <c r="BD150"/>
  <c r="BD151"/>
  <c r="BD152"/>
  <c r="BD153"/>
  <c r="BD154"/>
  <c r="BD155"/>
  <c r="BD156"/>
  <c r="BD157"/>
  <c r="BD158"/>
  <c r="BD159"/>
  <c r="BD160"/>
  <c r="BD161"/>
  <c r="BD162"/>
  <c r="BD163"/>
  <c r="BD164"/>
  <c r="BD165"/>
  <c r="BD166"/>
  <c r="BD167"/>
  <c r="BD168"/>
  <c r="BD169"/>
  <c r="BD170"/>
  <c r="BD171"/>
  <c r="BD172"/>
  <c r="BD173"/>
  <c r="BD174"/>
  <c r="BD175"/>
  <c r="BD176"/>
  <c r="BD177"/>
  <c r="BD178"/>
  <c r="BD179"/>
  <c r="BD180"/>
  <c r="BD181"/>
  <c r="BD182"/>
  <c r="BD183"/>
  <c r="BD184"/>
  <c r="BD185"/>
  <c r="BD186"/>
  <c r="BD187"/>
  <c r="BD188"/>
  <c r="BD189"/>
  <c r="BD190"/>
  <c r="BD191"/>
  <c r="BD192"/>
  <c r="BD193"/>
  <c r="BD194"/>
  <c r="BD195"/>
  <c r="BD196"/>
  <c r="BD197"/>
  <c r="BD198"/>
  <c r="BD199"/>
  <c r="BD200"/>
  <c r="BD201"/>
  <c r="BD202"/>
  <c r="BD203"/>
  <c r="BD204"/>
  <c r="BD205"/>
  <c r="BD206"/>
  <c r="BD207"/>
  <c r="BD208"/>
  <c r="BD209"/>
  <c r="BD210"/>
  <c r="BD211"/>
  <c r="BD212"/>
  <c r="BD213"/>
  <c r="BD214"/>
  <c r="BD215"/>
  <c r="BD216"/>
  <c r="BD217"/>
  <c r="BD218"/>
  <c r="S219"/>
  <c r="BD219"/>
  <c r="BD220"/>
  <c r="BD221"/>
  <c r="BD222"/>
  <c r="BD223"/>
  <c r="BD224"/>
  <c r="BD225"/>
  <c r="BD226"/>
  <c r="BD227"/>
  <c r="BD228"/>
  <c r="BD229"/>
  <c r="BD230"/>
  <c r="BD231"/>
  <c r="BD232"/>
  <c r="BD9"/>
  <c r="BD10"/>
  <c r="BD11"/>
  <c r="BD12"/>
  <c r="BD13"/>
  <c r="BD14"/>
  <c r="BD15"/>
  <c r="BD16"/>
  <c r="BD17"/>
  <c r="BD18"/>
  <c r="BD8"/>
  <c r="BC9"/>
  <c r="BC10"/>
  <c r="BC11"/>
  <c r="BC12"/>
  <c r="BC13"/>
  <c r="BC14"/>
  <c r="BC15"/>
  <c r="BC16"/>
  <c r="BC17"/>
  <c r="BC18"/>
  <c r="BC19"/>
  <c r="BC20"/>
  <c r="BC21"/>
  <c r="BC22"/>
  <c r="BC23"/>
  <c r="BC24"/>
  <c r="BC25"/>
  <c r="BC26"/>
  <c r="BC27"/>
  <c r="BC28"/>
  <c r="BC29"/>
  <c r="BC30"/>
  <c r="BC31"/>
  <c r="BC32"/>
  <c r="BC33"/>
  <c r="BC34"/>
  <c r="BC35"/>
  <c r="BC36"/>
  <c r="BC37"/>
  <c r="BC38"/>
  <c r="BC39"/>
  <c r="BC40"/>
  <c r="BC41"/>
  <c r="BC42"/>
  <c r="BC43"/>
  <c r="BC44"/>
  <c r="BC45"/>
  <c r="BC46"/>
  <c r="BC47"/>
  <c r="BC48"/>
  <c r="BC49"/>
  <c r="BC50"/>
  <c r="BC51"/>
  <c r="BC52"/>
  <c r="BC53"/>
  <c r="BC54"/>
  <c r="BC55"/>
  <c r="BC56"/>
  <c r="BC57"/>
  <c r="BC58"/>
  <c r="BC59"/>
  <c r="BC60"/>
  <c r="BC61"/>
  <c r="BC62"/>
  <c r="BC63"/>
  <c r="BC64"/>
  <c r="BC65"/>
  <c r="BC66"/>
  <c r="BC67"/>
  <c r="BC68"/>
  <c r="BC69"/>
  <c r="BC70"/>
  <c r="BC71"/>
  <c r="BC72"/>
  <c r="BC73"/>
  <c r="BC74"/>
  <c r="BC75"/>
  <c r="BC76"/>
  <c r="BC77"/>
  <c r="BC78"/>
  <c r="BC79"/>
  <c r="BC80"/>
  <c r="BC81"/>
  <c r="BC82"/>
  <c r="BC83"/>
  <c r="BC84"/>
  <c r="BC85"/>
  <c r="BC86"/>
  <c r="BC87"/>
  <c r="BC88"/>
  <c r="BC89"/>
  <c r="BC90"/>
  <c r="BC91"/>
  <c r="BC92"/>
  <c r="BC93"/>
  <c r="BC94"/>
  <c r="BC95"/>
  <c r="BC96"/>
  <c r="BC97"/>
  <c r="BC98"/>
  <c r="BC99"/>
  <c r="BC100"/>
  <c r="BC101"/>
  <c r="BC102"/>
  <c r="BC103"/>
  <c r="BC104"/>
  <c r="BC105"/>
  <c r="BC106"/>
  <c r="BC107"/>
  <c r="BC108"/>
  <c r="BC109"/>
  <c r="BC110"/>
  <c r="BC111"/>
  <c r="BC112"/>
  <c r="BC113"/>
  <c r="BC114"/>
  <c r="BC115"/>
  <c r="BC116"/>
  <c r="BC117"/>
  <c r="BC118"/>
  <c r="BC119"/>
  <c r="BC120"/>
  <c r="BC121"/>
  <c r="BC122"/>
  <c r="BC123"/>
  <c r="BC124"/>
  <c r="BC125"/>
  <c r="BC126"/>
  <c r="BC127"/>
  <c r="BC128"/>
  <c r="BC129"/>
  <c r="BC130"/>
  <c r="BC131"/>
  <c r="BC132"/>
  <c r="BC133"/>
  <c r="BC134"/>
  <c r="BC135"/>
  <c r="BC136"/>
  <c r="BC137"/>
  <c r="BC138"/>
  <c r="BC139"/>
  <c r="BC140"/>
  <c r="BC141"/>
  <c r="BC142"/>
  <c r="BC143"/>
  <c r="BC144"/>
  <c r="BC145"/>
  <c r="BC146"/>
  <c r="BC147"/>
  <c r="BC148"/>
  <c r="BC149"/>
  <c r="BC150"/>
  <c r="BC151"/>
  <c r="BC152"/>
  <c r="BC153"/>
  <c r="BC154"/>
  <c r="BC155"/>
  <c r="BC156"/>
  <c r="BC157"/>
  <c r="BC158"/>
  <c r="BC159"/>
  <c r="BC160"/>
  <c r="BC161"/>
  <c r="BC162"/>
  <c r="BC163"/>
  <c r="BC164"/>
  <c r="BC165"/>
  <c r="BC166"/>
  <c r="BC167"/>
  <c r="BC168"/>
  <c r="BC169"/>
  <c r="BC170"/>
  <c r="BC171"/>
  <c r="BC172"/>
  <c r="BC173"/>
  <c r="BC174"/>
  <c r="BC175"/>
  <c r="BC176"/>
  <c r="BC177"/>
  <c r="BC178"/>
  <c r="BC179"/>
  <c r="BC180"/>
  <c r="BC181"/>
  <c r="BC182"/>
  <c r="BC183"/>
  <c r="BC184"/>
  <c r="BC185"/>
  <c r="BC186"/>
  <c r="BC187"/>
  <c r="BC188"/>
  <c r="BC189"/>
  <c r="BC190"/>
  <c r="BC191"/>
  <c r="BC192"/>
  <c r="BC193"/>
  <c r="BC194"/>
  <c r="BC195"/>
  <c r="BC196"/>
  <c r="BC197"/>
  <c r="BC198"/>
  <c r="BC199"/>
  <c r="BC200"/>
  <c r="BC201"/>
  <c r="BC202"/>
  <c r="BC203"/>
  <c r="BC204"/>
  <c r="BC205"/>
  <c r="BC206"/>
  <c r="BC207"/>
  <c r="BC208"/>
  <c r="BC209"/>
  <c r="BC210"/>
  <c r="BC211"/>
  <c r="BC212"/>
  <c r="BC213"/>
  <c r="BC214"/>
  <c r="BC215"/>
  <c r="BC216"/>
  <c r="BC217"/>
  <c r="BC218"/>
  <c r="BC219"/>
  <c r="BC220"/>
  <c r="BC221"/>
  <c r="BC222"/>
  <c r="BC223"/>
  <c r="BC224"/>
  <c r="BC225"/>
  <c r="BC226"/>
  <c r="BC227"/>
  <c r="BC228"/>
  <c r="BC229"/>
  <c r="BC230"/>
  <c r="BC231"/>
  <c r="BC232"/>
  <c r="BC8"/>
  <c r="BA9"/>
  <c r="BB9"/>
  <c r="BA10"/>
  <c r="BB10"/>
  <c r="BA11"/>
  <c r="BB11"/>
  <c r="BA12"/>
  <c r="BB12"/>
  <c r="BA13"/>
  <c r="BB13"/>
  <c r="BA14"/>
  <c r="BB14"/>
  <c r="BA15"/>
  <c r="BB15"/>
  <c r="BA16"/>
  <c r="BB16"/>
  <c r="BA17"/>
  <c r="BB17"/>
  <c r="BA18"/>
  <c r="BB18"/>
  <c r="BA19"/>
  <c r="BB19"/>
  <c r="BA20"/>
  <c r="BB20"/>
  <c r="BA21"/>
  <c r="BB21"/>
  <c r="BA22"/>
  <c r="BB22"/>
  <c r="BA23"/>
  <c r="BB23"/>
  <c r="BA24"/>
  <c r="BB24"/>
  <c r="BA25"/>
  <c r="BB25"/>
  <c r="BA26"/>
  <c r="BB26"/>
  <c r="BA27"/>
  <c r="BB27"/>
  <c r="BA28"/>
  <c r="BB28"/>
  <c r="BA29"/>
  <c r="BB29"/>
  <c r="BA30"/>
  <c r="BB30"/>
  <c r="BA31"/>
  <c r="BB31"/>
  <c r="BA32"/>
  <c r="BB32"/>
  <c r="BA33"/>
  <c r="BB33"/>
  <c r="BA34"/>
  <c r="BB34"/>
  <c r="BA35"/>
  <c r="BB35"/>
  <c r="BA36"/>
  <c r="BB36"/>
  <c r="BA37"/>
  <c r="BB37"/>
  <c r="BA38"/>
  <c r="BB38"/>
  <c r="BA39"/>
  <c r="BB39"/>
  <c r="BA40"/>
  <c r="BB40"/>
  <c r="BA41"/>
  <c r="BB41"/>
  <c r="BA42"/>
  <c r="BB42"/>
  <c r="BA43"/>
  <c r="BB43"/>
  <c r="BA44"/>
  <c r="BB44"/>
  <c r="BA45"/>
  <c r="BB45"/>
  <c r="BA46"/>
  <c r="BB46"/>
  <c r="BA47"/>
  <c r="BB47"/>
  <c r="BA48"/>
  <c r="BB48"/>
  <c r="BA49"/>
  <c r="BB49"/>
  <c r="BA50"/>
  <c r="BB50"/>
  <c r="BA51"/>
  <c r="BB51"/>
  <c r="BA52"/>
  <c r="BB52"/>
  <c r="BA53"/>
  <c r="BB53"/>
  <c r="BA54"/>
  <c r="BB54"/>
  <c r="BA55"/>
  <c r="BB55"/>
  <c r="BA56"/>
  <c r="BB56"/>
  <c r="BA57"/>
  <c r="BB57"/>
  <c r="BA58"/>
  <c r="BB58"/>
  <c r="BA59"/>
  <c r="BB59"/>
  <c r="BA60"/>
  <c r="BB60"/>
  <c r="BA61"/>
  <c r="BB61"/>
  <c r="BA62"/>
  <c r="BB62"/>
  <c r="BA63"/>
  <c r="BB63"/>
  <c r="BA64"/>
  <c r="BB64"/>
  <c r="BA65"/>
  <c r="BB65"/>
  <c r="BA66"/>
  <c r="BB66"/>
  <c r="BA67"/>
  <c r="BB67"/>
  <c r="BA68"/>
  <c r="BB68"/>
  <c r="BA69"/>
  <c r="BB69"/>
  <c r="BA70"/>
  <c r="BB70"/>
  <c r="BA71"/>
  <c r="BB71"/>
  <c r="BA72"/>
  <c r="BB72"/>
  <c r="BA73"/>
  <c r="BB73"/>
  <c r="BA74"/>
  <c r="BB74"/>
  <c r="BA75"/>
  <c r="BB75"/>
  <c r="BA76"/>
  <c r="BB76"/>
  <c r="BA77"/>
  <c r="BB77"/>
  <c r="BA78"/>
  <c r="BB78"/>
  <c r="BA79"/>
  <c r="BB79"/>
  <c r="BA80"/>
  <c r="BB80"/>
  <c r="BA81"/>
  <c r="BB81"/>
  <c r="BA82"/>
  <c r="BB82"/>
  <c r="BA83"/>
  <c r="BB83"/>
  <c r="BA84"/>
  <c r="BB84"/>
  <c r="BA85"/>
  <c r="BB85"/>
  <c r="BA86"/>
  <c r="BB86"/>
  <c r="BA87"/>
  <c r="BB87"/>
  <c r="BA88"/>
  <c r="BB88"/>
  <c r="BA89"/>
  <c r="BB89"/>
  <c r="BA90"/>
  <c r="BB90"/>
  <c r="BA91"/>
  <c r="BB91"/>
  <c r="BA92"/>
  <c r="BB92"/>
  <c r="BA93"/>
  <c r="BB93"/>
  <c r="BA94"/>
  <c r="BB94"/>
  <c r="BA95"/>
  <c r="BB95"/>
  <c r="BA96"/>
  <c r="BB96"/>
  <c r="BA97"/>
  <c r="BB97"/>
  <c r="BA98"/>
  <c r="BB98"/>
  <c r="BA99"/>
  <c r="BB99"/>
  <c r="BA100"/>
  <c r="BB100"/>
  <c r="BA101"/>
  <c r="BB101"/>
  <c r="BA102"/>
  <c r="BB102"/>
  <c r="BA103"/>
  <c r="BB103"/>
  <c r="BA104"/>
  <c r="BB104"/>
  <c r="BA105"/>
  <c r="BB105"/>
  <c r="BA106"/>
  <c r="BB106"/>
  <c r="BA107"/>
  <c r="BB107"/>
  <c r="BA108"/>
  <c r="BB108"/>
  <c r="BA109"/>
  <c r="BB109"/>
  <c r="BA110"/>
  <c r="BB110"/>
  <c r="BA111"/>
  <c r="BB111"/>
  <c r="BA112"/>
  <c r="BB112"/>
  <c r="BA113"/>
  <c r="BB113"/>
  <c r="BA114"/>
  <c r="BB114"/>
  <c r="BA115"/>
  <c r="BB115"/>
  <c r="BA116"/>
  <c r="BB116"/>
  <c r="BA117"/>
  <c r="BB117"/>
  <c r="BA118"/>
  <c r="BB118"/>
  <c r="BA119"/>
  <c r="BB119"/>
  <c r="BA120"/>
  <c r="BB120"/>
  <c r="BA121"/>
  <c r="BB121"/>
  <c r="BA122"/>
  <c r="BB122"/>
  <c r="BA123"/>
  <c r="BB123"/>
  <c r="BA124"/>
  <c r="BB124"/>
  <c r="BA125"/>
  <c r="BB125"/>
  <c r="BA126"/>
  <c r="BB126"/>
  <c r="BA127"/>
  <c r="BB127"/>
  <c r="BA128"/>
  <c r="BB128"/>
  <c r="BA129"/>
  <c r="BB129"/>
  <c r="BA130"/>
  <c r="BB130"/>
  <c r="BA131"/>
  <c r="BB131"/>
  <c r="BA132"/>
  <c r="BB132"/>
  <c r="BA133"/>
  <c r="BB133"/>
  <c r="BA134"/>
  <c r="BB134"/>
  <c r="BA135"/>
  <c r="BB135"/>
  <c r="BA136"/>
  <c r="BB136"/>
  <c r="BA137"/>
  <c r="BB137"/>
  <c r="BA138"/>
  <c r="BB138"/>
  <c r="BA139"/>
  <c r="BB139"/>
  <c r="BA140"/>
  <c r="BB140"/>
  <c r="BA141"/>
  <c r="BB141"/>
  <c r="BA142"/>
  <c r="BB142"/>
  <c r="BA143"/>
  <c r="BB143"/>
  <c r="BA144"/>
  <c r="BB144"/>
  <c r="BA145"/>
  <c r="BB145"/>
  <c r="BA146"/>
  <c r="BB146"/>
  <c r="BA147"/>
  <c r="BB147"/>
  <c r="BA148"/>
  <c r="BB148"/>
  <c r="BA149"/>
  <c r="BB149"/>
  <c r="BA150"/>
  <c r="BB150"/>
  <c r="BA151"/>
  <c r="BB151"/>
  <c r="BA152"/>
  <c r="BB152"/>
  <c r="BA153"/>
  <c r="BB153"/>
  <c r="BA154"/>
  <c r="BB154"/>
  <c r="BA155"/>
  <c r="BB155"/>
  <c r="BA156"/>
  <c r="BB156"/>
  <c r="BA157"/>
  <c r="BB157"/>
  <c r="BA158"/>
  <c r="BB158"/>
  <c r="BA159"/>
  <c r="BB159"/>
  <c r="BA160"/>
  <c r="BB160"/>
  <c r="BA161"/>
  <c r="BB161"/>
  <c r="BA162"/>
  <c r="BB162"/>
  <c r="BA163"/>
  <c r="BB163"/>
  <c r="BA164"/>
  <c r="BB164"/>
  <c r="BA165"/>
  <c r="BB165"/>
  <c r="BA166"/>
  <c r="BB166"/>
  <c r="BA167"/>
  <c r="BB167"/>
  <c r="BA168"/>
  <c r="BB168"/>
  <c r="BA169"/>
  <c r="BB169"/>
  <c r="BA170"/>
  <c r="BB170"/>
  <c r="BA171"/>
  <c r="BB171"/>
  <c r="BA172"/>
  <c r="BB172"/>
  <c r="BA173"/>
  <c r="BB173"/>
  <c r="BA174"/>
  <c r="BB174"/>
  <c r="BA175"/>
  <c r="BB175"/>
  <c r="BA176"/>
  <c r="BB176"/>
  <c r="BA177"/>
  <c r="BB177"/>
  <c r="BA178"/>
  <c r="BB178"/>
  <c r="BA179"/>
  <c r="BB179"/>
  <c r="BA180"/>
  <c r="BB180"/>
  <c r="BA181"/>
  <c r="BB181"/>
  <c r="BA182"/>
  <c r="BB182"/>
  <c r="BA183"/>
  <c r="BB183"/>
  <c r="BA184"/>
  <c r="BB184"/>
  <c r="BA185"/>
  <c r="BB185"/>
  <c r="BA186"/>
  <c r="BB186"/>
  <c r="BA187"/>
  <c r="BB187"/>
  <c r="BA188"/>
  <c r="BB188"/>
  <c r="BA189"/>
  <c r="BB189"/>
  <c r="BA190"/>
  <c r="BB190"/>
  <c r="BA191"/>
  <c r="BB191"/>
  <c r="BA192"/>
  <c r="BB192"/>
  <c r="BA193"/>
  <c r="BB193"/>
  <c r="BA194"/>
  <c r="BB194"/>
  <c r="BA195"/>
  <c r="BB195"/>
  <c r="BA196"/>
  <c r="BB196"/>
  <c r="BA197"/>
  <c r="BB197"/>
  <c r="BA198"/>
  <c r="BB198"/>
  <c r="BA199"/>
  <c r="BB199"/>
  <c r="BA200"/>
  <c r="BB200"/>
  <c r="BA201"/>
  <c r="BB201"/>
  <c r="BA202"/>
  <c r="BB202"/>
  <c r="BA203"/>
  <c r="BB203"/>
  <c r="BA204"/>
  <c r="BB204"/>
  <c r="BA205"/>
  <c r="BB205"/>
  <c r="BA206"/>
  <c r="BB206"/>
  <c r="BA207"/>
  <c r="BB207"/>
  <c r="BA208"/>
  <c r="BB208"/>
  <c r="BA209"/>
  <c r="BB209"/>
  <c r="BA210"/>
  <c r="BB210"/>
  <c r="BA211"/>
  <c r="BB211"/>
  <c r="BA212"/>
  <c r="BB212"/>
  <c r="BA213"/>
  <c r="BB213"/>
  <c r="BA214"/>
  <c r="BB214"/>
  <c r="BA215"/>
  <c r="BB215"/>
  <c r="BA216"/>
  <c r="BB216"/>
  <c r="BA217"/>
  <c r="BB217"/>
  <c r="BA218"/>
  <c r="BB218"/>
  <c r="BA219"/>
  <c r="BB219"/>
  <c r="BA220"/>
  <c r="BB220"/>
  <c r="BA221"/>
  <c r="BB221"/>
  <c r="BA222"/>
  <c r="BB222"/>
  <c r="BA223"/>
  <c r="BB223"/>
  <c r="BA224"/>
  <c r="BB224"/>
  <c r="BA225"/>
  <c r="BB225"/>
  <c r="BA226"/>
  <c r="BB226"/>
  <c r="BA227"/>
  <c r="BB227"/>
  <c r="BA228"/>
  <c r="BB228"/>
  <c r="BA229"/>
  <c r="BB229"/>
  <c r="BA230"/>
  <c r="BB230"/>
  <c r="BA231"/>
  <c r="BB231"/>
  <c r="BA232"/>
  <c r="BB232"/>
  <c r="AZ27"/>
  <c r="AZ28"/>
  <c r="AZ29"/>
  <c r="AZ30"/>
  <c r="AZ31"/>
  <c r="AZ32"/>
  <c r="AZ33"/>
  <c r="AZ34"/>
  <c r="AZ35"/>
  <c r="AZ36"/>
  <c r="AZ37"/>
  <c r="AZ38"/>
  <c r="AZ39"/>
  <c r="AZ40"/>
  <c r="AZ41"/>
  <c r="AZ42"/>
  <c r="AZ43"/>
  <c r="AZ44"/>
  <c r="AZ45"/>
  <c r="AZ46"/>
  <c r="AZ47"/>
  <c r="AZ48"/>
  <c r="AZ49"/>
  <c r="AZ50"/>
  <c r="AZ51"/>
  <c r="AZ52"/>
  <c r="AZ53"/>
  <c r="AZ54"/>
  <c r="AZ55"/>
  <c r="AZ56"/>
  <c r="AZ57"/>
  <c r="AZ58"/>
  <c r="AZ59"/>
  <c r="AZ60"/>
  <c r="AZ61"/>
  <c r="AZ62"/>
  <c r="AZ63"/>
  <c r="AZ64"/>
  <c r="AZ65"/>
  <c r="AZ66"/>
  <c r="AZ67"/>
  <c r="AZ68"/>
  <c r="AZ69"/>
  <c r="AZ70"/>
  <c r="AZ71"/>
  <c r="AZ72"/>
  <c r="AZ73"/>
  <c r="AZ74"/>
  <c r="AZ75"/>
  <c r="AZ76"/>
  <c r="AZ77"/>
  <c r="AZ78"/>
  <c r="AZ79"/>
  <c r="AZ80"/>
  <c r="AZ81"/>
  <c r="AZ82"/>
  <c r="AZ83"/>
  <c r="AZ84"/>
  <c r="AZ85"/>
  <c r="AZ86"/>
  <c r="AZ87"/>
  <c r="AZ88"/>
  <c r="AZ89"/>
  <c r="AZ90"/>
  <c r="AZ91"/>
  <c r="AZ92"/>
  <c r="AZ93"/>
  <c r="AZ94"/>
  <c r="AZ95"/>
  <c r="AZ96"/>
  <c r="AZ97"/>
  <c r="AZ98"/>
  <c r="AZ99"/>
  <c r="AZ100"/>
  <c r="AZ101"/>
  <c r="AZ102"/>
  <c r="AZ103"/>
  <c r="AZ104"/>
  <c r="AZ105"/>
  <c r="AZ106"/>
  <c r="AZ107"/>
  <c r="AZ108"/>
  <c r="AZ109"/>
  <c r="AZ110"/>
  <c r="AZ111"/>
  <c r="AZ112"/>
  <c r="AZ113"/>
  <c r="AZ114"/>
  <c r="AZ115"/>
  <c r="AZ116"/>
  <c r="AZ117"/>
  <c r="AZ118"/>
  <c r="AZ119"/>
  <c r="AZ120"/>
  <c r="AZ121"/>
  <c r="AZ122"/>
  <c r="AZ123"/>
  <c r="AZ124"/>
  <c r="AZ125"/>
  <c r="AZ126"/>
  <c r="AZ127"/>
  <c r="AZ128"/>
  <c r="AZ129"/>
  <c r="AZ130"/>
  <c r="AZ131"/>
  <c r="AZ132"/>
  <c r="AZ133"/>
  <c r="AZ134"/>
  <c r="AZ135"/>
  <c r="AZ136"/>
  <c r="AZ137"/>
  <c r="AZ138"/>
  <c r="AZ139"/>
  <c r="AZ140"/>
  <c r="AZ141"/>
  <c r="AZ142"/>
  <c r="AZ143"/>
  <c r="AZ144"/>
  <c r="AZ145"/>
  <c r="AZ146"/>
  <c r="AZ147"/>
  <c r="AZ148"/>
  <c r="AZ149"/>
  <c r="AZ150"/>
  <c r="AZ151"/>
  <c r="AZ152"/>
  <c r="AZ153"/>
  <c r="AZ154"/>
  <c r="AZ155"/>
  <c r="AZ156"/>
  <c r="AZ157"/>
  <c r="AZ158"/>
  <c r="AZ159"/>
  <c r="AZ160"/>
  <c r="AZ161"/>
  <c r="AZ162"/>
  <c r="AZ163"/>
  <c r="AZ164"/>
  <c r="AZ165"/>
  <c r="AZ166"/>
  <c r="AZ167"/>
  <c r="AZ168"/>
  <c r="AZ169"/>
  <c r="AZ170"/>
  <c r="AZ171"/>
  <c r="AZ172"/>
  <c r="AZ173"/>
  <c r="AZ174"/>
  <c r="AZ175"/>
  <c r="AZ176"/>
  <c r="AZ177"/>
  <c r="AZ178"/>
  <c r="AZ179"/>
  <c r="AZ180"/>
  <c r="AZ181"/>
  <c r="AZ182"/>
  <c r="AZ183"/>
  <c r="AZ184"/>
  <c r="AZ185"/>
  <c r="AZ186"/>
  <c r="AZ187"/>
  <c r="AZ188"/>
  <c r="AZ189"/>
  <c r="AZ190"/>
  <c r="AZ191"/>
  <c r="AZ192"/>
  <c r="AZ193"/>
  <c r="AZ194"/>
  <c r="AZ195"/>
  <c r="AZ196"/>
  <c r="AZ197"/>
  <c r="AZ198"/>
  <c r="AZ199"/>
  <c r="AZ200"/>
  <c r="AZ201"/>
  <c r="AZ202"/>
  <c r="AZ203"/>
  <c r="AZ204"/>
  <c r="AZ205"/>
  <c r="AZ206"/>
  <c r="AZ207"/>
  <c r="AZ208"/>
  <c r="AZ209"/>
  <c r="AZ210"/>
  <c r="AZ211"/>
  <c r="AZ212"/>
  <c r="AZ213"/>
  <c r="AZ214"/>
  <c r="AZ215"/>
  <c r="AZ216"/>
  <c r="AZ217"/>
  <c r="AZ218"/>
  <c r="AZ219"/>
  <c r="AZ220"/>
  <c r="AZ221"/>
  <c r="AZ222"/>
  <c r="AZ223"/>
  <c r="AZ224"/>
  <c r="AZ225"/>
  <c r="AZ226"/>
  <c r="AZ227"/>
  <c r="AZ228"/>
  <c r="AZ229"/>
  <c r="AZ230"/>
  <c r="AZ231"/>
  <c r="AZ232"/>
  <c r="AZ9"/>
  <c r="AZ10"/>
  <c r="AZ11"/>
  <c r="AZ12"/>
  <c r="AZ13"/>
  <c r="AZ14"/>
  <c r="AZ15"/>
  <c r="AZ16"/>
  <c r="AZ17"/>
  <c r="AZ18"/>
  <c r="AZ19"/>
  <c r="AZ20"/>
  <c r="AZ21"/>
  <c r="AZ22"/>
  <c r="AZ23"/>
  <c r="AZ24"/>
  <c r="AZ25"/>
  <c r="AZ26"/>
  <c r="AZ8"/>
  <c r="BA8"/>
  <c r="BB8"/>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Y71"/>
  <c r="AY72"/>
  <c r="AY73"/>
  <c r="AY74"/>
  <c r="AY75"/>
  <c r="AY76"/>
  <c r="AY77"/>
  <c r="AY78"/>
  <c r="AY79"/>
  <c r="AY80"/>
  <c r="AY81"/>
  <c r="AY82"/>
  <c r="AY83"/>
  <c r="AY84"/>
  <c r="AY85"/>
  <c r="AY86"/>
  <c r="AY87"/>
  <c r="AY88"/>
  <c r="AY89"/>
  <c r="AY90"/>
  <c r="AY91"/>
  <c r="AY92"/>
  <c r="AY93"/>
  <c r="AY94"/>
  <c r="AY95"/>
  <c r="AY96"/>
  <c r="AY97"/>
  <c r="AY98"/>
  <c r="AY99"/>
  <c r="AY100"/>
  <c r="AY101"/>
  <c r="AY102"/>
  <c r="AY103"/>
  <c r="AY104"/>
  <c r="AY105"/>
  <c r="AY106"/>
  <c r="AY107"/>
  <c r="AY108"/>
  <c r="AY109"/>
  <c r="AY110"/>
  <c r="AY111"/>
  <c r="AY112"/>
  <c r="AY113"/>
  <c r="AY114"/>
  <c r="AY115"/>
  <c r="AY116"/>
  <c r="AY117"/>
  <c r="AY118"/>
  <c r="AY119"/>
  <c r="AY120"/>
  <c r="AY121"/>
  <c r="AY122"/>
  <c r="AY123"/>
  <c r="AY124"/>
  <c r="AY125"/>
  <c r="AY126"/>
  <c r="AY127"/>
  <c r="AY128"/>
  <c r="AY129"/>
  <c r="AY130"/>
  <c r="AY131"/>
  <c r="AY132"/>
  <c r="AY133"/>
  <c r="AY134"/>
  <c r="AY135"/>
  <c r="AY136"/>
  <c r="AY137"/>
  <c r="AY138"/>
  <c r="AY139"/>
  <c r="AY140"/>
  <c r="AY141"/>
  <c r="AY142"/>
  <c r="AY143"/>
  <c r="AY144"/>
  <c r="AY145"/>
  <c r="AY146"/>
  <c r="AY147"/>
  <c r="AY148"/>
  <c r="AY149"/>
  <c r="AY150"/>
  <c r="AY151"/>
  <c r="AY152"/>
  <c r="AY153"/>
  <c r="AY154"/>
  <c r="AY155"/>
  <c r="AY156"/>
  <c r="AY157"/>
  <c r="AY158"/>
  <c r="AY159"/>
  <c r="AY160"/>
  <c r="AY161"/>
  <c r="AY162"/>
  <c r="AY163"/>
  <c r="AY164"/>
  <c r="AY165"/>
  <c r="AY166"/>
  <c r="AY167"/>
  <c r="AY168"/>
  <c r="AY169"/>
  <c r="AY170"/>
  <c r="AY171"/>
  <c r="AY172"/>
  <c r="AY173"/>
  <c r="AY174"/>
  <c r="AY175"/>
  <c r="AY176"/>
  <c r="AY177"/>
  <c r="AY178"/>
  <c r="AY179"/>
  <c r="AY180"/>
  <c r="AY181"/>
  <c r="AY182"/>
  <c r="AY183"/>
  <c r="AY184"/>
  <c r="AY185"/>
  <c r="AY186"/>
  <c r="AY187"/>
  <c r="AY188"/>
  <c r="AY189"/>
  <c r="AY190"/>
  <c r="AY191"/>
  <c r="AY192"/>
  <c r="AY193"/>
  <c r="AY194"/>
  <c r="AY195"/>
  <c r="AY196"/>
  <c r="AY197"/>
  <c r="AY198"/>
  <c r="AY199"/>
  <c r="AY200"/>
  <c r="AY201"/>
  <c r="AY202"/>
  <c r="AY203"/>
  <c r="AY204"/>
  <c r="AY205"/>
  <c r="AY206"/>
  <c r="AY207"/>
  <c r="AY208"/>
  <c r="AY209"/>
  <c r="AY210"/>
  <c r="AY211"/>
  <c r="AY212"/>
  <c r="AY213"/>
  <c r="AY214"/>
  <c r="AY215"/>
  <c r="AY216"/>
  <c r="AY217"/>
  <c r="AY218"/>
  <c r="AY219"/>
  <c r="AY220"/>
  <c r="AY221"/>
  <c r="AY222"/>
  <c r="AY223"/>
  <c r="AY224"/>
  <c r="AY225"/>
  <c r="AY226"/>
  <c r="AY227"/>
  <c r="AY228"/>
  <c r="AY229"/>
  <c r="AY230"/>
  <c r="AY231"/>
  <c r="AY232"/>
  <c r="AY9"/>
  <c r="AY10"/>
  <c r="AY11"/>
  <c r="AY12"/>
  <c r="AY13"/>
  <c r="AY14"/>
  <c r="AY15"/>
  <c r="AY16"/>
  <c r="AY17"/>
  <c r="AY18"/>
  <c r="AY19"/>
  <c r="AY20"/>
  <c r="AY21"/>
  <c r="AY22"/>
  <c r="AY23"/>
  <c r="AY24"/>
  <c r="AY8"/>
  <c r="AJ27" i="111"/>
  <c r="AI22"/>
  <c r="AI27"/>
  <c r="AH22"/>
  <c r="AH27"/>
  <c r="AJ26"/>
  <c r="AI26"/>
  <c r="AH26"/>
  <c r="E27"/>
  <c r="F27"/>
  <c r="AB22"/>
  <c r="AF22"/>
  <c r="AK22"/>
  <c r="AL22"/>
  <c r="AM22"/>
  <c r="AM27"/>
  <c r="AN22"/>
  <c r="AN27"/>
  <c r="AO22"/>
  <c r="AO27"/>
  <c r="AP22"/>
  <c r="AP27"/>
  <c r="Z22"/>
  <c r="Z27"/>
  <c r="E28"/>
  <c r="F28"/>
  <c r="H28"/>
  <c r="I28"/>
  <c r="AB28"/>
  <c r="AF28"/>
  <c r="AK28"/>
  <c r="AL28"/>
  <c r="AM28"/>
  <c r="AN28"/>
  <c r="AO28"/>
  <c r="AP28"/>
  <c r="Z28"/>
  <c r="AH28"/>
  <c r="AI28"/>
  <c r="E29"/>
  <c r="F29"/>
  <c r="AB29"/>
  <c r="AF29"/>
  <c r="AK29"/>
  <c r="AL29"/>
  <c r="AM29"/>
  <c r="AN29"/>
  <c r="AO29"/>
  <c r="AP29"/>
  <c r="Z29"/>
  <c r="AH29"/>
  <c r="AI29"/>
  <c r="E30"/>
  <c r="F30"/>
  <c r="AB30"/>
  <c r="AF30"/>
  <c r="AK30"/>
  <c r="AL30"/>
  <c r="AM30"/>
  <c r="AN30"/>
  <c r="AO30"/>
  <c r="AP30"/>
  <c r="Z30"/>
  <c r="AH30"/>
  <c r="AI30"/>
  <c r="E31"/>
  <c r="F31"/>
  <c r="H31"/>
  <c r="I31"/>
  <c r="AB31"/>
  <c r="AF31"/>
  <c r="AK31"/>
  <c r="AL31"/>
  <c r="AM31"/>
  <c r="AN31"/>
  <c r="AO31"/>
  <c r="AP31"/>
  <c r="Z31"/>
  <c r="AH31"/>
  <c r="AI31"/>
  <c r="E27" i="110"/>
  <c r="F27"/>
  <c r="H27"/>
  <c r="I27"/>
  <c r="AB22"/>
  <c r="AB27"/>
  <c r="AF22"/>
  <c r="AF27"/>
  <c r="AK22"/>
  <c r="AK27"/>
  <c r="AL22"/>
  <c r="AL27"/>
  <c r="AM22"/>
  <c r="AM27"/>
  <c r="AN22"/>
  <c r="AN27"/>
  <c r="AO22"/>
  <c r="AO27"/>
  <c r="AP22"/>
  <c r="AP27"/>
  <c r="Z22"/>
  <c r="Z27"/>
  <c r="AH22"/>
  <c r="AH27"/>
  <c r="AI22"/>
  <c r="AI27"/>
  <c r="E28"/>
  <c r="F28"/>
  <c r="AL28"/>
  <c r="AM28"/>
  <c r="AN28"/>
  <c r="AO28"/>
  <c r="AP28"/>
  <c r="Z28"/>
  <c r="AH28"/>
  <c r="AI28"/>
  <c r="E29"/>
  <c r="F29"/>
  <c r="AL29"/>
  <c r="AM29"/>
  <c r="AN29"/>
  <c r="AO29"/>
  <c r="AP29"/>
  <c r="Z29"/>
  <c r="AH29"/>
  <c r="AI29"/>
  <c r="E30"/>
  <c r="F30"/>
  <c r="AB30"/>
  <c r="AF30"/>
  <c r="AK30"/>
  <c r="AL30"/>
  <c r="AM30"/>
  <c r="AN30"/>
  <c r="AO30"/>
  <c r="AP30"/>
  <c r="Z30"/>
  <c r="AH30"/>
  <c r="AI30"/>
  <c r="E31"/>
  <c r="F31"/>
  <c r="AB31"/>
  <c r="AF31"/>
  <c r="AK31"/>
  <c r="AL31"/>
  <c r="AM31"/>
  <c r="AN31"/>
  <c r="AO31"/>
  <c r="AP31"/>
  <c r="Z31"/>
  <c r="AH31"/>
  <c r="AI31"/>
  <c r="E32"/>
  <c r="F32"/>
  <c r="H32"/>
  <c r="I32"/>
  <c r="AB32"/>
  <c r="AF32"/>
  <c r="AK32"/>
  <c r="AL32"/>
  <c r="AM32"/>
  <c r="AN32"/>
  <c r="AO32"/>
  <c r="AP32"/>
  <c r="Z32"/>
  <c r="AH32"/>
  <c r="AI32"/>
  <c r="E33"/>
  <c r="F33"/>
  <c r="AB33"/>
  <c r="AF33"/>
  <c r="AK33"/>
  <c r="AL33"/>
  <c r="AM33"/>
  <c r="AN33"/>
  <c r="AO33"/>
  <c r="AP33"/>
  <c r="Z33"/>
  <c r="AH33"/>
  <c r="AI33"/>
  <c r="E34"/>
  <c r="F34"/>
  <c r="AB34"/>
  <c r="AF34"/>
  <c r="AK34"/>
  <c r="AL34"/>
  <c r="AM34"/>
  <c r="AN34"/>
  <c r="AO34"/>
  <c r="AP34"/>
  <c r="Z34"/>
  <c r="AH34"/>
  <c r="AI34"/>
  <c r="E35"/>
  <c r="F35"/>
  <c r="H35"/>
  <c r="I35"/>
  <c r="AB35"/>
  <c r="AF35"/>
  <c r="AK35"/>
  <c r="AL35"/>
  <c r="AM35"/>
  <c r="AN35"/>
  <c r="AO35"/>
  <c r="AP35"/>
  <c r="Z35"/>
  <c r="AH35"/>
  <c r="AI35"/>
  <c r="Z26" i="111"/>
  <c r="AP26"/>
  <c r="AO26"/>
  <c r="AN26"/>
  <c r="AM26"/>
  <c r="F26"/>
  <c r="E26"/>
  <c r="AI25"/>
  <c r="AH25"/>
  <c r="Z25"/>
  <c r="AP25"/>
  <c r="AO25"/>
  <c r="AN25"/>
  <c r="AM25"/>
  <c r="AL25"/>
  <c r="AK25"/>
  <c r="AF25"/>
  <c r="H25"/>
  <c r="AB25"/>
  <c r="I25"/>
  <c r="F25"/>
  <c r="E25"/>
  <c r="AI24"/>
  <c r="AH24"/>
  <c r="Z24"/>
  <c r="AP24"/>
  <c r="AO24"/>
  <c r="AN24"/>
  <c r="AM24"/>
  <c r="AL24"/>
  <c r="AK24"/>
  <c r="AF24"/>
  <c r="H24"/>
  <c r="I24"/>
  <c r="F24"/>
  <c r="E24"/>
  <c r="AI26" i="110"/>
  <c r="AH26"/>
  <c r="Z26"/>
  <c r="AP26"/>
  <c r="AO26"/>
  <c r="AN26"/>
  <c r="AM26"/>
  <c r="AL26"/>
  <c r="AK26"/>
  <c r="AF26"/>
  <c r="H26"/>
  <c r="AB26"/>
  <c r="I26"/>
  <c r="F26"/>
  <c r="E26"/>
  <c r="AI25"/>
  <c r="AH25"/>
  <c r="Z25"/>
  <c r="AP25"/>
  <c r="AO25"/>
  <c r="AN25"/>
  <c r="AM25"/>
  <c r="AL25"/>
  <c r="AK25"/>
  <c r="AF25"/>
  <c r="H25"/>
  <c r="I25"/>
  <c r="F25"/>
  <c r="E25"/>
  <c r="AI24"/>
  <c r="AH24"/>
  <c r="Z24"/>
  <c r="AP24"/>
  <c r="AO24"/>
  <c r="AN24"/>
  <c r="AM24"/>
  <c r="AL24"/>
  <c r="AK24"/>
  <c r="AF24"/>
  <c r="H24"/>
  <c r="AB24"/>
  <c r="I24"/>
  <c r="F24"/>
  <c r="E24"/>
  <c r="AI22" i="109"/>
  <c r="AI35"/>
  <c r="AH22"/>
  <c r="AH35"/>
  <c r="Z22"/>
  <c r="Z35"/>
  <c r="AP22"/>
  <c r="AP35"/>
  <c r="AO22"/>
  <c r="AO35"/>
  <c r="AN22"/>
  <c r="AN35"/>
  <c r="AM22"/>
  <c r="AM35"/>
  <c r="AL22"/>
  <c r="AL35"/>
  <c r="AK22"/>
  <c r="AK35"/>
  <c r="AF22"/>
  <c r="AF35"/>
  <c r="H35"/>
  <c r="AB22"/>
  <c r="AB35"/>
  <c r="I35"/>
  <c r="F35"/>
  <c r="E35"/>
  <c r="AI34"/>
  <c r="AH34"/>
  <c r="Z34"/>
  <c r="AP34"/>
  <c r="AO34"/>
  <c r="AN34"/>
  <c r="AM34"/>
  <c r="AL34"/>
  <c r="AK34"/>
  <c r="AF34"/>
  <c r="AB34"/>
  <c r="F34"/>
  <c r="E34"/>
  <c r="AI33"/>
  <c r="AH33"/>
  <c r="Z33"/>
  <c r="AP33"/>
  <c r="AO33"/>
  <c r="AN33"/>
  <c r="AM33"/>
  <c r="AL33"/>
  <c r="AK33"/>
  <c r="AF33"/>
  <c r="AB33"/>
  <c r="F33"/>
  <c r="E33"/>
  <c r="AI32"/>
  <c r="AH32"/>
  <c r="Z32"/>
  <c r="AP32"/>
  <c r="AO32"/>
  <c r="AN32"/>
  <c r="AM32"/>
  <c r="AL32"/>
  <c r="AK32"/>
  <c r="AF32"/>
  <c r="H32"/>
  <c r="AB32"/>
  <c r="I32"/>
  <c r="F32"/>
  <c r="E32"/>
  <c r="AI31"/>
  <c r="AH31"/>
  <c r="Z31"/>
  <c r="AP31"/>
  <c r="AO31"/>
  <c r="AN31"/>
  <c r="AM31"/>
  <c r="AL31"/>
  <c r="AK31"/>
  <c r="AF31"/>
  <c r="H31"/>
  <c r="AB31"/>
  <c r="I31"/>
  <c r="F31"/>
  <c r="E31"/>
  <c r="AI30"/>
  <c r="AH30"/>
  <c r="Z30"/>
  <c r="AP30"/>
  <c r="AO30"/>
  <c r="AN30"/>
  <c r="AM30"/>
  <c r="AL30"/>
  <c r="AK30"/>
  <c r="AF30"/>
  <c r="AB30"/>
  <c r="F30"/>
  <c r="E30"/>
  <c r="AI29"/>
  <c r="AH29"/>
  <c r="Z29"/>
  <c r="AP29"/>
  <c r="AO29"/>
  <c r="AN29"/>
  <c r="AM29"/>
  <c r="AL29"/>
  <c r="AK29"/>
  <c r="AF29"/>
  <c r="AB29"/>
  <c r="F29"/>
  <c r="E29"/>
  <c r="AI28"/>
  <c r="AH28"/>
  <c r="Z28"/>
  <c r="AP28"/>
  <c r="AO28"/>
  <c r="AN28"/>
  <c r="AM28"/>
  <c r="F28"/>
  <c r="E28"/>
  <c r="AI27"/>
  <c r="AH27"/>
  <c r="Z27"/>
  <c r="AP27"/>
  <c r="AO27"/>
  <c r="AN27"/>
  <c r="AM27"/>
  <c r="F27"/>
  <c r="E27"/>
  <c r="AI2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I24"/>
  <c r="F24"/>
  <c r="E24"/>
  <c r="AI22" i="115"/>
  <c r="AI31"/>
  <c r="AH22"/>
  <c r="AH31"/>
  <c r="Z22"/>
  <c r="Z31"/>
  <c r="AP22"/>
  <c r="AP31"/>
  <c r="AO22"/>
  <c r="AO31"/>
  <c r="AN22"/>
  <c r="AN31"/>
  <c r="AM22"/>
  <c r="AM31"/>
  <c r="AL22"/>
  <c r="AL31"/>
  <c r="AK22"/>
  <c r="AK31"/>
  <c r="AF22"/>
  <c r="AF31"/>
  <c r="AB22"/>
  <c r="AB31"/>
  <c r="I31"/>
  <c r="F31"/>
  <c r="E31"/>
  <c r="AI30"/>
  <c r="AH30"/>
  <c r="Z30"/>
  <c r="AP30"/>
  <c r="AO30"/>
  <c r="AN30"/>
  <c r="AM30"/>
  <c r="AL30"/>
  <c r="AK30"/>
  <c r="AF30"/>
  <c r="H30"/>
  <c r="AB30"/>
  <c r="I30"/>
  <c r="F30"/>
  <c r="E30"/>
  <c r="AI29"/>
  <c r="AH29"/>
  <c r="Z29"/>
  <c r="AP29"/>
  <c r="AO29"/>
  <c r="AN29"/>
  <c r="AM29"/>
  <c r="AL29"/>
  <c r="AK29"/>
  <c r="AF29"/>
  <c r="H29"/>
  <c r="AB29"/>
  <c r="I29"/>
  <c r="F29"/>
  <c r="E29"/>
  <c r="AI28"/>
  <c r="Z28"/>
  <c r="AP28"/>
  <c r="AO28"/>
  <c r="AN28"/>
  <c r="AM28"/>
  <c r="AL28"/>
  <c r="AK28"/>
  <c r="AF28"/>
  <c r="H28"/>
  <c r="AB28"/>
  <c r="I28"/>
  <c r="F28"/>
  <c r="E28"/>
  <c r="AI27"/>
  <c r="AH27"/>
  <c r="Z27"/>
  <c r="AP27"/>
  <c r="AO27"/>
  <c r="AN27"/>
  <c r="AM27"/>
  <c r="AL27"/>
  <c r="AK27"/>
  <c r="AF27"/>
  <c r="H27"/>
  <c r="AB27"/>
  <c r="I27"/>
  <c r="F27"/>
  <c r="E27"/>
  <c r="AI2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E28" i="114"/>
  <c r="F28"/>
  <c r="H28"/>
  <c r="I28"/>
  <c r="AB22"/>
  <c r="AB28"/>
  <c r="AF22"/>
  <c r="AF28"/>
  <c r="AK22"/>
  <c r="AK28"/>
  <c r="AL22"/>
  <c r="AL28"/>
  <c r="AM22"/>
  <c r="AM28"/>
  <c r="AN22"/>
  <c r="AN28"/>
  <c r="AO22"/>
  <c r="AO28"/>
  <c r="AP22"/>
  <c r="AP28"/>
  <c r="Z22"/>
  <c r="Z28"/>
  <c r="AI22"/>
  <c r="AI28"/>
  <c r="E29"/>
  <c r="F29"/>
  <c r="H29"/>
  <c r="I29"/>
  <c r="AB29"/>
  <c r="AF29"/>
  <c r="AK29"/>
  <c r="AL29"/>
  <c r="AM29"/>
  <c r="AN29"/>
  <c r="AO29"/>
  <c r="AP29"/>
  <c r="Z29"/>
  <c r="AH22"/>
  <c r="AH29"/>
  <c r="AI29"/>
  <c r="E30"/>
  <c r="F30"/>
  <c r="H30"/>
  <c r="I30"/>
  <c r="AB30"/>
  <c r="AF30"/>
  <c r="AK30"/>
  <c r="AL30"/>
  <c r="AM30"/>
  <c r="AN30"/>
  <c r="AO30"/>
  <c r="AP30"/>
  <c r="Z30"/>
  <c r="AH30"/>
  <c r="AI30"/>
  <c r="E31"/>
  <c r="F31"/>
  <c r="H31"/>
  <c r="I31"/>
  <c r="AB31"/>
  <c r="AF31"/>
  <c r="AK31"/>
  <c r="AL31"/>
  <c r="AM31"/>
  <c r="AN31"/>
  <c r="AO31"/>
  <c r="AP31"/>
  <c r="Z31"/>
  <c r="AH31"/>
  <c r="AI31"/>
  <c r="E32"/>
  <c r="F32"/>
  <c r="H32"/>
  <c r="I32"/>
  <c r="AB32"/>
  <c r="AF32"/>
  <c r="AK32"/>
  <c r="AL32"/>
  <c r="AM32"/>
  <c r="AN32"/>
  <c r="AO32"/>
  <c r="AP32"/>
  <c r="Z32"/>
  <c r="AH32"/>
  <c r="AI32"/>
  <c r="E33"/>
  <c r="F33"/>
  <c r="H33"/>
  <c r="I33"/>
  <c r="AB33"/>
  <c r="AF33"/>
  <c r="AK33"/>
  <c r="AL33"/>
  <c r="AM33"/>
  <c r="AN33"/>
  <c r="AO33"/>
  <c r="AP33"/>
  <c r="Z33"/>
  <c r="AH33"/>
  <c r="AI33"/>
  <c r="E34"/>
  <c r="F34"/>
  <c r="H34"/>
  <c r="I34"/>
  <c r="AB34"/>
  <c r="AF34"/>
  <c r="AK34"/>
  <c r="AL34"/>
  <c r="AM34"/>
  <c r="AN34"/>
  <c r="AO34"/>
  <c r="AP34"/>
  <c r="Z34"/>
  <c r="AH34"/>
  <c r="AI34"/>
  <c r="AI27"/>
  <c r="AH27"/>
  <c r="Z27"/>
  <c r="AP27"/>
  <c r="AO27"/>
  <c r="AN27"/>
  <c r="AM27"/>
  <c r="AL27"/>
  <c r="AK27"/>
  <c r="AF27"/>
  <c r="H27"/>
  <c r="AB27"/>
  <c r="I27"/>
  <c r="F27"/>
  <c r="E27"/>
  <c r="AI2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E37" i="103"/>
  <c r="F37"/>
  <c r="H37"/>
  <c r="I37"/>
  <c r="AB22"/>
  <c r="AB37"/>
  <c r="AF22"/>
  <c r="AF37"/>
  <c r="AK22"/>
  <c r="AK37"/>
  <c r="AL22"/>
  <c r="AL37"/>
  <c r="AM22"/>
  <c r="AM37"/>
  <c r="AN22"/>
  <c r="AN37"/>
  <c r="AO22"/>
  <c r="AO37"/>
  <c r="AP22"/>
  <c r="AP37"/>
  <c r="Z22"/>
  <c r="Z37"/>
  <c r="AH22"/>
  <c r="AH37"/>
  <c r="AI22"/>
  <c r="AI37"/>
  <c r="E34"/>
  <c r="F34"/>
  <c r="H34"/>
  <c r="I34"/>
  <c r="AB34"/>
  <c r="AF34"/>
  <c r="AK34"/>
  <c r="AL34"/>
  <c r="AM34"/>
  <c r="AN34"/>
  <c r="AO34"/>
  <c r="AP34"/>
  <c r="Z34"/>
  <c r="AH34"/>
  <c r="AI34"/>
  <c r="E35"/>
  <c r="F35"/>
  <c r="H35"/>
  <c r="I35"/>
  <c r="AB35"/>
  <c r="AF35"/>
  <c r="AK35"/>
  <c r="AL35"/>
  <c r="AM35"/>
  <c r="AN35"/>
  <c r="AO35"/>
  <c r="AP35"/>
  <c r="Z35"/>
  <c r="AH35"/>
  <c r="AI35"/>
  <c r="E36"/>
  <c r="F36"/>
  <c r="I36"/>
  <c r="AB36"/>
  <c r="AF36"/>
  <c r="AK36"/>
  <c r="AL36"/>
  <c r="AM36"/>
  <c r="AN36"/>
  <c r="AO36"/>
  <c r="AP36"/>
  <c r="Z36"/>
  <c r="AH36"/>
  <c r="AI36"/>
  <c r="AI33"/>
  <c r="AH33"/>
  <c r="Z33"/>
  <c r="AP33"/>
  <c r="AO33"/>
  <c r="AN33"/>
  <c r="AM33"/>
  <c r="AL33"/>
  <c r="AK33"/>
  <c r="AF33"/>
  <c r="H33"/>
  <c r="AB33"/>
  <c r="I33"/>
  <c r="F33"/>
  <c r="E33"/>
  <c r="AI32"/>
  <c r="AH32"/>
  <c r="Z32"/>
  <c r="AP32"/>
  <c r="AO32"/>
  <c r="AN32"/>
  <c r="AM32"/>
  <c r="AL32"/>
  <c r="AK32"/>
  <c r="AF32"/>
  <c r="H32"/>
  <c r="AB32"/>
  <c r="I32"/>
  <c r="F32"/>
  <c r="E32"/>
  <c r="AI31"/>
  <c r="AH31"/>
  <c r="Z31"/>
  <c r="AP31"/>
  <c r="AO31"/>
  <c r="AN31"/>
  <c r="AM31"/>
  <c r="AL31"/>
  <c r="AK31"/>
  <c r="AF31"/>
  <c r="H31"/>
  <c r="AB31"/>
  <c r="I31"/>
  <c r="F31"/>
  <c r="E31"/>
  <c r="AI30"/>
  <c r="Z30"/>
  <c r="AP30"/>
  <c r="AO30"/>
  <c r="AN30"/>
  <c r="AM30"/>
  <c r="AL30"/>
  <c r="AK30"/>
  <c r="AF30"/>
  <c r="H30"/>
  <c r="AB30"/>
  <c r="I30"/>
  <c r="F30"/>
  <c r="E30"/>
  <c r="AI29"/>
  <c r="AH29"/>
  <c r="Z29"/>
  <c r="AP29"/>
  <c r="AO29"/>
  <c r="AN29"/>
  <c r="AM29"/>
  <c r="AL29"/>
  <c r="AK29"/>
  <c r="AF29"/>
  <c r="H29"/>
  <c r="AB29"/>
  <c r="I29"/>
  <c r="F29"/>
  <c r="E29"/>
  <c r="AI28"/>
  <c r="AH28"/>
  <c r="Z28"/>
  <c r="AP28"/>
  <c r="AO28"/>
  <c r="AN28"/>
  <c r="AM28"/>
  <c r="AL28"/>
  <c r="AK28"/>
  <c r="AF28"/>
  <c r="H28"/>
  <c r="AB28"/>
  <c r="I28"/>
  <c r="F28"/>
  <c r="E28"/>
  <c r="AI27"/>
  <c r="AH27"/>
  <c r="Z27"/>
  <c r="AP27"/>
  <c r="AO27"/>
  <c r="AN27"/>
  <c r="AM27"/>
  <c r="AL27"/>
  <c r="AK27"/>
  <c r="AF27"/>
  <c r="H27"/>
  <c r="AB27"/>
  <c r="I27"/>
  <c r="F27"/>
  <c r="E27"/>
  <c r="AI2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E31" i="116"/>
  <c r="F31"/>
  <c r="H31"/>
  <c r="I31"/>
  <c r="N31"/>
  <c r="U31"/>
  <c r="Q31"/>
  <c r="V31"/>
  <c r="AB22"/>
  <c r="AB31"/>
  <c r="AF22"/>
  <c r="AF31"/>
  <c r="AK22"/>
  <c r="AK31"/>
  <c r="AL22"/>
  <c r="AL31"/>
  <c r="AM22"/>
  <c r="AM31"/>
  <c r="AN22"/>
  <c r="AN31"/>
  <c r="AO22"/>
  <c r="AO31"/>
  <c r="AP22"/>
  <c r="AP31"/>
  <c r="Z22"/>
  <c r="Z31"/>
  <c r="AH22"/>
  <c r="AH31"/>
  <c r="AI22"/>
  <c r="AI31"/>
  <c r="E32"/>
  <c r="F32"/>
  <c r="H32"/>
  <c r="I32"/>
  <c r="N32"/>
  <c r="U32"/>
  <c r="Q32"/>
  <c r="V32"/>
  <c r="AB32"/>
  <c r="AF32"/>
  <c r="AK32"/>
  <c r="AL32"/>
  <c r="AM32"/>
  <c r="AN32"/>
  <c r="AO32"/>
  <c r="AP32"/>
  <c r="Z32"/>
  <c r="AH32"/>
  <c r="AI32"/>
  <c r="E33"/>
  <c r="F33"/>
  <c r="H33"/>
  <c r="I33"/>
  <c r="N33"/>
  <c r="U33"/>
  <c r="Q33"/>
  <c r="V33"/>
  <c r="AB33"/>
  <c r="AF33"/>
  <c r="AK33"/>
  <c r="AL33"/>
  <c r="AM33"/>
  <c r="AN33"/>
  <c r="AO33"/>
  <c r="AP33"/>
  <c r="Z33"/>
  <c r="AH33"/>
  <c r="AI33"/>
  <c r="AI30"/>
  <c r="AH30"/>
  <c r="Z30"/>
  <c r="AP30"/>
  <c r="AO30"/>
  <c r="AN30"/>
  <c r="AM30"/>
  <c r="AL30"/>
  <c r="AK30"/>
  <c r="AF30"/>
  <c r="H30"/>
  <c r="AB30"/>
  <c r="I30"/>
  <c r="Q30"/>
  <c r="V30"/>
  <c r="N30"/>
  <c r="U30"/>
  <c r="F30"/>
  <c r="E30"/>
  <c r="AI29"/>
  <c r="AH29"/>
  <c r="Z29"/>
  <c r="AP29"/>
  <c r="AO29"/>
  <c r="AN29"/>
  <c r="AM29"/>
  <c r="AL29"/>
  <c r="AK29"/>
  <c r="AF29"/>
  <c r="H29"/>
  <c r="AB29"/>
  <c r="I29"/>
  <c r="Q29"/>
  <c r="V29"/>
  <c r="N29"/>
  <c r="U29"/>
  <c r="F29"/>
  <c r="E29"/>
  <c r="AI28"/>
  <c r="AH28"/>
  <c r="Z28"/>
  <c r="AP28"/>
  <c r="AO28"/>
  <c r="AN28"/>
  <c r="AM28"/>
  <c r="AL28"/>
  <c r="AK28"/>
  <c r="AF28"/>
  <c r="H28"/>
  <c r="AB28"/>
  <c r="I28"/>
  <c r="Q28"/>
  <c r="V28"/>
  <c r="N28"/>
  <c r="U28"/>
  <c r="F28"/>
  <c r="E28"/>
  <c r="AI27"/>
  <c r="AH27"/>
  <c r="Z27"/>
  <c r="AP27"/>
  <c r="AO27"/>
  <c r="AN27"/>
  <c r="AM27"/>
  <c r="AK27"/>
  <c r="AF27"/>
  <c r="H27"/>
  <c r="AB27"/>
  <c r="I27"/>
  <c r="Q27"/>
  <c r="V27"/>
  <c r="N27"/>
  <c r="U27"/>
  <c r="F27"/>
  <c r="E27"/>
  <c r="AI26"/>
  <c r="AH26"/>
  <c r="Z26"/>
  <c r="AP26"/>
  <c r="AO26"/>
  <c r="AN26"/>
  <c r="AM26"/>
  <c r="AL26"/>
  <c r="AF26"/>
  <c r="H26"/>
  <c r="AB26"/>
  <c r="I26"/>
  <c r="Q26"/>
  <c r="V26"/>
  <c r="N26"/>
  <c r="U26"/>
  <c r="F26"/>
  <c r="E26"/>
  <c r="AI25"/>
  <c r="AH25"/>
  <c r="Z25"/>
  <c r="AP25"/>
  <c r="AO25"/>
  <c r="AN25"/>
  <c r="AM25"/>
  <c r="AL25"/>
  <c r="AK25"/>
  <c r="AF25"/>
  <c r="H25"/>
  <c r="AB25"/>
  <c r="I25"/>
  <c r="Q25"/>
  <c r="V25"/>
  <c r="N25"/>
  <c r="U25"/>
  <c r="F25"/>
  <c r="E25"/>
  <c r="AI24"/>
  <c r="AH24"/>
  <c r="Z24"/>
  <c r="AP24"/>
  <c r="AO24"/>
  <c r="AN24"/>
  <c r="AM24"/>
  <c r="AL24"/>
  <c r="AK24"/>
  <c r="AF24"/>
  <c r="H24"/>
  <c r="AB24"/>
  <c r="I24"/>
  <c r="Q24"/>
  <c r="V24"/>
  <c r="N24"/>
  <c r="U24"/>
  <c r="F24"/>
  <c r="E24"/>
  <c r="E32" i="81"/>
  <c r="F32"/>
  <c r="H32"/>
  <c r="I32"/>
  <c r="F8"/>
  <c r="U32"/>
  <c r="W32"/>
  <c r="AB22"/>
  <c r="AB32"/>
  <c r="AF22"/>
  <c r="AF32"/>
  <c r="AK22"/>
  <c r="AK32"/>
  <c r="AL22"/>
  <c r="AL32"/>
  <c r="AM22"/>
  <c r="AM32"/>
  <c r="AN22"/>
  <c r="AN32"/>
  <c r="AO22"/>
  <c r="AO32"/>
  <c r="AP22"/>
  <c r="AP32"/>
  <c r="Z22"/>
  <c r="Z32"/>
  <c r="AH22"/>
  <c r="AH32"/>
  <c r="AI22"/>
  <c r="AI32"/>
  <c r="AH22" i="122"/>
  <c r="AH29"/>
  <c r="AH27"/>
  <c r="E32" i="177"/>
  <c r="F32"/>
  <c r="H32"/>
  <c r="I32"/>
  <c r="AB22"/>
  <c r="AB32"/>
  <c r="AF22"/>
  <c r="AF32"/>
  <c r="AK22"/>
  <c r="AK32"/>
  <c r="AL22"/>
  <c r="AL32"/>
  <c r="AM22"/>
  <c r="AM32"/>
  <c r="AN22"/>
  <c r="AN32"/>
  <c r="AO22"/>
  <c r="AO32"/>
  <c r="AP22"/>
  <c r="AP32"/>
  <c r="Z22"/>
  <c r="Z32"/>
  <c r="AH22"/>
  <c r="AH32"/>
  <c r="AI22"/>
  <c r="AI32"/>
  <c r="E33"/>
  <c r="F33"/>
  <c r="H33"/>
  <c r="I33"/>
  <c r="AB33"/>
  <c r="AF33"/>
  <c r="AK33"/>
  <c r="AL33"/>
  <c r="AM33"/>
  <c r="AN33"/>
  <c r="AO33"/>
  <c r="AP33"/>
  <c r="Z33"/>
  <c r="AH33"/>
  <c r="AI33"/>
  <c r="AJ31" i="74"/>
  <c r="AI22"/>
  <c r="AI31"/>
  <c r="AH22"/>
  <c r="AH31"/>
  <c r="AG22"/>
  <c r="AG31"/>
  <c r="AE22"/>
  <c r="AE31"/>
  <c r="AD22"/>
  <c r="AD31"/>
  <c r="AJ30"/>
  <c r="AI30"/>
  <c r="AH30"/>
  <c r="AG30"/>
  <c r="AE30"/>
  <c r="AD30"/>
  <c r="AJ33" i="70"/>
  <c r="AI22"/>
  <c r="AI33"/>
  <c r="AH22"/>
  <c r="AH33"/>
  <c r="AG22"/>
  <c r="AG33"/>
  <c r="AE22"/>
  <c r="AE33"/>
  <c r="AD22"/>
  <c r="AD33"/>
  <c r="AJ32"/>
  <c r="AI32"/>
  <c r="AH32"/>
  <c r="AG32"/>
  <c r="AE32"/>
  <c r="AD32"/>
  <c r="AJ51" i="63"/>
  <c r="AI22"/>
  <c r="AI51"/>
  <c r="AH22"/>
  <c r="AH51"/>
  <c r="AG22"/>
  <c r="AG51"/>
  <c r="AE22"/>
  <c r="AE51"/>
  <c r="AD22"/>
  <c r="AD51"/>
  <c r="AJ50"/>
  <c r="AI50"/>
  <c r="AH50"/>
  <c r="AG50"/>
  <c r="AE50"/>
  <c r="AD50"/>
  <c r="AJ27" i="181"/>
  <c r="AI22"/>
  <c r="AI27"/>
  <c r="AH22"/>
  <c r="AH27"/>
  <c r="AG22"/>
  <c r="AG27"/>
  <c r="AE22"/>
  <c r="AE27"/>
  <c r="AD22"/>
  <c r="AD27"/>
  <c r="AJ26"/>
  <c r="AI26"/>
  <c r="AH26"/>
  <c r="AG26"/>
  <c r="AE26"/>
  <c r="AD26"/>
  <c r="AG22" i="177"/>
  <c r="AG27"/>
  <c r="AF27"/>
  <c r="AE22"/>
  <c r="AE27"/>
  <c r="AD22"/>
  <c r="AD27"/>
  <c r="AC22"/>
  <c r="AC27"/>
  <c r="AB27"/>
  <c r="AE26"/>
  <c r="AD26"/>
  <c r="AC26"/>
  <c r="AB26"/>
  <c r="AG22" i="88"/>
  <c r="AG27"/>
  <c r="AF22"/>
  <c r="AF27"/>
  <c r="AE22"/>
  <c r="AE27"/>
  <c r="AD22"/>
  <c r="AD27"/>
  <c r="AC22"/>
  <c r="AC27"/>
  <c r="AB22"/>
  <c r="AB27"/>
  <c r="AE26"/>
  <c r="AD26"/>
  <c r="AC26"/>
  <c r="AB26"/>
  <c r="AE22" i="173"/>
  <c r="AE27"/>
  <c r="AD22"/>
  <c r="AD27"/>
  <c r="AC22"/>
  <c r="AC27"/>
  <c r="AB22"/>
  <c r="AB27"/>
  <c r="AF22"/>
  <c r="AF26"/>
  <c r="AE26"/>
  <c r="AD26"/>
  <c r="AC26"/>
  <c r="AB26"/>
  <c r="AJ26" i="172"/>
  <c r="AI22"/>
  <c r="AI26"/>
  <c r="AH22"/>
  <c r="AH26"/>
  <c r="AG22"/>
  <c r="AG26"/>
  <c r="AE22"/>
  <c r="AE26"/>
  <c r="AD22"/>
  <c r="AD26"/>
  <c r="AJ25"/>
  <c r="AI25"/>
  <c r="AH25"/>
  <c r="AG25"/>
  <c r="AE25"/>
  <c r="AD25"/>
  <c r="E31" i="171"/>
  <c r="F31"/>
  <c r="H31"/>
  <c r="I31"/>
  <c r="F8"/>
  <c r="U31"/>
  <c r="W31"/>
  <c r="AB22"/>
  <c r="AB31"/>
  <c r="AF22"/>
  <c r="AF31"/>
  <c r="AK22"/>
  <c r="AK31"/>
  <c r="AL22"/>
  <c r="AL31"/>
  <c r="AM22"/>
  <c r="AM31"/>
  <c r="AN22"/>
  <c r="AN31"/>
  <c r="AO22"/>
  <c r="AO31"/>
  <c r="AP22"/>
  <c r="AP31"/>
  <c r="Z22"/>
  <c r="Z31"/>
  <c r="AH22"/>
  <c r="AH31"/>
  <c r="AI22"/>
  <c r="AI31"/>
  <c r="E32"/>
  <c r="F32"/>
  <c r="H32"/>
  <c r="I32"/>
  <c r="U32"/>
  <c r="W32"/>
  <c r="AB32"/>
  <c r="AF32"/>
  <c r="AK32"/>
  <c r="AL32"/>
  <c r="AM32"/>
  <c r="AN32"/>
  <c r="AO32"/>
  <c r="AP32"/>
  <c r="Z32"/>
  <c r="AH32"/>
  <c r="AI32"/>
  <c r="AE22"/>
  <c r="AE28"/>
  <c r="AD22"/>
  <c r="AD28"/>
  <c r="AC22"/>
  <c r="AC28"/>
  <c r="AB28"/>
  <c r="AF27"/>
  <c r="AE27"/>
  <c r="AD27"/>
  <c r="AC27"/>
  <c r="AB27"/>
  <c r="AE22" i="97"/>
  <c r="AE28"/>
  <c r="AD22"/>
  <c r="AD28"/>
  <c r="AC22"/>
  <c r="AC28"/>
  <c r="AB22"/>
  <c r="AB28"/>
  <c r="AF22"/>
  <c r="AF27"/>
  <c r="AE27"/>
  <c r="AD27"/>
  <c r="AC27"/>
  <c r="AB27"/>
  <c r="AE25" i="171"/>
  <c r="AD25"/>
  <c r="AE24"/>
  <c r="AD24"/>
  <c r="AE26" i="97"/>
  <c r="AD26"/>
  <c r="AE25"/>
  <c r="AD25"/>
  <c r="AE22" i="96"/>
  <c r="AE26"/>
  <c r="AD22"/>
  <c r="AD26"/>
  <c r="AE25"/>
  <c r="AD25"/>
  <c r="AE22" i="170"/>
  <c r="AE25"/>
  <c r="AD22"/>
  <c r="AD25"/>
  <c r="AE24"/>
  <c r="AD24"/>
  <c r="AE22" i="95"/>
  <c r="AE27"/>
  <c r="AD22"/>
  <c r="AD27"/>
  <c r="AE26"/>
  <c r="AD26"/>
  <c r="E31" i="170"/>
  <c r="F31"/>
  <c r="H31"/>
  <c r="I31"/>
  <c r="F8"/>
  <c r="U31"/>
  <c r="W31"/>
  <c r="AB22"/>
  <c r="AB31"/>
  <c r="AF22"/>
  <c r="AF31"/>
  <c r="AK22"/>
  <c r="AK31"/>
  <c r="AL22"/>
  <c r="AL31"/>
  <c r="AM22"/>
  <c r="AM31"/>
  <c r="AN22"/>
  <c r="AN31"/>
  <c r="AO22"/>
  <c r="AO31"/>
  <c r="AP22"/>
  <c r="AP31"/>
  <c r="Z22"/>
  <c r="Z31"/>
  <c r="AH22"/>
  <c r="AH31"/>
  <c r="AI22"/>
  <c r="AI31"/>
  <c r="E32"/>
  <c r="F32"/>
  <c r="H32"/>
  <c r="I32"/>
  <c r="U32"/>
  <c r="W32"/>
  <c r="AB32"/>
  <c r="AF32"/>
  <c r="AK32"/>
  <c r="AL32"/>
  <c r="AM32"/>
  <c r="AN32"/>
  <c r="AO32"/>
  <c r="AP32"/>
  <c r="Z32"/>
  <c r="AH32"/>
  <c r="AI32"/>
  <c r="E33"/>
  <c r="F33"/>
  <c r="H33"/>
  <c r="I33"/>
  <c r="U33"/>
  <c r="W33"/>
  <c r="AB33"/>
  <c r="AF33"/>
  <c r="AK33"/>
  <c r="AL33"/>
  <c r="AM33"/>
  <c r="AN33"/>
  <c r="AO33"/>
  <c r="AP33"/>
  <c r="Z33"/>
  <c r="AH33"/>
  <c r="AI33"/>
  <c r="AQ22"/>
  <c r="AQ28"/>
  <c r="AP28"/>
  <c r="AO28"/>
  <c r="AN28"/>
  <c r="AM28"/>
  <c r="AJ28"/>
  <c r="AI28"/>
  <c r="AH28"/>
  <c r="AG22"/>
  <c r="AG28"/>
  <c r="AE28"/>
  <c r="AD28"/>
  <c r="AQ27"/>
  <c r="AP27"/>
  <c r="AO27"/>
  <c r="AN27"/>
  <c r="AM27"/>
  <c r="AJ27"/>
  <c r="AI27"/>
  <c r="AH27"/>
  <c r="AG27"/>
  <c r="AE27"/>
  <c r="AD27"/>
  <c r="AQ22" i="95"/>
  <c r="AQ29"/>
  <c r="AP22"/>
  <c r="AP29"/>
  <c r="AO22"/>
  <c r="AO29"/>
  <c r="AN22"/>
  <c r="AN29"/>
  <c r="AM22"/>
  <c r="AM29"/>
  <c r="AJ29"/>
  <c r="AI22"/>
  <c r="AI29"/>
  <c r="AH22"/>
  <c r="AH29"/>
  <c r="AG22"/>
  <c r="AG29"/>
  <c r="AE29"/>
  <c r="AD29"/>
  <c r="AQ28"/>
  <c r="AP28"/>
  <c r="AO28"/>
  <c r="AN28"/>
  <c r="AM28"/>
  <c r="AJ28"/>
  <c r="AI28"/>
  <c r="AH28"/>
  <c r="AG28"/>
  <c r="AE28"/>
  <c r="AD28"/>
  <c r="AQ22" i="94"/>
  <c r="AQ29"/>
  <c r="AP22"/>
  <c r="AP29"/>
  <c r="AO22"/>
  <c r="AO29"/>
  <c r="AN22"/>
  <c r="AN29"/>
  <c r="AM22"/>
  <c r="AM29"/>
  <c r="AJ29"/>
  <c r="AI22"/>
  <c r="AI29"/>
  <c r="AH22"/>
  <c r="AH29"/>
  <c r="AG22"/>
  <c r="AG29"/>
  <c r="AE22"/>
  <c r="AE29"/>
  <c r="AD22"/>
  <c r="AD29"/>
  <c r="AQ28"/>
  <c r="AP28"/>
  <c r="AO28"/>
  <c r="AN28"/>
  <c r="AM28"/>
  <c r="AJ28"/>
  <c r="AI28"/>
  <c r="AH28"/>
  <c r="AG28"/>
  <c r="AE28"/>
  <c r="AD28"/>
  <c r="E32" i="169"/>
  <c r="F32"/>
  <c r="H32"/>
  <c r="I32"/>
  <c r="F8"/>
  <c r="U32"/>
  <c r="W32"/>
  <c r="AB22"/>
  <c r="AB32"/>
  <c r="AF22"/>
  <c r="AF32"/>
  <c r="AK22"/>
  <c r="AK32"/>
  <c r="AL22"/>
  <c r="AL32"/>
  <c r="AM22"/>
  <c r="AM32"/>
  <c r="AN22"/>
  <c r="AN32"/>
  <c r="AO22"/>
  <c r="AO32"/>
  <c r="AP22"/>
  <c r="AP32"/>
  <c r="Z22"/>
  <c r="Z32"/>
  <c r="AH22"/>
  <c r="AH32"/>
  <c r="AI22"/>
  <c r="AI32"/>
  <c r="E33"/>
  <c r="F33"/>
  <c r="H33"/>
  <c r="I33"/>
  <c r="U33"/>
  <c r="W33"/>
  <c r="AB33"/>
  <c r="AF33"/>
  <c r="AK33"/>
  <c r="AL33"/>
  <c r="AM33"/>
  <c r="AN33"/>
  <c r="AO33"/>
  <c r="AP33"/>
  <c r="Z33"/>
  <c r="AH33"/>
  <c r="AI33"/>
  <c r="E34"/>
  <c r="F34"/>
  <c r="H34"/>
  <c r="I34"/>
  <c r="U34"/>
  <c r="W34"/>
  <c r="AF34"/>
  <c r="AK34"/>
  <c r="AL34"/>
  <c r="AM34"/>
  <c r="AN34"/>
  <c r="AO34"/>
  <c r="AP34"/>
  <c r="Z34"/>
  <c r="AH34"/>
  <c r="AI34"/>
  <c r="AD22" i="93"/>
  <c r="AD29"/>
  <c r="AQ22"/>
  <c r="AQ30"/>
  <c r="AP22"/>
  <c r="AP30"/>
  <c r="AO22"/>
  <c r="AO30"/>
  <c r="AN22"/>
  <c r="AN30"/>
  <c r="AM22"/>
  <c r="AM30"/>
  <c r="AJ30"/>
  <c r="AI22"/>
  <c r="AI30"/>
  <c r="AH22"/>
  <c r="AH30"/>
  <c r="AG22"/>
  <c r="AG30"/>
  <c r="AE22"/>
  <c r="AE30"/>
  <c r="AD30"/>
  <c r="AQ29"/>
  <c r="AP29"/>
  <c r="AO29"/>
  <c r="AN29"/>
  <c r="AM29"/>
  <c r="AJ29"/>
  <c r="AI29"/>
  <c r="AH29"/>
  <c r="AG29"/>
  <c r="AE29"/>
  <c r="AQ28"/>
  <c r="AP28"/>
  <c r="AO28"/>
  <c r="AN28"/>
  <c r="AM28"/>
  <c r="AL22"/>
  <c r="AL28"/>
  <c r="AJ28"/>
  <c r="AI28"/>
  <c r="AH28"/>
  <c r="AG28"/>
  <c r="AE28"/>
  <c r="AD28"/>
  <c r="AC22"/>
  <c r="AC28"/>
  <c r="AQ27"/>
  <c r="AP27"/>
  <c r="AO27"/>
  <c r="AN27"/>
  <c r="AM27"/>
  <c r="AL27"/>
  <c r="AJ27"/>
  <c r="AI27"/>
  <c r="AH27"/>
  <c r="AG27"/>
  <c r="AE27"/>
  <c r="AD27"/>
  <c r="AC27"/>
  <c r="AQ26"/>
  <c r="AP26"/>
  <c r="AO26"/>
  <c r="AN26"/>
  <c r="AM26"/>
  <c r="AL26"/>
  <c r="AK22"/>
  <c r="AK26"/>
  <c r="AJ26"/>
  <c r="AI26"/>
  <c r="AH26"/>
  <c r="AG26"/>
  <c r="AF22"/>
  <c r="AF26"/>
  <c r="AE26"/>
  <c r="AD26"/>
  <c r="AC26"/>
  <c r="AB22"/>
  <c r="AB26"/>
  <c r="AA26"/>
  <c r="AQ25"/>
  <c r="AP25"/>
  <c r="AO25"/>
  <c r="AN25"/>
  <c r="AM25"/>
  <c r="AL25"/>
  <c r="AK25"/>
  <c r="AJ25"/>
  <c r="AI25"/>
  <c r="AH25"/>
  <c r="AG25"/>
  <c r="AF25"/>
  <c r="AE25"/>
  <c r="AD25"/>
  <c r="AC25"/>
  <c r="AB25"/>
  <c r="AA25"/>
  <c r="AQ24"/>
  <c r="AP24"/>
  <c r="AO24"/>
  <c r="AN24"/>
  <c r="AM24"/>
  <c r="AL24"/>
  <c r="AK24"/>
  <c r="AJ24"/>
  <c r="AI24"/>
  <c r="AH24"/>
  <c r="AG24"/>
  <c r="AF24"/>
  <c r="AE24"/>
  <c r="AD24"/>
  <c r="AC24"/>
  <c r="AB24"/>
  <c r="AA24"/>
  <c r="AQ22" i="87"/>
  <c r="AQ44"/>
  <c r="AP22"/>
  <c r="AP44"/>
  <c r="AO22"/>
  <c r="AO44"/>
  <c r="AN22"/>
  <c r="AN44"/>
  <c r="AM22"/>
  <c r="AM44"/>
  <c r="AL22"/>
  <c r="AL44"/>
  <c r="AJ44"/>
  <c r="AI22"/>
  <c r="AI44"/>
  <c r="AH22"/>
  <c r="AH44"/>
  <c r="AG22"/>
  <c r="AG44"/>
  <c r="AE22"/>
  <c r="AE44"/>
  <c r="AD22"/>
  <c r="AD44"/>
  <c r="AQ43"/>
  <c r="AP43"/>
  <c r="AO43"/>
  <c r="AN43"/>
  <c r="AM43"/>
  <c r="AL43"/>
  <c r="AJ43"/>
  <c r="AI43"/>
  <c r="AH43"/>
  <c r="AG43"/>
  <c r="AE43"/>
  <c r="AD43"/>
  <c r="AQ42"/>
  <c r="AP42"/>
  <c r="AO42"/>
  <c r="AN42"/>
  <c r="AM42"/>
  <c r="AJ42"/>
  <c r="AI42"/>
  <c r="AH42"/>
  <c r="AG42"/>
  <c r="AE42"/>
  <c r="AD42"/>
  <c r="AQ41"/>
  <c r="AP41"/>
  <c r="AO41"/>
  <c r="AN41"/>
  <c r="AM41"/>
  <c r="AJ41"/>
  <c r="AI41"/>
  <c r="AH41"/>
  <c r="AG41"/>
  <c r="AE41"/>
  <c r="AD41"/>
  <c r="AA45"/>
  <c r="AB22"/>
  <c r="AB45"/>
  <c r="AC22"/>
  <c r="AC45"/>
  <c r="AD45"/>
  <c r="AE45"/>
  <c r="AF22"/>
  <c r="AF45"/>
  <c r="AG45"/>
  <c r="AH45"/>
  <c r="AI45"/>
  <c r="AJ45"/>
  <c r="AK22"/>
  <c r="AK45"/>
  <c r="AL45"/>
  <c r="AM45"/>
  <c r="AN45"/>
  <c r="AO45"/>
  <c r="AP45"/>
  <c r="AQ45"/>
  <c r="AA46"/>
  <c r="AB46"/>
  <c r="AC46"/>
  <c r="AD46"/>
  <c r="AE46"/>
  <c r="AF46"/>
  <c r="AG46"/>
  <c r="AH46"/>
  <c r="AI46"/>
  <c r="AJ46"/>
  <c r="AK46"/>
  <c r="AL46"/>
  <c r="AM46"/>
  <c r="AN46"/>
  <c r="AO46"/>
  <c r="AP46"/>
  <c r="AQ46"/>
  <c r="AQ22" i="75"/>
  <c r="AQ44"/>
  <c r="AP22"/>
  <c r="AP44"/>
  <c r="AO22"/>
  <c r="AO44"/>
  <c r="AN22"/>
  <c r="AN44"/>
  <c r="AM22"/>
  <c r="AM44"/>
  <c r="AL22"/>
  <c r="AL44"/>
  <c r="AJ44"/>
  <c r="AI22"/>
  <c r="AI44"/>
  <c r="AH22"/>
  <c r="AH44"/>
  <c r="AG22"/>
  <c r="AG44"/>
  <c r="AE22"/>
  <c r="AE44"/>
  <c r="AD22"/>
  <c r="AD44"/>
  <c r="AQ43"/>
  <c r="AP43"/>
  <c r="AO43"/>
  <c r="AN43"/>
  <c r="AM43"/>
  <c r="AL43"/>
  <c r="AJ43"/>
  <c r="AI43"/>
  <c r="AH43"/>
  <c r="AG43"/>
  <c r="AE43"/>
  <c r="AD43"/>
  <c r="AQ42"/>
  <c r="AP42"/>
  <c r="AO42"/>
  <c r="AN42"/>
  <c r="AM42"/>
  <c r="AJ42"/>
  <c r="AI42"/>
  <c r="AH42"/>
  <c r="AG42"/>
  <c r="AE42"/>
  <c r="AD42"/>
  <c r="AQ41"/>
  <c r="AP41"/>
  <c r="AO41"/>
  <c r="AN41"/>
  <c r="AM41"/>
  <c r="AJ41"/>
  <c r="AI41"/>
  <c r="AH41"/>
  <c r="AG41"/>
  <c r="AE41"/>
  <c r="AD41"/>
  <c r="AI38" i="87"/>
  <c r="AH38"/>
  <c r="AG38"/>
  <c r="AE38"/>
  <c r="AD38"/>
  <c r="AI37"/>
  <c r="AH37"/>
  <c r="AG37"/>
  <c r="AE37"/>
  <c r="AD37"/>
  <c r="AI38" i="75"/>
  <c r="AH38"/>
  <c r="AG38"/>
  <c r="AE38"/>
  <c r="AD38"/>
  <c r="AI37"/>
  <c r="AH37"/>
  <c r="AG37"/>
  <c r="AE37"/>
  <c r="AD37"/>
  <c r="AQ27" i="87"/>
  <c r="AP27"/>
  <c r="AO27"/>
  <c r="AN27"/>
  <c r="AM27"/>
  <c r="AJ27"/>
  <c r="AI27"/>
  <c r="AH27"/>
  <c r="AQ26"/>
  <c r="AP26"/>
  <c r="AO26"/>
  <c r="AN26"/>
  <c r="AM26"/>
  <c r="AK26"/>
  <c r="AJ26"/>
  <c r="AI26"/>
  <c r="AH26"/>
  <c r="AQ27" i="75"/>
  <c r="AP27"/>
  <c r="AO27"/>
  <c r="AN27"/>
  <c r="AM27"/>
  <c r="AJ27"/>
  <c r="AI27"/>
  <c r="AH27"/>
  <c r="AQ26"/>
  <c r="AP26"/>
  <c r="AO26"/>
  <c r="AN26"/>
  <c r="AM26"/>
  <c r="AK22"/>
  <c r="AK26"/>
  <c r="AJ26"/>
  <c r="AI26"/>
  <c r="AH26"/>
  <c r="AQ22" i="249"/>
  <c r="AQ47"/>
  <c r="AP22"/>
  <c r="AP47"/>
  <c r="AO22"/>
  <c r="AO47"/>
  <c r="AN22"/>
  <c r="AN47"/>
  <c r="AM22"/>
  <c r="AM47"/>
  <c r="AJ47"/>
  <c r="AI22"/>
  <c r="AI47"/>
  <c r="AH22"/>
  <c r="AH47"/>
  <c r="AG22"/>
  <c r="AG47"/>
  <c r="AE22"/>
  <c r="AE47"/>
  <c r="AD22"/>
  <c r="AD47"/>
  <c r="AQ46"/>
  <c r="AP46"/>
  <c r="AO46"/>
  <c r="AN46"/>
  <c r="AM46"/>
  <c r="AJ46"/>
  <c r="AI46"/>
  <c r="AH46"/>
  <c r="AG46"/>
  <c r="AE46"/>
  <c r="AD46"/>
  <c r="AI43"/>
  <c r="AH43"/>
  <c r="AG43"/>
  <c r="AE43"/>
  <c r="AD43"/>
  <c r="AI42"/>
  <c r="AH42"/>
  <c r="AG42"/>
  <c r="AE42"/>
  <c r="AD42"/>
  <c r="AQ42"/>
  <c r="AQ43"/>
  <c r="E27" i="176"/>
  <c r="F27"/>
  <c r="H27"/>
  <c r="I27"/>
  <c r="F8"/>
  <c r="U27"/>
  <c r="W27"/>
  <c r="AB22"/>
  <c r="AB27"/>
  <c r="AF22"/>
  <c r="AF27"/>
  <c r="AK22"/>
  <c r="AK27"/>
  <c r="AL22"/>
  <c r="AL27"/>
  <c r="AM22"/>
  <c r="AM27"/>
  <c r="AN22"/>
  <c r="AN27"/>
  <c r="AO22"/>
  <c r="AO27"/>
  <c r="AP22"/>
  <c r="AP27"/>
  <c r="Z22"/>
  <c r="Z27"/>
  <c r="AH22"/>
  <c r="AH27"/>
  <c r="AI22"/>
  <c r="AI27"/>
  <c r="AJ56" i="62"/>
  <c r="AI22"/>
  <c r="AI56"/>
  <c r="AH22"/>
  <c r="AH56"/>
  <c r="AG22"/>
  <c r="AG56"/>
  <c r="AE22"/>
  <c r="AE56"/>
  <c r="AD22"/>
  <c r="AD56"/>
  <c r="AJ55"/>
  <c r="AI55"/>
  <c r="AH55"/>
  <c r="AG55"/>
  <c r="AE55"/>
  <c r="AD55"/>
  <c r="AJ56" i="60"/>
  <c r="AI22"/>
  <c r="AI56"/>
  <c r="AH22"/>
  <c r="AH56"/>
  <c r="AG22"/>
  <c r="AG56"/>
  <c r="AE22"/>
  <c r="AE56"/>
  <c r="AD22"/>
  <c r="AD56"/>
  <c r="AJ55"/>
  <c r="AI55"/>
  <c r="AH55"/>
  <c r="AG55"/>
  <c r="AE55"/>
  <c r="AD55"/>
  <c r="AE51" i="62"/>
  <c r="AD51"/>
  <c r="AE50"/>
  <c r="AD50"/>
  <c r="AE51" i="60"/>
  <c r="AD51"/>
  <c r="AE50"/>
  <c r="AD50"/>
  <c r="AG22" i="167"/>
  <c r="AG60"/>
  <c r="AG61"/>
  <c r="AI22"/>
  <c r="AI60"/>
  <c r="AI61"/>
  <c r="AI62"/>
  <c r="AH22"/>
  <c r="AH60"/>
  <c r="AH61"/>
  <c r="AH62"/>
  <c r="AK50"/>
  <c r="AF22"/>
  <c r="AF32"/>
  <c r="H32"/>
  <c r="AG33"/>
  <c r="AG48" i="62"/>
  <c r="AF22"/>
  <c r="AF48"/>
  <c r="AK22"/>
  <c r="AK31"/>
  <c r="AK32"/>
  <c r="AK34"/>
  <c r="AK35"/>
  <c r="AK36"/>
  <c r="AK37"/>
  <c r="AK38"/>
  <c r="AK39"/>
  <c r="AK40"/>
  <c r="AK41"/>
  <c r="AK42"/>
  <c r="AK43"/>
  <c r="AK44"/>
  <c r="AK45"/>
  <c r="AK46"/>
  <c r="AK47"/>
  <c r="AK48"/>
  <c r="AK49"/>
  <c r="AK52"/>
  <c r="AK53"/>
  <c r="AK54"/>
  <c r="AK57"/>
  <c r="AK58"/>
  <c r="AK59"/>
  <c r="AK64"/>
  <c r="AK25"/>
  <c r="AK26"/>
  <c r="AK27"/>
  <c r="AK28"/>
  <c r="AJ25"/>
  <c r="AJ26"/>
  <c r="AJ27"/>
  <c r="AJ28"/>
  <c r="AJ29"/>
  <c r="AJ30"/>
  <c r="AJ31"/>
  <c r="AJ32"/>
  <c r="AJ33"/>
  <c r="AJ34"/>
  <c r="AJ35"/>
  <c r="AJ36"/>
  <c r="AJ37"/>
  <c r="AJ38"/>
  <c r="AJ39"/>
  <c r="AJ40"/>
  <c r="AJ41"/>
  <c r="AJ42"/>
  <c r="AJ43"/>
  <c r="AJ44"/>
  <c r="AJ45"/>
  <c r="AJ46"/>
  <c r="AJ47"/>
  <c r="AJ48"/>
  <c r="AJ49"/>
  <c r="AJ50"/>
  <c r="AJ51"/>
  <c r="AJ52"/>
  <c r="AJ53"/>
  <c r="AJ54"/>
  <c r="AJ57"/>
  <c r="AJ58"/>
  <c r="AJ59"/>
  <c r="AJ60"/>
  <c r="AJ61"/>
  <c r="AJ62"/>
  <c r="AJ63"/>
  <c r="AJ64"/>
  <c r="AI25"/>
  <c r="AI26"/>
  <c r="AI27"/>
  <c r="AI28"/>
  <c r="AI29"/>
  <c r="AI30"/>
  <c r="AI31"/>
  <c r="AI32"/>
  <c r="AI33"/>
  <c r="AI34"/>
  <c r="AI35"/>
  <c r="AI36"/>
  <c r="AI37"/>
  <c r="AI38"/>
  <c r="AI39"/>
  <c r="AI40"/>
  <c r="AI41"/>
  <c r="AI42"/>
  <c r="AI43"/>
  <c r="AI44"/>
  <c r="AI45"/>
  <c r="AI46"/>
  <c r="AI47"/>
  <c r="AI48"/>
  <c r="AI49"/>
  <c r="AI50"/>
  <c r="AI51"/>
  <c r="AI52"/>
  <c r="AI53"/>
  <c r="AI54"/>
  <c r="AI57"/>
  <c r="AI58"/>
  <c r="AI59"/>
  <c r="AI60"/>
  <c r="AI61"/>
  <c r="AI62"/>
  <c r="AI63"/>
  <c r="AI64"/>
  <c r="AH25"/>
  <c r="AH26"/>
  <c r="AH27"/>
  <c r="AH24"/>
  <c r="AI24"/>
  <c r="AJ24"/>
  <c r="AK24"/>
  <c r="AH23"/>
  <c r="AI23"/>
  <c r="AJ23"/>
  <c r="AK23"/>
  <c r="AJ25" i="60"/>
  <c r="AJ26"/>
  <c r="AJ27"/>
  <c r="AJ28"/>
  <c r="AJ29"/>
  <c r="AJ30"/>
  <c r="AJ31"/>
  <c r="AJ32"/>
  <c r="AJ33"/>
  <c r="AJ34"/>
  <c r="AJ35"/>
  <c r="AJ36"/>
  <c r="AJ37"/>
  <c r="AJ38"/>
  <c r="AJ39"/>
  <c r="AJ40"/>
  <c r="AJ41"/>
  <c r="AJ42"/>
  <c r="AJ43"/>
  <c r="AJ44"/>
  <c r="AJ45"/>
  <c r="AJ46"/>
  <c r="AJ47"/>
  <c r="AJ48"/>
  <c r="AJ49"/>
  <c r="AJ50"/>
  <c r="AJ51"/>
  <c r="AJ52"/>
  <c r="AJ53"/>
  <c r="AJ54"/>
  <c r="AJ57"/>
  <c r="AJ58"/>
  <c r="AJ59"/>
  <c r="AJ60"/>
  <c r="AJ61"/>
  <c r="AJ62"/>
  <c r="AJ63"/>
  <c r="AJ64"/>
  <c r="AJ65"/>
  <c r="AI25"/>
  <c r="AI26"/>
  <c r="AI27"/>
  <c r="AI28"/>
  <c r="AI29"/>
  <c r="AI30"/>
  <c r="AI31"/>
  <c r="AI32"/>
  <c r="AI33"/>
  <c r="AI34"/>
  <c r="AI35"/>
  <c r="AI36"/>
  <c r="AI37"/>
  <c r="AI38"/>
  <c r="AI39"/>
  <c r="AI40"/>
  <c r="AI41"/>
  <c r="AI42"/>
  <c r="AI43"/>
  <c r="AI44"/>
  <c r="AI45"/>
  <c r="AI46"/>
  <c r="AI47"/>
  <c r="AI48"/>
  <c r="AI49"/>
  <c r="AI50"/>
  <c r="AI51"/>
  <c r="AI52"/>
  <c r="AI53"/>
  <c r="AI54"/>
  <c r="AI57"/>
  <c r="AI58"/>
  <c r="AI59"/>
  <c r="AI60"/>
  <c r="AI61"/>
  <c r="AI62"/>
  <c r="AI63"/>
  <c r="AI64"/>
  <c r="AI65"/>
  <c r="AH25"/>
  <c r="AH26"/>
  <c r="AH27"/>
  <c r="AH28"/>
  <c r="AH29"/>
  <c r="AH30"/>
  <c r="AH31"/>
  <c r="AH32"/>
  <c r="AH33"/>
  <c r="AH34"/>
  <c r="AH35"/>
  <c r="AH36"/>
  <c r="AH37"/>
  <c r="AH38"/>
  <c r="AH39"/>
  <c r="AH40"/>
  <c r="AH41"/>
  <c r="AH42"/>
  <c r="AH43"/>
  <c r="AH44"/>
  <c r="AH45"/>
  <c r="AH46"/>
  <c r="AH47"/>
  <c r="AH48"/>
  <c r="AH49"/>
  <c r="AH50"/>
  <c r="AH51"/>
  <c r="AH52"/>
  <c r="AH53"/>
  <c r="AH54"/>
  <c r="AH57"/>
  <c r="AH58"/>
  <c r="AH59"/>
  <c r="AH60"/>
  <c r="AH61"/>
  <c r="AH62"/>
  <c r="AH63"/>
  <c r="AH64"/>
  <c r="AH65"/>
  <c r="AH24"/>
  <c r="AI24"/>
  <c r="AJ24"/>
  <c r="AH23"/>
  <c r="AI23"/>
  <c r="AJ23"/>
  <c r="E27" i="75"/>
  <c r="F27"/>
  <c r="AB22"/>
  <c r="AF22"/>
  <c r="Z22"/>
  <c r="Z27"/>
  <c r="E28"/>
  <c r="F28"/>
  <c r="H28"/>
  <c r="I28"/>
  <c r="AB28"/>
  <c r="AF28"/>
  <c r="AM28"/>
  <c r="AN28"/>
  <c r="AO28"/>
  <c r="AP28"/>
  <c r="Z28"/>
  <c r="AH28"/>
  <c r="AI28"/>
  <c r="E29"/>
  <c r="F29"/>
  <c r="AB29"/>
  <c r="AF29"/>
  <c r="AK29"/>
  <c r="AL29"/>
  <c r="AM29"/>
  <c r="AN29"/>
  <c r="AO29"/>
  <c r="AP29"/>
  <c r="Z29"/>
  <c r="AH29"/>
  <c r="AI29"/>
  <c r="E30"/>
  <c r="F30"/>
  <c r="H30"/>
  <c r="I30"/>
  <c r="AB30"/>
  <c r="AF30"/>
  <c r="AK30"/>
  <c r="AL30"/>
  <c r="AM30"/>
  <c r="AN30"/>
  <c r="AO30"/>
  <c r="AP30"/>
  <c r="Z30"/>
  <c r="AH30"/>
  <c r="AI30"/>
  <c r="E31"/>
  <c r="F31"/>
  <c r="H31"/>
  <c r="I31"/>
  <c r="AB31"/>
  <c r="AF31"/>
  <c r="AK31"/>
  <c r="AL31"/>
  <c r="AM31"/>
  <c r="AN31"/>
  <c r="AO31"/>
  <c r="AP31"/>
  <c r="Z31"/>
  <c r="AH31"/>
  <c r="AI31"/>
  <c r="E32"/>
  <c r="F32"/>
  <c r="H32"/>
  <c r="I32"/>
  <c r="AB32"/>
  <c r="AF32"/>
  <c r="AK32"/>
  <c r="AL32"/>
  <c r="AM32"/>
  <c r="AN32"/>
  <c r="AO32"/>
  <c r="AP32"/>
  <c r="Z32"/>
  <c r="AH32"/>
  <c r="AI32"/>
  <c r="E33"/>
  <c r="F33"/>
  <c r="H33"/>
  <c r="I33"/>
  <c r="AB33"/>
  <c r="AF33"/>
  <c r="AK33"/>
  <c r="AL33"/>
  <c r="AM33"/>
  <c r="AN33"/>
  <c r="AO33"/>
  <c r="AP33"/>
  <c r="Z33"/>
  <c r="AH33"/>
  <c r="AI33"/>
  <c r="E34"/>
  <c r="F34"/>
  <c r="H34"/>
  <c r="I34"/>
  <c r="AB34"/>
  <c r="AF34"/>
  <c r="AK34"/>
  <c r="AL34"/>
  <c r="AM34"/>
  <c r="AN34"/>
  <c r="AO34"/>
  <c r="AP34"/>
  <c r="Z34"/>
  <c r="AH34"/>
  <c r="AI34"/>
  <c r="E35"/>
  <c r="F35"/>
  <c r="H35"/>
  <c r="I35"/>
  <c r="AB35"/>
  <c r="AF35"/>
  <c r="AK35"/>
  <c r="AL35"/>
  <c r="AM35"/>
  <c r="AN35"/>
  <c r="AO35"/>
  <c r="AP35"/>
  <c r="Z35"/>
  <c r="AH35"/>
  <c r="AI35"/>
  <c r="E36"/>
  <c r="F36"/>
  <c r="H36"/>
  <c r="I36"/>
  <c r="AB36"/>
  <c r="AF36"/>
  <c r="AK36"/>
  <c r="AL36"/>
  <c r="AM36"/>
  <c r="AN36"/>
  <c r="AO36"/>
  <c r="AP36"/>
  <c r="Z36"/>
  <c r="AH36"/>
  <c r="AI36"/>
  <c r="E37"/>
  <c r="F37"/>
  <c r="Z37"/>
  <c r="E38"/>
  <c r="F38"/>
  <c r="Z38"/>
  <c r="E39"/>
  <c r="F39"/>
  <c r="H39"/>
  <c r="I39"/>
  <c r="AB39"/>
  <c r="AF39"/>
  <c r="AK39"/>
  <c r="AL39"/>
  <c r="AM39"/>
  <c r="AN39"/>
  <c r="AO39"/>
  <c r="AP39"/>
  <c r="Z39"/>
  <c r="AH39"/>
  <c r="AI39"/>
  <c r="E40"/>
  <c r="F40"/>
  <c r="H40"/>
  <c r="I40"/>
  <c r="AB40"/>
  <c r="AF40"/>
  <c r="AK40"/>
  <c r="AL40"/>
  <c r="AM40"/>
  <c r="AN40"/>
  <c r="AO40"/>
  <c r="AP40"/>
  <c r="Z40"/>
  <c r="AH40"/>
  <c r="AI40"/>
  <c r="E41"/>
  <c r="F41"/>
  <c r="Z41"/>
  <c r="E42"/>
  <c r="F42"/>
  <c r="Z42"/>
  <c r="E43"/>
  <c r="F43"/>
  <c r="Z43"/>
  <c r="E44"/>
  <c r="F44"/>
  <c r="Z44"/>
  <c r="E45"/>
  <c r="F45"/>
  <c r="H45"/>
  <c r="I45"/>
  <c r="AB45"/>
  <c r="AF45"/>
  <c r="AK45"/>
  <c r="AL45"/>
  <c r="AM45"/>
  <c r="AN45"/>
  <c r="AO45"/>
  <c r="AP45"/>
  <c r="Z45"/>
  <c r="AH45"/>
  <c r="AI45"/>
  <c r="E46"/>
  <c r="F46"/>
  <c r="H46"/>
  <c r="I46"/>
  <c r="AB46"/>
  <c r="AF46"/>
  <c r="AK46"/>
  <c r="AL46"/>
  <c r="AM46"/>
  <c r="AN46"/>
  <c r="AO46"/>
  <c r="AP46"/>
  <c r="Z46"/>
  <c r="AH46"/>
  <c r="AI46"/>
  <c r="E27" i="167"/>
  <c r="F27"/>
  <c r="H27"/>
  <c r="I27"/>
  <c r="AB22"/>
  <c r="AB27"/>
  <c r="AF27"/>
  <c r="AK22"/>
  <c r="AK27"/>
  <c r="AL22"/>
  <c r="AL27"/>
  <c r="AM22"/>
  <c r="AM27"/>
  <c r="AN22"/>
  <c r="AN27"/>
  <c r="AO22"/>
  <c r="AO27"/>
  <c r="AP22"/>
  <c r="AP27"/>
  <c r="Z22"/>
  <c r="Z27"/>
  <c r="AH27"/>
  <c r="AI27"/>
  <c r="E28"/>
  <c r="F28"/>
  <c r="H28"/>
  <c r="I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31"/>
  <c r="F31"/>
  <c r="H31"/>
  <c r="I31"/>
  <c r="AB31"/>
  <c r="AF31"/>
  <c r="AK31"/>
  <c r="AL31"/>
  <c r="AM31"/>
  <c r="AN31"/>
  <c r="AO31"/>
  <c r="AP31"/>
  <c r="Z31"/>
  <c r="AH31"/>
  <c r="AI31"/>
  <c r="E32"/>
  <c r="F32"/>
  <c r="I32"/>
  <c r="AB32"/>
  <c r="AK32"/>
  <c r="AL32"/>
  <c r="AM32"/>
  <c r="AN32"/>
  <c r="AO32"/>
  <c r="AP32"/>
  <c r="Z32"/>
  <c r="AH32"/>
  <c r="AI32"/>
  <c r="E33"/>
  <c r="F33"/>
  <c r="AM33"/>
  <c r="AN33"/>
  <c r="AO33"/>
  <c r="AP33"/>
  <c r="Z33"/>
  <c r="AH33"/>
  <c r="AI33"/>
  <c r="E34"/>
  <c r="F34"/>
  <c r="AM34"/>
  <c r="AN34"/>
  <c r="AO34"/>
  <c r="AP34"/>
  <c r="Z34"/>
  <c r="AH34"/>
  <c r="AI34"/>
  <c r="E35"/>
  <c r="F35"/>
  <c r="AM35"/>
  <c r="AN35"/>
  <c r="AO35"/>
  <c r="AP35"/>
  <c r="Z35"/>
  <c r="AH35"/>
  <c r="AI35"/>
  <c r="E36"/>
  <c r="F36"/>
  <c r="AM36"/>
  <c r="AN36"/>
  <c r="AO36"/>
  <c r="AP36"/>
  <c r="Z36"/>
  <c r="AH36"/>
  <c r="AI36"/>
  <c r="E37"/>
  <c r="F37"/>
  <c r="H37"/>
  <c r="I37"/>
  <c r="AB37"/>
  <c r="AF37"/>
  <c r="AK37"/>
  <c r="AL37"/>
  <c r="AM37"/>
  <c r="AN37"/>
  <c r="AO37"/>
  <c r="AP37"/>
  <c r="Z37"/>
  <c r="AH37"/>
  <c r="AI37"/>
  <c r="E38"/>
  <c r="F38"/>
  <c r="H38"/>
  <c r="I38"/>
  <c r="AB38"/>
  <c r="AF38"/>
  <c r="AK38"/>
  <c r="AL38"/>
  <c r="AM38"/>
  <c r="AN38"/>
  <c r="AO38"/>
  <c r="AP38"/>
  <c r="Z38"/>
  <c r="AH38"/>
  <c r="AI38"/>
  <c r="E41"/>
  <c r="F41"/>
  <c r="H41"/>
  <c r="I41"/>
  <c r="F8"/>
  <c r="U41"/>
  <c r="W41"/>
  <c r="AB41"/>
  <c r="AF41"/>
  <c r="AK41"/>
  <c r="AL41"/>
  <c r="AM41"/>
  <c r="AN41"/>
  <c r="AO41"/>
  <c r="AP41"/>
  <c r="Z41"/>
  <c r="AH41"/>
  <c r="AI41"/>
  <c r="E42"/>
  <c r="F42"/>
  <c r="H42"/>
  <c r="I42"/>
  <c r="U42"/>
  <c r="W42"/>
  <c r="AB42"/>
  <c r="AF42"/>
  <c r="AK42"/>
  <c r="AL42"/>
  <c r="AM42"/>
  <c r="AN42"/>
  <c r="AO42"/>
  <c r="AP42"/>
  <c r="Z42"/>
  <c r="AH42"/>
  <c r="AI42"/>
  <c r="E43"/>
  <c r="F43"/>
  <c r="H43"/>
  <c r="I43"/>
  <c r="U43"/>
  <c r="W43"/>
  <c r="AB43"/>
  <c r="AF43"/>
  <c r="AK43"/>
  <c r="AL43"/>
  <c r="AM43"/>
  <c r="AN43"/>
  <c r="AO43"/>
  <c r="AP43"/>
  <c r="Z43"/>
  <c r="AH43"/>
  <c r="AI43"/>
  <c r="E44"/>
  <c r="F44"/>
  <c r="H44"/>
  <c r="I44"/>
  <c r="U44"/>
  <c r="W44"/>
  <c r="AF44"/>
  <c r="AK44"/>
  <c r="AL44"/>
  <c r="AM44"/>
  <c r="AN44"/>
  <c r="AO44"/>
  <c r="AP44"/>
  <c r="Z44"/>
  <c r="AH44"/>
  <c r="AI44"/>
  <c r="E45"/>
  <c r="F45"/>
  <c r="U45"/>
  <c r="W45"/>
  <c r="AM45"/>
  <c r="AN45"/>
  <c r="AO45"/>
  <c r="AP45"/>
  <c r="Z45"/>
  <c r="AH45"/>
  <c r="AI45"/>
  <c r="E46"/>
  <c r="F46"/>
  <c r="U46"/>
  <c r="W46"/>
  <c r="AM46"/>
  <c r="AN46"/>
  <c r="AO46"/>
  <c r="AP46"/>
  <c r="Z46"/>
  <c r="AH46"/>
  <c r="AI46"/>
  <c r="E47"/>
  <c r="F47"/>
  <c r="H47"/>
  <c r="I47"/>
  <c r="U47"/>
  <c r="W47"/>
  <c r="AB47"/>
  <c r="AF47"/>
  <c r="AK47"/>
  <c r="AL47"/>
  <c r="AM47"/>
  <c r="AN47"/>
  <c r="AO47"/>
  <c r="AP47"/>
  <c r="Z47"/>
  <c r="AH47"/>
  <c r="AI47"/>
  <c r="E48"/>
  <c r="F48"/>
  <c r="H48"/>
  <c r="I48"/>
  <c r="U48"/>
  <c r="W48"/>
  <c r="AB48"/>
  <c r="AF48"/>
  <c r="AK48"/>
  <c r="AL48"/>
  <c r="AM48"/>
  <c r="AN48"/>
  <c r="AO48"/>
  <c r="AP48"/>
  <c r="Z48"/>
  <c r="AH48"/>
  <c r="AI48"/>
  <c r="E49"/>
  <c r="F49"/>
  <c r="H49"/>
  <c r="I49"/>
  <c r="U49"/>
  <c r="W49"/>
  <c r="AB49"/>
  <c r="AF49"/>
  <c r="AK49"/>
  <c r="AL49"/>
  <c r="AM49"/>
  <c r="AN49"/>
  <c r="AO49"/>
  <c r="AP49"/>
  <c r="Z49"/>
  <c r="AH49"/>
  <c r="AI49"/>
  <c r="E50"/>
  <c r="F50"/>
  <c r="H50"/>
  <c r="I50"/>
  <c r="U50"/>
  <c r="W50"/>
  <c r="AB50"/>
  <c r="AF50"/>
  <c r="AL50"/>
  <c r="AM50"/>
  <c r="AN50"/>
  <c r="AO50"/>
  <c r="AP50"/>
  <c r="Z50"/>
  <c r="AH50"/>
  <c r="AI50"/>
  <c r="E51"/>
  <c r="F51"/>
  <c r="H51"/>
  <c r="I51"/>
  <c r="U51"/>
  <c r="W51"/>
  <c r="AB51"/>
  <c r="AF51"/>
  <c r="AK51"/>
  <c r="AL51"/>
  <c r="AM51"/>
  <c r="AN51"/>
  <c r="AO51"/>
  <c r="AP51"/>
  <c r="Z51"/>
  <c r="AH51"/>
  <c r="AI51"/>
  <c r="E52"/>
  <c r="F52"/>
  <c r="H52"/>
  <c r="I52"/>
  <c r="U52"/>
  <c r="W52"/>
  <c r="AB52"/>
  <c r="AF52"/>
  <c r="AK52"/>
  <c r="AL52"/>
  <c r="AM52"/>
  <c r="AN52"/>
  <c r="AO52"/>
  <c r="AP52"/>
  <c r="Z52"/>
  <c r="AH52"/>
  <c r="AI52"/>
  <c r="E53"/>
  <c r="F53"/>
  <c r="H53"/>
  <c r="I53"/>
  <c r="U53"/>
  <c r="W53"/>
  <c r="AB53"/>
  <c r="AF53"/>
  <c r="AK53"/>
  <c r="AL53"/>
  <c r="AM53"/>
  <c r="AN53"/>
  <c r="AO53"/>
  <c r="AP53"/>
  <c r="Z53"/>
  <c r="AH53"/>
  <c r="AI53"/>
  <c r="E54"/>
  <c r="F54"/>
  <c r="H54"/>
  <c r="I54"/>
  <c r="U54"/>
  <c r="W54"/>
  <c r="AB54"/>
  <c r="AF54"/>
  <c r="AK54"/>
  <c r="AL54"/>
  <c r="AM54"/>
  <c r="AN54"/>
  <c r="AO54"/>
  <c r="AP54"/>
  <c r="Z54"/>
  <c r="AH54"/>
  <c r="AI54"/>
  <c r="E55"/>
  <c r="F55"/>
  <c r="H55"/>
  <c r="I55"/>
  <c r="U55"/>
  <c r="W55"/>
  <c r="AB55"/>
  <c r="AF55"/>
  <c r="AK55"/>
  <c r="AL55"/>
  <c r="AM55"/>
  <c r="AN55"/>
  <c r="AO55"/>
  <c r="AP55"/>
  <c r="Z55"/>
  <c r="AH55"/>
  <c r="AI55"/>
  <c r="E56"/>
  <c r="F56"/>
  <c r="H56"/>
  <c r="I56"/>
  <c r="U56"/>
  <c r="W56"/>
  <c r="AB56"/>
  <c r="AF56"/>
  <c r="AK56"/>
  <c r="AL56"/>
  <c r="AM56"/>
  <c r="AN56"/>
  <c r="AO56"/>
  <c r="AP56"/>
  <c r="Z56"/>
  <c r="AH56"/>
  <c r="AI56"/>
  <c r="E57"/>
  <c r="F57"/>
  <c r="U57"/>
  <c r="W57"/>
  <c r="AK57"/>
  <c r="AL57"/>
  <c r="AM57"/>
  <c r="AN57"/>
  <c r="AO57"/>
  <c r="AP57"/>
  <c r="Z57"/>
  <c r="AH57"/>
  <c r="AI57"/>
  <c r="E58"/>
  <c r="F58"/>
  <c r="U58"/>
  <c r="W58"/>
  <c r="AK58"/>
  <c r="AL58"/>
  <c r="AM58"/>
  <c r="AN58"/>
  <c r="AO58"/>
  <c r="AP58"/>
  <c r="Z58"/>
  <c r="AH58"/>
  <c r="AI58"/>
  <c r="E59"/>
  <c r="F59"/>
  <c r="H59"/>
  <c r="I59"/>
  <c r="U59"/>
  <c r="W59"/>
  <c r="AB59"/>
  <c r="AF59"/>
  <c r="AK59"/>
  <c r="AL59"/>
  <c r="AM59"/>
  <c r="AN59"/>
  <c r="AO59"/>
  <c r="AP59"/>
  <c r="Z59"/>
  <c r="AH59"/>
  <c r="AI59"/>
  <c r="E60"/>
  <c r="F60"/>
  <c r="U60"/>
  <c r="W60"/>
  <c r="Z60"/>
  <c r="E61"/>
  <c r="F61"/>
  <c r="U61"/>
  <c r="W61"/>
  <c r="Z61"/>
  <c r="E62"/>
  <c r="F62"/>
  <c r="U62"/>
  <c r="W62"/>
  <c r="AB62"/>
  <c r="AK62"/>
  <c r="AL62"/>
  <c r="AM62"/>
  <c r="AN62"/>
  <c r="AO62"/>
  <c r="AP62"/>
  <c r="Z62"/>
  <c r="E63"/>
  <c r="F63"/>
  <c r="H63"/>
  <c r="I63"/>
  <c r="U63"/>
  <c r="W63"/>
  <c r="AB63"/>
  <c r="AF63"/>
  <c r="AK63"/>
  <c r="AL63"/>
  <c r="AM63"/>
  <c r="AN63"/>
  <c r="AO63"/>
  <c r="AP63"/>
  <c r="Z63"/>
  <c r="AH63"/>
  <c r="AI63"/>
  <c r="E64"/>
  <c r="F64"/>
  <c r="H64"/>
  <c r="I64"/>
  <c r="U64"/>
  <c r="W64"/>
  <c r="AB64"/>
  <c r="AF64"/>
  <c r="AK64"/>
  <c r="AL64"/>
  <c r="AM64"/>
  <c r="AN64"/>
  <c r="AO64"/>
  <c r="AP64"/>
  <c r="Z64"/>
  <c r="AH64"/>
  <c r="AI64"/>
  <c r="E65"/>
  <c r="F65"/>
  <c r="U65"/>
  <c r="W65"/>
  <c r="AM65"/>
  <c r="AN65"/>
  <c r="AO65"/>
  <c r="AP65"/>
  <c r="Z65"/>
  <c r="AH65"/>
  <c r="AI65"/>
  <c r="E66"/>
  <c r="F66"/>
  <c r="U66"/>
  <c r="W66"/>
  <c r="AM66"/>
  <c r="AN66"/>
  <c r="AO66"/>
  <c r="AP66"/>
  <c r="Z66"/>
  <c r="AH66"/>
  <c r="AI66"/>
  <c r="E67"/>
  <c r="F67"/>
  <c r="H67"/>
  <c r="I67"/>
  <c r="U67"/>
  <c r="W67"/>
  <c r="AB67"/>
  <c r="AF67"/>
  <c r="AK67"/>
  <c r="AL67"/>
  <c r="AM67"/>
  <c r="AN67"/>
  <c r="AO67"/>
  <c r="AP67"/>
  <c r="Z67"/>
  <c r="AH67"/>
  <c r="AI67"/>
  <c r="E68"/>
  <c r="F68"/>
  <c r="H68"/>
  <c r="I68"/>
  <c r="U68"/>
  <c r="W68"/>
  <c r="AB68"/>
  <c r="AF68"/>
  <c r="AK68"/>
  <c r="AL68"/>
  <c r="AM68"/>
  <c r="AN68"/>
  <c r="AO68"/>
  <c r="AP68"/>
  <c r="Z68"/>
  <c r="AH68"/>
  <c r="AI68"/>
  <c r="E69"/>
  <c r="F69"/>
  <c r="H69"/>
  <c r="I69"/>
  <c r="U69"/>
  <c r="W69"/>
  <c r="AB69"/>
  <c r="AF69"/>
  <c r="AK69"/>
  <c r="AL69"/>
  <c r="AM69"/>
  <c r="AN69"/>
  <c r="AO69"/>
  <c r="AP69"/>
  <c r="Z69"/>
  <c r="AH69"/>
  <c r="AI69"/>
  <c r="E29" i="158"/>
  <c r="F29"/>
  <c r="H29"/>
  <c r="I29"/>
  <c r="F8"/>
  <c r="U29"/>
  <c r="W29"/>
  <c r="AB22"/>
  <c r="AB29"/>
  <c r="AF22"/>
  <c r="AF29"/>
  <c r="AK22"/>
  <c r="AK29"/>
  <c r="AL22"/>
  <c r="AL29"/>
  <c r="AM22"/>
  <c r="AM29"/>
  <c r="AN22"/>
  <c r="AN29"/>
  <c r="AO22"/>
  <c r="AO29"/>
  <c r="AP22"/>
  <c r="AP29"/>
  <c r="Z22"/>
  <c r="Z29"/>
  <c r="AH22"/>
  <c r="AH29"/>
  <c r="AI22"/>
  <c r="AI29"/>
  <c r="E30"/>
  <c r="F30"/>
  <c r="H30"/>
  <c r="I30"/>
  <c r="U30"/>
  <c r="W30"/>
  <c r="AB30"/>
  <c r="AF30"/>
  <c r="AK30"/>
  <c r="AL30"/>
  <c r="AM30"/>
  <c r="AN30"/>
  <c r="AO30"/>
  <c r="AP30"/>
  <c r="Z30"/>
  <c r="AH30"/>
  <c r="AI30"/>
  <c r="E31"/>
  <c r="F31"/>
  <c r="H31"/>
  <c r="I31"/>
  <c r="U31"/>
  <c r="W31"/>
  <c r="AB31"/>
  <c r="AF31"/>
  <c r="AK31"/>
  <c r="AL31"/>
  <c r="AM31"/>
  <c r="AN31"/>
  <c r="AO31"/>
  <c r="AP31"/>
  <c r="Z31"/>
  <c r="AH31"/>
  <c r="AI31"/>
  <c r="E32"/>
  <c r="F32"/>
  <c r="H32"/>
  <c r="I32"/>
  <c r="U32"/>
  <c r="W32"/>
  <c r="AB32"/>
  <c r="AF32"/>
  <c r="AK32"/>
  <c r="AL32"/>
  <c r="AM32"/>
  <c r="AN32"/>
  <c r="AO32"/>
  <c r="AP32"/>
  <c r="Z32"/>
  <c r="AH32"/>
  <c r="AI32"/>
  <c r="E33"/>
  <c r="F33"/>
  <c r="I33"/>
  <c r="U33"/>
  <c r="W33"/>
  <c r="AB33"/>
  <c r="AF33"/>
  <c r="AK33"/>
  <c r="AL33"/>
  <c r="AM33"/>
  <c r="AN33"/>
  <c r="AO33"/>
  <c r="AP33"/>
  <c r="Z33"/>
  <c r="AH33"/>
  <c r="AI33"/>
  <c r="E32" i="156"/>
  <c r="F32"/>
  <c r="H32"/>
  <c r="I32"/>
  <c r="F8"/>
  <c r="U32"/>
  <c r="W32"/>
  <c r="AB22"/>
  <c r="AB32"/>
  <c r="AF22"/>
  <c r="AF32"/>
  <c r="AK22"/>
  <c r="AK32"/>
  <c r="AL22"/>
  <c r="AL32"/>
  <c r="AM22"/>
  <c r="AM32"/>
  <c r="AN22"/>
  <c r="AN32"/>
  <c r="AO22"/>
  <c r="AO32"/>
  <c r="AP22"/>
  <c r="AP32"/>
  <c r="Z22"/>
  <c r="Z32"/>
  <c r="AH22"/>
  <c r="AH32"/>
  <c r="AI22"/>
  <c r="AI32"/>
  <c r="E33"/>
  <c r="F33"/>
  <c r="H33"/>
  <c r="I33"/>
  <c r="U33"/>
  <c r="W33"/>
  <c r="AB33"/>
  <c r="AF33"/>
  <c r="AK33"/>
  <c r="AL33"/>
  <c r="AM33"/>
  <c r="AN33"/>
  <c r="AO33"/>
  <c r="AP33"/>
  <c r="Z33"/>
  <c r="AH33"/>
  <c r="AI33"/>
  <c r="E34"/>
  <c r="F34"/>
  <c r="H34"/>
  <c r="I34"/>
  <c r="U34"/>
  <c r="W34"/>
  <c r="AB34"/>
  <c r="AF34"/>
  <c r="AK34"/>
  <c r="AL34"/>
  <c r="AM34"/>
  <c r="AN34"/>
  <c r="AO34"/>
  <c r="AP34"/>
  <c r="Z34"/>
  <c r="AH34"/>
  <c r="AI34"/>
  <c r="E35"/>
  <c r="F35"/>
  <c r="H35"/>
  <c r="I35"/>
  <c r="U35"/>
  <c r="W35"/>
  <c r="AB35"/>
  <c r="AF35"/>
  <c r="AK35"/>
  <c r="AL35"/>
  <c r="AM35"/>
  <c r="AN35"/>
  <c r="AO35"/>
  <c r="AP35"/>
  <c r="Z35"/>
  <c r="AH35"/>
  <c r="AI35"/>
  <c r="E36"/>
  <c r="F36"/>
  <c r="H36"/>
  <c r="I36"/>
  <c r="U36"/>
  <c r="W36"/>
  <c r="AB36"/>
  <c r="AF36"/>
  <c r="AK36"/>
  <c r="AL36"/>
  <c r="AM36"/>
  <c r="AN36"/>
  <c r="AO36"/>
  <c r="AP36"/>
  <c r="Z36"/>
  <c r="AH36"/>
  <c r="AI36"/>
  <c r="E37"/>
  <c r="F37"/>
  <c r="H37"/>
  <c r="I37"/>
  <c r="U37"/>
  <c r="W37"/>
  <c r="AB37"/>
  <c r="AF37"/>
  <c r="AK37"/>
  <c r="AL37"/>
  <c r="AM37"/>
  <c r="AN37"/>
  <c r="AO37"/>
  <c r="AP37"/>
  <c r="Z37"/>
  <c r="AH37"/>
  <c r="AI37"/>
  <c r="E38"/>
  <c r="F38"/>
  <c r="I38"/>
  <c r="U38"/>
  <c r="W38"/>
  <c r="AB38"/>
  <c r="AF38"/>
  <c r="AK38"/>
  <c r="AL38"/>
  <c r="AM38"/>
  <c r="AN38"/>
  <c r="AO38"/>
  <c r="AP38"/>
  <c r="Z38"/>
  <c r="AH38"/>
  <c r="AI38"/>
  <c r="F25" i="65"/>
  <c r="F26"/>
  <c r="F27"/>
  <c r="F28"/>
  <c r="F29"/>
  <c r="F30"/>
  <c r="F31"/>
  <c r="F32"/>
  <c r="F33"/>
  <c r="E27" i="81"/>
  <c r="F27"/>
  <c r="H27"/>
  <c r="I27"/>
  <c r="AB27"/>
  <c r="AF27"/>
  <c r="AK27"/>
  <c r="AL27"/>
  <c r="AM27"/>
  <c r="AN27"/>
  <c r="AO27"/>
  <c r="AP27"/>
  <c r="Z27"/>
  <c r="AH27"/>
  <c r="AI27"/>
  <c r="E28"/>
  <c r="F28"/>
  <c r="H28"/>
  <c r="I28"/>
  <c r="AB28"/>
  <c r="AF28"/>
  <c r="AK28"/>
  <c r="AL28"/>
  <c r="AM28"/>
  <c r="AN28"/>
  <c r="AO28"/>
  <c r="AP28"/>
  <c r="Z28"/>
  <c r="AH28"/>
  <c r="AI28"/>
  <c r="E29"/>
  <c r="F29"/>
  <c r="H29"/>
  <c r="I29"/>
  <c r="AB29"/>
  <c r="AF29"/>
  <c r="AK29"/>
  <c r="AL29"/>
  <c r="AM29"/>
  <c r="AN29"/>
  <c r="AO29"/>
  <c r="AP29"/>
  <c r="Z29"/>
  <c r="AH29"/>
  <c r="AI29"/>
  <c r="E27" i="76"/>
  <c r="F27"/>
  <c r="H27"/>
  <c r="I27"/>
  <c r="AB22"/>
  <c r="AB27"/>
  <c r="AF22"/>
  <c r="AF27"/>
  <c r="AK22"/>
  <c r="AL22"/>
  <c r="AM22"/>
  <c r="AM27"/>
  <c r="AN22"/>
  <c r="AN27"/>
  <c r="AO22"/>
  <c r="AO27"/>
  <c r="AP22"/>
  <c r="AP27"/>
  <c r="Z22"/>
  <c r="Z27"/>
  <c r="AH22"/>
  <c r="AH27"/>
  <c r="AI22"/>
  <c r="AI27"/>
  <c r="E28"/>
  <c r="F28"/>
  <c r="H28"/>
  <c r="I28"/>
  <c r="AB28"/>
  <c r="AF28"/>
  <c r="AK28"/>
  <c r="AL28"/>
  <c r="AM28"/>
  <c r="AN28"/>
  <c r="AO28"/>
  <c r="AP28"/>
  <c r="Z28"/>
  <c r="AH28"/>
  <c r="AI28"/>
  <c r="E27" i="62"/>
  <c r="F27"/>
  <c r="H27"/>
  <c r="I27"/>
  <c r="AB22"/>
  <c r="AB27"/>
  <c r="AF27"/>
  <c r="AL22"/>
  <c r="AL27"/>
  <c r="AM22"/>
  <c r="AM27"/>
  <c r="AN22"/>
  <c r="AN27"/>
  <c r="AO22"/>
  <c r="AO27"/>
  <c r="AP22"/>
  <c r="AP27"/>
  <c r="Z22"/>
  <c r="Z27"/>
  <c r="E28"/>
  <c r="F28"/>
  <c r="H28"/>
  <c r="I28"/>
  <c r="AB28"/>
  <c r="AF28"/>
  <c r="AL28"/>
  <c r="AM28"/>
  <c r="AN28"/>
  <c r="AO28"/>
  <c r="AP28"/>
  <c r="Z28"/>
  <c r="AH28"/>
  <c r="E29"/>
  <c r="F29"/>
  <c r="AM29"/>
  <c r="AN29"/>
  <c r="AO29"/>
  <c r="AP29"/>
  <c r="Z29"/>
  <c r="AH29"/>
  <c r="E30"/>
  <c r="F30"/>
  <c r="AM30"/>
  <c r="AN30"/>
  <c r="AO30"/>
  <c r="AP30"/>
  <c r="Z30"/>
  <c r="AH30"/>
  <c r="E31"/>
  <c r="F31"/>
  <c r="H31"/>
  <c r="I31"/>
  <c r="AB31"/>
  <c r="AF31"/>
  <c r="AL31"/>
  <c r="AM31"/>
  <c r="AN31"/>
  <c r="AO31"/>
  <c r="AP31"/>
  <c r="Z31"/>
  <c r="AH31"/>
  <c r="E32"/>
  <c r="F32"/>
  <c r="H32"/>
  <c r="I32"/>
  <c r="AB32"/>
  <c r="AF32"/>
  <c r="AL32"/>
  <c r="AM32"/>
  <c r="AN32"/>
  <c r="AO32"/>
  <c r="AP32"/>
  <c r="Z32"/>
  <c r="AH32"/>
  <c r="E33"/>
  <c r="F33"/>
  <c r="H33"/>
  <c r="I33"/>
  <c r="AB33"/>
  <c r="AF33"/>
  <c r="AM33"/>
  <c r="AN33"/>
  <c r="AO33"/>
  <c r="AP33"/>
  <c r="Z33"/>
  <c r="AH33"/>
  <c r="E34"/>
  <c r="F34"/>
  <c r="H34"/>
  <c r="I34"/>
  <c r="AB34"/>
  <c r="AF34"/>
  <c r="AL34"/>
  <c r="AM34"/>
  <c r="AN34"/>
  <c r="AO34"/>
  <c r="AP34"/>
  <c r="Z34"/>
  <c r="AH34"/>
  <c r="E35"/>
  <c r="F35"/>
  <c r="H35"/>
  <c r="I35"/>
  <c r="AB35"/>
  <c r="AF35"/>
  <c r="AL35"/>
  <c r="AM35"/>
  <c r="AN35"/>
  <c r="AO35"/>
  <c r="AP35"/>
  <c r="Z35"/>
  <c r="AH35"/>
  <c r="E36"/>
  <c r="F36"/>
  <c r="H36"/>
  <c r="I36"/>
  <c r="AB36"/>
  <c r="AF36"/>
  <c r="AL36"/>
  <c r="AM36"/>
  <c r="AN36"/>
  <c r="AO36"/>
  <c r="AP36"/>
  <c r="Z36"/>
  <c r="AH36"/>
  <c r="E37"/>
  <c r="F37"/>
  <c r="H37"/>
  <c r="I37"/>
  <c r="AB37"/>
  <c r="AF37"/>
  <c r="AL37"/>
  <c r="AM37"/>
  <c r="AN37"/>
  <c r="AO37"/>
  <c r="AP37"/>
  <c r="Z37"/>
  <c r="AH37"/>
  <c r="E38"/>
  <c r="F38"/>
  <c r="H38"/>
  <c r="I38"/>
  <c r="AB38"/>
  <c r="AF38"/>
  <c r="AL38"/>
  <c r="AM38"/>
  <c r="AN38"/>
  <c r="AO38"/>
  <c r="AP38"/>
  <c r="Z38"/>
  <c r="AH38"/>
  <c r="E39"/>
  <c r="F39"/>
  <c r="H39"/>
  <c r="I39"/>
  <c r="AB39"/>
  <c r="AF39"/>
  <c r="AL39"/>
  <c r="AM39"/>
  <c r="AN39"/>
  <c r="AO39"/>
  <c r="AP39"/>
  <c r="Z39"/>
  <c r="AH39"/>
  <c r="E40"/>
  <c r="F40"/>
  <c r="H40"/>
  <c r="I40"/>
  <c r="AB40"/>
  <c r="AF40"/>
  <c r="AL40"/>
  <c r="AM40"/>
  <c r="AN40"/>
  <c r="AO40"/>
  <c r="AP40"/>
  <c r="Z40"/>
  <c r="AH40"/>
  <c r="E41"/>
  <c r="F41"/>
  <c r="H41"/>
  <c r="I41"/>
  <c r="AB41"/>
  <c r="AF41"/>
  <c r="AL41"/>
  <c r="AM41"/>
  <c r="AN41"/>
  <c r="AO41"/>
  <c r="AP41"/>
  <c r="Z41"/>
  <c r="AH41"/>
  <c r="E42"/>
  <c r="F42"/>
  <c r="H42"/>
  <c r="I42"/>
  <c r="AB42"/>
  <c r="AF42"/>
  <c r="AL42"/>
  <c r="AM42"/>
  <c r="AN42"/>
  <c r="AO42"/>
  <c r="AP42"/>
  <c r="Z42"/>
  <c r="AH42"/>
  <c r="E43"/>
  <c r="F43"/>
  <c r="H43"/>
  <c r="I43"/>
  <c r="AB43"/>
  <c r="AF43"/>
  <c r="AL43"/>
  <c r="AM43"/>
  <c r="AN43"/>
  <c r="AO43"/>
  <c r="AP43"/>
  <c r="Z43"/>
  <c r="AH43"/>
  <c r="E44"/>
  <c r="F44"/>
  <c r="H44"/>
  <c r="I44"/>
  <c r="AB44"/>
  <c r="AF44"/>
  <c r="AL44"/>
  <c r="AM44"/>
  <c r="AN44"/>
  <c r="AO44"/>
  <c r="AP44"/>
  <c r="Z44"/>
  <c r="AH44"/>
  <c r="E45"/>
  <c r="F45"/>
  <c r="H45"/>
  <c r="I45"/>
  <c r="AB45"/>
  <c r="AF45"/>
  <c r="AL45"/>
  <c r="AM45"/>
  <c r="AN45"/>
  <c r="AO45"/>
  <c r="AP45"/>
  <c r="Z45"/>
  <c r="AH45"/>
  <c r="E46"/>
  <c r="F46"/>
  <c r="H46"/>
  <c r="I46"/>
  <c r="AB46"/>
  <c r="AF46"/>
  <c r="AL46"/>
  <c r="AM46"/>
  <c r="AN46"/>
  <c r="AO46"/>
  <c r="AP46"/>
  <c r="Z46"/>
  <c r="AH46"/>
  <c r="E47"/>
  <c r="F47"/>
  <c r="AL47"/>
  <c r="AM47"/>
  <c r="AN47"/>
  <c r="AO47"/>
  <c r="AP47"/>
  <c r="Z47"/>
  <c r="AH47"/>
  <c r="E48"/>
  <c r="F48"/>
  <c r="AL48"/>
  <c r="AM48"/>
  <c r="AN48"/>
  <c r="AO48"/>
  <c r="AP48"/>
  <c r="Z48"/>
  <c r="AH48"/>
  <c r="E49"/>
  <c r="F49"/>
  <c r="H49"/>
  <c r="I49"/>
  <c r="AB49"/>
  <c r="AF49"/>
  <c r="AL49"/>
  <c r="AM49"/>
  <c r="AN49"/>
  <c r="AO49"/>
  <c r="AP49"/>
  <c r="Z49"/>
  <c r="AH49"/>
  <c r="E50"/>
  <c r="F50"/>
  <c r="Z50"/>
  <c r="AH50"/>
  <c r="E51"/>
  <c r="F51"/>
  <c r="Z51"/>
  <c r="AH51"/>
  <c r="E52"/>
  <c r="F52"/>
  <c r="AB52"/>
  <c r="AL52"/>
  <c r="AM52"/>
  <c r="AN52"/>
  <c r="AO52"/>
  <c r="AP52"/>
  <c r="Z52"/>
  <c r="AH52"/>
  <c r="E53"/>
  <c r="F53"/>
  <c r="H53"/>
  <c r="I53"/>
  <c r="AB53"/>
  <c r="AF53"/>
  <c r="AL53"/>
  <c r="AM53"/>
  <c r="AN53"/>
  <c r="AO53"/>
  <c r="AP53"/>
  <c r="Z53"/>
  <c r="AH53"/>
  <c r="E54"/>
  <c r="F54"/>
  <c r="H54"/>
  <c r="I54"/>
  <c r="AB54"/>
  <c r="AF54"/>
  <c r="AL54"/>
  <c r="AM54"/>
  <c r="AN54"/>
  <c r="AO54"/>
  <c r="AP54"/>
  <c r="Z54"/>
  <c r="AH54"/>
  <c r="E55"/>
  <c r="F55"/>
  <c r="AM55"/>
  <c r="AN55"/>
  <c r="AO55"/>
  <c r="AP55"/>
  <c r="Z55"/>
  <c r="E56"/>
  <c r="F56"/>
  <c r="AM56"/>
  <c r="AN56"/>
  <c r="AO56"/>
  <c r="AP56"/>
  <c r="Z56"/>
  <c r="E57"/>
  <c r="F57"/>
  <c r="H57"/>
  <c r="I57"/>
  <c r="AB57"/>
  <c r="AF57"/>
  <c r="AL57"/>
  <c r="AM57"/>
  <c r="AN57"/>
  <c r="AO57"/>
  <c r="AP57"/>
  <c r="Z57"/>
  <c r="AH57"/>
  <c r="E58"/>
  <c r="F58"/>
  <c r="H58"/>
  <c r="I58"/>
  <c r="AB58"/>
  <c r="AF58"/>
  <c r="AL58"/>
  <c r="AM58"/>
  <c r="AN58"/>
  <c r="AO58"/>
  <c r="AP58"/>
  <c r="Z58"/>
  <c r="AH58"/>
  <c r="E59"/>
  <c r="F59"/>
  <c r="H59"/>
  <c r="I59"/>
  <c r="AB59"/>
  <c r="AF59"/>
  <c r="AL59"/>
  <c r="AM59"/>
  <c r="AN59"/>
  <c r="AO59"/>
  <c r="AP59"/>
  <c r="Z59"/>
  <c r="AH59"/>
  <c r="E60"/>
  <c r="F60"/>
  <c r="AM60"/>
  <c r="AN60"/>
  <c r="AO60"/>
  <c r="AP60"/>
  <c r="Z60"/>
  <c r="AH60"/>
  <c r="E61"/>
  <c r="F61"/>
  <c r="AM61"/>
  <c r="AN61"/>
  <c r="AO61"/>
  <c r="AP61"/>
  <c r="Z61"/>
  <c r="AH61"/>
  <c r="E62"/>
  <c r="F62"/>
  <c r="AM62"/>
  <c r="AN62"/>
  <c r="AO62"/>
  <c r="AP62"/>
  <c r="Z62"/>
  <c r="AH62"/>
  <c r="E63"/>
  <c r="F63"/>
  <c r="AM63"/>
  <c r="AN63"/>
  <c r="AO63"/>
  <c r="AP63"/>
  <c r="Z63"/>
  <c r="AH63"/>
  <c r="E64"/>
  <c r="F64"/>
  <c r="H64"/>
  <c r="I64"/>
  <c r="AB64"/>
  <c r="AF64"/>
  <c r="AL64"/>
  <c r="AM64"/>
  <c r="AN64"/>
  <c r="AO64"/>
  <c r="AP64"/>
  <c r="Z64"/>
  <c r="AH64"/>
  <c r="E27" i="60"/>
  <c r="F27"/>
  <c r="H27"/>
  <c r="I27"/>
  <c r="AB22"/>
  <c r="AB27"/>
  <c r="AF22"/>
  <c r="AF27"/>
  <c r="AK22"/>
  <c r="AK27"/>
  <c r="AL22"/>
  <c r="AL27"/>
  <c r="AM22"/>
  <c r="AM27"/>
  <c r="AN22"/>
  <c r="AN27"/>
  <c r="AO22"/>
  <c r="AO27"/>
  <c r="AP22"/>
  <c r="AP27"/>
  <c r="Z22"/>
  <c r="Z27"/>
  <c r="E28"/>
  <c r="F28"/>
  <c r="H28"/>
  <c r="I28"/>
  <c r="AB28"/>
  <c r="AF28"/>
  <c r="AK28"/>
  <c r="AL28"/>
  <c r="AM28"/>
  <c r="AN28"/>
  <c r="AO28"/>
  <c r="AP28"/>
  <c r="Z28"/>
  <c r="E29"/>
  <c r="F29"/>
  <c r="AM29"/>
  <c r="AN29"/>
  <c r="AO29"/>
  <c r="AP29"/>
  <c r="Z29"/>
  <c r="E30"/>
  <c r="F30"/>
  <c r="AM30"/>
  <c r="AN30"/>
  <c r="AO30"/>
  <c r="AP30"/>
  <c r="Z30"/>
  <c r="E31"/>
  <c r="F31"/>
  <c r="H31"/>
  <c r="I31"/>
  <c r="AB31"/>
  <c r="AF31"/>
  <c r="AK31"/>
  <c r="AL31"/>
  <c r="AM31"/>
  <c r="AN31"/>
  <c r="AO31"/>
  <c r="AP31"/>
  <c r="Z31"/>
  <c r="E32"/>
  <c r="F32"/>
  <c r="H32"/>
  <c r="I32"/>
  <c r="AB32"/>
  <c r="AF32"/>
  <c r="AK32"/>
  <c r="AL32"/>
  <c r="AM32"/>
  <c r="AN32"/>
  <c r="AO32"/>
  <c r="AP32"/>
  <c r="Z32"/>
  <c r="E33"/>
  <c r="F33"/>
  <c r="H33"/>
  <c r="I33"/>
  <c r="AB33"/>
  <c r="AF33"/>
  <c r="AM33"/>
  <c r="AN33"/>
  <c r="AO33"/>
  <c r="AP33"/>
  <c r="Z33"/>
  <c r="E34"/>
  <c r="F34"/>
  <c r="H34"/>
  <c r="I34"/>
  <c r="AB34"/>
  <c r="AF34"/>
  <c r="AK34"/>
  <c r="AL34"/>
  <c r="AM34"/>
  <c r="AN34"/>
  <c r="AO34"/>
  <c r="AP34"/>
  <c r="Z34"/>
  <c r="E35"/>
  <c r="F35"/>
  <c r="H35"/>
  <c r="I35"/>
  <c r="AB35"/>
  <c r="AF35"/>
  <c r="AK35"/>
  <c r="AL35"/>
  <c r="AM35"/>
  <c r="AN35"/>
  <c r="AO35"/>
  <c r="AP35"/>
  <c r="Z35"/>
  <c r="E36"/>
  <c r="F36"/>
  <c r="H36"/>
  <c r="I36"/>
  <c r="AB36"/>
  <c r="AF36"/>
  <c r="AK36"/>
  <c r="AL36"/>
  <c r="AM36"/>
  <c r="AN36"/>
  <c r="AO36"/>
  <c r="AP36"/>
  <c r="Z36"/>
  <c r="E37"/>
  <c r="F37"/>
  <c r="H37"/>
  <c r="I37"/>
  <c r="AB37"/>
  <c r="AF37"/>
  <c r="AK37"/>
  <c r="AL37"/>
  <c r="AM37"/>
  <c r="AN37"/>
  <c r="AO37"/>
  <c r="AP37"/>
  <c r="Z37"/>
  <c r="E38"/>
  <c r="F38"/>
  <c r="H38"/>
  <c r="I38"/>
  <c r="AB38"/>
  <c r="AF38"/>
  <c r="AK38"/>
  <c r="AL38"/>
  <c r="AM38"/>
  <c r="AN38"/>
  <c r="AO38"/>
  <c r="AP38"/>
  <c r="Z38"/>
  <c r="E39"/>
  <c r="F39"/>
  <c r="H39"/>
  <c r="I39"/>
  <c r="AB39"/>
  <c r="AF39"/>
  <c r="AK39"/>
  <c r="AL39"/>
  <c r="AM39"/>
  <c r="AN39"/>
  <c r="AO39"/>
  <c r="AP39"/>
  <c r="Z39"/>
  <c r="E40"/>
  <c r="F40"/>
  <c r="H40"/>
  <c r="I40"/>
  <c r="AB40"/>
  <c r="AF40"/>
  <c r="AK40"/>
  <c r="AL40"/>
  <c r="AM40"/>
  <c r="AN40"/>
  <c r="AO40"/>
  <c r="AP40"/>
  <c r="Z40"/>
  <c r="E41"/>
  <c r="F41"/>
  <c r="H41"/>
  <c r="I41"/>
  <c r="AB41"/>
  <c r="AF41"/>
  <c r="AK41"/>
  <c r="AL41"/>
  <c r="AM41"/>
  <c r="AN41"/>
  <c r="AO41"/>
  <c r="AP41"/>
  <c r="Z41"/>
  <c r="E42"/>
  <c r="F42"/>
  <c r="H42"/>
  <c r="I42"/>
  <c r="AB42"/>
  <c r="AF42"/>
  <c r="AK42"/>
  <c r="AL42"/>
  <c r="AM42"/>
  <c r="AN42"/>
  <c r="AO42"/>
  <c r="AP42"/>
  <c r="Z42"/>
  <c r="E43"/>
  <c r="F43"/>
  <c r="H43"/>
  <c r="I43"/>
  <c r="AB43"/>
  <c r="AF43"/>
  <c r="AK43"/>
  <c r="AL43"/>
  <c r="AM43"/>
  <c r="AN43"/>
  <c r="AO43"/>
  <c r="AP43"/>
  <c r="Z43"/>
  <c r="E44"/>
  <c r="F44"/>
  <c r="H44"/>
  <c r="I44"/>
  <c r="AB44"/>
  <c r="AF44"/>
  <c r="AK44"/>
  <c r="AL44"/>
  <c r="AM44"/>
  <c r="AN44"/>
  <c r="AO44"/>
  <c r="AP44"/>
  <c r="Z44"/>
  <c r="E45"/>
  <c r="F45"/>
  <c r="H45"/>
  <c r="I45"/>
  <c r="AB45"/>
  <c r="AF45"/>
  <c r="AK45"/>
  <c r="AL45"/>
  <c r="AM45"/>
  <c r="AN45"/>
  <c r="AO45"/>
  <c r="AP45"/>
  <c r="Z45"/>
  <c r="E46"/>
  <c r="F46"/>
  <c r="H46"/>
  <c r="I46"/>
  <c r="AB46"/>
  <c r="AF46"/>
  <c r="AK46"/>
  <c r="AL46"/>
  <c r="AM46"/>
  <c r="AN46"/>
  <c r="AO46"/>
  <c r="AP46"/>
  <c r="Z46"/>
  <c r="E47"/>
  <c r="F47"/>
  <c r="AK47"/>
  <c r="AL47"/>
  <c r="AM47"/>
  <c r="AN47"/>
  <c r="AO47"/>
  <c r="AP47"/>
  <c r="Z47"/>
  <c r="E48"/>
  <c r="F48"/>
  <c r="AF48"/>
  <c r="AK48"/>
  <c r="AL48"/>
  <c r="AM48"/>
  <c r="AN48"/>
  <c r="AO48"/>
  <c r="AP48"/>
  <c r="Z48"/>
  <c r="E49"/>
  <c r="F49"/>
  <c r="H49"/>
  <c r="I49"/>
  <c r="AB49"/>
  <c r="AF49"/>
  <c r="AK49"/>
  <c r="AL49"/>
  <c r="AM49"/>
  <c r="AN49"/>
  <c r="AO49"/>
  <c r="AP49"/>
  <c r="Z49"/>
  <c r="E50"/>
  <c r="F50"/>
  <c r="Z50"/>
  <c r="E51"/>
  <c r="F51"/>
  <c r="Z51"/>
  <c r="E52"/>
  <c r="F52"/>
  <c r="AB52"/>
  <c r="AK52"/>
  <c r="AL52"/>
  <c r="AM52"/>
  <c r="AN52"/>
  <c r="AO52"/>
  <c r="AP52"/>
  <c r="Z52"/>
  <c r="E53"/>
  <c r="F53"/>
  <c r="H53"/>
  <c r="I53"/>
  <c r="AB53"/>
  <c r="AF53"/>
  <c r="AK53"/>
  <c r="AL53"/>
  <c r="AM53"/>
  <c r="AN53"/>
  <c r="AO53"/>
  <c r="AP53"/>
  <c r="Z53"/>
  <c r="E54"/>
  <c r="F54"/>
  <c r="H54"/>
  <c r="I54"/>
  <c r="AB54"/>
  <c r="AF54"/>
  <c r="AK54"/>
  <c r="AL54"/>
  <c r="AM54"/>
  <c r="AN54"/>
  <c r="AO54"/>
  <c r="AP54"/>
  <c r="Z54"/>
  <c r="E55"/>
  <c r="F55"/>
  <c r="AM55"/>
  <c r="AN55"/>
  <c r="AO55"/>
  <c r="AP55"/>
  <c r="Z55"/>
  <c r="E56"/>
  <c r="F56"/>
  <c r="AM56"/>
  <c r="AN56"/>
  <c r="AO56"/>
  <c r="AP56"/>
  <c r="Z56"/>
  <c r="E57"/>
  <c r="F57"/>
  <c r="H57"/>
  <c r="I57"/>
  <c r="AB57"/>
  <c r="AF57"/>
  <c r="AK57"/>
  <c r="AL57"/>
  <c r="AM57"/>
  <c r="AN57"/>
  <c r="AO57"/>
  <c r="AP57"/>
  <c r="Z57"/>
  <c r="E58"/>
  <c r="F58"/>
  <c r="H58"/>
  <c r="I58"/>
  <c r="AB58"/>
  <c r="AF58"/>
  <c r="AK58"/>
  <c r="AL58"/>
  <c r="AM58"/>
  <c r="AN58"/>
  <c r="AO58"/>
  <c r="AP58"/>
  <c r="Z58"/>
  <c r="E59"/>
  <c r="F59"/>
  <c r="H59"/>
  <c r="I59"/>
  <c r="AB59"/>
  <c r="AF59"/>
  <c r="AK59"/>
  <c r="AL59"/>
  <c r="AM59"/>
  <c r="AN59"/>
  <c r="AO59"/>
  <c r="AP59"/>
  <c r="Z59"/>
  <c r="E60"/>
  <c r="F60"/>
  <c r="AM60"/>
  <c r="AN60"/>
  <c r="AO60"/>
  <c r="AP60"/>
  <c r="Z60"/>
  <c r="E61"/>
  <c r="F61"/>
  <c r="AM61"/>
  <c r="AN61"/>
  <c r="AO61"/>
  <c r="AP61"/>
  <c r="Z61"/>
  <c r="E62"/>
  <c r="F62"/>
  <c r="AM62"/>
  <c r="AN62"/>
  <c r="AO62"/>
  <c r="AP62"/>
  <c r="Z62"/>
  <c r="E63"/>
  <c r="F63"/>
  <c r="AM63"/>
  <c r="AN63"/>
  <c r="AO63"/>
  <c r="AP63"/>
  <c r="Z63"/>
  <c r="E64"/>
  <c r="F64"/>
  <c r="H64"/>
  <c r="I64"/>
  <c r="AF64"/>
  <c r="AK64"/>
  <c r="AM64"/>
  <c r="AN64"/>
  <c r="AO64"/>
  <c r="AP64"/>
  <c r="Z64"/>
  <c r="E65"/>
  <c r="F65"/>
  <c r="H65"/>
  <c r="I65"/>
  <c r="AB65"/>
  <c r="AF65"/>
  <c r="AK65"/>
  <c r="AL65"/>
  <c r="AM65"/>
  <c r="AN65"/>
  <c r="AO65"/>
  <c r="AP65"/>
  <c r="Z65"/>
  <c r="E27" i="86"/>
  <c r="F27"/>
  <c r="H27"/>
  <c r="I27"/>
  <c r="AB22"/>
  <c r="AB27"/>
  <c r="AF22"/>
  <c r="AF27"/>
  <c r="AK22"/>
  <c r="AL22"/>
  <c r="AM22"/>
  <c r="AM27"/>
  <c r="AN22"/>
  <c r="AN27"/>
  <c r="AO22"/>
  <c r="AO27"/>
  <c r="AP22"/>
  <c r="AP27"/>
  <c r="Z22"/>
  <c r="Z27"/>
  <c r="AH22"/>
  <c r="AH27"/>
  <c r="AI22"/>
  <c r="AI27"/>
  <c r="E28"/>
  <c r="F28"/>
  <c r="H28"/>
  <c r="I28"/>
  <c r="AB28"/>
  <c r="AF28"/>
  <c r="AK28"/>
  <c r="AL28"/>
  <c r="AM28"/>
  <c r="AN28"/>
  <c r="AO28"/>
  <c r="AP28"/>
  <c r="Z28"/>
  <c r="AH28"/>
  <c r="AI28"/>
  <c r="F8" i="177"/>
  <c r="U28"/>
  <c r="W28"/>
  <c r="U29"/>
  <c r="W29"/>
  <c r="W27"/>
  <c r="U27"/>
  <c r="W26"/>
  <c r="U26"/>
  <c r="W25"/>
  <c r="U25"/>
  <c r="W24"/>
  <c r="U24"/>
  <c r="F8" i="182"/>
  <c r="W26"/>
  <c r="U26"/>
  <c r="W25" i="176"/>
  <c r="U25"/>
  <c r="W24"/>
  <c r="U24"/>
  <c r="E26" i="166"/>
  <c r="E28"/>
  <c r="F28"/>
  <c r="H28"/>
  <c r="I28"/>
  <c r="F8"/>
  <c r="U28"/>
  <c r="W28"/>
  <c r="AB22"/>
  <c r="AB28"/>
  <c r="AF22"/>
  <c r="AF28"/>
  <c r="AK22"/>
  <c r="AK28"/>
  <c r="AL22"/>
  <c r="AL28"/>
  <c r="AM22"/>
  <c r="AM28"/>
  <c r="AN22"/>
  <c r="AN28"/>
  <c r="AO22"/>
  <c r="AO28"/>
  <c r="AP22"/>
  <c r="AP28"/>
  <c r="Z22"/>
  <c r="Z28"/>
  <c r="AH22"/>
  <c r="AH28"/>
  <c r="AI22"/>
  <c r="AI28"/>
  <c r="E29"/>
  <c r="F29"/>
  <c r="H29"/>
  <c r="I29"/>
  <c r="U29"/>
  <c r="W29"/>
  <c r="AB29"/>
  <c r="AF29"/>
  <c r="AK29"/>
  <c r="AL29"/>
  <c r="AM29"/>
  <c r="AN29"/>
  <c r="AO29"/>
  <c r="AP29"/>
  <c r="Z29"/>
  <c r="AH29"/>
  <c r="AI29"/>
  <c r="E30"/>
  <c r="F30"/>
  <c r="H30"/>
  <c r="I30"/>
  <c r="U30"/>
  <c r="W30"/>
  <c r="AB30"/>
  <c r="AF30"/>
  <c r="AK30"/>
  <c r="AL30"/>
  <c r="AM30"/>
  <c r="AN30"/>
  <c r="AO30"/>
  <c r="AP30"/>
  <c r="Z30"/>
  <c r="AH30"/>
  <c r="AI30"/>
  <c r="E31"/>
  <c r="F31"/>
  <c r="H31"/>
  <c r="I31"/>
  <c r="U31"/>
  <c r="W31"/>
  <c r="AB31"/>
  <c r="AF31"/>
  <c r="AM31"/>
  <c r="AN31"/>
  <c r="AO31"/>
  <c r="AP31"/>
  <c r="Z31"/>
  <c r="AH31"/>
  <c r="AI31"/>
  <c r="H24" i="156"/>
  <c r="H25"/>
  <c r="H26"/>
  <c r="E27" i="78"/>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AB29"/>
  <c r="AF29"/>
  <c r="AK29"/>
  <c r="AL29"/>
  <c r="AM29"/>
  <c r="AN29"/>
  <c r="AO29"/>
  <c r="AP29"/>
  <c r="Z29"/>
  <c r="AH29"/>
  <c r="AI29"/>
  <c r="E27" i="85"/>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AB29"/>
  <c r="AF29"/>
  <c r="AK29"/>
  <c r="AL29"/>
  <c r="AM29"/>
  <c r="AN29"/>
  <c r="AO29"/>
  <c r="AP29"/>
  <c r="Z29"/>
  <c r="AH29"/>
  <c r="AI29"/>
  <c r="AB24" i="78"/>
  <c r="AB25"/>
  <c r="AB26"/>
  <c r="H24"/>
  <c r="I24"/>
  <c r="E27" i="87"/>
  <c r="F27"/>
  <c r="Z22"/>
  <c r="Z27"/>
  <c r="E28"/>
  <c r="F28"/>
  <c r="H28"/>
  <c r="I28"/>
  <c r="AB28"/>
  <c r="AF28"/>
  <c r="AM28"/>
  <c r="AN28"/>
  <c r="AO28"/>
  <c r="AP28"/>
  <c r="Z28"/>
  <c r="AH28"/>
  <c r="AI28"/>
  <c r="E29"/>
  <c r="F29"/>
  <c r="AB29"/>
  <c r="AF29"/>
  <c r="AK29"/>
  <c r="AL29"/>
  <c r="AM29"/>
  <c r="AN29"/>
  <c r="AO29"/>
  <c r="AP29"/>
  <c r="Z29"/>
  <c r="AH29"/>
  <c r="AI29"/>
  <c r="E30"/>
  <c r="F30"/>
  <c r="H30"/>
  <c r="I30"/>
  <c r="AB30"/>
  <c r="AF30"/>
  <c r="AK30"/>
  <c r="AL30"/>
  <c r="AM30"/>
  <c r="AN30"/>
  <c r="AO30"/>
  <c r="AP30"/>
  <c r="Z30"/>
  <c r="AH30"/>
  <c r="AI30"/>
  <c r="E31"/>
  <c r="F31"/>
  <c r="H31"/>
  <c r="I31"/>
  <c r="AB31"/>
  <c r="AF31"/>
  <c r="AK31"/>
  <c r="AL31"/>
  <c r="AM31"/>
  <c r="AN31"/>
  <c r="AO31"/>
  <c r="AP31"/>
  <c r="Z31"/>
  <c r="AH31"/>
  <c r="AI31"/>
  <c r="E32"/>
  <c r="F32"/>
  <c r="H32"/>
  <c r="I32"/>
  <c r="AB32"/>
  <c r="AF32"/>
  <c r="AK32"/>
  <c r="AL32"/>
  <c r="AM32"/>
  <c r="AN32"/>
  <c r="AO32"/>
  <c r="AP32"/>
  <c r="Z32"/>
  <c r="AH32"/>
  <c r="AI32"/>
  <c r="E33"/>
  <c r="F33"/>
  <c r="H33"/>
  <c r="I33"/>
  <c r="AB33"/>
  <c r="AF33"/>
  <c r="AK33"/>
  <c r="AL33"/>
  <c r="AM33"/>
  <c r="AN33"/>
  <c r="AO33"/>
  <c r="AP33"/>
  <c r="Z33"/>
  <c r="AH33"/>
  <c r="AI33"/>
  <c r="E34"/>
  <c r="F34"/>
  <c r="H34"/>
  <c r="I34"/>
  <c r="AB34"/>
  <c r="AF34"/>
  <c r="AK34"/>
  <c r="AL34"/>
  <c r="AM34"/>
  <c r="AN34"/>
  <c r="AO34"/>
  <c r="AP34"/>
  <c r="Z34"/>
  <c r="AH34"/>
  <c r="AI34"/>
  <c r="E35"/>
  <c r="F35"/>
  <c r="H35"/>
  <c r="I35"/>
  <c r="AB35"/>
  <c r="AF35"/>
  <c r="AK35"/>
  <c r="AL35"/>
  <c r="AM35"/>
  <c r="AN35"/>
  <c r="AO35"/>
  <c r="AP35"/>
  <c r="Z35"/>
  <c r="AH35"/>
  <c r="AI35"/>
  <c r="E36"/>
  <c r="F36"/>
  <c r="H36"/>
  <c r="I36"/>
  <c r="AB36"/>
  <c r="AF36"/>
  <c r="AK36"/>
  <c r="AL36"/>
  <c r="AM36"/>
  <c r="AN36"/>
  <c r="AO36"/>
  <c r="AP36"/>
  <c r="Z36"/>
  <c r="AH36"/>
  <c r="AI36"/>
  <c r="E37"/>
  <c r="F37"/>
  <c r="Z37"/>
  <c r="E38"/>
  <c r="F38"/>
  <c r="Z38"/>
  <c r="E39"/>
  <c r="F39"/>
  <c r="H39"/>
  <c r="I39"/>
  <c r="AB39"/>
  <c r="AF39"/>
  <c r="AK39"/>
  <c r="AL39"/>
  <c r="AM39"/>
  <c r="AN39"/>
  <c r="AO39"/>
  <c r="AP39"/>
  <c r="Z39"/>
  <c r="AH39"/>
  <c r="AI39"/>
  <c r="E40"/>
  <c r="F40"/>
  <c r="H40"/>
  <c r="I40"/>
  <c r="AB40"/>
  <c r="AF40"/>
  <c r="AK40"/>
  <c r="AL40"/>
  <c r="AM40"/>
  <c r="AN40"/>
  <c r="AO40"/>
  <c r="AP40"/>
  <c r="Z40"/>
  <c r="AH40"/>
  <c r="AI40"/>
  <c r="E41"/>
  <c r="F41"/>
  <c r="Z41"/>
  <c r="E42"/>
  <c r="F42"/>
  <c r="Z42"/>
  <c r="E43"/>
  <c r="F43"/>
  <c r="Z43"/>
  <c r="E44"/>
  <c r="F44"/>
  <c r="Z44"/>
  <c r="E45"/>
  <c r="F45"/>
  <c r="H45"/>
  <c r="I45"/>
  <c r="Z45"/>
  <c r="E46"/>
  <c r="F46"/>
  <c r="H46"/>
  <c r="I46"/>
  <c r="Z46"/>
  <c r="E27" i="249"/>
  <c r="F27"/>
  <c r="H27"/>
  <c r="I27"/>
  <c r="AB22"/>
  <c r="AB27"/>
  <c r="AF22"/>
  <c r="AF27"/>
  <c r="AK22"/>
  <c r="AK27"/>
  <c r="AL22"/>
  <c r="AL27"/>
  <c r="AM27"/>
  <c r="AN27"/>
  <c r="AO27"/>
  <c r="AP27"/>
  <c r="Z22"/>
  <c r="Z27"/>
  <c r="AH27"/>
  <c r="AI27"/>
  <c r="E28"/>
  <c r="F28"/>
  <c r="H28"/>
  <c r="I28"/>
  <c r="AB28"/>
  <c r="AF28"/>
  <c r="AK28"/>
  <c r="AL28"/>
  <c r="AM28"/>
  <c r="AN28"/>
  <c r="AO28"/>
  <c r="AP28"/>
  <c r="Z28"/>
  <c r="AH28"/>
  <c r="AI28"/>
  <c r="E29"/>
  <c r="F29"/>
  <c r="H29"/>
  <c r="I29"/>
  <c r="AB29"/>
  <c r="AF29"/>
  <c r="AK29"/>
  <c r="AL29"/>
  <c r="AM29"/>
  <c r="AN29"/>
  <c r="AO29"/>
  <c r="AP29"/>
  <c r="Z29"/>
  <c r="AH29"/>
  <c r="AI29"/>
  <c r="E32"/>
  <c r="F32"/>
  <c r="H32"/>
  <c r="I32"/>
  <c r="F8"/>
  <c r="U32"/>
  <c r="W32"/>
  <c r="AB32"/>
  <c r="AF32"/>
  <c r="AK32"/>
  <c r="AL32"/>
  <c r="AM32"/>
  <c r="AN32"/>
  <c r="AO32"/>
  <c r="AP32"/>
  <c r="Z32"/>
  <c r="AH32"/>
  <c r="AI32"/>
  <c r="E33"/>
  <c r="F33"/>
  <c r="U33"/>
  <c r="W33"/>
  <c r="AK33"/>
  <c r="AM33"/>
  <c r="AN33"/>
  <c r="AO33"/>
  <c r="AP33"/>
  <c r="Z33"/>
  <c r="AH33"/>
  <c r="AI33"/>
  <c r="E34"/>
  <c r="F34"/>
  <c r="U34"/>
  <c r="W34"/>
  <c r="AM34"/>
  <c r="AN34"/>
  <c r="AO34"/>
  <c r="AP34"/>
  <c r="Z34"/>
  <c r="AH34"/>
  <c r="AI34"/>
  <c r="E35"/>
  <c r="F35"/>
  <c r="H35"/>
  <c r="I35"/>
  <c r="U35"/>
  <c r="W35"/>
  <c r="AB35"/>
  <c r="AF35"/>
  <c r="AM35"/>
  <c r="AN35"/>
  <c r="AO35"/>
  <c r="AP35"/>
  <c r="Z35"/>
  <c r="AH35"/>
  <c r="AI35"/>
  <c r="E36"/>
  <c r="F36"/>
  <c r="U36"/>
  <c r="W36"/>
  <c r="AB36"/>
  <c r="AF36"/>
  <c r="AK36"/>
  <c r="AL36"/>
  <c r="AM36"/>
  <c r="AN36"/>
  <c r="AO36"/>
  <c r="AP36"/>
  <c r="Z36"/>
  <c r="AH36"/>
  <c r="AI36"/>
  <c r="E37"/>
  <c r="F37"/>
  <c r="H37"/>
  <c r="I37"/>
  <c r="U37"/>
  <c r="W37"/>
  <c r="AB37"/>
  <c r="AF37"/>
  <c r="AK37"/>
  <c r="AL37"/>
  <c r="AM37"/>
  <c r="AN37"/>
  <c r="AO37"/>
  <c r="AP37"/>
  <c r="Z37"/>
  <c r="AH37"/>
  <c r="AI37"/>
  <c r="E38"/>
  <c r="F38"/>
  <c r="H38"/>
  <c r="I38"/>
  <c r="U38"/>
  <c r="W38"/>
  <c r="AB38"/>
  <c r="AF38"/>
  <c r="AK38"/>
  <c r="AL38"/>
  <c r="AM38"/>
  <c r="AN38"/>
  <c r="AO38"/>
  <c r="AP38"/>
  <c r="Z38"/>
  <c r="AH38"/>
  <c r="AI38"/>
  <c r="E39"/>
  <c r="F39"/>
  <c r="H39"/>
  <c r="I39"/>
  <c r="U39"/>
  <c r="W39"/>
  <c r="AB39"/>
  <c r="AF39"/>
  <c r="AK39"/>
  <c r="AL39"/>
  <c r="AM39"/>
  <c r="AN39"/>
  <c r="AO39"/>
  <c r="AP39"/>
  <c r="Z39"/>
  <c r="AH39"/>
  <c r="AI39"/>
  <c r="E40"/>
  <c r="F40"/>
  <c r="H40"/>
  <c r="I40"/>
  <c r="U40"/>
  <c r="W40"/>
  <c r="AB40"/>
  <c r="AF40"/>
  <c r="AK40"/>
  <c r="AL40"/>
  <c r="AM40"/>
  <c r="AN40"/>
  <c r="AO40"/>
  <c r="AP40"/>
  <c r="Z40"/>
  <c r="AH40"/>
  <c r="AI40"/>
  <c r="E41"/>
  <c r="F41"/>
  <c r="H41"/>
  <c r="I41"/>
  <c r="U41"/>
  <c r="W41"/>
  <c r="AB41"/>
  <c r="AF41"/>
  <c r="AK41"/>
  <c r="AL41"/>
  <c r="AM41"/>
  <c r="AN41"/>
  <c r="AO41"/>
  <c r="AP41"/>
  <c r="Z41"/>
  <c r="AH41"/>
  <c r="AI41"/>
  <c r="E42"/>
  <c r="F42"/>
  <c r="U42"/>
  <c r="W42"/>
  <c r="Z42"/>
  <c r="E43"/>
  <c r="F43"/>
  <c r="U43"/>
  <c r="W43"/>
  <c r="Z43"/>
  <c r="E44"/>
  <c r="F44"/>
  <c r="H44"/>
  <c r="I44"/>
  <c r="U44"/>
  <c r="W44"/>
  <c r="AB44"/>
  <c r="AF44"/>
  <c r="AK44"/>
  <c r="AL44"/>
  <c r="AM44"/>
  <c r="AN44"/>
  <c r="AO44"/>
  <c r="AP44"/>
  <c r="Z44"/>
  <c r="AH44"/>
  <c r="AI44"/>
  <c r="E45"/>
  <c r="F45"/>
  <c r="H45"/>
  <c r="I45"/>
  <c r="U45"/>
  <c r="W45"/>
  <c r="AB45"/>
  <c r="AF45"/>
  <c r="AK45"/>
  <c r="AL45"/>
  <c r="AM45"/>
  <c r="AN45"/>
  <c r="AO45"/>
  <c r="AP45"/>
  <c r="Z45"/>
  <c r="AH45"/>
  <c r="AI45"/>
  <c r="E46"/>
  <c r="F46"/>
  <c r="U46"/>
  <c r="W46"/>
  <c r="Z46"/>
  <c r="E47"/>
  <c r="F47"/>
  <c r="U47"/>
  <c r="W47"/>
  <c r="Z47"/>
  <c r="E48"/>
  <c r="F48"/>
  <c r="U48"/>
  <c r="W48"/>
  <c r="AL48"/>
  <c r="AM48"/>
  <c r="AN48"/>
  <c r="AO48"/>
  <c r="AP48"/>
  <c r="Z48"/>
  <c r="AH48"/>
  <c r="AI48"/>
  <c r="E49"/>
  <c r="F49"/>
  <c r="U49"/>
  <c r="W49"/>
  <c r="AL49"/>
  <c r="AM49"/>
  <c r="AN49"/>
  <c r="AO49"/>
  <c r="AP49"/>
  <c r="Z49"/>
  <c r="AH49"/>
  <c r="AI49"/>
  <c r="E50"/>
  <c r="F50"/>
  <c r="H50"/>
  <c r="I50"/>
  <c r="U50"/>
  <c r="W50"/>
  <c r="AB50"/>
  <c r="AF50"/>
  <c r="AK50"/>
  <c r="AL50"/>
  <c r="AM50"/>
  <c r="AN50"/>
  <c r="AO50"/>
  <c r="AP50"/>
  <c r="Z50"/>
  <c r="AH50"/>
  <c r="AI50"/>
  <c r="E29" i="151"/>
  <c r="F29"/>
  <c r="H29"/>
  <c r="I29"/>
  <c r="F8"/>
  <c r="U29"/>
  <c r="W29"/>
  <c r="AB22"/>
  <c r="AB29"/>
  <c r="AF22"/>
  <c r="AF29"/>
  <c r="AK22"/>
  <c r="AK29"/>
  <c r="AL22"/>
  <c r="AL29"/>
  <c r="AM22"/>
  <c r="AM29"/>
  <c r="AN22"/>
  <c r="AN29"/>
  <c r="AO22"/>
  <c r="AO29"/>
  <c r="AP22"/>
  <c r="AP29"/>
  <c r="Z22"/>
  <c r="Z29"/>
  <c r="AH22"/>
  <c r="AH29"/>
  <c r="AI22"/>
  <c r="AI29"/>
  <c r="E30"/>
  <c r="F30"/>
  <c r="H30"/>
  <c r="I30"/>
  <c r="U30"/>
  <c r="W30"/>
  <c r="AB30"/>
  <c r="AF30"/>
  <c r="AK30"/>
  <c r="AL30"/>
  <c r="AM30"/>
  <c r="AN30"/>
  <c r="AO30"/>
  <c r="AP30"/>
  <c r="Z30"/>
  <c r="AH30"/>
  <c r="AI30"/>
  <c r="E31"/>
  <c r="F31"/>
  <c r="H31"/>
  <c r="I31"/>
  <c r="U31"/>
  <c r="W31"/>
  <c r="AB31"/>
  <c r="AF31"/>
  <c r="AK31"/>
  <c r="AL31"/>
  <c r="AM31"/>
  <c r="AN31"/>
  <c r="AO31"/>
  <c r="AP31"/>
  <c r="Z31"/>
  <c r="AH31"/>
  <c r="AI31"/>
  <c r="E27" i="98"/>
  <c r="F27"/>
  <c r="H27"/>
  <c r="I27"/>
  <c r="AB22"/>
  <c r="AB27"/>
  <c r="AF22"/>
  <c r="AF27"/>
  <c r="AK22"/>
  <c r="AK27"/>
  <c r="AL22"/>
  <c r="AL27"/>
  <c r="AM22"/>
  <c r="AM27"/>
  <c r="AN22"/>
  <c r="AN27"/>
  <c r="AO22"/>
  <c r="AO27"/>
  <c r="AP22"/>
  <c r="AP27"/>
  <c r="Z22"/>
  <c r="Z27"/>
  <c r="AH22"/>
  <c r="AH27"/>
  <c r="AI22"/>
  <c r="AI27"/>
  <c r="E27" i="99"/>
  <c r="F27"/>
  <c r="H27"/>
  <c r="I27"/>
  <c r="AB22"/>
  <c r="AB27"/>
  <c r="AF22"/>
  <c r="AF27"/>
  <c r="AK22"/>
  <c r="AK27"/>
  <c r="AL22"/>
  <c r="AL27"/>
  <c r="AM22"/>
  <c r="AM27"/>
  <c r="AN22"/>
  <c r="AN27"/>
  <c r="AO22"/>
  <c r="AO27"/>
  <c r="AP22"/>
  <c r="AP27"/>
  <c r="Z22"/>
  <c r="Z27"/>
  <c r="AH22"/>
  <c r="AH27"/>
  <c r="AI22"/>
  <c r="AI27"/>
  <c r="E27" i="92"/>
  <c r="F27"/>
  <c r="AB22"/>
  <c r="AF22"/>
  <c r="AK22"/>
  <c r="AL22"/>
  <c r="AL27"/>
  <c r="AM22"/>
  <c r="AM27"/>
  <c r="AN22"/>
  <c r="AN27"/>
  <c r="AO22"/>
  <c r="AO27"/>
  <c r="AP22"/>
  <c r="AP27"/>
  <c r="Z22"/>
  <c r="Z27"/>
  <c r="AH22"/>
  <c r="AH27"/>
  <c r="AI22"/>
  <c r="AI27"/>
  <c r="E28"/>
  <c r="F28"/>
  <c r="AL28"/>
  <c r="AM28"/>
  <c r="AN28"/>
  <c r="AO28"/>
  <c r="AP28"/>
  <c r="Z28"/>
  <c r="AH28"/>
  <c r="AI28"/>
  <c r="E29"/>
  <c r="F29"/>
  <c r="AM29"/>
  <c r="AN29"/>
  <c r="AO29"/>
  <c r="AP29"/>
  <c r="Z29"/>
  <c r="AH29"/>
  <c r="AI29"/>
  <c r="E30"/>
  <c r="F30"/>
  <c r="AM30"/>
  <c r="AN30"/>
  <c r="AO30"/>
  <c r="AP30"/>
  <c r="Z30"/>
  <c r="AH30"/>
  <c r="AI30"/>
  <c r="E27" i="93"/>
  <c r="F27"/>
  <c r="Z22"/>
  <c r="Z27"/>
  <c r="E28"/>
  <c r="F28"/>
  <c r="Z28"/>
  <c r="E29"/>
  <c r="F29"/>
  <c r="Z29"/>
  <c r="E30"/>
  <c r="F30"/>
  <c r="Z30"/>
  <c r="E27" i="169"/>
  <c r="F27"/>
  <c r="AL27"/>
  <c r="AM27"/>
  <c r="AN27"/>
  <c r="AO27"/>
  <c r="AP27"/>
  <c r="Z27"/>
  <c r="AH27"/>
  <c r="AI27"/>
  <c r="E28"/>
  <c r="F28"/>
  <c r="AM28"/>
  <c r="AN28"/>
  <c r="AO28"/>
  <c r="AP28"/>
  <c r="Z28"/>
  <c r="AH28"/>
  <c r="AI28"/>
  <c r="E29"/>
  <c r="F29"/>
  <c r="AM29"/>
  <c r="AN29"/>
  <c r="AO29"/>
  <c r="AP29"/>
  <c r="Z29"/>
  <c r="AH29"/>
  <c r="AI29"/>
  <c r="E27" i="94"/>
  <c r="F27"/>
  <c r="AB22"/>
  <c r="AF22"/>
  <c r="AK22"/>
  <c r="AK27"/>
  <c r="AL22"/>
  <c r="AL27"/>
  <c r="AM27"/>
  <c r="AN27"/>
  <c r="AO27"/>
  <c r="AP27"/>
  <c r="Z22"/>
  <c r="Z27"/>
  <c r="AH27"/>
  <c r="AI27"/>
  <c r="E28"/>
  <c r="F28"/>
  <c r="Z28"/>
  <c r="E29"/>
  <c r="F29"/>
  <c r="Z29"/>
  <c r="E30"/>
  <c r="F30"/>
  <c r="H30"/>
  <c r="I30"/>
  <c r="AB30"/>
  <c r="AF30"/>
  <c r="AK30"/>
  <c r="AL30"/>
  <c r="AM30"/>
  <c r="AN30"/>
  <c r="AO30"/>
  <c r="AP30"/>
  <c r="Z30"/>
  <c r="AH30"/>
  <c r="AI30"/>
  <c r="E27" i="95"/>
  <c r="F27"/>
  <c r="AB22"/>
  <c r="AF22"/>
  <c r="AK22"/>
  <c r="AK27"/>
  <c r="AL22"/>
  <c r="AL27"/>
  <c r="AM27"/>
  <c r="AN27"/>
  <c r="AO27"/>
  <c r="AP27"/>
  <c r="Z22"/>
  <c r="Z27"/>
  <c r="AH27"/>
  <c r="AI27"/>
  <c r="E28"/>
  <c r="F28"/>
  <c r="Z28"/>
  <c r="E29"/>
  <c r="F29"/>
  <c r="Z29"/>
  <c r="E30"/>
  <c r="F30"/>
  <c r="H30"/>
  <c r="I30"/>
  <c r="AB30"/>
  <c r="AF30"/>
  <c r="AK30"/>
  <c r="AL30"/>
  <c r="AM30"/>
  <c r="AN30"/>
  <c r="AO30"/>
  <c r="AP30"/>
  <c r="Z30"/>
  <c r="AH30"/>
  <c r="AI30"/>
  <c r="E27" i="170"/>
  <c r="F27"/>
  <c r="Z27"/>
  <c r="E28"/>
  <c r="F28"/>
  <c r="Z28"/>
  <c r="E27" i="96"/>
  <c r="F27"/>
  <c r="AB22"/>
  <c r="AB27"/>
  <c r="AF22"/>
  <c r="AF27"/>
  <c r="AK22"/>
  <c r="AK27"/>
  <c r="AL22"/>
  <c r="AL27"/>
  <c r="AM22"/>
  <c r="AM27"/>
  <c r="AN22"/>
  <c r="AN27"/>
  <c r="AO22"/>
  <c r="AO27"/>
  <c r="AP22"/>
  <c r="AP27"/>
  <c r="Z22"/>
  <c r="Z27"/>
  <c r="AH22"/>
  <c r="AH27"/>
  <c r="AI22"/>
  <c r="AI27"/>
  <c r="E28"/>
  <c r="F28"/>
  <c r="AB28"/>
  <c r="AK28"/>
  <c r="AL28"/>
  <c r="AM28"/>
  <c r="AN28"/>
  <c r="AO28"/>
  <c r="AP28"/>
  <c r="Z28"/>
  <c r="AH28"/>
  <c r="AI28"/>
  <c r="E29"/>
  <c r="F29"/>
  <c r="H29"/>
  <c r="I29"/>
  <c r="AB29"/>
  <c r="AF29"/>
  <c r="AK29"/>
  <c r="AL29"/>
  <c r="AM29"/>
  <c r="AN29"/>
  <c r="AO29"/>
  <c r="AP29"/>
  <c r="Z29"/>
  <c r="AH29"/>
  <c r="AI29"/>
  <c r="E27" i="97"/>
  <c r="F27"/>
  <c r="AK22"/>
  <c r="AK27"/>
  <c r="AL22"/>
  <c r="AL27"/>
  <c r="AM22"/>
  <c r="AM27"/>
  <c r="AN22"/>
  <c r="AN27"/>
  <c r="AO22"/>
  <c r="AO27"/>
  <c r="AP22"/>
  <c r="AP27"/>
  <c r="Z22"/>
  <c r="Z27"/>
  <c r="AH22"/>
  <c r="AH27"/>
  <c r="AI22"/>
  <c r="AI27"/>
  <c r="E28"/>
  <c r="F28"/>
  <c r="AK28"/>
  <c r="AL28"/>
  <c r="AM28"/>
  <c r="AN28"/>
  <c r="AO28"/>
  <c r="AP28"/>
  <c r="Z28"/>
  <c r="AH28"/>
  <c r="AI28"/>
  <c r="E29"/>
  <c r="F29"/>
  <c r="H29"/>
  <c r="I29"/>
  <c r="AB29"/>
  <c r="AF29"/>
  <c r="AK29"/>
  <c r="AL29"/>
  <c r="AM29"/>
  <c r="AN29"/>
  <c r="AO29"/>
  <c r="AP29"/>
  <c r="Z29"/>
  <c r="AH29"/>
  <c r="AI29"/>
  <c r="E27" i="171"/>
  <c r="F27"/>
  <c r="AK27"/>
  <c r="AL27"/>
  <c r="AM27"/>
  <c r="AN27"/>
  <c r="AO27"/>
  <c r="AP27"/>
  <c r="Z27"/>
  <c r="AH27"/>
  <c r="AI27"/>
  <c r="E28"/>
  <c r="F28"/>
  <c r="AK28"/>
  <c r="AL28"/>
  <c r="AM28"/>
  <c r="AN28"/>
  <c r="AO28"/>
  <c r="AP28"/>
  <c r="Z28"/>
  <c r="AH28"/>
  <c r="AI28"/>
  <c r="E27" i="172"/>
  <c r="F27"/>
  <c r="H27"/>
  <c r="I27"/>
  <c r="AB22"/>
  <c r="AB27"/>
  <c r="AF22"/>
  <c r="AF27"/>
  <c r="AK22"/>
  <c r="AK27"/>
  <c r="AL22"/>
  <c r="AL27"/>
  <c r="AM22"/>
  <c r="AM27"/>
  <c r="AN22"/>
  <c r="AN27"/>
  <c r="AO22"/>
  <c r="AO27"/>
  <c r="AP22"/>
  <c r="AP27"/>
  <c r="Z22"/>
  <c r="Z27"/>
  <c r="AH27"/>
  <c r="AI27"/>
  <c r="E27" i="130"/>
  <c r="F27"/>
  <c r="H27"/>
  <c r="I27"/>
  <c r="AB22"/>
  <c r="AB27"/>
  <c r="AF22"/>
  <c r="AF27"/>
  <c r="AK22"/>
  <c r="AK27"/>
  <c r="AL22"/>
  <c r="AL27"/>
  <c r="AM22"/>
  <c r="AM27"/>
  <c r="AN22"/>
  <c r="AN27"/>
  <c r="AP22"/>
  <c r="AP27"/>
  <c r="Z22"/>
  <c r="Z27"/>
  <c r="AH22"/>
  <c r="AH27"/>
  <c r="AI22"/>
  <c r="AI27"/>
  <c r="E28"/>
  <c r="F28"/>
  <c r="H28"/>
  <c r="I28"/>
  <c r="AB28"/>
  <c r="AF28"/>
  <c r="AK28"/>
  <c r="AL28"/>
  <c r="AM28"/>
  <c r="AN28"/>
  <c r="AP28"/>
  <c r="Z28"/>
  <c r="AH28"/>
  <c r="AI28"/>
  <c r="E27" i="135"/>
  <c r="F27"/>
  <c r="H27"/>
  <c r="I27"/>
  <c r="AB22"/>
  <c r="AB27"/>
  <c r="AF22"/>
  <c r="AF27"/>
  <c r="AK22"/>
  <c r="AK27"/>
  <c r="AL22"/>
  <c r="AL27"/>
  <c r="AM22"/>
  <c r="AM27"/>
  <c r="AN22"/>
  <c r="AN27"/>
  <c r="AP22"/>
  <c r="AP27"/>
  <c r="Z22"/>
  <c r="Z27"/>
  <c r="AH22"/>
  <c r="AH27"/>
  <c r="AI22"/>
  <c r="AI27"/>
  <c r="E28"/>
  <c r="F28"/>
  <c r="H28"/>
  <c r="I28"/>
  <c r="AB28"/>
  <c r="AF28"/>
  <c r="AK28"/>
  <c r="AL28"/>
  <c r="AM28"/>
  <c r="AN28"/>
  <c r="AP28"/>
  <c r="Z28"/>
  <c r="AH28"/>
  <c r="AI28"/>
  <c r="E27" i="173"/>
  <c r="F27"/>
  <c r="AK22"/>
  <c r="AK27"/>
  <c r="AL22"/>
  <c r="AL27"/>
  <c r="AM22"/>
  <c r="AM27"/>
  <c r="AN22"/>
  <c r="AN27"/>
  <c r="AP22"/>
  <c r="AP27"/>
  <c r="Z22"/>
  <c r="Z27"/>
  <c r="AH22"/>
  <c r="AH27"/>
  <c r="AI22"/>
  <c r="AI27"/>
  <c r="E28"/>
  <c r="F28"/>
  <c r="H28"/>
  <c r="I28"/>
  <c r="AB28"/>
  <c r="AF28"/>
  <c r="AK28"/>
  <c r="AL28"/>
  <c r="AM28"/>
  <c r="AN28"/>
  <c r="AP28"/>
  <c r="Z28"/>
  <c r="AH28"/>
  <c r="AI28"/>
  <c r="E29"/>
  <c r="F29"/>
  <c r="H29"/>
  <c r="I29"/>
  <c r="AB29"/>
  <c r="AF29"/>
  <c r="AK29"/>
  <c r="AL29"/>
  <c r="AM29"/>
  <c r="AN29"/>
  <c r="AP29"/>
  <c r="Z29"/>
  <c r="AH29"/>
  <c r="AI29"/>
  <c r="E30"/>
  <c r="F30"/>
  <c r="H30"/>
  <c r="I30"/>
  <c r="AB30"/>
  <c r="AF30"/>
  <c r="AK30"/>
  <c r="AL30"/>
  <c r="AM30"/>
  <c r="AN30"/>
  <c r="AO22"/>
  <c r="AO30"/>
  <c r="AP30"/>
  <c r="Z30"/>
  <c r="AH30"/>
  <c r="AI30"/>
  <c r="E27" i="67"/>
  <c r="F27"/>
  <c r="AB22"/>
  <c r="AB27"/>
  <c r="AF22"/>
  <c r="AK22"/>
  <c r="AK27"/>
  <c r="AL22"/>
  <c r="AL27"/>
  <c r="AM22"/>
  <c r="AM27"/>
  <c r="AN22"/>
  <c r="AN27"/>
  <c r="AO22"/>
  <c r="AO27"/>
  <c r="AP22"/>
  <c r="AP27"/>
  <c r="Z22"/>
  <c r="Z27"/>
  <c r="AH22"/>
  <c r="AH27"/>
  <c r="AI22"/>
  <c r="AI27"/>
  <c r="E28"/>
  <c r="F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27" i="88"/>
  <c r="F27"/>
  <c r="AK22"/>
  <c r="AK27"/>
  <c r="AL22"/>
  <c r="AL27"/>
  <c r="AM22"/>
  <c r="AM27"/>
  <c r="AN22"/>
  <c r="AN27"/>
  <c r="AO22"/>
  <c r="AO27"/>
  <c r="AP22"/>
  <c r="AP27"/>
  <c r="Z22"/>
  <c r="Z27"/>
  <c r="AH22"/>
  <c r="AH27"/>
  <c r="AI22"/>
  <c r="AI27"/>
  <c r="E28"/>
  <c r="F28"/>
  <c r="H28"/>
  <c r="I28"/>
  <c r="AB28"/>
  <c r="AF28"/>
  <c r="AK28"/>
  <c r="AL28"/>
  <c r="AM28"/>
  <c r="AN28"/>
  <c r="AO28"/>
  <c r="AP28"/>
  <c r="Z28"/>
  <c r="AH28"/>
  <c r="AI28"/>
  <c r="E29"/>
  <c r="F29"/>
  <c r="H29"/>
  <c r="I29"/>
  <c r="AB29"/>
  <c r="AF29"/>
  <c r="AK29"/>
  <c r="AL29"/>
  <c r="AM29"/>
  <c r="AN29"/>
  <c r="AO29"/>
  <c r="AP29"/>
  <c r="Z29"/>
  <c r="AH29"/>
  <c r="AI29"/>
  <c r="E27" i="177"/>
  <c r="F27"/>
  <c r="AK27"/>
  <c r="AL27"/>
  <c r="AM27"/>
  <c r="AN27"/>
  <c r="AO27"/>
  <c r="AP27"/>
  <c r="Z27"/>
  <c r="AH27"/>
  <c r="AI27"/>
  <c r="E28"/>
  <c r="F28"/>
  <c r="H28"/>
  <c r="I28"/>
  <c r="AB28"/>
  <c r="AF28"/>
  <c r="AK28"/>
  <c r="AL28"/>
  <c r="AM28"/>
  <c r="AN28"/>
  <c r="AO28"/>
  <c r="AP28"/>
  <c r="Z28"/>
  <c r="AH28"/>
  <c r="AI28"/>
  <c r="E29"/>
  <c r="F29"/>
  <c r="H29"/>
  <c r="I29"/>
  <c r="AB29"/>
  <c r="AF29"/>
  <c r="AK29"/>
  <c r="AL29"/>
  <c r="AM29"/>
  <c r="AN29"/>
  <c r="AO29"/>
  <c r="AP29"/>
  <c r="Z29"/>
  <c r="AH29"/>
  <c r="AI29"/>
  <c r="E27" i="68"/>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AL29"/>
  <c r="AM29"/>
  <c r="AN29"/>
  <c r="AO29"/>
  <c r="AP29"/>
  <c r="Z29"/>
  <c r="AH29"/>
  <c r="AI29"/>
  <c r="E30"/>
  <c r="F30"/>
  <c r="AL30"/>
  <c r="AM30"/>
  <c r="AN30"/>
  <c r="AO30"/>
  <c r="AP30"/>
  <c r="Z30"/>
  <c r="AH30"/>
  <c r="AI30"/>
  <c r="E27" i="152"/>
  <c r="F27"/>
  <c r="H27"/>
  <c r="I27"/>
  <c r="AF22"/>
  <c r="AF27"/>
  <c r="AK22"/>
  <c r="AK27"/>
  <c r="AL22"/>
  <c r="AL27"/>
  <c r="AM22"/>
  <c r="AM27"/>
  <c r="AN22"/>
  <c r="AN27"/>
  <c r="AO22"/>
  <c r="AO27"/>
  <c r="AP22"/>
  <c r="AP27"/>
  <c r="Z22"/>
  <c r="Z27"/>
  <c r="AH22"/>
  <c r="AH27"/>
  <c r="AI22"/>
  <c r="AI27"/>
  <c r="E27" i="181"/>
  <c r="F27"/>
  <c r="AB22"/>
  <c r="AF22"/>
  <c r="AK22"/>
  <c r="AL22"/>
  <c r="AL27"/>
  <c r="AM22"/>
  <c r="AM27"/>
  <c r="AN22"/>
  <c r="AN27"/>
  <c r="AO22"/>
  <c r="AO27"/>
  <c r="AP22"/>
  <c r="AP27"/>
  <c r="Z22"/>
  <c r="Z27"/>
  <c r="E27" i="82"/>
  <c r="F27"/>
  <c r="AB22"/>
  <c r="AF22"/>
  <c r="AF27"/>
  <c r="AK22"/>
  <c r="AL22"/>
  <c r="AL27"/>
  <c r="AM22"/>
  <c r="AM27"/>
  <c r="AN22"/>
  <c r="AN27"/>
  <c r="AO22"/>
  <c r="AO27"/>
  <c r="AP22"/>
  <c r="AP27"/>
  <c r="Z22"/>
  <c r="Z27"/>
  <c r="AH22"/>
  <c r="AH27"/>
  <c r="AI22"/>
  <c r="AI27"/>
  <c r="E28"/>
  <c r="F28"/>
  <c r="H28"/>
  <c r="I28"/>
  <c r="AB28"/>
  <c r="AF28"/>
  <c r="AK28"/>
  <c r="AL28"/>
  <c r="AM28"/>
  <c r="AN28"/>
  <c r="AO28"/>
  <c r="AP28"/>
  <c r="Z28"/>
  <c r="AH28"/>
  <c r="AI28"/>
  <c r="E29"/>
  <c r="F29"/>
  <c r="AL29"/>
  <c r="AM29"/>
  <c r="AN29"/>
  <c r="AO29"/>
  <c r="AP29"/>
  <c r="Z29"/>
  <c r="AH29"/>
  <c r="AI29"/>
  <c r="E30"/>
  <c r="F30"/>
  <c r="AL30"/>
  <c r="AM30"/>
  <c r="AN30"/>
  <c r="AO30"/>
  <c r="AP30"/>
  <c r="Z30"/>
  <c r="AH30"/>
  <c r="AI30"/>
  <c r="AI26"/>
  <c r="AH26"/>
  <c r="Z26"/>
  <c r="AP26"/>
  <c r="AO26"/>
  <c r="AN26"/>
  <c r="AM26"/>
  <c r="AL26"/>
  <c r="F26"/>
  <c r="E26"/>
  <c r="AI25"/>
  <c r="AH25"/>
  <c r="Z25"/>
  <c r="AP25"/>
  <c r="AO25"/>
  <c r="AN25"/>
  <c r="AM25"/>
  <c r="AL25"/>
  <c r="AK25"/>
  <c r="AF25"/>
  <c r="H25"/>
  <c r="AB25"/>
  <c r="I25"/>
  <c r="F25"/>
  <c r="E25"/>
  <c r="AI24"/>
  <c r="AH24"/>
  <c r="Z24"/>
  <c r="AP24"/>
  <c r="AO24"/>
  <c r="AN24"/>
  <c r="AM24"/>
  <c r="AL24"/>
  <c r="AK24"/>
  <c r="AF24"/>
  <c r="H24"/>
  <c r="AB24"/>
  <c r="I24"/>
  <c r="F24"/>
  <c r="E24"/>
  <c r="Z26" i="181"/>
  <c r="AP26"/>
  <c r="AO26"/>
  <c r="AN26"/>
  <c r="AM26"/>
  <c r="AL26"/>
  <c r="F26"/>
  <c r="E26"/>
  <c r="AI25"/>
  <c r="AH25"/>
  <c r="Z25"/>
  <c r="AP25"/>
  <c r="AO25"/>
  <c r="AN25"/>
  <c r="AM25"/>
  <c r="AL25"/>
  <c r="AK25"/>
  <c r="AF25"/>
  <c r="H25"/>
  <c r="AB25"/>
  <c r="I25"/>
  <c r="F25"/>
  <c r="E25"/>
  <c r="AI24"/>
  <c r="AH24"/>
  <c r="Z24"/>
  <c r="AP24"/>
  <c r="AO24"/>
  <c r="AN24"/>
  <c r="AM24"/>
  <c r="AL24"/>
  <c r="AK24"/>
  <c r="AF24"/>
  <c r="H24"/>
  <c r="AB24"/>
  <c r="I24"/>
  <c r="F24"/>
  <c r="E24"/>
  <c r="AI26" i="152"/>
  <c r="AH26"/>
  <c r="Z26"/>
  <c r="AP26"/>
  <c r="AO26"/>
  <c r="AN26"/>
  <c r="AM26"/>
  <c r="AL26"/>
  <c r="AK26"/>
  <c r="AF26"/>
  <c r="H26"/>
  <c r="I26"/>
  <c r="F26"/>
  <c r="E26"/>
  <c r="AI25"/>
  <c r="AH25"/>
  <c r="Z25"/>
  <c r="AP25"/>
  <c r="AO25"/>
  <c r="AN25"/>
  <c r="AM25"/>
  <c r="AL25"/>
  <c r="AK25"/>
  <c r="AF25"/>
  <c r="H25"/>
  <c r="AB22"/>
  <c r="AB25"/>
  <c r="I25"/>
  <c r="F25"/>
  <c r="E25"/>
  <c r="AI24"/>
  <c r="AH24"/>
  <c r="Z24"/>
  <c r="AP24"/>
  <c r="AO24"/>
  <c r="AN24"/>
  <c r="AM24"/>
  <c r="AL24"/>
  <c r="AK24"/>
  <c r="AF24"/>
  <c r="H24"/>
  <c r="AB24"/>
  <c r="I24"/>
  <c r="F24"/>
  <c r="E24"/>
  <c r="AI26" i="68"/>
  <c r="AH26"/>
  <c r="Z26"/>
  <c r="AP26"/>
  <c r="AO26"/>
  <c r="AN26"/>
  <c r="AM26"/>
  <c r="AL26"/>
  <c r="AK26"/>
  <c r="AF26"/>
  <c r="H26"/>
  <c r="I26"/>
  <c r="F26"/>
  <c r="E26"/>
  <c r="AI25"/>
  <c r="AH25"/>
  <c r="Z25"/>
  <c r="AP25"/>
  <c r="AO25"/>
  <c r="AN25"/>
  <c r="AM25"/>
  <c r="AL25"/>
  <c r="AK25"/>
  <c r="AF25"/>
  <c r="H25"/>
  <c r="AB25"/>
  <c r="I25"/>
  <c r="F25"/>
  <c r="E25"/>
  <c r="AI24"/>
  <c r="AH24"/>
  <c r="Z24"/>
  <c r="AP24"/>
  <c r="AO24"/>
  <c r="AN24"/>
  <c r="AM24"/>
  <c r="AL24"/>
  <c r="AK24"/>
  <c r="AF24"/>
  <c r="H24"/>
  <c r="AB24"/>
  <c r="I24"/>
  <c r="F24"/>
  <c r="E24"/>
  <c r="AI22" i="180"/>
  <c r="AI26"/>
  <c r="AH22"/>
  <c r="AH26"/>
  <c r="Z22"/>
  <c r="Z26"/>
  <c r="AP22"/>
  <c r="AP26"/>
  <c r="AO22"/>
  <c r="AO26"/>
  <c r="AN22"/>
  <c r="AN26"/>
  <c r="AM22"/>
  <c r="AM26"/>
  <c r="AL22"/>
  <c r="AL26"/>
  <c r="AK22"/>
  <c r="AK26"/>
  <c r="AF22"/>
  <c r="AF26"/>
  <c r="H26"/>
  <c r="I26"/>
  <c r="F26"/>
  <c r="E26"/>
  <c r="AI25"/>
  <c r="AH25"/>
  <c r="Z25"/>
  <c r="AP25"/>
  <c r="AO25"/>
  <c r="AN25"/>
  <c r="AM25"/>
  <c r="AL25"/>
  <c r="AK25"/>
  <c r="AF25"/>
  <c r="H25"/>
  <c r="AB22"/>
  <c r="AB25"/>
  <c r="I25"/>
  <c r="F25"/>
  <c r="E25"/>
  <c r="AI24"/>
  <c r="AH24"/>
  <c r="Z24"/>
  <c r="AP24"/>
  <c r="AO24"/>
  <c r="AN24"/>
  <c r="AM24"/>
  <c r="AL24"/>
  <c r="AK24"/>
  <c r="AF24"/>
  <c r="H24"/>
  <c r="AB24"/>
  <c r="I24"/>
  <c r="F24"/>
  <c r="E24"/>
  <c r="AI26" i="177"/>
  <c r="AH26"/>
  <c r="Z26"/>
  <c r="AP26"/>
  <c r="AO26"/>
  <c r="AN26"/>
  <c r="AM26"/>
  <c r="AL26"/>
  <c r="AK26"/>
  <c r="F26"/>
  <c r="E26"/>
  <c r="AI25"/>
  <c r="AH25"/>
  <c r="Z25"/>
  <c r="AP25"/>
  <c r="AO25"/>
  <c r="AN25"/>
  <c r="AM25"/>
  <c r="AL25"/>
  <c r="AK25"/>
  <c r="AF25"/>
  <c r="H25"/>
  <c r="I25"/>
  <c r="F25"/>
  <c r="E25"/>
  <c r="AI24"/>
  <c r="AH24"/>
  <c r="Z24"/>
  <c r="AP24"/>
  <c r="AO24"/>
  <c r="AN24"/>
  <c r="AM24"/>
  <c r="AL24"/>
  <c r="AK24"/>
  <c r="AF24"/>
  <c r="AB24"/>
  <c r="F24"/>
  <c r="E24"/>
  <c r="AI26" i="88"/>
  <c r="AH26"/>
  <c r="Z26"/>
  <c r="AP26"/>
  <c r="AO26"/>
  <c r="AN26"/>
  <c r="AM26"/>
  <c r="AL26"/>
  <c r="AK26"/>
  <c r="F26"/>
  <c r="E26"/>
  <c r="AI25"/>
  <c r="AH25"/>
  <c r="Z25"/>
  <c r="AP25"/>
  <c r="AO25"/>
  <c r="AN25"/>
  <c r="AM25"/>
  <c r="AL25"/>
  <c r="AK25"/>
  <c r="AF25"/>
  <c r="H25"/>
  <c r="I25"/>
  <c r="F25"/>
  <c r="E25"/>
  <c r="AI24"/>
  <c r="AH24"/>
  <c r="Z24"/>
  <c r="AP24"/>
  <c r="AO24"/>
  <c r="AN24"/>
  <c r="AM24"/>
  <c r="AL24"/>
  <c r="AK24"/>
  <c r="AF24"/>
  <c r="AB24"/>
  <c r="F24"/>
  <c r="E24"/>
  <c r="AI26" i="67"/>
  <c r="AH26"/>
  <c r="Z26"/>
  <c r="AP26"/>
  <c r="AO26"/>
  <c r="AN26"/>
  <c r="AM26"/>
  <c r="AL26"/>
  <c r="AK26"/>
  <c r="AF26"/>
  <c r="H26"/>
  <c r="I26"/>
  <c r="F26"/>
  <c r="E26"/>
  <c r="AI25"/>
  <c r="AH25"/>
  <c r="Z25"/>
  <c r="AP25"/>
  <c r="AO25"/>
  <c r="AN25"/>
  <c r="AM25"/>
  <c r="AL25"/>
  <c r="AK25"/>
  <c r="AF25"/>
  <c r="AB25"/>
  <c r="F25"/>
  <c r="E25"/>
  <c r="AI24"/>
  <c r="AH24"/>
  <c r="Z24"/>
  <c r="AP24"/>
  <c r="AO24"/>
  <c r="AN24"/>
  <c r="AM24"/>
  <c r="AL24"/>
  <c r="AK24"/>
  <c r="AF24"/>
  <c r="H24"/>
  <c r="AB24"/>
  <c r="I24"/>
  <c r="F24"/>
  <c r="E24"/>
  <c r="AI22" i="182"/>
  <c r="AI26"/>
  <c r="AH22"/>
  <c r="AH26"/>
  <c r="Z22"/>
  <c r="Z26"/>
  <c r="AP22"/>
  <c r="AP26"/>
  <c r="AO22"/>
  <c r="AO26"/>
  <c r="AN22"/>
  <c r="AN26"/>
  <c r="AM22"/>
  <c r="AM26"/>
  <c r="AL22"/>
  <c r="AL26"/>
  <c r="AK22"/>
  <c r="AK26"/>
  <c r="AF22"/>
  <c r="AF26"/>
  <c r="H26"/>
  <c r="AB22"/>
  <c r="AB26"/>
  <c r="I26"/>
  <c r="F26"/>
  <c r="E26"/>
  <c r="AI25"/>
  <c r="AH25"/>
  <c r="Z25"/>
  <c r="AP25"/>
  <c r="AO25"/>
  <c r="AN25"/>
  <c r="AM25"/>
  <c r="AL25"/>
  <c r="AK25"/>
  <c r="AF25"/>
  <c r="H25"/>
  <c r="I25"/>
  <c r="F25"/>
  <c r="E25"/>
  <c r="AI24"/>
  <c r="AH24"/>
  <c r="Z24"/>
  <c r="AP24"/>
  <c r="AO24"/>
  <c r="AN24"/>
  <c r="AM24"/>
  <c r="AL24"/>
  <c r="AK24"/>
  <c r="AF24"/>
  <c r="H24"/>
  <c r="I24"/>
  <c r="F24"/>
  <c r="E24"/>
  <c r="AI22" i="132"/>
  <c r="AI26"/>
  <c r="AH22"/>
  <c r="AH26"/>
  <c r="Z22"/>
  <c r="Z26"/>
  <c r="AP22"/>
  <c r="AP26"/>
  <c r="AO22"/>
  <c r="AO26"/>
  <c r="AN22"/>
  <c r="AN26"/>
  <c r="AM22"/>
  <c r="AM26"/>
  <c r="AL22"/>
  <c r="AL26"/>
  <c r="AK22"/>
  <c r="AK26"/>
  <c r="AF22"/>
  <c r="AF26"/>
  <c r="H26"/>
  <c r="AB22"/>
  <c r="AB26"/>
  <c r="I26"/>
  <c r="F26"/>
  <c r="E26"/>
  <c r="AI25"/>
  <c r="AH25"/>
  <c r="Z25"/>
  <c r="AP25"/>
  <c r="AO25"/>
  <c r="AN25"/>
  <c r="AM25"/>
  <c r="AL25"/>
  <c r="AK25"/>
  <c r="AF25"/>
  <c r="H25"/>
  <c r="I25"/>
  <c r="F25"/>
  <c r="E25"/>
  <c r="AI24"/>
  <c r="AH24"/>
  <c r="Z24"/>
  <c r="AP24"/>
  <c r="AO24"/>
  <c r="AN24"/>
  <c r="AM24"/>
  <c r="AL24"/>
  <c r="AK24"/>
  <c r="AF24"/>
  <c r="H24"/>
  <c r="I24"/>
  <c r="F24"/>
  <c r="E24"/>
  <c r="AI26" i="173"/>
  <c r="AH26"/>
  <c r="Z26"/>
  <c r="AP26"/>
  <c r="AN26"/>
  <c r="AM26"/>
  <c r="AL26"/>
  <c r="AK26"/>
  <c r="F26"/>
  <c r="E26"/>
  <c r="AI25"/>
  <c r="AH25"/>
  <c r="Z25"/>
  <c r="AP25"/>
  <c r="AN25"/>
  <c r="AM25"/>
  <c r="AL25"/>
  <c r="AK25"/>
  <c r="AF25"/>
  <c r="H25"/>
  <c r="AB25"/>
  <c r="I25"/>
  <c r="F25"/>
  <c r="E25"/>
  <c r="AI24"/>
  <c r="AH24"/>
  <c r="Z24"/>
  <c r="AP24"/>
  <c r="AN24"/>
  <c r="AM24"/>
  <c r="AL24"/>
  <c r="AK24"/>
  <c r="AF24"/>
  <c r="H24"/>
  <c r="AB24"/>
  <c r="I24"/>
  <c r="F24"/>
  <c r="E24"/>
  <c r="AI26" i="135"/>
  <c r="AH26"/>
  <c r="Z26"/>
  <c r="AP26"/>
  <c r="AN26"/>
  <c r="AM26"/>
  <c r="AL26"/>
  <c r="AK26"/>
  <c r="AF26"/>
  <c r="H26"/>
  <c r="AB26"/>
  <c r="I26"/>
  <c r="F26"/>
  <c r="E26"/>
  <c r="AI25"/>
  <c r="AH25"/>
  <c r="Z25"/>
  <c r="AP25"/>
  <c r="AN25"/>
  <c r="AM25"/>
  <c r="AL25"/>
  <c r="AK25"/>
  <c r="AF25"/>
  <c r="H25"/>
  <c r="AB25"/>
  <c r="I25"/>
  <c r="F25"/>
  <c r="E25"/>
  <c r="AI24"/>
  <c r="AH24"/>
  <c r="Z24"/>
  <c r="AP24"/>
  <c r="AN24"/>
  <c r="AM24"/>
  <c r="AL24"/>
  <c r="AK24"/>
  <c r="AF24"/>
  <c r="H24"/>
  <c r="AB24"/>
  <c r="I24"/>
  <c r="F24"/>
  <c r="E24"/>
  <c r="AI26" i="130"/>
  <c r="AH26"/>
  <c r="Z26"/>
  <c r="AP26"/>
  <c r="AN26"/>
  <c r="AM26"/>
  <c r="AL26"/>
  <c r="AK26"/>
  <c r="AF26"/>
  <c r="H26"/>
  <c r="AB26"/>
  <c r="I26"/>
  <c r="F26"/>
  <c r="E26"/>
  <c r="AI25"/>
  <c r="AH25"/>
  <c r="Z25"/>
  <c r="AP25"/>
  <c r="AN25"/>
  <c r="AM25"/>
  <c r="AL25"/>
  <c r="AK25"/>
  <c r="AF25"/>
  <c r="H25"/>
  <c r="AB25"/>
  <c r="I25"/>
  <c r="F25"/>
  <c r="E25"/>
  <c r="AI24"/>
  <c r="AH24"/>
  <c r="Z24"/>
  <c r="AP24"/>
  <c r="AN24"/>
  <c r="AM24"/>
  <c r="AL24"/>
  <c r="AK24"/>
  <c r="AF24"/>
  <c r="H24"/>
  <c r="AB24"/>
  <c r="I24"/>
  <c r="F24"/>
  <c r="E24"/>
  <c r="Z26" i="172"/>
  <c r="AP26"/>
  <c r="AO26"/>
  <c r="AN26"/>
  <c r="AM26"/>
  <c r="F26"/>
  <c r="E26"/>
  <c r="Z25"/>
  <c r="AP25"/>
  <c r="AO25"/>
  <c r="AN25"/>
  <c r="AM25"/>
  <c r="F25"/>
  <c r="E25"/>
  <c r="AI24"/>
  <c r="AH24"/>
  <c r="Z24"/>
  <c r="AP24"/>
  <c r="AO24"/>
  <c r="AN24"/>
  <c r="AM24"/>
  <c r="AL24"/>
  <c r="AK24"/>
  <c r="AF24"/>
  <c r="H24"/>
  <c r="AB24"/>
  <c r="I24"/>
  <c r="F24"/>
  <c r="E24"/>
  <c r="AI26" i="171"/>
  <c r="AH26"/>
  <c r="Z26"/>
  <c r="AP26"/>
  <c r="AO26"/>
  <c r="AN26"/>
  <c r="AM26"/>
  <c r="AL26"/>
  <c r="AK26"/>
  <c r="AF26"/>
  <c r="AB26"/>
  <c r="F26"/>
  <c r="E26"/>
  <c r="AI25"/>
  <c r="AH25"/>
  <c r="Z25"/>
  <c r="AP25"/>
  <c r="AO25"/>
  <c r="AN25"/>
  <c r="AM25"/>
  <c r="AL25"/>
  <c r="AK25"/>
  <c r="F25"/>
  <c r="E25"/>
  <c r="AI24"/>
  <c r="AH24"/>
  <c r="Z24"/>
  <c r="AP24"/>
  <c r="AO24"/>
  <c r="AN24"/>
  <c r="AM24"/>
  <c r="AL24"/>
  <c r="AK24"/>
  <c r="F24"/>
  <c r="E24"/>
  <c r="AI26" i="97"/>
  <c r="AH26"/>
  <c r="Z26"/>
  <c r="AP26"/>
  <c r="AO26"/>
  <c r="AN26"/>
  <c r="AM26"/>
  <c r="AL26"/>
  <c r="AK26"/>
  <c r="F26"/>
  <c r="E26"/>
  <c r="AI25"/>
  <c r="AH25"/>
  <c r="Z25"/>
  <c r="AP25"/>
  <c r="AO25"/>
  <c r="AN25"/>
  <c r="AM25"/>
  <c r="AL25"/>
  <c r="AK25"/>
  <c r="F25"/>
  <c r="E25"/>
  <c r="AI24"/>
  <c r="AH24"/>
  <c r="Z24"/>
  <c r="AP24"/>
  <c r="AO24"/>
  <c r="AN24"/>
  <c r="AM24"/>
  <c r="AL24"/>
  <c r="AK24"/>
  <c r="AF24"/>
  <c r="H24"/>
  <c r="AB24"/>
  <c r="I24"/>
  <c r="F24"/>
  <c r="E24"/>
  <c r="AI26" i="96"/>
  <c r="AH26"/>
  <c r="Z26"/>
  <c r="AP26"/>
  <c r="AO26"/>
  <c r="AN26"/>
  <c r="AM26"/>
  <c r="AL26"/>
  <c r="AK26"/>
  <c r="F26"/>
  <c r="E26"/>
  <c r="AI25"/>
  <c r="AH25"/>
  <c r="Z25"/>
  <c r="AP25"/>
  <c r="AO25"/>
  <c r="AN25"/>
  <c r="AM25"/>
  <c r="AL25"/>
  <c r="AK25"/>
  <c r="F25"/>
  <c r="E25"/>
  <c r="AI24"/>
  <c r="AH24"/>
  <c r="Z24"/>
  <c r="AP24"/>
  <c r="AO24"/>
  <c r="AN24"/>
  <c r="AM24"/>
  <c r="AL24"/>
  <c r="AK24"/>
  <c r="AF24"/>
  <c r="H24"/>
  <c r="AB24"/>
  <c r="I24"/>
  <c r="F24"/>
  <c r="E24"/>
  <c r="AI26" i="170"/>
  <c r="AH26"/>
  <c r="Z26"/>
  <c r="AP26"/>
  <c r="AO26"/>
  <c r="AN26"/>
  <c r="AM26"/>
  <c r="AL26"/>
  <c r="AK26"/>
  <c r="AF26"/>
  <c r="AB26"/>
  <c r="F26"/>
  <c r="E26"/>
  <c r="AI25"/>
  <c r="AH25"/>
  <c r="Z25"/>
  <c r="AP25"/>
  <c r="AO25"/>
  <c r="AN25"/>
  <c r="AM25"/>
  <c r="AL25"/>
  <c r="AK25"/>
  <c r="F25"/>
  <c r="E25"/>
  <c r="AI24"/>
  <c r="AH24"/>
  <c r="Z24"/>
  <c r="AP24"/>
  <c r="AO24"/>
  <c r="AN24"/>
  <c r="AM24"/>
  <c r="AL24"/>
  <c r="AK24"/>
  <c r="F24"/>
  <c r="E24"/>
  <c r="AI26" i="95"/>
  <c r="AH26"/>
  <c r="Z26"/>
  <c r="AP26"/>
  <c r="AO26"/>
  <c r="AN26"/>
  <c r="AM26"/>
  <c r="AL26"/>
  <c r="AK26"/>
  <c r="F26"/>
  <c r="E26"/>
  <c r="AI25"/>
  <c r="AH25"/>
  <c r="Z25"/>
  <c r="AP25"/>
  <c r="AO25"/>
  <c r="AN25"/>
  <c r="AM25"/>
  <c r="AL25"/>
  <c r="AK25"/>
  <c r="AF25"/>
  <c r="H25"/>
  <c r="AB25"/>
  <c r="I25"/>
  <c r="F25"/>
  <c r="E25"/>
  <c r="AI24"/>
  <c r="AH24"/>
  <c r="Z24"/>
  <c r="AP24"/>
  <c r="AO24"/>
  <c r="AN24"/>
  <c r="AM24"/>
  <c r="AL24"/>
  <c r="AK24"/>
  <c r="AF24"/>
  <c r="H24"/>
  <c r="AB24"/>
  <c r="I24"/>
  <c r="F24"/>
  <c r="E24"/>
  <c r="AI26" i="94"/>
  <c r="AH26"/>
  <c r="Z26"/>
  <c r="AP26"/>
  <c r="AO26"/>
  <c r="AN26"/>
  <c r="AM26"/>
  <c r="AL26"/>
  <c r="AK26"/>
  <c r="F26"/>
  <c r="E26"/>
  <c r="AI25"/>
  <c r="AH25"/>
  <c r="Z25"/>
  <c r="AP25"/>
  <c r="AO25"/>
  <c r="AN25"/>
  <c r="AM25"/>
  <c r="AL25"/>
  <c r="AK25"/>
  <c r="AF25"/>
  <c r="H25"/>
  <c r="AB25"/>
  <c r="I25"/>
  <c r="F25"/>
  <c r="E25"/>
  <c r="AI24"/>
  <c r="AH24"/>
  <c r="Z24"/>
  <c r="AP24"/>
  <c r="AO24"/>
  <c r="AN24"/>
  <c r="AM24"/>
  <c r="AL24"/>
  <c r="AK24"/>
  <c r="AF24"/>
  <c r="H24"/>
  <c r="AB24"/>
  <c r="I24"/>
  <c r="F24"/>
  <c r="E24"/>
  <c r="AI26" i="169"/>
  <c r="AH26"/>
  <c r="Z26"/>
  <c r="AP26"/>
  <c r="AO26"/>
  <c r="AN26"/>
  <c r="AM26"/>
  <c r="AL26"/>
  <c r="F26"/>
  <c r="E26"/>
  <c r="AI25"/>
  <c r="AH25"/>
  <c r="Z25"/>
  <c r="AP25"/>
  <c r="AO25"/>
  <c r="AN25"/>
  <c r="AM25"/>
  <c r="AL25"/>
  <c r="AK25"/>
  <c r="AF25"/>
  <c r="H25"/>
  <c r="AB25"/>
  <c r="I25"/>
  <c r="F25"/>
  <c r="E25"/>
  <c r="AI24"/>
  <c r="AH24"/>
  <c r="Z24"/>
  <c r="AP24"/>
  <c r="AO24"/>
  <c r="AN24"/>
  <c r="AM24"/>
  <c r="AL24"/>
  <c r="AK24"/>
  <c r="AF24"/>
  <c r="H24"/>
  <c r="AB24"/>
  <c r="I24"/>
  <c r="F24"/>
  <c r="E24"/>
  <c r="Z26" i="93"/>
  <c r="H26"/>
  <c r="I26"/>
  <c r="F26"/>
  <c r="E26"/>
  <c r="Z25"/>
  <c r="H25"/>
  <c r="I25"/>
  <c r="F25"/>
  <c r="E25"/>
  <c r="Z24"/>
  <c r="H24"/>
  <c r="I24"/>
  <c r="F24"/>
  <c r="E24"/>
  <c r="AI26" i="92"/>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99"/>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I24"/>
  <c r="F24"/>
  <c r="E24"/>
  <c r="AI26" i="98"/>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I24"/>
  <c r="F24"/>
  <c r="E24"/>
  <c r="AI26" i="151"/>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249"/>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Z26" i="87"/>
  <c r="F26"/>
  <c r="E26"/>
  <c r="AI25"/>
  <c r="AH25"/>
  <c r="Z25"/>
  <c r="AP25"/>
  <c r="AO25"/>
  <c r="AN25"/>
  <c r="AM25"/>
  <c r="AL25"/>
  <c r="AK25"/>
  <c r="AF25"/>
  <c r="H25"/>
  <c r="AB25"/>
  <c r="I25"/>
  <c r="F25"/>
  <c r="E25"/>
  <c r="AI24"/>
  <c r="AH24"/>
  <c r="Z24"/>
  <c r="AP24"/>
  <c r="AO24"/>
  <c r="AN24"/>
  <c r="AM24"/>
  <c r="AL24"/>
  <c r="AK24"/>
  <c r="AF24"/>
  <c r="H24"/>
  <c r="AB24"/>
  <c r="I24"/>
  <c r="F24"/>
  <c r="E24"/>
  <c r="Z26" i="75"/>
  <c r="F26"/>
  <c r="E26"/>
  <c r="AI25"/>
  <c r="AH25"/>
  <c r="Z25"/>
  <c r="AP25"/>
  <c r="AO25"/>
  <c r="AN25"/>
  <c r="AM25"/>
  <c r="AL25"/>
  <c r="AK25"/>
  <c r="AF25"/>
  <c r="H25"/>
  <c r="AB25"/>
  <c r="I25"/>
  <c r="F25"/>
  <c r="E25"/>
  <c r="AI24"/>
  <c r="AH24"/>
  <c r="Z24"/>
  <c r="AP24"/>
  <c r="AO24"/>
  <c r="AN24"/>
  <c r="AM24"/>
  <c r="AL24"/>
  <c r="AK24"/>
  <c r="AF24"/>
  <c r="H24"/>
  <c r="AB24"/>
  <c r="I24"/>
  <c r="F24"/>
  <c r="E24"/>
  <c r="AI26" i="17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2" i="150"/>
  <c r="AI26"/>
  <c r="AH22"/>
  <c r="AH26"/>
  <c r="Z22"/>
  <c r="Z26"/>
  <c r="AP22"/>
  <c r="AP26"/>
  <c r="AO22"/>
  <c r="AO26"/>
  <c r="AN22"/>
  <c r="AN26"/>
  <c r="AM22"/>
  <c r="AM26"/>
  <c r="AL22"/>
  <c r="AL26"/>
  <c r="AK22"/>
  <c r="AK26"/>
  <c r="AF22"/>
  <c r="AF26"/>
  <c r="H26"/>
  <c r="AB22"/>
  <c r="AB26"/>
  <c r="I26"/>
  <c r="F26"/>
  <c r="E26"/>
  <c r="AI25"/>
  <c r="AH25"/>
  <c r="Z25"/>
  <c r="AP25"/>
  <c r="AO25"/>
  <c r="AN25"/>
  <c r="AM25"/>
  <c r="AL25"/>
  <c r="AK25"/>
  <c r="AF25"/>
  <c r="H25"/>
  <c r="AB25"/>
  <c r="I25"/>
  <c r="F25"/>
  <c r="E25"/>
  <c r="AI24"/>
  <c r="AH24"/>
  <c r="Z24"/>
  <c r="AP24"/>
  <c r="AO24"/>
  <c r="AN24"/>
  <c r="AM24"/>
  <c r="AL24"/>
  <c r="AK24"/>
  <c r="AF24"/>
  <c r="H24"/>
  <c r="AB24"/>
  <c r="I24"/>
  <c r="F24"/>
  <c r="E24"/>
  <c r="AI22" i="149"/>
  <c r="AI26"/>
  <c r="AH22"/>
  <c r="AH26"/>
  <c r="Z22"/>
  <c r="Z26"/>
  <c r="AP22"/>
  <c r="AP26"/>
  <c r="AO22"/>
  <c r="AO26"/>
  <c r="AN22"/>
  <c r="AN26"/>
  <c r="AM22"/>
  <c r="AM26"/>
  <c r="AL22"/>
  <c r="AL26"/>
  <c r="AK22"/>
  <c r="AK26"/>
  <c r="AF22"/>
  <c r="AF26"/>
  <c r="H26"/>
  <c r="AB22"/>
  <c r="AB26"/>
  <c r="I26"/>
  <c r="F26"/>
  <c r="E26"/>
  <c r="AI25"/>
  <c r="AH25"/>
  <c r="Z25"/>
  <c r="AP25"/>
  <c r="AO25"/>
  <c r="AN25"/>
  <c r="AM25"/>
  <c r="AL25"/>
  <c r="AK25"/>
  <c r="AF25"/>
  <c r="H25"/>
  <c r="AB25"/>
  <c r="I25"/>
  <c r="F25"/>
  <c r="E25"/>
  <c r="AI24"/>
  <c r="AH24"/>
  <c r="Z24"/>
  <c r="AP24"/>
  <c r="AO24"/>
  <c r="AN24"/>
  <c r="AM24"/>
  <c r="AL24"/>
  <c r="AK24"/>
  <c r="AF24"/>
  <c r="H24"/>
  <c r="AB24"/>
  <c r="I24"/>
  <c r="F24"/>
  <c r="E24"/>
  <c r="AI26" i="167"/>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Z26" i="62"/>
  <c r="AP26"/>
  <c r="AO26"/>
  <c r="AN26"/>
  <c r="AM26"/>
  <c r="AL26"/>
  <c r="AF26"/>
  <c r="H26"/>
  <c r="AB26"/>
  <c r="I26"/>
  <c r="F26"/>
  <c r="E26"/>
  <c r="Z25"/>
  <c r="AP25"/>
  <c r="AO25"/>
  <c r="AN25"/>
  <c r="AM25"/>
  <c r="AL25"/>
  <c r="AF25"/>
  <c r="H25"/>
  <c r="AB25"/>
  <c r="I25"/>
  <c r="F25"/>
  <c r="E25"/>
  <c r="Z24"/>
  <c r="AP24"/>
  <c r="AO24"/>
  <c r="AN24"/>
  <c r="AM24"/>
  <c r="AL24"/>
  <c r="AF24"/>
  <c r="H24"/>
  <c r="AB24"/>
  <c r="I24"/>
  <c r="F24"/>
  <c r="E24"/>
  <c r="Z26" i="60"/>
  <c r="AP26"/>
  <c r="AO26"/>
  <c r="AN26"/>
  <c r="AM26"/>
  <c r="AL26"/>
  <c r="AK26"/>
  <c r="AF26"/>
  <c r="H26"/>
  <c r="AB26"/>
  <c r="I26"/>
  <c r="F26"/>
  <c r="E26"/>
  <c r="Z25"/>
  <c r="AP25"/>
  <c r="AO25"/>
  <c r="AN25"/>
  <c r="AM25"/>
  <c r="AL25"/>
  <c r="AK25"/>
  <c r="AF25"/>
  <c r="H25"/>
  <c r="AB25"/>
  <c r="I25"/>
  <c r="F25"/>
  <c r="E25"/>
  <c r="Z24"/>
  <c r="AP24"/>
  <c r="AO24"/>
  <c r="AN24"/>
  <c r="AM24"/>
  <c r="AL24"/>
  <c r="AK24"/>
  <c r="AF24"/>
  <c r="H24"/>
  <c r="AB24"/>
  <c r="I24"/>
  <c r="F24"/>
  <c r="E24"/>
  <c r="AI25" i="166"/>
  <c r="AH25"/>
  <c r="Z25"/>
  <c r="AP25"/>
  <c r="AO25"/>
  <c r="AN25"/>
  <c r="AM25"/>
  <c r="AL25"/>
  <c r="AK25"/>
  <c r="AF25"/>
  <c r="H25"/>
  <c r="AB25"/>
  <c r="I25"/>
  <c r="F25"/>
  <c r="E25"/>
  <c r="AI24"/>
  <c r="AH24"/>
  <c r="Z24"/>
  <c r="AP24"/>
  <c r="AO24"/>
  <c r="AN24"/>
  <c r="AM24"/>
  <c r="AL24"/>
  <c r="AK24"/>
  <c r="AF24"/>
  <c r="H24"/>
  <c r="AB24"/>
  <c r="I24"/>
  <c r="F24"/>
  <c r="E24"/>
  <c r="AI26" i="8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7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81"/>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2" i="179"/>
  <c r="AI26"/>
  <c r="AH22"/>
  <c r="AH26"/>
  <c r="Z22"/>
  <c r="Z26"/>
  <c r="AP22"/>
  <c r="AP26"/>
  <c r="AO22"/>
  <c r="AO26"/>
  <c r="AN22"/>
  <c r="AN26"/>
  <c r="AM22"/>
  <c r="AM26"/>
  <c r="AL22"/>
  <c r="AL26"/>
  <c r="AK22"/>
  <c r="AK26"/>
  <c r="AF22"/>
  <c r="AF26"/>
  <c r="F8"/>
  <c r="W26"/>
  <c r="U26"/>
  <c r="I26"/>
  <c r="F26"/>
  <c r="E26"/>
  <c r="AI25"/>
  <c r="AH25"/>
  <c r="Z25"/>
  <c r="AP25"/>
  <c r="AO25"/>
  <c r="AN25"/>
  <c r="AM25"/>
  <c r="AL25"/>
  <c r="AK25"/>
  <c r="AF25"/>
  <c r="H25"/>
  <c r="AB22"/>
  <c r="AB25"/>
  <c r="I25"/>
  <c r="F25"/>
  <c r="E25"/>
  <c r="AI24"/>
  <c r="AH24"/>
  <c r="Z24"/>
  <c r="AP24"/>
  <c r="AO24"/>
  <c r="AN24"/>
  <c r="AM24"/>
  <c r="AL24"/>
  <c r="AK24"/>
  <c r="AF24"/>
  <c r="H24"/>
  <c r="AB24"/>
  <c r="W24"/>
  <c r="U24"/>
  <c r="I24"/>
  <c r="F24"/>
  <c r="E24"/>
  <c r="AI26" i="158"/>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85"/>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E24" i="78"/>
  <c r="F24"/>
  <c r="AF24"/>
  <c r="AK24"/>
  <c r="AL24"/>
  <c r="AM24"/>
  <c r="AN24"/>
  <c r="AO24"/>
  <c r="AP24"/>
  <c r="Z24"/>
  <c r="AH24"/>
  <c r="AI24"/>
  <c r="E25"/>
  <c r="F25"/>
  <c r="H25"/>
  <c r="I25"/>
  <c r="AF25"/>
  <c r="AK25"/>
  <c r="AL25"/>
  <c r="AM25"/>
  <c r="AN25"/>
  <c r="AO25"/>
  <c r="AP25"/>
  <c r="Z25"/>
  <c r="AH25"/>
  <c r="AI25"/>
  <c r="E26"/>
  <c r="F26"/>
  <c r="H26"/>
  <c r="I26"/>
  <c r="AF26"/>
  <c r="AK26"/>
  <c r="AL26"/>
  <c r="AM26"/>
  <c r="AN26"/>
  <c r="AO26"/>
  <c r="AP26"/>
  <c r="Z26"/>
  <c r="AH26"/>
  <c r="AI26"/>
  <c r="E26" i="156"/>
  <c r="F26"/>
  <c r="I26"/>
  <c r="AB26"/>
  <c r="AF26"/>
  <c r="AK26"/>
  <c r="AL26"/>
  <c r="AM26"/>
  <c r="AN26"/>
  <c r="AO26"/>
  <c r="AP26"/>
  <c r="Z26"/>
  <c r="AH26"/>
  <c r="AI26"/>
  <c r="E27"/>
  <c r="F27"/>
  <c r="H27"/>
  <c r="I27"/>
  <c r="AB27"/>
  <c r="AF27"/>
  <c r="AK27"/>
  <c r="AL27"/>
  <c r="AM27"/>
  <c r="AN27"/>
  <c r="AO27"/>
  <c r="AP27"/>
  <c r="Z27"/>
  <c r="AH27"/>
  <c r="AI27"/>
  <c r="E28"/>
  <c r="F28"/>
  <c r="H28"/>
  <c r="I28"/>
  <c r="AB28"/>
  <c r="AF28"/>
  <c r="AK28"/>
  <c r="AL28"/>
  <c r="AM28"/>
  <c r="AN28"/>
  <c r="AO28"/>
  <c r="AP28"/>
  <c r="Z28"/>
  <c r="AH28"/>
  <c r="AI28"/>
  <c r="E29"/>
  <c r="F29"/>
  <c r="H29"/>
  <c r="I29"/>
  <c r="AB29"/>
  <c r="AF29"/>
  <c r="AK29"/>
  <c r="AL29"/>
  <c r="AM29"/>
  <c r="AN29"/>
  <c r="AO29"/>
  <c r="AP29"/>
  <c r="Z29"/>
  <c r="AH29"/>
  <c r="AI29"/>
  <c r="AI25"/>
  <c r="AH25"/>
  <c r="Z25"/>
  <c r="AP25"/>
  <c r="AO25"/>
  <c r="AN25"/>
  <c r="AM25"/>
  <c r="AL25"/>
  <c r="AK25"/>
  <c r="AF25"/>
  <c r="AB25"/>
  <c r="I25"/>
  <c r="F25"/>
  <c r="E25"/>
  <c r="AI24"/>
  <c r="AH24"/>
  <c r="Z24"/>
  <c r="AP24"/>
  <c r="AO24"/>
  <c r="AN24"/>
  <c r="AM24"/>
  <c r="AL24"/>
  <c r="AK24"/>
  <c r="AF24"/>
  <c r="AB24"/>
  <c r="I24"/>
  <c r="F24"/>
  <c r="E24"/>
  <c r="E27" i="84"/>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31"/>
  <c r="F31"/>
  <c r="AB31"/>
  <c r="AF31"/>
  <c r="AK31"/>
  <c r="AL31"/>
  <c r="AM31"/>
  <c r="AN31"/>
  <c r="AO31"/>
  <c r="AP31"/>
  <c r="Z31"/>
  <c r="AH31"/>
  <c r="AI31"/>
  <c r="AI26"/>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E27" i="71"/>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31"/>
  <c r="F31"/>
  <c r="AB31"/>
  <c r="AF31"/>
  <c r="AK31"/>
  <c r="AL31"/>
  <c r="AM31"/>
  <c r="AN31"/>
  <c r="AO31"/>
  <c r="AP31"/>
  <c r="Z31"/>
  <c r="AH31"/>
  <c r="AI31"/>
  <c r="E27" i="74"/>
  <c r="F27"/>
  <c r="H27"/>
  <c r="I27"/>
  <c r="AB22"/>
  <c r="AB27"/>
  <c r="AF22"/>
  <c r="AF27"/>
  <c r="AK22"/>
  <c r="AK27"/>
  <c r="AL22"/>
  <c r="AL27"/>
  <c r="AM22"/>
  <c r="AM27"/>
  <c r="AN22"/>
  <c r="AN27"/>
  <c r="AO22"/>
  <c r="AO27"/>
  <c r="AP22"/>
  <c r="AP27"/>
  <c r="Z22"/>
  <c r="Z27"/>
  <c r="AH27"/>
  <c r="AI27"/>
  <c r="E28"/>
  <c r="F28"/>
  <c r="AB28"/>
  <c r="AK28"/>
  <c r="AL28"/>
  <c r="AM28"/>
  <c r="AN28"/>
  <c r="AO28"/>
  <c r="AP28"/>
  <c r="Z28"/>
  <c r="AH28"/>
  <c r="AI28"/>
  <c r="E29"/>
  <c r="F29"/>
  <c r="AB29"/>
  <c r="AF29"/>
  <c r="AK29"/>
  <c r="AL29"/>
  <c r="AM29"/>
  <c r="AN29"/>
  <c r="AO29"/>
  <c r="AP29"/>
  <c r="Z29"/>
  <c r="AH29"/>
  <c r="AI29"/>
  <c r="E30"/>
  <c r="F30"/>
  <c r="AM30"/>
  <c r="AN30"/>
  <c r="AO30"/>
  <c r="AP30"/>
  <c r="Z30"/>
  <c r="E31"/>
  <c r="F31"/>
  <c r="AM31"/>
  <c r="AN31"/>
  <c r="AO31"/>
  <c r="AP31"/>
  <c r="Z31"/>
  <c r="E27" i="70"/>
  <c r="F27"/>
  <c r="H27"/>
  <c r="I27"/>
  <c r="AB22"/>
  <c r="AB27"/>
  <c r="AF22"/>
  <c r="AF27"/>
  <c r="AK22"/>
  <c r="AK27"/>
  <c r="AL22"/>
  <c r="AL27"/>
  <c r="AM22"/>
  <c r="AM27"/>
  <c r="AN22"/>
  <c r="AN27"/>
  <c r="AO22"/>
  <c r="AO27"/>
  <c r="AP22"/>
  <c r="AP27"/>
  <c r="Z22"/>
  <c r="Z27"/>
  <c r="AH27"/>
  <c r="AI27"/>
  <c r="E28"/>
  <c r="F28"/>
  <c r="H28"/>
  <c r="I28"/>
  <c r="AB28"/>
  <c r="AF28"/>
  <c r="AK28"/>
  <c r="AL28"/>
  <c r="AM28"/>
  <c r="AN28"/>
  <c r="AO28"/>
  <c r="AP28"/>
  <c r="Z28"/>
  <c r="AH28"/>
  <c r="AI28"/>
  <c r="E29"/>
  <c r="F29"/>
  <c r="AB29"/>
  <c r="AK29"/>
  <c r="AL29"/>
  <c r="AM29"/>
  <c r="AN29"/>
  <c r="AO29"/>
  <c r="AP29"/>
  <c r="Z29"/>
  <c r="AH29"/>
  <c r="AI29"/>
  <c r="E30"/>
  <c r="F30"/>
  <c r="AB30"/>
  <c r="AF30"/>
  <c r="AK30"/>
  <c r="AL30"/>
  <c r="AM30"/>
  <c r="AN30"/>
  <c r="AO30"/>
  <c r="AP30"/>
  <c r="Z30"/>
  <c r="AH30"/>
  <c r="AI30"/>
  <c r="E31"/>
  <c r="F31"/>
  <c r="H31"/>
  <c r="I31"/>
  <c r="T31"/>
  <c r="F8"/>
  <c r="U31"/>
  <c r="V31"/>
  <c r="W31"/>
  <c r="AB31"/>
  <c r="AF31"/>
  <c r="AK31"/>
  <c r="AL31"/>
  <c r="AM31"/>
  <c r="AN31"/>
  <c r="AO31"/>
  <c r="AP31"/>
  <c r="Z31"/>
  <c r="AH31"/>
  <c r="AI31"/>
  <c r="E32"/>
  <c r="F32"/>
  <c r="AM32"/>
  <c r="AN32"/>
  <c r="AO32"/>
  <c r="AP32"/>
  <c r="Z32"/>
  <c r="E33"/>
  <c r="F33"/>
  <c r="AM33"/>
  <c r="AN33"/>
  <c r="AO33"/>
  <c r="AP33"/>
  <c r="Z33"/>
  <c r="E27" i="73"/>
  <c r="F27"/>
  <c r="H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32"/>
  <c r="F32"/>
  <c r="H32"/>
  <c r="I32"/>
  <c r="AB32"/>
  <c r="AF32"/>
  <c r="AK32"/>
  <c r="AL32"/>
  <c r="AM32"/>
  <c r="AN32"/>
  <c r="AO32"/>
  <c r="AP32"/>
  <c r="Z32"/>
  <c r="AH32"/>
  <c r="AI32"/>
  <c r="E33"/>
  <c r="F33"/>
  <c r="H33"/>
  <c r="I33"/>
  <c r="AF33"/>
  <c r="AK33"/>
  <c r="AL33"/>
  <c r="AM33"/>
  <c r="AN33"/>
  <c r="AO33"/>
  <c r="AP33"/>
  <c r="Z33"/>
  <c r="AH33"/>
  <c r="AI33"/>
  <c r="E34"/>
  <c r="F34"/>
  <c r="H34"/>
  <c r="I34"/>
  <c r="AB34"/>
  <c r="AF34"/>
  <c r="AK34"/>
  <c r="AL34"/>
  <c r="AM34"/>
  <c r="AN34"/>
  <c r="AO34"/>
  <c r="AP34"/>
  <c r="Z34"/>
  <c r="AH34"/>
  <c r="AI34"/>
  <c r="E35"/>
  <c r="F35"/>
  <c r="H35"/>
  <c r="I35"/>
  <c r="AB35"/>
  <c r="AF35"/>
  <c r="AK35"/>
  <c r="AL35"/>
  <c r="AM35"/>
  <c r="AN35"/>
  <c r="AO35"/>
  <c r="AP35"/>
  <c r="Z35"/>
  <c r="AH35"/>
  <c r="AI35"/>
  <c r="E36"/>
  <c r="F36"/>
  <c r="H36"/>
  <c r="I36"/>
  <c r="AB36"/>
  <c r="AF36"/>
  <c r="AK36"/>
  <c r="AL36"/>
  <c r="AM36"/>
  <c r="AN36"/>
  <c r="AO36"/>
  <c r="AP36"/>
  <c r="Z36"/>
  <c r="AH36"/>
  <c r="AI36"/>
  <c r="E27" i="63"/>
  <c r="F27"/>
  <c r="H27"/>
  <c r="I27"/>
  <c r="AB22"/>
  <c r="AB27"/>
  <c r="AF22"/>
  <c r="AF27"/>
  <c r="AK22"/>
  <c r="AK27"/>
  <c r="AL22"/>
  <c r="AL27"/>
  <c r="AM22"/>
  <c r="AM27"/>
  <c r="AN22"/>
  <c r="AN27"/>
  <c r="AO22"/>
  <c r="AO27"/>
  <c r="AP22"/>
  <c r="AP27"/>
  <c r="Z22"/>
  <c r="Z27"/>
  <c r="AH27"/>
  <c r="AI27"/>
  <c r="E28"/>
  <c r="F28"/>
  <c r="H28"/>
  <c r="I28"/>
  <c r="AB28"/>
  <c r="AF28"/>
  <c r="AK28"/>
  <c r="AL28"/>
  <c r="AM28"/>
  <c r="AN28"/>
  <c r="AO28"/>
  <c r="AP28"/>
  <c r="Z28"/>
  <c r="AH28"/>
  <c r="AI28"/>
  <c r="E29"/>
  <c r="F29"/>
  <c r="H29"/>
  <c r="I29"/>
  <c r="AB29"/>
  <c r="AF29"/>
  <c r="AK29"/>
  <c r="AL29"/>
  <c r="AM29"/>
  <c r="AN29"/>
  <c r="AO29"/>
  <c r="AP29"/>
  <c r="Z29"/>
  <c r="AH29"/>
  <c r="AI29"/>
  <c r="E30"/>
  <c r="F30"/>
  <c r="H30"/>
  <c r="I30"/>
  <c r="AB30"/>
  <c r="AF30"/>
  <c r="AK30"/>
  <c r="AL30"/>
  <c r="AM30"/>
  <c r="AN30"/>
  <c r="AO30"/>
  <c r="AP30"/>
  <c r="Z30"/>
  <c r="AH30"/>
  <c r="AI30"/>
  <c r="E31"/>
  <c r="F31"/>
  <c r="H31"/>
  <c r="I31"/>
  <c r="AB31"/>
  <c r="AF31"/>
  <c r="AK31"/>
  <c r="AL31"/>
  <c r="AM31"/>
  <c r="AN31"/>
  <c r="AO31"/>
  <c r="AP31"/>
  <c r="Z31"/>
  <c r="AH31"/>
  <c r="AI31"/>
  <c r="E32"/>
  <c r="F32"/>
  <c r="H32"/>
  <c r="I32"/>
  <c r="AB32"/>
  <c r="AF32"/>
  <c r="AK32"/>
  <c r="AL32"/>
  <c r="AM32"/>
  <c r="AN32"/>
  <c r="AO32"/>
  <c r="AP32"/>
  <c r="Z32"/>
  <c r="AH32"/>
  <c r="AI32"/>
  <c r="E33"/>
  <c r="F33"/>
  <c r="H33"/>
  <c r="I33"/>
  <c r="AB33"/>
  <c r="AF33"/>
  <c r="AK33"/>
  <c r="AL33"/>
  <c r="AM33"/>
  <c r="AN33"/>
  <c r="AO33"/>
  <c r="AP33"/>
  <c r="Z33"/>
  <c r="AH33"/>
  <c r="AI33"/>
  <c r="E34"/>
  <c r="F34"/>
  <c r="H34"/>
  <c r="I34"/>
  <c r="AB34"/>
  <c r="AF34"/>
  <c r="AK34"/>
  <c r="AL34"/>
  <c r="AM34"/>
  <c r="AN34"/>
  <c r="AO34"/>
  <c r="AP34"/>
  <c r="Z34"/>
  <c r="AH34"/>
  <c r="AI34"/>
  <c r="E35"/>
  <c r="F35"/>
  <c r="H35"/>
  <c r="I35"/>
  <c r="AB35"/>
  <c r="AF35"/>
  <c r="AK35"/>
  <c r="AL35"/>
  <c r="AM35"/>
  <c r="AN35"/>
  <c r="AO35"/>
  <c r="AP35"/>
  <c r="Z35"/>
  <c r="AH35"/>
  <c r="AI35"/>
  <c r="E36"/>
  <c r="F36"/>
  <c r="H36"/>
  <c r="I36"/>
  <c r="AB36"/>
  <c r="AF36"/>
  <c r="AK36"/>
  <c r="AL36"/>
  <c r="AM36"/>
  <c r="AN36"/>
  <c r="AO36"/>
  <c r="AP36"/>
  <c r="Z36"/>
  <c r="AH36"/>
  <c r="AI36"/>
  <c r="E37"/>
  <c r="F37"/>
  <c r="H37"/>
  <c r="I37"/>
  <c r="AB37"/>
  <c r="AF37"/>
  <c r="AK37"/>
  <c r="AL37"/>
  <c r="AM37"/>
  <c r="AN37"/>
  <c r="AO37"/>
  <c r="AP37"/>
  <c r="Z37"/>
  <c r="AH37"/>
  <c r="AI37"/>
  <c r="E38"/>
  <c r="F38"/>
  <c r="H38"/>
  <c r="I38"/>
  <c r="AB38"/>
  <c r="AF38"/>
  <c r="AK38"/>
  <c r="AL38"/>
  <c r="AM38"/>
  <c r="AN38"/>
  <c r="AO38"/>
  <c r="AP38"/>
  <c r="Z38"/>
  <c r="AH38"/>
  <c r="AI38"/>
  <c r="E39"/>
  <c r="F39"/>
  <c r="H39"/>
  <c r="I39"/>
  <c r="AB39"/>
  <c r="AF39"/>
  <c r="AK39"/>
  <c r="AL39"/>
  <c r="AM39"/>
  <c r="AN39"/>
  <c r="AO39"/>
  <c r="AP39"/>
  <c r="Z39"/>
  <c r="AH39"/>
  <c r="AI39"/>
  <c r="E40"/>
  <c r="F40"/>
  <c r="H40"/>
  <c r="I40"/>
  <c r="AB40"/>
  <c r="AF40"/>
  <c r="AK40"/>
  <c r="AL40"/>
  <c r="AM40"/>
  <c r="AN40"/>
  <c r="AO40"/>
  <c r="AP40"/>
  <c r="Z40"/>
  <c r="AH40"/>
  <c r="AI40"/>
  <c r="E41"/>
  <c r="F41"/>
  <c r="AK41"/>
  <c r="AL41"/>
  <c r="AM41"/>
  <c r="AN41"/>
  <c r="AO41"/>
  <c r="AP41"/>
  <c r="Z41"/>
  <c r="AH41"/>
  <c r="AI41"/>
  <c r="E42"/>
  <c r="F42"/>
  <c r="AF42"/>
  <c r="AK42"/>
  <c r="AL42"/>
  <c r="AM42"/>
  <c r="AN42"/>
  <c r="AO42"/>
  <c r="AP42"/>
  <c r="Z42"/>
  <c r="AH42"/>
  <c r="AI42"/>
  <c r="E43"/>
  <c r="F43"/>
  <c r="H43"/>
  <c r="I43"/>
  <c r="AB43"/>
  <c r="AF43"/>
  <c r="AK43"/>
  <c r="AL43"/>
  <c r="AM43"/>
  <c r="AN43"/>
  <c r="AO43"/>
  <c r="AP43"/>
  <c r="Z43"/>
  <c r="AH43"/>
  <c r="AI43"/>
  <c r="E44"/>
  <c r="F44"/>
  <c r="H44"/>
  <c r="I44"/>
  <c r="AB44"/>
  <c r="AF44"/>
  <c r="AK44"/>
  <c r="AL44"/>
  <c r="AM44"/>
  <c r="AN44"/>
  <c r="AO44"/>
  <c r="AP44"/>
  <c r="Z44"/>
  <c r="AH44"/>
  <c r="AI44"/>
  <c r="E45"/>
  <c r="F45"/>
  <c r="H45"/>
  <c r="I45"/>
  <c r="AB45"/>
  <c r="AF45"/>
  <c r="AK45"/>
  <c r="AL45"/>
  <c r="AM45"/>
  <c r="AN45"/>
  <c r="AO45"/>
  <c r="AP45"/>
  <c r="Z45"/>
  <c r="AH45"/>
  <c r="AI45"/>
  <c r="E46"/>
  <c r="F46"/>
  <c r="H46"/>
  <c r="I46"/>
  <c r="AB46"/>
  <c r="AF46"/>
  <c r="AK46"/>
  <c r="AL46"/>
  <c r="AM46"/>
  <c r="AN46"/>
  <c r="AO46"/>
  <c r="AP46"/>
  <c r="Z46"/>
  <c r="AH46"/>
  <c r="AI46"/>
  <c r="E47"/>
  <c r="F47"/>
  <c r="H47"/>
  <c r="I47"/>
  <c r="AB47"/>
  <c r="AF47"/>
  <c r="AK47"/>
  <c r="AL47"/>
  <c r="AM47"/>
  <c r="AN47"/>
  <c r="AO47"/>
  <c r="AP47"/>
  <c r="Z47"/>
  <c r="AH47"/>
  <c r="AI47"/>
  <c r="E48"/>
  <c r="F48"/>
  <c r="AL48"/>
  <c r="AM48"/>
  <c r="AN48"/>
  <c r="AO48"/>
  <c r="AP48"/>
  <c r="Z48"/>
  <c r="AH48"/>
  <c r="AI48"/>
  <c r="E49"/>
  <c r="F49"/>
  <c r="AL49"/>
  <c r="AM49"/>
  <c r="AN49"/>
  <c r="AO49"/>
  <c r="AP49"/>
  <c r="Z49"/>
  <c r="AH49"/>
  <c r="AI49"/>
  <c r="E50"/>
  <c r="F50"/>
  <c r="AM50"/>
  <c r="AN50"/>
  <c r="AO50"/>
  <c r="AP50"/>
  <c r="Z50"/>
  <c r="E51"/>
  <c r="F51"/>
  <c r="AM51"/>
  <c r="AN51"/>
  <c r="AO51"/>
  <c r="AP51"/>
  <c r="Z51"/>
  <c r="E52"/>
  <c r="F52"/>
  <c r="H52"/>
  <c r="I52"/>
  <c r="AB52"/>
  <c r="AF52"/>
  <c r="AK52"/>
  <c r="AL52"/>
  <c r="AM52"/>
  <c r="AN52"/>
  <c r="AO52"/>
  <c r="AP52"/>
  <c r="Z52"/>
  <c r="AH52"/>
  <c r="AI52"/>
  <c r="E53"/>
  <c r="F53"/>
  <c r="AM53"/>
  <c r="AN53"/>
  <c r="AO53"/>
  <c r="AP53"/>
  <c r="Z53"/>
  <c r="AH53"/>
  <c r="AI53"/>
  <c r="E54"/>
  <c r="F54"/>
  <c r="AM54"/>
  <c r="AN54"/>
  <c r="AO54"/>
  <c r="AP54"/>
  <c r="Z54"/>
  <c r="AH54"/>
  <c r="AI54"/>
  <c r="E55"/>
  <c r="F55"/>
  <c r="H55"/>
  <c r="I55"/>
  <c r="AB55"/>
  <c r="AF55"/>
  <c r="AK55"/>
  <c r="AL55"/>
  <c r="AM55"/>
  <c r="AN55"/>
  <c r="AO55"/>
  <c r="AP55"/>
  <c r="Z55"/>
  <c r="AH55"/>
  <c r="AI55"/>
  <c r="E56"/>
  <c r="F56"/>
  <c r="H56"/>
  <c r="I56"/>
  <c r="AB56"/>
  <c r="AF56"/>
  <c r="AK56"/>
  <c r="AL56"/>
  <c r="AM56"/>
  <c r="AN56"/>
  <c r="AO56"/>
  <c r="AP56"/>
  <c r="Z56"/>
  <c r="AH56"/>
  <c r="AI56"/>
  <c r="E38" i="72"/>
  <c r="F38"/>
  <c r="AF22"/>
  <c r="AF38"/>
  <c r="AK22"/>
  <c r="AK38"/>
  <c r="AL22"/>
  <c r="AL38"/>
  <c r="AM22"/>
  <c r="AM38"/>
  <c r="AN22"/>
  <c r="AN38"/>
  <c r="AO22"/>
  <c r="AO38"/>
  <c r="AP22"/>
  <c r="AP38"/>
  <c r="Z22"/>
  <c r="Z38"/>
  <c r="AH22"/>
  <c r="AH38"/>
  <c r="AI22"/>
  <c r="AI38"/>
  <c r="E39"/>
  <c r="F39"/>
  <c r="H39"/>
  <c r="I39"/>
  <c r="AB22"/>
  <c r="AB39"/>
  <c r="AF39"/>
  <c r="AK39"/>
  <c r="AL39"/>
  <c r="AM39"/>
  <c r="AN39"/>
  <c r="AO39"/>
  <c r="AP39"/>
  <c r="Z39"/>
  <c r="AH39"/>
  <c r="AI39"/>
  <c r="E40"/>
  <c r="F40"/>
  <c r="H40"/>
  <c r="I40"/>
  <c r="AB40"/>
  <c r="AF40"/>
  <c r="AK40"/>
  <c r="AL40"/>
  <c r="AM40"/>
  <c r="AN40"/>
  <c r="AO40"/>
  <c r="AP40"/>
  <c r="Z40"/>
  <c r="AH40"/>
  <c r="AI40"/>
  <c r="E41"/>
  <c r="F41"/>
  <c r="AM41"/>
  <c r="AN41"/>
  <c r="AO41"/>
  <c r="AP41"/>
  <c r="Z41"/>
  <c r="AH41"/>
  <c r="AI41"/>
  <c r="E42"/>
  <c r="F42"/>
  <c r="AM42"/>
  <c r="AN42"/>
  <c r="AO42"/>
  <c r="AP42"/>
  <c r="Z42"/>
  <c r="AH42"/>
  <c r="AI42"/>
  <c r="E43"/>
  <c r="F43"/>
  <c r="AK43"/>
  <c r="AL43"/>
  <c r="AM43"/>
  <c r="AN43"/>
  <c r="AO43"/>
  <c r="AP43"/>
  <c r="Z43"/>
  <c r="AH43"/>
  <c r="AI43"/>
  <c r="E44"/>
  <c r="F44"/>
  <c r="AK44"/>
  <c r="AL44"/>
  <c r="AM44"/>
  <c r="AN44"/>
  <c r="AO44"/>
  <c r="AP44"/>
  <c r="Z44"/>
  <c r="AH44"/>
  <c r="AI44"/>
  <c r="E45"/>
  <c r="F45"/>
  <c r="AB45"/>
  <c r="AF45"/>
  <c r="AK45"/>
  <c r="AL45"/>
  <c r="AM45"/>
  <c r="AN45"/>
  <c r="AO45"/>
  <c r="AP45"/>
  <c r="Z45"/>
  <c r="AH45"/>
  <c r="AI45"/>
  <c r="E46"/>
  <c r="F46"/>
  <c r="H46"/>
  <c r="I46"/>
  <c r="AB46"/>
  <c r="AF46"/>
  <c r="AK46"/>
  <c r="AL46"/>
  <c r="AM46"/>
  <c r="AN46"/>
  <c r="AO46"/>
  <c r="AP46"/>
  <c r="Z46"/>
  <c r="AH46"/>
  <c r="AI46"/>
  <c r="E47"/>
  <c r="F47"/>
  <c r="H47"/>
  <c r="I47"/>
  <c r="AB47"/>
  <c r="AF47"/>
  <c r="AK47"/>
  <c r="AL47"/>
  <c r="AM47"/>
  <c r="AN47"/>
  <c r="AO47"/>
  <c r="AP47"/>
  <c r="Z47"/>
  <c r="AH47"/>
  <c r="AI47"/>
  <c r="E48"/>
  <c r="F48"/>
  <c r="H48"/>
  <c r="I48"/>
  <c r="AB48"/>
  <c r="AF48"/>
  <c r="AK48"/>
  <c r="AL48"/>
  <c r="AM48"/>
  <c r="AN48"/>
  <c r="AO48"/>
  <c r="AP48"/>
  <c r="Z48"/>
  <c r="AH48"/>
  <c r="AI48"/>
  <c r="E27"/>
  <c r="F27"/>
  <c r="H27"/>
  <c r="I27"/>
  <c r="AB27"/>
  <c r="AF27"/>
  <c r="AK27"/>
  <c r="AL27"/>
  <c r="AM27"/>
  <c r="AN27"/>
  <c r="AO27"/>
  <c r="AP27"/>
  <c r="Z27"/>
  <c r="AH27"/>
  <c r="AI27"/>
  <c r="E28"/>
  <c r="F28"/>
  <c r="H28"/>
  <c r="I28"/>
  <c r="AB28"/>
  <c r="AF28"/>
  <c r="AL28"/>
  <c r="AM28"/>
  <c r="AN28"/>
  <c r="AO28"/>
  <c r="AP28"/>
  <c r="Z28"/>
  <c r="AH28"/>
  <c r="AI28"/>
  <c r="E29"/>
  <c r="F29"/>
  <c r="H29"/>
  <c r="I29"/>
  <c r="AB29"/>
  <c r="AF29"/>
  <c r="AK29"/>
  <c r="AL29"/>
  <c r="AM29"/>
  <c r="AN29"/>
  <c r="AO29"/>
  <c r="AP29"/>
  <c r="Z29"/>
  <c r="AH29"/>
  <c r="AI29"/>
  <c r="E30"/>
  <c r="F30"/>
  <c r="AB30"/>
  <c r="AL30"/>
  <c r="AM30"/>
  <c r="AN30"/>
  <c r="AO30"/>
  <c r="AP30"/>
  <c r="Z30"/>
  <c r="AH30"/>
  <c r="AI30"/>
  <c r="E31"/>
  <c r="F31"/>
  <c r="AB31"/>
  <c r="AF31"/>
  <c r="AL31"/>
  <c r="AM31"/>
  <c r="AN31"/>
  <c r="AO31"/>
  <c r="AP31"/>
  <c r="Z31"/>
  <c r="AH31"/>
  <c r="AI31"/>
  <c r="E32"/>
  <c r="F32"/>
  <c r="H32"/>
  <c r="I32"/>
  <c r="AB32"/>
  <c r="AF32"/>
  <c r="AK32"/>
  <c r="AL32"/>
  <c r="AM32"/>
  <c r="AN32"/>
  <c r="AO32"/>
  <c r="AP32"/>
  <c r="Z32"/>
  <c r="AH32"/>
  <c r="AI32"/>
  <c r="E33"/>
  <c r="F33"/>
  <c r="H33"/>
  <c r="I33"/>
  <c r="AB33"/>
  <c r="AF33"/>
  <c r="AK33"/>
  <c r="AL33"/>
  <c r="AM33"/>
  <c r="AN33"/>
  <c r="AO33"/>
  <c r="AP33"/>
  <c r="Z33"/>
  <c r="AH33"/>
  <c r="AI33"/>
  <c r="E34"/>
  <c r="F34"/>
  <c r="H34"/>
  <c r="I34"/>
  <c r="AB34"/>
  <c r="AF34"/>
  <c r="AK34"/>
  <c r="AL34"/>
  <c r="AM34"/>
  <c r="AN34"/>
  <c r="AO34"/>
  <c r="AP34"/>
  <c r="Z34"/>
  <c r="AH34"/>
  <c r="AI34"/>
  <c r="E35"/>
  <c r="F35"/>
  <c r="H35"/>
  <c r="I35"/>
  <c r="AB35"/>
  <c r="AF35"/>
  <c r="AK35"/>
  <c r="AL35"/>
  <c r="AM35"/>
  <c r="AN35"/>
  <c r="AO35"/>
  <c r="AP35"/>
  <c r="Z35"/>
  <c r="AH35"/>
  <c r="AI35"/>
  <c r="E36"/>
  <c r="F36"/>
  <c r="H36"/>
  <c r="I36"/>
  <c r="AB36"/>
  <c r="AF36"/>
  <c r="AK36"/>
  <c r="AL36"/>
  <c r="AM36"/>
  <c r="AN36"/>
  <c r="AO36"/>
  <c r="AP36"/>
  <c r="Z36"/>
  <c r="AH36"/>
  <c r="AI36"/>
  <c r="E37"/>
  <c r="F37"/>
  <c r="AK37"/>
  <c r="AL37"/>
  <c r="AM37"/>
  <c r="AN37"/>
  <c r="AO37"/>
  <c r="AP37"/>
  <c r="Z37"/>
  <c r="AH37"/>
  <c r="AI37"/>
  <c r="E27" i="65"/>
  <c r="H27"/>
  <c r="I27"/>
  <c r="AB22"/>
  <c r="AB27"/>
  <c r="AF22"/>
  <c r="AF27"/>
  <c r="AK22"/>
  <c r="AK27"/>
  <c r="AL22"/>
  <c r="AL27"/>
  <c r="AM22"/>
  <c r="AM27"/>
  <c r="AN22"/>
  <c r="AN27"/>
  <c r="AP22"/>
  <c r="AP27"/>
  <c r="Z22"/>
  <c r="Z27"/>
  <c r="AH22"/>
  <c r="AH27"/>
  <c r="AI22"/>
  <c r="AI27"/>
  <c r="E28"/>
  <c r="AK28"/>
  <c r="AL28"/>
  <c r="AM28"/>
  <c r="AN28"/>
  <c r="AP28"/>
  <c r="Z28"/>
  <c r="AH28"/>
  <c r="AI28"/>
  <c r="E29"/>
  <c r="AK29"/>
  <c r="AL29"/>
  <c r="AM29"/>
  <c r="AN29"/>
  <c r="AP29"/>
  <c r="Z29"/>
  <c r="AH29"/>
  <c r="AI29"/>
  <c r="E30"/>
  <c r="H30"/>
  <c r="I30"/>
  <c r="AB30"/>
  <c r="AF30"/>
  <c r="AK30"/>
  <c r="AL30"/>
  <c r="AM30"/>
  <c r="AN30"/>
  <c r="AP30"/>
  <c r="Z30"/>
  <c r="AH30"/>
  <c r="AI30"/>
  <c r="E31"/>
  <c r="H31"/>
  <c r="I31"/>
  <c r="AB31"/>
  <c r="AF31"/>
  <c r="AK31"/>
  <c r="AL31"/>
  <c r="AM31"/>
  <c r="AN31"/>
  <c r="AP31"/>
  <c r="Z31"/>
  <c r="AH31"/>
  <c r="AI31"/>
  <c r="E32"/>
  <c r="AK32"/>
  <c r="AL32"/>
  <c r="AM32"/>
  <c r="AN32"/>
  <c r="AP32"/>
  <c r="Z32"/>
  <c r="AH32"/>
  <c r="AI32"/>
  <c r="E33"/>
  <c r="AF33"/>
  <c r="AK33"/>
  <c r="AL33"/>
  <c r="AM33"/>
  <c r="AN33"/>
  <c r="AP33"/>
  <c r="Z33"/>
  <c r="AH33"/>
  <c r="AI33"/>
  <c r="E27" i="123"/>
  <c r="F27"/>
  <c r="I27"/>
  <c r="AB22"/>
  <c r="AB27"/>
  <c r="AF22"/>
  <c r="AF27"/>
  <c r="AK22"/>
  <c r="AK27"/>
  <c r="AL22"/>
  <c r="AL27"/>
  <c r="AM22"/>
  <c r="AM27"/>
  <c r="AN22"/>
  <c r="AN27"/>
  <c r="AO22"/>
  <c r="AO27"/>
  <c r="AP22"/>
  <c r="AP27"/>
  <c r="Z22"/>
  <c r="Z27"/>
  <c r="AH22"/>
  <c r="AH27"/>
  <c r="AI22"/>
  <c r="AI27"/>
  <c r="E28"/>
  <c r="F28"/>
  <c r="H28"/>
  <c r="I28"/>
  <c r="AB28"/>
  <c r="AF28"/>
  <c r="AK28"/>
  <c r="AL28"/>
  <c r="AM28"/>
  <c r="AN28"/>
  <c r="AO28"/>
  <c r="AP28"/>
  <c r="Z28"/>
  <c r="AH28"/>
  <c r="AI28"/>
  <c r="E29"/>
  <c r="F29"/>
  <c r="H29"/>
  <c r="I29"/>
  <c r="AB29"/>
  <c r="AF29"/>
  <c r="AK29"/>
  <c r="AL29"/>
  <c r="AM29"/>
  <c r="AN29"/>
  <c r="AO29"/>
  <c r="AP29"/>
  <c r="Z29"/>
  <c r="AH29"/>
  <c r="AI29"/>
  <c r="E30"/>
  <c r="F30"/>
  <c r="H30"/>
  <c r="AB30"/>
  <c r="AF30"/>
  <c r="AK30"/>
  <c r="AL30"/>
  <c r="AM30"/>
  <c r="AN30"/>
  <c r="AO30"/>
  <c r="AP30"/>
  <c r="Z30"/>
  <c r="AH30"/>
  <c r="AI30"/>
  <c r="E31"/>
  <c r="F31"/>
  <c r="AB31"/>
  <c r="AK31"/>
  <c r="AL31"/>
  <c r="AM31"/>
  <c r="AN31"/>
  <c r="AO31"/>
  <c r="AP31"/>
  <c r="Z31"/>
  <c r="AH31"/>
  <c r="AI31"/>
  <c r="E32"/>
  <c r="F32"/>
  <c r="AB32"/>
  <c r="AF32"/>
  <c r="AK32"/>
  <c r="AL32"/>
  <c r="AM32"/>
  <c r="AN32"/>
  <c r="AO32"/>
  <c r="AP32"/>
  <c r="Z32"/>
  <c r="AH32"/>
  <c r="AI32"/>
  <c r="E33"/>
  <c r="F33"/>
  <c r="H33"/>
  <c r="I33"/>
  <c r="AB33"/>
  <c r="AF33"/>
  <c r="AK33"/>
  <c r="AL33"/>
  <c r="AM33"/>
  <c r="AN33"/>
  <c r="AO33"/>
  <c r="AP33"/>
  <c r="Z33"/>
  <c r="AH33"/>
  <c r="AI33"/>
  <c r="AI26" i="166"/>
  <c r="AH26"/>
  <c r="Z26"/>
  <c r="AP26"/>
  <c r="AO26"/>
  <c r="AN26"/>
  <c r="AM26"/>
  <c r="AL26"/>
  <c r="AK26"/>
  <c r="AF26"/>
  <c r="H26"/>
  <c r="AB26"/>
  <c r="I26"/>
  <c r="F26"/>
  <c r="AI26" i="71"/>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74"/>
  <c r="AH26"/>
  <c r="Z26"/>
  <c r="AP26"/>
  <c r="AO26"/>
  <c r="AN26"/>
  <c r="AM26"/>
  <c r="AL26"/>
  <c r="AK26"/>
  <c r="AF26"/>
  <c r="H26"/>
  <c r="I26"/>
  <c r="F26"/>
  <c r="E26"/>
  <c r="AI25"/>
  <c r="AH25"/>
  <c r="Z25"/>
  <c r="AP25"/>
  <c r="AO25"/>
  <c r="AN25"/>
  <c r="AM25"/>
  <c r="AL25"/>
  <c r="AK25"/>
  <c r="AF25"/>
  <c r="H25"/>
  <c r="AB25"/>
  <c r="I25"/>
  <c r="F25"/>
  <c r="E25"/>
  <c r="AI24"/>
  <c r="AH24"/>
  <c r="Z24"/>
  <c r="AP24"/>
  <c r="AO24"/>
  <c r="AN24"/>
  <c r="AM24"/>
  <c r="AL24"/>
  <c r="AK24"/>
  <c r="AF24"/>
  <c r="H24"/>
  <c r="AB24"/>
  <c r="I24"/>
  <c r="F24"/>
  <c r="E24"/>
  <c r="AI26" i="70"/>
  <c r="AH26"/>
  <c r="Z26"/>
  <c r="AP26"/>
  <c r="AO26"/>
  <c r="AN26"/>
  <c r="AM26"/>
  <c r="AL26"/>
  <c r="AK26"/>
  <c r="AF26"/>
  <c r="H26"/>
  <c r="I26"/>
  <c r="F26"/>
  <c r="E26"/>
  <c r="AI25"/>
  <c r="AH25"/>
  <c r="Z25"/>
  <c r="AP25"/>
  <c r="AO25"/>
  <c r="AN25"/>
  <c r="AM25"/>
  <c r="AL25"/>
  <c r="AK25"/>
  <c r="AF25"/>
  <c r="H25"/>
  <c r="AB25"/>
  <c r="I25"/>
  <c r="F25"/>
  <c r="E25"/>
  <c r="AI24"/>
  <c r="AH24"/>
  <c r="Z24"/>
  <c r="AP24"/>
  <c r="AO24"/>
  <c r="AN24"/>
  <c r="AM24"/>
  <c r="AL24"/>
  <c r="AK24"/>
  <c r="AF24"/>
  <c r="H24"/>
  <c r="AB24"/>
  <c r="I24"/>
  <c r="F24"/>
  <c r="E24"/>
  <c r="AI26" i="73"/>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63"/>
  <c r="AH26"/>
  <c r="Z26"/>
  <c r="AP26"/>
  <c r="AO26"/>
  <c r="AN26"/>
  <c r="AM26"/>
  <c r="AL26"/>
  <c r="AK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AI26" i="72"/>
  <c r="AH26"/>
  <c r="Z26"/>
  <c r="AP26"/>
  <c r="AO26"/>
  <c r="AN26"/>
  <c r="AM26"/>
  <c r="AF26"/>
  <c r="H26"/>
  <c r="AB26"/>
  <c r="I26"/>
  <c r="F26"/>
  <c r="E26"/>
  <c r="AI25"/>
  <c r="AH25"/>
  <c r="Z25"/>
  <c r="AP25"/>
  <c r="AO25"/>
  <c r="AN25"/>
  <c r="AM25"/>
  <c r="AL25"/>
  <c r="AK25"/>
  <c r="AF25"/>
  <c r="H25"/>
  <c r="AB25"/>
  <c r="I25"/>
  <c r="F25"/>
  <c r="E25"/>
  <c r="AI24"/>
  <c r="AH24"/>
  <c r="Z24"/>
  <c r="AP24"/>
  <c r="AO24"/>
  <c r="AN24"/>
  <c r="AM24"/>
  <c r="AL24"/>
  <c r="AK24"/>
  <c r="AF24"/>
  <c r="H24"/>
  <c r="AB24"/>
  <c r="I24"/>
  <c r="F24"/>
  <c r="E24"/>
  <c r="F25" i="122"/>
  <c r="F26"/>
  <c r="F27"/>
  <c r="F28"/>
  <c r="F29"/>
  <c r="F25" i="123"/>
  <c r="F26"/>
  <c r="F25" i="148"/>
  <c r="F26"/>
  <c r="AI26" i="65"/>
  <c r="AH26"/>
  <c r="Z26"/>
  <c r="AP26"/>
  <c r="AN26"/>
  <c r="AM26"/>
  <c r="AL26"/>
  <c r="AK26"/>
  <c r="AF26"/>
  <c r="H26"/>
  <c r="AB26"/>
  <c r="I26"/>
  <c r="E26"/>
  <c r="AI25"/>
  <c r="AH25"/>
  <c r="Z25"/>
  <c r="AP25"/>
  <c r="AN25"/>
  <c r="AM25"/>
  <c r="AL25"/>
  <c r="AK25"/>
  <c r="AF25"/>
  <c r="H25"/>
  <c r="AB25"/>
  <c r="I25"/>
  <c r="E25"/>
  <c r="AI24"/>
  <c r="AH24"/>
  <c r="Z24"/>
  <c r="AP24"/>
  <c r="AN24"/>
  <c r="AM24"/>
  <c r="AL24"/>
  <c r="AK24"/>
  <c r="AF24"/>
  <c r="H24"/>
  <c r="AB24"/>
  <c r="I24"/>
  <c r="F24"/>
  <c r="E24"/>
  <c r="AQ22"/>
  <c r="AQ26"/>
  <c r="AE22"/>
  <c r="AE26"/>
  <c r="Y22"/>
  <c r="Y26"/>
  <c r="AC22"/>
  <c r="AC25"/>
  <c r="AQ25"/>
  <c r="AE25"/>
  <c r="Y25"/>
  <c r="AC24"/>
  <c r="AQ24"/>
  <c r="AE24"/>
  <c r="Y24"/>
  <c r="AI22" i="148"/>
  <c r="AI26"/>
  <c r="Z22"/>
  <c r="Z26"/>
  <c r="AP22"/>
  <c r="AP26"/>
  <c r="AO22"/>
  <c r="AO26"/>
  <c r="AN22"/>
  <c r="AN26"/>
  <c r="AM22"/>
  <c r="AM26"/>
  <c r="AL22"/>
  <c r="AL26"/>
  <c r="AK22"/>
  <c r="AK26"/>
  <c r="AF22"/>
  <c r="AF26"/>
  <c r="H26"/>
  <c r="AB22"/>
  <c r="AB26"/>
  <c r="I26"/>
  <c r="E26"/>
  <c r="AI25"/>
  <c r="Z25"/>
  <c r="AP25"/>
  <c r="AO25"/>
  <c r="AN25"/>
  <c r="AM25"/>
  <c r="AL25"/>
  <c r="AK25"/>
  <c r="AF25"/>
  <c r="H25"/>
  <c r="AB25"/>
  <c r="I25"/>
  <c r="E25"/>
  <c r="AI24"/>
  <c r="Z24"/>
  <c r="AP24"/>
  <c r="AO24"/>
  <c r="AN24"/>
  <c r="AM24"/>
  <c r="AL24"/>
  <c r="AK24"/>
  <c r="AF24"/>
  <c r="H24"/>
  <c r="AB24"/>
  <c r="I24"/>
  <c r="F24"/>
  <c r="E24"/>
  <c r="AI26" i="123"/>
  <c r="AH26"/>
  <c r="Z26"/>
  <c r="AP26"/>
  <c r="AO26"/>
  <c r="AN26"/>
  <c r="AM26"/>
  <c r="AL26"/>
  <c r="AK26"/>
  <c r="AF26"/>
  <c r="H26"/>
  <c r="AB26"/>
  <c r="I26"/>
  <c r="E26"/>
  <c r="AI25"/>
  <c r="AH25"/>
  <c r="Z25"/>
  <c r="AP25"/>
  <c r="AO25"/>
  <c r="AN25"/>
  <c r="AM25"/>
  <c r="AL25"/>
  <c r="AK25"/>
  <c r="AF25"/>
  <c r="H25"/>
  <c r="AB25"/>
  <c r="I25"/>
  <c r="E25"/>
  <c r="AI24"/>
  <c r="AH24"/>
  <c r="Z24"/>
  <c r="AP24"/>
  <c r="AO24"/>
  <c r="AN24"/>
  <c r="AM24"/>
  <c r="AL24"/>
  <c r="AK24"/>
  <c r="AF24"/>
  <c r="H24"/>
  <c r="AB24"/>
  <c r="I24"/>
  <c r="F24"/>
  <c r="E24"/>
  <c r="F24" i="122"/>
  <c r="F25" i="64"/>
  <c r="F26"/>
  <c r="F27"/>
  <c r="F28"/>
  <c r="F29"/>
  <c r="F30"/>
  <c r="F31"/>
  <c r="F32"/>
  <c r="F33"/>
  <c r="F34"/>
  <c r="F35"/>
  <c r="F36"/>
  <c r="F37"/>
  <c r="F38"/>
  <c r="F39"/>
  <c r="F24"/>
  <c r="E27" i="122"/>
  <c r="H27"/>
  <c r="I27"/>
  <c r="T27"/>
  <c r="U27"/>
  <c r="V27"/>
  <c r="W27"/>
  <c r="AB22"/>
  <c r="AB27"/>
  <c r="AF22"/>
  <c r="AF27"/>
  <c r="AK22"/>
  <c r="AK27"/>
  <c r="AL22"/>
  <c r="AL27"/>
  <c r="AM22"/>
  <c r="AM27"/>
  <c r="AN22"/>
  <c r="AN27"/>
  <c r="AO22"/>
  <c r="AO27"/>
  <c r="AP22"/>
  <c r="AP27"/>
  <c r="Z22"/>
  <c r="Z27"/>
  <c r="AI22"/>
  <c r="AI27"/>
  <c r="E28"/>
  <c r="H28"/>
  <c r="I28"/>
  <c r="AB28"/>
  <c r="AF28"/>
  <c r="AK28"/>
  <c r="AL28"/>
  <c r="AM28"/>
  <c r="AN28"/>
  <c r="AO28"/>
  <c r="AP28"/>
  <c r="Z28"/>
  <c r="AH28"/>
  <c r="AI28"/>
  <c r="E29"/>
  <c r="H29"/>
  <c r="I29"/>
  <c r="T29"/>
  <c r="U29"/>
  <c r="V29"/>
  <c r="W29"/>
  <c r="AB29"/>
  <c r="AF29"/>
  <c r="AL29"/>
  <c r="AM29"/>
  <c r="AN29"/>
  <c r="AO29"/>
  <c r="AP29"/>
  <c r="Z29"/>
  <c r="AI29"/>
  <c r="AI26"/>
  <c r="AH26"/>
  <c r="Z26"/>
  <c r="AP26"/>
  <c r="AO26"/>
  <c r="AN26"/>
  <c r="AM26"/>
  <c r="AL26"/>
  <c r="AK26"/>
  <c r="AF26"/>
  <c r="H26"/>
  <c r="AB26"/>
  <c r="I26"/>
  <c r="E26"/>
  <c r="AI25"/>
  <c r="AH25"/>
  <c r="Z25"/>
  <c r="AP25"/>
  <c r="AO25"/>
  <c r="AN25"/>
  <c r="AM25"/>
  <c r="AL25"/>
  <c r="AK25"/>
  <c r="AF25"/>
  <c r="H25"/>
  <c r="AB25"/>
  <c r="I25"/>
  <c r="E25"/>
  <c r="AI24"/>
  <c r="AH24"/>
  <c r="Z24"/>
  <c r="AP24"/>
  <c r="AO24"/>
  <c r="AN24"/>
  <c r="AM24"/>
  <c r="AL24"/>
  <c r="AK24"/>
  <c r="AF24"/>
  <c r="H24"/>
  <c r="AB24"/>
  <c r="I24"/>
  <c r="E24"/>
  <c r="H31" i="64"/>
  <c r="AB22"/>
  <c r="AB31"/>
  <c r="AF22"/>
  <c r="AF31"/>
  <c r="AK22"/>
  <c r="AK31"/>
  <c r="AL22"/>
  <c r="AL31"/>
  <c r="AM22"/>
  <c r="AM31"/>
  <c r="AN22"/>
  <c r="AN31"/>
  <c r="AO22"/>
  <c r="AO31"/>
  <c r="AP22"/>
  <c r="AP31"/>
  <c r="Z22"/>
  <c r="Z31"/>
  <c r="AH22"/>
  <c r="AH31"/>
  <c r="AI22"/>
  <c r="AI31"/>
  <c r="AB32"/>
  <c r="AK32"/>
  <c r="AL32"/>
  <c r="AM32"/>
  <c r="AN32"/>
  <c r="AO32"/>
  <c r="AP32"/>
  <c r="Z32"/>
  <c r="AH32"/>
  <c r="AI32"/>
  <c r="AB33"/>
  <c r="AF33"/>
  <c r="AK33"/>
  <c r="AL33"/>
  <c r="AM33"/>
  <c r="AN33"/>
  <c r="AO33"/>
  <c r="AP33"/>
  <c r="Z33"/>
  <c r="AH33"/>
  <c r="AI33"/>
  <c r="H34"/>
  <c r="I34"/>
  <c r="AB34"/>
  <c r="AF34"/>
  <c r="AK34"/>
  <c r="AL34"/>
  <c r="AM34"/>
  <c r="AN34"/>
  <c r="AO34"/>
  <c r="AP34"/>
  <c r="Z34"/>
  <c r="AH34"/>
  <c r="AI34"/>
  <c r="H35"/>
  <c r="I35"/>
  <c r="AB35"/>
  <c r="AF35"/>
  <c r="AK35"/>
  <c r="AL35"/>
  <c r="AM35"/>
  <c r="AN35"/>
  <c r="AO35"/>
  <c r="AP35"/>
  <c r="Z35"/>
  <c r="AH35"/>
  <c r="AI35"/>
  <c r="H36"/>
  <c r="I36"/>
  <c r="AB36"/>
  <c r="AF36"/>
  <c r="AK36"/>
  <c r="AL36"/>
  <c r="AM36"/>
  <c r="AN36"/>
  <c r="AO36"/>
  <c r="AP36"/>
  <c r="Z36"/>
  <c r="AH36"/>
  <c r="AI36"/>
  <c r="H37"/>
  <c r="I37"/>
  <c r="T37"/>
  <c r="U37"/>
  <c r="V37"/>
  <c r="W37"/>
  <c r="AB37"/>
  <c r="AF37"/>
  <c r="AK37"/>
  <c r="AL37"/>
  <c r="AM37"/>
  <c r="AN37"/>
  <c r="AO37"/>
  <c r="AP37"/>
  <c r="Z37"/>
  <c r="AH37"/>
  <c r="AI37"/>
  <c r="H38"/>
  <c r="I38"/>
  <c r="AB38"/>
  <c r="AF38"/>
  <c r="AK38"/>
  <c r="AL38"/>
  <c r="AM38"/>
  <c r="AN38"/>
  <c r="AO38"/>
  <c r="AP38"/>
  <c r="Z38"/>
  <c r="AH38"/>
  <c r="AI38"/>
  <c r="H39"/>
  <c r="I39"/>
  <c r="T39"/>
  <c r="U39"/>
  <c r="V39"/>
  <c r="W39"/>
  <c r="AB39"/>
  <c r="AF39"/>
  <c r="AL39"/>
  <c r="AM39"/>
  <c r="AN39"/>
  <c r="AO39"/>
  <c r="AP39"/>
  <c r="Z39"/>
  <c r="AH39"/>
  <c r="AI39"/>
  <c r="H25"/>
  <c r="I25"/>
  <c r="AB25"/>
  <c r="AF25"/>
  <c r="AK25"/>
  <c r="AL25"/>
  <c r="AM25"/>
  <c r="AN25"/>
  <c r="AO25"/>
  <c r="AP25"/>
  <c r="Z25"/>
  <c r="AH25"/>
  <c r="AI25"/>
  <c r="H26"/>
  <c r="I26"/>
  <c r="AB26"/>
  <c r="AF26"/>
  <c r="AK26"/>
  <c r="AL26"/>
  <c r="AM26"/>
  <c r="AN26"/>
  <c r="AO26"/>
  <c r="AP26"/>
  <c r="Z26"/>
  <c r="AH26"/>
  <c r="AI26"/>
  <c r="I27"/>
  <c r="AB27"/>
  <c r="AF27"/>
  <c r="AK27"/>
  <c r="AL27"/>
  <c r="AM27"/>
  <c r="AN27"/>
  <c r="AO27"/>
  <c r="AP27"/>
  <c r="Z27"/>
  <c r="AH27"/>
  <c r="AI27"/>
  <c r="H28"/>
  <c r="I28"/>
  <c r="AB28"/>
  <c r="AF28"/>
  <c r="AK28"/>
  <c r="AL28"/>
  <c r="AM28"/>
  <c r="AN28"/>
  <c r="AO28"/>
  <c r="AP28"/>
  <c r="Z28"/>
  <c r="AH28"/>
  <c r="AI28"/>
  <c r="H29"/>
  <c r="I29"/>
  <c r="AB29"/>
  <c r="AF29"/>
  <c r="AK29"/>
  <c r="AL29"/>
  <c r="AM29"/>
  <c r="AN29"/>
  <c r="AO29"/>
  <c r="AP29"/>
  <c r="Z29"/>
  <c r="AH29"/>
  <c r="AI29"/>
  <c r="H30"/>
  <c r="I30"/>
  <c r="AB30"/>
  <c r="AF30"/>
  <c r="AK30"/>
  <c r="AL30"/>
  <c r="AM30"/>
  <c r="AN30"/>
  <c r="AO30"/>
  <c r="AP30"/>
  <c r="Z30"/>
  <c r="AH30"/>
  <c r="AI30"/>
  <c r="AI24"/>
  <c r="AH24"/>
  <c r="Z24"/>
  <c r="AM24"/>
  <c r="AN24"/>
  <c r="AO24"/>
  <c r="AP24"/>
  <c r="AL24"/>
  <c r="AK24"/>
  <c r="AF24"/>
  <c r="H24"/>
  <c r="AB24"/>
  <c r="I24"/>
  <c r="E25"/>
  <c r="E26"/>
  <c r="E27"/>
  <c r="E28"/>
  <c r="E29"/>
  <c r="E30"/>
  <c r="E31"/>
  <c r="E32"/>
  <c r="E33"/>
  <c r="E34"/>
  <c r="E35"/>
  <c r="E36"/>
  <c r="E37"/>
  <c r="E38"/>
  <c r="E39"/>
  <c r="E24"/>
  <c r="AQ22" i="111"/>
  <c r="AG22"/>
  <c r="AE22"/>
  <c r="AD22"/>
  <c r="AC22"/>
  <c r="Y22"/>
  <c r="AQ22" i="115"/>
  <c r="AG22"/>
  <c r="AE22"/>
  <c r="AD22"/>
  <c r="AC22"/>
  <c r="Y22"/>
  <c r="AQ22" i="110"/>
  <c r="AG22"/>
  <c r="AE22"/>
  <c r="AD22"/>
  <c r="AC22"/>
  <c r="Y22"/>
  <c r="AQ22" i="114"/>
  <c r="AG22"/>
  <c r="AE22"/>
  <c r="AD22"/>
  <c r="AC22"/>
  <c r="Y22"/>
  <c r="AQ22" i="109"/>
  <c r="AG22"/>
  <c r="AE22"/>
  <c r="AD22"/>
  <c r="AC22"/>
  <c r="Y22"/>
  <c r="AQ22" i="103"/>
  <c r="AG22"/>
  <c r="AE22"/>
  <c r="AD22"/>
  <c r="AC22"/>
  <c r="Y22"/>
  <c r="AQ22" i="116"/>
  <c r="AG22"/>
  <c r="AE22"/>
  <c r="AD22"/>
  <c r="AC22"/>
  <c r="Y22"/>
  <c r="AQ22" i="82"/>
  <c r="AG22"/>
  <c r="AE22"/>
  <c r="AD22"/>
  <c r="AC22"/>
  <c r="Y22"/>
  <c r="AQ22" i="181"/>
  <c r="AC22"/>
  <c r="Y22"/>
  <c r="AQ22" i="152"/>
  <c r="AG22"/>
  <c r="AE22"/>
  <c r="AD22"/>
  <c r="AC22"/>
  <c r="Y22"/>
  <c r="AQ22" i="68"/>
  <c r="AG22"/>
  <c r="AE22"/>
  <c r="AD22"/>
  <c r="AC22"/>
  <c r="Y22"/>
  <c r="AQ22" i="180"/>
  <c r="AG22"/>
  <c r="AE22"/>
  <c r="AD22"/>
  <c r="AC22"/>
  <c r="Y22"/>
  <c r="AQ22" i="177"/>
  <c r="Y22"/>
  <c r="AQ22" i="88"/>
  <c r="Y22"/>
  <c r="AQ22" i="67"/>
  <c r="AG22"/>
  <c r="AE22"/>
  <c r="AD22"/>
  <c r="AC22"/>
  <c r="Y22"/>
  <c r="AQ22" i="182"/>
  <c r="AG22"/>
  <c r="AE22"/>
  <c r="AD22"/>
  <c r="AC22"/>
  <c r="Y22"/>
  <c r="AQ22" i="132"/>
  <c r="AG22"/>
  <c r="AE22"/>
  <c r="AD22"/>
  <c r="AC22"/>
  <c r="Y22"/>
  <c r="AQ22" i="173"/>
  <c r="AG22"/>
  <c r="Y22"/>
  <c r="AQ22" i="135"/>
  <c r="AO22"/>
  <c r="AG22"/>
  <c r="AE22"/>
  <c r="AD22"/>
  <c r="AC22"/>
  <c r="Y22"/>
  <c r="AQ22" i="130"/>
  <c r="AO22"/>
  <c r="AG22"/>
  <c r="AE22"/>
  <c r="AD22"/>
  <c r="AC22"/>
  <c r="Y22"/>
  <c r="AQ22" i="172"/>
  <c r="AC22"/>
  <c r="Y22"/>
  <c r="AQ22" i="171"/>
  <c r="AG22"/>
  <c r="Y22"/>
  <c r="AQ22" i="97"/>
  <c r="AG22"/>
  <c r="Y22"/>
  <c r="AQ22" i="96"/>
  <c r="AG22"/>
  <c r="AC22"/>
  <c r="Y22"/>
  <c r="AC22" i="170"/>
  <c r="Y22"/>
  <c r="AC22" i="95"/>
  <c r="Y22"/>
  <c r="AC22" i="94"/>
  <c r="Y22"/>
  <c r="AQ22" i="169"/>
  <c r="AG22"/>
  <c r="AE22"/>
  <c r="AD22"/>
  <c r="AC22"/>
  <c r="Y22"/>
  <c r="Y22" i="93"/>
  <c r="AQ22" i="92"/>
  <c r="AG22"/>
  <c r="AE22"/>
  <c r="AD22"/>
  <c r="AC22"/>
  <c r="Y22"/>
  <c r="AQ22" i="99"/>
  <c r="AG22"/>
  <c r="AE22"/>
  <c r="AD22"/>
  <c r="AC22"/>
  <c r="Y22"/>
  <c r="AQ22" i="98"/>
  <c r="AG22"/>
  <c r="AE22"/>
  <c r="AD22"/>
  <c r="AC22"/>
  <c r="Y22"/>
  <c r="AQ22" i="151"/>
  <c r="AG22"/>
  <c r="AE22"/>
  <c r="AD22"/>
  <c r="AC22"/>
  <c r="Y22"/>
  <c r="AC22" i="249"/>
  <c r="Y22"/>
  <c r="Y22" i="87"/>
  <c r="AC22" i="75"/>
  <c r="Y22"/>
  <c r="AQ22" i="176"/>
  <c r="AG22"/>
  <c r="AE22"/>
  <c r="AD22"/>
  <c r="AC22"/>
  <c r="Y22"/>
  <c r="AQ22" i="150"/>
  <c r="AG22"/>
  <c r="AE22"/>
  <c r="AD22"/>
  <c r="AC22"/>
  <c r="Y22"/>
  <c r="AQ22" i="149"/>
  <c r="AG22"/>
  <c r="AE22"/>
  <c r="AD22"/>
  <c r="AC22"/>
  <c r="Y22"/>
  <c r="AP22" i="259"/>
  <c r="AP30"/>
  <c r="AQ22"/>
  <c r="AQ30"/>
  <c r="AP31"/>
  <c r="AQ31"/>
  <c r="AP32"/>
  <c r="AQ32"/>
  <c r="AP33"/>
  <c r="AQ33"/>
  <c r="AP34"/>
  <c r="AQ34"/>
  <c r="AP35"/>
  <c r="AQ35"/>
  <c r="AP36"/>
  <c r="AQ36"/>
  <c r="AP37"/>
  <c r="AQ37"/>
  <c r="AP38"/>
  <c r="AQ38"/>
  <c r="AP39"/>
  <c r="AQ39"/>
  <c r="AP40"/>
  <c r="AQ40"/>
  <c r="AP41"/>
  <c r="AQ41"/>
  <c r="AP42"/>
  <c r="AQ42"/>
  <c r="AP43"/>
  <c r="AQ43"/>
  <c r="AP44"/>
  <c r="AQ44"/>
  <c r="AP45"/>
  <c r="AQ45"/>
  <c r="AP46"/>
  <c r="AQ46"/>
  <c r="AP47"/>
  <c r="AQ47"/>
  <c r="AP48"/>
  <c r="AQ48"/>
  <c r="AP49"/>
  <c r="AQ49"/>
  <c r="AP50"/>
  <c r="AQ50"/>
  <c r="AP51"/>
  <c r="AQ51"/>
  <c r="AP52"/>
  <c r="AQ52"/>
  <c r="AP53"/>
  <c r="AQ53"/>
  <c r="AP54"/>
  <c r="AQ54"/>
  <c r="AP55"/>
  <c r="AQ55"/>
  <c r="AP56"/>
  <c r="AQ56"/>
  <c r="AP57"/>
  <c r="AQ57"/>
  <c r="AP58"/>
  <c r="AQ58"/>
  <c r="AP59"/>
  <c r="AQ59"/>
  <c r="AP60"/>
  <c r="AQ60"/>
  <c r="AP61"/>
  <c r="AQ61"/>
  <c r="AP23"/>
  <c r="AQ23"/>
  <c r="AP24"/>
  <c r="AQ24"/>
  <c r="AP25"/>
  <c r="AQ25"/>
  <c r="AP26"/>
  <c r="AQ26"/>
  <c r="AP27"/>
  <c r="AQ27"/>
  <c r="AP28"/>
  <c r="AQ28"/>
  <c r="AP29"/>
  <c r="AQ29"/>
  <c r="AO22"/>
  <c r="AN22"/>
  <c r="AM22"/>
  <c r="AL22"/>
  <c r="AK22"/>
  <c r="AI22"/>
  <c r="AH22"/>
  <c r="AG22"/>
  <c r="AF22"/>
  <c r="AE22"/>
  <c r="AD22"/>
  <c r="AC22"/>
  <c r="AB22"/>
  <c r="Z22"/>
  <c r="Y22"/>
  <c r="AP22" i="260"/>
  <c r="AP56"/>
  <c r="AQ22"/>
  <c r="AQ56"/>
  <c r="AP57"/>
  <c r="AQ57"/>
  <c r="AP58"/>
  <c r="AQ58"/>
  <c r="AP59"/>
  <c r="AQ59"/>
  <c r="AP60"/>
  <c r="AQ60"/>
  <c r="AP61"/>
  <c r="AQ61"/>
  <c r="AP62"/>
  <c r="AQ62"/>
  <c r="AP63"/>
  <c r="AQ63"/>
  <c r="AP64"/>
  <c r="AQ64"/>
  <c r="AP65"/>
  <c r="AQ65"/>
  <c r="AP66"/>
  <c r="AQ66"/>
  <c r="AP67"/>
  <c r="AQ67"/>
  <c r="AP68"/>
  <c r="AQ68"/>
  <c r="AP69"/>
  <c r="AQ69"/>
  <c r="AP70"/>
  <c r="AQ70"/>
  <c r="AP71"/>
  <c r="AQ71"/>
  <c r="AP72"/>
  <c r="AQ72"/>
  <c r="AP73"/>
  <c r="AQ73"/>
  <c r="AP74"/>
  <c r="AQ74"/>
  <c r="AP75"/>
  <c r="AQ75"/>
  <c r="AP76"/>
  <c r="AQ76"/>
  <c r="AP77"/>
  <c r="AQ77"/>
  <c r="AP78"/>
  <c r="AQ78"/>
  <c r="AP79"/>
  <c r="AQ79"/>
  <c r="AP80"/>
  <c r="AQ80"/>
  <c r="AP81"/>
  <c r="AQ81"/>
  <c r="AP82"/>
  <c r="AQ82"/>
  <c r="AP83"/>
  <c r="AQ83"/>
  <c r="AP23"/>
  <c r="AQ23"/>
  <c r="AP24"/>
  <c r="AQ24"/>
  <c r="AP25"/>
  <c r="AQ25"/>
  <c r="AP26"/>
  <c r="AQ26"/>
  <c r="AP27"/>
  <c r="AQ27"/>
  <c r="AP28"/>
  <c r="AQ28"/>
  <c r="AP29"/>
  <c r="AQ29"/>
  <c r="AP30"/>
  <c r="AQ30"/>
  <c r="AP31"/>
  <c r="AQ31"/>
  <c r="AP34"/>
  <c r="AQ34"/>
  <c r="AP35"/>
  <c r="AQ35"/>
  <c r="AP36"/>
  <c r="AQ36"/>
  <c r="AP37"/>
  <c r="AQ37"/>
  <c r="AP38"/>
  <c r="AQ38"/>
  <c r="AP39"/>
  <c r="AQ39"/>
  <c r="AP40"/>
  <c r="AQ40"/>
  <c r="AP41"/>
  <c r="AQ41"/>
  <c r="AP43"/>
  <c r="AQ43"/>
  <c r="AP44"/>
  <c r="AQ44"/>
  <c r="AP45"/>
  <c r="AQ45"/>
  <c r="AP46"/>
  <c r="AQ46"/>
  <c r="AP47"/>
  <c r="AQ47"/>
  <c r="AP48"/>
  <c r="AQ48"/>
  <c r="AP49"/>
  <c r="AQ49"/>
  <c r="AP50"/>
  <c r="AQ50"/>
  <c r="AP51"/>
  <c r="AQ51"/>
  <c r="AP52"/>
  <c r="AQ52"/>
  <c r="AP53"/>
  <c r="AQ53"/>
  <c r="AP54"/>
  <c r="AQ54"/>
  <c r="AP55"/>
  <c r="AQ55"/>
  <c r="AO22"/>
  <c r="AN22"/>
  <c r="AM22"/>
  <c r="AL22"/>
  <c r="AK22"/>
  <c r="AI22"/>
  <c r="AH22"/>
  <c r="AG22"/>
  <c r="AF22"/>
  <c r="AE22"/>
  <c r="AD22"/>
  <c r="AC22"/>
  <c r="AB22"/>
  <c r="Z22"/>
  <c r="Y22"/>
  <c r="AP22" i="257"/>
  <c r="AP29"/>
  <c r="AQ22"/>
  <c r="AQ29"/>
  <c r="AP30"/>
  <c r="AQ30"/>
  <c r="AP31"/>
  <c r="AQ31"/>
  <c r="AP32"/>
  <c r="AQ32"/>
  <c r="AP33"/>
  <c r="AQ33"/>
  <c r="AP34"/>
  <c r="AQ34"/>
  <c r="AP35"/>
  <c r="AQ35"/>
  <c r="AP36"/>
  <c r="AQ36"/>
  <c r="AP37"/>
  <c r="AQ37"/>
  <c r="AP38"/>
  <c r="AQ38"/>
  <c r="AP39"/>
  <c r="AQ39"/>
  <c r="AP40"/>
  <c r="AQ40"/>
  <c r="AP41"/>
  <c r="AQ41"/>
  <c r="AP42"/>
  <c r="AQ42"/>
  <c r="AP43"/>
  <c r="AQ43"/>
  <c r="AP44"/>
  <c r="AQ44"/>
  <c r="AP45"/>
  <c r="AQ45"/>
  <c r="AP46"/>
  <c r="AQ46"/>
  <c r="AP47"/>
  <c r="AQ47"/>
  <c r="AP48"/>
  <c r="AQ48"/>
  <c r="AP49"/>
  <c r="AQ49"/>
  <c r="AP50"/>
  <c r="AQ50"/>
  <c r="AP51"/>
  <c r="AQ51"/>
  <c r="AP52"/>
  <c r="AQ52"/>
  <c r="AP53"/>
  <c r="AQ53"/>
  <c r="AP54"/>
  <c r="AQ54"/>
  <c r="AP55"/>
  <c r="AQ55"/>
  <c r="AP56"/>
  <c r="AQ56"/>
  <c r="AP57"/>
  <c r="AQ57"/>
  <c r="AP23"/>
  <c r="AQ23"/>
  <c r="AP24"/>
  <c r="AQ24"/>
  <c r="AP25"/>
  <c r="AQ25"/>
  <c r="AP26"/>
  <c r="AQ26"/>
  <c r="AP27"/>
  <c r="AQ27"/>
  <c r="AP28"/>
  <c r="AQ28"/>
  <c r="AO22"/>
  <c r="AN22"/>
  <c r="AM22"/>
  <c r="AL22"/>
  <c r="AK22"/>
  <c r="AI22"/>
  <c r="AH22"/>
  <c r="AG22"/>
  <c r="AF22"/>
  <c r="AE22"/>
  <c r="AD22"/>
  <c r="AC22"/>
  <c r="AB22"/>
  <c r="Z22"/>
  <c r="Y22"/>
  <c r="AO22" i="255"/>
  <c r="AO35"/>
  <c r="AP22"/>
  <c r="AP35"/>
  <c r="AQ22"/>
  <c r="AQ35"/>
  <c r="AO36"/>
  <c r="AP36"/>
  <c r="AQ36"/>
  <c r="AO37"/>
  <c r="AP37"/>
  <c r="AQ37"/>
  <c r="AO38"/>
  <c r="AP38"/>
  <c r="AQ38"/>
  <c r="AO39"/>
  <c r="AP39"/>
  <c r="AQ39"/>
  <c r="AO40"/>
  <c r="AP40"/>
  <c r="AQ40"/>
  <c r="AO41"/>
  <c r="AP41"/>
  <c r="AQ41"/>
  <c r="AO42"/>
  <c r="AP42"/>
  <c r="AQ42"/>
  <c r="AO43"/>
  <c r="AP43"/>
  <c r="AQ43"/>
  <c r="AO44"/>
  <c r="AP44"/>
  <c r="AQ44"/>
  <c r="AO45"/>
  <c r="AP45"/>
  <c r="AQ45"/>
  <c r="AO46"/>
  <c r="AP46"/>
  <c r="AQ46"/>
  <c r="AO47"/>
  <c r="AP47"/>
  <c r="AQ47"/>
  <c r="AO48"/>
  <c r="AP48"/>
  <c r="AQ48"/>
  <c r="AO49"/>
  <c r="AP49"/>
  <c r="AQ49"/>
  <c r="AO50"/>
  <c r="AP50"/>
  <c r="AQ50"/>
  <c r="AO51"/>
  <c r="AP51"/>
  <c r="AQ51"/>
  <c r="AO52"/>
  <c r="AP52"/>
  <c r="AQ52"/>
  <c r="AO53"/>
  <c r="AP53"/>
  <c r="AQ53"/>
  <c r="AO54"/>
  <c r="AP54"/>
  <c r="AQ54"/>
  <c r="AO55"/>
  <c r="AP55"/>
  <c r="AQ55"/>
  <c r="AO56"/>
  <c r="AP56"/>
  <c r="AQ56"/>
  <c r="AO57"/>
  <c r="AP57"/>
  <c r="AQ57"/>
  <c r="AO58"/>
  <c r="AP58"/>
  <c r="AQ58"/>
  <c r="AO59"/>
  <c r="AP59"/>
  <c r="AQ59"/>
  <c r="AO60"/>
  <c r="AP60"/>
  <c r="AQ60"/>
  <c r="AO61"/>
  <c r="AP61"/>
  <c r="AQ61"/>
  <c r="AO62"/>
  <c r="AP62"/>
  <c r="AQ62"/>
  <c r="AO63"/>
  <c r="AP63"/>
  <c r="AQ63"/>
  <c r="AP23"/>
  <c r="AQ23"/>
  <c r="AP24"/>
  <c r="AQ24"/>
  <c r="AP25"/>
  <c r="AQ25"/>
  <c r="AP26"/>
  <c r="AQ26"/>
  <c r="AP27"/>
  <c r="AQ27"/>
  <c r="AP28"/>
  <c r="AQ28"/>
  <c r="AP29"/>
  <c r="AQ29"/>
  <c r="AP32"/>
  <c r="AQ32"/>
  <c r="AP33"/>
  <c r="AQ33"/>
  <c r="AP34"/>
  <c r="AQ34"/>
  <c r="AN22"/>
  <c r="AM22"/>
  <c r="AL22"/>
  <c r="AK22"/>
  <c r="AI22"/>
  <c r="AH22"/>
  <c r="AG22"/>
  <c r="AF22"/>
  <c r="AE22"/>
  <c r="AD22"/>
  <c r="AC22"/>
  <c r="AB22"/>
  <c r="Z22"/>
  <c r="Y22"/>
  <c r="AP22" i="256"/>
  <c r="AP42"/>
  <c r="AQ22"/>
  <c r="AQ42"/>
  <c r="AP43"/>
  <c r="AQ43"/>
  <c r="AP44"/>
  <c r="AQ44"/>
  <c r="AP45"/>
  <c r="AQ45"/>
  <c r="AP46"/>
  <c r="AQ46"/>
  <c r="AP47"/>
  <c r="AQ47"/>
  <c r="AP48"/>
  <c r="AQ48"/>
  <c r="AP50"/>
  <c r="AQ50"/>
  <c r="AP51"/>
  <c r="AQ51"/>
  <c r="AP52"/>
  <c r="AQ52"/>
  <c r="AP53"/>
  <c r="AQ53"/>
  <c r="AP54"/>
  <c r="AQ54"/>
  <c r="AP55"/>
  <c r="AQ55"/>
  <c r="AP56"/>
  <c r="AQ56"/>
  <c r="AP57"/>
  <c r="AQ57"/>
  <c r="AP58"/>
  <c r="AQ58"/>
  <c r="AP59"/>
  <c r="AQ59"/>
  <c r="AP60"/>
  <c r="AQ60"/>
  <c r="AP61"/>
  <c r="AQ61"/>
  <c r="AP62"/>
  <c r="AQ62"/>
  <c r="AP63"/>
  <c r="AQ63"/>
  <c r="AP64"/>
  <c r="AQ64"/>
  <c r="AP65"/>
  <c r="AQ65"/>
  <c r="AP66"/>
  <c r="AQ66"/>
  <c r="H34"/>
  <c r="AQ23"/>
  <c r="AP23"/>
  <c r="AP24"/>
  <c r="AQ24"/>
  <c r="AP25"/>
  <c r="AQ25"/>
  <c r="AP26"/>
  <c r="AQ26"/>
  <c r="AP29"/>
  <c r="AQ29"/>
  <c r="AP30"/>
  <c r="AQ30"/>
  <c r="AP31"/>
  <c r="AQ31"/>
  <c r="AP32"/>
  <c r="AQ32"/>
  <c r="AP33"/>
  <c r="AQ33"/>
  <c r="AP34"/>
  <c r="AQ34"/>
  <c r="AP35"/>
  <c r="AQ35"/>
  <c r="AP36"/>
  <c r="AQ36"/>
  <c r="AP37"/>
  <c r="AQ37"/>
  <c r="AP38"/>
  <c r="AQ38"/>
  <c r="AO22"/>
  <c r="AN22"/>
  <c r="AM22"/>
  <c r="AL22"/>
  <c r="AK22"/>
  <c r="AI22"/>
  <c r="AH22"/>
  <c r="AG22"/>
  <c r="AF22"/>
  <c r="AE22"/>
  <c r="AD22"/>
  <c r="AC22"/>
  <c r="AB22"/>
  <c r="Z22"/>
  <c r="Y22"/>
  <c r="AQ22" i="247"/>
  <c r="AP22"/>
  <c r="AO22"/>
  <c r="AN22"/>
  <c r="AM22"/>
  <c r="AL22"/>
  <c r="AK22"/>
  <c r="AI22"/>
  <c r="AH22"/>
  <c r="AG22"/>
  <c r="AF22"/>
  <c r="AE22"/>
  <c r="AD22"/>
  <c r="AC22"/>
  <c r="AB22"/>
  <c r="Z22"/>
  <c r="Y22"/>
  <c r="AQ22" i="225"/>
  <c r="AP22"/>
  <c r="AO22"/>
  <c r="AN22"/>
  <c r="AM22"/>
  <c r="AL22"/>
  <c r="AK22"/>
  <c r="AI22"/>
  <c r="AH22"/>
  <c r="AG22"/>
  <c r="AF22"/>
  <c r="AE22"/>
  <c r="AD22"/>
  <c r="AC22"/>
  <c r="AB22"/>
  <c r="Z22"/>
  <c r="Y22"/>
  <c r="AQ22" i="226"/>
  <c r="AP22"/>
  <c r="AO22"/>
  <c r="AN22"/>
  <c r="AM22"/>
  <c r="AL22"/>
  <c r="AK22"/>
  <c r="AI22"/>
  <c r="AH22"/>
  <c r="AG22"/>
  <c r="AF22"/>
  <c r="AE22"/>
  <c r="AD22"/>
  <c r="AC22"/>
  <c r="AB22"/>
  <c r="Z22"/>
  <c r="Y22"/>
  <c r="AQ22" i="224"/>
  <c r="AP22"/>
  <c r="AO22"/>
  <c r="AN22"/>
  <c r="AM22"/>
  <c r="AL22"/>
  <c r="AK22"/>
  <c r="AI22"/>
  <c r="AH22"/>
  <c r="AG22"/>
  <c r="AF22"/>
  <c r="AE22"/>
  <c r="AD22"/>
  <c r="AC22"/>
  <c r="AB22"/>
  <c r="Z22"/>
  <c r="Y22"/>
  <c r="AQ22" i="223"/>
  <c r="AP22"/>
  <c r="AO22"/>
  <c r="AN22"/>
  <c r="AM22"/>
  <c r="AL22"/>
  <c r="AK22"/>
  <c r="AI22"/>
  <c r="AH22"/>
  <c r="AG22"/>
  <c r="AF22"/>
  <c r="AE22"/>
  <c r="AD22"/>
  <c r="AC22"/>
  <c r="AB22"/>
  <c r="Z22"/>
  <c r="Y22"/>
  <c r="AQ22" i="167"/>
  <c r="AE22"/>
  <c r="AD22"/>
  <c r="AC22"/>
  <c r="Y22"/>
  <c r="AQ24"/>
  <c r="AQ25"/>
  <c r="AQ26"/>
  <c r="AQ27"/>
  <c r="AQ28"/>
  <c r="AQ29"/>
  <c r="AQ30"/>
  <c r="AQ31"/>
  <c r="AQ32"/>
  <c r="AQ33"/>
  <c r="AQ34"/>
  <c r="AQ35"/>
  <c r="AQ36"/>
  <c r="AQ37"/>
  <c r="AQ38"/>
  <c r="AQ41"/>
  <c r="AQ42"/>
  <c r="AQ43"/>
  <c r="AQ44"/>
  <c r="AQ45"/>
  <c r="AQ46"/>
  <c r="AQ47"/>
  <c r="AQ48"/>
  <c r="AQ49"/>
  <c r="AQ50"/>
  <c r="AQ51"/>
  <c r="AQ52"/>
  <c r="AQ53"/>
  <c r="AQ54"/>
  <c r="AQ55"/>
  <c r="AQ56"/>
  <c r="AQ57"/>
  <c r="AQ58"/>
  <c r="AQ59"/>
  <c r="AQ60"/>
  <c r="AQ61"/>
  <c r="AQ62"/>
  <c r="AQ63"/>
  <c r="AQ64"/>
  <c r="AQ65"/>
  <c r="AQ66"/>
  <c r="AQ67"/>
  <c r="AQ68"/>
  <c r="AQ69"/>
  <c r="AP23"/>
  <c r="AQ23"/>
  <c r="AQ22" i="62"/>
  <c r="AC22"/>
  <c r="Y22"/>
  <c r="AQ22" i="60"/>
  <c r="AC22"/>
  <c r="Y22"/>
  <c r="AQ22" i="166"/>
  <c r="AG22"/>
  <c r="AE22"/>
  <c r="AD22"/>
  <c r="AC22"/>
  <c r="Y22"/>
  <c r="AQ22" i="86"/>
  <c r="AG22"/>
  <c r="AE22"/>
  <c r="AD22"/>
  <c r="AC22"/>
  <c r="Y22"/>
  <c r="AQ22" i="76"/>
  <c r="AG22"/>
  <c r="AE22"/>
  <c r="AD22"/>
  <c r="AC22"/>
  <c r="Y22"/>
  <c r="AQ22" i="81"/>
  <c r="AG22"/>
  <c r="AE22"/>
  <c r="AD22"/>
  <c r="AC22"/>
  <c r="Y22"/>
  <c r="AQ22" i="179"/>
  <c r="AG22"/>
  <c r="AE22"/>
  <c r="AD22"/>
  <c r="AC22"/>
  <c r="Y22"/>
  <c r="AQ22" i="158"/>
  <c r="AG22"/>
  <c r="AE22"/>
  <c r="AD22"/>
  <c r="AC22"/>
  <c r="Y22"/>
  <c r="AQ22" i="85"/>
  <c r="AG22"/>
  <c r="AE22"/>
  <c r="AD22"/>
  <c r="AC22"/>
  <c r="Y22"/>
  <c r="AQ22" i="78"/>
  <c r="AG22"/>
  <c r="AE22"/>
  <c r="AD22"/>
  <c r="AC22"/>
  <c r="Y22"/>
  <c r="AQ22" i="156"/>
  <c r="AG22"/>
  <c r="AE22"/>
  <c r="AD22"/>
  <c r="AC22"/>
  <c r="Y22"/>
  <c r="AQ22" i="84"/>
  <c r="AG22"/>
  <c r="AE22"/>
  <c r="AD22"/>
  <c r="AC22"/>
  <c r="Y22"/>
  <c r="AQ22" i="71"/>
  <c r="AG22"/>
  <c r="AE22"/>
  <c r="AD22"/>
  <c r="AC22"/>
  <c r="Y22"/>
  <c r="AQ22" i="74"/>
  <c r="AC22"/>
  <c r="Y22"/>
  <c r="AQ22" i="70"/>
  <c r="AC22"/>
  <c r="Y22"/>
  <c r="AQ22" i="73"/>
  <c r="AG22"/>
  <c r="AE22"/>
  <c r="AD22"/>
  <c r="AC22"/>
  <c r="Y22"/>
  <c r="AQ22" i="63"/>
  <c r="AC22"/>
  <c r="Y22"/>
  <c r="AQ22" i="72"/>
  <c r="AG22"/>
  <c r="AE22"/>
  <c r="AD22"/>
  <c r="AC22"/>
  <c r="Y22"/>
  <c r="AO22" i="65"/>
  <c r="AG22"/>
  <c r="AD22"/>
  <c r="AQ22" i="148"/>
  <c r="AH22"/>
  <c r="AG22"/>
  <c r="AE22"/>
  <c r="AD22"/>
  <c r="AC22"/>
  <c r="Y22"/>
  <c r="AQ22" i="123"/>
  <c r="AG22"/>
  <c r="AE22"/>
  <c r="AD22"/>
  <c r="AC22"/>
  <c r="Y22"/>
  <c r="AQ22" i="122"/>
  <c r="AG22"/>
  <c r="AE22"/>
  <c r="AD22"/>
  <c r="AC22"/>
  <c r="Y22"/>
  <c r="AQ22" i="64"/>
  <c r="AG22"/>
  <c r="AE22"/>
  <c r="AD22"/>
  <c r="AC22"/>
  <c r="Y22"/>
  <c r="AH23"/>
  <c r="D8" i="115"/>
  <c r="D91" i="83"/>
  <c r="D6" i="64"/>
  <c r="D5"/>
  <c r="D3"/>
  <c r="I49"/>
  <c r="H49"/>
  <c r="M49"/>
  <c r="K49"/>
  <c r="N49"/>
  <c r="J49"/>
  <c r="L49"/>
  <c r="O49"/>
  <c r="I50"/>
  <c r="H50"/>
  <c r="M50"/>
  <c r="K50"/>
  <c r="N50"/>
  <c r="J50"/>
  <c r="L50"/>
  <c r="O50"/>
  <c r="I51"/>
  <c r="H51"/>
  <c r="M51"/>
  <c r="K51"/>
  <c r="N51"/>
  <c r="J51"/>
  <c r="L51"/>
  <c r="O51"/>
  <c r="I52"/>
  <c r="H52"/>
  <c r="M52"/>
  <c r="K52"/>
  <c r="N52"/>
  <c r="J52"/>
  <c r="L52"/>
  <c r="O52"/>
  <c r="I53"/>
  <c r="H53"/>
  <c r="M53"/>
  <c r="K53"/>
  <c r="N53"/>
  <c r="J53"/>
  <c r="L53"/>
  <c r="O53"/>
  <c r="I54"/>
  <c r="H54"/>
  <c r="M54"/>
  <c r="K54"/>
  <c r="N54"/>
  <c r="J54"/>
  <c r="L54"/>
  <c r="O54"/>
  <c r="I55"/>
  <c r="H55"/>
  <c r="M55"/>
  <c r="K55"/>
  <c r="N55"/>
  <c r="J55"/>
  <c r="L55"/>
  <c r="O55"/>
  <c r="I56"/>
  <c r="H56"/>
  <c r="M56"/>
  <c r="K56"/>
  <c r="N56"/>
  <c r="J56"/>
  <c r="L56"/>
  <c r="O56"/>
  <c r="I57"/>
  <c r="H57"/>
  <c r="M57"/>
  <c r="K57"/>
  <c r="N57"/>
  <c r="J57"/>
  <c r="L57"/>
  <c r="O57"/>
  <c r="I58"/>
  <c r="H58"/>
  <c r="M58"/>
  <c r="K58"/>
  <c r="N58"/>
  <c r="J58"/>
  <c r="L58"/>
  <c r="O58"/>
  <c r="I59"/>
  <c r="H59"/>
  <c r="M59"/>
  <c r="K59"/>
  <c r="N59"/>
  <c r="J59"/>
  <c r="L59"/>
  <c r="O59"/>
  <c r="I60"/>
  <c r="H60"/>
  <c r="M60"/>
  <c r="K60"/>
  <c r="N60"/>
  <c r="J60"/>
  <c r="L60"/>
  <c r="O60"/>
  <c r="I61"/>
  <c r="H61"/>
  <c r="M61"/>
  <c r="K61"/>
  <c r="N61"/>
  <c r="J61"/>
  <c r="L61"/>
  <c r="O61"/>
  <c r="I62"/>
  <c r="H62"/>
  <c r="M62"/>
  <c r="K62"/>
  <c r="N62"/>
  <c r="J62"/>
  <c r="L62"/>
  <c r="O62"/>
  <c r="I63"/>
  <c r="H63"/>
  <c r="M63"/>
  <c r="K63"/>
  <c r="N63"/>
  <c r="J63"/>
  <c r="L63"/>
  <c r="O63"/>
  <c r="I64"/>
  <c r="H64"/>
  <c r="M64"/>
  <c r="K64"/>
  <c r="N64"/>
  <c r="J64"/>
  <c r="L64"/>
  <c r="O64"/>
  <c r="O66"/>
  <c r="I74"/>
  <c r="D7"/>
  <c r="C10" i="83"/>
  <c r="P49" i="64"/>
  <c r="R49"/>
  <c r="T49"/>
  <c r="P50"/>
  <c r="R50"/>
  <c r="T50"/>
  <c r="P51"/>
  <c r="R51"/>
  <c r="T51"/>
  <c r="P52"/>
  <c r="R52"/>
  <c r="T52"/>
  <c r="P53"/>
  <c r="R53"/>
  <c r="T53"/>
  <c r="P54"/>
  <c r="R54"/>
  <c r="T54"/>
  <c r="P55"/>
  <c r="R55"/>
  <c r="T55"/>
  <c r="P56"/>
  <c r="R56"/>
  <c r="T56"/>
  <c r="P57"/>
  <c r="R57"/>
  <c r="T57"/>
  <c r="P58"/>
  <c r="R58"/>
  <c r="T58"/>
  <c r="P59"/>
  <c r="R59"/>
  <c r="T59"/>
  <c r="P60"/>
  <c r="R60"/>
  <c r="T60"/>
  <c r="P61"/>
  <c r="R61"/>
  <c r="T61"/>
  <c r="P62"/>
  <c r="R62"/>
  <c r="T62"/>
  <c r="P63"/>
  <c r="R63"/>
  <c r="T63"/>
  <c r="P64"/>
  <c r="R64"/>
  <c r="T64"/>
  <c r="T66"/>
  <c r="S49"/>
  <c r="S50"/>
  <c r="S51"/>
  <c r="S52"/>
  <c r="S53"/>
  <c r="S54"/>
  <c r="S55"/>
  <c r="S56"/>
  <c r="S57"/>
  <c r="S58"/>
  <c r="S59"/>
  <c r="S60"/>
  <c r="S61"/>
  <c r="S62"/>
  <c r="S63"/>
  <c r="S64"/>
  <c r="S66"/>
  <c r="R66"/>
  <c r="P69"/>
  <c r="I75"/>
  <c r="U49"/>
  <c r="U50"/>
  <c r="U51"/>
  <c r="U52"/>
  <c r="U53"/>
  <c r="U54"/>
  <c r="U55"/>
  <c r="U56"/>
  <c r="U57"/>
  <c r="U58"/>
  <c r="U59"/>
  <c r="U60"/>
  <c r="U61"/>
  <c r="U62"/>
  <c r="U63"/>
  <c r="U64"/>
  <c r="U66"/>
  <c r="I76"/>
  <c r="I77"/>
  <c r="I78"/>
  <c r="V49"/>
  <c r="W49"/>
  <c r="V50"/>
  <c r="W50"/>
  <c r="V51"/>
  <c r="W51"/>
  <c r="V52"/>
  <c r="W52"/>
  <c r="V53"/>
  <c r="W53"/>
  <c r="V54"/>
  <c r="W54"/>
  <c r="V55"/>
  <c r="W55"/>
  <c r="V56"/>
  <c r="W56"/>
  <c r="V57"/>
  <c r="W57"/>
  <c r="V58"/>
  <c r="W58"/>
  <c r="V59"/>
  <c r="W59"/>
  <c r="V60"/>
  <c r="W60"/>
  <c r="V61"/>
  <c r="W61"/>
  <c r="V62"/>
  <c r="W62"/>
  <c r="V63"/>
  <c r="W63"/>
  <c r="V64"/>
  <c r="W64"/>
  <c r="W66"/>
  <c r="V66"/>
  <c r="I80"/>
  <c r="I81"/>
  <c r="M82"/>
  <c r="M83"/>
  <c r="D21"/>
  <c r="J10" i="83"/>
  <c r="AJ49" i="64"/>
  <c r="AK49"/>
  <c r="AJ50"/>
  <c r="AK50"/>
  <c r="AJ51"/>
  <c r="AK51"/>
  <c r="AJ52"/>
  <c r="AK52"/>
  <c r="AJ53"/>
  <c r="AK53"/>
  <c r="AJ54"/>
  <c r="AK54"/>
  <c r="AJ55"/>
  <c r="AK55"/>
  <c r="AJ56"/>
  <c r="AK56"/>
  <c r="AJ57"/>
  <c r="AK57"/>
  <c r="AJ58"/>
  <c r="AK58"/>
  <c r="AJ59"/>
  <c r="AK59"/>
  <c r="AJ60"/>
  <c r="AK60"/>
  <c r="AJ61"/>
  <c r="AK61"/>
  <c r="AJ62"/>
  <c r="AK62"/>
  <c r="AJ63"/>
  <c r="AK63"/>
  <c r="AJ64"/>
  <c r="AK64"/>
  <c r="AL49"/>
  <c r="AL50"/>
  <c r="AL51"/>
  <c r="AL52"/>
  <c r="AL53"/>
  <c r="AL54"/>
  <c r="AL55"/>
  <c r="AL56"/>
  <c r="AL57"/>
  <c r="AL58"/>
  <c r="AL59"/>
  <c r="AL60"/>
  <c r="AL61"/>
  <c r="AL62"/>
  <c r="AL63"/>
  <c r="AL64"/>
  <c r="Q75"/>
  <c r="Q76"/>
  <c r="Q77"/>
  <c r="Q78"/>
  <c r="F13"/>
  <c r="P10" i="83"/>
  <c r="Q10"/>
  <c r="D6" i="148"/>
  <c r="D5"/>
  <c r="H33"/>
  <c r="I33"/>
  <c r="J33"/>
  <c r="L33"/>
  <c r="D3"/>
  <c r="M33"/>
  <c r="K33"/>
  <c r="N33"/>
  <c r="O33"/>
  <c r="P33"/>
  <c r="R33"/>
  <c r="T33"/>
  <c r="H34"/>
  <c r="I34"/>
  <c r="J34"/>
  <c r="L34"/>
  <c r="M34"/>
  <c r="K34"/>
  <c r="N34"/>
  <c r="O34"/>
  <c r="P34"/>
  <c r="R34"/>
  <c r="T34"/>
  <c r="H35"/>
  <c r="I35"/>
  <c r="J35"/>
  <c r="L35"/>
  <c r="M35"/>
  <c r="K35"/>
  <c r="N35"/>
  <c r="O35"/>
  <c r="P35"/>
  <c r="R35"/>
  <c r="T35"/>
  <c r="T37"/>
  <c r="S33"/>
  <c r="S34"/>
  <c r="S35"/>
  <c r="S37"/>
  <c r="R37"/>
  <c r="P40"/>
  <c r="O37"/>
  <c r="I45"/>
  <c r="I46"/>
  <c r="U33"/>
  <c r="U34"/>
  <c r="U35"/>
  <c r="U37"/>
  <c r="I47"/>
  <c r="I48"/>
  <c r="I49"/>
  <c r="V33"/>
  <c r="W33"/>
  <c r="V34"/>
  <c r="W34"/>
  <c r="V35"/>
  <c r="W35"/>
  <c r="W37"/>
  <c r="V37"/>
  <c r="I51"/>
  <c r="I52"/>
  <c r="M53"/>
  <c r="M54"/>
  <c r="I53"/>
  <c r="AJ33"/>
  <c r="AK33"/>
  <c r="AJ34"/>
  <c r="AK34"/>
  <c r="AJ35"/>
  <c r="AK35"/>
  <c r="AL33"/>
  <c r="AL34"/>
  <c r="AL35"/>
  <c r="Q46"/>
  <c r="Q47"/>
  <c r="Q48"/>
  <c r="Q49"/>
  <c r="AH48"/>
  <c r="AH47"/>
  <c r="AH46"/>
  <c r="I41"/>
  <c r="I42"/>
  <c r="AH44"/>
  <c r="AH43"/>
  <c r="I40"/>
  <c r="M42"/>
  <c r="M43"/>
  <c r="AH42"/>
  <c r="P42"/>
  <c r="P41"/>
  <c r="AX35"/>
  <c r="AW35"/>
  <c r="AV35"/>
  <c r="AU35"/>
  <c r="AT35"/>
  <c r="AS35"/>
  <c r="AR35"/>
  <c r="AQ35"/>
  <c r="E35"/>
  <c r="AN35"/>
  <c r="F35"/>
  <c r="AO35"/>
  <c r="AP35"/>
  <c r="Q35"/>
  <c r="AH35"/>
  <c r="AG35"/>
  <c r="AF35"/>
  <c r="F4"/>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8"/>
  <c r="AP28"/>
  <c r="AO28"/>
  <c r="AN28"/>
  <c r="AM28"/>
  <c r="AL28"/>
  <c r="AK28"/>
  <c r="AJ28"/>
  <c r="AI28"/>
  <c r="AH28"/>
  <c r="AG28"/>
  <c r="AF28"/>
  <c r="AE28"/>
  <c r="AD28"/>
  <c r="AC28"/>
  <c r="AB28"/>
  <c r="AA28"/>
  <c r="Z28"/>
  <c r="Y28"/>
  <c r="I28"/>
  <c r="H28"/>
  <c r="G28"/>
  <c r="F28"/>
  <c r="E28"/>
  <c r="D28"/>
  <c r="C28"/>
  <c r="AQ27"/>
  <c r="AP27"/>
  <c r="AO27"/>
  <c r="AN27"/>
  <c r="AM27"/>
  <c r="AL27"/>
  <c r="AK27"/>
  <c r="AJ27"/>
  <c r="AI27"/>
  <c r="AG27"/>
  <c r="AF27"/>
  <c r="AE27"/>
  <c r="AD27"/>
  <c r="AA27"/>
  <c r="Z27"/>
  <c r="Y27"/>
  <c r="I27"/>
  <c r="H27"/>
  <c r="G27"/>
  <c r="F27"/>
  <c r="E27"/>
  <c r="D27"/>
  <c r="C27"/>
  <c r="AQ26"/>
  <c r="X131" i="19"/>
  <c r="AJ26" i="148"/>
  <c r="AG26"/>
  <c r="AE26"/>
  <c r="AD26"/>
  <c r="AC26"/>
  <c r="AA26"/>
  <c r="Y26"/>
  <c r="G26"/>
  <c r="D26"/>
  <c r="C26"/>
  <c r="AQ25"/>
  <c r="X79" i="19"/>
  <c r="AJ25" i="148"/>
  <c r="AG25"/>
  <c r="AE25"/>
  <c r="AD25"/>
  <c r="AC25"/>
  <c r="AA25"/>
  <c r="Y25"/>
  <c r="G25"/>
  <c r="D25"/>
  <c r="C25"/>
  <c r="AQ24"/>
  <c r="X30" i="19"/>
  <c r="AJ24" i="148"/>
  <c r="AG24"/>
  <c r="AE24"/>
  <c r="AD24"/>
  <c r="AC24"/>
  <c r="AA24"/>
  <c r="Y24"/>
  <c r="G24"/>
  <c r="D24"/>
  <c r="C24"/>
  <c r="AQ23"/>
  <c r="AP23"/>
  <c r="AO23"/>
  <c r="AN23"/>
  <c r="AM23"/>
  <c r="AL23"/>
  <c r="AK23"/>
  <c r="AJ23"/>
  <c r="AI23"/>
  <c r="AG23"/>
  <c r="AF23"/>
  <c r="AE23"/>
  <c r="AD23"/>
  <c r="AC23"/>
  <c r="AB23"/>
  <c r="AA23"/>
  <c r="Z23"/>
  <c r="Y23"/>
  <c r="F6"/>
  <c r="F5"/>
  <c r="Q21"/>
  <c r="D21"/>
  <c r="E20"/>
  <c r="D20"/>
  <c r="D19"/>
  <c r="D17"/>
  <c r="E16"/>
  <c r="D16"/>
  <c r="D15"/>
  <c r="F13"/>
  <c r="D13"/>
  <c r="D12"/>
  <c r="D11"/>
  <c r="D9"/>
  <c r="D8"/>
  <c r="D7"/>
  <c r="H41" i="116"/>
  <c r="I41"/>
  <c r="K41"/>
  <c r="L41"/>
  <c r="P41"/>
  <c r="R41"/>
  <c r="N41"/>
  <c r="O41"/>
  <c r="T41"/>
  <c r="H42"/>
  <c r="I42"/>
  <c r="K42"/>
  <c r="L42"/>
  <c r="P42"/>
  <c r="R42"/>
  <c r="N42"/>
  <c r="O42"/>
  <c r="T42"/>
  <c r="H43"/>
  <c r="I43"/>
  <c r="K43"/>
  <c r="L43"/>
  <c r="P43"/>
  <c r="R43"/>
  <c r="N43"/>
  <c r="O43"/>
  <c r="T43"/>
  <c r="H44"/>
  <c r="I44"/>
  <c r="K44"/>
  <c r="L44"/>
  <c r="P44"/>
  <c r="R44"/>
  <c r="N44"/>
  <c r="O44"/>
  <c r="T44"/>
  <c r="H45"/>
  <c r="I45"/>
  <c r="K45"/>
  <c r="L45"/>
  <c r="P45"/>
  <c r="R45"/>
  <c r="N45"/>
  <c r="O45"/>
  <c r="T45"/>
  <c r="H46"/>
  <c r="I46"/>
  <c r="K46"/>
  <c r="L46"/>
  <c r="P46"/>
  <c r="R46"/>
  <c r="N46"/>
  <c r="O46"/>
  <c r="T46"/>
  <c r="H47"/>
  <c r="I47"/>
  <c r="K47"/>
  <c r="L47"/>
  <c r="P47"/>
  <c r="R47"/>
  <c r="N47"/>
  <c r="O47"/>
  <c r="T47"/>
  <c r="H48"/>
  <c r="I48"/>
  <c r="K48"/>
  <c r="L48"/>
  <c r="P48"/>
  <c r="R48"/>
  <c r="N48"/>
  <c r="O48"/>
  <c r="T48"/>
  <c r="H49"/>
  <c r="I49"/>
  <c r="K49"/>
  <c r="L49"/>
  <c r="P49"/>
  <c r="R49"/>
  <c r="N49"/>
  <c r="O49"/>
  <c r="T49"/>
  <c r="H50"/>
  <c r="I50"/>
  <c r="K50"/>
  <c r="L50"/>
  <c r="P50"/>
  <c r="R50"/>
  <c r="N50"/>
  <c r="O50"/>
  <c r="T50"/>
  <c r="T52"/>
  <c r="S41"/>
  <c r="S42"/>
  <c r="S43"/>
  <c r="S44"/>
  <c r="S45"/>
  <c r="S46"/>
  <c r="S47"/>
  <c r="S48"/>
  <c r="S49"/>
  <c r="S50"/>
  <c r="S52"/>
  <c r="R52"/>
  <c r="P55"/>
  <c r="O52"/>
  <c r="I60"/>
  <c r="I61"/>
  <c r="U41"/>
  <c r="U42"/>
  <c r="U43"/>
  <c r="U44"/>
  <c r="U45"/>
  <c r="U46"/>
  <c r="U47"/>
  <c r="U48"/>
  <c r="U49"/>
  <c r="U50"/>
  <c r="U52"/>
  <c r="I62"/>
  <c r="I63"/>
  <c r="I64"/>
  <c r="V41"/>
  <c r="W41"/>
  <c r="V42"/>
  <c r="W42"/>
  <c r="V43"/>
  <c r="W43"/>
  <c r="V44"/>
  <c r="W44"/>
  <c r="V45"/>
  <c r="W45"/>
  <c r="V46"/>
  <c r="W46"/>
  <c r="V47"/>
  <c r="W47"/>
  <c r="V48"/>
  <c r="W48"/>
  <c r="V49"/>
  <c r="W49"/>
  <c r="V50"/>
  <c r="W50"/>
  <c r="W52"/>
  <c r="V52"/>
  <c r="I66"/>
  <c r="I67"/>
  <c r="M68"/>
  <c r="M69"/>
  <c r="I68"/>
  <c r="AJ41"/>
  <c r="AK41"/>
  <c r="AJ42"/>
  <c r="AK42"/>
  <c r="AJ43"/>
  <c r="AK43"/>
  <c r="AJ44"/>
  <c r="AK44"/>
  <c r="AJ45"/>
  <c r="AK45"/>
  <c r="AJ46"/>
  <c r="AK46"/>
  <c r="AJ47"/>
  <c r="AK47"/>
  <c r="AJ48"/>
  <c r="AK48"/>
  <c r="AJ49"/>
  <c r="AK49"/>
  <c r="AJ50"/>
  <c r="AK50"/>
  <c r="AL41"/>
  <c r="AL42"/>
  <c r="AL43"/>
  <c r="AL44"/>
  <c r="AL45"/>
  <c r="AL46"/>
  <c r="AL47"/>
  <c r="AL48"/>
  <c r="AL49"/>
  <c r="AL50"/>
  <c r="Q61"/>
  <c r="Q62"/>
  <c r="Q63"/>
  <c r="Q64"/>
  <c r="AH63"/>
  <c r="AH62"/>
  <c r="AH61"/>
  <c r="I55"/>
  <c r="I56"/>
  <c r="I57"/>
  <c r="AH59"/>
  <c r="AH58"/>
  <c r="M57"/>
  <c r="M58"/>
  <c r="AH57"/>
  <c r="P57"/>
  <c r="P56"/>
  <c r="AX50"/>
  <c r="AW50"/>
  <c r="M50"/>
  <c r="AV50"/>
  <c r="AU50"/>
  <c r="AT50"/>
  <c r="J50"/>
  <c r="AS50"/>
  <c r="AR50"/>
  <c r="AQ50"/>
  <c r="E50"/>
  <c r="AN50"/>
  <c r="F50"/>
  <c r="AO50"/>
  <c r="AP50"/>
  <c r="Q50"/>
  <c r="AH50"/>
  <c r="AG50"/>
  <c r="AF50"/>
  <c r="AX49"/>
  <c r="AW49"/>
  <c r="M49"/>
  <c r="AV49"/>
  <c r="AU49"/>
  <c r="AT49"/>
  <c r="J49"/>
  <c r="AS49"/>
  <c r="AR49"/>
  <c r="AQ49"/>
  <c r="E49"/>
  <c r="AN49"/>
  <c r="F49"/>
  <c r="AO49"/>
  <c r="AP49"/>
  <c r="Q49"/>
  <c r="AH49"/>
  <c r="AG49"/>
  <c r="AF49"/>
  <c r="AX48"/>
  <c r="AW48"/>
  <c r="M48"/>
  <c r="AV48"/>
  <c r="AU48"/>
  <c r="AT48"/>
  <c r="J48"/>
  <c r="AS48"/>
  <c r="AR48"/>
  <c r="AQ48"/>
  <c r="E48"/>
  <c r="AN48"/>
  <c r="F48"/>
  <c r="AO48"/>
  <c r="AP48"/>
  <c r="Q48"/>
  <c r="AH48"/>
  <c r="AG48"/>
  <c r="AF48"/>
  <c r="AX47"/>
  <c r="AW47"/>
  <c r="M47"/>
  <c r="AV47"/>
  <c r="AU47"/>
  <c r="AT47"/>
  <c r="J47"/>
  <c r="AS47"/>
  <c r="AR47"/>
  <c r="AQ47"/>
  <c r="E47"/>
  <c r="AN47"/>
  <c r="F47"/>
  <c r="AO47"/>
  <c r="AP47"/>
  <c r="Q47"/>
  <c r="AH47"/>
  <c r="AG47"/>
  <c r="AF47"/>
  <c r="AX46"/>
  <c r="AW46"/>
  <c r="M46"/>
  <c r="AV46"/>
  <c r="AU46"/>
  <c r="AT46"/>
  <c r="J46"/>
  <c r="AS46"/>
  <c r="AR46"/>
  <c r="AQ46"/>
  <c r="E46"/>
  <c r="AN46"/>
  <c r="F46"/>
  <c r="AO46"/>
  <c r="AP46"/>
  <c r="Q46"/>
  <c r="AH46"/>
  <c r="AG46"/>
  <c r="AF46"/>
  <c r="AX45"/>
  <c r="AW45"/>
  <c r="M45"/>
  <c r="AV45"/>
  <c r="AU45"/>
  <c r="AT45"/>
  <c r="J45"/>
  <c r="AS45"/>
  <c r="AR45"/>
  <c r="AQ45"/>
  <c r="E45"/>
  <c r="AN45"/>
  <c r="F45"/>
  <c r="AO45"/>
  <c r="AP45"/>
  <c r="Q45"/>
  <c r="AH45"/>
  <c r="AG45"/>
  <c r="AF45"/>
  <c r="AX44"/>
  <c r="AW44"/>
  <c r="M44"/>
  <c r="AV44"/>
  <c r="AU44"/>
  <c r="AT44"/>
  <c r="J44"/>
  <c r="AS44"/>
  <c r="AR44"/>
  <c r="AQ44"/>
  <c r="E44"/>
  <c r="AN44"/>
  <c r="F44"/>
  <c r="AO44"/>
  <c r="AP44"/>
  <c r="Q44"/>
  <c r="AH44"/>
  <c r="AG44"/>
  <c r="AF44"/>
  <c r="AX43"/>
  <c r="AW43"/>
  <c r="M43"/>
  <c r="AV43"/>
  <c r="AU43"/>
  <c r="AT43"/>
  <c r="J43"/>
  <c r="AS43"/>
  <c r="AR43"/>
  <c r="AQ43"/>
  <c r="E43"/>
  <c r="AN43"/>
  <c r="F43"/>
  <c r="AO43"/>
  <c r="AP43"/>
  <c r="Q43"/>
  <c r="AH43"/>
  <c r="AG43"/>
  <c r="AF43"/>
  <c r="F4"/>
  <c r="AY42"/>
  <c r="AX42"/>
  <c r="AW42"/>
  <c r="M42"/>
  <c r="AV42"/>
  <c r="AU42"/>
  <c r="AT42"/>
  <c r="J42"/>
  <c r="AS42"/>
  <c r="AR42"/>
  <c r="AQ42"/>
  <c r="E42"/>
  <c r="AN42"/>
  <c r="F42"/>
  <c r="AO42"/>
  <c r="AP42"/>
  <c r="Q42"/>
  <c r="AH42"/>
  <c r="AG42"/>
  <c r="AF42"/>
  <c r="F3"/>
  <c r="AY41"/>
  <c r="AX41"/>
  <c r="AW41"/>
  <c r="M41"/>
  <c r="AV41"/>
  <c r="AU41"/>
  <c r="AT41"/>
  <c r="J41"/>
  <c r="AS41"/>
  <c r="AR41"/>
  <c r="AQ41"/>
  <c r="E41"/>
  <c r="AN41"/>
  <c r="F41"/>
  <c r="AO41"/>
  <c r="AP41"/>
  <c r="Q41"/>
  <c r="AH41"/>
  <c r="AG41"/>
  <c r="AF41"/>
  <c r="AQ37"/>
  <c r="AP37"/>
  <c r="AO37"/>
  <c r="AN37"/>
  <c r="X45" i="19"/>
  <c r="AM37" i="116"/>
  <c r="AL37"/>
  <c r="AK37"/>
  <c r="AJ37"/>
  <c r="AI37"/>
  <c r="AH37"/>
  <c r="AG37"/>
  <c r="AF37"/>
  <c r="AE37"/>
  <c r="AD37"/>
  <c r="AC37"/>
  <c r="AB37"/>
  <c r="AA37"/>
  <c r="Z37"/>
  <c r="Y37"/>
  <c r="I37"/>
  <c r="Q37"/>
  <c r="V37"/>
  <c r="H37"/>
  <c r="N37"/>
  <c r="U37"/>
  <c r="S37"/>
  <c r="R37"/>
  <c r="G37"/>
  <c r="F37"/>
  <c r="E37"/>
  <c r="D37"/>
  <c r="C37"/>
  <c r="AQ36"/>
  <c r="AP36"/>
  <c r="AO36"/>
  <c r="AN36"/>
  <c r="X138" i="19"/>
  <c r="AM36" i="116"/>
  <c r="AL36"/>
  <c r="AK36"/>
  <c r="AJ36"/>
  <c r="AI36"/>
  <c r="AH36"/>
  <c r="AG36"/>
  <c r="AF36"/>
  <c r="AE36"/>
  <c r="AD36"/>
  <c r="AC36"/>
  <c r="AB36"/>
  <c r="AA36"/>
  <c r="Z36"/>
  <c r="Y36"/>
  <c r="I36"/>
  <c r="Q36"/>
  <c r="V36"/>
  <c r="H36"/>
  <c r="N36"/>
  <c r="U36"/>
  <c r="S36"/>
  <c r="R36"/>
  <c r="G36"/>
  <c r="F36"/>
  <c r="E36"/>
  <c r="D36"/>
  <c r="C36"/>
  <c r="I35"/>
  <c r="AQ33"/>
  <c r="X201" i="19"/>
  <c r="AJ33" i="116"/>
  <c r="AG33"/>
  <c r="AE33"/>
  <c r="AD33"/>
  <c r="AC33"/>
  <c r="AA33"/>
  <c r="Y33"/>
  <c r="S33"/>
  <c r="R33"/>
  <c r="G33"/>
  <c r="D33"/>
  <c r="C33"/>
  <c r="AQ32"/>
  <c r="X155" i="19"/>
  <c r="AJ32" i="116"/>
  <c r="AG32"/>
  <c r="AE32"/>
  <c r="AD32"/>
  <c r="AC32"/>
  <c r="AA32"/>
  <c r="Y32"/>
  <c r="S32"/>
  <c r="R32"/>
  <c r="G32"/>
  <c r="D32"/>
  <c r="C32"/>
  <c r="AQ31"/>
  <c r="X134" i="19"/>
  <c r="AJ31" i="116"/>
  <c r="AG31"/>
  <c r="AE31"/>
  <c r="AD31"/>
  <c r="AC31"/>
  <c r="AA31"/>
  <c r="Y31"/>
  <c r="S31"/>
  <c r="R31"/>
  <c r="G31"/>
  <c r="D31"/>
  <c r="C31"/>
  <c r="AQ30"/>
  <c r="X106" i="19"/>
  <c r="AJ30" i="116"/>
  <c r="AG30"/>
  <c r="AE30"/>
  <c r="AD30"/>
  <c r="AC30"/>
  <c r="AA30"/>
  <c r="Y30"/>
  <c r="S30"/>
  <c r="R30"/>
  <c r="G30"/>
  <c r="D30"/>
  <c r="C30"/>
  <c r="AQ29"/>
  <c r="X96" i="19"/>
  <c r="AJ29" i="116"/>
  <c r="AG29"/>
  <c r="AE29"/>
  <c r="AD29"/>
  <c r="AC29"/>
  <c r="AA29"/>
  <c r="Y29"/>
  <c r="S29"/>
  <c r="R29"/>
  <c r="G29"/>
  <c r="D29"/>
  <c r="C29"/>
  <c r="AQ28"/>
  <c r="X38" i="19"/>
  <c r="AJ28" i="116"/>
  <c r="AG28"/>
  <c r="AE28"/>
  <c r="AD28"/>
  <c r="AC28"/>
  <c r="AA28"/>
  <c r="Y28"/>
  <c r="S28"/>
  <c r="R28"/>
  <c r="G28"/>
  <c r="D28"/>
  <c r="C28"/>
  <c r="AQ27"/>
  <c r="X35" i="19"/>
  <c r="AJ27" i="116"/>
  <c r="AG27"/>
  <c r="AE27"/>
  <c r="AD27"/>
  <c r="AC27"/>
  <c r="AA27"/>
  <c r="Y27"/>
  <c r="S27"/>
  <c r="R27"/>
  <c r="G27"/>
  <c r="D27"/>
  <c r="C27"/>
  <c r="AQ26"/>
  <c r="X26" i="19"/>
  <c r="AJ26" i="116"/>
  <c r="AG26"/>
  <c r="AE26"/>
  <c r="AD26"/>
  <c r="AC26"/>
  <c r="AA26"/>
  <c r="Y26"/>
  <c r="S26"/>
  <c r="R26"/>
  <c r="G26"/>
  <c r="D26"/>
  <c r="C26"/>
  <c r="AQ25"/>
  <c r="X25" i="19"/>
  <c r="AJ25" i="116"/>
  <c r="AG25"/>
  <c r="AE25"/>
  <c r="AD25"/>
  <c r="AC25"/>
  <c r="AA25"/>
  <c r="Y25"/>
  <c r="S25"/>
  <c r="R25"/>
  <c r="G25"/>
  <c r="D25"/>
  <c r="C25"/>
  <c r="AQ24"/>
  <c r="X17" i="19"/>
  <c r="AJ24" i="116"/>
  <c r="AG24"/>
  <c r="AE24"/>
  <c r="AD24"/>
  <c r="AC24"/>
  <c r="AA24"/>
  <c r="Y24"/>
  <c r="S24"/>
  <c r="R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176"/>
  <c r="D5"/>
  <c r="H34"/>
  <c r="I34"/>
  <c r="T24"/>
  <c r="J34"/>
  <c r="V24"/>
  <c r="L34"/>
  <c r="D3"/>
  <c r="M34"/>
  <c r="K34"/>
  <c r="N34"/>
  <c r="O34"/>
  <c r="P34"/>
  <c r="R34"/>
  <c r="T34"/>
  <c r="H35"/>
  <c r="I35"/>
  <c r="T25"/>
  <c r="J35"/>
  <c r="V25"/>
  <c r="L35"/>
  <c r="M35"/>
  <c r="K35"/>
  <c r="N35"/>
  <c r="O35"/>
  <c r="P35"/>
  <c r="R35"/>
  <c r="T35"/>
  <c r="H36"/>
  <c r="I36"/>
  <c r="J36"/>
  <c r="L36"/>
  <c r="M36"/>
  <c r="K36"/>
  <c r="N36"/>
  <c r="O36"/>
  <c r="P36"/>
  <c r="R36"/>
  <c r="T36"/>
  <c r="H37"/>
  <c r="I37"/>
  <c r="T27"/>
  <c r="J37"/>
  <c r="V27"/>
  <c r="L37"/>
  <c r="M37"/>
  <c r="K37"/>
  <c r="N37"/>
  <c r="O37"/>
  <c r="P37"/>
  <c r="R37"/>
  <c r="T37"/>
  <c r="T39"/>
  <c r="S34"/>
  <c r="S35"/>
  <c r="S36"/>
  <c r="S37"/>
  <c r="S39"/>
  <c r="R39"/>
  <c r="P42"/>
  <c r="O39"/>
  <c r="I47"/>
  <c r="I51"/>
  <c r="V34"/>
  <c r="W34"/>
  <c r="V35"/>
  <c r="W35"/>
  <c r="V36"/>
  <c r="W36"/>
  <c r="V37"/>
  <c r="W37"/>
  <c r="W39"/>
  <c r="V39"/>
  <c r="I53"/>
  <c r="I54"/>
  <c r="M55"/>
  <c r="M56"/>
  <c r="I55"/>
  <c r="AJ34"/>
  <c r="AK34"/>
  <c r="AJ35"/>
  <c r="AK35"/>
  <c r="AJ36"/>
  <c r="AK36"/>
  <c r="AJ37"/>
  <c r="AK37"/>
  <c r="AL34"/>
  <c r="AL35"/>
  <c r="AL36"/>
  <c r="AL37"/>
  <c r="Q48"/>
  <c r="Q49"/>
  <c r="Q50"/>
  <c r="Q51"/>
  <c r="AH50"/>
  <c r="I48"/>
  <c r="U34"/>
  <c r="U35"/>
  <c r="U36"/>
  <c r="U37"/>
  <c r="U39"/>
  <c r="I49"/>
  <c r="I50"/>
  <c r="AH49"/>
  <c r="AH48"/>
  <c r="I43"/>
  <c r="I44"/>
  <c r="AH46"/>
  <c r="AH45"/>
  <c r="I42"/>
  <c r="M44"/>
  <c r="M45"/>
  <c r="AH44"/>
  <c r="P44"/>
  <c r="P43"/>
  <c r="F5"/>
  <c r="AY37"/>
  <c r="AX37"/>
  <c r="AW37"/>
  <c r="AV37"/>
  <c r="AU37"/>
  <c r="AT37"/>
  <c r="AS37"/>
  <c r="AR37"/>
  <c r="AQ37"/>
  <c r="E37"/>
  <c r="AN37"/>
  <c r="F37"/>
  <c r="AO37"/>
  <c r="AP37"/>
  <c r="Q37"/>
  <c r="AH37"/>
  <c r="AG37"/>
  <c r="AF37"/>
  <c r="AX36"/>
  <c r="AW36"/>
  <c r="AV36"/>
  <c r="AU36"/>
  <c r="AT36"/>
  <c r="AS36"/>
  <c r="AR36"/>
  <c r="AQ36"/>
  <c r="E36"/>
  <c r="AN36"/>
  <c r="F36"/>
  <c r="AO36"/>
  <c r="AP36"/>
  <c r="Q36"/>
  <c r="AH36"/>
  <c r="AG36"/>
  <c r="AF36"/>
  <c r="F4"/>
  <c r="AY35"/>
  <c r="AX35"/>
  <c r="AW35"/>
  <c r="AV35"/>
  <c r="AU35"/>
  <c r="AT35"/>
  <c r="AS35"/>
  <c r="AR35"/>
  <c r="AQ35"/>
  <c r="E35"/>
  <c r="AN35"/>
  <c r="F35"/>
  <c r="AO35"/>
  <c r="AP35"/>
  <c r="Q35"/>
  <c r="AH35"/>
  <c r="AG35"/>
  <c r="AF35"/>
  <c r="F3"/>
  <c r="AY34"/>
  <c r="AX34"/>
  <c r="AW34"/>
  <c r="AV34"/>
  <c r="AU34"/>
  <c r="AT34"/>
  <c r="AS34"/>
  <c r="AR34"/>
  <c r="AQ34"/>
  <c r="E34"/>
  <c r="AN34"/>
  <c r="F34"/>
  <c r="AO34"/>
  <c r="AP34"/>
  <c r="Q34"/>
  <c r="AH34"/>
  <c r="AG34"/>
  <c r="AF34"/>
  <c r="I32"/>
  <c r="AQ31"/>
  <c r="AP31"/>
  <c r="AO31"/>
  <c r="AN31"/>
  <c r="AM31"/>
  <c r="AL31"/>
  <c r="AK31"/>
  <c r="AJ31"/>
  <c r="AI31"/>
  <c r="AH31"/>
  <c r="AG31"/>
  <c r="AF31"/>
  <c r="AE31"/>
  <c r="AD31"/>
  <c r="AC31"/>
  <c r="AB31"/>
  <c r="AA31"/>
  <c r="Z31"/>
  <c r="Y31"/>
  <c r="I31"/>
  <c r="H31"/>
  <c r="G31"/>
  <c r="F31"/>
  <c r="E31"/>
  <c r="D31"/>
  <c r="C31"/>
  <c r="AQ30"/>
  <c r="AP30"/>
  <c r="AO30"/>
  <c r="AN30"/>
  <c r="X57" i="19"/>
  <c r="AM30" i="176"/>
  <c r="AL30"/>
  <c r="AK30"/>
  <c r="AJ30"/>
  <c r="AI30"/>
  <c r="AH30"/>
  <c r="AG30"/>
  <c r="AF30"/>
  <c r="AE30"/>
  <c r="AD30"/>
  <c r="AC30"/>
  <c r="AB30"/>
  <c r="AA30"/>
  <c r="Z30"/>
  <c r="Y30"/>
  <c r="I30"/>
  <c r="H30"/>
  <c r="G30"/>
  <c r="F30"/>
  <c r="E30"/>
  <c r="D30"/>
  <c r="C30"/>
  <c r="AQ27"/>
  <c r="AJ27"/>
  <c r="AG27"/>
  <c r="AE27"/>
  <c r="AD27"/>
  <c r="AC27"/>
  <c r="AA27"/>
  <c r="Y27"/>
  <c r="G27"/>
  <c r="D27"/>
  <c r="C27"/>
  <c r="AQ26"/>
  <c r="X62" i="19"/>
  <c r="AJ26" i="176"/>
  <c r="AG26"/>
  <c r="AE26"/>
  <c r="AD26"/>
  <c r="AC26"/>
  <c r="AA26"/>
  <c r="Y26"/>
  <c r="G26"/>
  <c r="D26"/>
  <c r="C26"/>
  <c r="AQ25"/>
  <c r="X53" i="19"/>
  <c r="AJ25" i="176"/>
  <c r="AG25"/>
  <c r="AE25"/>
  <c r="AD25"/>
  <c r="AC25"/>
  <c r="AA25"/>
  <c r="Y25"/>
  <c r="G25"/>
  <c r="D25"/>
  <c r="C25"/>
  <c r="AQ24"/>
  <c r="X31" i="19"/>
  <c r="AJ24" i="176"/>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D6" i="249"/>
  <c r="D5"/>
  <c r="H65"/>
  <c r="I65"/>
  <c r="J65"/>
  <c r="L65"/>
  <c r="D3"/>
  <c r="M65"/>
  <c r="K65"/>
  <c r="N65"/>
  <c r="O65"/>
  <c r="P65"/>
  <c r="R65"/>
  <c r="T65"/>
  <c r="H66"/>
  <c r="I66"/>
  <c r="J66"/>
  <c r="L66"/>
  <c r="M66"/>
  <c r="K66"/>
  <c r="N66"/>
  <c r="O66"/>
  <c r="P66"/>
  <c r="R66"/>
  <c r="T66"/>
  <c r="H67"/>
  <c r="I67"/>
  <c r="J67"/>
  <c r="L67"/>
  <c r="M67"/>
  <c r="K67"/>
  <c r="N67"/>
  <c r="O67"/>
  <c r="P67"/>
  <c r="R67"/>
  <c r="T67"/>
  <c r="H68"/>
  <c r="I68"/>
  <c r="J68"/>
  <c r="L68"/>
  <c r="M68"/>
  <c r="K68"/>
  <c r="N68"/>
  <c r="O68"/>
  <c r="P68"/>
  <c r="R68"/>
  <c r="T68"/>
  <c r="H69"/>
  <c r="I69"/>
  <c r="J69"/>
  <c r="L69"/>
  <c r="M69"/>
  <c r="K69"/>
  <c r="N69"/>
  <c r="O69"/>
  <c r="P69"/>
  <c r="R69"/>
  <c r="T69"/>
  <c r="H70"/>
  <c r="I70"/>
  <c r="J70"/>
  <c r="L70"/>
  <c r="M70"/>
  <c r="K70"/>
  <c r="N70"/>
  <c r="O70"/>
  <c r="P70"/>
  <c r="R70"/>
  <c r="T70"/>
  <c r="H71"/>
  <c r="I71"/>
  <c r="T32"/>
  <c r="J71"/>
  <c r="V32"/>
  <c r="L71"/>
  <c r="M71"/>
  <c r="K71"/>
  <c r="N71"/>
  <c r="O71"/>
  <c r="P71"/>
  <c r="R71"/>
  <c r="T71"/>
  <c r="H72"/>
  <c r="I72"/>
  <c r="T33"/>
  <c r="J72"/>
  <c r="V33"/>
  <c r="L72"/>
  <c r="M72"/>
  <c r="K72"/>
  <c r="N72"/>
  <c r="O72"/>
  <c r="P72"/>
  <c r="R72"/>
  <c r="T72"/>
  <c r="H73"/>
  <c r="I73"/>
  <c r="T34"/>
  <c r="J73"/>
  <c r="V34"/>
  <c r="L73"/>
  <c r="M73"/>
  <c r="K73"/>
  <c r="N73"/>
  <c r="O73"/>
  <c r="P73"/>
  <c r="R73"/>
  <c r="T73"/>
  <c r="H74"/>
  <c r="I74"/>
  <c r="T35"/>
  <c r="J74"/>
  <c r="V35"/>
  <c r="L74"/>
  <c r="M74"/>
  <c r="K74"/>
  <c r="N74"/>
  <c r="O74"/>
  <c r="P74"/>
  <c r="R74"/>
  <c r="T74"/>
  <c r="H75"/>
  <c r="I75"/>
  <c r="T36"/>
  <c r="J75"/>
  <c r="V36"/>
  <c r="L75"/>
  <c r="M75"/>
  <c r="K75"/>
  <c r="N75"/>
  <c r="O75"/>
  <c r="P75"/>
  <c r="R75"/>
  <c r="T75"/>
  <c r="H76"/>
  <c r="I76"/>
  <c r="T37"/>
  <c r="J76"/>
  <c r="V37"/>
  <c r="L76"/>
  <c r="M76"/>
  <c r="K76"/>
  <c r="N76"/>
  <c r="O76"/>
  <c r="P76"/>
  <c r="R76"/>
  <c r="T76"/>
  <c r="H77"/>
  <c r="I77"/>
  <c r="T38"/>
  <c r="J77"/>
  <c r="V38"/>
  <c r="L77"/>
  <c r="M77"/>
  <c r="K77"/>
  <c r="N77"/>
  <c r="O77"/>
  <c r="P77"/>
  <c r="R77"/>
  <c r="T77"/>
  <c r="H78"/>
  <c r="I78"/>
  <c r="T39"/>
  <c r="J78"/>
  <c r="V39"/>
  <c r="L78"/>
  <c r="M78"/>
  <c r="K78"/>
  <c r="N78"/>
  <c r="O78"/>
  <c r="P78"/>
  <c r="R78"/>
  <c r="T78"/>
  <c r="H79"/>
  <c r="I79"/>
  <c r="T40"/>
  <c r="J79"/>
  <c r="V40"/>
  <c r="L79"/>
  <c r="M79"/>
  <c r="K79"/>
  <c r="N79"/>
  <c r="O79"/>
  <c r="P79"/>
  <c r="R79"/>
  <c r="T79"/>
  <c r="H80"/>
  <c r="I80"/>
  <c r="T41"/>
  <c r="J80"/>
  <c r="V41"/>
  <c r="L80"/>
  <c r="M80"/>
  <c r="K80"/>
  <c r="N80"/>
  <c r="O80"/>
  <c r="P80"/>
  <c r="R80"/>
  <c r="T80"/>
  <c r="H81"/>
  <c r="I81"/>
  <c r="T42"/>
  <c r="J81"/>
  <c r="V42"/>
  <c r="L81"/>
  <c r="M81"/>
  <c r="K81"/>
  <c r="N81"/>
  <c r="O81"/>
  <c r="P81"/>
  <c r="R81"/>
  <c r="T81"/>
  <c r="H82"/>
  <c r="I82"/>
  <c r="T43"/>
  <c r="J82"/>
  <c r="V43"/>
  <c r="L82"/>
  <c r="M82"/>
  <c r="K82"/>
  <c r="N82"/>
  <c r="O82"/>
  <c r="P82"/>
  <c r="R82"/>
  <c r="T82"/>
  <c r="H83"/>
  <c r="I83"/>
  <c r="T44"/>
  <c r="J83"/>
  <c r="V44"/>
  <c r="L83"/>
  <c r="M83"/>
  <c r="K83"/>
  <c r="N83"/>
  <c r="O83"/>
  <c r="P83"/>
  <c r="R83"/>
  <c r="T83"/>
  <c r="H84"/>
  <c r="I84"/>
  <c r="T45"/>
  <c r="J84"/>
  <c r="V45"/>
  <c r="L84"/>
  <c r="M84"/>
  <c r="K84"/>
  <c r="N84"/>
  <c r="O84"/>
  <c r="P84"/>
  <c r="R84"/>
  <c r="T84"/>
  <c r="H85"/>
  <c r="I85"/>
  <c r="T46"/>
  <c r="J85"/>
  <c r="V46"/>
  <c r="L85"/>
  <c r="M85"/>
  <c r="K85"/>
  <c r="N85"/>
  <c r="O85"/>
  <c r="P85"/>
  <c r="R85"/>
  <c r="T85"/>
  <c r="H86"/>
  <c r="I86"/>
  <c r="T47"/>
  <c r="J86"/>
  <c r="V47"/>
  <c r="L86"/>
  <c r="M86"/>
  <c r="K86"/>
  <c r="N86"/>
  <c r="O86"/>
  <c r="P86"/>
  <c r="R86"/>
  <c r="T86"/>
  <c r="H87"/>
  <c r="I87"/>
  <c r="T48"/>
  <c r="J87"/>
  <c r="V48"/>
  <c r="L87"/>
  <c r="M87"/>
  <c r="K87"/>
  <c r="N87"/>
  <c r="O87"/>
  <c r="P87"/>
  <c r="R87"/>
  <c r="T87"/>
  <c r="H88"/>
  <c r="I88"/>
  <c r="T49"/>
  <c r="J88"/>
  <c r="V49"/>
  <c r="L88"/>
  <c r="M88"/>
  <c r="K88"/>
  <c r="N88"/>
  <c r="O88"/>
  <c r="P88"/>
  <c r="R88"/>
  <c r="T88"/>
  <c r="H89"/>
  <c r="I89"/>
  <c r="T50"/>
  <c r="J89"/>
  <c r="V50"/>
  <c r="L89"/>
  <c r="M89"/>
  <c r="K89"/>
  <c r="N89"/>
  <c r="O89"/>
  <c r="P89"/>
  <c r="R89"/>
  <c r="T89"/>
  <c r="T91"/>
  <c r="S65"/>
  <c r="S66"/>
  <c r="S67"/>
  <c r="S68"/>
  <c r="S69"/>
  <c r="S70"/>
  <c r="S71"/>
  <c r="S72"/>
  <c r="S73"/>
  <c r="S74"/>
  <c r="S75"/>
  <c r="S76"/>
  <c r="S77"/>
  <c r="S78"/>
  <c r="S79"/>
  <c r="S80"/>
  <c r="S81"/>
  <c r="S82"/>
  <c r="S83"/>
  <c r="S84"/>
  <c r="S85"/>
  <c r="S86"/>
  <c r="S87"/>
  <c r="S88"/>
  <c r="S89"/>
  <c r="S91"/>
  <c r="R91"/>
  <c r="P94"/>
  <c r="O91"/>
  <c r="I99"/>
  <c r="I100"/>
  <c r="U65"/>
  <c r="U66"/>
  <c r="U67"/>
  <c r="U68"/>
  <c r="U69"/>
  <c r="U70"/>
  <c r="U71"/>
  <c r="U72"/>
  <c r="U73"/>
  <c r="U74"/>
  <c r="U75"/>
  <c r="U76"/>
  <c r="U77"/>
  <c r="U78"/>
  <c r="U79"/>
  <c r="U80"/>
  <c r="U81"/>
  <c r="U82"/>
  <c r="U83"/>
  <c r="U84"/>
  <c r="U85"/>
  <c r="U86"/>
  <c r="U87"/>
  <c r="U88"/>
  <c r="U89"/>
  <c r="U91"/>
  <c r="I101"/>
  <c r="I102"/>
  <c r="I103"/>
  <c r="V65"/>
  <c r="W65"/>
  <c r="V66"/>
  <c r="W66"/>
  <c r="V67"/>
  <c r="W67"/>
  <c r="V68"/>
  <c r="W68"/>
  <c r="V69"/>
  <c r="W69"/>
  <c r="V70"/>
  <c r="W70"/>
  <c r="V71"/>
  <c r="W71"/>
  <c r="V72"/>
  <c r="W72"/>
  <c r="V73"/>
  <c r="W73"/>
  <c r="V74"/>
  <c r="W74"/>
  <c r="V75"/>
  <c r="W75"/>
  <c r="V76"/>
  <c r="W76"/>
  <c r="V77"/>
  <c r="W77"/>
  <c r="V78"/>
  <c r="W78"/>
  <c r="V79"/>
  <c r="W79"/>
  <c r="V80"/>
  <c r="W80"/>
  <c r="V81"/>
  <c r="W81"/>
  <c r="V82"/>
  <c r="W82"/>
  <c r="V83"/>
  <c r="W83"/>
  <c r="V84"/>
  <c r="W84"/>
  <c r="V85"/>
  <c r="W85"/>
  <c r="V86"/>
  <c r="W86"/>
  <c r="V87"/>
  <c r="W87"/>
  <c r="V88"/>
  <c r="W88"/>
  <c r="V89"/>
  <c r="W89"/>
  <c r="W91"/>
  <c r="V91"/>
  <c r="I105"/>
  <c r="I106"/>
  <c r="M107"/>
  <c r="M108"/>
  <c r="I107"/>
  <c r="AJ65"/>
  <c r="AK65"/>
  <c r="AJ66"/>
  <c r="AK66"/>
  <c r="AJ67"/>
  <c r="AK67"/>
  <c r="AJ68"/>
  <c r="AK68"/>
  <c r="AJ69"/>
  <c r="AK69"/>
  <c r="AJ70"/>
  <c r="AK70"/>
  <c r="AJ71"/>
  <c r="AK71"/>
  <c r="AJ72"/>
  <c r="AK72"/>
  <c r="AJ73"/>
  <c r="AK73"/>
  <c r="AJ74"/>
  <c r="AK74"/>
  <c r="AJ75"/>
  <c r="AK75"/>
  <c r="AJ76"/>
  <c r="AK76"/>
  <c r="AJ77"/>
  <c r="AK77"/>
  <c r="AJ78"/>
  <c r="AK78"/>
  <c r="AJ79"/>
  <c r="AK79"/>
  <c r="AJ80"/>
  <c r="AK80"/>
  <c r="AJ81"/>
  <c r="AK81"/>
  <c r="AJ82"/>
  <c r="AK82"/>
  <c r="AJ83"/>
  <c r="AK83"/>
  <c r="AJ84"/>
  <c r="AK84"/>
  <c r="AJ85"/>
  <c r="AK85"/>
  <c r="AJ86"/>
  <c r="AK86"/>
  <c r="AJ87"/>
  <c r="AK87"/>
  <c r="AJ88"/>
  <c r="AK88"/>
  <c r="AJ89"/>
  <c r="AK89"/>
  <c r="AL65"/>
  <c r="AL66"/>
  <c r="AL67"/>
  <c r="AL68"/>
  <c r="AL69"/>
  <c r="AL70"/>
  <c r="AL71"/>
  <c r="AL72"/>
  <c r="AL73"/>
  <c r="AL74"/>
  <c r="AL75"/>
  <c r="AL76"/>
  <c r="AL77"/>
  <c r="AL78"/>
  <c r="AL79"/>
  <c r="AL80"/>
  <c r="AL81"/>
  <c r="AL82"/>
  <c r="AL83"/>
  <c r="AL84"/>
  <c r="AL85"/>
  <c r="AL86"/>
  <c r="AL87"/>
  <c r="AL88"/>
  <c r="AL89"/>
  <c r="Q100"/>
  <c r="Q101"/>
  <c r="Q102"/>
  <c r="Q103"/>
  <c r="AH102"/>
  <c r="AH101"/>
  <c r="AH100"/>
  <c r="I95"/>
  <c r="I96"/>
  <c r="AH98"/>
  <c r="AH97"/>
  <c r="I94"/>
  <c r="M96"/>
  <c r="M97"/>
  <c r="AH96"/>
  <c r="P96"/>
  <c r="P95"/>
  <c r="AX89"/>
  <c r="AW89"/>
  <c r="AV89"/>
  <c r="AU89"/>
  <c r="AT89"/>
  <c r="AS89"/>
  <c r="AR89"/>
  <c r="AQ89"/>
  <c r="E89"/>
  <c r="AN89"/>
  <c r="F89"/>
  <c r="AO89"/>
  <c r="AP89"/>
  <c r="Q89"/>
  <c r="AH89"/>
  <c r="AG89"/>
  <c r="AF89"/>
  <c r="AX88"/>
  <c r="AW88"/>
  <c r="AV88"/>
  <c r="AU88"/>
  <c r="AT88"/>
  <c r="AS88"/>
  <c r="AR88"/>
  <c r="AQ88"/>
  <c r="E88"/>
  <c r="AN88"/>
  <c r="F88"/>
  <c r="AO88"/>
  <c r="AP88"/>
  <c r="Q88"/>
  <c r="AH88"/>
  <c r="AG88"/>
  <c r="AF88"/>
  <c r="AX87"/>
  <c r="AW87"/>
  <c r="AV87"/>
  <c r="AU87"/>
  <c r="AT87"/>
  <c r="AS87"/>
  <c r="AR87"/>
  <c r="AQ87"/>
  <c r="E87"/>
  <c r="AN87"/>
  <c r="F87"/>
  <c r="AO87"/>
  <c r="AP87"/>
  <c r="Q87"/>
  <c r="AH87"/>
  <c r="AG87"/>
  <c r="AF87"/>
  <c r="AX86"/>
  <c r="AW86"/>
  <c r="AV86"/>
  <c r="AU86"/>
  <c r="AT86"/>
  <c r="AS86"/>
  <c r="AR86"/>
  <c r="AQ86"/>
  <c r="E86"/>
  <c r="AN86"/>
  <c r="F86"/>
  <c r="AO86"/>
  <c r="AP86"/>
  <c r="Q86"/>
  <c r="AH86"/>
  <c r="AG86"/>
  <c r="AF86"/>
  <c r="AX85"/>
  <c r="AW85"/>
  <c r="AV85"/>
  <c r="AU85"/>
  <c r="AT85"/>
  <c r="AS85"/>
  <c r="AR85"/>
  <c r="AQ85"/>
  <c r="E85"/>
  <c r="AN85"/>
  <c r="F85"/>
  <c r="AO85"/>
  <c r="AP85"/>
  <c r="Q85"/>
  <c r="AH85"/>
  <c r="AG85"/>
  <c r="AF85"/>
  <c r="AX84"/>
  <c r="AW84"/>
  <c r="AV84"/>
  <c r="AU84"/>
  <c r="AT84"/>
  <c r="AS84"/>
  <c r="AR84"/>
  <c r="AQ84"/>
  <c r="E84"/>
  <c r="AN84"/>
  <c r="F84"/>
  <c r="AO84"/>
  <c r="AP84"/>
  <c r="Q84"/>
  <c r="AH84"/>
  <c r="AG84"/>
  <c r="AF84"/>
  <c r="AX83"/>
  <c r="AW83"/>
  <c r="AV83"/>
  <c r="AU83"/>
  <c r="AT83"/>
  <c r="AS83"/>
  <c r="AR83"/>
  <c r="AQ83"/>
  <c r="E83"/>
  <c r="AN83"/>
  <c r="F83"/>
  <c r="AO83"/>
  <c r="AP83"/>
  <c r="Q83"/>
  <c r="AH83"/>
  <c r="AG83"/>
  <c r="AF83"/>
  <c r="AX82"/>
  <c r="AW82"/>
  <c r="AV82"/>
  <c r="AU82"/>
  <c r="AT82"/>
  <c r="AS82"/>
  <c r="AR82"/>
  <c r="AQ82"/>
  <c r="E82"/>
  <c r="AN82"/>
  <c r="F82"/>
  <c r="AO82"/>
  <c r="AP82"/>
  <c r="Q82"/>
  <c r="AH82"/>
  <c r="AG82"/>
  <c r="AF82"/>
  <c r="AX81"/>
  <c r="AW81"/>
  <c r="AV81"/>
  <c r="AU81"/>
  <c r="AT81"/>
  <c r="AS81"/>
  <c r="AR81"/>
  <c r="AQ81"/>
  <c r="E81"/>
  <c r="AN81"/>
  <c r="F81"/>
  <c r="AO81"/>
  <c r="AP81"/>
  <c r="Q81"/>
  <c r="AH81"/>
  <c r="AG81"/>
  <c r="AF81"/>
  <c r="AX80"/>
  <c r="AW80"/>
  <c r="AV80"/>
  <c r="AU80"/>
  <c r="AT80"/>
  <c r="AS80"/>
  <c r="AR80"/>
  <c r="AQ80"/>
  <c r="E80"/>
  <c r="AN80"/>
  <c r="F80"/>
  <c r="AO80"/>
  <c r="AP80"/>
  <c r="Q80"/>
  <c r="AH80"/>
  <c r="AG80"/>
  <c r="AF80"/>
  <c r="AX79"/>
  <c r="AW79"/>
  <c r="AV79"/>
  <c r="AU79"/>
  <c r="AT79"/>
  <c r="AS79"/>
  <c r="AR79"/>
  <c r="AQ79"/>
  <c r="E79"/>
  <c r="AN79"/>
  <c r="F79"/>
  <c r="AO79"/>
  <c r="AP79"/>
  <c r="Q79"/>
  <c r="AH79"/>
  <c r="AG79"/>
  <c r="AF79"/>
  <c r="AX78"/>
  <c r="AW78"/>
  <c r="AV78"/>
  <c r="AU78"/>
  <c r="AT78"/>
  <c r="AS78"/>
  <c r="AR78"/>
  <c r="AQ78"/>
  <c r="E78"/>
  <c r="AN78"/>
  <c r="F78"/>
  <c r="AO78"/>
  <c r="AP78"/>
  <c r="Q78"/>
  <c r="AH78"/>
  <c r="AG78"/>
  <c r="AF78"/>
  <c r="AX77"/>
  <c r="AW77"/>
  <c r="AV77"/>
  <c r="AU77"/>
  <c r="AT77"/>
  <c r="AS77"/>
  <c r="AR77"/>
  <c r="AQ77"/>
  <c r="E77"/>
  <c r="AN77"/>
  <c r="F77"/>
  <c r="AO77"/>
  <c r="AP77"/>
  <c r="Q77"/>
  <c r="AH77"/>
  <c r="AG77"/>
  <c r="AF77"/>
  <c r="AX76"/>
  <c r="AW76"/>
  <c r="AV76"/>
  <c r="AU76"/>
  <c r="AT76"/>
  <c r="AS76"/>
  <c r="AR76"/>
  <c r="AQ76"/>
  <c r="E76"/>
  <c r="AN76"/>
  <c r="F76"/>
  <c r="AO76"/>
  <c r="AP76"/>
  <c r="Q76"/>
  <c r="AH76"/>
  <c r="AG76"/>
  <c r="AF76"/>
  <c r="AX75"/>
  <c r="AW75"/>
  <c r="AV75"/>
  <c r="AU75"/>
  <c r="AT75"/>
  <c r="AS75"/>
  <c r="AR75"/>
  <c r="AQ75"/>
  <c r="E75"/>
  <c r="AN75"/>
  <c r="F75"/>
  <c r="AO75"/>
  <c r="AP75"/>
  <c r="Q75"/>
  <c r="AH75"/>
  <c r="AG75"/>
  <c r="AF75"/>
  <c r="AX74"/>
  <c r="AW74"/>
  <c r="AV74"/>
  <c r="AU74"/>
  <c r="AT74"/>
  <c r="AS74"/>
  <c r="AR74"/>
  <c r="AQ74"/>
  <c r="E74"/>
  <c r="AN74"/>
  <c r="F74"/>
  <c r="AO74"/>
  <c r="AP74"/>
  <c r="Q74"/>
  <c r="AH74"/>
  <c r="AG74"/>
  <c r="AF74"/>
  <c r="AX73"/>
  <c r="AW73"/>
  <c r="AV73"/>
  <c r="AU73"/>
  <c r="AT73"/>
  <c r="AS73"/>
  <c r="AR73"/>
  <c r="AQ73"/>
  <c r="E73"/>
  <c r="AN73"/>
  <c r="F73"/>
  <c r="AO73"/>
  <c r="AP73"/>
  <c r="Q73"/>
  <c r="AH73"/>
  <c r="AG73"/>
  <c r="AF73"/>
  <c r="AX72"/>
  <c r="AW72"/>
  <c r="AV72"/>
  <c r="AU72"/>
  <c r="AT72"/>
  <c r="AS72"/>
  <c r="AR72"/>
  <c r="AQ72"/>
  <c r="E72"/>
  <c r="AN72"/>
  <c r="F72"/>
  <c r="AO72"/>
  <c r="AP72"/>
  <c r="Q72"/>
  <c r="AH72"/>
  <c r="AG72"/>
  <c r="AF72"/>
  <c r="AX71"/>
  <c r="AW71"/>
  <c r="AV71"/>
  <c r="AU71"/>
  <c r="AT71"/>
  <c r="AS71"/>
  <c r="AR71"/>
  <c r="AQ71"/>
  <c r="E71"/>
  <c r="AN71"/>
  <c r="F71"/>
  <c r="AO71"/>
  <c r="AP71"/>
  <c r="Q71"/>
  <c r="AH71"/>
  <c r="AG71"/>
  <c r="AF71"/>
  <c r="AX70"/>
  <c r="AW70"/>
  <c r="AV70"/>
  <c r="AU70"/>
  <c r="AT70"/>
  <c r="AS70"/>
  <c r="AR70"/>
  <c r="AQ70"/>
  <c r="E226" i="19"/>
  <c r="E70" i="249"/>
  <c r="AN70"/>
  <c r="F70"/>
  <c r="AO70"/>
  <c r="AP70"/>
  <c r="Q70"/>
  <c r="AH70"/>
  <c r="AG70"/>
  <c r="AF70"/>
  <c r="AX69"/>
  <c r="AW69"/>
  <c r="AV69"/>
  <c r="AU69"/>
  <c r="AT69"/>
  <c r="AS69"/>
  <c r="AR69"/>
  <c r="AQ69"/>
  <c r="E69"/>
  <c r="AN69"/>
  <c r="F69"/>
  <c r="AO69"/>
  <c r="AP69"/>
  <c r="Q69"/>
  <c r="AH69"/>
  <c r="AG69"/>
  <c r="AF69"/>
  <c r="AX68"/>
  <c r="AW68"/>
  <c r="AV68"/>
  <c r="AU68"/>
  <c r="AT68"/>
  <c r="AS68"/>
  <c r="AR68"/>
  <c r="AQ68"/>
  <c r="E68"/>
  <c r="AN68"/>
  <c r="F68"/>
  <c r="AO68"/>
  <c r="AP68"/>
  <c r="Q68"/>
  <c r="AH68"/>
  <c r="AG68"/>
  <c r="AF68"/>
  <c r="F6"/>
  <c r="AY67"/>
  <c r="AX67"/>
  <c r="AW67"/>
  <c r="AV67"/>
  <c r="AU67"/>
  <c r="AT67"/>
  <c r="AS67"/>
  <c r="AR67"/>
  <c r="AQ67"/>
  <c r="E67"/>
  <c r="AN67"/>
  <c r="F67"/>
  <c r="AO67"/>
  <c r="AP67"/>
  <c r="Q67"/>
  <c r="AH67"/>
  <c r="AG67"/>
  <c r="AF67"/>
  <c r="F4"/>
  <c r="AY66"/>
  <c r="AX66"/>
  <c r="AW66"/>
  <c r="AV66"/>
  <c r="AU66"/>
  <c r="AT66"/>
  <c r="AS66"/>
  <c r="AR66"/>
  <c r="AQ66"/>
  <c r="E66"/>
  <c r="AN66"/>
  <c r="F66"/>
  <c r="AO66"/>
  <c r="AP66"/>
  <c r="Q66"/>
  <c r="AH66"/>
  <c r="AG66"/>
  <c r="AF66"/>
  <c r="F3"/>
  <c r="AY65"/>
  <c r="AX65"/>
  <c r="AW65"/>
  <c r="AV65"/>
  <c r="AU65"/>
  <c r="AT65"/>
  <c r="AS65"/>
  <c r="AR65"/>
  <c r="AQ65"/>
  <c r="E65"/>
  <c r="AN65"/>
  <c r="F65"/>
  <c r="AO65"/>
  <c r="AP65"/>
  <c r="Q65"/>
  <c r="AH65"/>
  <c r="AG65"/>
  <c r="AF65"/>
  <c r="I63"/>
  <c r="AQ61"/>
  <c r="AP61"/>
  <c r="AO61"/>
  <c r="AN61"/>
  <c r="X186" i="19"/>
  <c r="AM61" i="249"/>
  <c r="AL61"/>
  <c r="AK61"/>
  <c r="AJ61"/>
  <c r="AI61"/>
  <c r="AH61"/>
  <c r="AG61"/>
  <c r="AF61"/>
  <c r="AE61"/>
  <c r="AD61"/>
  <c r="AC61"/>
  <c r="AB61"/>
  <c r="AA61"/>
  <c r="Z61"/>
  <c r="Y61"/>
  <c r="I61"/>
  <c r="H61"/>
  <c r="G61"/>
  <c r="F61"/>
  <c r="E61"/>
  <c r="D61"/>
  <c r="C61"/>
  <c r="AQ60"/>
  <c r="AP60"/>
  <c r="AO60"/>
  <c r="AN60"/>
  <c r="X171" i="19"/>
  <c r="AM60" i="249"/>
  <c r="AL60"/>
  <c r="AK60"/>
  <c r="AJ60"/>
  <c r="AI60"/>
  <c r="AH60"/>
  <c r="AG60"/>
  <c r="AF60"/>
  <c r="AE60"/>
  <c r="AD60"/>
  <c r="AC60"/>
  <c r="AB60"/>
  <c r="AA60"/>
  <c r="Z60"/>
  <c r="Y60"/>
  <c r="G60"/>
  <c r="F60"/>
  <c r="E60"/>
  <c r="D60"/>
  <c r="C60"/>
  <c r="AQ59"/>
  <c r="AP59"/>
  <c r="AO59"/>
  <c r="AN59"/>
  <c r="AM59"/>
  <c r="AL59"/>
  <c r="AK59"/>
  <c r="AJ59"/>
  <c r="AI59"/>
  <c r="AH59"/>
  <c r="AG59"/>
  <c r="AF59"/>
  <c r="AE59"/>
  <c r="AD59"/>
  <c r="AC59"/>
  <c r="AB59"/>
  <c r="AA59"/>
  <c r="Z59"/>
  <c r="Y59"/>
  <c r="G59"/>
  <c r="F59"/>
  <c r="E59"/>
  <c r="D59"/>
  <c r="C59"/>
  <c r="AQ58"/>
  <c r="AP58"/>
  <c r="AO58"/>
  <c r="AN58"/>
  <c r="X122" i="19"/>
  <c r="AM58" i="249"/>
  <c r="AL58"/>
  <c r="AK58"/>
  <c r="AJ58"/>
  <c r="AI58"/>
  <c r="AH58"/>
  <c r="AG58"/>
  <c r="AF58"/>
  <c r="AE58"/>
  <c r="AD58"/>
  <c r="AC58"/>
  <c r="AB58"/>
  <c r="AA58"/>
  <c r="Z58"/>
  <c r="Y58"/>
  <c r="I58"/>
  <c r="H58"/>
  <c r="G58"/>
  <c r="F58"/>
  <c r="E58"/>
  <c r="D58"/>
  <c r="C58"/>
  <c r="AQ57"/>
  <c r="AP57"/>
  <c r="AO57"/>
  <c r="AN57"/>
  <c r="X102" i="19"/>
  <c r="AM57" i="249"/>
  <c r="AL57"/>
  <c r="AK57"/>
  <c r="AJ57"/>
  <c r="AI57"/>
  <c r="AH57"/>
  <c r="AG57"/>
  <c r="AF57"/>
  <c r="AE57"/>
  <c r="AD57"/>
  <c r="AC57"/>
  <c r="AB57"/>
  <c r="AA57"/>
  <c r="Z57"/>
  <c r="Y57"/>
  <c r="I57"/>
  <c r="H57"/>
  <c r="G57"/>
  <c r="F57"/>
  <c r="E57"/>
  <c r="D57"/>
  <c r="C57"/>
  <c r="AQ56"/>
  <c r="AP56"/>
  <c r="AO56"/>
  <c r="AN56"/>
  <c r="X87" i="19"/>
  <c r="AM56" i="249"/>
  <c r="AL56"/>
  <c r="AK56"/>
  <c r="AJ56"/>
  <c r="AI56"/>
  <c r="AH56"/>
  <c r="AG56"/>
  <c r="AF56"/>
  <c r="AE56"/>
  <c r="AD56"/>
  <c r="AC56"/>
  <c r="AB56"/>
  <c r="AA56"/>
  <c r="Z56"/>
  <c r="Y56"/>
  <c r="I56"/>
  <c r="H56"/>
  <c r="G56"/>
  <c r="F56"/>
  <c r="E56"/>
  <c r="D56"/>
  <c r="C56"/>
  <c r="AQ55"/>
  <c r="AP55"/>
  <c r="AO55"/>
  <c r="AN55"/>
  <c r="X68" i="19"/>
  <c r="AM55" i="249"/>
  <c r="AL55"/>
  <c r="AK55"/>
  <c r="AJ55"/>
  <c r="AI55"/>
  <c r="AH55"/>
  <c r="AG55"/>
  <c r="AF55"/>
  <c r="AE55"/>
  <c r="AD55"/>
  <c r="AC55"/>
  <c r="AB55"/>
  <c r="AA55"/>
  <c r="Z55"/>
  <c r="Y55"/>
  <c r="I55"/>
  <c r="H55"/>
  <c r="G55"/>
  <c r="F55"/>
  <c r="E55"/>
  <c r="D55"/>
  <c r="C55"/>
  <c r="AQ53"/>
  <c r="AP53"/>
  <c r="AO53"/>
  <c r="AN53"/>
  <c r="AM53"/>
  <c r="AL53"/>
  <c r="AK53"/>
  <c r="AJ53"/>
  <c r="AI53"/>
  <c r="AH53"/>
  <c r="AG53"/>
  <c r="AF53"/>
  <c r="AE53"/>
  <c r="AD53"/>
  <c r="AC53"/>
  <c r="AB53"/>
  <c r="AA53"/>
  <c r="Z53"/>
  <c r="Y53"/>
  <c r="I53"/>
  <c r="H53"/>
  <c r="G53"/>
  <c r="F53"/>
  <c r="E53"/>
  <c r="D53"/>
  <c r="C53"/>
  <c r="AQ50"/>
  <c r="X210" i="19"/>
  <c r="AJ50" i="249"/>
  <c r="AG50"/>
  <c r="AE50"/>
  <c r="AD50"/>
  <c r="AC50"/>
  <c r="AA50"/>
  <c r="Y50"/>
  <c r="G50"/>
  <c r="D50"/>
  <c r="C50"/>
  <c r="AQ49"/>
  <c r="X213" i="19"/>
  <c r="AJ49" i="249"/>
  <c r="AG49"/>
  <c r="AE49"/>
  <c r="AD49"/>
  <c r="Y49"/>
  <c r="G49"/>
  <c r="D49"/>
  <c r="C49"/>
  <c r="AQ48"/>
  <c r="AJ48"/>
  <c r="AG48"/>
  <c r="AE48"/>
  <c r="AD48"/>
  <c r="Y48"/>
  <c r="G48"/>
  <c r="D48"/>
  <c r="C48"/>
  <c r="X224" i="19"/>
  <c r="Y47" i="249"/>
  <c r="G47"/>
  <c r="D47"/>
  <c r="C47"/>
  <c r="Y46"/>
  <c r="G46"/>
  <c r="D46"/>
  <c r="C46"/>
  <c r="AQ45"/>
  <c r="X198" i="19"/>
  <c r="AJ45" i="249"/>
  <c r="AG45"/>
  <c r="AE45"/>
  <c r="AD45"/>
  <c r="AC45"/>
  <c r="AA45"/>
  <c r="Y45"/>
  <c r="G45"/>
  <c r="D45"/>
  <c r="C45"/>
  <c r="AQ44"/>
  <c r="X193" i="19"/>
  <c r="AJ44" i="249"/>
  <c r="AG44"/>
  <c r="AE44"/>
  <c r="AD44"/>
  <c r="AC44"/>
  <c r="AA44"/>
  <c r="Y44"/>
  <c r="G44"/>
  <c r="D44"/>
  <c r="C44"/>
  <c r="X189" i="19"/>
  <c r="Y43" i="249"/>
  <c r="G43"/>
  <c r="D43"/>
  <c r="C43"/>
  <c r="Y42"/>
  <c r="G42"/>
  <c r="D42"/>
  <c r="C42"/>
  <c r="AQ41"/>
  <c r="X172" i="19"/>
  <c r="AJ41" i="249"/>
  <c r="AG41"/>
  <c r="AE41"/>
  <c r="AD41"/>
  <c r="AC41"/>
  <c r="AA41"/>
  <c r="Y41"/>
  <c r="G41"/>
  <c r="D41"/>
  <c r="C41"/>
  <c r="AQ40"/>
  <c r="X164" i="19"/>
  <c r="AJ40" i="249"/>
  <c r="AG40"/>
  <c r="AE40"/>
  <c r="AD40"/>
  <c r="AC40"/>
  <c r="AA40"/>
  <c r="Y40"/>
  <c r="G40"/>
  <c r="D40"/>
  <c r="C40"/>
  <c r="AQ39"/>
  <c r="X161" i="19"/>
  <c r="AJ39" i="249"/>
  <c r="AG39"/>
  <c r="AE39"/>
  <c r="AD39"/>
  <c r="AC39"/>
  <c r="AA39"/>
  <c r="Y39"/>
  <c r="G39"/>
  <c r="D39"/>
  <c r="C39"/>
  <c r="AQ38"/>
  <c r="X162" i="19"/>
  <c r="AJ38" i="249"/>
  <c r="AG38"/>
  <c r="AE38"/>
  <c r="AD38"/>
  <c r="AC38"/>
  <c r="AA38"/>
  <c r="Y38"/>
  <c r="G38"/>
  <c r="D38"/>
  <c r="C38"/>
  <c r="AQ37"/>
  <c r="X133" i="19"/>
  <c r="AJ37" i="249"/>
  <c r="AG37"/>
  <c r="AE37"/>
  <c r="AD37"/>
  <c r="AC37"/>
  <c r="AA37"/>
  <c r="Y37"/>
  <c r="G37"/>
  <c r="D37"/>
  <c r="C37"/>
  <c r="AQ36"/>
  <c r="X123" i="19"/>
  <c r="AJ36" i="249"/>
  <c r="AG36"/>
  <c r="AE36"/>
  <c r="AD36"/>
  <c r="AC36"/>
  <c r="AA36"/>
  <c r="Y36"/>
  <c r="G36"/>
  <c r="D36"/>
  <c r="C36"/>
  <c r="AQ35"/>
  <c r="X119" i="19"/>
  <c r="AJ35" i="249"/>
  <c r="AG35"/>
  <c r="AE35"/>
  <c r="AD35"/>
  <c r="AC35"/>
  <c r="AA35"/>
  <c r="Y35"/>
  <c r="G35"/>
  <c r="D35"/>
  <c r="C35"/>
  <c r="AQ34"/>
  <c r="X99" i="19"/>
  <c r="AJ34" i="249"/>
  <c r="Y34"/>
  <c r="G34"/>
  <c r="D34"/>
  <c r="C34"/>
  <c r="AQ33"/>
  <c r="AJ33"/>
  <c r="Y33"/>
  <c r="G33"/>
  <c r="D33"/>
  <c r="C33"/>
  <c r="AQ32"/>
  <c r="X60" i="19"/>
  <c r="AJ32" i="249"/>
  <c r="AG32"/>
  <c r="AE32"/>
  <c r="AD32"/>
  <c r="AC32"/>
  <c r="AA32"/>
  <c r="Y32"/>
  <c r="G32"/>
  <c r="D32"/>
  <c r="C32"/>
  <c r="AQ29"/>
  <c r="X226" i="19"/>
  <c r="AJ29" i="249"/>
  <c r="AG29"/>
  <c r="AE29"/>
  <c r="AD29"/>
  <c r="AC29"/>
  <c r="AA29"/>
  <c r="Y29"/>
  <c r="G29"/>
  <c r="D29"/>
  <c r="C29"/>
  <c r="AQ28"/>
  <c r="X176" i="19"/>
  <c r="AJ28" i="249"/>
  <c r="AG28"/>
  <c r="AE28"/>
  <c r="AD28"/>
  <c r="AC28"/>
  <c r="AA28"/>
  <c r="Y28"/>
  <c r="G28"/>
  <c r="D28"/>
  <c r="C28"/>
  <c r="AQ27"/>
  <c r="X167" i="19"/>
  <c r="AJ27" i="249"/>
  <c r="AG27"/>
  <c r="AE27"/>
  <c r="AD27"/>
  <c r="AC27"/>
  <c r="AA27"/>
  <c r="Y27"/>
  <c r="G27"/>
  <c r="D27"/>
  <c r="C27"/>
  <c r="AQ26"/>
  <c r="X145" i="19"/>
  <c r="AJ26" i="249"/>
  <c r="AG26"/>
  <c r="AE26"/>
  <c r="AD26"/>
  <c r="AC26"/>
  <c r="AA26"/>
  <c r="Y26"/>
  <c r="G26"/>
  <c r="D26"/>
  <c r="C26"/>
  <c r="AQ25"/>
  <c r="X126" i="19"/>
  <c r="AJ25" i="249"/>
  <c r="AG25"/>
  <c r="AE25"/>
  <c r="AD25"/>
  <c r="AC25"/>
  <c r="AA25"/>
  <c r="Y25"/>
  <c r="G25"/>
  <c r="D25"/>
  <c r="C25"/>
  <c r="AQ24"/>
  <c r="X69" i="19"/>
  <c r="AJ24" i="249"/>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151"/>
  <c r="D5"/>
  <c r="H43"/>
  <c r="I43"/>
  <c r="J43"/>
  <c r="L43"/>
  <c r="D3"/>
  <c r="M43"/>
  <c r="K43"/>
  <c r="N43"/>
  <c r="O43"/>
  <c r="P43"/>
  <c r="R43"/>
  <c r="T43"/>
  <c r="H44"/>
  <c r="I44"/>
  <c r="J44"/>
  <c r="L44"/>
  <c r="M44"/>
  <c r="K44"/>
  <c r="N44"/>
  <c r="O44"/>
  <c r="P44"/>
  <c r="R44"/>
  <c r="T44"/>
  <c r="H45"/>
  <c r="I45"/>
  <c r="J45"/>
  <c r="L45"/>
  <c r="M45"/>
  <c r="K45"/>
  <c r="N45"/>
  <c r="O45"/>
  <c r="P45"/>
  <c r="R45"/>
  <c r="T45"/>
  <c r="H46"/>
  <c r="I46"/>
  <c r="T29"/>
  <c r="J46"/>
  <c r="V29"/>
  <c r="L46"/>
  <c r="M46"/>
  <c r="K46"/>
  <c r="N46"/>
  <c r="O46"/>
  <c r="P46"/>
  <c r="R46"/>
  <c r="T46"/>
  <c r="H47"/>
  <c r="I47"/>
  <c r="T30"/>
  <c r="J47"/>
  <c r="V30"/>
  <c r="L47"/>
  <c r="M47"/>
  <c r="K47"/>
  <c r="N47"/>
  <c r="O47"/>
  <c r="P47"/>
  <c r="R47"/>
  <c r="T47"/>
  <c r="H48"/>
  <c r="I48"/>
  <c r="T31"/>
  <c r="J48"/>
  <c r="V31"/>
  <c r="L48"/>
  <c r="M48"/>
  <c r="K48"/>
  <c r="N48"/>
  <c r="O48"/>
  <c r="P48"/>
  <c r="R48"/>
  <c r="T48"/>
  <c r="T50"/>
  <c r="S43"/>
  <c r="S44"/>
  <c r="S45"/>
  <c r="S46"/>
  <c r="S47"/>
  <c r="S48"/>
  <c r="S50"/>
  <c r="R50"/>
  <c r="P53"/>
  <c r="O50"/>
  <c r="I58"/>
  <c r="I59"/>
  <c r="U43"/>
  <c r="U44"/>
  <c r="U45"/>
  <c r="U46"/>
  <c r="U47"/>
  <c r="U48"/>
  <c r="U50"/>
  <c r="I60"/>
  <c r="I61"/>
  <c r="I62"/>
  <c r="V43"/>
  <c r="W43"/>
  <c r="V44"/>
  <c r="W44"/>
  <c r="V45"/>
  <c r="W45"/>
  <c r="V46"/>
  <c r="W46"/>
  <c r="V47"/>
  <c r="W47"/>
  <c r="V48"/>
  <c r="W48"/>
  <c r="W50"/>
  <c r="V50"/>
  <c r="I64"/>
  <c r="I65"/>
  <c r="M66"/>
  <c r="M67"/>
  <c r="I66"/>
  <c r="AJ43"/>
  <c r="AK43"/>
  <c r="AJ44"/>
  <c r="AK44"/>
  <c r="AJ45"/>
  <c r="AK45"/>
  <c r="AJ46"/>
  <c r="AK46"/>
  <c r="AJ47"/>
  <c r="AK47"/>
  <c r="AJ48"/>
  <c r="AK48"/>
  <c r="AL43"/>
  <c r="AL44"/>
  <c r="AL45"/>
  <c r="AL46"/>
  <c r="AL47"/>
  <c r="AL48"/>
  <c r="Q59"/>
  <c r="Q60"/>
  <c r="Q61"/>
  <c r="Q62"/>
  <c r="AH61"/>
  <c r="AH60"/>
  <c r="AH59"/>
  <c r="I54"/>
  <c r="I55"/>
  <c r="AH57"/>
  <c r="AH56"/>
  <c r="I53"/>
  <c r="M55"/>
  <c r="M56"/>
  <c r="AH55"/>
  <c r="P55"/>
  <c r="P54"/>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AX44"/>
  <c r="AW44"/>
  <c r="AV44"/>
  <c r="AU44"/>
  <c r="AT44"/>
  <c r="AS44"/>
  <c r="AR44"/>
  <c r="AQ44"/>
  <c r="E44"/>
  <c r="AN44"/>
  <c r="F44"/>
  <c r="AO44"/>
  <c r="AP44"/>
  <c r="Q44"/>
  <c r="AH44"/>
  <c r="AG44"/>
  <c r="AF44"/>
  <c r="F4"/>
  <c r="AY43"/>
  <c r="AX43"/>
  <c r="AW43"/>
  <c r="AV43"/>
  <c r="AU43"/>
  <c r="AT43"/>
  <c r="AS43"/>
  <c r="AR43"/>
  <c r="AQ43"/>
  <c r="E43"/>
  <c r="AN43"/>
  <c r="F43"/>
  <c r="AO43"/>
  <c r="AP43"/>
  <c r="Q43"/>
  <c r="AH43"/>
  <c r="AG43"/>
  <c r="AF43"/>
  <c r="I41"/>
  <c r="AQ39"/>
  <c r="AP39"/>
  <c r="AO39"/>
  <c r="AN39"/>
  <c r="X182" i="19"/>
  <c r="AM39" i="151"/>
  <c r="AL39"/>
  <c r="AK39"/>
  <c r="AJ39"/>
  <c r="AI39"/>
  <c r="AH39"/>
  <c r="AG39"/>
  <c r="AF39"/>
  <c r="AE39"/>
  <c r="AD39"/>
  <c r="AC39"/>
  <c r="AB39"/>
  <c r="I39"/>
  <c r="H39"/>
  <c r="G39"/>
  <c r="F39"/>
  <c r="E39"/>
  <c r="D39"/>
  <c r="C39"/>
  <c r="AQ38"/>
  <c r="AP38"/>
  <c r="AO38"/>
  <c r="AN38"/>
  <c r="X227" i="19"/>
  <c r="AM38" i="151"/>
  <c r="AL38"/>
  <c r="AK38"/>
  <c r="AJ38"/>
  <c r="AI38"/>
  <c r="AH38"/>
  <c r="AG38"/>
  <c r="AF38"/>
  <c r="AE38"/>
  <c r="AD38"/>
  <c r="AC38"/>
  <c r="AB38"/>
  <c r="AA38"/>
  <c r="Z38"/>
  <c r="Y38"/>
  <c r="I38"/>
  <c r="H38"/>
  <c r="G38"/>
  <c r="F38"/>
  <c r="E38"/>
  <c r="D38"/>
  <c r="C38"/>
  <c r="AQ37"/>
  <c r="AP37"/>
  <c r="AO37"/>
  <c r="AN37"/>
  <c r="X200" i="19"/>
  <c r="AM37" i="151"/>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G36"/>
  <c r="F36"/>
  <c r="E36"/>
  <c r="D36"/>
  <c r="C36"/>
  <c r="AQ35"/>
  <c r="AP35"/>
  <c r="AO35"/>
  <c r="AN35"/>
  <c r="AM35"/>
  <c r="AL35"/>
  <c r="AK35"/>
  <c r="AJ35"/>
  <c r="AI35"/>
  <c r="AH35"/>
  <c r="AG35"/>
  <c r="AF35"/>
  <c r="AE35"/>
  <c r="AD35"/>
  <c r="AC35"/>
  <c r="AB35"/>
  <c r="AA35"/>
  <c r="Z35"/>
  <c r="Y35"/>
  <c r="G35"/>
  <c r="F35"/>
  <c r="E35"/>
  <c r="D35"/>
  <c r="C35"/>
  <c r="AQ34"/>
  <c r="AP34"/>
  <c r="AO34"/>
  <c r="AN34"/>
  <c r="X114" i="19"/>
  <c r="AM34" i="151"/>
  <c r="AL34"/>
  <c r="AK34"/>
  <c r="AJ34"/>
  <c r="AI34"/>
  <c r="AH34"/>
  <c r="AG34"/>
  <c r="AF34"/>
  <c r="AE34"/>
  <c r="AD34"/>
  <c r="AC34"/>
  <c r="AB34"/>
  <c r="AA34"/>
  <c r="Z34"/>
  <c r="Y34"/>
  <c r="I34"/>
  <c r="H34"/>
  <c r="G34"/>
  <c r="F34"/>
  <c r="E34"/>
  <c r="D34"/>
  <c r="C34"/>
  <c r="AQ32"/>
  <c r="AP32"/>
  <c r="AO32"/>
  <c r="AN32"/>
  <c r="AM32"/>
  <c r="AL32"/>
  <c r="AK32"/>
  <c r="AJ32"/>
  <c r="AI32"/>
  <c r="AH32"/>
  <c r="AG32"/>
  <c r="AF32"/>
  <c r="AE32"/>
  <c r="AD32"/>
  <c r="AC32"/>
  <c r="AB32"/>
  <c r="AA32"/>
  <c r="Z32"/>
  <c r="Y32"/>
  <c r="I32"/>
  <c r="H32"/>
  <c r="G32"/>
  <c r="F32"/>
  <c r="E32"/>
  <c r="D32"/>
  <c r="C32"/>
  <c r="AQ31"/>
  <c r="X184" i="19"/>
  <c r="AJ31" i="151"/>
  <c r="AG31"/>
  <c r="AE31"/>
  <c r="AD31"/>
  <c r="AC31"/>
  <c r="AA31"/>
  <c r="Y31"/>
  <c r="G31"/>
  <c r="D31"/>
  <c r="C31"/>
  <c r="AQ30"/>
  <c r="X169" i="19"/>
  <c r="AJ30" i="151"/>
  <c r="AG30"/>
  <c r="AE30"/>
  <c r="AD30"/>
  <c r="AC30"/>
  <c r="AA30"/>
  <c r="Y30"/>
  <c r="G30"/>
  <c r="D30"/>
  <c r="C30"/>
  <c r="AQ29"/>
  <c r="X150" i="19"/>
  <c r="AJ29" i="151"/>
  <c r="AG29"/>
  <c r="AE29"/>
  <c r="AD29"/>
  <c r="AC29"/>
  <c r="AA29"/>
  <c r="Y29"/>
  <c r="G29"/>
  <c r="D29"/>
  <c r="C29"/>
  <c r="AQ28"/>
  <c r="AP28"/>
  <c r="AO28"/>
  <c r="AN28"/>
  <c r="AM28"/>
  <c r="AL28"/>
  <c r="AK28"/>
  <c r="AJ28"/>
  <c r="AI28"/>
  <c r="AH28"/>
  <c r="AG28"/>
  <c r="AF28"/>
  <c r="AE28"/>
  <c r="AD28"/>
  <c r="AC28"/>
  <c r="AB28"/>
  <c r="AA28"/>
  <c r="Z28"/>
  <c r="Y28"/>
  <c r="I28"/>
  <c r="H28"/>
  <c r="G28"/>
  <c r="F28"/>
  <c r="AQ27"/>
  <c r="AP27"/>
  <c r="AO27"/>
  <c r="AN27"/>
  <c r="AM27"/>
  <c r="AL27"/>
  <c r="AK27"/>
  <c r="AJ27"/>
  <c r="AI27"/>
  <c r="AH27"/>
  <c r="AG27"/>
  <c r="AF27"/>
  <c r="AE27"/>
  <c r="AD27"/>
  <c r="AC27"/>
  <c r="AB27"/>
  <c r="AA27"/>
  <c r="Z27"/>
  <c r="Y27"/>
  <c r="I27"/>
  <c r="H27"/>
  <c r="G27"/>
  <c r="F27"/>
  <c r="E27"/>
  <c r="D27"/>
  <c r="C27"/>
  <c r="AQ26"/>
  <c r="AJ26"/>
  <c r="AG26"/>
  <c r="AE26"/>
  <c r="AD26"/>
  <c r="AC26"/>
  <c r="AA26"/>
  <c r="Y26"/>
  <c r="G26"/>
  <c r="D26"/>
  <c r="C26"/>
  <c r="AQ25"/>
  <c r="AJ25"/>
  <c r="AG25"/>
  <c r="AE25"/>
  <c r="AD25"/>
  <c r="AC25"/>
  <c r="AA25"/>
  <c r="Y25"/>
  <c r="G25"/>
  <c r="D25"/>
  <c r="C25"/>
  <c r="AQ24"/>
  <c r="X86" i="19"/>
  <c r="AJ24" i="151"/>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3"/>
  <c r="D6" i="63"/>
  <c r="D5"/>
  <c r="H87"/>
  <c r="I87"/>
  <c r="J87"/>
  <c r="L87"/>
  <c r="D3"/>
  <c r="M87"/>
  <c r="K87"/>
  <c r="N87"/>
  <c r="O87"/>
  <c r="P87"/>
  <c r="R87"/>
  <c r="T87"/>
  <c r="H88"/>
  <c r="I88"/>
  <c r="J88"/>
  <c r="L88"/>
  <c r="M88"/>
  <c r="K88"/>
  <c r="N88"/>
  <c r="O88"/>
  <c r="P88"/>
  <c r="R88"/>
  <c r="T88"/>
  <c r="H89"/>
  <c r="I89"/>
  <c r="J89"/>
  <c r="L89"/>
  <c r="M89"/>
  <c r="K89"/>
  <c r="N89"/>
  <c r="O89"/>
  <c r="P89"/>
  <c r="R89"/>
  <c r="T89"/>
  <c r="H90"/>
  <c r="I90"/>
  <c r="J90"/>
  <c r="L90"/>
  <c r="M90"/>
  <c r="K90"/>
  <c r="N90"/>
  <c r="O90"/>
  <c r="P90"/>
  <c r="R90"/>
  <c r="T90"/>
  <c r="H91"/>
  <c r="I91"/>
  <c r="J91"/>
  <c r="L91"/>
  <c r="M91"/>
  <c r="K91"/>
  <c r="N91"/>
  <c r="O91"/>
  <c r="P91"/>
  <c r="R91"/>
  <c r="T91"/>
  <c r="H92"/>
  <c r="I92"/>
  <c r="J92"/>
  <c r="L92"/>
  <c r="M92"/>
  <c r="K92"/>
  <c r="N92"/>
  <c r="O92"/>
  <c r="P92"/>
  <c r="R92"/>
  <c r="T92"/>
  <c r="H93"/>
  <c r="I93"/>
  <c r="J93"/>
  <c r="L93"/>
  <c r="M93"/>
  <c r="K93"/>
  <c r="N93"/>
  <c r="O93"/>
  <c r="P93"/>
  <c r="R93"/>
  <c r="T93"/>
  <c r="H94"/>
  <c r="I94"/>
  <c r="J94"/>
  <c r="L94"/>
  <c r="M94"/>
  <c r="K94"/>
  <c r="N94"/>
  <c r="O94"/>
  <c r="P94"/>
  <c r="R94"/>
  <c r="T94"/>
  <c r="H95"/>
  <c r="I95"/>
  <c r="J95"/>
  <c r="L95"/>
  <c r="M95"/>
  <c r="K95"/>
  <c r="N95"/>
  <c r="O95"/>
  <c r="P95"/>
  <c r="R95"/>
  <c r="T95"/>
  <c r="H96"/>
  <c r="I96"/>
  <c r="J96"/>
  <c r="L96"/>
  <c r="M96"/>
  <c r="K96"/>
  <c r="N96"/>
  <c r="O96"/>
  <c r="P96"/>
  <c r="R96"/>
  <c r="T96"/>
  <c r="H97"/>
  <c r="I97"/>
  <c r="J97"/>
  <c r="L97"/>
  <c r="M97"/>
  <c r="K97"/>
  <c r="N97"/>
  <c r="O97"/>
  <c r="P97"/>
  <c r="R97"/>
  <c r="T97"/>
  <c r="H98"/>
  <c r="I98"/>
  <c r="J98"/>
  <c r="L98"/>
  <c r="M98"/>
  <c r="K98"/>
  <c r="N98"/>
  <c r="O98"/>
  <c r="P98"/>
  <c r="R98"/>
  <c r="T98"/>
  <c r="H99"/>
  <c r="I99"/>
  <c r="J99"/>
  <c r="L99"/>
  <c r="M99"/>
  <c r="K99"/>
  <c r="N99"/>
  <c r="O99"/>
  <c r="P99"/>
  <c r="R99"/>
  <c r="T99"/>
  <c r="H100"/>
  <c r="I100"/>
  <c r="J100"/>
  <c r="L100"/>
  <c r="M100"/>
  <c r="K100"/>
  <c r="N100"/>
  <c r="O100"/>
  <c r="P100"/>
  <c r="R100"/>
  <c r="T100"/>
  <c r="H101"/>
  <c r="I101"/>
  <c r="J101"/>
  <c r="L101"/>
  <c r="M101"/>
  <c r="K101"/>
  <c r="N101"/>
  <c r="O101"/>
  <c r="P101"/>
  <c r="R101"/>
  <c r="T101"/>
  <c r="H102"/>
  <c r="I102"/>
  <c r="J102"/>
  <c r="L102"/>
  <c r="M102"/>
  <c r="K102"/>
  <c r="N102"/>
  <c r="O102"/>
  <c r="P102"/>
  <c r="R102"/>
  <c r="T102"/>
  <c r="H103"/>
  <c r="I103"/>
  <c r="J103"/>
  <c r="L103"/>
  <c r="M103"/>
  <c r="K103"/>
  <c r="N103"/>
  <c r="O103"/>
  <c r="P103"/>
  <c r="R103"/>
  <c r="T103"/>
  <c r="H104"/>
  <c r="I104"/>
  <c r="J104"/>
  <c r="L104"/>
  <c r="M104"/>
  <c r="K104"/>
  <c r="N104"/>
  <c r="O104"/>
  <c r="P104"/>
  <c r="R104"/>
  <c r="T104"/>
  <c r="H105"/>
  <c r="I105"/>
  <c r="J105"/>
  <c r="L105"/>
  <c r="M105"/>
  <c r="K105"/>
  <c r="N105"/>
  <c r="O105"/>
  <c r="P105"/>
  <c r="R105"/>
  <c r="T105"/>
  <c r="H106"/>
  <c r="I106"/>
  <c r="J106"/>
  <c r="L106"/>
  <c r="M106"/>
  <c r="K106"/>
  <c r="N106"/>
  <c r="O106"/>
  <c r="P106"/>
  <c r="R106"/>
  <c r="T106"/>
  <c r="H107"/>
  <c r="I107"/>
  <c r="J107"/>
  <c r="L107"/>
  <c r="M107"/>
  <c r="K107"/>
  <c r="N107"/>
  <c r="O107"/>
  <c r="P107"/>
  <c r="R107"/>
  <c r="T107"/>
  <c r="H108"/>
  <c r="I108"/>
  <c r="J108"/>
  <c r="L108"/>
  <c r="M108"/>
  <c r="K108"/>
  <c r="N108"/>
  <c r="O108"/>
  <c r="P108"/>
  <c r="R108"/>
  <c r="T108"/>
  <c r="H109"/>
  <c r="I109"/>
  <c r="J109"/>
  <c r="L109"/>
  <c r="M109"/>
  <c r="K109"/>
  <c r="N109"/>
  <c r="O109"/>
  <c r="P109"/>
  <c r="R109"/>
  <c r="T109"/>
  <c r="H110"/>
  <c r="I110"/>
  <c r="J110"/>
  <c r="L110"/>
  <c r="M110"/>
  <c r="K110"/>
  <c r="N110"/>
  <c r="O110"/>
  <c r="P110"/>
  <c r="R110"/>
  <c r="T110"/>
  <c r="H111"/>
  <c r="I111"/>
  <c r="J111"/>
  <c r="L111"/>
  <c r="M111"/>
  <c r="K111"/>
  <c r="N111"/>
  <c r="O111"/>
  <c r="P111"/>
  <c r="R111"/>
  <c r="T111"/>
  <c r="H112"/>
  <c r="I112"/>
  <c r="J112"/>
  <c r="L112"/>
  <c r="M112"/>
  <c r="K112"/>
  <c r="N112"/>
  <c r="O112"/>
  <c r="P112"/>
  <c r="R112"/>
  <c r="T112"/>
  <c r="H113"/>
  <c r="I113"/>
  <c r="J113"/>
  <c r="L113"/>
  <c r="M113"/>
  <c r="K113"/>
  <c r="N113"/>
  <c r="O113"/>
  <c r="P113"/>
  <c r="R113"/>
  <c r="T113"/>
  <c r="H114"/>
  <c r="I114"/>
  <c r="J114"/>
  <c r="L114"/>
  <c r="M114"/>
  <c r="K114"/>
  <c r="N114"/>
  <c r="O114"/>
  <c r="P114"/>
  <c r="R114"/>
  <c r="T114"/>
  <c r="H115"/>
  <c r="I115"/>
  <c r="J115"/>
  <c r="L115"/>
  <c r="M115"/>
  <c r="K115"/>
  <c r="N115"/>
  <c r="O115"/>
  <c r="P115"/>
  <c r="R115"/>
  <c r="T115"/>
  <c r="H116"/>
  <c r="I116"/>
  <c r="J116"/>
  <c r="L116"/>
  <c r="M116"/>
  <c r="K116"/>
  <c r="N116"/>
  <c r="O116"/>
  <c r="P116"/>
  <c r="R116"/>
  <c r="T116"/>
  <c r="H117"/>
  <c r="I117"/>
  <c r="J117"/>
  <c r="L117"/>
  <c r="M117"/>
  <c r="K117"/>
  <c r="N117"/>
  <c r="O117"/>
  <c r="P117"/>
  <c r="R117"/>
  <c r="T117"/>
  <c r="H118"/>
  <c r="I118"/>
  <c r="J118"/>
  <c r="L118"/>
  <c r="M118"/>
  <c r="K118"/>
  <c r="N118"/>
  <c r="O118"/>
  <c r="P118"/>
  <c r="R118"/>
  <c r="T118"/>
  <c r="H119"/>
  <c r="I119"/>
  <c r="J119"/>
  <c r="L119"/>
  <c r="M119"/>
  <c r="K119"/>
  <c r="N119"/>
  <c r="O119"/>
  <c r="P119"/>
  <c r="R119"/>
  <c r="T119"/>
  <c r="T121"/>
  <c r="S87"/>
  <c r="S88"/>
  <c r="S89"/>
  <c r="S90"/>
  <c r="S91"/>
  <c r="S92"/>
  <c r="S93"/>
  <c r="S94"/>
  <c r="S95"/>
  <c r="S96"/>
  <c r="S97"/>
  <c r="S98"/>
  <c r="S99"/>
  <c r="S100"/>
  <c r="S101"/>
  <c r="S102"/>
  <c r="S103"/>
  <c r="S104"/>
  <c r="S105"/>
  <c r="S106"/>
  <c r="S107"/>
  <c r="S108"/>
  <c r="S109"/>
  <c r="S110"/>
  <c r="S111"/>
  <c r="S112"/>
  <c r="S113"/>
  <c r="S114"/>
  <c r="S115"/>
  <c r="S116"/>
  <c r="S117"/>
  <c r="S118"/>
  <c r="S119"/>
  <c r="S121"/>
  <c r="R121"/>
  <c r="P124"/>
  <c r="O121"/>
  <c r="I129"/>
  <c r="I130"/>
  <c r="U87"/>
  <c r="U88"/>
  <c r="U89"/>
  <c r="U90"/>
  <c r="U91"/>
  <c r="U92"/>
  <c r="U93"/>
  <c r="U94"/>
  <c r="U95"/>
  <c r="U96"/>
  <c r="U97"/>
  <c r="U98"/>
  <c r="U99"/>
  <c r="U100"/>
  <c r="U101"/>
  <c r="U102"/>
  <c r="U103"/>
  <c r="U104"/>
  <c r="U105"/>
  <c r="U106"/>
  <c r="U107"/>
  <c r="U108"/>
  <c r="U109"/>
  <c r="U110"/>
  <c r="U111"/>
  <c r="U112"/>
  <c r="U113"/>
  <c r="U114"/>
  <c r="U115"/>
  <c r="U116"/>
  <c r="U117"/>
  <c r="U118"/>
  <c r="U119"/>
  <c r="U121"/>
  <c r="I131"/>
  <c r="I132"/>
  <c r="I133"/>
  <c r="V87"/>
  <c r="W87"/>
  <c r="V88"/>
  <c r="W88"/>
  <c r="V89"/>
  <c r="W89"/>
  <c r="V90"/>
  <c r="W90"/>
  <c r="V91"/>
  <c r="W91"/>
  <c r="V92"/>
  <c r="W92"/>
  <c r="V93"/>
  <c r="W93"/>
  <c r="V94"/>
  <c r="W94"/>
  <c r="V95"/>
  <c r="W95"/>
  <c r="V96"/>
  <c r="W96"/>
  <c r="V97"/>
  <c r="W97"/>
  <c r="V98"/>
  <c r="W98"/>
  <c r="V99"/>
  <c r="W99"/>
  <c r="V100"/>
  <c r="W100"/>
  <c r="V101"/>
  <c r="W101"/>
  <c r="V102"/>
  <c r="W102"/>
  <c r="V103"/>
  <c r="W103"/>
  <c r="V104"/>
  <c r="W104"/>
  <c r="V105"/>
  <c r="W105"/>
  <c r="V106"/>
  <c r="W106"/>
  <c r="V107"/>
  <c r="W107"/>
  <c r="V108"/>
  <c r="W108"/>
  <c r="V109"/>
  <c r="W109"/>
  <c r="V110"/>
  <c r="W110"/>
  <c r="V111"/>
  <c r="W111"/>
  <c r="V112"/>
  <c r="W112"/>
  <c r="V113"/>
  <c r="W113"/>
  <c r="V114"/>
  <c r="W114"/>
  <c r="V115"/>
  <c r="W115"/>
  <c r="V116"/>
  <c r="W116"/>
  <c r="V117"/>
  <c r="W117"/>
  <c r="V118"/>
  <c r="W118"/>
  <c r="V119"/>
  <c r="W119"/>
  <c r="W121"/>
  <c r="V121"/>
  <c r="I135"/>
  <c r="I136"/>
  <c r="M137"/>
  <c r="M138"/>
  <c r="I137"/>
  <c r="AJ87"/>
  <c r="AK87"/>
  <c r="AJ88"/>
  <c r="AK88"/>
  <c r="AJ89"/>
  <c r="AK89"/>
  <c r="AJ90"/>
  <c r="AK90"/>
  <c r="AJ91"/>
  <c r="AK91"/>
  <c r="AJ92"/>
  <c r="AK92"/>
  <c r="AJ93"/>
  <c r="AK93"/>
  <c r="AJ94"/>
  <c r="AK94"/>
  <c r="AJ95"/>
  <c r="AK95"/>
  <c r="AJ96"/>
  <c r="AK96"/>
  <c r="AJ97"/>
  <c r="AK97"/>
  <c r="AJ98"/>
  <c r="AK98"/>
  <c r="AJ99"/>
  <c r="AK99"/>
  <c r="AJ100"/>
  <c r="AK100"/>
  <c r="AJ101"/>
  <c r="AK101"/>
  <c r="AJ102"/>
  <c r="AK102"/>
  <c r="AJ103"/>
  <c r="AK103"/>
  <c r="AJ104"/>
  <c r="AK104"/>
  <c r="AJ105"/>
  <c r="AK105"/>
  <c r="AJ106"/>
  <c r="AK106"/>
  <c r="AJ107"/>
  <c r="AK107"/>
  <c r="AJ108"/>
  <c r="AK108"/>
  <c r="AJ109"/>
  <c r="AK109"/>
  <c r="AJ110"/>
  <c r="AK110"/>
  <c r="AJ111"/>
  <c r="AK111"/>
  <c r="AJ112"/>
  <c r="AK112"/>
  <c r="AJ113"/>
  <c r="AK113"/>
  <c r="AJ114"/>
  <c r="AK114"/>
  <c r="AJ115"/>
  <c r="AK115"/>
  <c r="AJ116"/>
  <c r="AK116"/>
  <c r="AJ117"/>
  <c r="AK117"/>
  <c r="AJ118"/>
  <c r="AK118"/>
  <c r="AJ119"/>
  <c r="AK119"/>
  <c r="AL87"/>
  <c r="AL88"/>
  <c r="AL89"/>
  <c r="AL90"/>
  <c r="AL91"/>
  <c r="AL92"/>
  <c r="AL93"/>
  <c r="AL94"/>
  <c r="AL95"/>
  <c r="AL96"/>
  <c r="AL97"/>
  <c r="AL98"/>
  <c r="AL99"/>
  <c r="AL100"/>
  <c r="AL101"/>
  <c r="AL102"/>
  <c r="AL103"/>
  <c r="AL104"/>
  <c r="AL105"/>
  <c r="AL106"/>
  <c r="AL107"/>
  <c r="AL108"/>
  <c r="AL109"/>
  <c r="AL110"/>
  <c r="AL111"/>
  <c r="AL112"/>
  <c r="AL113"/>
  <c r="AL114"/>
  <c r="AL115"/>
  <c r="AL116"/>
  <c r="AL117"/>
  <c r="AL118"/>
  <c r="AL119"/>
  <c r="Q130"/>
  <c r="Q131"/>
  <c r="Q132"/>
  <c r="Q133"/>
  <c r="AH132"/>
  <c r="AH131"/>
  <c r="AH130"/>
  <c r="I125"/>
  <c r="I126"/>
  <c r="AH128"/>
  <c r="AH127"/>
  <c r="I124"/>
  <c r="M126"/>
  <c r="M127"/>
  <c r="AH126"/>
  <c r="P126"/>
  <c r="P125"/>
  <c r="AX119"/>
  <c r="AW119"/>
  <c r="AV119"/>
  <c r="AU119"/>
  <c r="AT119"/>
  <c r="AS119"/>
  <c r="AR119"/>
  <c r="AQ119"/>
  <c r="E229" i="19"/>
  <c r="E119" i="63"/>
  <c r="AN119"/>
  <c r="F119"/>
  <c r="AO119"/>
  <c r="AP119"/>
  <c r="Q119"/>
  <c r="AH119"/>
  <c r="AG119"/>
  <c r="AF119"/>
  <c r="AX118"/>
  <c r="AW118"/>
  <c r="AV118"/>
  <c r="AU118"/>
  <c r="AT118"/>
  <c r="AS118"/>
  <c r="AR118"/>
  <c r="AQ118"/>
  <c r="E209" i="19"/>
  <c r="E118" i="63"/>
  <c r="AN118"/>
  <c r="F118"/>
  <c r="AO118"/>
  <c r="AP118"/>
  <c r="Q118"/>
  <c r="AH118"/>
  <c r="AG118"/>
  <c r="AF118"/>
  <c r="AX117"/>
  <c r="AW117"/>
  <c r="AV117"/>
  <c r="AU117"/>
  <c r="AT117"/>
  <c r="AS117"/>
  <c r="AR117"/>
  <c r="AQ117"/>
  <c r="E206" i="19"/>
  <c r="E117" i="63"/>
  <c r="AN117"/>
  <c r="F117"/>
  <c r="AO117"/>
  <c r="AP117"/>
  <c r="Q117"/>
  <c r="AH117"/>
  <c r="AG117"/>
  <c r="AF117"/>
  <c r="AX116"/>
  <c r="AW116"/>
  <c r="AV116"/>
  <c r="AU116"/>
  <c r="AT116"/>
  <c r="AS116"/>
  <c r="AR116"/>
  <c r="AQ116"/>
  <c r="E116"/>
  <c r="AN116"/>
  <c r="F116"/>
  <c r="AO116"/>
  <c r="AP116"/>
  <c r="Q116"/>
  <c r="AH116"/>
  <c r="AG116"/>
  <c r="AF116"/>
  <c r="AX115"/>
  <c r="AW115"/>
  <c r="AV115"/>
  <c r="AU115"/>
  <c r="AT115"/>
  <c r="AS115"/>
  <c r="AR115"/>
  <c r="AQ115"/>
  <c r="E115"/>
  <c r="AN115"/>
  <c r="F115"/>
  <c r="AO115"/>
  <c r="AP115"/>
  <c r="Q115"/>
  <c r="AH115"/>
  <c r="AG115"/>
  <c r="AF115"/>
  <c r="AX114"/>
  <c r="AW114"/>
  <c r="AV114"/>
  <c r="AU114"/>
  <c r="AT114"/>
  <c r="AS114"/>
  <c r="AR114"/>
  <c r="AQ114"/>
  <c r="E114"/>
  <c r="AN114"/>
  <c r="F114"/>
  <c r="AO114"/>
  <c r="AP114"/>
  <c r="Q114"/>
  <c r="AH114"/>
  <c r="AG114"/>
  <c r="AF114"/>
  <c r="AX113"/>
  <c r="AW113"/>
  <c r="AV113"/>
  <c r="AU113"/>
  <c r="AT113"/>
  <c r="AS113"/>
  <c r="AR113"/>
  <c r="AQ113"/>
  <c r="E113"/>
  <c r="AN113"/>
  <c r="F113"/>
  <c r="AO113"/>
  <c r="AP113"/>
  <c r="Q113"/>
  <c r="AH113"/>
  <c r="AG113"/>
  <c r="AF113"/>
  <c r="AX112"/>
  <c r="AW112"/>
  <c r="AV112"/>
  <c r="AU112"/>
  <c r="AT112"/>
  <c r="AS112"/>
  <c r="AR112"/>
  <c r="AQ112"/>
  <c r="E112"/>
  <c r="AN112"/>
  <c r="F112"/>
  <c r="AO112"/>
  <c r="AP112"/>
  <c r="Q112"/>
  <c r="AH112"/>
  <c r="AG112"/>
  <c r="AF112"/>
  <c r="AX111"/>
  <c r="AW111"/>
  <c r="AV111"/>
  <c r="AU111"/>
  <c r="AT111"/>
  <c r="AS111"/>
  <c r="AR111"/>
  <c r="AQ111"/>
  <c r="E111"/>
  <c r="AN111"/>
  <c r="F111"/>
  <c r="AO111"/>
  <c r="AP111"/>
  <c r="Q111"/>
  <c r="AH111"/>
  <c r="AG111"/>
  <c r="AF111"/>
  <c r="AX110"/>
  <c r="AW110"/>
  <c r="AV110"/>
  <c r="AU110"/>
  <c r="AT110"/>
  <c r="AS110"/>
  <c r="AR110"/>
  <c r="AQ110"/>
  <c r="E110"/>
  <c r="AN110"/>
  <c r="F110"/>
  <c r="AO110"/>
  <c r="AP110"/>
  <c r="Q110"/>
  <c r="AH110"/>
  <c r="AG110"/>
  <c r="AF110"/>
  <c r="AX109"/>
  <c r="AW109"/>
  <c r="AV109"/>
  <c r="AU109"/>
  <c r="AT109"/>
  <c r="AS109"/>
  <c r="AR109"/>
  <c r="AQ109"/>
  <c r="E109"/>
  <c r="AN109"/>
  <c r="F109"/>
  <c r="AO109"/>
  <c r="AP109"/>
  <c r="Q109"/>
  <c r="AH109"/>
  <c r="AG109"/>
  <c r="AF109"/>
  <c r="AX108"/>
  <c r="AW108"/>
  <c r="AV108"/>
  <c r="AU108"/>
  <c r="AT108"/>
  <c r="AS108"/>
  <c r="AR108"/>
  <c r="AQ108"/>
  <c r="E108"/>
  <c r="AN108"/>
  <c r="F108"/>
  <c r="AO108"/>
  <c r="AP108"/>
  <c r="Q108"/>
  <c r="AH108"/>
  <c r="AG108"/>
  <c r="AF108"/>
  <c r="AX107"/>
  <c r="AW107"/>
  <c r="AV107"/>
  <c r="AU107"/>
  <c r="AT107"/>
  <c r="AS107"/>
  <c r="AR107"/>
  <c r="AQ107"/>
  <c r="E107"/>
  <c r="AN107"/>
  <c r="F107"/>
  <c r="AO107"/>
  <c r="AP107"/>
  <c r="Q107"/>
  <c r="AH107"/>
  <c r="AG107"/>
  <c r="AF107"/>
  <c r="AX106"/>
  <c r="AW106"/>
  <c r="AV106"/>
  <c r="AU106"/>
  <c r="AT106"/>
  <c r="AS106"/>
  <c r="AR106"/>
  <c r="AQ106"/>
  <c r="E106"/>
  <c r="AN106"/>
  <c r="F106"/>
  <c r="AO106"/>
  <c r="AP106"/>
  <c r="Q106"/>
  <c r="AH106"/>
  <c r="AG106"/>
  <c r="AF106"/>
  <c r="AX105"/>
  <c r="AW105"/>
  <c r="AV105"/>
  <c r="AU105"/>
  <c r="AT105"/>
  <c r="AS105"/>
  <c r="AR105"/>
  <c r="AQ105"/>
  <c r="E105"/>
  <c r="AN105"/>
  <c r="F105"/>
  <c r="AO105"/>
  <c r="AP105"/>
  <c r="Q105"/>
  <c r="AH105"/>
  <c r="AG105"/>
  <c r="AF105"/>
  <c r="AX104"/>
  <c r="AW104"/>
  <c r="AV104"/>
  <c r="AU104"/>
  <c r="AT104"/>
  <c r="AS104"/>
  <c r="AR104"/>
  <c r="AQ104"/>
  <c r="E104"/>
  <c r="AN104"/>
  <c r="F104"/>
  <c r="AO104"/>
  <c r="AP104"/>
  <c r="Q104"/>
  <c r="AH104"/>
  <c r="AG104"/>
  <c r="AF104"/>
  <c r="AX103"/>
  <c r="AW103"/>
  <c r="AV103"/>
  <c r="AU103"/>
  <c r="AT103"/>
  <c r="AS103"/>
  <c r="AR103"/>
  <c r="AQ103"/>
  <c r="E103"/>
  <c r="AN103"/>
  <c r="F103"/>
  <c r="AO103"/>
  <c r="AP103"/>
  <c r="Q103"/>
  <c r="AH103"/>
  <c r="AG103"/>
  <c r="AF103"/>
  <c r="AX102"/>
  <c r="AW102"/>
  <c r="AV102"/>
  <c r="AU102"/>
  <c r="AT102"/>
  <c r="AS102"/>
  <c r="AR102"/>
  <c r="AQ102"/>
  <c r="E102"/>
  <c r="AN102"/>
  <c r="F102"/>
  <c r="AO102"/>
  <c r="AP102"/>
  <c r="Q102"/>
  <c r="AH102"/>
  <c r="AG102"/>
  <c r="AF102"/>
  <c r="AX101"/>
  <c r="AW101"/>
  <c r="AV101"/>
  <c r="AU101"/>
  <c r="AT101"/>
  <c r="AS101"/>
  <c r="AR101"/>
  <c r="AQ101"/>
  <c r="E101"/>
  <c r="AN101"/>
  <c r="F101"/>
  <c r="AO101"/>
  <c r="AP101"/>
  <c r="Q101"/>
  <c r="AH101"/>
  <c r="AG101"/>
  <c r="AF101"/>
  <c r="AX100"/>
  <c r="AW100"/>
  <c r="AV100"/>
  <c r="AU100"/>
  <c r="AT100"/>
  <c r="AS100"/>
  <c r="AR100"/>
  <c r="AQ100"/>
  <c r="E100"/>
  <c r="AN100"/>
  <c r="F100"/>
  <c r="AO100"/>
  <c r="AP100"/>
  <c r="Q100"/>
  <c r="AH100"/>
  <c r="AG100"/>
  <c r="AF100"/>
  <c r="AX99"/>
  <c r="AW99"/>
  <c r="AV99"/>
  <c r="AU99"/>
  <c r="AT99"/>
  <c r="AS99"/>
  <c r="AR99"/>
  <c r="AQ99"/>
  <c r="E99"/>
  <c r="AN99"/>
  <c r="F99"/>
  <c r="AO99"/>
  <c r="AP99"/>
  <c r="Q99"/>
  <c r="AH99"/>
  <c r="AG99"/>
  <c r="AF99"/>
  <c r="AX98"/>
  <c r="AW98"/>
  <c r="AV98"/>
  <c r="AU98"/>
  <c r="AT98"/>
  <c r="AS98"/>
  <c r="AR98"/>
  <c r="AQ98"/>
  <c r="E98"/>
  <c r="AN98"/>
  <c r="F98"/>
  <c r="AO98"/>
  <c r="AP98"/>
  <c r="Q98"/>
  <c r="AH98"/>
  <c r="AG98"/>
  <c r="AF98"/>
  <c r="AX97"/>
  <c r="AW97"/>
  <c r="AV97"/>
  <c r="AU97"/>
  <c r="AT97"/>
  <c r="AS97"/>
  <c r="AR97"/>
  <c r="AQ97"/>
  <c r="E97"/>
  <c r="AN97"/>
  <c r="F97"/>
  <c r="AO97"/>
  <c r="AP97"/>
  <c r="Q97"/>
  <c r="AH97"/>
  <c r="AG97"/>
  <c r="AF97"/>
  <c r="AX96"/>
  <c r="AW96"/>
  <c r="AV96"/>
  <c r="AU96"/>
  <c r="AT96"/>
  <c r="AS96"/>
  <c r="AR96"/>
  <c r="AQ96"/>
  <c r="E96"/>
  <c r="AN96"/>
  <c r="F96"/>
  <c r="AO96"/>
  <c r="AP96"/>
  <c r="Q96"/>
  <c r="AH96"/>
  <c r="AG96"/>
  <c r="AF96"/>
  <c r="AX95"/>
  <c r="AW95"/>
  <c r="AV95"/>
  <c r="AU95"/>
  <c r="AT95"/>
  <c r="AS95"/>
  <c r="AR95"/>
  <c r="AQ95"/>
  <c r="E95"/>
  <c r="AN95"/>
  <c r="F95"/>
  <c r="AO95"/>
  <c r="AP95"/>
  <c r="Q95"/>
  <c r="AH95"/>
  <c r="AG95"/>
  <c r="AF95"/>
  <c r="AX94"/>
  <c r="AW94"/>
  <c r="AV94"/>
  <c r="AU94"/>
  <c r="AT94"/>
  <c r="AS94"/>
  <c r="AR94"/>
  <c r="AQ94"/>
  <c r="E94"/>
  <c r="AN94"/>
  <c r="F94"/>
  <c r="AO94"/>
  <c r="AP94"/>
  <c r="Q94"/>
  <c r="AH94"/>
  <c r="AG94"/>
  <c r="AF94"/>
  <c r="AX93"/>
  <c r="AW93"/>
  <c r="AV93"/>
  <c r="AU93"/>
  <c r="AT93"/>
  <c r="AS93"/>
  <c r="AR93"/>
  <c r="AQ93"/>
  <c r="E93"/>
  <c r="AN93"/>
  <c r="F93"/>
  <c r="AO93"/>
  <c r="AP93"/>
  <c r="Q93"/>
  <c r="AH93"/>
  <c r="AG93"/>
  <c r="AF93"/>
  <c r="AX92"/>
  <c r="AW92"/>
  <c r="AV92"/>
  <c r="AU92"/>
  <c r="AT92"/>
  <c r="AS92"/>
  <c r="AR92"/>
  <c r="AQ92"/>
  <c r="E92"/>
  <c r="AN92"/>
  <c r="F92"/>
  <c r="AO92"/>
  <c r="AP92"/>
  <c r="Q92"/>
  <c r="AH92"/>
  <c r="AG92"/>
  <c r="AF92"/>
  <c r="AX91"/>
  <c r="AW91"/>
  <c r="AV91"/>
  <c r="AU91"/>
  <c r="AT91"/>
  <c r="AS91"/>
  <c r="AR91"/>
  <c r="AQ91"/>
  <c r="E91"/>
  <c r="AN91"/>
  <c r="F91"/>
  <c r="AO91"/>
  <c r="AP91"/>
  <c r="Q91"/>
  <c r="AH91"/>
  <c r="AG91"/>
  <c r="AF91"/>
  <c r="AX90"/>
  <c r="AW90"/>
  <c r="AV90"/>
  <c r="AU90"/>
  <c r="AT90"/>
  <c r="AS90"/>
  <c r="AR90"/>
  <c r="AQ90"/>
  <c r="E90"/>
  <c r="AN90"/>
  <c r="F90"/>
  <c r="AO90"/>
  <c r="AP90"/>
  <c r="Q90"/>
  <c r="AH90"/>
  <c r="AG90"/>
  <c r="AF90"/>
  <c r="AX89"/>
  <c r="AW89"/>
  <c r="AV89"/>
  <c r="AU89"/>
  <c r="AT89"/>
  <c r="AS89"/>
  <c r="AR89"/>
  <c r="AQ89"/>
  <c r="E89"/>
  <c r="AN89"/>
  <c r="F89"/>
  <c r="AO89"/>
  <c r="AP89"/>
  <c r="Q89"/>
  <c r="AH89"/>
  <c r="AG89"/>
  <c r="AF89"/>
  <c r="F5"/>
  <c r="AY88"/>
  <c r="AX88"/>
  <c r="AW88"/>
  <c r="AV88"/>
  <c r="AU88"/>
  <c r="AT88"/>
  <c r="AS88"/>
  <c r="AR88"/>
  <c r="AQ88"/>
  <c r="E88"/>
  <c r="AN88"/>
  <c r="F88"/>
  <c r="AO88"/>
  <c r="AP88"/>
  <c r="Q88"/>
  <c r="AH88"/>
  <c r="AG88"/>
  <c r="AF88"/>
  <c r="F4"/>
  <c r="AY87"/>
  <c r="AX87"/>
  <c r="AW87"/>
  <c r="AV87"/>
  <c r="AU87"/>
  <c r="AT87"/>
  <c r="AS87"/>
  <c r="AR87"/>
  <c r="AQ87"/>
  <c r="E87"/>
  <c r="AN87"/>
  <c r="F87"/>
  <c r="AO87"/>
  <c r="AP87"/>
  <c r="Q87"/>
  <c r="AH87"/>
  <c r="AG87"/>
  <c r="AF87"/>
  <c r="I85"/>
  <c r="AW82"/>
  <c r="AV82"/>
  <c r="AQ82"/>
  <c r="AP82"/>
  <c r="AO82"/>
  <c r="AN82"/>
  <c r="X187" i="19"/>
  <c r="AM82" i="63"/>
  <c r="AL82"/>
  <c r="AK82"/>
  <c r="AJ82"/>
  <c r="AI82"/>
  <c r="AH82"/>
  <c r="AE82"/>
  <c r="AD82"/>
  <c r="AC82"/>
  <c r="AB82"/>
  <c r="AA82"/>
  <c r="Z82"/>
  <c r="Y82"/>
  <c r="G82"/>
  <c r="F82"/>
  <c r="E82"/>
  <c r="D82"/>
  <c r="C82"/>
  <c r="AQ81"/>
  <c r="AP81"/>
  <c r="AO81"/>
  <c r="AN81"/>
  <c r="X179" i="19"/>
  <c r="AM81" i="63"/>
  <c r="AL81"/>
  <c r="AK81"/>
  <c r="AJ81"/>
  <c r="AI81"/>
  <c r="AH81"/>
  <c r="AG81"/>
  <c r="AF81"/>
  <c r="AE81"/>
  <c r="AD81"/>
  <c r="AC81"/>
  <c r="AB81"/>
  <c r="AA81"/>
  <c r="Z81"/>
  <c r="Y81"/>
  <c r="I81"/>
  <c r="H81"/>
  <c r="G81"/>
  <c r="F81"/>
  <c r="E81"/>
  <c r="D81"/>
  <c r="C81"/>
  <c r="AQ80"/>
  <c r="AP80"/>
  <c r="AO80"/>
  <c r="AN80"/>
  <c r="X177" i="19"/>
  <c r="AM80" i="63"/>
  <c r="AL80"/>
  <c r="AK80"/>
  <c r="AJ80"/>
  <c r="AI80"/>
  <c r="AH80"/>
  <c r="AG80"/>
  <c r="AF80"/>
  <c r="AE80"/>
  <c r="AD80"/>
  <c r="AC80"/>
  <c r="AB80"/>
  <c r="AA80"/>
  <c r="Z80"/>
  <c r="Y80"/>
  <c r="I80"/>
  <c r="H80"/>
  <c r="G80"/>
  <c r="F80"/>
  <c r="E80"/>
  <c r="D80"/>
  <c r="C80"/>
  <c r="AW78"/>
  <c r="AV78"/>
  <c r="AQ78"/>
  <c r="AP78"/>
  <c r="AO78"/>
  <c r="AN78"/>
  <c r="AM78"/>
  <c r="AL78"/>
  <c r="AK78"/>
  <c r="AJ78"/>
  <c r="AI78"/>
  <c r="AH78"/>
  <c r="AG78"/>
  <c r="AF78"/>
  <c r="AE78"/>
  <c r="AD78"/>
  <c r="AC78"/>
  <c r="AB78"/>
  <c r="AA78"/>
  <c r="Z78"/>
  <c r="Y78"/>
  <c r="I78"/>
  <c r="H78"/>
  <c r="G78"/>
  <c r="F78"/>
  <c r="E78"/>
  <c r="D78"/>
  <c r="C78"/>
  <c r="AQ77"/>
  <c r="AP77"/>
  <c r="AO77"/>
  <c r="AN77"/>
  <c r="X116" i="19"/>
  <c r="AM77" i="63"/>
  <c r="AL77"/>
  <c r="AK77"/>
  <c r="AJ77"/>
  <c r="AI77"/>
  <c r="AH77"/>
  <c r="AG77"/>
  <c r="AF77"/>
  <c r="AE77"/>
  <c r="AD77"/>
  <c r="AC77"/>
  <c r="AB77"/>
  <c r="AA77"/>
  <c r="Z77"/>
  <c r="Y77"/>
  <c r="I77"/>
  <c r="H77"/>
  <c r="G77"/>
  <c r="F77"/>
  <c r="E77"/>
  <c r="D77"/>
  <c r="C77"/>
  <c r="AQ76"/>
  <c r="AP76"/>
  <c r="AO76"/>
  <c r="AN76"/>
  <c r="X115" i="19"/>
  <c r="AM76" i="63"/>
  <c r="AL76"/>
  <c r="AK76"/>
  <c r="AJ76"/>
  <c r="AI76"/>
  <c r="AH76"/>
  <c r="AG76"/>
  <c r="AF76"/>
  <c r="AE76"/>
  <c r="AD76"/>
  <c r="AC76"/>
  <c r="AB76"/>
  <c r="AA76"/>
  <c r="Z76"/>
  <c r="Y76"/>
  <c r="I76"/>
  <c r="H76"/>
  <c r="G76"/>
  <c r="F76"/>
  <c r="E76"/>
  <c r="D76"/>
  <c r="C76"/>
  <c r="AQ75"/>
  <c r="AP75"/>
  <c r="AO75"/>
  <c r="AN75"/>
  <c r="X112" i="19"/>
  <c r="AM75" i="63"/>
  <c r="AL75"/>
  <c r="AK75"/>
  <c r="AJ75"/>
  <c r="AI75"/>
  <c r="AH75"/>
  <c r="AG75"/>
  <c r="AF75"/>
  <c r="AE75"/>
  <c r="AD75"/>
  <c r="AC75"/>
  <c r="AB75"/>
  <c r="AA75"/>
  <c r="Z75"/>
  <c r="Y75"/>
  <c r="I75"/>
  <c r="H75"/>
  <c r="G75"/>
  <c r="F75"/>
  <c r="E75"/>
  <c r="D75"/>
  <c r="C75"/>
  <c r="AQ73"/>
  <c r="AP73"/>
  <c r="AO73"/>
  <c r="AN73"/>
  <c r="X110" i="19"/>
  <c r="AM73" i="63"/>
  <c r="AL73"/>
  <c r="AK73"/>
  <c r="AJ73"/>
  <c r="AI73"/>
  <c r="AH73"/>
  <c r="AG73"/>
  <c r="AF73"/>
  <c r="AE73"/>
  <c r="AD73"/>
  <c r="AC73"/>
  <c r="AB73"/>
  <c r="AA73"/>
  <c r="Z73"/>
  <c r="Y73"/>
  <c r="I73"/>
  <c r="H73"/>
  <c r="G73"/>
  <c r="F73"/>
  <c r="E73"/>
  <c r="D73"/>
  <c r="C73"/>
  <c r="AQ71"/>
  <c r="AP71"/>
  <c r="AO71"/>
  <c r="AN71"/>
  <c r="X98" i="19"/>
  <c r="AM71" i="63"/>
  <c r="AL71"/>
  <c r="AK71"/>
  <c r="AJ71"/>
  <c r="AI71"/>
  <c r="AH71"/>
  <c r="AG71"/>
  <c r="AF71"/>
  <c r="AE71"/>
  <c r="AD71"/>
  <c r="AC71"/>
  <c r="AB71"/>
  <c r="AA71"/>
  <c r="Z71"/>
  <c r="Y71"/>
  <c r="I71"/>
  <c r="H71"/>
  <c r="G71"/>
  <c r="F71"/>
  <c r="E71"/>
  <c r="D71"/>
  <c r="C71"/>
  <c r="AW70"/>
  <c r="AV70"/>
  <c r="AQ70"/>
  <c r="AP70"/>
  <c r="AO70"/>
  <c r="AN70"/>
  <c r="X97" i="19"/>
  <c r="AM70" i="63"/>
  <c r="AL70"/>
  <c r="AK70"/>
  <c r="AJ70"/>
  <c r="AI70"/>
  <c r="AH70"/>
  <c r="AG70"/>
  <c r="AF70"/>
  <c r="AE70"/>
  <c r="AD70"/>
  <c r="AC70"/>
  <c r="AB70"/>
  <c r="AA70"/>
  <c r="Z70"/>
  <c r="Y70"/>
  <c r="G70"/>
  <c r="F70"/>
  <c r="E70"/>
  <c r="D70"/>
  <c r="C70"/>
  <c r="AW69"/>
  <c r="AV69"/>
  <c r="AQ69"/>
  <c r="AP69"/>
  <c r="AO69"/>
  <c r="AN69"/>
  <c r="AM69"/>
  <c r="AL69"/>
  <c r="AK69"/>
  <c r="AJ69"/>
  <c r="AI69"/>
  <c r="AH69"/>
  <c r="AG69"/>
  <c r="AF69"/>
  <c r="AE69"/>
  <c r="AD69"/>
  <c r="AC69"/>
  <c r="AB69"/>
  <c r="AA69"/>
  <c r="Z69"/>
  <c r="Y69"/>
  <c r="G69"/>
  <c r="F69"/>
  <c r="E69"/>
  <c r="D69"/>
  <c r="C69"/>
  <c r="AW68"/>
  <c r="AV68"/>
  <c r="AQ68"/>
  <c r="AP68"/>
  <c r="AO68"/>
  <c r="AN68"/>
  <c r="AM68"/>
  <c r="AL68"/>
  <c r="AK68"/>
  <c r="AJ68"/>
  <c r="AI68"/>
  <c r="AH68"/>
  <c r="AG68"/>
  <c r="AF68"/>
  <c r="AE68"/>
  <c r="AD68"/>
  <c r="AC68"/>
  <c r="AB68"/>
  <c r="AA68"/>
  <c r="Z68"/>
  <c r="Y68"/>
  <c r="I68"/>
  <c r="H68"/>
  <c r="G68"/>
  <c r="F68"/>
  <c r="E68"/>
  <c r="D68"/>
  <c r="C68"/>
  <c r="AW67"/>
  <c r="AV67"/>
  <c r="AQ67"/>
  <c r="AP67"/>
  <c r="AO67"/>
  <c r="AN67"/>
  <c r="AM67"/>
  <c r="AL67"/>
  <c r="AK67"/>
  <c r="AJ67"/>
  <c r="AI67"/>
  <c r="AH67"/>
  <c r="AG67"/>
  <c r="AF67"/>
  <c r="AE67"/>
  <c r="AD67"/>
  <c r="AC67"/>
  <c r="AB67"/>
  <c r="AA67"/>
  <c r="Z67"/>
  <c r="Y67"/>
  <c r="I67"/>
  <c r="H67"/>
  <c r="G67"/>
  <c r="F67"/>
  <c r="E67"/>
  <c r="D67"/>
  <c r="C67"/>
  <c r="AQ66"/>
  <c r="AP66"/>
  <c r="AO66"/>
  <c r="AN66"/>
  <c r="AM66"/>
  <c r="AL66"/>
  <c r="AK66"/>
  <c r="AJ66"/>
  <c r="AI66"/>
  <c r="AH66"/>
  <c r="AG66"/>
  <c r="AF66"/>
  <c r="AE66"/>
  <c r="AD66"/>
  <c r="AC66"/>
  <c r="AB66"/>
  <c r="AA66"/>
  <c r="Z66"/>
  <c r="Y66"/>
  <c r="I66"/>
  <c r="H66"/>
  <c r="G66"/>
  <c r="F66"/>
  <c r="E66"/>
  <c r="D66"/>
  <c r="C66"/>
  <c r="AQ63"/>
  <c r="AP63"/>
  <c r="AO63"/>
  <c r="AN63"/>
  <c r="X24" i="19"/>
  <c r="AM63" i="63"/>
  <c r="AL63"/>
  <c r="AK63"/>
  <c r="AJ63"/>
  <c r="AI63"/>
  <c r="AH63"/>
  <c r="AG63"/>
  <c r="AF63"/>
  <c r="AE63"/>
  <c r="AD63"/>
  <c r="AC63"/>
  <c r="AB63"/>
  <c r="AA63"/>
  <c r="Z63"/>
  <c r="Y63"/>
  <c r="I63"/>
  <c r="H63"/>
  <c r="G63"/>
  <c r="F63"/>
  <c r="E63"/>
  <c r="D63"/>
  <c r="C63"/>
  <c r="AW62"/>
  <c r="AV62"/>
  <c r="AQ62"/>
  <c r="AP62"/>
  <c r="AO62"/>
  <c r="AN62"/>
  <c r="X168" i="19"/>
  <c r="AM62" i="63"/>
  <c r="AL62"/>
  <c r="AK62"/>
  <c r="AJ62"/>
  <c r="AI62"/>
  <c r="AH62"/>
  <c r="AG62"/>
  <c r="AF62"/>
  <c r="AE62"/>
  <c r="AD62"/>
  <c r="AC62"/>
  <c r="AB62"/>
  <c r="AA62"/>
  <c r="Z62"/>
  <c r="Y62"/>
  <c r="G62"/>
  <c r="F62"/>
  <c r="E62"/>
  <c r="D62"/>
  <c r="C62"/>
  <c r="AW61"/>
  <c r="AV61"/>
  <c r="AQ61"/>
  <c r="AP61"/>
  <c r="AO61"/>
  <c r="AN61"/>
  <c r="AM61"/>
  <c r="AL61"/>
  <c r="AK61"/>
  <c r="AJ61"/>
  <c r="AI61"/>
  <c r="AH61"/>
  <c r="AG61"/>
  <c r="AF61"/>
  <c r="AE61"/>
  <c r="AD61"/>
  <c r="AC61"/>
  <c r="AB61"/>
  <c r="AA61"/>
  <c r="Z61"/>
  <c r="Y61"/>
  <c r="G61"/>
  <c r="F61"/>
  <c r="E61"/>
  <c r="D61"/>
  <c r="C61"/>
  <c r="AQ60"/>
  <c r="AP60"/>
  <c r="AO60"/>
  <c r="AN60"/>
  <c r="AM60"/>
  <c r="AL60"/>
  <c r="AJ60"/>
  <c r="AI60"/>
  <c r="AH60"/>
  <c r="AG60"/>
  <c r="AE60"/>
  <c r="AD60"/>
  <c r="AA60"/>
  <c r="Z60"/>
  <c r="Y60"/>
  <c r="G60"/>
  <c r="F60"/>
  <c r="E60"/>
  <c r="D60"/>
  <c r="C60"/>
  <c r="AQ59"/>
  <c r="AP59"/>
  <c r="AO59"/>
  <c r="AN59"/>
  <c r="AM59"/>
  <c r="AL59"/>
  <c r="AJ59"/>
  <c r="AI59"/>
  <c r="AH59"/>
  <c r="AG59"/>
  <c r="AE59"/>
  <c r="AD59"/>
  <c r="AA59"/>
  <c r="Z59"/>
  <c r="Y59"/>
  <c r="G59"/>
  <c r="F59"/>
  <c r="E59"/>
  <c r="D59"/>
  <c r="C59"/>
  <c r="AQ58"/>
  <c r="AP58"/>
  <c r="AO58"/>
  <c r="AN58"/>
  <c r="AM58"/>
  <c r="AL58"/>
  <c r="AK58"/>
  <c r="AJ58"/>
  <c r="AI58"/>
  <c r="AH58"/>
  <c r="AG58"/>
  <c r="AF58"/>
  <c r="AE58"/>
  <c r="AD58"/>
  <c r="AC58"/>
  <c r="AB58"/>
  <c r="AA58"/>
  <c r="Z58"/>
  <c r="Y58"/>
  <c r="I58"/>
  <c r="H58"/>
  <c r="G58"/>
  <c r="F58"/>
  <c r="E58"/>
  <c r="D58"/>
  <c r="C58"/>
  <c r="AQ57"/>
  <c r="AP57"/>
  <c r="AO57"/>
  <c r="AN57"/>
  <c r="AM57"/>
  <c r="AL57"/>
  <c r="AK57"/>
  <c r="AJ57"/>
  <c r="AI57"/>
  <c r="AH57"/>
  <c r="AG57"/>
  <c r="AF57"/>
  <c r="AE57"/>
  <c r="AD57"/>
  <c r="AC57"/>
  <c r="AB57"/>
  <c r="AA57"/>
  <c r="Z57"/>
  <c r="I57"/>
  <c r="H57"/>
  <c r="G57"/>
  <c r="F57"/>
  <c r="E57"/>
  <c r="D57"/>
  <c r="C57"/>
  <c r="AQ56"/>
  <c r="X229" i="19"/>
  <c r="AJ56" i="63"/>
  <c r="AG56"/>
  <c r="AE56"/>
  <c r="AD56"/>
  <c r="AC56"/>
  <c r="AA56"/>
  <c r="Y56"/>
  <c r="G56"/>
  <c r="D56"/>
  <c r="C56"/>
  <c r="AQ55"/>
  <c r="X209" i="19"/>
  <c r="AJ55" i="63"/>
  <c r="AG55"/>
  <c r="AE55"/>
  <c r="AD55"/>
  <c r="AC55"/>
  <c r="AA55"/>
  <c r="Y55"/>
  <c r="G55"/>
  <c r="D55"/>
  <c r="C55"/>
  <c r="AQ54"/>
  <c r="X206" i="19"/>
  <c r="AJ54" i="63"/>
  <c r="AG54"/>
  <c r="AE54"/>
  <c r="AD54"/>
  <c r="AA54"/>
  <c r="Y54"/>
  <c r="G54"/>
  <c r="D54"/>
  <c r="C54"/>
  <c r="AQ53"/>
  <c r="AJ53"/>
  <c r="AG53"/>
  <c r="AE53"/>
  <c r="AD53"/>
  <c r="AA53"/>
  <c r="Y53"/>
  <c r="G53"/>
  <c r="D53"/>
  <c r="C53"/>
  <c r="AQ52"/>
  <c r="AJ52"/>
  <c r="AG52"/>
  <c r="AE52"/>
  <c r="AD52"/>
  <c r="AC52"/>
  <c r="AA52"/>
  <c r="Y52"/>
  <c r="G52"/>
  <c r="D52"/>
  <c r="C52"/>
  <c r="AQ51"/>
  <c r="Y51"/>
  <c r="G51"/>
  <c r="D51"/>
  <c r="C51"/>
  <c r="AQ50"/>
  <c r="Y50"/>
  <c r="G50"/>
  <c r="D50"/>
  <c r="C50"/>
  <c r="AQ49"/>
  <c r="X212" i="19"/>
  <c r="AJ49" i="63"/>
  <c r="AG49"/>
  <c r="AE49"/>
  <c r="AD49"/>
  <c r="AA49"/>
  <c r="Y49"/>
  <c r="G49"/>
  <c r="D49"/>
  <c r="C49"/>
  <c r="AQ48"/>
  <c r="AJ48"/>
  <c r="AG48"/>
  <c r="AE48"/>
  <c r="AD48"/>
  <c r="AA48"/>
  <c r="Y48"/>
  <c r="G48"/>
  <c r="D48"/>
  <c r="C48"/>
  <c r="AQ47"/>
  <c r="AJ47"/>
  <c r="AG47"/>
  <c r="AE47"/>
  <c r="AD47"/>
  <c r="AC47"/>
  <c r="AA47"/>
  <c r="Y47"/>
  <c r="G47"/>
  <c r="D47"/>
  <c r="C47"/>
  <c r="AQ46"/>
  <c r="X194" i="19"/>
  <c r="AJ46" i="63"/>
  <c r="AG46"/>
  <c r="AE46"/>
  <c r="AD46"/>
  <c r="AC46"/>
  <c r="AA46"/>
  <c r="Y46"/>
  <c r="G46"/>
  <c r="D46"/>
  <c r="C46"/>
  <c r="AQ45"/>
  <c r="X191" i="19"/>
  <c r="AJ45" i="63"/>
  <c r="AG45"/>
  <c r="AE45"/>
  <c r="AD45"/>
  <c r="AC45"/>
  <c r="AA45"/>
  <c r="Y45"/>
  <c r="G45"/>
  <c r="D45"/>
  <c r="C45"/>
  <c r="AQ44"/>
  <c r="X178" i="19"/>
  <c r="AJ44" i="63"/>
  <c r="AG44"/>
  <c r="AE44"/>
  <c r="AD44"/>
  <c r="AC44"/>
  <c r="AA44"/>
  <c r="Y44"/>
  <c r="G44"/>
  <c r="D44"/>
  <c r="C44"/>
  <c r="AQ43"/>
  <c r="X175" i="19"/>
  <c r="AJ43" i="63"/>
  <c r="AG43"/>
  <c r="AE43"/>
  <c r="AD43"/>
  <c r="AC43"/>
  <c r="AA43"/>
  <c r="Y43"/>
  <c r="G43"/>
  <c r="D43"/>
  <c r="C43"/>
  <c r="AQ42"/>
  <c r="X170" i="19"/>
  <c r="AJ42" i="63"/>
  <c r="AG42"/>
  <c r="AA42"/>
  <c r="Y42"/>
  <c r="G42"/>
  <c r="D42"/>
  <c r="C42"/>
  <c r="AQ41"/>
  <c r="AJ41"/>
  <c r="AA41"/>
  <c r="Y41"/>
  <c r="G41"/>
  <c r="D41"/>
  <c r="C41"/>
  <c r="AQ40"/>
  <c r="AJ40"/>
  <c r="AG40"/>
  <c r="AE40"/>
  <c r="AD40"/>
  <c r="AC40"/>
  <c r="AA40"/>
  <c r="Y40"/>
  <c r="G40"/>
  <c r="D40"/>
  <c r="C40"/>
  <c r="AQ39"/>
  <c r="AJ39"/>
  <c r="AG39"/>
  <c r="AE39"/>
  <c r="AD39"/>
  <c r="AC39"/>
  <c r="AA39"/>
  <c r="Y39"/>
  <c r="G39"/>
  <c r="D39"/>
  <c r="C39"/>
  <c r="AQ38"/>
  <c r="AJ38"/>
  <c r="AG38"/>
  <c r="AE38"/>
  <c r="AD38"/>
  <c r="AC38"/>
  <c r="AA38"/>
  <c r="Y38"/>
  <c r="G38"/>
  <c r="D38"/>
  <c r="C38"/>
  <c r="AQ37"/>
  <c r="X132" i="19"/>
  <c r="AJ37" i="63"/>
  <c r="AG37"/>
  <c r="AE37"/>
  <c r="AD37"/>
  <c r="AC37"/>
  <c r="AA37"/>
  <c r="Y37"/>
  <c r="G37"/>
  <c r="D37"/>
  <c r="C37"/>
  <c r="AQ36"/>
  <c r="X128" i="19"/>
  <c r="AJ36" i="63"/>
  <c r="AG36"/>
  <c r="AE36"/>
  <c r="AD36"/>
  <c r="AC36"/>
  <c r="AA36"/>
  <c r="Y36"/>
  <c r="G36"/>
  <c r="D36"/>
  <c r="C36"/>
  <c r="AQ35"/>
  <c r="AJ35"/>
  <c r="AG35"/>
  <c r="AE35"/>
  <c r="AD35"/>
  <c r="AC35"/>
  <c r="AA35"/>
  <c r="Y35"/>
  <c r="G35"/>
  <c r="D35"/>
  <c r="C35"/>
  <c r="AQ34"/>
  <c r="X124" i="19"/>
  <c r="AJ34" i="63"/>
  <c r="AG34"/>
  <c r="AE34"/>
  <c r="AD34"/>
  <c r="AC34"/>
  <c r="AA34"/>
  <c r="Y34"/>
  <c r="G34"/>
  <c r="D34"/>
  <c r="C34"/>
  <c r="AQ33"/>
  <c r="X105" i="19"/>
  <c r="AJ33" i="63"/>
  <c r="AG33"/>
  <c r="AE33"/>
  <c r="AD33"/>
  <c r="AC33"/>
  <c r="AA33"/>
  <c r="Y33"/>
  <c r="G33"/>
  <c r="D33"/>
  <c r="C33"/>
  <c r="AQ32"/>
  <c r="X94" i="19"/>
  <c r="AJ32" i="63"/>
  <c r="AG32"/>
  <c r="AE32"/>
  <c r="AD32"/>
  <c r="AC32"/>
  <c r="AA32"/>
  <c r="Y32"/>
  <c r="G32"/>
  <c r="D32"/>
  <c r="C32"/>
  <c r="AQ31"/>
  <c r="X91" i="19"/>
  <c r="AJ31" i="63"/>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X70" i="19"/>
  <c r="AJ27" i="63"/>
  <c r="AG27"/>
  <c r="AE27"/>
  <c r="AD27"/>
  <c r="AC27"/>
  <c r="AA27"/>
  <c r="Y27"/>
  <c r="G27"/>
  <c r="D27"/>
  <c r="C27"/>
  <c r="AQ26"/>
  <c r="AJ26"/>
  <c r="AG26"/>
  <c r="AE26"/>
  <c r="AD26"/>
  <c r="AC26"/>
  <c r="AA26"/>
  <c r="Y26"/>
  <c r="G26"/>
  <c r="D26"/>
  <c r="C26"/>
  <c r="AQ25"/>
  <c r="X58" i="19"/>
  <c r="AJ25" i="63"/>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3"/>
  <c r="D6" i="156"/>
  <c r="D5"/>
  <c r="H51"/>
  <c r="I51"/>
  <c r="J51"/>
  <c r="L51"/>
  <c r="D3"/>
  <c r="M51"/>
  <c r="K51"/>
  <c r="N51"/>
  <c r="O51"/>
  <c r="P51"/>
  <c r="R51"/>
  <c r="T51"/>
  <c r="H52"/>
  <c r="I52"/>
  <c r="J52"/>
  <c r="L52"/>
  <c r="M52"/>
  <c r="K52"/>
  <c r="N52"/>
  <c r="O52"/>
  <c r="P52"/>
  <c r="R52"/>
  <c r="T52"/>
  <c r="H53"/>
  <c r="I53"/>
  <c r="J53"/>
  <c r="L53"/>
  <c r="M53"/>
  <c r="K53"/>
  <c r="N53"/>
  <c r="O53"/>
  <c r="P53"/>
  <c r="R53"/>
  <c r="T53"/>
  <c r="H54"/>
  <c r="I54"/>
  <c r="J54"/>
  <c r="L54"/>
  <c r="M54"/>
  <c r="K54"/>
  <c r="N54"/>
  <c r="O54"/>
  <c r="P54"/>
  <c r="R54"/>
  <c r="T54"/>
  <c r="H55"/>
  <c r="I55"/>
  <c r="J55"/>
  <c r="L55"/>
  <c r="M55"/>
  <c r="K55"/>
  <c r="N55"/>
  <c r="O55"/>
  <c r="P55"/>
  <c r="R55"/>
  <c r="T55"/>
  <c r="H56"/>
  <c r="I56"/>
  <c r="J56"/>
  <c r="L56"/>
  <c r="M56"/>
  <c r="K56"/>
  <c r="N56"/>
  <c r="O56"/>
  <c r="P56"/>
  <c r="R56"/>
  <c r="T56"/>
  <c r="H57"/>
  <c r="I57"/>
  <c r="T32"/>
  <c r="J57"/>
  <c r="V32"/>
  <c r="L57"/>
  <c r="M57"/>
  <c r="K57"/>
  <c r="N57"/>
  <c r="O57"/>
  <c r="P57"/>
  <c r="R57"/>
  <c r="T57"/>
  <c r="H58"/>
  <c r="I58"/>
  <c r="T33"/>
  <c r="J58"/>
  <c r="V33"/>
  <c r="L58"/>
  <c r="M58"/>
  <c r="K58"/>
  <c r="N58"/>
  <c r="O58"/>
  <c r="P58"/>
  <c r="R58"/>
  <c r="T58"/>
  <c r="H59"/>
  <c r="I59"/>
  <c r="T34"/>
  <c r="J59"/>
  <c r="V34"/>
  <c r="L59"/>
  <c r="M59"/>
  <c r="K59"/>
  <c r="N59"/>
  <c r="O59"/>
  <c r="P59"/>
  <c r="R59"/>
  <c r="T59"/>
  <c r="H60"/>
  <c r="I60"/>
  <c r="T35"/>
  <c r="J60"/>
  <c r="V35"/>
  <c r="L60"/>
  <c r="M60"/>
  <c r="K60"/>
  <c r="N60"/>
  <c r="O60"/>
  <c r="P60"/>
  <c r="R60"/>
  <c r="T60"/>
  <c r="H61"/>
  <c r="I61"/>
  <c r="T36"/>
  <c r="J61"/>
  <c r="V36"/>
  <c r="L61"/>
  <c r="M61"/>
  <c r="K61"/>
  <c r="N61"/>
  <c r="O61"/>
  <c r="P61"/>
  <c r="R61"/>
  <c r="T61"/>
  <c r="H62"/>
  <c r="I62"/>
  <c r="T37"/>
  <c r="J62"/>
  <c r="V37"/>
  <c r="L62"/>
  <c r="M62"/>
  <c r="K62"/>
  <c r="N62"/>
  <c r="O62"/>
  <c r="P62"/>
  <c r="R62"/>
  <c r="T62"/>
  <c r="H63"/>
  <c r="I63"/>
  <c r="T38"/>
  <c r="J63"/>
  <c r="V38"/>
  <c r="L63"/>
  <c r="M63"/>
  <c r="K63"/>
  <c r="N63"/>
  <c r="O63"/>
  <c r="P63"/>
  <c r="R63"/>
  <c r="T63"/>
  <c r="T65"/>
  <c r="S51"/>
  <c r="S52"/>
  <c r="S53"/>
  <c r="S54"/>
  <c r="S55"/>
  <c r="S56"/>
  <c r="S57"/>
  <c r="S58"/>
  <c r="S59"/>
  <c r="S60"/>
  <c r="S61"/>
  <c r="S62"/>
  <c r="S63"/>
  <c r="S65"/>
  <c r="R65"/>
  <c r="P68"/>
  <c r="O65"/>
  <c r="I73"/>
  <c r="I74"/>
  <c r="U51"/>
  <c r="U52"/>
  <c r="U53"/>
  <c r="U54"/>
  <c r="U55"/>
  <c r="U56"/>
  <c r="U57"/>
  <c r="U58"/>
  <c r="U59"/>
  <c r="U60"/>
  <c r="U61"/>
  <c r="U62"/>
  <c r="U63"/>
  <c r="U65"/>
  <c r="I75"/>
  <c r="I76"/>
  <c r="I77"/>
  <c r="V51"/>
  <c r="W51"/>
  <c r="V52"/>
  <c r="W52"/>
  <c r="V53"/>
  <c r="W53"/>
  <c r="V54"/>
  <c r="W54"/>
  <c r="V55"/>
  <c r="W55"/>
  <c r="V56"/>
  <c r="W56"/>
  <c r="V57"/>
  <c r="W57"/>
  <c r="V58"/>
  <c r="W58"/>
  <c r="V59"/>
  <c r="W59"/>
  <c r="V60"/>
  <c r="W60"/>
  <c r="V61"/>
  <c r="W61"/>
  <c r="V62"/>
  <c r="W62"/>
  <c r="V63"/>
  <c r="W63"/>
  <c r="W65"/>
  <c r="V65"/>
  <c r="I79"/>
  <c r="I80"/>
  <c r="M81"/>
  <c r="M82"/>
  <c r="I81"/>
  <c r="AJ51"/>
  <c r="AK51"/>
  <c r="AJ52"/>
  <c r="AK52"/>
  <c r="AJ53"/>
  <c r="AK53"/>
  <c r="AJ54"/>
  <c r="AK54"/>
  <c r="AJ55"/>
  <c r="AK55"/>
  <c r="AJ56"/>
  <c r="AK56"/>
  <c r="AJ57"/>
  <c r="AK57"/>
  <c r="AJ58"/>
  <c r="AK58"/>
  <c r="AJ59"/>
  <c r="AK59"/>
  <c r="AJ60"/>
  <c r="AK60"/>
  <c r="AJ61"/>
  <c r="AK61"/>
  <c r="AJ62"/>
  <c r="AK62"/>
  <c r="AJ63"/>
  <c r="AK63"/>
  <c r="AL51"/>
  <c r="AL52"/>
  <c r="AL53"/>
  <c r="AL54"/>
  <c r="AL55"/>
  <c r="AL56"/>
  <c r="AL57"/>
  <c r="AL58"/>
  <c r="AL59"/>
  <c r="AL60"/>
  <c r="AL61"/>
  <c r="AL62"/>
  <c r="AL63"/>
  <c r="Q74"/>
  <c r="Q75"/>
  <c r="Q76"/>
  <c r="Q77"/>
  <c r="AH76"/>
  <c r="AH75"/>
  <c r="AH74"/>
  <c r="I69"/>
  <c r="I70"/>
  <c r="AH72"/>
  <c r="AH71"/>
  <c r="I68"/>
  <c r="M70"/>
  <c r="M71"/>
  <c r="AH70"/>
  <c r="P70"/>
  <c r="P69"/>
  <c r="AX63"/>
  <c r="AW63"/>
  <c r="AV63"/>
  <c r="AU63"/>
  <c r="AT63"/>
  <c r="AS63"/>
  <c r="AR63"/>
  <c r="AQ63"/>
  <c r="E63"/>
  <c r="AN63"/>
  <c r="F63"/>
  <c r="AO63"/>
  <c r="AP63"/>
  <c r="Q63"/>
  <c r="AH63"/>
  <c r="AG63"/>
  <c r="AF63"/>
  <c r="AX62"/>
  <c r="AW62"/>
  <c r="AV62"/>
  <c r="AU62"/>
  <c r="AT62"/>
  <c r="AS62"/>
  <c r="AR62"/>
  <c r="AQ62"/>
  <c r="E62"/>
  <c r="AN62"/>
  <c r="F62"/>
  <c r="AO62"/>
  <c r="AP62"/>
  <c r="Q62"/>
  <c r="AH62"/>
  <c r="AG62"/>
  <c r="AF62"/>
  <c r="AX61"/>
  <c r="AW61"/>
  <c r="AV61"/>
  <c r="AU61"/>
  <c r="AT61"/>
  <c r="AS61"/>
  <c r="AR61"/>
  <c r="AQ61"/>
  <c r="E61"/>
  <c r="AN61"/>
  <c r="F61"/>
  <c r="AO61"/>
  <c r="AP61"/>
  <c r="Q61"/>
  <c r="AH61"/>
  <c r="AG61"/>
  <c r="AF61"/>
  <c r="AX60"/>
  <c r="AW60"/>
  <c r="AV60"/>
  <c r="AU60"/>
  <c r="AT60"/>
  <c r="AS60"/>
  <c r="AR60"/>
  <c r="AQ60"/>
  <c r="E60"/>
  <c r="AN60"/>
  <c r="F60"/>
  <c r="AO60"/>
  <c r="AP60"/>
  <c r="Q60"/>
  <c r="AH60"/>
  <c r="AG60"/>
  <c r="AF60"/>
  <c r="AX59"/>
  <c r="AW59"/>
  <c r="AV59"/>
  <c r="AU59"/>
  <c r="AT59"/>
  <c r="AS59"/>
  <c r="AR59"/>
  <c r="AQ59"/>
  <c r="E59"/>
  <c r="AN59"/>
  <c r="F59"/>
  <c r="AO59"/>
  <c r="AP59"/>
  <c r="Q59"/>
  <c r="AH59"/>
  <c r="AG59"/>
  <c r="AF59"/>
  <c r="AX58"/>
  <c r="AW58"/>
  <c r="AV58"/>
  <c r="AU58"/>
  <c r="AT58"/>
  <c r="AS58"/>
  <c r="AR58"/>
  <c r="AQ58"/>
  <c r="E58"/>
  <c r="AN58"/>
  <c r="F58"/>
  <c r="AO58"/>
  <c r="AP58"/>
  <c r="Q58"/>
  <c r="AH58"/>
  <c r="AG58"/>
  <c r="AF58"/>
  <c r="AX57"/>
  <c r="AW57"/>
  <c r="AV57"/>
  <c r="AU57"/>
  <c r="AT57"/>
  <c r="AS57"/>
  <c r="AR57"/>
  <c r="AQ57"/>
  <c r="E57"/>
  <c r="AN57"/>
  <c r="F57"/>
  <c r="AO57"/>
  <c r="AP57"/>
  <c r="Q57"/>
  <c r="AH57"/>
  <c r="AG57"/>
  <c r="AF57"/>
  <c r="AX56"/>
  <c r="AW56"/>
  <c r="AV56"/>
  <c r="AU56"/>
  <c r="AT56"/>
  <c r="AS56"/>
  <c r="AR56"/>
  <c r="AQ56"/>
  <c r="E56"/>
  <c r="AN56"/>
  <c r="F56"/>
  <c r="AO56"/>
  <c r="AP56"/>
  <c r="Q56"/>
  <c r="AH56"/>
  <c r="AG56"/>
  <c r="AF56"/>
  <c r="AX55"/>
  <c r="AW55"/>
  <c r="AV55"/>
  <c r="AU55"/>
  <c r="AT55"/>
  <c r="AS55"/>
  <c r="AR55"/>
  <c r="AQ55"/>
  <c r="E55"/>
  <c r="AN55"/>
  <c r="F55"/>
  <c r="AO55"/>
  <c r="AP55"/>
  <c r="Q55"/>
  <c r="AH55"/>
  <c r="AG55"/>
  <c r="AF55"/>
  <c r="F5"/>
  <c r="AY54"/>
  <c r="AX54"/>
  <c r="AW54"/>
  <c r="AV54"/>
  <c r="AU54"/>
  <c r="AT54"/>
  <c r="AS54"/>
  <c r="AR54"/>
  <c r="AQ54"/>
  <c r="E54"/>
  <c r="AN54"/>
  <c r="F54"/>
  <c r="AO54"/>
  <c r="AP54"/>
  <c r="Q54"/>
  <c r="AH54"/>
  <c r="AG54"/>
  <c r="AF54"/>
  <c r="F6"/>
  <c r="AY53"/>
  <c r="AX53"/>
  <c r="AW53"/>
  <c r="AV53"/>
  <c r="AU53"/>
  <c r="AT53"/>
  <c r="AS53"/>
  <c r="AR53"/>
  <c r="AQ53"/>
  <c r="E53"/>
  <c r="AN53"/>
  <c r="F53"/>
  <c r="AO53"/>
  <c r="AP53"/>
  <c r="Q53"/>
  <c r="AH53"/>
  <c r="AG53"/>
  <c r="AF53"/>
  <c r="F4"/>
  <c r="AY52"/>
  <c r="AX52"/>
  <c r="AW52"/>
  <c r="AV52"/>
  <c r="AU52"/>
  <c r="AT52"/>
  <c r="AS52"/>
  <c r="AR52"/>
  <c r="AQ52"/>
  <c r="E52"/>
  <c r="AN52"/>
  <c r="F52"/>
  <c r="AO52"/>
  <c r="AP52"/>
  <c r="Q52"/>
  <c r="AH52"/>
  <c r="AG52"/>
  <c r="AF52"/>
  <c r="F3"/>
  <c r="AY51"/>
  <c r="AX51"/>
  <c r="AW51"/>
  <c r="AV51"/>
  <c r="AU51"/>
  <c r="AT51"/>
  <c r="AS51"/>
  <c r="AR51"/>
  <c r="AQ51"/>
  <c r="E51"/>
  <c r="AN51"/>
  <c r="F51"/>
  <c r="AO51"/>
  <c r="AP51"/>
  <c r="Q51"/>
  <c r="AH51"/>
  <c r="AG51"/>
  <c r="AF51"/>
  <c r="I49"/>
  <c r="AQ47"/>
  <c r="AP47"/>
  <c r="AO47"/>
  <c r="AN47"/>
  <c r="AM47"/>
  <c r="AL47"/>
  <c r="AK47"/>
  <c r="AJ47"/>
  <c r="AI47"/>
  <c r="AH47"/>
  <c r="AG47"/>
  <c r="AF47"/>
  <c r="AE47"/>
  <c r="AD47"/>
  <c r="AC47"/>
  <c r="AB47"/>
  <c r="AA47"/>
  <c r="Z47"/>
  <c r="Y47"/>
  <c r="I47"/>
  <c r="H47"/>
  <c r="G47"/>
  <c r="F47"/>
  <c r="E47"/>
  <c r="D47"/>
  <c r="C47"/>
  <c r="AQ45"/>
  <c r="AP45"/>
  <c r="AO45"/>
  <c r="AN45"/>
  <c r="AM45"/>
  <c r="AL45"/>
  <c r="AK45"/>
  <c r="AJ45"/>
  <c r="AI45"/>
  <c r="AH45"/>
  <c r="AG45"/>
  <c r="AF45"/>
  <c r="AE45"/>
  <c r="AD45"/>
  <c r="AC45"/>
  <c r="AB45"/>
  <c r="AA45"/>
  <c r="Z45"/>
  <c r="Y45"/>
  <c r="I45"/>
  <c r="H45"/>
  <c r="G45"/>
  <c r="F45"/>
  <c r="E45"/>
  <c r="D45"/>
  <c r="C45"/>
  <c r="AQ44"/>
  <c r="AP44"/>
  <c r="AO44"/>
  <c r="AN44"/>
  <c r="X32" i="19"/>
  <c r="AM44" i="156"/>
  <c r="AL44"/>
  <c r="AK44"/>
  <c r="AJ44"/>
  <c r="AI44"/>
  <c r="AH44"/>
  <c r="AG44"/>
  <c r="AF44"/>
  <c r="AE44"/>
  <c r="AD44"/>
  <c r="AC44"/>
  <c r="AB44"/>
  <c r="AA44"/>
  <c r="Z44"/>
  <c r="Y44"/>
  <c r="I44"/>
  <c r="H44"/>
  <c r="G44"/>
  <c r="F44"/>
  <c r="E44"/>
  <c r="D44"/>
  <c r="C44"/>
  <c r="AQ43"/>
  <c r="AP43"/>
  <c r="AO43"/>
  <c r="AN43"/>
  <c r="X27" i="19"/>
  <c r="AM43" i="156"/>
  <c r="AL43"/>
  <c r="AK43"/>
  <c r="AJ43"/>
  <c r="AI43"/>
  <c r="AH43"/>
  <c r="AG43"/>
  <c r="AF43"/>
  <c r="AE43"/>
  <c r="AD43"/>
  <c r="AC43"/>
  <c r="AB43"/>
  <c r="AA43"/>
  <c r="Z43"/>
  <c r="Y43"/>
  <c r="I43"/>
  <c r="H43"/>
  <c r="G43"/>
  <c r="F43"/>
  <c r="E43"/>
  <c r="D43"/>
  <c r="C43"/>
  <c r="AQ41"/>
  <c r="AP41"/>
  <c r="AO41"/>
  <c r="AN41"/>
  <c r="X51" i="19"/>
  <c r="AM41" i="156"/>
  <c r="AL41"/>
  <c r="AK41"/>
  <c r="AJ41"/>
  <c r="AI41"/>
  <c r="AH41"/>
  <c r="AG41"/>
  <c r="AF41"/>
  <c r="AE41"/>
  <c r="AD41"/>
  <c r="AC41"/>
  <c r="AB41"/>
  <c r="AA41"/>
  <c r="Z41"/>
  <c r="Y41"/>
  <c r="I41"/>
  <c r="H41"/>
  <c r="G41"/>
  <c r="F41"/>
  <c r="E41"/>
  <c r="D41"/>
  <c r="C41"/>
  <c r="AQ38"/>
  <c r="X218" i="19"/>
  <c r="AJ38" i="156"/>
  <c r="AG38"/>
  <c r="AE38"/>
  <c r="AD38"/>
  <c r="AC38"/>
  <c r="AA38"/>
  <c r="Y38"/>
  <c r="G38"/>
  <c r="D38"/>
  <c r="C38"/>
  <c r="AQ37"/>
  <c r="AJ37"/>
  <c r="AG37"/>
  <c r="AE37"/>
  <c r="AD37"/>
  <c r="AC37"/>
  <c r="AA37"/>
  <c r="Y37"/>
  <c r="G37"/>
  <c r="D37"/>
  <c r="C37"/>
  <c r="AQ36"/>
  <c r="X100" i="19"/>
  <c r="AJ36" i="156"/>
  <c r="AG36"/>
  <c r="AE36"/>
  <c r="AD36"/>
  <c r="AC36"/>
  <c r="AA36"/>
  <c r="Y36"/>
  <c r="G36"/>
  <c r="D36"/>
  <c r="C36"/>
  <c r="AQ35"/>
  <c r="AJ35"/>
  <c r="AG35"/>
  <c r="AE35"/>
  <c r="AD35"/>
  <c r="AC35"/>
  <c r="AA35"/>
  <c r="Y35"/>
  <c r="G35"/>
  <c r="D35"/>
  <c r="C35"/>
  <c r="AQ34"/>
  <c r="AJ34"/>
  <c r="AG34"/>
  <c r="AE34"/>
  <c r="AD34"/>
  <c r="AC34"/>
  <c r="AA34"/>
  <c r="Y34"/>
  <c r="G34"/>
  <c r="D34"/>
  <c r="C34"/>
  <c r="AQ33"/>
  <c r="X66" i="19"/>
  <c r="AJ33" i="156"/>
  <c r="AG33"/>
  <c r="AE33"/>
  <c r="AD33"/>
  <c r="AC33"/>
  <c r="AA33"/>
  <c r="Y33"/>
  <c r="G33"/>
  <c r="D33"/>
  <c r="C33"/>
  <c r="AQ32"/>
  <c r="X59" i="19"/>
  <c r="AJ32" i="156"/>
  <c r="AG32"/>
  <c r="AE32"/>
  <c r="AD32"/>
  <c r="AC32"/>
  <c r="AA32"/>
  <c r="Y32"/>
  <c r="G32"/>
  <c r="D32"/>
  <c r="C32"/>
  <c r="AQ29"/>
  <c r="AJ29"/>
  <c r="AG29"/>
  <c r="AE29"/>
  <c r="AD29"/>
  <c r="AC29"/>
  <c r="AA29"/>
  <c r="Y29"/>
  <c r="G29"/>
  <c r="D29"/>
  <c r="C29"/>
  <c r="AQ28"/>
  <c r="AJ28"/>
  <c r="AG28"/>
  <c r="AE28"/>
  <c r="AD28"/>
  <c r="AC28"/>
  <c r="AA28"/>
  <c r="Y28"/>
  <c r="G28"/>
  <c r="D28"/>
  <c r="C28"/>
  <c r="AQ27"/>
  <c r="X154" i="19"/>
  <c r="AJ27" i="156"/>
  <c r="AG27"/>
  <c r="AE27"/>
  <c r="AD27"/>
  <c r="AC27"/>
  <c r="AA27"/>
  <c r="Y27"/>
  <c r="G27"/>
  <c r="D27"/>
  <c r="C27"/>
  <c r="AQ26"/>
  <c r="AJ26"/>
  <c r="AG26"/>
  <c r="AE26"/>
  <c r="AD26"/>
  <c r="AC26"/>
  <c r="AA26"/>
  <c r="Y26"/>
  <c r="G26"/>
  <c r="D26"/>
  <c r="C26"/>
  <c r="AQ25"/>
  <c r="X37" i="19"/>
  <c r="AJ25" i="156"/>
  <c r="AG25"/>
  <c r="AE25"/>
  <c r="AD25"/>
  <c r="AC25"/>
  <c r="AA25"/>
  <c r="Y25"/>
  <c r="G25"/>
  <c r="D25"/>
  <c r="C25"/>
  <c r="AQ24"/>
  <c r="X33" i="19"/>
  <c r="AJ24" i="156"/>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68"/>
  <c r="D5"/>
  <c r="H36"/>
  <c r="I36"/>
  <c r="J36"/>
  <c r="L36"/>
  <c r="D3"/>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T44"/>
  <c r="S36"/>
  <c r="S37"/>
  <c r="S38"/>
  <c r="S39"/>
  <c r="S40"/>
  <c r="S41"/>
  <c r="S42"/>
  <c r="S44"/>
  <c r="R44"/>
  <c r="P47"/>
  <c r="O44"/>
  <c r="I52"/>
  <c r="I53"/>
  <c r="U36"/>
  <c r="U37"/>
  <c r="U38"/>
  <c r="U39"/>
  <c r="U40"/>
  <c r="U41"/>
  <c r="U42"/>
  <c r="U44"/>
  <c r="I54"/>
  <c r="I55"/>
  <c r="I56"/>
  <c r="V36"/>
  <c r="W36"/>
  <c r="V37"/>
  <c r="W37"/>
  <c r="V38"/>
  <c r="W38"/>
  <c r="V39"/>
  <c r="W39"/>
  <c r="V40"/>
  <c r="W40"/>
  <c r="V41"/>
  <c r="W41"/>
  <c r="V42"/>
  <c r="W42"/>
  <c r="W44"/>
  <c r="V44"/>
  <c r="I58"/>
  <c r="I59"/>
  <c r="M60"/>
  <c r="M61"/>
  <c r="I60"/>
  <c r="AJ36"/>
  <c r="AK36"/>
  <c r="AJ37"/>
  <c r="AK37"/>
  <c r="AJ38"/>
  <c r="AK38"/>
  <c r="AJ39"/>
  <c r="AK39"/>
  <c r="AJ40"/>
  <c r="AK40"/>
  <c r="AJ41"/>
  <c r="AK41"/>
  <c r="AJ42"/>
  <c r="AK42"/>
  <c r="AL36"/>
  <c r="AL37"/>
  <c r="AL38"/>
  <c r="AL39"/>
  <c r="AL40"/>
  <c r="AL41"/>
  <c r="AL42"/>
  <c r="Q53"/>
  <c r="Q54"/>
  <c r="Q55"/>
  <c r="Q56"/>
  <c r="AH55"/>
  <c r="AH54"/>
  <c r="AH53"/>
  <c r="I48"/>
  <c r="I49"/>
  <c r="AH51"/>
  <c r="AH50"/>
  <c r="I47"/>
  <c r="M49"/>
  <c r="M50"/>
  <c r="AH49"/>
  <c r="P49"/>
  <c r="P48"/>
  <c r="S225" i="19"/>
  <c r="AZ42" i="68"/>
  <c r="F5"/>
  <c r="AY42"/>
  <c r="AX42"/>
  <c r="AW42"/>
  <c r="AV42"/>
  <c r="AU42"/>
  <c r="AT42"/>
  <c r="AS42"/>
  <c r="AR42"/>
  <c r="AQ42"/>
  <c r="E42"/>
  <c r="AN42"/>
  <c r="F42"/>
  <c r="AO42"/>
  <c r="AP42"/>
  <c r="Q42"/>
  <c r="AH42"/>
  <c r="AG42"/>
  <c r="AF42"/>
  <c r="AZ41"/>
  <c r="AX41"/>
  <c r="AW41"/>
  <c r="AV41"/>
  <c r="AU41"/>
  <c r="AT41"/>
  <c r="AS41"/>
  <c r="AR41"/>
  <c r="AQ41"/>
  <c r="E41"/>
  <c r="AN41"/>
  <c r="F41"/>
  <c r="AO41"/>
  <c r="AP41"/>
  <c r="Q41"/>
  <c r="AH41"/>
  <c r="AG41"/>
  <c r="AF41"/>
  <c r="S220" i="19"/>
  <c r="AZ40" i="68"/>
  <c r="AX40"/>
  <c r="AW40"/>
  <c r="AV40"/>
  <c r="AU40"/>
  <c r="AT40"/>
  <c r="AS40"/>
  <c r="AR40"/>
  <c r="AQ40"/>
  <c r="E40"/>
  <c r="AN40"/>
  <c r="F40"/>
  <c r="AO40"/>
  <c r="AP40"/>
  <c r="Q40"/>
  <c r="AH40"/>
  <c r="AG40"/>
  <c r="AF40"/>
  <c r="S139" i="19"/>
  <c r="AZ39" i="68"/>
  <c r="AX39"/>
  <c r="AW39"/>
  <c r="AV39"/>
  <c r="AU39"/>
  <c r="AT39"/>
  <c r="AS39"/>
  <c r="AR39"/>
  <c r="AQ39"/>
  <c r="E39"/>
  <c r="AN39"/>
  <c r="F39"/>
  <c r="AO39"/>
  <c r="AP39"/>
  <c r="Q39"/>
  <c r="AH39"/>
  <c r="AG39"/>
  <c r="AF39"/>
  <c r="S58" i="19"/>
  <c r="AZ38" i="68"/>
  <c r="F6"/>
  <c r="AY38"/>
  <c r="AX38"/>
  <c r="AW38"/>
  <c r="AV38"/>
  <c r="AU38"/>
  <c r="AT38"/>
  <c r="AS38"/>
  <c r="AR38"/>
  <c r="AQ38"/>
  <c r="E38"/>
  <c r="AN38"/>
  <c r="F38"/>
  <c r="AO38"/>
  <c r="AP38"/>
  <c r="Q38"/>
  <c r="AH38"/>
  <c r="AG38"/>
  <c r="AF38"/>
  <c r="S34" i="19"/>
  <c r="AZ37" i="68"/>
  <c r="F4"/>
  <c r="AY37"/>
  <c r="AX37"/>
  <c r="AW37"/>
  <c r="AV37"/>
  <c r="AU37"/>
  <c r="AT37"/>
  <c r="AS37"/>
  <c r="AR37"/>
  <c r="AQ37"/>
  <c r="E37"/>
  <c r="AN37"/>
  <c r="F37"/>
  <c r="AO37"/>
  <c r="AP37"/>
  <c r="Q37"/>
  <c r="AH37"/>
  <c r="AG37"/>
  <c r="AF37"/>
  <c r="S20" i="19"/>
  <c r="AZ36" i="68"/>
  <c r="F3"/>
  <c r="AY36"/>
  <c r="AX36"/>
  <c r="AW36"/>
  <c r="AV36"/>
  <c r="AU36"/>
  <c r="AT36"/>
  <c r="AS36"/>
  <c r="AR36"/>
  <c r="AQ36"/>
  <c r="E36"/>
  <c r="AN36"/>
  <c r="F36"/>
  <c r="AO36"/>
  <c r="AP36"/>
  <c r="Q36"/>
  <c r="AH36"/>
  <c r="AG36"/>
  <c r="AF36"/>
  <c r="I34"/>
  <c r="AQ33"/>
  <c r="AP33"/>
  <c r="AO33"/>
  <c r="AN33"/>
  <c r="AM33"/>
  <c r="AL33"/>
  <c r="AK33"/>
  <c r="AJ33"/>
  <c r="AI33"/>
  <c r="S178" i="19"/>
  <c r="AH33" i="68"/>
  <c r="AG33"/>
  <c r="AF33"/>
  <c r="AE33"/>
  <c r="AD33"/>
  <c r="AC33"/>
  <c r="AB33"/>
  <c r="AA33"/>
  <c r="Z33"/>
  <c r="Y33"/>
  <c r="I33"/>
  <c r="H33"/>
  <c r="G33"/>
  <c r="F33"/>
  <c r="E33"/>
  <c r="D33"/>
  <c r="C33"/>
  <c r="AQ30"/>
  <c r="X225" i="19"/>
  <c r="AJ30" i="68"/>
  <c r="AG30"/>
  <c r="AE30"/>
  <c r="AD30"/>
  <c r="Y30"/>
  <c r="G30"/>
  <c r="D30"/>
  <c r="C30"/>
  <c r="AQ29"/>
  <c r="AJ29"/>
  <c r="AG29"/>
  <c r="AE29"/>
  <c r="AD29"/>
  <c r="Y29"/>
  <c r="G29"/>
  <c r="D29"/>
  <c r="C29"/>
  <c r="AQ28"/>
  <c r="X220" i="19"/>
  <c r="AJ28" i="68"/>
  <c r="AG28"/>
  <c r="AE28"/>
  <c r="AD28"/>
  <c r="AC28"/>
  <c r="AA28"/>
  <c r="Y28"/>
  <c r="G28"/>
  <c r="D28"/>
  <c r="C28"/>
  <c r="AQ27"/>
  <c r="X139" i="19"/>
  <c r="AJ27" i="68"/>
  <c r="AG27"/>
  <c r="AE27"/>
  <c r="AD27"/>
  <c r="AC27"/>
  <c r="AA27"/>
  <c r="Y27"/>
  <c r="G27"/>
  <c r="D27"/>
  <c r="C27"/>
  <c r="AQ26"/>
  <c r="AJ26"/>
  <c r="AG26"/>
  <c r="AE26"/>
  <c r="AD26"/>
  <c r="AA26"/>
  <c r="Y26"/>
  <c r="G26"/>
  <c r="D26"/>
  <c r="C26"/>
  <c r="AQ25"/>
  <c r="X34" i="19"/>
  <c r="AJ25" i="68"/>
  <c r="AG25"/>
  <c r="AE25"/>
  <c r="AD25"/>
  <c r="AC25"/>
  <c r="AA25"/>
  <c r="Y25"/>
  <c r="G25"/>
  <c r="D25"/>
  <c r="C25"/>
  <c r="AQ24"/>
  <c r="X20" i="19"/>
  <c r="AJ24" i="68"/>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152"/>
  <c r="D5"/>
  <c r="H33"/>
  <c r="I33"/>
  <c r="J33"/>
  <c r="L33"/>
  <c r="D3"/>
  <c r="M33"/>
  <c r="K33"/>
  <c r="N33"/>
  <c r="O33"/>
  <c r="P33"/>
  <c r="R33"/>
  <c r="T33"/>
  <c r="H34"/>
  <c r="I34"/>
  <c r="J34"/>
  <c r="L34"/>
  <c r="M34"/>
  <c r="K34"/>
  <c r="N34"/>
  <c r="O34"/>
  <c r="P34"/>
  <c r="R34"/>
  <c r="T34"/>
  <c r="H35"/>
  <c r="I35"/>
  <c r="J35"/>
  <c r="L35"/>
  <c r="M35"/>
  <c r="K35"/>
  <c r="N35"/>
  <c r="O35"/>
  <c r="P35"/>
  <c r="R35"/>
  <c r="T35"/>
  <c r="H36"/>
  <c r="I36"/>
  <c r="J36"/>
  <c r="L36"/>
  <c r="M36"/>
  <c r="K36"/>
  <c r="N36"/>
  <c r="O36"/>
  <c r="P36"/>
  <c r="R36"/>
  <c r="T36"/>
  <c r="T38"/>
  <c r="S33"/>
  <c r="S34"/>
  <c r="S35"/>
  <c r="S36"/>
  <c r="S38"/>
  <c r="R38"/>
  <c r="P41"/>
  <c r="O38"/>
  <c r="I46"/>
  <c r="I47"/>
  <c r="U33"/>
  <c r="U34"/>
  <c r="U35"/>
  <c r="U36"/>
  <c r="U38"/>
  <c r="I48"/>
  <c r="I49"/>
  <c r="I50"/>
  <c r="V33"/>
  <c r="W33"/>
  <c r="V34"/>
  <c r="W34"/>
  <c r="V35"/>
  <c r="W35"/>
  <c r="V36"/>
  <c r="W36"/>
  <c r="W38"/>
  <c r="V38"/>
  <c r="I52"/>
  <c r="I53"/>
  <c r="M54"/>
  <c r="M55"/>
  <c r="I54"/>
  <c r="AJ33"/>
  <c r="AK33"/>
  <c r="AJ34"/>
  <c r="AK34"/>
  <c r="AJ35"/>
  <c r="AK35"/>
  <c r="AJ36"/>
  <c r="AK36"/>
  <c r="AL33"/>
  <c r="AL34"/>
  <c r="AL35"/>
  <c r="AL36"/>
  <c r="Q47"/>
  <c r="Q48"/>
  <c r="Q49"/>
  <c r="Q50"/>
  <c r="AH49"/>
  <c r="AH48"/>
  <c r="AH47"/>
  <c r="I42"/>
  <c r="I43"/>
  <c r="AH45"/>
  <c r="AH44"/>
  <c r="I41"/>
  <c r="M43"/>
  <c r="M44"/>
  <c r="AH43"/>
  <c r="P43"/>
  <c r="P42"/>
  <c r="F6"/>
  <c r="AY36"/>
  <c r="AX36"/>
  <c r="AW36"/>
  <c r="AV36"/>
  <c r="AU36"/>
  <c r="AT36"/>
  <c r="AS36"/>
  <c r="AR36"/>
  <c r="AQ36"/>
  <c r="E36"/>
  <c r="AN36"/>
  <c r="F36"/>
  <c r="AO36"/>
  <c r="AP36"/>
  <c r="Q36"/>
  <c r="AH36"/>
  <c r="AG36"/>
  <c r="AF36"/>
  <c r="AX35"/>
  <c r="AW35"/>
  <c r="AV35"/>
  <c r="AU35"/>
  <c r="AT35"/>
  <c r="AS35"/>
  <c r="AR35"/>
  <c r="AQ35"/>
  <c r="E35"/>
  <c r="AN35"/>
  <c r="F35"/>
  <c r="AO35"/>
  <c r="AP35"/>
  <c r="Q35"/>
  <c r="AH35"/>
  <c r="AG35"/>
  <c r="AF35"/>
  <c r="F4"/>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8"/>
  <c r="AP28"/>
  <c r="AO28"/>
  <c r="AN28"/>
  <c r="AM28"/>
  <c r="AL28"/>
  <c r="AK28"/>
  <c r="AJ28"/>
  <c r="AI28"/>
  <c r="AH28"/>
  <c r="AG28"/>
  <c r="AF28"/>
  <c r="AE28"/>
  <c r="AD28"/>
  <c r="AC28"/>
  <c r="AB28"/>
  <c r="AA28"/>
  <c r="Z28"/>
  <c r="Y28"/>
  <c r="I28"/>
  <c r="H28"/>
  <c r="G28"/>
  <c r="F28"/>
  <c r="E28"/>
  <c r="D28"/>
  <c r="C28"/>
  <c r="AQ27"/>
  <c r="AJ27"/>
  <c r="AG27"/>
  <c r="AE27"/>
  <c r="AD27"/>
  <c r="AA27"/>
  <c r="Y27"/>
  <c r="G27"/>
  <c r="D27"/>
  <c r="C27"/>
  <c r="AQ26"/>
  <c r="AJ26"/>
  <c r="AG26"/>
  <c r="AE26"/>
  <c r="AD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181"/>
  <c r="D5"/>
  <c r="H32"/>
  <c r="I32"/>
  <c r="J32"/>
  <c r="L32"/>
  <c r="D3"/>
  <c r="M32"/>
  <c r="K32"/>
  <c r="N32"/>
  <c r="O32"/>
  <c r="P32"/>
  <c r="R32"/>
  <c r="T32"/>
  <c r="H33"/>
  <c r="I33"/>
  <c r="J33"/>
  <c r="L33"/>
  <c r="M33"/>
  <c r="K33"/>
  <c r="N33"/>
  <c r="O33"/>
  <c r="P33"/>
  <c r="R33"/>
  <c r="T33"/>
  <c r="H34"/>
  <c r="I34"/>
  <c r="J34"/>
  <c r="L34"/>
  <c r="M34"/>
  <c r="K34"/>
  <c r="N34"/>
  <c r="O34"/>
  <c r="P34"/>
  <c r="R34"/>
  <c r="T34"/>
  <c r="H35"/>
  <c r="I35"/>
  <c r="J35"/>
  <c r="L35"/>
  <c r="M35"/>
  <c r="K35"/>
  <c r="N35"/>
  <c r="O35"/>
  <c r="P35"/>
  <c r="R35"/>
  <c r="T35"/>
  <c r="T37"/>
  <c r="S32"/>
  <c r="S33"/>
  <c r="S34"/>
  <c r="S35"/>
  <c r="S37"/>
  <c r="R37"/>
  <c r="P40"/>
  <c r="O37"/>
  <c r="I45"/>
  <c r="I46"/>
  <c r="U32"/>
  <c r="U33"/>
  <c r="U34"/>
  <c r="U35"/>
  <c r="U37"/>
  <c r="I47"/>
  <c r="I48"/>
  <c r="I49"/>
  <c r="V32"/>
  <c r="W32"/>
  <c r="V33"/>
  <c r="W33"/>
  <c r="V34"/>
  <c r="W34"/>
  <c r="V35"/>
  <c r="W35"/>
  <c r="W37"/>
  <c r="V37"/>
  <c r="I51"/>
  <c r="I52"/>
  <c r="M53"/>
  <c r="M54"/>
  <c r="I53"/>
  <c r="AJ32"/>
  <c r="AK32"/>
  <c r="AJ33"/>
  <c r="AK33"/>
  <c r="AJ34"/>
  <c r="AK34"/>
  <c r="AJ35"/>
  <c r="AK35"/>
  <c r="AL32"/>
  <c r="AL33"/>
  <c r="AL34"/>
  <c r="AL35"/>
  <c r="Q46"/>
  <c r="Q47"/>
  <c r="Q48"/>
  <c r="Q49"/>
  <c r="AH48"/>
  <c r="AH47"/>
  <c r="AH46"/>
  <c r="I41"/>
  <c r="I42"/>
  <c r="AH44"/>
  <c r="AH43"/>
  <c r="I40"/>
  <c r="M42"/>
  <c r="M43"/>
  <c r="AH42"/>
  <c r="P42"/>
  <c r="P41"/>
  <c r="F5"/>
  <c r="AY35"/>
  <c r="AX35"/>
  <c r="AW35"/>
  <c r="AV35"/>
  <c r="AU35"/>
  <c r="AT35"/>
  <c r="AS35"/>
  <c r="AR35"/>
  <c r="AQ35"/>
  <c r="E35"/>
  <c r="AN35"/>
  <c r="F35"/>
  <c r="AO35"/>
  <c r="AP35"/>
  <c r="Q35"/>
  <c r="AH35"/>
  <c r="AG35"/>
  <c r="AF35"/>
  <c r="F6"/>
  <c r="AY34"/>
  <c r="AX34"/>
  <c r="AW34"/>
  <c r="AV34"/>
  <c r="AU34"/>
  <c r="AT34"/>
  <c r="AS34"/>
  <c r="AR34"/>
  <c r="AQ34"/>
  <c r="E34"/>
  <c r="AN34"/>
  <c r="F34"/>
  <c r="AO34"/>
  <c r="AP34"/>
  <c r="Q34"/>
  <c r="AH34"/>
  <c r="AG34"/>
  <c r="AF34"/>
  <c r="F4"/>
  <c r="AY33"/>
  <c r="AX33"/>
  <c r="AW33"/>
  <c r="AV33"/>
  <c r="AU33"/>
  <c r="AT33"/>
  <c r="AS33"/>
  <c r="AR33"/>
  <c r="AQ33"/>
  <c r="E33"/>
  <c r="AN33"/>
  <c r="F33"/>
  <c r="AO33"/>
  <c r="AP33"/>
  <c r="Q33"/>
  <c r="AH33"/>
  <c r="AG33"/>
  <c r="AF33"/>
  <c r="F3"/>
  <c r="AY32"/>
  <c r="AX32"/>
  <c r="AW32"/>
  <c r="AV32"/>
  <c r="AU32"/>
  <c r="AT32"/>
  <c r="AS32"/>
  <c r="AR32"/>
  <c r="AQ32"/>
  <c r="E32"/>
  <c r="AN32"/>
  <c r="F32"/>
  <c r="AO32"/>
  <c r="AP32"/>
  <c r="Q32"/>
  <c r="AH32"/>
  <c r="AG32"/>
  <c r="AF32"/>
  <c r="I30"/>
  <c r="AQ27"/>
  <c r="Y27"/>
  <c r="G27"/>
  <c r="D27"/>
  <c r="C27"/>
  <c r="AQ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73"/>
  <c r="D5"/>
  <c r="H39"/>
  <c r="I39"/>
  <c r="J39"/>
  <c r="L39"/>
  <c r="D3"/>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T47"/>
  <c r="S39"/>
  <c r="S40"/>
  <c r="S41"/>
  <c r="S42"/>
  <c r="S43"/>
  <c r="S44"/>
  <c r="S45"/>
  <c r="S47"/>
  <c r="R47"/>
  <c r="P50"/>
  <c r="O47"/>
  <c r="I55"/>
  <c r="I59"/>
  <c r="V39"/>
  <c r="W39"/>
  <c r="V40"/>
  <c r="W40"/>
  <c r="V41"/>
  <c r="W41"/>
  <c r="V42"/>
  <c r="W42"/>
  <c r="V43"/>
  <c r="W43"/>
  <c r="V44"/>
  <c r="W44"/>
  <c r="V45"/>
  <c r="W45"/>
  <c r="W47"/>
  <c r="V47"/>
  <c r="I61"/>
  <c r="I62"/>
  <c r="M63"/>
  <c r="M64"/>
  <c r="I63"/>
  <c r="AJ39"/>
  <c r="AK39"/>
  <c r="AJ40"/>
  <c r="AK40"/>
  <c r="AJ41"/>
  <c r="AK41"/>
  <c r="AJ42"/>
  <c r="AK42"/>
  <c r="AJ43"/>
  <c r="AK43"/>
  <c r="AJ44"/>
  <c r="AK44"/>
  <c r="AJ45"/>
  <c r="AK45"/>
  <c r="AL39"/>
  <c r="AL40"/>
  <c r="AL41"/>
  <c r="AL42"/>
  <c r="AL43"/>
  <c r="AL44"/>
  <c r="AL45"/>
  <c r="Q56"/>
  <c r="Q57"/>
  <c r="Q58"/>
  <c r="Q59"/>
  <c r="AH58"/>
  <c r="I56"/>
  <c r="U39"/>
  <c r="U40"/>
  <c r="U41"/>
  <c r="U42"/>
  <c r="U43"/>
  <c r="U44"/>
  <c r="U45"/>
  <c r="U47"/>
  <c r="I57"/>
  <c r="I58"/>
  <c r="AH57"/>
  <c r="AH56"/>
  <c r="I51"/>
  <c r="I52"/>
  <c r="AH54"/>
  <c r="AH53"/>
  <c r="I50"/>
  <c r="M52"/>
  <c r="M53"/>
  <c r="AH52"/>
  <c r="P52"/>
  <c r="P51"/>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F5"/>
  <c r="AY40"/>
  <c r="AX40"/>
  <c r="AW40"/>
  <c r="AV40"/>
  <c r="AU40"/>
  <c r="AT40"/>
  <c r="AS40"/>
  <c r="AR40"/>
  <c r="AQ40"/>
  <c r="E40"/>
  <c r="AN40"/>
  <c r="F40"/>
  <c r="AO40"/>
  <c r="AP40"/>
  <c r="Q40"/>
  <c r="AH40"/>
  <c r="AG40"/>
  <c r="AF40"/>
  <c r="F4"/>
  <c r="AY39"/>
  <c r="AX39"/>
  <c r="AW39"/>
  <c r="AV39"/>
  <c r="AU39"/>
  <c r="AT39"/>
  <c r="AS39"/>
  <c r="AR39"/>
  <c r="AQ39"/>
  <c r="E39"/>
  <c r="AN39"/>
  <c r="F39"/>
  <c r="AO39"/>
  <c r="AP39"/>
  <c r="Q39"/>
  <c r="AH39"/>
  <c r="AG39"/>
  <c r="AF39"/>
  <c r="I37"/>
  <c r="AQ36"/>
  <c r="X148" i="19"/>
  <c r="AJ36" i="73"/>
  <c r="AG36"/>
  <c r="AE36"/>
  <c r="AD36"/>
  <c r="AC36"/>
  <c r="AA36"/>
  <c r="Y36"/>
  <c r="G36"/>
  <c r="D36"/>
  <c r="C36"/>
  <c r="AQ35"/>
  <c r="AJ35"/>
  <c r="AG35"/>
  <c r="AE35"/>
  <c r="AD35"/>
  <c r="AC35"/>
  <c r="AA35"/>
  <c r="Y35"/>
  <c r="G35"/>
  <c r="D35"/>
  <c r="C35"/>
  <c r="AQ34"/>
  <c r="X47" i="19"/>
  <c r="AJ34" i="73"/>
  <c r="AG34"/>
  <c r="AE34"/>
  <c r="AD34"/>
  <c r="AC34"/>
  <c r="AA34"/>
  <c r="Y34"/>
  <c r="G34"/>
  <c r="D34"/>
  <c r="C34"/>
  <c r="AQ33"/>
  <c r="AJ33"/>
  <c r="AG33"/>
  <c r="AE33"/>
  <c r="AD33"/>
  <c r="AA33"/>
  <c r="Y33"/>
  <c r="G33"/>
  <c r="D33"/>
  <c r="C33"/>
  <c r="AQ32"/>
  <c r="X18" i="19"/>
  <c r="AJ32" i="73"/>
  <c r="AG32"/>
  <c r="AE32"/>
  <c r="AD32"/>
  <c r="AC32"/>
  <c r="AA32"/>
  <c r="Y32"/>
  <c r="G32"/>
  <c r="D32"/>
  <c r="C32"/>
  <c r="AQ30"/>
  <c r="X216" i="19"/>
  <c r="AJ30" i="73"/>
  <c r="AG30"/>
  <c r="AE30"/>
  <c r="AD30"/>
  <c r="AC30"/>
  <c r="AA30"/>
  <c r="Y30"/>
  <c r="G30"/>
  <c r="D30"/>
  <c r="C30"/>
  <c r="AQ29"/>
  <c r="AJ29"/>
  <c r="AG29"/>
  <c r="AE29"/>
  <c r="AD29"/>
  <c r="AC29"/>
  <c r="AA29"/>
  <c r="Y29"/>
  <c r="G29"/>
  <c r="D29"/>
  <c r="C29"/>
  <c r="AQ28"/>
  <c r="X107" i="19"/>
  <c r="AJ28" i="73"/>
  <c r="AG28"/>
  <c r="AE28"/>
  <c r="AD28"/>
  <c r="AC28"/>
  <c r="AA28"/>
  <c r="Y28"/>
  <c r="G28"/>
  <c r="D28"/>
  <c r="C28"/>
  <c r="AQ27"/>
  <c r="X84" i="19"/>
  <c r="AJ27" i="73"/>
  <c r="AG27"/>
  <c r="AE27"/>
  <c r="AD27"/>
  <c r="AC27"/>
  <c r="AA27"/>
  <c r="Y27"/>
  <c r="G27"/>
  <c r="D27"/>
  <c r="C27"/>
  <c r="AQ26"/>
  <c r="X54" i="19"/>
  <c r="AJ26" i="73"/>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3"/>
  <c r="D6" i="65"/>
  <c r="D5"/>
  <c r="H41"/>
  <c r="I41"/>
  <c r="J41"/>
  <c r="L41"/>
  <c r="D3"/>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T52"/>
  <c r="S41"/>
  <c r="S42"/>
  <c r="S43"/>
  <c r="S44"/>
  <c r="S45"/>
  <c r="S46"/>
  <c r="S47"/>
  <c r="S48"/>
  <c r="S49"/>
  <c r="S50"/>
  <c r="S52"/>
  <c r="R52"/>
  <c r="P55"/>
  <c r="O52"/>
  <c r="I60"/>
  <c r="I61"/>
  <c r="U41"/>
  <c r="U42"/>
  <c r="U43"/>
  <c r="U44"/>
  <c r="U45"/>
  <c r="U46"/>
  <c r="U47"/>
  <c r="U48"/>
  <c r="U49"/>
  <c r="U50"/>
  <c r="U52"/>
  <c r="I62"/>
  <c r="I63"/>
  <c r="I64"/>
  <c r="V41"/>
  <c r="W41"/>
  <c r="V42"/>
  <c r="W42"/>
  <c r="V43"/>
  <c r="W43"/>
  <c r="V44"/>
  <c r="W44"/>
  <c r="V45"/>
  <c r="W45"/>
  <c r="V46"/>
  <c r="W46"/>
  <c r="V47"/>
  <c r="W47"/>
  <c r="V48"/>
  <c r="W48"/>
  <c r="V49"/>
  <c r="W49"/>
  <c r="V50"/>
  <c r="W50"/>
  <c r="W52"/>
  <c r="V52"/>
  <c r="I66"/>
  <c r="I67"/>
  <c r="M68"/>
  <c r="M69"/>
  <c r="I68"/>
  <c r="AJ41"/>
  <c r="AK41"/>
  <c r="AJ42"/>
  <c r="AK42"/>
  <c r="AJ43"/>
  <c r="AK43"/>
  <c r="AJ44"/>
  <c r="AK44"/>
  <c r="AJ45"/>
  <c r="AK45"/>
  <c r="AJ46"/>
  <c r="AK46"/>
  <c r="AJ47"/>
  <c r="AK47"/>
  <c r="AJ48"/>
  <c r="AK48"/>
  <c r="AJ49"/>
  <c r="AK49"/>
  <c r="AJ50"/>
  <c r="AK50"/>
  <c r="AL41"/>
  <c r="AL42"/>
  <c r="AL43"/>
  <c r="AL44"/>
  <c r="AL45"/>
  <c r="AL46"/>
  <c r="AL47"/>
  <c r="AL48"/>
  <c r="AL49"/>
  <c r="AL50"/>
  <c r="Q61"/>
  <c r="Q62"/>
  <c r="Q63"/>
  <c r="Q64"/>
  <c r="AH63"/>
  <c r="AH62"/>
  <c r="AH61"/>
  <c r="I56"/>
  <c r="I57"/>
  <c r="AH59"/>
  <c r="AH58"/>
  <c r="I55"/>
  <c r="M57"/>
  <c r="M58"/>
  <c r="AH57"/>
  <c r="P57"/>
  <c r="P56"/>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F5"/>
  <c r="AY44"/>
  <c r="AX44"/>
  <c r="AW44"/>
  <c r="AV44"/>
  <c r="AU44"/>
  <c r="AT44"/>
  <c r="AS44"/>
  <c r="AR44"/>
  <c r="AQ44"/>
  <c r="E44"/>
  <c r="AN44"/>
  <c r="F44"/>
  <c r="AO44"/>
  <c r="AP44"/>
  <c r="Q44"/>
  <c r="AH44"/>
  <c r="AG44"/>
  <c r="AF44"/>
  <c r="F6"/>
  <c r="AY43"/>
  <c r="AX43"/>
  <c r="AW43"/>
  <c r="AV43"/>
  <c r="AU43"/>
  <c r="AT43"/>
  <c r="AS43"/>
  <c r="AR43"/>
  <c r="AQ43"/>
  <c r="E43"/>
  <c r="AN43"/>
  <c r="F43"/>
  <c r="AO43"/>
  <c r="AP43"/>
  <c r="Q43"/>
  <c r="AH43"/>
  <c r="AG43"/>
  <c r="AF43"/>
  <c r="F4"/>
  <c r="AY42"/>
  <c r="AX42"/>
  <c r="AW42"/>
  <c r="AV42"/>
  <c r="AU42"/>
  <c r="AT42"/>
  <c r="AS42"/>
  <c r="AR42"/>
  <c r="AQ42"/>
  <c r="E42"/>
  <c r="AN42"/>
  <c r="F42"/>
  <c r="AO42"/>
  <c r="AP42"/>
  <c r="Q42"/>
  <c r="AH42"/>
  <c r="AG42"/>
  <c r="AF42"/>
  <c r="F3"/>
  <c r="AY41"/>
  <c r="AX41"/>
  <c r="AW41"/>
  <c r="AV41"/>
  <c r="AU41"/>
  <c r="AT41"/>
  <c r="AS41"/>
  <c r="AR41"/>
  <c r="AQ41"/>
  <c r="E41"/>
  <c r="AN41"/>
  <c r="F41"/>
  <c r="AO41"/>
  <c r="AP41"/>
  <c r="Q41"/>
  <c r="AH41"/>
  <c r="AG41"/>
  <c r="AF41"/>
  <c r="I39"/>
  <c r="AQ37"/>
  <c r="AP37"/>
  <c r="AN37"/>
  <c r="AM37"/>
  <c r="AL37"/>
  <c r="AK37"/>
  <c r="AJ37"/>
  <c r="AI37"/>
  <c r="AH37"/>
  <c r="AG37"/>
  <c r="AF37"/>
  <c r="AE37"/>
  <c r="AD37"/>
  <c r="AC37"/>
  <c r="AB37"/>
  <c r="AA37"/>
  <c r="Z37"/>
  <c r="Y37"/>
  <c r="I37"/>
  <c r="H37"/>
  <c r="G37"/>
  <c r="F37"/>
  <c r="E37"/>
  <c r="D37"/>
  <c r="C37"/>
  <c r="AQ36"/>
  <c r="AP36"/>
  <c r="AN36"/>
  <c r="AM36"/>
  <c r="AL36"/>
  <c r="AK36"/>
  <c r="AJ36"/>
  <c r="AI36"/>
  <c r="AH36"/>
  <c r="AG36"/>
  <c r="AF36"/>
  <c r="AE36"/>
  <c r="AD36"/>
  <c r="AC36"/>
  <c r="AB36"/>
  <c r="AA36"/>
  <c r="Z36"/>
  <c r="Y36"/>
  <c r="I36"/>
  <c r="H36"/>
  <c r="G36"/>
  <c r="F36"/>
  <c r="E36"/>
  <c r="D36"/>
  <c r="C36"/>
  <c r="AQ35"/>
  <c r="AP35"/>
  <c r="AN35"/>
  <c r="AM35"/>
  <c r="AL35"/>
  <c r="AK35"/>
  <c r="AJ35"/>
  <c r="AI35"/>
  <c r="AH35"/>
  <c r="AG35"/>
  <c r="AF35"/>
  <c r="AE35"/>
  <c r="AD35"/>
  <c r="AC35"/>
  <c r="AB35"/>
  <c r="AA35"/>
  <c r="Z35"/>
  <c r="Y35"/>
  <c r="I35"/>
  <c r="H35"/>
  <c r="G35"/>
  <c r="F35"/>
  <c r="E35"/>
  <c r="D35"/>
  <c r="C35"/>
  <c r="AQ34"/>
  <c r="AP34"/>
  <c r="AN34"/>
  <c r="AM34"/>
  <c r="AL34"/>
  <c r="AK34"/>
  <c r="AJ34"/>
  <c r="AI34"/>
  <c r="AH34"/>
  <c r="AG34"/>
  <c r="AF34"/>
  <c r="AE34"/>
  <c r="AD34"/>
  <c r="AC34"/>
  <c r="AB34"/>
  <c r="AA34"/>
  <c r="Z34"/>
  <c r="Y34"/>
  <c r="I34"/>
  <c r="H34"/>
  <c r="G34"/>
  <c r="F34"/>
  <c r="E34"/>
  <c r="D34"/>
  <c r="C34"/>
  <c r="AQ33"/>
  <c r="AJ33"/>
  <c r="AG33"/>
  <c r="AA33"/>
  <c r="Y33"/>
  <c r="G33"/>
  <c r="D33"/>
  <c r="C33"/>
  <c r="AQ32"/>
  <c r="AJ32"/>
  <c r="AA32"/>
  <c r="Y32"/>
  <c r="G32"/>
  <c r="D32"/>
  <c r="C32"/>
  <c r="AQ31"/>
  <c r="AJ31"/>
  <c r="AG31"/>
  <c r="AE31"/>
  <c r="AD31"/>
  <c r="AC31"/>
  <c r="AA31"/>
  <c r="Y31"/>
  <c r="G31"/>
  <c r="D31"/>
  <c r="C31"/>
  <c r="AQ30"/>
  <c r="AJ30"/>
  <c r="AG30"/>
  <c r="AE30"/>
  <c r="AD30"/>
  <c r="AC30"/>
  <c r="AA30"/>
  <c r="Y30"/>
  <c r="G30"/>
  <c r="D30"/>
  <c r="C30"/>
  <c r="AQ29"/>
  <c r="X113" i="19"/>
  <c r="AJ29" i="65"/>
  <c r="AG29"/>
  <c r="AE29"/>
  <c r="AD29"/>
  <c r="AA29"/>
  <c r="Y29"/>
  <c r="G29"/>
  <c r="D29"/>
  <c r="C29"/>
  <c r="AQ28"/>
  <c r="AJ28"/>
  <c r="AG28"/>
  <c r="AE28"/>
  <c r="AD28"/>
  <c r="AA28"/>
  <c r="Y28"/>
  <c r="G28"/>
  <c r="D28"/>
  <c r="C28"/>
  <c r="AQ27"/>
  <c r="AJ27"/>
  <c r="AG27"/>
  <c r="AE27"/>
  <c r="AD27"/>
  <c r="AC27"/>
  <c r="AA27"/>
  <c r="Y27"/>
  <c r="G27"/>
  <c r="D27"/>
  <c r="C27"/>
  <c r="AJ26"/>
  <c r="AG26"/>
  <c r="AD26"/>
  <c r="AA26"/>
  <c r="G26"/>
  <c r="D26"/>
  <c r="C26"/>
  <c r="AJ25"/>
  <c r="AG25"/>
  <c r="AD25"/>
  <c r="AA25"/>
  <c r="G25"/>
  <c r="D25"/>
  <c r="C25"/>
  <c r="X52" i="19"/>
  <c r="AJ24" i="65"/>
  <c r="AG24"/>
  <c r="AD24"/>
  <c r="AA24"/>
  <c r="G24"/>
  <c r="D24"/>
  <c r="C24"/>
  <c r="AQ23"/>
  <c r="AP23"/>
  <c r="AN23"/>
  <c r="AM23"/>
  <c r="AL23"/>
  <c r="AK23"/>
  <c r="AJ23"/>
  <c r="AI23"/>
  <c r="AH23"/>
  <c r="AG23"/>
  <c r="AF23"/>
  <c r="AE23"/>
  <c r="AD23"/>
  <c r="AC23"/>
  <c r="AB23"/>
  <c r="AA23"/>
  <c r="Z23"/>
  <c r="Y23"/>
  <c r="Q21"/>
  <c r="D21"/>
  <c r="E20"/>
  <c r="D20"/>
  <c r="D19"/>
  <c r="D17"/>
  <c r="E16"/>
  <c r="D16"/>
  <c r="D15"/>
  <c r="F13"/>
  <c r="D13"/>
  <c r="D12"/>
  <c r="D11"/>
  <c r="D9"/>
  <c r="D8"/>
  <c r="D7"/>
  <c r="BH35" i="19"/>
  <c r="BH34"/>
  <c r="BH33"/>
  <c r="BH32"/>
  <c r="BH31"/>
  <c r="BH30"/>
  <c r="BH29"/>
  <c r="BH28"/>
  <c r="BH27"/>
  <c r="BH26"/>
  <c r="BH25"/>
  <c r="BH24"/>
  <c r="BH23"/>
  <c r="BH22"/>
  <c r="BH21"/>
  <c r="BH20"/>
  <c r="BH19"/>
  <c r="BH18"/>
  <c r="BH17"/>
  <c r="BH16"/>
  <c r="BH15"/>
  <c r="BH14"/>
  <c r="BH13"/>
  <c r="BH12"/>
  <c r="BH11"/>
  <c r="BH10"/>
  <c r="BL11"/>
  <c r="BL12"/>
  <c r="BL13"/>
  <c r="BL14"/>
  <c r="BL15"/>
  <c r="BL16"/>
  <c r="BL17"/>
  <c r="AJ237"/>
  <c r="AI237"/>
  <c r="AH237"/>
  <c r="AG237"/>
  <c r="AF237"/>
  <c r="AE132"/>
  <c r="AE237"/>
  <c r="AD237"/>
  <c r="AC237"/>
  <c r="W237"/>
  <c r="V237"/>
  <c r="U23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20"/>
  <c r="T221"/>
  <c r="T222"/>
  <c r="T223"/>
  <c r="T224"/>
  <c r="T225"/>
  <c r="T226"/>
  <c r="T227"/>
  <c r="T228"/>
  <c r="T229"/>
  <c r="T230"/>
  <c r="T231"/>
  <c r="T232"/>
  <c r="T237"/>
  <c r="S8"/>
  <c r="S9"/>
  <c r="S10"/>
  <c r="S11"/>
  <c r="S12"/>
  <c r="S13"/>
  <c r="S14"/>
  <c r="S15"/>
  <c r="S16"/>
  <c r="S17"/>
  <c r="S18"/>
  <c r="S19"/>
  <c r="S21"/>
  <c r="S22"/>
  <c r="S23"/>
  <c r="S24"/>
  <c r="S25"/>
  <c r="S26"/>
  <c r="S27"/>
  <c r="S28"/>
  <c r="S29"/>
  <c r="S30"/>
  <c r="S31"/>
  <c r="S32"/>
  <c r="S33"/>
  <c r="S35"/>
  <c r="S36"/>
  <c r="S37"/>
  <c r="S38"/>
  <c r="S39"/>
  <c r="S40"/>
  <c r="S41"/>
  <c r="S42"/>
  <c r="S43"/>
  <c r="S44"/>
  <c r="S45"/>
  <c r="S46"/>
  <c r="S47"/>
  <c r="S48"/>
  <c r="S49"/>
  <c r="S50"/>
  <c r="S51"/>
  <c r="S52"/>
  <c r="S53"/>
  <c r="S54"/>
  <c r="S55"/>
  <c r="S56"/>
  <c r="S57"/>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21"/>
  <c r="S222"/>
  <c r="S223"/>
  <c r="S224"/>
  <c r="S226"/>
  <c r="S227"/>
  <c r="S228"/>
  <c r="S229"/>
  <c r="S230"/>
  <c r="S231"/>
  <c r="S232"/>
  <c r="S237"/>
  <c r="R237"/>
  <c r="Q237"/>
  <c r="P237"/>
  <c r="O237"/>
  <c r="N237"/>
  <c r="M237"/>
  <c r="I237"/>
  <c r="H237"/>
  <c r="AJ236"/>
  <c r="AI236"/>
  <c r="AH236"/>
  <c r="AG236"/>
  <c r="AF236"/>
  <c r="AE236"/>
  <c r="AD236"/>
  <c r="AC236"/>
  <c r="R236"/>
  <c r="Q236"/>
  <c r="I236"/>
  <c r="H236"/>
  <c r="AV8"/>
  <c r="AV9"/>
  <c r="AV10"/>
  <c r="AV11"/>
  <c r="AV12"/>
  <c r="AV13"/>
  <c r="AV14"/>
  <c r="AV15"/>
  <c r="AV16"/>
  <c r="AV17"/>
  <c r="AV18"/>
  <c r="AV19"/>
  <c r="AV20"/>
  <c r="AV21"/>
  <c r="AV22"/>
  <c r="AV23"/>
  <c r="AV24"/>
  <c r="AV25"/>
  <c r="AV26"/>
  <c r="AV27"/>
  <c r="AV28"/>
  <c r="AV29"/>
  <c r="AV30"/>
  <c r="AV31"/>
  <c r="AV32"/>
  <c r="AV33"/>
  <c r="AV34"/>
  <c r="AV35"/>
  <c r="AV36"/>
  <c r="AV37"/>
  <c r="AV38"/>
  <c r="AV39"/>
  <c r="AV40"/>
  <c r="AV41"/>
  <c r="AV42"/>
  <c r="AV43"/>
  <c r="AV44"/>
  <c r="AV45"/>
  <c r="AV46"/>
  <c r="AV47"/>
  <c r="AV48"/>
  <c r="AV49"/>
  <c r="AV50"/>
  <c r="AV51"/>
  <c r="AV52"/>
  <c r="AV53"/>
  <c r="AV54"/>
  <c r="AV55"/>
  <c r="AV56"/>
  <c r="AV57"/>
  <c r="AV58"/>
  <c r="AV59"/>
  <c r="AV60"/>
  <c r="AV61"/>
  <c r="AV62"/>
  <c r="AV63"/>
  <c r="AV64"/>
  <c r="AV65"/>
  <c r="AV66"/>
  <c r="AV67"/>
  <c r="AV68"/>
  <c r="AV69"/>
  <c r="AV70"/>
  <c r="AV71"/>
  <c r="AV72"/>
  <c r="AV73"/>
  <c r="AV74"/>
  <c r="AV75"/>
  <c r="AV76"/>
  <c r="AV77"/>
  <c r="AV78"/>
  <c r="AV79"/>
  <c r="AV80"/>
  <c r="AV81"/>
  <c r="AV82"/>
  <c r="AV83"/>
  <c r="AV84"/>
  <c r="AV85"/>
  <c r="AV86"/>
  <c r="AV87"/>
  <c r="AV88"/>
  <c r="AV89"/>
  <c r="AV90"/>
  <c r="AV91"/>
  <c r="AV92"/>
  <c r="AV93"/>
  <c r="AV94"/>
  <c r="AV95"/>
  <c r="AV96"/>
  <c r="AV97"/>
  <c r="AV98"/>
  <c r="AV99"/>
  <c r="AV100"/>
  <c r="AV101"/>
  <c r="AV102"/>
  <c r="AV103"/>
  <c r="AV104"/>
  <c r="AV105"/>
  <c r="AV106"/>
  <c r="AV107"/>
  <c r="AV108"/>
  <c r="AV109"/>
  <c r="AV110"/>
  <c r="AV111"/>
  <c r="AV112"/>
  <c r="AV113"/>
  <c r="AV114"/>
  <c r="AV115"/>
  <c r="AV116"/>
  <c r="AV117"/>
  <c r="AV118"/>
  <c r="AV119"/>
  <c r="AV120"/>
  <c r="AV121"/>
  <c r="AV122"/>
  <c r="AV123"/>
  <c r="AV124"/>
  <c r="AV125"/>
  <c r="AV126"/>
  <c r="AV127"/>
  <c r="AV128"/>
  <c r="AV129"/>
  <c r="AV130"/>
  <c r="AV131"/>
  <c r="AV132"/>
  <c r="AV133"/>
  <c r="AV134"/>
  <c r="AV135"/>
  <c r="AV136"/>
  <c r="AV137"/>
  <c r="AV138"/>
  <c r="AV139"/>
  <c r="AV140"/>
  <c r="AV141"/>
  <c r="AV142"/>
  <c r="AV143"/>
  <c r="AV144"/>
  <c r="AV145"/>
  <c r="AV146"/>
  <c r="AV147"/>
  <c r="AV148"/>
  <c r="AV149"/>
  <c r="AV150"/>
  <c r="AV151"/>
  <c r="AV152"/>
  <c r="AV153"/>
  <c r="AV154"/>
  <c r="AV155"/>
  <c r="AV156"/>
  <c r="AV157"/>
  <c r="AV158"/>
  <c r="AV159"/>
  <c r="AV160"/>
  <c r="AV161"/>
  <c r="AV162"/>
  <c r="AV163"/>
  <c r="AV164"/>
  <c r="AV165"/>
  <c r="AV166"/>
  <c r="AV167"/>
  <c r="AV168"/>
  <c r="AV169"/>
  <c r="AV170"/>
  <c r="AV171"/>
  <c r="AV172"/>
  <c r="AV173"/>
  <c r="AV174"/>
  <c r="AV175"/>
  <c r="AV176"/>
  <c r="AV177"/>
  <c r="AV178"/>
  <c r="AV179"/>
  <c r="AV180"/>
  <c r="AV181"/>
  <c r="AV182"/>
  <c r="AV183"/>
  <c r="AV184"/>
  <c r="AV185"/>
  <c r="AV186"/>
  <c r="AV187"/>
  <c r="AV188"/>
  <c r="AV189"/>
  <c r="AV190"/>
  <c r="AV191"/>
  <c r="AV192"/>
  <c r="AV193"/>
  <c r="AV194"/>
  <c r="AV195"/>
  <c r="AV196"/>
  <c r="AV197"/>
  <c r="AV198"/>
  <c r="AV199"/>
  <c r="AV200"/>
  <c r="AV201"/>
  <c r="AV202"/>
  <c r="AV203"/>
  <c r="AV204"/>
  <c r="AV208"/>
  <c r="AV210"/>
  <c r="AV212"/>
  <c r="AV213"/>
  <c r="AV214"/>
  <c r="AV216"/>
  <c r="AV217"/>
  <c r="AV218"/>
  <c r="AV219"/>
  <c r="AV220"/>
  <c r="AV221"/>
  <c r="AV222"/>
  <c r="AV223"/>
  <c r="AV224"/>
  <c r="AV225"/>
  <c r="AV227"/>
  <c r="AV235"/>
  <c r="AU8"/>
  <c r="AU9"/>
  <c r="AU10"/>
  <c r="AU11"/>
  <c r="AU12"/>
  <c r="AU13"/>
  <c r="AU14"/>
  <c r="AU15"/>
  <c r="AU16"/>
  <c r="AU17"/>
  <c r="AU18"/>
  <c r="AU19"/>
  <c r="AU20"/>
  <c r="AU21"/>
  <c r="AU22"/>
  <c r="AU23"/>
  <c r="AU24"/>
  <c r="AU25"/>
  <c r="AU26"/>
  <c r="AU27"/>
  <c r="AU28"/>
  <c r="AU29"/>
  <c r="AU30"/>
  <c r="AU31"/>
  <c r="AU32"/>
  <c r="AU33"/>
  <c r="AU34"/>
  <c r="AU35"/>
  <c r="AU36"/>
  <c r="AU37"/>
  <c r="AU38"/>
  <c r="AU39"/>
  <c r="AU40"/>
  <c r="AU41"/>
  <c r="AU42"/>
  <c r="AU43"/>
  <c r="AU44"/>
  <c r="AU45"/>
  <c r="AU46"/>
  <c r="AU47"/>
  <c r="AU48"/>
  <c r="AU49"/>
  <c r="AU50"/>
  <c r="AU51"/>
  <c r="AU52"/>
  <c r="AU53"/>
  <c r="AU54"/>
  <c r="AU55"/>
  <c r="AU56"/>
  <c r="AU57"/>
  <c r="AU58"/>
  <c r="AU59"/>
  <c r="AU60"/>
  <c r="AU61"/>
  <c r="AU62"/>
  <c r="AU63"/>
  <c r="AU64"/>
  <c r="AU65"/>
  <c r="AU66"/>
  <c r="AU67"/>
  <c r="AU68"/>
  <c r="AU69"/>
  <c r="AU70"/>
  <c r="AU71"/>
  <c r="AU72"/>
  <c r="AU73"/>
  <c r="AU74"/>
  <c r="AU75"/>
  <c r="AU76"/>
  <c r="AU77"/>
  <c r="AU78"/>
  <c r="AU79"/>
  <c r="AU80"/>
  <c r="AU81"/>
  <c r="AU82"/>
  <c r="AU83"/>
  <c r="AU84"/>
  <c r="AU85"/>
  <c r="AU86"/>
  <c r="AU87"/>
  <c r="AU88"/>
  <c r="AU89"/>
  <c r="AU90"/>
  <c r="AU91"/>
  <c r="AU92"/>
  <c r="AU93"/>
  <c r="AU94"/>
  <c r="AU95"/>
  <c r="AU96"/>
  <c r="AU97"/>
  <c r="AU98"/>
  <c r="AU99"/>
  <c r="AU100"/>
  <c r="AU101"/>
  <c r="AU102"/>
  <c r="AU103"/>
  <c r="AU104"/>
  <c r="AU105"/>
  <c r="AU106"/>
  <c r="AU107"/>
  <c r="AU108"/>
  <c r="AU109"/>
  <c r="AU110"/>
  <c r="AU111"/>
  <c r="AU112"/>
  <c r="AU113"/>
  <c r="AU114"/>
  <c r="AU115"/>
  <c r="AU116"/>
  <c r="AU117"/>
  <c r="AU118"/>
  <c r="AU119"/>
  <c r="AU120"/>
  <c r="AU121"/>
  <c r="AU122"/>
  <c r="AU123"/>
  <c r="AU124"/>
  <c r="AU125"/>
  <c r="AU126"/>
  <c r="AU127"/>
  <c r="AU128"/>
  <c r="AU129"/>
  <c r="AU130"/>
  <c r="AU131"/>
  <c r="AU132"/>
  <c r="AU133"/>
  <c r="AU134"/>
  <c r="AU135"/>
  <c r="AU136"/>
  <c r="AU137"/>
  <c r="AU138"/>
  <c r="AU139"/>
  <c r="AU140"/>
  <c r="AU141"/>
  <c r="AU142"/>
  <c r="AU143"/>
  <c r="AU144"/>
  <c r="AU145"/>
  <c r="AU146"/>
  <c r="AU147"/>
  <c r="AU148"/>
  <c r="AU149"/>
  <c r="AU150"/>
  <c r="AU151"/>
  <c r="AU152"/>
  <c r="AU153"/>
  <c r="AU154"/>
  <c r="AU155"/>
  <c r="AU156"/>
  <c r="AU157"/>
  <c r="AU158"/>
  <c r="AU159"/>
  <c r="AU160"/>
  <c r="AU161"/>
  <c r="AU162"/>
  <c r="AU163"/>
  <c r="AU164"/>
  <c r="AU165"/>
  <c r="AU166"/>
  <c r="AU167"/>
  <c r="AU168"/>
  <c r="AU169"/>
  <c r="AU170"/>
  <c r="AU171"/>
  <c r="AU172"/>
  <c r="AU173"/>
  <c r="AU174"/>
  <c r="AU175"/>
  <c r="AU176"/>
  <c r="AU177"/>
  <c r="AU178"/>
  <c r="AU179"/>
  <c r="AU180"/>
  <c r="AU181"/>
  <c r="AU182"/>
  <c r="AU183"/>
  <c r="AU184"/>
  <c r="AU185"/>
  <c r="AU186"/>
  <c r="AU187"/>
  <c r="AU188"/>
  <c r="AU189"/>
  <c r="AU190"/>
  <c r="AU191"/>
  <c r="AU192"/>
  <c r="AU193"/>
  <c r="AU194"/>
  <c r="AU195"/>
  <c r="AU196"/>
  <c r="AU197"/>
  <c r="AU198"/>
  <c r="AU199"/>
  <c r="AU200"/>
  <c r="AU201"/>
  <c r="AU202"/>
  <c r="AU203"/>
  <c r="AU204"/>
  <c r="AU205"/>
  <c r="AU206"/>
  <c r="AU207"/>
  <c r="AU208"/>
  <c r="AU209"/>
  <c r="AU210"/>
  <c r="AU211"/>
  <c r="AU212"/>
  <c r="AU213"/>
  <c r="AU214"/>
  <c r="AU215"/>
  <c r="AU216"/>
  <c r="AU217"/>
  <c r="AU218"/>
  <c r="AU219"/>
  <c r="AU220"/>
  <c r="AU221"/>
  <c r="AU222"/>
  <c r="AU223"/>
  <c r="AU224"/>
  <c r="AU225"/>
  <c r="AU226"/>
  <c r="AU227"/>
  <c r="AU228"/>
  <c r="AU229"/>
  <c r="AU230"/>
  <c r="AU231"/>
  <c r="AU232"/>
  <c r="AU235"/>
  <c r="AT235"/>
  <c r="AS8"/>
  <c r="AS9"/>
  <c r="AS10"/>
  <c r="AS11"/>
  <c r="AS12"/>
  <c r="AS13"/>
  <c r="AS14"/>
  <c r="AS15"/>
  <c r="AS16"/>
  <c r="AS17"/>
  <c r="AS18"/>
  <c r="AS19"/>
  <c r="AS20"/>
  <c r="AS21"/>
  <c r="AS22"/>
  <c r="AS23"/>
  <c r="AS24"/>
  <c r="AS25"/>
  <c r="AS26"/>
  <c r="AS27"/>
  <c r="AS28"/>
  <c r="AS29"/>
  <c r="AS30"/>
  <c r="AS31"/>
  <c r="AS32"/>
  <c r="AS33"/>
  <c r="AS34"/>
  <c r="AS35"/>
  <c r="AS36"/>
  <c r="AS37"/>
  <c r="AS38"/>
  <c r="AS39"/>
  <c r="AS40"/>
  <c r="AS41"/>
  <c r="AS42"/>
  <c r="AS43"/>
  <c r="AS44"/>
  <c r="AS45"/>
  <c r="AS46"/>
  <c r="AS47"/>
  <c r="AS48"/>
  <c r="AS49"/>
  <c r="AS50"/>
  <c r="AS51"/>
  <c r="AS52"/>
  <c r="AS53"/>
  <c r="AS54"/>
  <c r="AS55"/>
  <c r="AS56"/>
  <c r="AS57"/>
  <c r="AS58"/>
  <c r="AS59"/>
  <c r="AS60"/>
  <c r="AS61"/>
  <c r="AS62"/>
  <c r="AS63"/>
  <c r="AS64"/>
  <c r="AS65"/>
  <c r="AS66"/>
  <c r="AS67"/>
  <c r="AS68"/>
  <c r="AS69"/>
  <c r="AS70"/>
  <c r="AS71"/>
  <c r="AS72"/>
  <c r="AS73"/>
  <c r="AS74"/>
  <c r="AS75"/>
  <c r="AS76"/>
  <c r="AS77"/>
  <c r="AS78"/>
  <c r="AS79"/>
  <c r="AS80"/>
  <c r="AS81"/>
  <c r="AS82"/>
  <c r="AS83"/>
  <c r="AS84"/>
  <c r="AS85"/>
  <c r="AS86"/>
  <c r="AS87"/>
  <c r="AS88"/>
  <c r="AS89"/>
  <c r="AS90"/>
  <c r="AS91"/>
  <c r="AS92"/>
  <c r="AS93"/>
  <c r="AS94"/>
  <c r="AS95"/>
  <c r="AS96"/>
  <c r="AS97"/>
  <c r="AS98"/>
  <c r="AS99"/>
  <c r="AS100"/>
  <c r="AS101"/>
  <c r="AS102"/>
  <c r="AS103"/>
  <c r="AS104"/>
  <c r="AS105"/>
  <c r="AS106"/>
  <c r="AS107"/>
  <c r="AS108"/>
  <c r="AS109"/>
  <c r="AS110"/>
  <c r="AS111"/>
  <c r="AS112"/>
  <c r="AS113"/>
  <c r="AS114"/>
  <c r="AS115"/>
  <c r="AS116"/>
  <c r="AS117"/>
  <c r="AS118"/>
  <c r="AS119"/>
  <c r="AS120"/>
  <c r="AS121"/>
  <c r="AS122"/>
  <c r="AS123"/>
  <c r="AS124"/>
  <c r="AS125"/>
  <c r="AS126"/>
  <c r="AS127"/>
  <c r="AS128"/>
  <c r="AS129"/>
  <c r="AS130"/>
  <c r="AS131"/>
  <c r="AS132"/>
  <c r="AS133"/>
  <c r="AS134"/>
  <c r="AS135"/>
  <c r="AS136"/>
  <c r="AS137"/>
  <c r="AS138"/>
  <c r="AS139"/>
  <c r="AS140"/>
  <c r="AS141"/>
  <c r="AS142"/>
  <c r="AS143"/>
  <c r="AS144"/>
  <c r="AS145"/>
  <c r="AS146"/>
  <c r="AS147"/>
  <c r="AS148"/>
  <c r="AS149"/>
  <c r="AS150"/>
  <c r="AS151"/>
  <c r="AS152"/>
  <c r="AS153"/>
  <c r="AS154"/>
  <c r="AS155"/>
  <c r="AS156"/>
  <c r="AS157"/>
  <c r="AS158"/>
  <c r="AS159"/>
  <c r="AS160"/>
  <c r="AS161"/>
  <c r="AS162"/>
  <c r="AS163"/>
  <c r="AS164"/>
  <c r="AS165"/>
  <c r="AS166"/>
  <c r="AS167"/>
  <c r="AS168"/>
  <c r="AS169"/>
  <c r="AS170"/>
  <c r="AS171"/>
  <c r="AS172"/>
  <c r="AS173"/>
  <c r="AS174"/>
  <c r="AS175"/>
  <c r="AS176"/>
  <c r="AS177"/>
  <c r="AS178"/>
  <c r="AS179"/>
  <c r="AS180"/>
  <c r="AS181"/>
  <c r="AS182"/>
  <c r="AS183"/>
  <c r="AS184"/>
  <c r="AS185"/>
  <c r="AS186"/>
  <c r="AS187"/>
  <c r="AS188"/>
  <c r="AS189"/>
  <c r="AS190"/>
  <c r="AS191"/>
  <c r="AS192"/>
  <c r="AS193"/>
  <c r="AS194"/>
  <c r="AS195"/>
  <c r="AS196"/>
  <c r="AS197"/>
  <c r="AS198"/>
  <c r="AS199"/>
  <c r="AS200"/>
  <c r="AS201"/>
  <c r="AS202"/>
  <c r="AS203"/>
  <c r="AS204"/>
  <c r="AS205"/>
  <c r="AS206"/>
  <c r="AS207"/>
  <c r="AS208"/>
  <c r="AS209"/>
  <c r="AS210"/>
  <c r="AS211"/>
  <c r="AS212"/>
  <c r="AS213"/>
  <c r="AS214"/>
  <c r="AS215"/>
  <c r="AS216"/>
  <c r="AS217"/>
  <c r="AS218"/>
  <c r="AS219"/>
  <c r="AS220"/>
  <c r="AS221"/>
  <c r="AS222"/>
  <c r="AS223"/>
  <c r="AS224"/>
  <c r="AS225"/>
  <c r="AS226"/>
  <c r="AS227"/>
  <c r="AS228"/>
  <c r="AS229"/>
  <c r="AS230"/>
  <c r="AS231"/>
  <c r="AS232"/>
  <c r="AS235"/>
  <c r="AR8"/>
  <c r="AR9"/>
  <c r="AR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71"/>
  <c r="AR72"/>
  <c r="AR73"/>
  <c r="AR74"/>
  <c r="AR75"/>
  <c r="AR76"/>
  <c r="AR77"/>
  <c r="AR78"/>
  <c r="AR79"/>
  <c r="AR80"/>
  <c r="AR81"/>
  <c r="AR82"/>
  <c r="AR83"/>
  <c r="AR84"/>
  <c r="AR85"/>
  <c r="AR86"/>
  <c r="AR87"/>
  <c r="AR88"/>
  <c r="AR89"/>
  <c r="AR90"/>
  <c r="AR91"/>
  <c r="AR92"/>
  <c r="AR93"/>
  <c r="AR94"/>
  <c r="AR95"/>
  <c r="AR96"/>
  <c r="AR97"/>
  <c r="AR98"/>
  <c r="AR99"/>
  <c r="AR100"/>
  <c r="AR101"/>
  <c r="AR102"/>
  <c r="AR103"/>
  <c r="AR104"/>
  <c r="AR105"/>
  <c r="AR106"/>
  <c r="AR107"/>
  <c r="AR108"/>
  <c r="AR109"/>
  <c r="AR110"/>
  <c r="AR111"/>
  <c r="AR112"/>
  <c r="AR113"/>
  <c r="AR114"/>
  <c r="AR115"/>
  <c r="AR116"/>
  <c r="AR117"/>
  <c r="AR118"/>
  <c r="AR119"/>
  <c r="AR120"/>
  <c r="AR121"/>
  <c r="AR122"/>
  <c r="AR123"/>
  <c r="AR124"/>
  <c r="AR125"/>
  <c r="AR126"/>
  <c r="AR127"/>
  <c r="AR128"/>
  <c r="AR129"/>
  <c r="AR130"/>
  <c r="AR131"/>
  <c r="AR132"/>
  <c r="AR133"/>
  <c r="AR134"/>
  <c r="AR135"/>
  <c r="AR136"/>
  <c r="AR137"/>
  <c r="AR138"/>
  <c r="AR139"/>
  <c r="AR140"/>
  <c r="AR141"/>
  <c r="AR142"/>
  <c r="AR143"/>
  <c r="AR144"/>
  <c r="AR145"/>
  <c r="AR146"/>
  <c r="AR147"/>
  <c r="AR148"/>
  <c r="AR149"/>
  <c r="AR150"/>
  <c r="AR151"/>
  <c r="AR152"/>
  <c r="AR153"/>
  <c r="AR154"/>
  <c r="AR155"/>
  <c r="AR156"/>
  <c r="AR157"/>
  <c r="AR158"/>
  <c r="AR159"/>
  <c r="AR160"/>
  <c r="AR161"/>
  <c r="AR162"/>
  <c r="AR163"/>
  <c r="AR164"/>
  <c r="AR165"/>
  <c r="AR166"/>
  <c r="AR167"/>
  <c r="AR168"/>
  <c r="AR169"/>
  <c r="AR170"/>
  <c r="AR171"/>
  <c r="AR172"/>
  <c r="AR173"/>
  <c r="AR174"/>
  <c r="AR175"/>
  <c r="AR176"/>
  <c r="AR177"/>
  <c r="AR178"/>
  <c r="AR179"/>
  <c r="AR180"/>
  <c r="AR181"/>
  <c r="AR182"/>
  <c r="AR183"/>
  <c r="AR184"/>
  <c r="AR185"/>
  <c r="AR186"/>
  <c r="AR187"/>
  <c r="AR188"/>
  <c r="AR189"/>
  <c r="AR190"/>
  <c r="AR191"/>
  <c r="AR192"/>
  <c r="AR193"/>
  <c r="AR194"/>
  <c r="AR195"/>
  <c r="AR196"/>
  <c r="AR197"/>
  <c r="AR198"/>
  <c r="AR199"/>
  <c r="AR200"/>
  <c r="AR201"/>
  <c r="AR202"/>
  <c r="AR203"/>
  <c r="AR204"/>
  <c r="AR205"/>
  <c r="AR206"/>
  <c r="AR207"/>
  <c r="AR208"/>
  <c r="AR209"/>
  <c r="AR210"/>
  <c r="AR211"/>
  <c r="AR212"/>
  <c r="AR213"/>
  <c r="AR214"/>
  <c r="AR215"/>
  <c r="AR216"/>
  <c r="AR217"/>
  <c r="AR218"/>
  <c r="AR219"/>
  <c r="AR220"/>
  <c r="AR221"/>
  <c r="AR222"/>
  <c r="AR223"/>
  <c r="AR224"/>
  <c r="AR225"/>
  <c r="AR226"/>
  <c r="AR227"/>
  <c r="AR228"/>
  <c r="AR229"/>
  <c r="AR230"/>
  <c r="AR231"/>
  <c r="AR232"/>
  <c r="AR235"/>
  <c r="AQ8"/>
  <c r="AQ9"/>
  <c r="AQ10"/>
  <c r="AQ11"/>
  <c r="AQ12"/>
  <c r="AQ13"/>
  <c r="AQ14"/>
  <c r="AQ15"/>
  <c r="AQ16"/>
  <c r="AQ17"/>
  <c r="AQ18"/>
  <c r="AQ19"/>
  <c r="AQ20"/>
  <c r="AQ21"/>
  <c r="AQ22"/>
  <c r="AQ23"/>
  <c r="AQ24"/>
  <c r="AQ25"/>
  <c r="AQ26"/>
  <c r="AQ27"/>
  <c r="AQ28"/>
  <c r="AQ29"/>
  <c r="AQ30"/>
  <c r="AQ31"/>
  <c r="AQ32"/>
  <c r="AQ33"/>
  <c r="AQ34"/>
  <c r="AQ35"/>
  <c r="AQ36"/>
  <c r="AQ37"/>
  <c r="AQ38"/>
  <c r="AQ39"/>
  <c r="AQ40"/>
  <c r="AQ41"/>
  <c r="AQ42"/>
  <c r="AQ43"/>
  <c r="AQ44"/>
  <c r="AQ45"/>
  <c r="AQ46"/>
  <c r="AQ47"/>
  <c r="AQ48"/>
  <c r="AQ49"/>
  <c r="AQ50"/>
  <c r="AQ51"/>
  <c r="AQ52"/>
  <c r="AQ53"/>
  <c r="AQ54"/>
  <c r="AQ55"/>
  <c r="AQ56"/>
  <c r="AQ57"/>
  <c r="AQ58"/>
  <c r="AQ59"/>
  <c r="AQ60"/>
  <c r="AQ61"/>
  <c r="AQ62"/>
  <c r="AQ63"/>
  <c r="AQ64"/>
  <c r="AQ65"/>
  <c r="AQ66"/>
  <c r="AQ67"/>
  <c r="AQ68"/>
  <c r="AQ69"/>
  <c r="AQ70"/>
  <c r="AQ71"/>
  <c r="AQ72"/>
  <c r="AQ73"/>
  <c r="AQ74"/>
  <c r="AQ75"/>
  <c r="AQ76"/>
  <c r="AQ77"/>
  <c r="AQ78"/>
  <c r="AQ79"/>
  <c r="AQ80"/>
  <c r="AQ81"/>
  <c r="AQ82"/>
  <c r="AQ83"/>
  <c r="AQ84"/>
  <c r="AQ85"/>
  <c r="AQ86"/>
  <c r="AQ87"/>
  <c r="AQ88"/>
  <c r="AQ89"/>
  <c r="AQ90"/>
  <c r="AQ91"/>
  <c r="AQ92"/>
  <c r="AQ93"/>
  <c r="AQ94"/>
  <c r="AQ95"/>
  <c r="AQ96"/>
  <c r="AQ97"/>
  <c r="AQ98"/>
  <c r="AQ99"/>
  <c r="AQ100"/>
  <c r="AQ101"/>
  <c r="AQ102"/>
  <c r="AQ103"/>
  <c r="AQ104"/>
  <c r="AQ105"/>
  <c r="AQ106"/>
  <c r="AQ107"/>
  <c r="AQ108"/>
  <c r="AQ109"/>
  <c r="AQ110"/>
  <c r="AQ111"/>
  <c r="AQ112"/>
  <c r="AQ113"/>
  <c r="AQ114"/>
  <c r="AQ115"/>
  <c r="AQ116"/>
  <c r="AQ117"/>
  <c r="AQ118"/>
  <c r="AQ119"/>
  <c r="AQ120"/>
  <c r="AQ121"/>
  <c r="AQ122"/>
  <c r="AQ123"/>
  <c r="AQ124"/>
  <c r="AQ125"/>
  <c r="AQ126"/>
  <c r="AQ127"/>
  <c r="AQ128"/>
  <c r="AQ129"/>
  <c r="AQ130"/>
  <c r="AQ131"/>
  <c r="AQ132"/>
  <c r="AQ133"/>
  <c r="AQ134"/>
  <c r="AQ135"/>
  <c r="AQ136"/>
  <c r="AQ137"/>
  <c r="AQ138"/>
  <c r="AQ139"/>
  <c r="AQ140"/>
  <c r="AQ141"/>
  <c r="AQ142"/>
  <c r="AQ143"/>
  <c r="AQ144"/>
  <c r="AQ145"/>
  <c r="AQ146"/>
  <c r="AQ147"/>
  <c r="AQ148"/>
  <c r="AQ149"/>
  <c r="AQ150"/>
  <c r="AQ151"/>
  <c r="AQ152"/>
  <c r="AQ153"/>
  <c r="AQ154"/>
  <c r="AQ155"/>
  <c r="AQ156"/>
  <c r="AQ157"/>
  <c r="AQ158"/>
  <c r="AQ159"/>
  <c r="AQ160"/>
  <c r="AQ161"/>
  <c r="AQ162"/>
  <c r="AQ163"/>
  <c r="AQ164"/>
  <c r="AQ165"/>
  <c r="AQ166"/>
  <c r="AQ167"/>
  <c r="AQ168"/>
  <c r="AQ169"/>
  <c r="AQ170"/>
  <c r="AQ171"/>
  <c r="AQ172"/>
  <c r="AQ173"/>
  <c r="AQ174"/>
  <c r="AQ175"/>
  <c r="AQ176"/>
  <c r="AQ177"/>
  <c r="AQ178"/>
  <c r="AQ179"/>
  <c r="AQ180"/>
  <c r="AQ181"/>
  <c r="AQ182"/>
  <c r="AQ183"/>
  <c r="AQ184"/>
  <c r="AQ185"/>
  <c r="AQ186"/>
  <c r="AQ187"/>
  <c r="AQ188"/>
  <c r="AQ189"/>
  <c r="AQ190"/>
  <c r="AQ191"/>
  <c r="AQ192"/>
  <c r="AQ193"/>
  <c r="AQ194"/>
  <c r="AQ195"/>
  <c r="AQ196"/>
  <c r="AQ197"/>
  <c r="AQ198"/>
  <c r="AQ199"/>
  <c r="AQ200"/>
  <c r="AQ201"/>
  <c r="AQ202"/>
  <c r="AQ203"/>
  <c r="AQ204"/>
  <c r="AQ205"/>
  <c r="AQ206"/>
  <c r="AQ207"/>
  <c r="AQ208"/>
  <c r="AQ209"/>
  <c r="AQ210"/>
  <c r="AQ211"/>
  <c r="AQ212"/>
  <c r="AQ213"/>
  <c r="AQ214"/>
  <c r="AQ215"/>
  <c r="AQ216"/>
  <c r="AQ217"/>
  <c r="AQ218"/>
  <c r="AQ219"/>
  <c r="AQ220"/>
  <c r="AQ221"/>
  <c r="AQ222"/>
  <c r="AQ223"/>
  <c r="AQ224"/>
  <c r="AQ225"/>
  <c r="AQ226"/>
  <c r="AQ227"/>
  <c r="AQ228"/>
  <c r="AQ229"/>
  <c r="AQ230"/>
  <c r="AQ231"/>
  <c r="AQ232"/>
  <c r="AQ235"/>
  <c r="AP8"/>
  <c r="AP9"/>
  <c r="AP10"/>
  <c r="AP11"/>
  <c r="AP12"/>
  <c r="AP13"/>
  <c r="AP14"/>
  <c r="AP15"/>
  <c r="AP16"/>
  <c r="AP17"/>
  <c r="AP18"/>
  <c r="AP19"/>
  <c r="AP20"/>
  <c r="AP21"/>
  <c r="AP22"/>
  <c r="AP23"/>
  <c r="AP24"/>
  <c r="AP25"/>
  <c r="AP26"/>
  <c r="AP27"/>
  <c r="AP28"/>
  <c r="AP29"/>
  <c r="AP30"/>
  <c r="AP31"/>
  <c r="AP32"/>
  <c r="AP33"/>
  <c r="AP34"/>
  <c r="AP35"/>
  <c r="AP36"/>
  <c r="AP37"/>
  <c r="AP38"/>
  <c r="AP39"/>
  <c r="AP40"/>
  <c r="AP41"/>
  <c r="AP42"/>
  <c r="AP43"/>
  <c r="AP44"/>
  <c r="AP45"/>
  <c r="AP46"/>
  <c r="AP47"/>
  <c r="AP48"/>
  <c r="AP49"/>
  <c r="AP50"/>
  <c r="AP51"/>
  <c r="AP52"/>
  <c r="AP53"/>
  <c r="AP54"/>
  <c r="AP55"/>
  <c r="AP56"/>
  <c r="AP57"/>
  <c r="AP58"/>
  <c r="AP59"/>
  <c r="AP60"/>
  <c r="AP61"/>
  <c r="AP62"/>
  <c r="AP63"/>
  <c r="AP64"/>
  <c r="AP65"/>
  <c r="AP66"/>
  <c r="AP67"/>
  <c r="AP68"/>
  <c r="AP69"/>
  <c r="AP70"/>
  <c r="AP71"/>
  <c r="AP72"/>
  <c r="AP73"/>
  <c r="AP74"/>
  <c r="AP75"/>
  <c r="AP76"/>
  <c r="AP77"/>
  <c r="AP78"/>
  <c r="AP79"/>
  <c r="AP80"/>
  <c r="AP81"/>
  <c r="AP82"/>
  <c r="AP83"/>
  <c r="AP84"/>
  <c r="AP85"/>
  <c r="AP86"/>
  <c r="AP87"/>
  <c r="AP88"/>
  <c r="AP89"/>
  <c r="AP90"/>
  <c r="AP91"/>
  <c r="AP92"/>
  <c r="AP93"/>
  <c r="AP94"/>
  <c r="AP95"/>
  <c r="AP96"/>
  <c r="AP97"/>
  <c r="AP98"/>
  <c r="AP99"/>
  <c r="AP100"/>
  <c r="AP101"/>
  <c r="AP102"/>
  <c r="AP103"/>
  <c r="AP104"/>
  <c r="AP105"/>
  <c r="AP106"/>
  <c r="AP107"/>
  <c r="AP108"/>
  <c r="AP109"/>
  <c r="AP110"/>
  <c r="AP111"/>
  <c r="AP112"/>
  <c r="AP113"/>
  <c r="AP114"/>
  <c r="AP115"/>
  <c r="AP116"/>
  <c r="AP117"/>
  <c r="AP118"/>
  <c r="AP119"/>
  <c r="AP120"/>
  <c r="AP121"/>
  <c r="AP122"/>
  <c r="AP123"/>
  <c r="AP124"/>
  <c r="AP125"/>
  <c r="AP126"/>
  <c r="AP127"/>
  <c r="AP128"/>
  <c r="AP129"/>
  <c r="AP130"/>
  <c r="AP131"/>
  <c r="AP132"/>
  <c r="AP133"/>
  <c r="AP134"/>
  <c r="AP135"/>
  <c r="AP136"/>
  <c r="AP137"/>
  <c r="AP138"/>
  <c r="AP139"/>
  <c r="AP140"/>
  <c r="AP141"/>
  <c r="AP142"/>
  <c r="AP143"/>
  <c r="AP144"/>
  <c r="AP145"/>
  <c r="AP146"/>
  <c r="AP147"/>
  <c r="AP148"/>
  <c r="AP149"/>
  <c r="AP150"/>
  <c r="AP151"/>
  <c r="AP152"/>
  <c r="AP153"/>
  <c r="AP154"/>
  <c r="AP155"/>
  <c r="AP156"/>
  <c r="AP157"/>
  <c r="AP158"/>
  <c r="AP159"/>
  <c r="AP160"/>
  <c r="AP161"/>
  <c r="AP162"/>
  <c r="AP163"/>
  <c r="AP164"/>
  <c r="AP165"/>
  <c r="AP166"/>
  <c r="AP167"/>
  <c r="AP168"/>
  <c r="AP169"/>
  <c r="AP170"/>
  <c r="AP171"/>
  <c r="AP172"/>
  <c r="AP173"/>
  <c r="AP174"/>
  <c r="AP175"/>
  <c r="AP176"/>
  <c r="AP177"/>
  <c r="AP178"/>
  <c r="AP179"/>
  <c r="AP180"/>
  <c r="AP181"/>
  <c r="AP182"/>
  <c r="AP183"/>
  <c r="AP184"/>
  <c r="AP185"/>
  <c r="AP186"/>
  <c r="AP187"/>
  <c r="AP188"/>
  <c r="AP189"/>
  <c r="AP190"/>
  <c r="AP191"/>
  <c r="AP192"/>
  <c r="AP193"/>
  <c r="AP194"/>
  <c r="AP195"/>
  <c r="AP196"/>
  <c r="AP197"/>
  <c r="AP198"/>
  <c r="AP199"/>
  <c r="AP200"/>
  <c r="AP201"/>
  <c r="AP202"/>
  <c r="AP203"/>
  <c r="AP204"/>
  <c r="AP205"/>
  <c r="AP206"/>
  <c r="AP207"/>
  <c r="AP208"/>
  <c r="AP209"/>
  <c r="AP210"/>
  <c r="AP211"/>
  <c r="AP212"/>
  <c r="AP213"/>
  <c r="AP214"/>
  <c r="AP215"/>
  <c r="AP216"/>
  <c r="AP217"/>
  <c r="AP218"/>
  <c r="AP219"/>
  <c r="AP220"/>
  <c r="AP221"/>
  <c r="AP222"/>
  <c r="AP223"/>
  <c r="AP224"/>
  <c r="AP225"/>
  <c r="AP226"/>
  <c r="AP227"/>
  <c r="AP228"/>
  <c r="AP229"/>
  <c r="AP230"/>
  <c r="AP231"/>
  <c r="AP232"/>
  <c r="AP235"/>
  <c r="AO8"/>
  <c r="AO9"/>
  <c r="AO10"/>
  <c r="AO11"/>
  <c r="AO12"/>
  <c r="AO13"/>
  <c r="AO14"/>
  <c r="AO15"/>
  <c r="AO16"/>
  <c r="AO17"/>
  <c r="AO18"/>
  <c r="AO19"/>
  <c r="AO20"/>
  <c r="AO21"/>
  <c r="AO22"/>
  <c r="AO23"/>
  <c r="AO24"/>
  <c r="AO25"/>
  <c r="AO26"/>
  <c r="AO27"/>
  <c r="AO28"/>
  <c r="AO29"/>
  <c r="AO30"/>
  <c r="AO31"/>
  <c r="AO32"/>
  <c r="AO33"/>
  <c r="AO34"/>
  <c r="AO35"/>
  <c r="AO36"/>
  <c r="AO37"/>
  <c r="AO38"/>
  <c r="AO39"/>
  <c r="AO40"/>
  <c r="AO41"/>
  <c r="AO42"/>
  <c r="AO43"/>
  <c r="AO44"/>
  <c r="AO45"/>
  <c r="AO46"/>
  <c r="AO47"/>
  <c r="AO48"/>
  <c r="AO49"/>
  <c r="AO50"/>
  <c r="AO51"/>
  <c r="AO52"/>
  <c r="AO53"/>
  <c r="AO54"/>
  <c r="AO55"/>
  <c r="AO56"/>
  <c r="AO57"/>
  <c r="AO58"/>
  <c r="AO59"/>
  <c r="AO60"/>
  <c r="AO61"/>
  <c r="AO62"/>
  <c r="AO63"/>
  <c r="AO64"/>
  <c r="AO65"/>
  <c r="AO66"/>
  <c r="AO67"/>
  <c r="AO68"/>
  <c r="AO69"/>
  <c r="AO70"/>
  <c r="AO71"/>
  <c r="AO72"/>
  <c r="AO73"/>
  <c r="AO74"/>
  <c r="AO75"/>
  <c r="AO76"/>
  <c r="AO77"/>
  <c r="AO78"/>
  <c r="AO79"/>
  <c r="AO80"/>
  <c r="AO81"/>
  <c r="AO82"/>
  <c r="AO83"/>
  <c r="AO84"/>
  <c r="AO85"/>
  <c r="AO86"/>
  <c r="AO87"/>
  <c r="AO88"/>
  <c r="AO89"/>
  <c r="AO90"/>
  <c r="AO91"/>
  <c r="AO92"/>
  <c r="AO93"/>
  <c r="AO94"/>
  <c r="AO95"/>
  <c r="AO96"/>
  <c r="AO97"/>
  <c r="AO98"/>
  <c r="AO99"/>
  <c r="AO100"/>
  <c r="AO101"/>
  <c r="AO102"/>
  <c r="AO103"/>
  <c r="AO104"/>
  <c r="AO105"/>
  <c r="AO106"/>
  <c r="AO107"/>
  <c r="AO108"/>
  <c r="AO109"/>
  <c r="AO110"/>
  <c r="AO111"/>
  <c r="AO112"/>
  <c r="AO113"/>
  <c r="AO114"/>
  <c r="AO115"/>
  <c r="AO116"/>
  <c r="AO117"/>
  <c r="AO118"/>
  <c r="AO119"/>
  <c r="AO120"/>
  <c r="AO121"/>
  <c r="AO122"/>
  <c r="AO123"/>
  <c r="AO124"/>
  <c r="AO125"/>
  <c r="AO126"/>
  <c r="AO127"/>
  <c r="AO128"/>
  <c r="AO129"/>
  <c r="AO130"/>
  <c r="AO131"/>
  <c r="AO132"/>
  <c r="AO133"/>
  <c r="AO134"/>
  <c r="AO135"/>
  <c r="AO136"/>
  <c r="AO137"/>
  <c r="AO138"/>
  <c r="AO139"/>
  <c r="AO140"/>
  <c r="AO141"/>
  <c r="AO142"/>
  <c r="AO143"/>
  <c r="AO144"/>
  <c r="AO145"/>
  <c r="AO146"/>
  <c r="AO147"/>
  <c r="AO148"/>
  <c r="AO149"/>
  <c r="AO150"/>
  <c r="AO151"/>
  <c r="AO152"/>
  <c r="AO153"/>
  <c r="AO154"/>
  <c r="AO155"/>
  <c r="AO156"/>
  <c r="AO157"/>
  <c r="AO158"/>
  <c r="AO159"/>
  <c r="AO160"/>
  <c r="AO161"/>
  <c r="AO162"/>
  <c r="AO163"/>
  <c r="AO164"/>
  <c r="AO165"/>
  <c r="AO166"/>
  <c r="AO167"/>
  <c r="AO168"/>
  <c r="AO169"/>
  <c r="AO170"/>
  <c r="AO171"/>
  <c r="AO172"/>
  <c r="AO173"/>
  <c r="AO174"/>
  <c r="AO175"/>
  <c r="AO176"/>
  <c r="AO177"/>
  <c r="AO178"/>
  <c r="AO179"/>
  <c r="AO180"/>
  <c r="AO181"/>
  <c r="AO182"/>
  <c r="AO183"/>
  <c r="AO184"/>
  <c r="AO185"/>
  <c r="AO186"/>
  <c r="AO187"/>
  <c r="AO188"/>
  <c r="AO189"/>
  <c r="AO190"/>
  <c r="AO191"/>
  <c r="AO192"/>
  <c r="AO193"/>
  <c r="AO194"/>
  <c r="AO195"/>
  <c r="AO196"/>
  <c r="AO197"/>
  <c r="AO198"/>
  <c r="AO199"/>
  <c r="AO200"/>
  <c r="AO201"/>
  <c r="AO202"/>
  <c r="AO203"/>
  <c r="AO204"/>
  <c r="AO205"/>
  <c r="AO206"/>
  <c r="AO207"/>
  <c r="AO208"/>
  <c r="AO209"/>
  <c r="AO210"/>
  <c r="AO211"/>
  <c r="AO212"/>
  <c r="AO213"/>
  <c r="AO214"/>
  <c r="AO215"/>
  <c r="AO216"/>
  <c r="AO217"/>
  <c r="AO218"/>
  <c r="AO219"/>
  <c r="AO220"/>
  <c r="AO221"/>
  <c r="AO222"/>
  <c r="AO223"/>
  <c r="AO224"/>
  <c r="AO225"/>
  <c r="AO226"/>
  <c r="AO227"/>
  <c r="AO228"/>
  <c r="AO229"/>
  <c r="AO230"/>
  <c r="AO231"/>
  <c r="AO232"/>
  <c r="AO235"/>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44"/>
  <c r="AN45"/>
  <c r="AN46"/>
  <c r="AN47"/>
  <c r="AN48"/>
  <c r="AN49"/>
  <c r="AN50"/>
  <c r="AN51"/>
  <c r="AN52"/>
  <c r="AN53"/>
  <c r="AN54"/>
  <c r="AN55"/>
  <c r="AN56"/>
  <c r="AN57"/>
  <c r="AN58"/>
  <c r="AN59"/>
  <c r="AN60"/>
  <c r="AN61"/>
  <c r="AN62"/>
  <c r="AN63"/>
  <c r="AN64"/>
  <c r="AN65"/>
  <c r="AN66"/>
  <c r="AN67"/>
  <c r="AN68"/>
  <c r="AN69"/>
  <c r="AN70"/>
  <c r="AN71"/>
  <c r="AN72"/>
  <c r="AN73"/>
  <c r="AN74"/>
  <c r="AN75"/>
  <c r="AN76"/>
  <c r="AN77"/>
  <c r="AN78"/>
  <c r="AN79"/>
  <c r="AN80"/>
  <c r="AN81"/>
  <c r="AN82"/>
  <c r="AN83"/>
  <c r="AN84"/>
  <c r="AN85"/>
  <c r="AN86"/>
  <c r="AN87"/>
  <c r="AN88"/>
  <c r="AN89"/>
  <c r="AN90"/>
  <c r="AN91"/>
  <c r="AN92"/>
  <c r="AN93"/>
  <c r="AN94"/>
  <c r="AN95"/>
  <c r="AN96"/>
  <c r="AN97"/>
  <c r="AN98"/>
  <c r="AN99"/>
  <c r="AN100"/>
  <c r="AN101"/>
  <c r="AN102"/>
  <c r="AN103"/>
  <c r="AN104"/>
  <c r="AN105"/>
  <c r="AN106"/>
  <c r="AN107"/>
  <c r="AN108"/>
  <c r="AN109"/>
  <c r="AN110"/>
  <c r="AN111"/>
  <c r="AN112"/>
  <c r="AN113"/>
  <c r="AN114"/>
  <c r="AN115"/>
  <c r="AN116"/>
  <c r="AN117"/>
  <c r="AN118"/>
  <c r="AN119"/>
  <c r="AN120"/>
  <c r="AN121"/>
  <c r="AN122"/>
  <c r="AN123"/>
  <c r="AN124"/>
  <c r="AN125"/>
  <c r="AN126"/>
  <c r="AN127"/>
  <c r="AN128"/>
  <c r="AN129"/>
  <c r="AN130"/>
  <c r="AN131"/>
  <c r="AN132"/>
  <c r="AN133"/>
  <c r="AN134"/>
  <c r="AN135"/>
  <c r="AN136"/>
  <c r="AN137"/>
  <c r="AN138"/>
  <c r="AN139"/>
  <c r="AN140"/>
  <c r="AN141"/>
  <c r="AN142"/>
  <c r="AN143"/>
  <c r="AN144"/>
  <c r="AN145"/>
  <c r="AN146"/>
  <c r="AN147"/>
  <c r="AN148"/>
  <c r="AN149"/>
  <c r="AN150"/>
  <c r="AN151"/>
  <c r="AN152"/>
  <c r="AN153"/>
  <c r="AN154"/>
  <c r="AN155"/>
  <c r="AN156"/>
  <c r="AN157"/>
  <c r="AN158"/>
  <c r="AN159"/>
  <c r="AN160"/>
  <c r="AN161"/>
  <c r="AN162"/>
  <c r="AN163"/>
  <c r="AN164"/>
  <c r="AN165"/>
  <c r="AN166"/>
  <c r="AN167"/>
  <c r="AN168"/>
  <c r="AN169"/>
  <c r="AN170"/>
  <c r="AN171"/>
  <c r="AN172"/>
  <c r="AN173"/>
  <c r="AN174"/>
  <c r="AN175"/>
  <c r="AN176"/>
  <c r="AN177"/>
  <c r="AN178"/>
  <c r="AN179"/>
  <c r="AN180"/>
  <c r="AN181"/>
  <c r="AN182"/>
  <c r="AN183"/>
  <c r="AN184"/>
  <c r="AN185"/>
  <c r="AN186"/>
  <c r="AN187"/>
  <c r="AN188"/>
  <c r="AN189"/>
  <c r="AN190"/>
  <c r="AN191"/>
  <c r="AN192"/>
  <c r="AN193"/>
  <c r="AN194"/>
  <c r="AN195"/>
  <c r="AN196"/>
  <c r="AN197"/>
  <c r="AN198"/>
  <c r="AN199"/>
  <c r="AN200"/>
  <c r="AN201"/>
  <c r="AN202"/>
  <c r="AN203"/>
  <c r="AN204"/>
  <c r="AN205"/>
  <c r="AN206"/>
  <c r="AN207"/>
  <c r="AN208"/>
  <c r="AN209"/>
  <c r="AN210"/>
  <c r="AN211"/>
  <c r="AN212"/>
  <c r="AN213"/>
  <c r="AN214"/>
  <c r="AN215"/>
  <c r="AN216"/>
  <c r="AN217"/>
  <c r="AN218"/>
  <c r="AN219"/>
  <c r="AN220"/>
  <c r="AN221"/>
  <c r="AN222"/>
  <c r="AN223"/>
  <c r="AN224"/>
  <c r="AN225"/>
  <c r="AN226"/>
  <c r="AN227"/>
  <c r="AN228"/>
  <c r="AN229"/>
  <c r="AN230"/>
  <c r="AN231"/>
  <c r="AN232"/>
  <c r="AN235"/>
  <c r="AM8"/>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52"/>
  <c r="AM53"/>
  <c r="AM54"/>
  <c r="AM55"/>
  <c r="AM56"/>
  <c r="AM57"/>
  <c r="AM58"/>
  <c r="AM59"/>
  <c r="AM60"/>
  <c r="AM61"/>
  <c r="AM62"/>
  <c r="AM63"/>
  <c r="AM64"/>
  <c r="AM65"/>
  <c r="AM66"/>
  <c r="AM67"/>
  <c r="AM68"/>
  <c r="AM69"/>
  <c r="AM70"/>
  <c r="AM71"/>
  <c r="AM72"/>
  <c r="AM73"/>
  <c r="AM74"/>
  <c r="AM75"/>
  <c r="AM76"/>
  <c r="AM77"/>
  <c r="AM78"/>
  <c r="AM79"/>
  <c r="AM80"/>
  <c r="AM81"/>
  <c r="AM82"/>
  <c r="AM83"/>
  <c r="AM84"/>
  <c r="AM85"/>
  <c r="AM86"/>
  <c r="AM87"/>
  <c r="AM88"/>
  <c r="AM89"/>
  <c r="AM90"/>
  <c r="AM91"/>
  <c r="AM92"/>
  <c r="AM93"/>
  <c r="AM94"/>
  <c r="AM95"/>
  <c r="AM96"/>
  <c r="AM97"/>
  <c r="AM98"/>
  <c r="AM99"/>
  <c r="AM100"/>
  <c r="AM101"/>
  <c r="AM102"/>
  <c r="AM103"/>
  <c r="AM104"/>
  <c r="AM105"/>
  <c r="AM106"/>
  <c r="AM107"/>
  <c r="AM108"/>
  <c r="AM109"/>
  <c r="AM110"/>
  <c r="AM111"/>
  <c r="AM112"/>
  <c r="AM113"/>
  <c r="AM114"/>
  <c r="AM115"/>
  <c r="AM116"/>
  <c r="AM117"/>
  <c r="AM118"/>
  <c r="AM119"/>
  <c r="AM120"/>
  <c r="AM121"/>
  <c r="AM122"/>
  <c r="AM123"/>
  <c r="AM124"/>
  <c r="AM125"/>
  <c r="AM126"/>
  <c r="AM127"/>
  <c r="AM128"/>
  <c r="AM129"/>
  <c r="AM130"/>
  <c r="AM131"/>
  <c r="AM132"/>
  <c r="AM133"/>
  <c r="AM134"/>
  <c r="AM135"/>
  <c r="AM136"/>
  <c r="AM137"/>
  <c r="AM138"/>
  <c r="AM139"/>
  <c r="AM140"/>
  <c r="AM141"/>
  <c r="AM142"/>
  <c r="AM143"/>
  <c r="AM144"/>
  <c r="AM145"/>
  <c r="AM146"/>
  <c r="AM147"/>
  <c r="AM148"/>
  <c r="AM149"/>
  <c r="AM150"/>
  <c r="AM151"/>
  <c r="AM152"/>
  <c r="AM153"/>
  <c r="AM154"/>
  <c r="AM155"/>
  <c r="AM156"/>
  <c r="AM157"/>
  <c r="AM158"/>
  <c r="AM159"/>
  <c r="AM160"/>
  <c r="AM161"/>
  <c r="AM162"/>
  <c r="AM163"/>
  <c r="AM164"/>
  <c r="AM165"/>
  <c r="AM166"/>
  <c r="AM167"/>
  <c r="AM168"/>
  <c r="AM169"/>
  <c r="AM170"/>
  <c r="AM171"/>
  <c r="AM172"/>
  <c r="AM173"/>
  <c r="AM174"/>
  <c r="AM175"/>
  <c r="AM176"/>
  <c r="AM177"/>
  <c r="AM178"/>
  <c r="AM179"/>
  <c r="AM180"/>
  <c r="AM181"/>
  <c r="AM182"/>
  <c r="AM183"/>
  <c r="AM184"/>
  <c r="AM185"/>
  <c r="AM186"/>
  <c r="AM187"/>
  <c r="AM188"/>
  <c r="AM189"/>
  <c r="AM190"/>
  <c r="AM191"/>
  <c r="AM192"/>
  <c r="AM193"/>
  <c r="AM194"/>
  <c r="AM195"/>
  <c r="AM196"/>
  <c r="AM197"/>
  <c r="AM198"/>
  <c r="AM199"/>
  <c r="AM200"/>
  <c r="AM201"/>
  <c r="AM202"/>
  <c r="AM203"/>
  <c r="AM204"/>
  <c r="AM205"/>
  <c r="AM206"/>
  <c r="AM207"/>
  <c r="AM208"/>
  <c r="AM209"/>
  <c r="AM210"/>
  <c r="AM211"/>
  <c r="AM212"/>
  <c r="AM213"/>
  <c r="AM214"/>
  <c r="AM215"/>
  <c r="AM216"/>
  <c r="AM217"/>
  <c r="AM218"/>
  <c r="AM219"/>
  <c r="AM220"/>
  <c r="AM221"/>
  <c r="AM222"/>
  <c r="AM223"/>
  <c r="AM224"/>
  <c r="AM225"/>
  <c r="AM226"/>
  <c r="AM227"/>
  <c r="AM228"/>
  <c r="AM229"/>
  <c r="AM230"/>
  <c r="AM231"/>
  <c r="AM232"/>
  <c r="AM235"/>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75"/>
  <c r="AL76"/>
  <c r="AL77"/>
  <c r="AL78"/>
  <c r="AL79"/>
  <c r="AL80"/>
  <c r="AL81"/>
  <c r="AL82"/>
  <c r="AL83"/>
  <c r="AL84"/>
  <c r="AL85"/>
  <c r="AL86"/>
  <c r="AL87"/>
  <c r="AL88"/>
  <c r="AL89"/>
  <c r="AL90"/>
  <c r="AL91"/>
  <c r="AL92"/>
  <c r="AL93"/>
  <c r="AL94"/>
  <c r="AL95"/>
  <c r="AL96"/>
  <c r="AL97"/>
  <c r="AL98"/>
  <c r="AL99"/>
  <c r="AL100"/>
  <c r="AL101"/>
  <c r="AL102"/>
  <c r="AL103"/>
  <c r="AL104"/>
  <c r="AL105"/>
  <c r="AL106"/>
  <c r="AL107"/>
  <c r="AL108"/>
  <c r="AL109"/>
  <c r="AL110"/>
  <c r="AL111"/>
  <c r="AL112"/>
  <c r="AL113"/>
  <c r="AL114"/>
  <c r="AL115"/>
  <c r="AL116"/>
  <c r="AL117"/>
  <c r="AL118"/>
  <c r="AL119"/>
  <c r="AL120"/>
  <c r="AL121"/>
  <c r="AL122"/>
  <c r="AL123"/>
  <c r="AL124"/>
  <c r="AL125"/>
  <c r="AL126"/>
  <c r="AL127"/>
  <c r="AL128"/>
  <c r="AL129"/>
  <c r="AL130"/>
  <c r="AL131"/>
  <c r="AL132"/>
  <c r="AL133"/>
  <c r="AL134"/>
  <c r="AL135"/>
  <c r="AL136"/>
  <c r="AL137"/>
  <c r="AL138"/>
  <c r="AL139"/>
  <c r="AL140"/>
  <c r="AL141"/>
  <c r="AL142"/>
  <c r="AL143"/>
  <c r="AL144"/>
  <c r="AL145"/>
  <c r="AL146"/>
  <c r="AL147"/>
  <c r="AL148"/>
  <c r="AL149"/>
  <c r="AL150"/>
  <c r="AL151"/>
  <c r="AL152"/>
  <c r="AL153"/>
  <c r="AL154"/>
  <c r="AL155"/>
  <c r="AL156"/>
  <c r="AL157"/>
  <c r="AL158"/>
  <c r="AL159"/>
  <c r="AL160"/>
  <c r="AL161"/>
  <c r="AL162"/>
  <c r="AL163"/>
  <c r="AL164"/>
  <c r="AL165"/>
  <c r="AL166"/>
  <c r="AL167"/>
  <c r="AL168"/>
  <c r="AL169"/>
  <c r="AL170"/>
  <c r="AL171"/>
  <c r="AL172"/>
  <c r="AL173"/>
  <c r="AL174"/>
  <c r="AL175"/>
  <c r="AL176"/>
  <c r="AL177"/>
  <c r="AL178"/>
  <c r="AL179"/>
  <c r="AL180"/>
  <c r="AL181"/>
  <c r="AL182"/>
  <c r="AL183"/>
  <c r="AL184"/>
  <c r="AL185"/>
  <c r="AL186"/>
  <c r="AL187"/>
  <c r="AL188"/>
  <c r="AL189"/>
  <c r="AL190"/>
  <c r="AL191"/>
  <c r="AL192"/>
  <c r="AL193"/>
  <c r="AL194"/>
  <c r="AL195"/>
  <c r="AL196"/>
  <c r="AL197"/>
  <c r="AL198"/>
  <c r="AL199"/>
  <c r="AL200"/>
  <c r="AL201"/>
  <c r="AL202"/>
  <c r="AL203"/>
  <c r="AL204"/>
  <c r="AL205"/>
  <c r="AL206"/>
  <c r="AL207"/>
  <c r="AL208"/>
  <c r="AL209"/>
  <c r="AL210"/>
  <c r="AL211"/>
  <c r="AL212"/>
  <c r="AL213"/>
  <c r="AL214"/>
  <c r="AL215"/>
  <c r="AL216"/>
  <c r="AL217"/>
  <c r="AL218"/>
  <c r="AL219"/>
  <c r="AL220"/>
  <c r="AL221"/>
  <c r="AL222"/>
  <c r="AL223"/>
  <c r="AL224"/>
  <c r="AL225"/>
  <c r="AL226"/>
  <c r="AL227"/>
  <c r="AL228"/>
  <c r="AL229"/>
  <c r="AL230"/>
  <c r="AL231"/>
  <c r="AL232"/>
  <c r="AL235"/>
  <c r="W235"/>
  <c r="V235"/>
  <c r="U235"/>
  <c r="T235"/>
  <c r="S235"/>
  <c r="R235"/>
  <c r="Q235"/>
  <c r="P235"/>
  <c r="O235"/>
  <c r="N235"/>
  <c r="M235"/>
  <c r="BL21"/>
  <c r="I235"/>
  <c r="H235"/>
  <c r="AV234"/>
  <c r="AU234"/>
  <c r="AT234"/>
  <c r="AS234"/>
  <c r="AR234"/>
  <c r="AQ234"/>
  <c r="AP234"/>
  <c r="AO234"/>
  <c r="AN234"/>
  <c r="AM234"/>
  <c r="AL234"/>
  <c r="W234"/>
  <c r="V234"/>
  <c r="U234"/>
  <c r="T234"/>
  <c r="S234"/>
  <c r="R234"/>
  <c r="Q234"/>
  <c r="P234"/>
  <c r="O234"/>
  <c r="N234"/>
  <c r="M234"/>
  <c r="BL20"/>
  <c r="I234"/>
  <c r="H234"/>
  <c r="AA232"/>
  <c r="X232"/>
  <c r="AA231"/>
  <c r="X231"/>
  <c r="AA230"/>
  <c r="X230"/>
  <c r="E230"/>
  <c r="AA229"/>
  <c r="AA228"/>
  <c r="X228"/>
  <c r="E228"/>
  <c r="AA227"/>
  <c r="AA226"/>
  <c r="AA225"/>
  <c r="AA224"/>
  <c r="AA223"/>
  <c r="X223"/>
  <c r="AA222"/>
  <c r="X222"/>
  <c r="AA221"/>
  <c r="X221"/>
  <c r="AA220"/>
  <c r="AA219"/>
  <c r="X219"/>
  <c r="AA218"/>
  <c r="AA217"/>
  <c r="X217"/>
  <c r="AA216"/>
  <c r="AA215"/>
  <c r="X215"/>
  <c r="E215"/>
  <c r="AA214"/>
  <c r="X214"/>
  <c r="AA213"/>
  <c r="AA212"/>
  <c r="AA211"/>
  <c r="X211"/>
  <c r="E211"/>
  <c r="AA210"/>
  <c r="AA209"/>
  <c r="AA208"/>
  <c r="X208"/>
  <c r="AA207"/>
  <c r="X207"/>
  <c r="E207"/>
  <c r="AA206"/>
  <c r="AA205"/>
  <c r="X205"/>
  <c r="E205"/>
  <c r="AA204"/>
  <c r="X204"/>
  <c r="AA203"/>
  <c r="X203"/>
  <c r="AA202"/>
  <c r="X202"/>
  <c r="AA201"/>
  <c r="AA200"/>
  <c r="AA199"/>
  <c r="X199"/>
  <c r="AA198"/>
  <c r="AA197"/>
  <c r="X197"/>
  <c r="AA196"/>
  <c r="X196"/>
  <c r="AA195"/>
  <c r="X195"/>
  <c r="AA194"/>
  <c r="AA193"/>
  <c r="AA192"/>
  <c r="X192"/>
  <c r="AA191"/>
  <c r="AA190"/>
  <c r="X190"/>
  <c r="AA189"/>
  <c r="AA188"/>
  <c r="X188"/>
  <c r="AA187"/>
  <c r="AA186"/>
  <c r="AA185"/>
  <c r="X185"/>
  <c r="AA184"/>
  <c r="AA183"/>
  <c r="X183"/>
  <c r="AA182"/>
  <c r="AA181"/>
  <c r="X181"/>
  <c r="AA180"/>
  <c r="X180"/>
  <c r="AA179"/>
  <c r="AA178"/>
  <c r="AA177"/>
  <c r="AA176"/>
  <c r="AA175"/>
  <c r="AA174"/>
  <c r="X174"/>
  <c r="AA173"/>
  <c r="X173"/>
  <c r="AA172"/>
  <c r="AA171"/>
  <c r="AA170"/>
  <c r="AA169"/>
  <c r="AA168"/>
  <c r="AA167"/>
  <c r="AA166"/>
  <c r="X166"/>
  <c r="AA165"/>
  <c r="X165"/>
  <c r="AA164"/>
  <c r="AA163"/>
  <c r="X163"/>
  <c r="AA162"/>
  <c r="AA161"/>
  <c r="AA160"/>
  <c r="X160"/>
  <c r="AA159"/>
  <c r="X159"/>
  <c r="AA158"/>
  <c r="X158"/>
  <c r="AA157"/>
  <c r="X157"/>
  <c r="AA156"/>
  <c r="X156"/>
  <c r="AA155"/>
  <c r="AA154"/>
  <c r="AA153"/>
  <c r="X153"/>
  <c r="AA152"/>
  <c r="X152"/>
  <c r="AA151"/>
  <c r="X151"/>
  <c r="AA150"/>
  <c r="AA149"/>
  <c r="X149"/>
  <c r="AA148"/>
  <c r="AA147"/>
  <c r="X147"/>
  <c r="AA146"/>
  <c r="X146"/>
  <c r="AA145"/>
  <c r="AA144"/>
  <c r="X144"/>
  <c r="AA143"/>
  <c r="X143"/>
  <c r="AA142"/>
  <c r="X142"/>
  <c r="AA141"/>
  <c r="X141"/>
  <c r="AA140"/>
  <c r="X140"/>
  <c r="AA139"/>
  <c r="AA138"/>
  <c r="AA137"/>
  <c r="X137"/>
  <c r="AA136"/>
  <c r="X136"/>
  <c r="AA135"/>
  <c r="X135"/>
  <c r="AA134"/>
  <c r="AA133"/>
  <c r="AA132"/>
  <c r="AA131"/>
  <c r="AA130"/>
  <c r="X130"/>
  <c r="AA129"/>
  <c r="X129"/>
  <c r="AA128"/>
  <c r="AA127"/>
  <c r="X127"/>
  <c r="AA126"/>
  <c r="AA125"/>
  <c r="X125"/>
  <c r="AA124"/>
  <c r="AA123"/>
  <c r="AA122"/>
  <c r="AA121"/>
  <c r="X121"/>
  <c r="AA120"/>
  <c r="X120"/>
  <c r="AA119"/>
  <c r="AA118"/>
  <c r="X118"/>
  <c r="AA117"/>
  <c r="X117"/>
  <c r="AA116"/>
  <c r="AA115"/>
  <c r="AA114"/>
  <c r="AA113"/>
  <c r="AA112"/>
  <c r="AA111"/>
  <c r="X111"/>
  <c r="AA110"/>
  <c r="AA109"/>
  <c r="X109"/>
  <c r="AA108"/>
  <c r="X108"/>
  <c r="AA107"/>
  <c r="AA106"/>
  <c r="AA105"/>
  <c r="AA104"/>
  <c r="X104"/>
  <c r="AA103"/>
  <c r="X103"/>
  <c r="AA102"/>
  <c r="AA101"/>
  <c r="X101"/>
  <c r="AA100"/>
  <c r="AA99"/>
  <c r="AA98"/>
  <c r="AA97"/>
  <c r="AA96"/>
  <c r="AA95"/>
  <c r="X95"/>
  <c r="AA94"/>
  <c r="AA93"/>
  <c r="X93"/>
  <c r="AA92"/>
  <c r="X92"/>
  <c r="AA91"/>
  <c r="AA90"/>
  <c r="X90"/>
  <c r="AA89"/>
  <c r="X89"/>
  <c r="AA88"/>
  <c r="X88"/>
  <c r="AA87"/>
  <c r="AA86"/>
  <c r="AA85"/>
  <c r="X85"/>
  <c r="AA84"/>
  <c r="AA83"/>
  <c r="X83"/>
  <c r="AA82"/>
  <c r="X82"/>
  <c r="AA81"/>
  <c r="X81"/>
  <c r="AA80"/>
  <c r="X80"/>
  <c r="AA79"/>
  <c r="AA78"/>
  <c r="X78"/>
  <c r="AA77"/>
  <c r="X77"/>
  <c r="AA76"/>
  <c r="X76"/>
  <c r="AA75"/>
  <c r="X75"/>
  <c r="AA74"/>
  <c r="X74"/>
  <c r="AA73"/>
  <c r="X73"/>
  <c r="AA72"/>
  <c r="X72"/>
  <c r="AA71"/>
  <c r="X71"/>
  <c r="AA70"/>
  <c r="AA69"/>
  <c r="AA68"/>
  <c r="AA67"/>
  <c r="X67"/>
  <c r="AA66"/>
  <c r="AA65"/>
  <c r="X65"/>
  <c r="AA64"/>
  <c r="X64"/>
  <c r="AA63"/>
  <c r="X63"/>
  <c r="AA62"/>
  <c r="AA61"/>
  <c r="X61"/>
  <c r="AA60"/>
  <c r="AA59"/>
  <c r="AA58"/>
  <c r="AA57"/>
  <c r="AA56"/>
  <c r="X56"/>
  <c r="AA55"/>
  <c r="X55"/>
  <c r="AA54"/>
  <c r="AA53"/>
  <c r="AA52"/>
  <c r="AA51"/>
  <c r="AA50"/>
  <c r="X50"/>
  <c r="AA49"/>
  <c r="X49"/>
  <c r="AA48"/>
  <c r="X48"/>
  <c r="AA47"/>
  <c r="AA46"/>
  <c r="X46"/>
  <c r="AA45"/>
  <c r="AA44"/>
  <c r="X44"/>
  <c r="AA43"/>
  <c r="X43"/>
  <c r="AA42"/>
  <c r="X42"/>
  <c r="AA41"/>
  <c r="X41"/>
  <c r="AA40"/>
  <c r="X40"/>
  <c r="AA39"/>
  <c r="X39"/>
  <c r="AA38"/>
  <c r="AA37"/>
  <c r="AA36"/>
  <c r="X36"/>
  <c r="AA35"/>
  <c r="AA34"/>
  <c r="AA33"/>
  <c r="AA32"/>
  <c r="AA31"/>
  <c r="AA30"/>
  <c r="AA29"/>
  <c r="X29"/>
  <c r="AA28"/>
  <c r="X28"/>
  <c r="AA27"/>
  <c r="AA26"/>
  <c r="AA25"/>
  <c r="AA24"/>
  <c r="AA23"/>
  <c r="X23"/>
  <c r="AA22"/>
  <c r="X22"/>
  <c r="AA21"/>
  <c r="X21"/>
  <c r="AA20"/>
  <c r="AA19"/>
  <c r="X19"/>
  <c r="AA18"/>
  <c r="AA17"/>
  <c r="AA16"/>
  <c r="X16"/>
  <c r="AA15"/>
  <c r="X15"/>
  <c r="AA14"/>
  <c r="X14"/>
  <c r="AA13"/>
  <c r="X13"/>
  <c r="AA12"/>
  <c r="X12"/>
  <c r="AA11"/>
  <c r="X11"/>
  <c r="AA10"/>
  <c r="X10"/>
  <c r="AA9"/>
  <c r="X9"/>
  <c r="AA8"/>
  <c r="X8"/>
  <c r="H44" i="103"/>
  <c r="I44"/>
  <c r="K44"/>
  <c r="L44"/>
  <c r="P44"/>
  <c r="R44"/>
  <c r="N44"/>
  <c r="O44"/>
  <c r="T44"/>
  <c r="H45"/>
  <c r="I45"/>
  <c r="K45"/>
  <c r="L45"/>
  <c r="P45"/>
  <c r="R45"/>
  <c r="N45"/>
  <c r="O45"/>
  <c r="T45"/>
  <c r="H46"/>
  <c r="I46"/>
  <c r="K46"/>
  <c r="L46"/>
  <c r="P46"/>
  <c r="R46"/>
  <c r="N46"/>
  <c r="O46"/>
  <c r="T46"/>
  <c r="H47"/>
  <c r="I47"/>
  <c r="K47"/>
  <c r="L47"/>
  <c r="P47"/>
  <c r="R47"/>
  <c r="N47"/>
  <c r="O47"/>
  <c r="T47"/>
  <c r="H48"/>
  <c r="I48"/>
  <c r="K48"/>
  <c r="L48"/>
  <c r="P48"/>
  <c r="R48"/>
  <c r="N48"/>
  <c r="O48"/>
  <c r="T48"/>
  <c r="H49"/>
  <c r="I49"/>
  <c r="K49"/>
  <c r="L49"/>
  <c r="P49"/>
  <c r="R49"/>
  <c r="N49"/>
  <c r="O49"/>
  <c r="T49"/>
  <c r="H50"/>
  <c r="I50"/>
  <c r="K50"/>
  <c r="L50"/>
  <c r="P50"/>
  <c r="R50"/>
  <c r="N50"/>
  <c r="O50"/>
  <c r="T50"/>
  <c r="H51"/>
  <c r="I51"/>
  <c r="K51"/>
  <c r="L51"/>
  <c r="P51"/>
  <c r="R51"/>
  <c r="N51"/>
  <c r="O51"/>
  <c r="T51"/>
  <c r="H52"/>
  <c r="I52"/>
  <c r="K52"/>
  <c r="L52"/>
  <c r="P52"/>
  <c r="R52"/>
  <c r="N52"/>
  <c r="O52"/>
  <c r="T52"/>
  <c r="H53"/>
  <c r="I53"/>
  <c r="K53"/>
  <c r="L53"/>
  <c r="P53"/>
  <c r="R53"/>
  <c r="N53"/>
  <c r="O53"/>
  <c r="T53"/>
  <c r="H54"/>
  <c r="I54"/>
  <c r="K54"/>
  <c r="L54"/>
  <c r="P54"/>
  <c r="R54"/>
  <c r="N54"/>
  <c r="O54"/>
  <c r="T54"/>
  <c r="H55"/>
  <c r="I55"/>
  <c r="K55"/>
  <c r="L55"/>
  <c r="P55"/>
  <c r="R55"/>
  <c r="N55"/>
  <c r="O55"/>
  <c r="T55"/>
  <c r="H56"/>
  <c r="I56"/>
  <c r="K56"/>
  <c r="L56"/>
  <c r="P56"/>
  <c r="R56"/>
  <c r="N56"/>
  <c r="O56"/>
  <c r="T56"/>
  <c r="H57"/>
  <c r="I57"/>
  <c r="K57"/>
  <c r="L57"/>
  <c r="P57"/>
  <c r="R57"/>
  <c r="N57"/>
  <c r="O57"/>
  <c r="T57"/>
  <c r="T59"/>
  <c r="S44"/>
  <c r="S45"/>
  <c r="S46"/>
  <c r="S47"/>
  <c r="S48"/>
  <c r="S49"/>
  <c r="S50"/>
  <c r="S51"/>
  <c r="S52"/>
  <c r="S53"/>
  <c r="S54"/>
  <c r="S55"/>
  <c r="S56"/>
  <c r="S57"/>
  <c r="S59"/>
  <c r="R59"/>
  <c r="P62"/>
  <c r="O59"/>
  <c r="I67"/>
  <c r="I71"/>
  <c r="V44"/>
  <c r="W44"/>
  <c r="V45"/>
  <c r="W45"/>
  <c r="V46"/>
  <c r="W46"/>
  <c r="V47"/>
  <c r="W47"/>
  <c r="V48"/>
  <c r="W48"/>
  <c r="V49"/>
  <c r="W49"/>
  <c r="V50"/>
  <c r="W50"/>
  <c r="V51"/>
  <c r="W51"/>
  <c r="V52"/>
  <c r="W52"/>
  <c r="V53"/>
  <c r="W53"/>
  <c r="V54"/>
  <c r="W54"/>
  <c r="V55"/>
  <c r="W55"/>
  <c r="V56"/>
  <c r="W56"/>
  <c r="V57"/>
  <c r="W57"/>
  <c r="W59"/>
  <c r="V59"/>
  <c r="I73"/>
  <c r="I74"/>
  <c r="M75"/>
  <c r="M76"/>
  <c r="I75"/>
  <c r="AJ44"/>
  <c r="AK44"/>
  <c r="AJ45"/>
  <c r="AK45"/>
  <c r="AJ46"/>
  <c r="AK46"/>
  <c r="AJ47"/>
  <c r="AK47"/>
  <c r="AJ48"/>
  <c r="AK48"/>
  <c r="AJ49"/>
  <c r="AK49"/>
  <c r="AJ50"/>
  <c r="AK50"/>
  <c r="AJ51"/>
  <c r="AK51"/>
  <c r="AJ52"/>
  <c r="AK52"/>
  <c r="AJ53"/>
  <c r="AK53"/>
  <c r="AJ54"/>
  <c r="AK54"/>
  <c r="AJ55"/>
  <c r="AK55"/>
  <c r="AJ56"/>
  <c r="AK56"/>
  <c r="AJ57"/>
  <c r="AK57"/>
  <c r="AL44"/>
  <c r="AL45"/>
  <c r="AL46"/>
  <c r="AL47"/>
  <c r="AL48"/>
  <c r="AL49"/>
  <c r="AL50"/>
  <c r="AL51"/>
  <c r="AL52"/>
  <c r="AL53"/>
  <c r="AL54"/>
  <c r="AL55"/>
  <c r="AL56"/>
  <c r="AL57"/>
  <c r="Q68"/>
  <c r="Q69"/>
  <c r="Q70"/>
  <c r="Q71"/>
  <c r="AH70"/>
  <c r="I68"/>
  <c r="U44"/>
  <c r="U45"/>
  <c r="U46"/>
  <c r="U47"/>
  <c r="U48"/>
  <c r="U49"/>
  <c r="U50"/>
  <c r="U51"/>
  <c r="U52"/>
  <c r="U53"/>
  <c r="U54"/>
  <c r="U55"/>
  <c r="U56"/>
  <c r="U57"/>
  <c r="U59"/>
  <c r="I69"/>
  <c r="I70"/>
  <c r="AH69"/>
  <c r="AH68"/>
  <c r="I62"/>
  <c r="I63"/>
  <c r="I64"/>
  <c r="AH66"/>
  <c r="AH65"/>
  <c r="M64"/>
  <c r="M65"/>
  <c r="AH64"/>
  <c r="P64"/>
  <c r="P63"/>
  <c r="AJ37"/>
  <c r="BB57"/>
  <c r="BA57"/>
  <c r="AZ57"/>
  <c r="AX57"/>
  <c r="AW57"/>
  <c r="Q37"/>
  <c r="M57"/>
  <c r="AV57"/>
  <c r="AU57"/>
  <c r="AT57"/>
  <c r="N37"/>
  <c r="J57"/>
  <c r="AS57"/>
  <c r="AR57"/>
  <c r="AQ57"/>
  <c r="E57"/>
  <c r="AN57"/>
  <c r="F57"/>
  <c r="AO57"/>
  <c r="AP57"/>
  <c r="Q57"/>
  <c r="AI57"/>
  <c r="AH57"/>
  <c r="AG57"/>
  <c r="AF57"/>
  <c r="AJ36"/>
  <c r="BB56"/>
  <c r="BA56"/>
  <c r="AZ56"/>
  <c r="AX56"/>
  <c r="AW56"/>
  <c r="Q36"/>
  <c r="M56"/>
  <c r="AV56"/>
  <c r="AU56"/>
  <c r="AT56"/>
  <c r="N36"/>
  <c r="J56"/>
  <c r="AS56"/>
  <c r="AR56"/>
  <c r="AQ56"/>
  <c r="E56"/>
  <c r="AN56"/>
  <c r="F56"/>
  <c r="AO56"/>
  <c r="AP56"/>
  <c r="Q56"/>
  <c r="AI56"/>
  <c r="AH56"/>
  <c r="AG56"/>
  <c r="AF56"/>
  <c r="AJ35"/>
  <c r="BB55"/>
  <c r="BA55"/>
  <c r="AZ55"/>
  <c r="AX55"/>
  <c r="AW55"/>
  <c r="Q35"/>
  <c r="M55"/>
  <c r="AV55"/>
  <c r="AU55"/>
  <c r="AT55"/>
  <c r="N35"/>
  <c r="J55"/>
  <c r="AS55"/>
  <c r="AR55"/>
  <c r="AQ55"/>
  <c r="E55"/>
  <c r="AN55"/>
  <c r="F55"/>
  <c r="AO55"/>
  <c r="AP55"/>
  <c r="Q55"/>
  <c r="AI55"/>
  <c r="AH55"/>
  <c r="AG55"/>
  <c r="AF55"/>
  <c r="AJ34"/>
  <c r="BB54"/>
  <c r="BA54"/>
  <c r="AZ54"/>
  <c r="AX54"/>
  <c r="AW54"/>
  <c r="Q34"/>
  <c r="M54"/>
  <c r="AV54"/>
  <c r="AU54"/>
  <c r="AT54"/>
  <c r="N34"/>
  <c r="J54"/>
  <c r="AS54"/>
  <c r="AR54"/>
  <c r="AQ54"/>
  <c r="E54"/>
  <c r="AN54"/>
  <c r="F54"/>
  <c r="AO54"/>
  <c r="AP54"/>
  <c r="Q54"/>
  <c r="AI54"/>
  <c r="AH54"/>
  <c r="AG54"/>
  <c r="AF54"/>
  <c r="AJ33"/>
  <c r="BB53"/>
  <c r="BA53"/>
  <c r="AZ53"/>
  <c r="AX53"/>
  <c r="AW53"/>
  <c r="Q33"/>
  <c r="M53"/>
  <c r="AV53"/>
  <c r="AU53"/>
  <c r="AT53"/>
  <c r="N33"/>
  <c r="J53"/>
  <c r="AS53"/>
  <c r="AR53"/>
  <c r="AQ53"/>
  <c r="E53"/>
  <c r="AN53"/>
  <c r="F53"/>
  <c r="AO53"/>
  <c r="AP53"/>
  <c r="Q53"/>
  <c r="AI53"/>
  <c r="AH53"/>
  <c r="AG53"/>
  <c r="AF53"/>
  <c r="AJ32"/>
  <c r="BB52"/>
  <c r="BA52"/>
  <c r="AZ52"/>
  <c r="AX52"/>
  <c r="AW52"/>
  <c r="Q32"/>
  <c r="M52"/>
  <c r="AV52"/>
  <c r="AU52"/>
  <c r="AT52"/>
  <c r="N32"/>
  <c r="J52"/>
  <c r="AS52"/>
  <c r="AR52"/>
  <c r="AQ52"/>
  <c r="E52"/>
  <c r="AN52"/>
  <c r="F52"/>
  <c r="AO52"/>
  <c r="AP52"/>
  <c r="Q52"/>
  <c r="AI52"/>
  <c r="AH52"/>
  <c r="AG52"/>
  <c r="AF52"/>
  <c r="AJ31"/>
  <c r="BB51"/>
  <c r="BA51"/>
  <c r="AZ51"/>
  <c r="AX51"/>
  <c r="AW51"/>
  <c r="Q31"/>
  <c r="M51"/>
  <c r="AV51"/>
  <c r="AU51"/>
  <c r="AT51"/>
  <c r="N31"/>
  <c r="J51"/>
  <c r="AS51"/>
  <c r="AR51"/>
  <c r="AQ51"/>
  <c r="E51"/>
  <c r="AN51"/>
  <c r="F51"/>
  <c r="AO51"/>
  <c r="AP51"/>
  <c r="Q51"/>
  <c r="AI51"/>
  <c r="AH51"/>
  <c r="AG51"/>
  <c r="AF51"/>
  <c r="AJ30"/>
  <c r="BB50"/>
  <c r="AH30"/>
  <c r="BA50"/>
  <c r="AZ50"/>
  <c r="AX50"/>
  <c r="AW50"/>
  <c r="Q30"/>
  <c r="M50"/>
  <c r="AV50"/>
  <c r="AU50"/>
  <c r="AT50"/>
  <c r="N30"/>
  <c r="J50"/>
  <c r="AS50"/>
  <c r="AR50"/>
  <c r="AQ50"/>
  <c r="E50"/>
  <c r="AN50"/>
  <c r="F50"/>
  <c r="AO50"/>
  <c r="AP50"/>
  <c r="Q50"/>
  <c r="AI50"/>
  <c r="AH50"/>
  <c r="AG50"/>
  <c r="AF50"/>
  <c r="AJ29"/>
  <c r="BB49"/>
  <c r="BA49"/>
  <c r="AZ49"/>
  <c r="AX49"/>
  <c r="AW49"/>
  <c r="Q29"/>
  <c r="M49"/>
  <c r="AV49"/>
  <c r="AU49"/>
  <c r="AT49"/>
  <c r="N29"/>
  <c r="J49"/>
  <c r="AS49"/>
  <c r="AR49"/>
  <c r="AQ49"/>
  <c r="E49"/>
  <c r="AN49"/>
  <c r="F49"/>
  <c r="AO49"/>
  <c r="AP49"/>
  <c r="Q49"/>
  <c r="AI49"/>
  <c r="AH49"/>
  <c r="AG49"/>
  <c r="AF49"/>
  <c r="AJ28"/>
  <c r="BB48"/>
  <c r="BA48"/>
  <c r="AZ48"/>
  <c r="AX48"/>
  <c r="AW48"/>
  <c r="Q28"/>
  <c r="M48"/>
  <c r="AV48"/>
  <c r="AU48"/>
  <c r="AT48"/>
  <c r="N28"/>
  <c r="J48"/>
  <c r="AS48"/>
  <c r="AR48"/>
  <c r="AQ48"/>
  <c r="E48"/>
  <c r="AN48"/>
  <c r="F48"/>
  <c r="AO48"/>
  <c r="AP48"/>
  <c r="Q48"/>
  <c r="AI48"/>
  <c r="AH48"/>
  <c r="AG48"/>
  <c r="AF48"/>
  <c r="AJ27"/>
  <c r="BB47"/>
  <c r="BA47"/>
  <c r="AZ47"/>
  <c r="AX47"/>
  <c r="AW47"/>
  <c r="Q27"/>
  <c r="M47"/>
  <c r="AV47"/>
  <c r="AU47"/>
  <c r="AT47"/>
  <c r="N27"/>
  <c r="J47"/>
  <c r="AS47"/>
  <c r="AR47"/>
  <c r="AQ47"/>
  <c r="E47"/>
  <c r="AN47"/>
  <c r="F47"/>
  <c r="AO47"/>
  <c r="AP47"/>
  <c r="Q47"/>
  <c r="AI47"/>
  <c r="AH47"/>
  <c r="AG47"/>
  <c r="AF47"/>
  <c r="AJ26"/>
  <c r="BB46"/>
  <c r="BA46"/>
  <c r="AZ46"/>
  <c r="AX46"/>
  <c r="AW46"/>
  <c r="Q26"/>
  <c r="M46"/>
  <c r="AV46"/>
  <c r="AU46"/>
  <c r="AT46"/>
  <c r="N26"/>
  <c r="J46"/>
  <c r="AS46"/>
  <c r="AR46"/>
  <c r="AQ46"/>
  <c r="E46"/>
  <c r="AN46"/>
  <c r="F46"/>
  <c r="AO46"/>
  <c r="AP46"/>
  <c r="Q46"/>
  <c r="AI46"/>
  <c r="AH46"/>
  <c r="AG46"/>
  <c r="AF46"/>
  <c r="AJ25"/>
  <c r="BB45"/>
  <c r="BA45"/>
  <c r="AZ45"/>
  <c r="F4"/>
  <c r="AY45"/>
  <c r="AX45"/>
  <c r="AW45"/>
  <c r="Q25"/>
  <c r="M45"/>
  <c r="AV45"/>
  <c r="AU45"/>
  <c r="AT45"/>
  <c r="N25"/>
  <c r="J45"/>
  <c r="AS45"/>
  <c r="AR45"/>
  <c r="AQ45"/>
  <c r="E45"/>
  <c r="AN45"/>
  <c r="F45"/>
  <c r="AO45"/>
  <c r="AP45"/>
  <c r="Q45"/>
  <c r="AI45"/>
  <c r="AH45"/>
  <c r="AG45"/>
  <c r="AF45"/>
  <c r="AJ24"/>
  <c r="BB44"/>
  <c r="BA44"/>
  <c r="AZ44"/>
  <c r="F3"/>
  <c r="AY44"/>
  <c r="AX44"/>
  <c r="AW44"/>
  <c r="Q24"/>
  <c r="M44"/>
  <c r="AV44"/>
  <c r="AU44"/>
  <c r="AT44"/>
  <c r="N24"/>
  <c r="J44"/>
  <c r="AS44"/>
  <c r="AR44"/>
  <c r="AQ44"/>
  <c r="E44"/>
  <c r="AN44"/>
  <c r="F44"/>
  <c r="AO44"/>
  <c r="AP44"/>
  <c r="Q44"/>
  <c r="AI44"/>
  <c r="AH44"/>
  <c r="AG44"/>
  <c r="AF44"/>
  <c r="AQ41"/>
  <c r="AP41"/>
  <c r="AO41"/>
  <c r="AN41"/>
  <c r="AM41"/>
  <c r="AL41"/>
  <c r="AK41"/>
  <c r="AJ41"/>
  <c r="AI41"/>
  <c r="AH41"/>
  <c r="AG41"/>
  <c r="AF41"/>
  <c r="AE41"/>
  <c r="AD41"/>
  <c r="AC41"/>
  <c r="AB41"/>
  <c r="AA41"/>
  <c r="Z41"/>
  <c r="Y41"/>
  <c r="I41"/>
  <c r="Q41"/>
  <c r="V41"/>
  <c r="H41"/>
  <c r="N41"/>
  <c r="U41"/>
  <c r="S41"/>
  <c r="R41"/>
  <c r="G41"/>
  <c r="F41"/>
  <c r="E41"/>
  <c r="D41"/>
  <c r="C41"/>
  <c r="AQ40"/>
  <c r="AP40"/>
  <c r="AO40"/>
  <c r="AN40"/>
  <c r="AM40"/>
  <c r="AL40"/>
  <c r="AK40"/>
  <c r="AJ40"/>
  <c r="AI40"/>
  <c r="AH40"/>
  <c r="AG40"/>
  <c r="AF40"/>
  <c r="AE40"/>
  <c r="AD40"/>
  <c r="AC40"/>
  <c r="AB40"/>
  <c r="AA40"/>
  <c r="Z40"/>
  <c r="Y40"/>
  <c r="W40"/>
  <c r="V40"/>
  <c r="T40"/>
  <c r="R40"/>
  <c r="S40"/>
  <c r="I40"/>
  <c r="Q40"/>
  <c r="H40"/>
  <c r="N40"/>
  <c r="G40"/>
  <c r="F40"/>
  <c r="E40"/>
  <c r="D40"/>
  <c r="C40"/>
  <c r="I39"/>
  <c r="AQ38"/>
  <c r="AP38"/>
  <c r="AO38"/>
  <c r="AN38"/>
  <c r="AM38"/>
  <c r="AL38"/>
  <c r="AK38"/>
  <c r="AJ38"/>
  <c r="AI38"/>
  <c r="AH38"/>
  <c r="AG38"/>
  <c r="AF38"/>
  <c r="AE38"/>
  <c r="AD38"/>
  <c r="AC38"/>
  <c r="AB38"/>
  <c r="AA38"/>
  <c r="Z38"/>
  <c r="Y38"/>
  <c r="I38"/>
  <c r="H38"/>
  <c r="G38"/>
  <c r="F38"/>
  <c r="E38"/>
  <c r="D38"/>
  <c r="C38"/>
  <c r="AQ37"/>
  <c r="AG37"/>
  <c r="AE37"/>
  <c r="AD37"/>
  <c r="AC37"/>
  <c r="AA37"/>
  <c r="Y37"/>
  <c r="V37"/>
  <c r="U37"/>
  <c r="S37"/>
  <c r="R37"/>
  <c r="G37"/>
  <c r="D37"/>
  <c r="C37"/>
  <c r="AQ36"/>
  <c r="AG36"/>
  <c r="AE36"/>
  <c r="AD36"/>
  <c r="AC36"/>
  <c r="AA36"/>
  <c r="Y36"/>
  <c r="V36"/>
  <c r="U36"/>
  <c r="S36"/>
  <c r="R36"/>
  <c r="G36"/>
  <c r="D36"/>
  <c r="C36"/>
  <c r="AQ35"/>
  <c r="AG35"/>
  <c r="AE35"/>
  <c r="AD35"/>
  <c r="AC35"/>
  <c r="AA35"/>
  <c r="Y35"/>
  <c r="V35"/>
  <c r="U35"/>
  <c r="S35"/>
  <c r="R35"/>
  <c r="G35"/>
  <c r="D35"/>
  <c r="C35"/>
  <c r="AQ34"/>
  <c r="AG34"/>
  <c r="AE34"/>
  <c r="AD34"/>
  <c r="AC34"/>
  <c r="AA34"/>
  <c r="Y34"/>
  <c r="V34"/>
  <c r="U34"/>
  <c r="S34"/>
  <c r="R34"/>
  <c r="G34"/>
  <c r="D34"/>
  <c r="C34"/>
  <c r="AQ33"/>
  <c r="AG33"/>
  <c r="AE33"/>
  <c r="AD33"/>
  <c r="AC33"/>
  <c r="AA33"/>
  <c r="Y33"/>
  <c r="V33"/>
  <c r="U33"/>
  <c r="S33"/>
  <c r="R33"/>
  <c r="G33"/>
  <c r="D33"/>
  <c r="C33"/>
  <c r="AQ32"/>
  <c r="AG32"/>
  <c r="AE32"/>
  <c r="AD32"/>
  <c r="AC32"/>
  <c r="AA32"/>
  <c r="Y32"/>
  <c r="V32"/>
  <c r="U32"/>
  <c r="S32"/>
  <c r="R32"/>
  <c r="G32"/>
  <c r="D32"/>
  <c r="C32"/>
  <c r="AQ31"/>
  <c r="AG31"/>
  <c r="AE31"/>
  <c r="AD31"/>
  <c r="AC31"/>
  <c r="AA31"/>
  <c r="Y31"/>
  <c r="V31"/>
  <c r="U31"/>
  <c r="S31"/>
  <c r="R31"/>
  <c r="G31"/>
  <c r="D31"/>
  <c r="C31"/>
  <c r="AQ30"/>
  <c r="AG30"/>
  <c r="AE30"/>
  <c r="AD30"/>
  <c r="AC30"/>
  <c r="AA30"/>
  <c r="Y30"/>
  <c r="V30"/>
  <c r="U30"/>
  <c r="S30"/>
  <c r="R30"/>
  <c r="G30"/>
  <c r="D30"/>
  <c r="C30"/>
  <c r="AQ29"/>
  <c r="AG29"/>
  <c r="AE29"/>
  <c r="AD29"/>
  <c r="AC29"/>
  <c r="AA29"/>
  <c r="Y29"/>
  <c r="V29"/>
  <c r="U29"/>
  <c r="S29"/>
  <c r="R29"/>
  <c r="G29"/>
  <c r="D29"/>
  <c r="C29"/>
  <c r="AQ28"/>
  <c r="AG28"/>
  <c r="AE28"/>
  <c r="AD28"/>
  <c r="AC28"/>
  <c r="AA28"/>
  <c r="Y28"/>
  <c r="V28"/>
  <c r="U28"/>
  <c r="S28"/>
  <c r="R28"/>
  <c r="G28"/>
  <c r="D28"/>
  <c r="C28"/>
  <c r="AQ27"/>
  <c r="AG27"/>
  <c r="AE27"/>
  <c r="AD27"/>
  <c r="AC27"/>
  <c r="AA27"/>
  <c r="Y27"/>
  <c r="V27"/>
  <c r="U27"/>
  <c r="S27"/>
  <c r="R27"/>
  <c r="G27"/>
  <c r="D27"/>
  <c r="C27"/>
  <c r="AQ26"/>
  <c r="AG26"/>
  <c r="AE26"/>
  <c r="AD26"/>
  <c r="AC26"/>
  <c r="AA26"/>
  <c r="Y26"/>
  <c r="V26"/>
  <c r="U26"/>
  <c r="S26"/>
  <c r="R26"/>
  <c r="G26"/>
  <c r="D26"/>
  <c r="C26"/>
  <c r="AQ25"/>
  <c r="AG25"/>
  <c r="AE25"/>
  <c r="AD25"/>
  <c r="AC25"/>
  <c r="AA25"/>
  <c r="Y25"/>
  <c r="V25"/>
  <c r="U25"/>
  <c r="S25"/>
  <c r="R25"/>
  <c r="G25"/>
  <c r="D25"/>
  <c r="C25"/>
  <c r="AQ24"/>
  <c r="AG24"/>
  <c r="AE24"/>
  <c r="AD24"/>
  <c r="AC24"/>
  <c r="AA24"/>
  <c r="Y24"/>
  <c r="V24"/>
  <c r="U24"/>
  <c r="S24"/>
  <c r="R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109"/>
  <c r="D5"/>
  <c r="H45"/>
  <c r="I45"/>
  <c r="J45"/>
  <c r="L45"/>
  <c r="D3"/>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H51"/>
  <c r="I51"/>
  <c r="J51"/>
  <c r="L51"/>
  <c r="M51"/>
  <c r="K51"/>
  <c r="N51"/>
  <c r="O51"/>
  <c r="P51"/>
  <c r="R51"/>
  <c r="T51"/>
  <c r="H52"/>
  <c r="I52"/>
  <c r="J52"/>
  <c r="L52"/>
  <c r="M52"/>
  <c r="K52"/>
  <c r="N52"/>
  <c r="O52"/>
  <c r="P52"/>
  <c r="R52"/>
  <c r="T52"/>
  <c r="H53"/>
  <c r="I53"/>
  <c r="J53"/>
  <c r="L53"/>
  <c r="M53"/>
  <c r="K53"/>
  <c r="N53"/>
  <c r="O53"/>
  <c r="P53"/>
  <c r="R53"/>
  <c r="T53"/>
  <c r="H54"/>
  <c r="I54"/>
  <c r="J54"/>
  <c r="L54"/>
  <c r="M54"/>
  <c r="K54"/>
  <c r="N54"/>
  <c r="O54"/>
  <c r="P54"/>
  <c r="R54"/>
  <c r="T54"/>
  <c r="H55"/>
  <c r="I55"/>
  <c r="J55"/>
  <c r="L55"/>
  <c r="M55"/>
  <c r="K55"/>
  <c r="N55"/>
  <c r="O55"/>
  <c r="P55"/>
  <c r="R55"/>
  <c r="T55"/>
  <c r="H56"/>
  <c r="I56"/>
  <c r="J56"/>
  <c r="L56"/>
  <c r="M56"/>
  <c r="K56"/>
  <c r="N56"/>
  <c r="O56"/>
  <c r="P56"/>
  <c r="R56"/>
  <c r="T56"/>
  <c r="T58"/>
  <c r="S45"/>
  <c r="S46"/>
  <c r="S47"/>
  <c r="S48"/>
  <c r="S49"/>
  <c r="S50"/>
  <c r="S51"/>
  <c r="S52"/>
  <c r="S53"/>
  <c r="S54"/>
  <c r="S55"/>
  <c r="S56"/>
  <c r="S58"/>
  <c r="R58"/>
  <c r="P61"/>
  <c r="O58"/>
  <c r="I66"/>
  <c r="I67"/>
  <c r="U45"/>
  <c r="U46"/>
  <c r="U47"/>
  <c r="U48"/>
  <c r="U49"/>
  <c r="U50"/>
  <c r="U51"/>
  <c r="U52"/>
  <c r="U53"/>
  <c r="U54"/>
  <c r="U55"/>
  <c r="U56"/>
  <c r="U58"/>
  <c r="I68"/>
  <c r="I69"/>
  <c r="I70"/>
  <c r="V45"/>
  <c r="W45"/>
  <c r="V46"/>
  <c r="W46"/>
  <c r="V47"/>
  <c r="W47"/>
  <c r="V48"/>
  <c r="W48"/>
  <c r="V49"/>
  <c r="W49"/>
  <c r="V50"/>
  <c r="W50"/>
  <c r="V51"/>
  <c r="W51"/>
  <c r="V52"/>
  <c r="W52"/>
  <c r="V53"/>
  <c r="W53"/>
  <c r="V54"/>
  <c r="W54"/>
  <c r="V55"/>
  <c r="W55"/>
  <c r="V56"/>
  <c r="W56"/>
  <c r="W58"/>
  <c r="V58"/>
  <c r="I72"/>
  <c r="I73"/>
  <c r="M74"/>
  <c r="M75"/>
  <c r="I74"/>
  <c r="AJ45"/>
  <c r="AK45"/>
  <c r="AJ46"/>
  <c r="AK46"/>
  <c r="AJ47"/>
  <c r="AK47"/>
  <c r="AJ48"/>
  <c r="AK48"/>
  <c r="AJ49"/>
  <c r="AK49"/>
  <c r="AJ50"/>
  <c r="AK50"/>
  <c r="AJ51"/>
  <c r="AK51"/>
  <c r="AJ52"/>
  <c r="AK52"/>
  <c r="AJ53"/>
  <c r="AK53"/>
  <c r="AJ54"/>
  <c r="AK54"/>
  <c r="AJ55"/>
  <c r="AK55"/>
  <c r="AJ56"/>
  <c r="AK56"/>
  <c r="AL45"/>
  <c r="AL46"/>
  <c r="AL47"/>
  <c r="AL48"/>
  <c r="AL49"/>
  <c r="AL50"/>
  <c r="AL51"/>
  <c r="AL52"/>
  <c r="AL53"/>
  <c r="AL54"/>
  <c r="AL55"/>
  <c r="AL56"/>
  <c r="Q67"/>
  <c r="Q68"/>
  <c r="Q69"/>
  <c r="Q70"/>
  <c r="AH69"/>
  <c r="AH68"/>
  <c r="AH67"/>
  <c r="I62"/>
  <c r="I63"/>
  <c r="AH65"/>
  <c r="AH64"/>
  <c r="I61"/>
  <c r="M63"/>
  <c r="M64"/>
  <c r="AH63"/>
  <c r="P63"/>
  <c r="P62"/>
  <c r="AX56"/>
  <c r="AW56"/>
  <c r="AV56"/>
  <c r="AU56"/>
  <c r="AT56"/>
  <c r="AS56"/>
  <c r="AR56"/>
  <c r="AQ56"/>
  <c r="E56"/>
  <c r="AN56"/>
  <c r="F56"/>
  <c r="AO56"/>
  <c r="AP56"/>
  <c r="Q56"/>
  <c r="AH56"/>
  <c r="AG56"/>
  <c r="AF56"/>
  <c r="AX55"/>
  <c r="AW55"/>
  <c r="AV55"/>
  <c r="AU55"/>
  <c r="AT55"/>
  <c r="AS55"/>
  <c r="AR55"/>
  <c r="AQ55"/>
  <c r="E55"/>
  <c r="AN55"/>
  <c r="F55"/>
  <c r="AO55"/>
  <c r="AP55"/>
  <c r="Q55"/>
  <c r="AH55"/>
  <c r="AG55"/>
  <c r="AF55"/>
  <c r="AX54"/>
  <c r="AW54"/>
  <c r="AV54"/>
  <c r="AU54"/>
  <c r="AT54"/>
  <c r="AS54"/>
  <c r="AR54"/>
  <c r="AQ54"/>
  <c r="E54"/>
  <c r="AN54"/>
  <c r="F54"/>
  <c r="AO54"/>
  <c r="AP54"/>
  <c r="Q54"/>
  <c r="AH54"/>
  <c r="AG54"/>
  <c r="AF54"/>
  <c r="AX53"/>
  <c r="AW53"/>
  <c r="AV53"/>
  <c r="AU53"/>
  <c r="AT53"/>
  <c r="AS53"/>
  <c r="AR53"/>
  <c r="AQ53"/>
  <c r="E53"/>
  <c r="AN53"/>
  <c r="F53"/>
  <c r="AO53"/>
  <c r="AP53"/>
  <c r="Q53"/>
  <c r="AH53"/>
  <c r="AG53"/>
  <c r="AF53"/>
  <c r="AX52"/>
  <c r="AW52"/>
  <c r="AV52"/>
  <c r="AU52"/>
  <c r="AT52"/>
  <c r="AS52"/>
  <c r="AR52"/>
  <c r="AQ52"/>
  <c r="E52"/>
  <c r="AN52"/>
  <c r="F52"/>
  <c r="AO52"/>
  <c r="AP52"/>
  <c r="Q52"/>
  <c r="AH52"/>
  <c r="AG52"/>
  <c r="AF52"/>
  <c r="AX51"/>
  <c r="AW51"/>
  <c r="AV51"/>
  <c r="AU51"/>
  <c r="AT51"/>
  <c r="AS51"/>
  <c r="AR51"/>
  <c r="AQ51"/>
  <c r="E51"/>
  <c r="AN51"/>
  <c r="F51"/>
  <c r="AO51"/>
  <c r="AP51"/>
  <c r="Q51"/>
  <c r="AH51"/>
  <c r="AG51"/>
  <c r="AF51"/>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F5"/>
  <c r="AY46"/>
  <c r="AX46"/>
  <c r="AW46"/>
  <c r="AV46"/>
  <c r="AU46"/>
  <c r="AT46"/>
  <c r="AS46"/>
  <c r="AR46"/>
  <c r="AQ46"/>
  <c r="E46"/>
  <c r="AN46"/>
  <c r="F46"/>
  <c r="AO46"/>
  <c r="AP46"/>
  <c r="Q46"/>
  <c r="AH46"/>
  <c r="AG46"/>
  <c r="AF46"/>
  <c r="F6"/>
  <c r="AY45"/>
  <c r="AX45"/>
  <c r="AW45"/>
  <c r="AV45"/>
  <c r="AU45"/>
  <c r="AT45"/>
  <c r="AS45"/>
  <c r="AR45"/>
  <c r="AQ45"/>
  <c r="E45"/>
  <c r="AN45"/>
  <c r="F45"/>
  <c r="AO45"/>
  <c r="AP45"/>
  <c r="Q45"/>
  <c r="AH45"/>
  <c r="AG45"/>
  <c r="AF45"/>
  <c r="I43"/>
  <c r="AQ42"/>
  <c r="AP42"/>
  <c r="AO42"/>
  <c r="AN42"/>
  <c r="AM42"/>
  <c r="AL42"/>
  <c r="AK42"/>
  <c r="AJ42"/>
  <c r="AI42"/>
  <c r="AH42"/>
  <c r="AG42"/>
  <c r="AF42"/>
  <c r="AE42"/>
  <c r="AD42"/>
  <c r="AC42"/>
  <c r="AB42"/>
  <c r="AA42"/>
  <c r="Z42"/>
  <c r="Y42"/>
  <c r="I42"/>
  <c r="H42"/>
  <c r="G42"/>
  <c r="F42"/>
  <c r="E42"/>
  <c r="D42"/>
  <c r="C42"/>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9"/>
  <c r="AP39"/>
  <c r="AO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I36"/>
  <c r="H36"/>
  <c r="G36"/>
  <c r="F36"/>
  <c r="E36"/>
  <c r="D36"/>
  <c r="C36"/>
  <c r="AQ35"/>
  <c r="AJ35"/>
  <c r="AG35"/>
  <c r="AE35"/>
  <c r="AD35"/>
  <c r="AC35"/>
  <c r="AA35"/>
  <c r="Y35"/>
  <c r="G35"/>
  <c r="D35"/>
  <c r="C35"/>
  <c r="AQ34"/>
  <c r="AJ34"/>
  <c r="AG34"/>
  <c r="AE34"/>
  <c r="AD34"/>
  <c r="AC34"/>
  <c r="Y34"/>
  <c r="G34"/>
  <c r="D34"/>
  <c r="C34"/>
  <c r="AQ33"/>
  <c r="AJ33"/>
  <c r="AG33"/>
  <c r="AE33"/>
  <c r="AD33"/>
  <c r="AC33"/>
  <c r="Y33"/>
  <c r="G33"/>
  <c r="D33"/>
  <c r="C33"/>
  <c r="AQ32"/>
  <c r="AJ32"/>
  <c r="AG32"/>
  <c r="AE32"/>
  <c r="AD32"/>
  <c r="AC32"/>
  <c r="AA32"/>
  <c r="Y32"/>
  <c r="G32"/>
  <c r="D32"/>
  <c r="C32"/>
  <c r="AQ31"/>
  <c r="AJ31"/>
  <c r="AG31"/>
  <c r="AE31"/>
  <c r="AD31"/>
  <c r="AC31"/>
  <c r="AA31"/>
  <c r="Y31"/>
  <c r="G31"/>
  <c r="D31"/>
  <c r="C31"/>
  <c r="AQ30"/>
  <c r="AJ30"/>
  <c r="AG30"/>
  <c r="AE30"/>
  <c r="AD30"/>
  <c r="AC30"/>
  <c r="Y30"/>
  <c r="G30"/>
  <c r="D30"/>
  <c r="C30"/>
  <c r="AQ29"/>
  <c r="AJ29"/>
  <c r="AG29"/>
  <c r="AE29"/>
  <c r="AD29"/>
  <c r="AC29"/>
  <c r="Y29"/>
  <c r="G29"/>
  <c r="D29"/>
  <c r="C29"/>
  <c r="AQ28"/>
  <c r="AJ28"/>
  <c r="Y28"/>
  <c r="G28"/>
  <c r="D28"/>
  <c r="C28"/>
  <c r="AQ27"/>
  <c r="AJ27"/>
  <c r="Y27"/>
  <c r="G27"/>
  <c r="D27"/>
  <c r="C27"/>
  <c r="AQ26"/>
  <c r="AJ26"/>
  <c r="AG26"/>
  <c r="AE26"/>
  <c r="AD26"/>
  <c r="AC26"/>
  <c r="AA26"/>
  <c r="Y26"/>
  <c r="G26"/>
  <c r="D26"/>
  <c r="C26"/>
  <c r="AQ25"/>
  <c r="AJ25"/>
  <c r="AG25"/>
  <c r="AE25"/>
  <c r="AD25"/>
  <c r="AC25"/>
  <c r="AA25"/>
  <c r="Y25"/>
  <c r="G25"/>
  <c r="D25"/>
  <c r="C25"/>
  <c r="AQ24"/>
  <c r="AJ24"/>
  <c r="AG24"/>
  <c r="AE24"/>
  <c r="AD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4"/>
  <c r="F3"/>
  <c r="D6" i="170"/>
  <c r="D5"/>
  <c r="H44"/>
  <c r="I44"/>
  <c r="J44"/>
  <c r="L44"/>
  <c r="D3"/>
  <c r="M44"/>
  <c r="K44"/>
  <c r="N44"/>
  <c r="O44"/>
  <c r="P44"/>
  <c r="R44"/>
  <c r="T44"/>
  <c r="H45"/>
  <c r="I45"/>
  <c r="J45"/>
  <c r="L45"/>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T31"/>
  <c r="J49"/>
  <c r="V31"/>
  <c r="L49"/>
  <c r="M49"/>
  <c r="K49"/>
  <c r="N49"/>
  <c r="O49"/>
  <c r="P49"/>
  <c r="R49"/>
  <c r="T49"/>
  <c r="H50"/>
  <c r="I50"/>
  <c r="T32"/>
  <c r="J50"/>
  <c r="V32"/>
  <c r="L50"/>
  <c r="M50"/>
  <c r="K50"/>
  <c r="N50"/>
  <c r="O50"/>
  <c r="P50"/>
  <c r="R50"/>
  <c r="T50"/>
  <c r="H51"/>
  <c r="I51"/>
  <c r="T33"/>
  <c r="J51"/>
  <c r="V33"/>
  <c r="L51"/>
  <c r="M51"/>
  <c r="K51"/>
  <c r="N51"/>
  <c r="O51"/>
  <c r="P51"/>
  <c r="R51"/>
  <c r="T51"/>
  <c r="T53"/>
  <c r="S44"/>
  <c r="S45"/>
  <c r="S46"/>
  <c r="S47"/>
  <c r="S48"/>
  <c r="S49"/>
  <c r="S50"/>
  <c r="S51"/>
  <c r="S53"/>
  <c r="R53"/>
  <c r="P56"/>
  <c r="O53"/>
  <c r="I61"/>
  <c r="I65"/>
  <c r="V44"/>
  <c r="W44"/>
  <c r="V45"/>
  <c r="W45"/>
  <c r="V46"/>
  <c r="W46"/>
  <c r="V47"/>
  <c r="W47"/>
  <c r="V48"/>
  <c r="W48"/>
  <c r="V49"/>
  <c r="W49"/>
  <c r="V50"/>
  <c r="W50"/>
  <c r="V51"/>
  <c r="W51"/>
  <c r="W53"/>
  <c r="V53"/>
  <c r="I67"/>
  <c r="I68"/>
  <c r="M69"/>
  <c r="M70"/>
  <c r="I69"/>
  <c r="AJ44"/>
  <c r="AK44"/>
  <c r="AJ45"/>
  <c r="AK45"/>
  <c r="AJ46"/>
  <c r="AK46"/>
  <c r="AJ47"/>
  <c r="AK47"/>
  <c r="AJ48"/>
  <c r="AK48"/>
  <c r="AJ49"/>
  <c r="AK49"/>
  <c r="AJ50"/>
  <c r="AK50"/>
  <c r="AJ51"/>
  <c r="AK51"/>
  <c r="AL44"/>
  <c r="AL45"/>
  <c r="AL46"/>
  <c r="AL47"/>
  <c r="AL48"/>
  <c r="AL49"/>
  <c r="AL50"/>
  <c r="AL51"/>
  <c r="Q62"/>
  <c r="Q63"/>
  <c r="Q64"/>
  <c r="Q65"/>
  <c r="AH64"/>
  <c r="I62"/>
  <c r="U44"/>
  <c r="U45"/>
  <c r="U46"/>
  <c r="U47"/>
  <c r="U48"/>
  <c r="U49"/>
  <c r="U50"/>
  <c r="U51"/>
  <c r="U53"/>
  <c r="I63"/>
  <c r="I64"/>
  <c r="AH63"/>
  <c r="AH62"/>
  <c r="I57"/>
  <c r="I58"/>
  <c r="AH60"/>
  <c r="AH59"/>
  <c r="I56"/>
  <c r="M58"/>
  <c r="M59"/>
  <c r="AH58"/>
  <c r="P58"/>
  <c r="P57"/>
  <c r="AX51"/>
  <c r="AW51"/>
  <c r="AV51"/>
  <c r="AU51"/>
  <c r="AT51"/>
  <c r="AS51"/>
  <c r="AR51"/>
  <c r="AQ51"/>
  <c r="E51"/>
  <c r="AN51"/>
  <c r="F51"/>
  <c r="AO51"/>
  <c r="AP51"/>
  <c r="Q51"/>
  <c r="AH51"/>
  <c r="AG51"/>
  <c r="AF51"/>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F5"/>
  <c r="AY44"/>
  <c r="AX44"/>
  <c r="AW44"/>
  <c r="AV44"/>
  <c r="AU44"/>
  <c r="AT44"/>
  <c r="AS44"/>
  <c r="AR44"/>
  <c r="AQ44"/>
  <c r="E44"/>
  <c r="AN44"/>
  <c r="F44"/>
  <c r="AO44"/>
  <c r="AP44"/>
  <c r="Q44"/>
  <c r="AH44"/>
  <c r="AG44"/>
  <c r="AF44"/>
  <c r="I42"/>
  <c r="AQ40"/>
  <c r="AP40"/>
  <c r="AO40"/>
  <c r="AN40"/>
  <c r="AM40"/>
  <c r="AL40"/>
  <c r="AK40"/>
  <c r="AJ40"/>
  <c r="AI40"/>
  <c r="AH40"/>
  <c r="AG40"/>
  <c r="AF40"/>
  <c r="AE40"/>
  <c r="AD40"/>
  <c r="AC40"/>
  <c r="AB40"/>
  <c r="AA40"/>
  <c r="Z40"/>
  <c r="Y40"/>
  <c r="I40"/>
  <c r="H40"/>
  <c r="G40"/>
  <c r="F40"/>
  <c r="E40"/>
  <c r="D40"/>
  <c r="C40"/>
  <c r="AQ39"/>
  <c r="AP39"/>
  <c r="AO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I38"/>
  <c r="H38"/>
  <c r="G38"/>
  <c r="F38"/>
  <c r="E38"/>
  <c r="D38"/>
  <c r="AQ37"/>
  <c r="AP37"/>
  <c r="AO37"/>
  <c r="AN37"/>
  <c r="AM37"/>
  <c r="AL37"/>
  <c r="AK37"/>
  <c r="AJ37"/>
  <c r="AI37"/>
  <c r="AH37"/>
  <c r="AG37"/>
  <c r="AF37"/>
  <c r="AE37"/>
  <c r="AD37"/>
  <c r="AC37"/>
  <c r="AB37"/>
  <c r="AA37"/>
  <c r="Z37"/>
  <c r="Y37"/>
  <c r="I37"/>
  <c r="H37"/>
  <c r="G37"/>
  <c r="F37"/>
  <c r="E37"/>
  <c r="D37"/>
  <c r="C37"/>
  <c r="AQ35"/>
  <c r="AP35"/>
  <c r="AO35"/>
  <c r="AN35"/>
  <c r="AM35"/>
  <c r="AL35"/>
  <c r="AK35"/>
  <c r="AJ35"/>
  <c r="AI35"/>
  <c r="AH35"/>
  <c r="AG35"/>
  <c r="AF35"/>
  <c r="AE35"/>
  <c r="AD35"/>
  <c r="AC35"/>
  <c r="AB35"/>
  <c r="AA35"/>
  <c r="Z35"/>
  <c r="Y35"/>
  <c r="I35"/>
  <c r="H35"/>
  <c r="G35"/>
  <c r="F35"/>
  <c r="E35"/>
  <c r="D35"/>
  <c r="C35"/>
  <c r="AQ33"/>
  <c r="AJ33"/>
  <c r="AG33"/>
  <c r="AE33"/>
  <c r="AD33"/>
  <c r="AC33"/>
  <c r="AA33"/>
  <c r="Y33"/>
  <c r="G33"/>
  <c r="D33"/>
  <c r="C33"/>
  <c r="AQ32"/>
  <c r="AJ32"/>
  <c r="AG32"/>
  <c r="AE32"/>
  <c r="AD32"/>
  <c r="AC32"/>
  <c r="AA32"/>
  <c r="Y32"/>
  <c r="G32"/>
  <c r="D32"/>
  <c r="C32"/>
  <c r="AQ31"/>
  <c r="AJ31"/>
  <c r="AG31"/>
  <c r="AE31"/>
  <c r="AD31"/>
  <c r="AC31"/>
  <c r="AA31"/>
  <c r="Y31"/>
  <c r="G31"/>
  <c r="D31"/>
  <c r="C31"/>
  <c r="Y28"/>
  <c r="G28"/>
  <c r="D28"/>
  <c r="C28"/>
  <c r="Y27"/>
  <c r="G27"/>
  <c r="D27"/>
  <c r="C27"/>
  <c r="AQ26"/>
  <c r="AJ26"/>
  <c r="AG26"/>
  <c r="AE26"/>
  <c r="AD26"/>
  <c r="AC26"/>
  <c r="AA26"/>
  <c r="Y26"/>
  <c r="G26"/>
  <c r="D26"/>
  <c r="C26"/>
  <c r="AQ25"/>
  <c r="AJ25"/>
  <c r="AG25"/>
  <c r="Y25"/>
  <c r="G25"/>
  <c r="D25"/>
  <c r="C25"/>
  <c r="AQ24"/>
  <c r="AJ24"/>
  <c r="AG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F3"/>
  <c r="D6" i="169"/>
  <c r="D5"/>
  <c r="H46"/>
  <c r="I46"/>
  <c r="J46"/>
  <c r="L46"/>
  <c r="D3"/>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H51"/>
  <c r="I51"/>
  <c r="J51"/>
  <c r="L51"/>
  <c r="M51"/>
  <c r="K51"/>
  <c r="N51"/>
  <c r="O51"/>
  <c r="P51"/>
  <c r="R51"/>
  <c r="T51"/>
  <c r="H52"/>
  <c r="I52"/>
  <c r="T32"/>
  <c r="J52"/>
  <c r="V32"/>
  <c r="L52"/>
  <c r="M52"/>
  <c r="K52"/>
  <c r="N52"/>
  <c r="O52"/>
  <c r="P52"/>
  <c r="R52"/>
  <c r="T52"/>
  <c r="H53"/>
  <c r="I53"/>
  <c r="T33"/>
  <c r="J53"/>
  <c r="V33"/>
  <c r="L53"/>
  <c r="M53"/>
  <c r="K53"/>
  <c r="N53"/>
  <c r="O53"/>
  <c r="P53"/>
  <c r="R53"/>
  <c r="T53"/>
  <c r="H54"/>
  <c r="I54"/>
  <c r="T34"/>
  <c r="J54"/>
  <c r="V34"/>
  <c r="L54"/>
  <c r="M54"/>
  <c r="K54"/>
  <c r="N54"/>
  <c r="O54"/>
  <c r="P54"/>
  <c r="R54"/>
  <c r="T54"/>
  <c r="T56"/>
  <c r="S46"/>
  <c r="S47"/>
  <c r="S48"/>
  <c r="S49"/>
  <c r="S50"/>
  <c r="S51"/>
  <c r="S52"/>
  <c r="S53"/>
  <c r="S54"/>
  <c r="S56"/>
  <c r="R56"/>
  <c r="P59"/>
  <c r="O56"/>
  <c r="I64"/>
  <c r="I65"/>
  <c r="U46"/>
  <c r="U47"/>
  <c r="U48"/>
  <c r="U49"/>
  <c r="U50"/>
  <c r="U51"/>
  <c r="U52"/>
  <c r="U53"/>
  <c r="U54"/>
  <c r="U56"/>
  <c r="I66"/>
  <c r="I67"/>
  <c r="I68"/>
  <c r="V46"/>
  <c r="W46"/>
  <c r="V47"/>
  <c r="W47"/>
  <c r="V48"/>
  <c r="W48"/>
  <c r="V49"/>
  <c r="W49"/>
  <c r="V50"/>
  <c r="W50"/>
  <c r="V51"/>
  <c r="W51"/>
  <c r="V52"/>
  <c r="W52"/>
  <c r="V53"/>
  <c r="W53"/>
  <c r="V54"/>
  <c r="W54"/>
  <c r="W56"/>
  <c r="V56"/>
  <c r="I70"/>
  <c r="I71"/>
  <c r="M72"/>
  <c r="M73"/>
  <c r="I72"/>
  <c r="AJ46"/>
  <c r="AK46"/>
  <c r="AJ47"/>
  <c r="AK47"/>
  <c r="AJ48"/>
  <c r="AK48"/>
  <c r="AJ49"/>
  <c r="AK49"/>
  <c r="AJ50"/>
  <c r="AK50"/>
  <c r="AJ51"/>
  <c r="AK51"/>
  <c r="AJ52"/>
  <c r="AK52"/>
  <c r="AJ53"/>
  <c r="AK53"/>
  <c r="AJ54"/>
  <c r="AK54"/>
  <c r="AL46"/>
  <c r="AL47"/>
  <c r="AL48"/>
  <c r="AL49"/>
  <c r="AL50"/>
  <c r="AL51"/>
  <c r="AL52"/>
  <c r="AL53"/>
  <c r="AL54"/>
  <c r="Q65"/>
  <c r="Q66"/>
  <c r="Q67"/>
  <c r="Q68"/>
  <c r="AH67"/>
  <c r="AH66"/>
  <c r="AH65"/>
  <c r="I60"/>
  <c r="I61"/>
  <c r="AH63"/>
  <c r="AH62"/>
  <c r="I59"/>
  <c r="M61"/>
  <c r="M62"/>
  <c r="AH61"/>
  <c r="P61"/>
  <c r="P60"/>
  <c r="AX54"/>
  <c r="AW54"/>
  <c r="AV54"/>
  <c r="AU54"/>
  <c r="AT54"/>
  <c r="AS54"/>
  <c r="AR54"/>
  <c r="AQ54"/>
  <c r="E54"/>
  <c r="AN54"/>
  <c r="F54"/>
  <c r="AO54"/>
  <c r="AP54"/>
  <c r="Q54"/>
  <c r="AH54"/>
  <c r="AG54"/>
  <c r="AF54"/>
  <c r="AX53"/>
  <c r="AW53"/>
  <c r="AV53"/>
  <c r="AU53"/>
  <c r="AT53"/>
  <c r="AS53"/>
  <c r="AR53"/>
  <c r="AQ53"/>
  <c r="E53"/>
  <c r="AN53"/>
  <c r="F53"/>
  <c r="AO53"/>
  <c r="AP53"/>
  <c r="Q53"/>
  <c r="AH53"/>
  <c r="AG53"/>
  <c r="AF53"/>
  <c r="AX52"/>
  <c r="AW52"/>
  <c r="AV52"/>
  <c r="AU52"/>
  <c r="AT52"/>
  <c r="AS52"/>
  <c r="AR52"/>
  <c r="AQ52"/>
  <c r="E52"/>
  <c r="AN52"/>
  <c r="F52"/>
  <c r="AO52"/>
  <c r="AP52"/>
  <c r="Q52"/>
  <c r="AH52"/>
  <c r="AG52"/>
  <c r="AF52"/>
  <c r="AX51"/>
  <c r="AW51"/>
  <c r="AV51"/>
  <c r="AU51"/>
  <c r="AT51"/>
  <c r="AS51"/>
  <c r="AR51"/>
  <c r="AQ51"/>
  <c r="E51"/>
  <c r="AN51"/>
  <c r="F51"/>
  <c r="AO51"/>
  <c r="AP51"/>
  <c r="Q51"/>
  <c r="AH51"/>
  <c r="AG51"/>
  <c r="AF51"/>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F5"/>
  <c r="AY46"/>
  <c r="AX46"/>
  <c r="AW46"/>
  <c r="AV46"/>
  <c r="AU46"/>
  <c r="AT46"/>
  <c r="AS46"/>
  <c r="AR46"/>
  <c r="AQ46"/>
  <c r="E46"/>
  <c r="AN46"/>
  <c r="F46"/>
  <c r="AO46"/>
  <c r="AP46"/>
  <c r="Q46"/>
  <c r="AH46"/>
  <c r="AG46"/>
  <c r="AF46"/>
  <c r="I44"/>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9"/>
  <c r="AP39"/>
  <c r="AO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I37"/>
  <c r="H37"/>
  <c r="G37"/>
  <c r="F37"/>
  <c r="E37"/>
  <c r="D37"/>
  <c r="C37"/>
  <c r="AQ34"/>
  <c r="AJ34"/>
  <c r="AG34"/>
  <c r="AE34"/>
  <c r="AD34"/>
  <c r="AC34"/>
  <c r="AA34"/>
  <c r="Y34"/>
  <c r="G34"/>
  <c r="D34"/>
  <c r="C34"/>
  <c r="AQ33"/>
  <c r="AJ33"/>
  <c r="AG33"/>
  <c r="AE33"/>
  <c r="AD33"/>
  <c r="AC33"/>
  <c r="AA33"/>
  <c r="Y33"/>
  <c r="G33"/>
  <c r="D33"/>
  <c r="C33"/>
  <c r="AQ32"/>
  <c r="AJ32"/>
  <c r="AG32"/>
  <c r="AE32"/>
  <c r="AD32"/>
  <c r="AC32"/>
  <c r="AA32"/>
  <c r="Y32"/>
  <c r="G32"/>
  <c r="D32"/>
  <c r="C32"/>
  <c r="AQ31"/>
  <c r="AP31"/>
  <c r="AO31"/>
  <c r="AN31"/>
  <c r="AM31"/>
  <c r="AL31"/>
  <c r="AK31"/>
  <c r="AJ31"/>
  <c r="AI31"/>
  <c r="AH31"/>
  <c r="AG31"/>
  <c r="AF31"/>
  <c r="AE31"/>
  <c r="AD31"/>
  <c r="AC31"/>
  <c r="AB31"/>
  <c r="AA31"/>
  <c r="Z31"/>
  <c r="Y31"/>
  <c r="I31"/>
  <c r="H31"/>
  <c r="G31"/>
  <c r="F31"/>
  <c r="AQ29"/>
  <c r="AJ29"/>
  <c r="AG29"/>
  <c r="AE29"/>
  <c r="AD29"/>
  <c r="Y29"/>
  <c r="G29"/>
  <c r="D29"/>
  <c r="C29"/>
  <c r="AQ28"/>
  <c r="AJ28"/>
  <c r="AG28"/>
  <c r="AE28"/>
  <c r="AD28"/>
  <c r="Y28"/>
  <c r="G28"/>
  <c r="D28"/>
  <c r="C28"/>
  <c r="AQ27"/>
  <c r="AJ27"/>
  <c r="AG27"/>
  <c r="AE27"/>
  <c r="AD27"/>
  <c r="AC27"/>
  <c r="Y27"/>
  <c r="G27"/>
  <c r="D27"/>
  <c r="C27"/>
  <c r="AQ26"/>
  <c r="AJ26"/>
  <c r="AG26"/>
  <c r="AE26"/>
  <c r="AD26"/>
  <c r="AC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F3"/>
  <c r="D6" i="171"/>
  <c r="D5"/>
  <c r="H39"/>
  <c r="I39"/>
  <c r="J39"/>
  <c r="L39"/>
  <c r="D3"/>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T31"/>
  <c r="J44"/>
  <c r="V31"/>
  <c r="L44"/>
  <c r="M44"/>
  <c r="K44"/>
  <c r="N44"/>
  <c r="O44"/>
  <c r="P44"/>
  <c r="R44"/>
  <c r="T44"/>
  <c r="H45"/>
  <c r="I45"/>
  <c r="T32"/>
  <c r="J45"/>
  <c r="V32"/>
  <c r="L45"/>
  <c r="M45"/>
  <c r="K45"/>
  <c r="N45"/>
  <c r="O45"/>
  <c r="P45"/>
  <c r="R45"/>
  <c r="T45"/>
  <c r="T47"/>
  <c r="S39"/>
  <c r="S40"/>
  <c r="S41"/>
  <c r="S42"/>
  <c r="S43"/>
  <c r="S44"/>
  <c r="S45"/>
  <c r="S47"/>
  <c r="R47"/>
  <c r="P50"/>
  <c r="O47"/>
  <c r="I55"/>
  <c r="I56"/>
  <c r="U39"/>
  <c r="U40"/>
  <c r="U41"/>
  <c r="U42"/>
  <c r="U43"/>
  <c r="U44"/>
  <c r="U45"/>
  <c r="U47"/>
  <c r="I57"/>
  <c r="I58"/>
  <c r="I59"/>
  <c r="V39"/>
  <c r="W39"/>
  <c r="V40"/>
  <c r="W40"/>
  <c r="V41"/>
  <c r="W41"/>
  <c r="V42"/>
  <c r="W42"/>
  <c r="V43"/>
  <c r="W43"/>
  <c r="V44"/>
  <c r="W44"/>
  <c r="V45"/>
  <c r="W45"/>
  <c r="W47"/>
  <c r="V47"/>
  <c r="I61"/>
  <c r="I62"/>
  <c r="M63"/>
  <c r="M64"/>
  <c r="I63"/>
  <c r="AJ39"/>
  <c r="AK39"/>
  <c r="AJ40"/>
  <c r="AK40"/>
  <c r="AJ41"/>
  <c r="AK41"/>
  <c r="AJ42"/>
  <c r="AK42"/>
  <c r="AJ43"/>
  <c r="AK43"/>
  <c r="AJ44"/>
  <c r="AK44"/>
  <c r="AJ45"/>
  <c r="AK45"/>
  <c r="AL39"/>
  <c r="AL40"/>
  <c r="AL41"/>
  <c r="AL42"/>
  <c r="AL43"/>
  <c r="AL44"/>
  <c r="AL45"/>
  <c r="Q56"/>
  <c r="Q57"/>
  <c r="Q58"/>
  <c r="Q59"/>
  <c r="AH58"/>
  <c r="AH57"/>
  <c r="AH56"/>
  <c r="I51"/>
  <c r="I52"/>
  <c r="AH54"/>
  <c r="AH53"/>
  <c r="I50"/>
  <c r="M52"/>
  <c r="M53"/>
  <c r="AH52"/>
  <c r="P52"/>
  <c r="P51"/>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I37"/>
  <c r="AQ36"/>
  <c r="AP36"/>
  <c r="AO36"/>
  <c r="AN36"/>
  <c r="AM36"/>
  <c r="AL36"/>
  <c r="AK36"/>
  <c r="AJ36"/>
  <c r="AI36"/>
  <c r="AH36"/>
  <c r="AG36"/>
  <c r="AF36"/>
  <c r="AE36"/>
  <c r="I36"/>
  <c r="H36"/>
  <c r="G36"/>
  <c r="F36"/>
  <c r="E36"/>
  <c r="D36"/>
  <c r="C36"/>
  <c r="AQ35"/>
  <c r="AP35"/>
  <c r="AO35"/>
  <c r="AN35"/>
  <c r="AM35"/>
  <c r="AL35"/>
  <c r="AK35"/>
  <c r="AJ35"/>
  <c r="AI35"/>
  <c r="AH35"/>
  <c r="AG35"/>
  <c r="AF35"/>
  <c r="AE35"/>
  <c r="AD35"/>
  <c r="AC35"/>
  <c r="AB35"/>
  <c r="AA35"/>
  <c r="Z35"/>
  <c r="Y35"/>
  <c r="I35"/>
  <c r="H35"/>
  <c r="G35"/>
  <c r="F35"/>
  <c r="E35"/>
  <c r="D35"/>
  <c r="AQ32"/>
  <c r="AJ32"/>
  <c r="AG32"/>
  <c r="AE32"/>
  <c r="AD32"/>
  <c r="AC32"/>
  <c r="AA32"/>
  <c r="Y32"/>
  <c r="G32"/>
  <c r="D32"/>
  <c r="C32"/>
  <c r="AQ31"/>
  <c r="AJ31"/>
  <c r="AG31"/>
  <c r="AE31"/>
  <c r="AD31"/>
  <c r="AC31"/>
  <c r="AA31"/>
  <c r="Y31"/>
  <c r="G31"/>
  <c r="D31"/>
  <c r="C31"/>
  <c r="AQ30"/>
  <c r="AP30"/>
  <c r="AO30"/>
  <c r="AN30"/>
  <c r="AM30"/>
  <c r="AL30"/>
  <c r="AK30"/>
  <c r="AJ30"/>
  <c r="AI30"/>
  <c r="AH30"/>
  <c r="AG30"/>
  <c r="AF30"/>
  <c r="AE30"/>
  <c r="AD30"/>
  <c r="AC30"/>
  <c r="AB30"/>
  <c r="AA30"/>
  <c r="Z30"/>
  <c r="Y30"/>
  <c r="I30"/>
  <c r="H30"/>
  <c r="G30"/>
  <c r="F30"/>
  <c r="AQ28"/>
  <c r="AJ28"/>
  <c r="AG28"/>
  <c r="Y28"/>
  <c r="G28"/>
  <c r="D28"/>
  <c r="C28"/>
  <c r="AQ27"/>
  <c r="AJ27"/>
  <c r="AG27"/>
  <c r="Y27"/>
  <c r="G27"/>
  <c r="D27"/>
  <c r="C27"/>
  <c r="AQ26"/>
  <c r="AJ26"/>
  <c r="AG26"/>
  <c r="AE26"/>
  <c r="AD26"/>
  <c r="AC26"/>
  <c r="AA26"/>
  <c r="Y26"/>
  <c r="G26"/>
  <c r="D26"/>
  <c r="C26"/>
  <c r="AQ25"/>
  <c r="AJ25"/>
  <c r="AG25"/>
  <c r="Y25"/>
  <c r="G25"/>
  <c r="D25"/>
  <c r="C25"/>
  <c r="AQ24"/>
  <c r="AJ24"/>
  <c r="AG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182"/>
  <c r="D5"/>
  <c r="H33"/>
  <c r="I33"/>
  <c r="J33"/>
  <c r="L33"/>
  <c r="D3"/>
  <c r="M33"/>
  <c r="K33"/>
  <c r="N33"/>
  <c r="O33"/>
  <c r="P33"/>
  <c r="R33"/>
  <c r="T33"/>
  <c r="H34"/>
  <c r="I34"/>
  <c r="J34"/>
  <c r="L34"/>
  <c r="M34"/>
  <c r="K34"/>
  <c r="N34"/>
  <c r="O34"/>
  <c r="P34"/>
  <c r="R34"/>
  <c r="T34"/>
  <c r="H35"/>
  <c r="I35"/>
  <c r="T26"/>
  <c r="J35"/>
  <c r="V26"/>
  <c r="L35"/>
  <c r="M35"/>
  <c r="K35"/>
  <c r="N35"/>
  <c r="O35"/>
  <c r="P35"/>
  <c r="R35"/>
  <c r="T35"/>
  <c r="T37"/>
  <c r="S33"/>
  <c r="S34"/>
  <c r="S35"/>
  <c r="S37"/>
  <c r="R37"/>
  <c r="P40"/>
  <c r="O37"/>
  <c r="I45"/>
  <c r="I46"/>
  <c r="U33"/>
  <c r="U34"/>
  <c r="U35"/>
  <c r="U37"/>
  <c r="I47"/>
  <c r="I48"/>
  <c r="I49"/>
  <c r="V33"/>
  <c r="W33"/>
  <c r="V34"/>
  <c r="W34"/>
  <c r="V35"/>
  <c r="W35"/>
  <c r="W37"/>
  <c r="V37"/>
  <c r="I51"/>
  <c r="I52"/>
  <c r="M53"/>
  <c r="M54"/>
  <c r="I53"/>
  <c r="AJ33"/>
  <c r="AK33"/>
  <c r="AJ34"/>
  <c r="AK34"/>
  <c r="AJ35"/>
  <c r="AK35"/>
  <c r="AL33"/>
  <c r="AL34"/>
  <c r="AL35"/>
  <c r="Q46"/>
  <c r="Q47"/>
  <c r="Q48"/>
  <c r="Q49"/>
  <c r="AH48"/>
  <c r="AH47"/>
  <c r="AH46"/>
  <c r="I41"/>
  <c r="I42"/>
  <c r="AH44"/>
  <c r="AH43"/>
  <c r="I40"/>
  <c r="M42"/>
  <c r="M43"/>
  <c r="AH42"/>
  <c r="P42"/>
  <c r="P41"/>
  <c r="F5"/>
  <c r="AY35"/>
  <c r="AX35"/>
  <c r="AW35"/>
  <c r="AV35"/>
  <c r="AU35"/>
  <c r="AT35"/>
  <c r="AS35"/>
  <c r="AR35"/>
  <c r="AQ35"/>
  <c r="E35"/>
  <c r="AN35"/>
  <c r="F35"/>
  <c r="AO35"/>
  <c r="AP35"/>
  <c r="Q35"/>
  <c r="AH35"/>
  <c r="AG35"/>
  <c r="AF35"/>
  <c r="AX34"/>
  <c r="AW34"/>
  <c r="AV34"/>
  <c r="AU34"/>
  <c r="AT34"/>
  <c r="AS34"/>
  <c r="AR34"/>
  <c r="AQ34"/>
  <c r="E34"/>
  <c r="AN34"/>
  <c r="F34"/>
  <c r="AO34"/>
  <c r="AP34"/>
  <c r="Q34"/>
  <c r="AH34"/>
  <c r="AG34"/>
  <c r="AF34"/>
  <c r="F6"/>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7"/>
  <c r="AP27"/>
  <c r="AO27"/>
  <c r="AN27"/>
  <c r="AM27"/>
  <c r="AL27"/>
  <c r="AK27"/>
  <c r="AJ27"/>
  <c r="AI27"/>
  <c r="AH27"/>
  <c r="AG27"/>
  <c r="AF27"/>
  <c r="AE27"/>
  <c r="AD27"/>
  <c r="AC27"/>
  <c r="AB27"/>
  <c r="AA27"/>
  <c r="Z27"/>
  <c r="Y27"/>
  <c r="I27"/>
  <c r="H27"/>
  <c r="G27"/>
  <c r="F27"/>
  <c r="E27"/>
  <c r="D27"/>
  <c r="C27"/>
  <c r="AQ26"/>
  <c r="AJ26"/>
  <c r="AG26"/>
  <c r="AE26"/>
  <c r="AD26"/>
  <c r="AC26"/>
  <c r="AA26"/>
  <c r="Y26"/>
  <c r="G26"/>
  <c r="D26"/>
  <c r="C26"/>
  <c r="AQ25"/>
  <c r="AJ25"/>
  <c r="AG25"/>
  <c r="AE25"/>
  <c r="AD25"/>
  <c r="AA25"/>
  <c r="Y25"/>
  <c r="G25"/>
  <c r="D25"/>
  <c r="C25"/>
  <c r="AQ24"/>
  <c r="AJ24"/>
  <c r="AG24"/>
  <c r="AE24"/>
  <c r="AD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4"/>
  <c r="F3"/>
  <c r="D6" i="179"/>
  <c r="D5"/>
  <c r="H32"/>
  <c r="I32"/>
  <c r="T24"/>
  <c r="J32"/>
  <c r="V24"/>
  <c r="L32"/>
  <c r="D3"/>
  <c r="M32"/>
  <c r="K32"/>
  <c r="N32"/>
  <c r="O32"/>
  <c r="P32"/>
  <c r="R32"/>
  <c r="T32"/>
  <c r="H33"/>
  <c r="I33"/>
  <c r="J33"/>
  <c r="L33"/>
  <c r="M33"/>
  <c r="K33"/>
  <c r="N33"/>
  <c r="O33"/>
  <c r="P33"/>
  <c r="R33"/>
  <c r="T33"/>
  <c r="H34"/>
  <c r="I34"/>
  <c r="T26"/>
  <c r="J34"/>
  <c r="V26"/>
  <c r="L34"/>
  <c r="M34"/>
  <c r="K34"/>
  <c r="N34"/>
  <c r="O34"/>
  <c r="P34"/>
  <c r="R34"/>
  <c r="T34"/>
  <c r="T36"/>
  <c r="S32"/>
  <c r="S33"/>
  <c r="S34"/>
  <c r="S36"/>
  <c r="R36"/>
  <c r="P39"/>
  <c r="O36"/>
  <c r="I44"/>
  <c r="I45"/>
  <c r="U32"/>
  <c r="U33"/>
  <c r="U34"/>
  <c r="U36"/>
  <c r="I46"/>
  <c r="I47"/>
  <c r="I48"/>
  <c r="V32"/>
  <c r="W32"/>
  <c r="V33"/>
  <c r="W33"/>
  <c r="V34"/>
  <c r="W34"/>
  <c r="W36"/>
  <c r="V36"/>
  <c r="I50"/>
  <c r="I51"/>
  <c r="M52"/>
  <c r="M53"/>
  <c r="I52"/>
  <c r="AJ32"/>
  <c r="AK32"/>
  <c r="AJ33"/>
  <c r="AK33"/>
  <c r="AJ34"/>
  <c r="AK34"/>
  <c r="AL32"/>
  <c r="AL33"/>
  <c r="AL34"/>
  <c r="Q45"/>
  <c r="Q46"/>
  <c r="Q47"/>
  <c r="Q48"/>
  <c r="AH47"/>
  <c r="AH46"/>
  <c r="AH45"/>
  <c r="I40"/>
  <c r="I41"/>
  <c r="AH43"/>
  <c r="AH42"/>
  <c r="I39"/>
  <c r="M41"/>
  <c r="M42"/>
  <c r="AH41"/>
  <c r="P41"/>
  <c r="P40"/>
  <c r="AJ26"/>
  <c r="BB34"/>
  <c r="BA34"/>
  <c r="F6"/>
  <c r="AY34"/>
  <c r="AX34"/>
  <c r="AW34"/>
  <c r="AV34"/>
  <c r="AU34"/>
  <c r="AT34"/>
  <c r="AS34"/>
  <c r="AR34"/>
  <c r="AQ34"/>
  <c r="E34"/>
  <c r="AN34"/>
  <c r="F34"/>
  <c r="AO34"/>
  <c r="AP34"/>
  <c r="Q34"/>
  <c r="AH34"/>
  <c r="AG34"/>
  <c r="AF34"/>
  <c r="AJ25"/>
  <c r="BB33"/>
  <c r="BA33"/>
  <c r="AZ33"/>
  <c r="F4"/>
  <c r="AY33"/>
  <c r="AX33"/>
  <c r="AW33"/>
  <c r="AV33"/>
  <c r="AU33"/>
  <c r="AT33"/>
  <c r="AS33"/>
  <c r="AR33"/>
  <c r="AQ33"/>
  <c r="E33"/>
  <c r="AN33"/>
  <c r="F33"/>
  <c r="AO33"/>
  <c r="AP33"/>
  <c r="Q33"/>
  <c r="AH33"/>
  <c r="AG33"/>
  <c r="AF33"/>
  <c r="AJ24"/>
  <c r="BB32"/>
  <c r="BA32"/>
  <c r="AZ32"/>
  <c r="F3"/>
  <c r="AY32"/>
  <c r="AX32"/>
  <c r="AW32"/>
  <c r="AV32"/>
  <c r="AU32"/>
  <c r="AT32"/>
  <c r="AS32"/>
  <c r="AR32"/>
  <c r="AQ32"/>
  <c r="E32"/>
  <c r="AN32"/>
  <c r="F32"/>
  <c r="AO32"/>
  <c r="AP32"/>
  <c r="Q32"/>
  <c r="AH32"/>
  <c r="AG32"/>
  <c r="AF32"/>
  <c r="I30"/>
  <c r="AQ29"/>
  <c r="AP29"/>
  <c r="AO29"/>
  <c r="AN29"/>
  <c r="AM29"/>
  <c r="AL29"/>
  <c r="AK29"/>
  <c r="AJ29"/>
  <c r="AI29"/>
  <c r="AH29"/>
  <c r="AG29"/>
  <c r="AF29"/>
  <c r="AE29"/>
  <c r="I29"/>
  <c r="H29"/>
  <c r="G29"/>
  <c r="F29"/>
  <c r="E29"/>
  <c r="D29"/>
  <c r="C29"/>
  <c r="AQ27"/>
  <c r="AP27"/>
  <c r="AO27"/>
  <c r="AN27"/>
  <c r="AM27"/>
  <c r="AL27"/>
  <c r="AK27"/>
  <c r="AJ27"/>
  <c r="AI27"/>
  <c r="AH27"/>
  <c r="AG27"/>
  <c r="AF27"/>
  <c r="AE27"/>
  <c r="AD27"/>
  <c r="AC27"/>
  <c r="AB27"/>
  <c r="AA27"/>
  <c r="Z27"/>
  <c r="Y27"/>
  <c r="I27"/>
  <c r="H27"/>
  <c r="G27"/>
  <c r="F27"/>
  <c r="E27"/>
  <c r="D27"/>
  <c r="C27"/>
  <c r="AQ26"/>
  <c r="AG26"/>
  <c r="AE26"/>
  <c r="AD26"/>
  <c r="AA26"/>
  <c r="Y26"/>
  <c r="G26"/>
  <c r="D26"/>
  <c r="C26"/>
  <c r="AQ25"/>
  <c r="AG25"/>
  <c r="AE25"/>
  <c r="AD25"/>
  <c r="AC25"/>
  <c r="AA25"/>
  <c r="Y25"/>
  <c r="G25"/>
  <c r="D25"/>
  <c r="C25"/>
  <c r="AQ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132"/>
  <c r="D5"/>
  <c r="H33"/>
  <c r="I33"/>
  <c r="J33"/>
  <c r="L33"/>
  <c r="D3"/>
  <c r="M33"/>
  <c r="K33"/>
  <c r="N33"/>
  <c r="O33"/>
  <c r="P33"/>
  <c r="R33"/>
  <c r="T33"/>
  <c r="H34"/>
  <c r="I34"/>
  <c r="J34"/>
  <c r="L34"/>
  <c r="M34"/>
  <c r="K34"/>
  <c r="N34"/>
  <c r="O34"/>
  <c r="P34"/>
  <c r="R34"/>
  <c r="T34"/>
  <c r="H35"/>
  <c r="I35"/>
  <c r="J35"/>
  <c r="L35"/>
  <c r="M35"/>
  <c r="K35"/>
  <c r="N35"/>
  <c r="O35"/>
  <c r="P35"/>
  <c r="R35"/>
  <c r="T35"/>
  <c r="T37"/>
  <c r="S33"/>
  <c r="S34"/>
  <c r="S35"/>
  <c r="S37"/>
  <c r="R37"/>
  <c r="P40"/>
  <c r="O37"/>
  <c r="I45"/>
  <c r="I46"/>
  <c r="U33"/>
  <c r="U34"/>
  <c r="U35"/>
  <c r="U37"/>
  <c r="I47"/>
  <c r="I48"/>
  <c r="I49"/>
  <c r="V33"/>
  <c r="W33"/>
  <c r="V34"/>
  <c r="W34"/>
  <c r="V35"/>
  <c r="W35"/>
  <c r="W37"/>
  <c r="V37"/>
  <c r="I51"/>
  <c r="I52"/>
  <c r="M53"/>
  <c r="M54"/>
  <c r="I53"/>
  <c r="AJ33"/>
  <c r="AK33"/>
  <c r="AJ34"/>
  <c r="AK34"/>
  <c r="AJ35"/>
  <c r="AK35"/>
  <c r="AL33"/>
  <c r="AL34"/>
  <c r="AL35"/>
  <c r="Q46"/>
  <c r="Q47"/>
  <c r="Q48"/>
  <c r="Q49"/>
  <c r="AH48"/>
  <c r="AH47"/>
  <c r="AH46"/>
  <c r="I41"/>
  <c r="I42"/>
  <c r="AH44"/>
  <c r="AH43"/>
  <c r="I40"/>
  <c r="M42"/>
  <c r="M43"/>
  <c r="AH42"/>
  <c r="P42"/>
  <c r="P41"/>
  <c r="F5"/>
  <c r="AY35"/>
  <c r="AX35"/>
  <c r="AW35"/>
  <c r="AV35"/>
  <c r="AU35"/>
  <c r="AT35"/>
  <c r="AS35"/>
  <c r="AR35"/>
  <c r="AQ35"/>
  <c r="E35"/>
  <c r="AN35"/>
  <c r="F35"/>
  <c r="AO35"/>
  <c r="AP35"/>
  <c r="Q35"/>
  <c r="AH35"/>
  <c r="AG35"/>
  <c r="AF35"/>
  <c r="AX34"/>
  <c r="AW34"/>
  <c r="AV34"/>
  <c r="AU34"/>
  <c r="AT34"/>
  <c r="AS34"/>
  <c r="AR34"/>
  <c r="AQ34"/>
  <c r="E34"/>
  <c r="AN34"/>
  <c r="F34"/>
  <c r="AO34"/>
  <c r="AP34"/>
  <c r="Q34"/>
  <c r="AH34"/>
  <c r="AG34"/>
  <c r="AF34"/>
  <c r="F6"/>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7"/>
  <c r="AP27"/>
  <c r="AO27"/>
  <c r="AN27"/>
  <c r="AM27"/>
  <c r="AL27"/>
  <c r="AK27"/>
  <c r="AJ27"/>
  <c r="AI27"/>
  <c r="AH27"/>
  <c r="AG27"/>
  <c r="AF27"/>
  <c r="AE27"/>
  <c r="AD27"/>
  <c r="AC27"/>
  <c r="AB27"/>
  <c r="AA27"/>
  <c r="Z27"/>
  <c r="Y27"/>
  <c r="I27"/>
  <c r="H27"/>
  <c r="G27"/>
  <c r="F27"/>
  <c r="E27"/>
  <c r="D27"/>
  <c r="C27"/>
  <c r="AQ26"/>
  <c r="AJ26"/>
  <c r="AG26"/>
  <c r="AE26"/>
  <c r="AD26"/>
  <c r="AC26"/>
  <c r="AA26"/>
  <c r="Y26"/>
  <c r="G26"/>
  <c r="D26"/>
  <c r="C26"/>
  <c r="AQ25"/>
  <c r="AJ25"/>
  <c r="AG25"/>
  <c r="AE25"/>
  <c r="AD25"/>
  <c r="AA25"/>
  <c r="Y25"/>
  <c r="G25"/>
  <c r="D25"/>
  <c r="C25"/>
  <c r="AQ24"/>
  <c r="AJ24"/>
  <c r="AG24"/>
  <c r="AE24"/>
  <c r="AD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4"/>
  <c r="F3"/>
  <c r="D6" i="70"/>
  <c r="D5"/>
  <c r="H40"/>
  <c r="I40"/>
  <c r="J40"/>
  <c r="L40"/>
  <c r="D3"/>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T51"/>
  <c r="S40"/>
  <c r="S41"/>
  <c r="S42"/>
  <c r="S43"/>
  <c r="S44"/>
  <c r="S45"/>
  <c r="S46"/>
  <c r="S47"/>
  <c r="S48"/>
  <c r="S49"/>
  <c r="S51"/>
  <c r="R51"/>
  <c r="P54"/>
  <c r="O51"/>
  <c r="I59"/>
  <c r="I63"/>
  <c r="V40"/>
  <c r="W40"/>
  <c r="V41"/>
  <c r="W41"/>
  <c r="V42"/>
  <c r="W42"/>
  <c r="V43"/>
  <c r="W43"/>
  <c r="V44"/>
  <c r="W44"/>
  <c r="V45"/>
  <c r="W45"/>
  <c r="V46"/>
  <c r="W46"/>
  <c r="V47"/>
  <c r="W47"/>
  <c r="V48"/>
  <c r="W48"/>
  <c r="V49"/>
  <c r="W49"/>
  <c r="W51"/>
  <c r="V51"/>
  <c r="I65"/>
  <c r="I66"/>
  <c r="M67"/>
  <c r="M68"/>
  <c r="I67"/>
  <c r="AJ40"/>
  <c r="AK40"/>
  <c r="AJ41"/>
  <c r="AK41"/>
  <c r="AJ42"/>
  <c r="AK42"/>
  <c r="AJ43"/>
  <c r="AK43"/>
  <c r="AJ44"/>
  <c r="AK44"/>
  <c r="AJ45"/>
  <c r="AK45"/>
  <c r="AJ46"/>
  <c r="AK46"/>
  <c r="AJ47"/>
  <c r="AK47"/>
  <c r="AJ48"/>
  <c r="AK48"/>
  <c r="AJ49"/>
  <c r="AK49"/>
  <c r="AL40"/>
  <c r="AL41"/>
  <c r="AL42"/>
  <c r="AL43"/>
  <c r="AL44"/>
  <c r="AL45"/>
  <c r="AL46"/>
  <c r="AL47"/>
  <c r="AL48"/>
  <c r="AL49"/>
  <c r="Q60"/>
  <c r="Q61"/>
  <c r="Q62"/>
  <c r="Q63"/>
  <c r="AH62"/>
  <c r="I60"/>
  <c r="U40"/>
  <c r="U41"/>
  <c r="U42"/>
  <c r="U43"/>
  <c r="U44"/>
  <c r="U45"/>
  <c r="U46"/>
  <c r="U47"/>
  <c r="U48"/>
  <c r="U49"/>
  <c r="U51"/>
  <c r="I61"/>
  <c r="I62"/>
  <c r="AH61"/>
  <c r="AH60"/>
  <c r="I55"/>
  <c r="I56"/>
  <c r="AH58"/>
  <c r="AH57"/>
  <c r="I54"/>
  <c r="M56"/>
  <c r="M57"/>
  <c r="AH56"/>
  <c r="P56"/>
  <c r="P55"/>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AX44"/>
  <c r="AW44"/>
  <c r="AV44"/>
  <c r="AU44"/>
  <c r="AT44"/>
  <c r="AS44"/>
  <c r="AR44"/>
  <c r="AQ44"/>
  <c r="E44"/>
  <c r="AN44"/>
  <c r="F44"/>
  <c r="AO44"/>
  <c r="AP44"/>
  <c r="Q44"/>
  <c r="AH44"/>
  <c r="AG44"/>
  <c r="AF44"/>
  <c r="F5"/>
  <c r="AY43"/>
  <c r="AX43"/>
  <c r="AW43"/>
  <c r="AV43"/>
  <c r="AU43"/>
  <c r="AT43"/>
  <c r="AS43"/>
  <c r="AR43"/>
  <c r="AQ43"/>
  <c r="E43"/>
  <c r="AN43"/>
  <c r="F43"/>
  <c r="AO43"/>
  <c r="AP43"/>
  <c r="Q43"/>
  <c r="AH43"/>
  <c r="AG43"/>
  <c r="AF43"/>
  <c r="F6"/>
  <c r="AY42"/>
  <c r="AX42"/>
  <c r="AW42"/>
  <c r="AV42"/>
  <c r="AU42"/>
  <c r="AT42"/>
  <c r="AS42"/>
  <c r="AR42"/>
  <c r="AQ42"/>
  <c r="E42"/>
  <c r="AN42"/>
  <c r="F42"/>
  <c r="AO42"/>
  <c r="AP42"/>
  <c r="Q42"/>
  <c r="AH42"/>
  <c r="AG42"/>
  <c r="AF42"/>
  <c r="F4"/>
  <c r="AY41"/>
  <c r="AX41"/>
  <c r="AW41"/>
  <c r="AV41"/>
  <c r="AU41"/>
  <c r="AT41"/>
  <c r="AS41"/>
  <c r="AR41"/>
  <c r="AQ41"/>
  <c r="E41"/>
  <c r="AN41"/>
  <c r="F41"/>
  <c r="AO41"/>
  <c r="AP41"/>
  <c r="Q41"/>
  <c r="AH41"/>
  <c r="AG41"/>
  <c r="AF41"/>
  <c r="F3"/>
  <c r="AY40"/>
  <c r="AX40"/>
  <c r="AW40"/>
  <c r="AV40"/>
  <c r="AU40"/>
  <c r="AT40"/>
  <c r="AS40"/>
  <c r="AR40"/>
  <c r="AQ40"/>
  <c r="E40"/>
  <c r="AN40"/>
  <c r="F40"/>
  <c r="AO40"/>
  <c r="AP40"/>
  <c r="Q40"/>
  <c r="AH40"/>
  <c r="AG40"/>
  <c r="AF40"/>
  <c r="I38"/>
  <c r="AQ35"/>
  <c r="AP35"/>
  <c r="AO35"/>
  <c r="AN35"/>
  <c r="AM35"/>
  <c r="AL35"/>
  <c r="AK35"/>
  <c r="AJ35"/>
  <c r="AI35"/>
  <c r="AH35"/>
  <c r="AG35"/>
  <c r="AF35"/>
  <c r="AE35"/>
  <c r="AD35"/>
  <c r="AC35"/>
  <c r="AB35"/>
  <c r="AA35"/>
  <c r="Z35"/>
  <c r="Y35"/>
  <c r="I35"/>
  <c r="H35"/>
  <c r="G35"/>
  <c r="F35"/>
  <c r="E35"/>
  <c r="D35"/>
  <c r="C35"/>
  <c r="AQ33"/>
  <c r="Y33"/>
  <c r="G33"/>
  <c r="D33"/>
  <c r="C33"/>
  <c r="AQ32"/>
  <c r="Y32"/>
  <c r="G32"/>
  <c r="D32"/>
  <c r="C32"/>
  <c r="AQ31"/>
  <c r="AJ31"/>
  <c r="AG31"/>
  <c r="AE31"/>
  <c r="AD31"/>
  <c r="AC31"/>
  <c r="AA31"/>
  <c r="Y31"/>
  <c r="G31"/>
  <c r="D31"/>
  <c r="C31"/>
  <c r="AQ30"/>
  <c r="AJ30"/>
  <c r="AG30"/>
  <c r="AE30"/>
  <c r="AD30"/>
  <c r="AC30"/>
  <c r="AA30"/>
  <c r="Y30"/>
  <c r="G30"/>
  <c r="D30"/>
  <c r="C30"/>
  <c r="AQ29"/>
  <c r="AJ29"/>
  <c r="AE29"/>
  <c r="AD29"/>
  <c r="AC29"/>
  <c r="AA29"/>
  <c r="Y29"/>
  <c r="G29"/>
  <c r="D29"/>
  <c r="C29"/>
  <c r="AQ28"/>
  <c r="AJ28"/>
  <c r="AG28"/>
  <c r="AE28"/>
  <c r="AD28"/>
  <c r="AC28"/>
  <c r="AA28"/>
  <c r="Y28"/>
  <c r="G28"/>
  <c r="D28"/>
  <c r="C28"/>
  <c r="AQ27"/>
  <c r="AJ27"/>
  <c r="AG27"/>
  <c r="AE27"/>
  <c r="AD27"/>
  <c r="AC27"/>
  <c r="AA27"/>
  <c r="Y27"/>
  <c r="G27"/>
  <c r="D27"/>
  <c r="C27"/>
  <c r="AQ26"/>
  <c r="AJ26"/>
  <c r="AG26"/>
  <c r="AE26"/>
  <c r="AD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180"/>
  <c r="D5"/>
  <c r="H32"/>
  <c r="I32"/>
  <c r="J32"/>
  <c r="L32"/>
  <c r="D3"/>
  <c r="M32"/>
  <c r="K32"/>
  <c r="N32"/>
  <c r="O32"/>
  <c r="P32"/>
  <c r="R32"/>
  <c r="T32"/>
  <c r="H33"/>
  <c r="I33"/>
  <c r="J33"/>
  <c r="L33"/>
  <c r="M33"/>
  <c r="K33"/>
  <c r="N33"/>
  <c r="O33"/>
  <c r="P33"/>
  <c r="R33"/>
  <c r="T33"/>
  <c r="H34"/>
  <c r="I34"/>
  <c r="J34"/>
  <c r="L34"/>
  <c r="M34"/>
  <c r="K34"/>
  <c r="N34"/>
  <c r="O34"/>
  <c r="P34"/>
  <c r="R34"/>
  <c r="T34"/>
  <c r="T36"/>
  <c r="S32"/>
  <c r="S33"/>
  <c r="S34"/>
  <c r="S36"/>
  <c r="R36"/>
  <c r="P39"/>
  <c r="O36"/>
  <c r="I44"/>
  <c r="I48"/>
  <c r="V32"/>
  <c r="W32"/>
  <c r="V33"/>
  <c r="W33"/>
  <c r="V34"/>
  <c r="W34"/>
  <c r="W36"/>
  <c r="V36"/>
  <c r="I50"/>
  <c r="I51"/>
  <c r="M52"/>
  <c r="M53"/>
  <c r="I52"/>
  <c r="AJ32"/>
  <c r="AK32"/>
  <c r="AJ33"/>
  <c r="AK33"/>
  <c r="AJ34"/>
  <c r="AK34"/>
  <c r="AL32"/>
  <c r="AL33"/>
  <c r="AL34"/>
  <c r="Q45"/>
  <c r="Q46"/>
  <c r="Q47"/>
  <c r="Q48"/>
  <c r="AH47"/>
  <c r="I45"/>
  <c r="U32"/>
  <c r="U33"/>
  <c r="U34"/>
  <c r="U36"/>
  <c r="I46"/>
  <c r="I47"/>
  <c r="AH46"/>
  <c r="AH45"/>
  <c r="I40"/>
  <c r="I41"/>
  <c r="AH43"/>
  <c r="AH42"/>
  <c r="I39"/>
  <c r="M41"/>
  <c r="M42"/>
  <c r="AH41"/>
  <c r="P41"/>
  <c r="P40"/>
  <c r="F6"/>
  <c r="AY34"/>
  <c r="AX34"/>
  <c r="AW34"/>
  <c r="AV34"/>
  <c r="AU34"/>
  <c r="AT34"/>
  <c r="AS34"/>
  <c r="AR34"/>
  <c r="AQ34"/>
  <c r="E34"/>
  <c r="AN34"/>
  <c r="F34"/>
  <c r="AO34"/>
  <c r="AP34"/>
  <c r="Q34"/>
  <c r="AH34"/>
  <c r="AG34"/>
  <c r="AF34"/>
  <c r="F4"/>
  <c r="AY33"/>
  <c r="AX33"/>
  <c r="AW33"/>
  <c r="AV33"/>
  <c r="AU33"/>
  <c r="AT33"/>
  <c r="AS33"/>
  <c r="AR33"/>
  <c r="AQ33"/>
  <c r="E33"/>
  <c r="AN33"/>
  <c r="F33"/>
  <c r="AO33"/>
  <c r="AP33"/>
  <c r="Q33"/>
  <c r="AH33"/>
  <c r="AG33"/>
  <c r="AF33"/>
  <c r="AX32"/>
  <c r="AW32"/>
  <c r="AV32"/>
  <c r="AU32"/>
  <c r="AT32"/>
  <c r="AS32"/>
  <c r="AR32"/>
  <c r="AQ32"/>
  <c r="E32"/>
  <c r="AN32"/>
  <c r="F32"/>
  <c r="AO32"/>
  <c r="AP32"/>
  <c r="Q32"/>
  <c r="AH32"/>
  <c r="AG32"/>
  <c r="AF32"/>
  <c r="I30"/>
  <c r="AQ29"/>
  <c r="AP29"/>
  <c r="AO29"/>
  <c r="AN29"/>
  <c r="AM29"/>
  <c r="AL29"/>
  <c r="AK29"/>
  <c r="AJ29"/>
  <c r="AI29"/>
  <c r="AH29"/>
  <c r="AG29"/>
  <c r="AF29"/>
  <c r="AE29"/>
  <c r="AD29"/>
  <c r="AC29"/>
  <c r="AB29"/>
  <c r="AA29"/>
  <c r="Z29"/>
  <c r="Y29"/>
  <c r="F8"/>
  <c r="W29"/>
  <c r="V29"/>
  <c r="U29"/>
  <c r="T29"/>
  <c r="I29"/>
  <c r="H29"/>
  <c r="G29"/>
  <c r="F29"/>
  <c r="E29"/>
  <c r="D29"/>
  <c r="C29"/>
  <c r="AQ27"/>
  <c r="AP27"/>
  <c r="AO27"/>
  <c r="AN27"/>
  <c r="AM27"/>
  <c r="AL27"/>
  <c r="AK27"/>
  <c r="AJ27"/>
  <c r="AI27"/>
  <c r="AH27"/>
  <c r="AG27"/>
  <c r="AF27"/>
  <c r="AE27"/>
  <c r="AD27"/>
  <c r="AC27"/>
  <c r="AB27"/>
  <c r="AA27"/>
  <c r="Z27"/>
  <c r="Y27"/>
  <c r="I27"/>
  <c r="H27"/>
  <c r="G27"/>
  <c r="F27"/>
  <c r="E27"/>
  <c r="D27"/>
  <c r="C27"/>
  <c r="AQ26"/>
  <c r="AJ26"/>
  <c r="AG26"/>
  <c r="AE26"/>
  <c r="AD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F3"/>
  <c r="D6" i="72"/>
  <c r="D5"/>
  <c r="H66"/>
  <c r="I66"/>
  <c r="J66"/>
  <c r="L66"/>
  <c r="D3"/>
  <c r="M66"/>
  <c r="K66"/>
  <c r="N66"/>
  <c r="O66"/>
  <c r="P66"/>
  <c r="R66"/>
  <c r="T66"/>
  <c r="H67"/>
  <c r="I67"/>
  <c r="J67"/>
  <c r="L67"/>
  <c r="M67"/>
  <c r="K67"/>
  <c r="N67"/>
  <c r="O67"/>
  <c r="P67"/>
  <c r="R67"/>
  <c r="T67"/>
  <c r="H68"/>
  <c r="I68"/>
  <c r="J68"/>
  <c r="L68"/>
  <c r="M68"/>
  <c r="K68"/>
  <c r="N68"/>
  <c r="O68"/>
  <c r="P68"/>
  <c r="R68"/>
  <c r="T68"/>
  <c r="H69"/>
  <c r="I69"/>
  <c r="J69"/>
  <c r="L69"/>
  <c r="M69"/>
  <c r="K69"/>
  <c r="N69"/>
  <c r="O69"/>
  <c r="P69"/>
  <c r="R69"/>
  <c r="T69"/>
  <c r="H70"/>
  <c r="I70"/>
  <c r="J70"/>
  <c r="L70"/>
  <c r="M70"/>
  <c r="K70"/>
  <c r="N70"/>
  <c r="O70"/>
  <c r="P70"/>
  <c r="R70"/>
  <c r="T70"/>
  <c r="H71"/>
  <c r="I71"/>
  <c r="J71"/>
  <c r="L71"/>
  <c r="M71"/>
  <c r="K71"/>
  <c r="N71"/>
  <c r="O71"/>
  <c r="P71"/>
  <c r="R71"/>
  <c r="T71"/>
  <c r="H72"/>
  <c r="I72"/>
  <c r="J72"/>
  <c r="L72"/>
  <c r="M72"/>
  <c r="K72"/>
  <c r="N72"/>
  <c r="O72"/>
  <c r="P72"/>
  <c r="R72"/>
  <c r="T72"/>
  <c r="H73"/>
  <c r="I73"/>
  <c r="J73"/>
  <c r="L73"/>
  <c r="M73"/>
  <c r="K73"/>
  <c r="N73"/>
  <c r="O73"/>
  <c r="P73"/>
  <c r="R73"/>
  <c r="T73"/>
  <c r="H74"/>
  <c r="I74"/>
  <c r="J74"/>
  <c r="L74"/>
  <c r="M74"/>
  <c r="K74"/>
  <c r="N74"/>
  <c r="O74"/>
  <c r="P74"/>
  <c r="R74"/>
  <c r="T74"/>
  <c r="H75"/>
  <c r="I75"/>
  <c r="J75"/>
  <c r="L75"/>
  <c r="M75"/>
  <c r="K75"/>
  <c r="N75"/>
  <c r="O75"/>
  <c r="P75"/>
  <c r="R75"/>
  <c r="T75"/>
  <c r="H76"/>
  <c r="I76"/>
  <c r="J76"/>
  <c r="L76"/>
  <c r="M76"/>
  <c r="K76"/>
  <c r="N76"/>
  <c r="O76"/>
  <c r="P76"/>
  <c r="R76"/>
  <c r="T76"/>
  <c r="H77"/>
  <c r="I77"/>
  <c r="J77"/>
  <c r="L77"/>
  <c r="M77"/>
  <c r="K77"/>
  <c r="N77"/>
  <c r="O77"/>
  <c r="P77"/>
  <c r="R77"/>
  <c r="T77"/>
  <c r="H78"/>
  <c r="I78"/>
  <c r="J78"/>
  <c r="L78"/>
  <c r="M78"/>
  <c r="K78"/>
  <c r="N78"/>
  <c r="O78"/>
  <c r="P78"/>
  <c r="R78"/>
  <c r="T78"/>
  <c r="H79"/>
  <c r="I79"/>
  <c r="J79"/>
  <c r="L79"/>
  <c r="M79"/>
  <c r="K79"/>
  <c r="N79"/>
  <c r="O79"/>
  <c r="P79"/>
  <c r="R79"/>
  <c r="T79"/>
  <c r="H80"/>
  <c r="I80"/>
  <c r="J80"/>
  <c r="L80"/>
  <c r="M80"/>
  <c r="K80"/>
  <c r="N80"/>
  <c r="O80"/>
  <c r="P80"/>
  <c r="R80"/>
  <c r="T80"/>
  <c r="H81"/>
  <c r="I81"/>
  <c r="J81"/>
  <c r="L81"/>
  <c r="M81"/>
  <c r="K81"/>
  <c r="N81"/>
  <c r="O81"/>
  <c r="P81"/>
  <c r="R81"/>
  <c r="T81"/>
  <c r="H82"/>
  <c r="I82"/>
  <c r="J82"/>
  <c r="L82"/>
  <c r="M82"/>
  <c r="K82"/>
  <c r="N82"/>
  <c r="O82"/>
  <c r="P82"/>
  <c r="R82"/>
  <c r="T82"/>
  <c r="H83"/>
  <c r="I83"/>
  <c r="J83"/>
  <c r="L83"/>
  <c r="M83"/>
  <c r="K83"/>
  <c r="N83"/>
  <c r="O83"/>
  <c r="P83"/>
  <c r="R83"/>
  <c r="T83"/>
  <c r="H84"/>
  <c r="I84"/>
  <c r="J84"/>
  <c r="L84"/>
  <c r="M84"/>
  <c r="K84"/>
  <c r="N84"/>
  <c r="O84"/>
  <c r="P84"/>
  <c r="R84"/>
  <c r="T84"/>
  <c r="H85"/>
  <c r="I85"/>
  <c r="J85"/>
  <c r="L85"/>
  <c r="M85"/>
  <c r="K85"/>
  <c r="N85"/>
  <c r="O85"/>
  <c r="P85"/>
  <c r="R85"/>
  <c r="T85"/>
  <c r="H86"/>
  <c r="I86"/>
  <c r="J86"/>
  <c r="L86"/>
  <c r="M86"/>
  <c r="K86"/>
  <c r="N86"/>
  <c r="O86"/>
  <c r="P86"/>
  <c r="R86"/>
  <c r="T86"/>
  <c r="H87"/>
  <c r="I87"/>
  <c r="J87"/>
  <c r="L87"/>
  <c r="M87"/>
  <c r="K87"/>
  <c r="N87"/>
  <c r="O87"/>
  <c r="P87"/>
  <c r="R87"/>
  <c r="T87"/>
  <c r="H88"/>
  <c r="I88"/>
  <c r="J88"/>
  <c r="L88"/>
  <c r="M88"/>
  <c r="K88"/>
  <c r="N88"/>
  <c r="O88"/>
  <c r="P88"/>
  <c r="R88"/>
  <c r="T88"/>
  <c r="H89"/>
  <c r="I89"/>
  <c r="J89"/>
  <c r="L89"/>
  <c r="M89"/>
  <c r="K89"/>
  <c r="N89"/>
  <c r="O89"/>
  <c r="P89"/>
  <c r="R89"/>
  <c r="T89"/>
  <c r="H90"/>
  <c r="I90"/>
  <c r="J90"/>
  <c r="L90"/>
  <c r="M90"/>
  <c r="K90"/>
  <c r="N90"/>
  <c r="O90"/>
  <c r="P90"/>
  <c r="R90"/>
  <c r="T90"/>
  <c r="T92"/>
  <c r="S66"/>
  <c r="S67"/>
  <c r="S68"/>
  <c r="S69"/>
  <c r="S70"/>
  <c r="S71"/>
  <c r="S72"/>
  <c r="S73"/>
  <c r="S74"/>
  <c r="S75"/>
  <c r="S76"/>
  <c r="S77"/>
  <c r="S78"/>
  <c r="S79"/>
  <c r="S80"/>
  <c r="S81"/>
  <c r="S82"/>
  <c r="S83"/>
  <c r="S84"/>
  <c r="S85"/>
  <c r="S86"/>
  <c r="S87"/>
  <c r="S88"/>
  <c r="S89"/>
  <c r="S90"/>
  <c r="S92"/>
  <c r="R92"/>
  <c r="P95"/>
  <c r="O92"/>
  <c r="I100"/>
  <c r="I101"/>
  <c r="U66"/>
  <c r="U67"/>
  <c r="U68"/>
  <c r="U69"/>
  <c r="U70"/>
  <c r="U71"/>
  <c r="U72"/>
  <c r="U73"/>
  <c r="U74"/>
  <c r="U75"/>
  <c r="U76"/>
  <c r="U77"/>
  <c r="U78"/>
  <c r="U79"/>
  <c r="U80"/>
  <c r="U81"/>
  <c r="U82"/>
  <c r="U83"/>
  <c r="U84"/>
  <c r="U85"/>
  <c r="U86"/>
  <c r="U87"/>
  <c r="U88"/>
  <c r="U89"/>
  <c r="U90"/>
  <c r="U92"/>
  <c r="I102"/>
  <c r="I103"/>
  <c r="I104"/>
  <c r="V66"/>
  <c r="W66"/>
  <c r="V67"/>
  <c r="W67"/>
  <c r="V68"/>
  <c r="W68"/>
  <c r="V69"/>
  <c r="W69"/>
  <c r="V70"/>
  <c r="W70"/>
  <c r="V71"/>
  <c r="W71"/>
  <c r="V72"/>
  <c r="W72"/>
  <c r="V73"/>
  <c r="W73"/>
  <c r="V74"/>
  <c r="W74"/>
  <c r="V75"/>
  <c r="W75"/>
  <c r="V76"/>
  <c r="W76"/>
  <c r="V77"/>
  <c r="W77"/>
  <c r="V78"/>
  <c r="W78"/>
  <c r="V79"/>
  <c r="W79"/>
  <c r="V80"/>
  <c r="W80"/>
  <c r="V81"/>
  <c r="W81"/>
  <c r="V82"/>
  <c r="W82"/>
  <c r="V83"/>
  <c r="W83"/>
  <c r="V84"/>
  <c r="W84"/>
  <c r="V85"/>
  <c r="W85"/>
  <c r="V86"/>
  <c r="W86"/>
  <c r="V87"/>
  <c r="W87"/>
  <c r="V88"/>
  <c r="W88"/>
  <c r="V89"/>
  <c r="W89"/>
  <c r="V90"/>
  <c r="W90"/>
  <c r="W92"/>
  <c r="V92"/>
  <c r="I106"/>
  <c r="I107"/>
  <c r="M108"/>
  <c r="M109"/>
  <c r="I108"/>
  <c r="AJ66"/>
  <c r="AK66"/>
  <c r="AJ67"/>
  <c r="AK67"/>
  <c r="AJ68"/>
  <c r="AK68"/>
  <c r="AJ69"/>
  <c r="AK69"/>
  <c r="AJ70"/>
  <c r="AK70"/>
  <c r="AJ71"/>
  <c r="AK71"/>
  <c r="AJ72"/>
  <c r="AK72"/>
  <c r="AJ73"/>
  <c r="AK73"/>
  <c r="AJ74"/>
  <c r="AK74"/>
  <c r="AJ75"/>
  <c r="AK75"/>
  <c r="AJ76"/>
  <c r="AK76"/>
  <c r="AJ77"/>
  <c r="AK77"/>
  <c r="AJ78"/>
  <c r="AK78"/>
  <c r="AJ79"/>
  <c r="AK79"/>
  <c r="AJ80"/>
  <c r="AK80"/>
  <c r="AJ81"/>
  <c r="AK81"/>
  <c r="AJ82"/>
  <c r="AK82"/>
  <c r="AJ83"/>
  <c r="AK83"/>
  <c r="AJ84"/>
  <c r="AK84"/>
  <c r="AJ85"/>
  <c r="AK85"/>
  <c r="AJ86"/>
  <c r="AK86"/>
  <c r="AJ87"/>
  <c r="AK87"/>
  <c r="AJ88"/>
  <c r="AK88"/>
  <c r="AJ89"/>
  <c r="AK89"/>
  <c r="AJ90"/>
  <c r="AK90"/>
  <c r="AL66"/>
  <c r="AL67"/>
  <c r="AL68"/>
  <c r="AL69"/>
  <c r="AL70"/>
  <c r="AL71"/>
  <c r="AL72"/>
  <c r="AL73"/>
  <c r="AL74"/>
  <c r="AL75"/>
  <c r="AL76"/>
  <c r="AL77"/>
  <c r="AL78"/>
  <c r="AL79"/>
  <c r="AL80"/>
  <c r="AL81"/>
  <c r="AL82"/>
  <c r="AL83"/>
  <c r="AL84"/>
  <c r="AL85"/>
  <c r="AL86"/>
  <c r="AL87"/>
  <c r="AL88"/>
  <c r="AL89"/>
  <c r="AL90"/>
  <c r="Q101"/>
  <c r="Q102"/>
  <c r="Q103"/>
  <c r="Q104"/>
  <c r="AH103"/>
  <c r="AH102"/>
  <c r="AH101"/>
  <c r="I96"/>
  <c r="I97"/>
  <c r="AH99"/>
  <c r="AH98"/>
  <c r="I95"/>
  <c r="M97"/>
  <c r="M98"/>
  <c r="AH97"/>
  <c r="P97"/>
  <c r="P96"/>
  <c r="AX90"/>
  <c r="AW90"/>
  <c r="AV90"/>
  <c r="AU90"/>
  <c r="AT90"/>
  <c r="AS90"/>
  <c r="AR90"/>
  <c r="AQ90"/>
  <c r="E90"/>
  <c r="AN90"/>
  <c r="F90"/>
  <c r="AO90"/>
  <c r="AP90"/>
  <c r="Q90"/>
  <c r="AH90"/>
  <c r="AG90"/>
  <c r="AF90"/>
  <c r="AX89"/>
  <c r="AW89"/>
  <c r="AV89"/>
  <c r="AU89"/>
  <c r="AT89"/>
  <c r="AS89"/>
  <c r="AR89"/>
  <c r="AQ89"/>
  <c r="E89"/>
  <c r="AN89"/>
  <c r="F89"/>
  <c r="AO89"/>
  <c r="AP89"/>
  <c r="Q89"/>
  <c r="AH89"/>
  <c r="AG89"/>
  <c r="AF89"/>
  <c r="AX88"/>
  <c r="AW88"/>
  <c r="AV88"/>
  <c r="AU88"/>
  <c r="AT88"/>
  <c r="AS88"/>
  <c r="AR88"/>
  <c r="AQ88"/>
  <c r="E88"/>
  <c r="AN88"/>
  <c r="F88"/>
  <c r="AO88"/>
  <c r="AP88"/>
  <c r="Q88"/>
  <c r="AH88"/>
  <c r="AG88"/>
  <c r="AF88"/>
  <c r="AX87"/>
  <c r="AW87"/>
  <c r="AV87"/>
  <c r="AU87"/>
  <c r="AT87"/>
  <c r="AS87"/>
  <c r="AR87"/>
  <c r="AQ87"/>
  <c r="E87"/>
  <c r="AN87"/>
  <c r="F87"/>
  <c r="AO87"/>
  <c r="AP87"/>
  <c r="Q87"/>
  <c r="AH87"/>
  <c r="AG87"/>
  <c r="AF87"/>
  <c r="AX86"/>
  <c r="AW86"/>
  <c r="AV86"/>
  <c r="AU86"/>
  <c r="AT86"/>
  <c r="AS86"/>
  <c r="AR86"/>
  <c r="AQ86"/>
  <c r="E86"/>
  <c r="AN86"/>
  <c r="F86"/>
  <c r="AO86"/>
  <c r="AP86"/>
  <c r="Q86"/>
  <c r="AH86"/>
  <c r="AG86"/>
  <c r="AF86"/>
  <c r="AX85"/>
  <c r="AW85"/>
  <c r="AV85"/>
  <c r="AU85"/>
  <c r="AT85"/>
  <c r="AS85"/>
  <c r="AR85"/>
  <c r="AQ85"/>
  <c r="E85"/>
  <c r="AN85"/>
  <c r="F85"/>
  <c r="AO85"/>
  <c r="AP85"/>
  <c r="Q85"/>
  <c r="AH85"/>
  <c r="AG85"/>
  <c r="AF85"/>
  <c r="AX84"/>
  <c r="AW84"/>
  <c r="AV84"/>
  <c r="AU84"/>
  <c r="AT84"/>
  <c r="AS84"/>
  <c r="AR84"/>
  <c r="AQ84"/>
  <c r="E84"/>
  <c r="AN84"/>
  <c r="F84"/>
  <c r="AO84"/>
  <c r="AP84"/>
  <c r="Q84"/>
  <c r="AH84"/>
  <c r="AG84"/>
  <c r="AF84"/>
  <c r="AX83"/>
  <c r="AW83"/>
  <c r="AV83"/>
  <c r="AU83"/>
  <c r="AT83"/>
  <c r="AS83"/>
  <c r="AR83"/>
  <c r="AQ83"/>
  <c r="E83"/>
  <c r="AN83"/>
  <c r="F83"/>
  <c r="AO83"/>
  <c r="AP83"/>
  <c r="Q83"/>
  <c r="AH83"/>
  <c r="AG83"/>
  <c r="AF83"/>
  <c r="AX82"/>
  <c r="AW82"/>
  <c r="AV82"/>
  <c r="AU82"/>
  <c r="AT82"/>
  <c r="AS82"/>
  <c r="AR82"/>
  <c r="AQ82"/>
  <c r="E82"/>
  <c r="AN82"/>
  <c r="F82"/>
  <c r="AO82"/>
  <c r="AP82"/>
  <c r="Q82"/>
  <c r="AH82"/>
  <c r="AG82"/>
  <c r="AF82"/>
  <c r="AX81"/>
  <c r="AW81"/>
  <c r="AV81"/>
  <c r="AU81"/>
  <c r="AT81"/>
  <c r="AS81"/>
  <c r="AR81"/>
  <c r="AQ81"/>
  <c r="E81"/>
  <c r="AN81"/>
  <c r="F81"/>
  <c r="AO81"/>
  <c r="AP81"/>
  <c r="Q81"/>
  <c r="AH81"/>
  <c r="AG81"/>
  <c r="AF81"/>
  <c r="AX80"/>
  <c r="AW80"/>
  <c r="AV80"/>
  <c r="AU80"/>
  <c r="AT80"/>
  <c r="AS80"/>
  <c r="AR80"/>
  <c r="AQ80"/>
  <c r="E80"/>
  <c r="AN80"/>
  <c r="F80"/>
  <c r="AO80"/>
  <c r="AP80"/>
  <c r="Q80"/>
  <c r="AH80"/>
  <c r="AG80"/>
  <c r="AF80"/>
  <c r="AX79"/>
  <c r="AW79"/>
  <c r="AV79"/>
  <c r="AU79"/>
  <c r="AT79"/>
  <c r="AS79"/>
  <c r="AR79"/>
  <c r="AQ79"/>
  <c r="E79"/>
  <c r="AN79"/>
  <c r="F79"/>
  <c r="AO79"/>
  <c r="AP79"/>
  <c r="Q79"/>
  <c r="AH79"/>
  <c r="AG79"/>
  <c r="AF79"/>
  <c r="AX78"/>
  <c r="AW78"/>
  <c r="AV78"/>
  <c r="AU78"/>
  <c r="AT78"/>
  <c r="AS78"/>
  <c r="AR78"/>
  <c r="AQ78"/>
  <c r="E78"/>
  <c r="AN78"/>
  <c r="F78"/>
  <c r="AO78"/>
  <c r="AP78"/>
  <c r="Q78"/>
  <c r="AH78"/>
  <c r="AG78"/>
  <c r="AF78"/>
  <c r="AX77"/>
  <c r="AW77"/>
  <c r="AV77"/>
  <c r="AU77"/>
  <c r="AT77"/>
  <c r="AS77"/>
  <c r="AR77"/>
  <c r="AQ77"/>
  <c r="E77"/>
  <c r="AN77"/>
  <c r="F77"/>
  <c r="AO77"/>
  <c r="AP77"/>
  <c r="Q77"/>
  <c r="AH77"/>
  <c r="AG77"/>
  <c r="AF77"/>
  <c r="AX76"/>
  <c r="AW76"/>
  <c r="AV76"/>
  <c r="AU76"/>
  <c r="AT76"/>
  <c r="AS76"/>
  <c r="AR76"/>
  <c r="AQ76"/>
  <c r="E76"/>
  <c r="AN76"/>
  <c r="F76"/>
  <c r="AO76"/>
  <c r="AP76"/>
  <c r="Q76"/>
  <c r="AH76"/>
  <c r="AG76"/>
  <c r="AF76"/>
  <c r="AX75"/>
  <c r="AW75"/>
  <c r="AV75"/>
  <c r="AU75"/>
  <c r="AT75"/>
  <c r="AS75"/>
  <c r="AR75"/>
  <c r="AQ75"/>
  <c r="E75"/>
  <c r="AN75"/>
  <c r="F75"/>
  <c r="AO75"/>
  <c r="AP75"/>
  <c r="Q75"/>
  <c r="AH75"/>
  <c r="AG75"/>
  <c r="AF75"/>
  <c r="AX74"/>
  <c r="AW74"/>
  <c r="AV74"/>
  <c r="AU74"/>
  <c r="AT74"/>
  <c r="AS74"/>
  <c r="AR74"/>
  <c r="AQ74"/>
  <c r="E74"/>
  <c r="AN74"/>
  <c r="F74"/>
  <c r="AO74"/>
  <c r="AP74"/>
  <c r="Q74"/>
  <c r="AH74"/>
  <c r="AG74"/>
  <c r="AF74"/>
  <c r="AX73"/>
  <c r="AW73"/>
  <c r="AV73"/>
  <c r="AU73"/>
  <c r="AT73"/>
  <c r="AS73"/>
  <c r="AR73"/>
  <c r="AQ73"/>
  <c r="E73"/>
  <c r="AN73"/>
  <c r="F73"/>
  <c r="AO73"/>
  <c r="AP73"/>
  <c r="Q73"/>
  <c r="AH73"/>
  <c r="AG73"/>
  <c r="AF73"/>
  <c r="AX72"/>
  <c r="AW72"/>
  <c r="AV72"/>
  <c r="AU72"/>
  <c r="AT72"/>
  <c r="AS72"/>
  <c r="AR72"/>
  <c r="AQ72"/>
  <c r="E72"/>
  <c r="AN72"/>
  <c r="F72"/>
  <c r="AO72"/>
  <c r="AP72"/>
  <c r="Q72"/>
  <c r="AH72"/>
  <c r="AG72"/>
  <c r="AF72"/>
  <c r="AX71"/>
  <c r="AW71"/>
  <c r="AV71"/>
  <c r="AU71"/>
  <c r="AT71"/>
  <c r="AS71"/>
  <c r="AR71"/>
  <c r="AQ71"/>
  <c r="E71"/>
  <c r="AN71"/>
  <c r="F71"/>
  <c r="AO71"/>
  <c r="AP71"/>
  <c r="Q71"/>
  <c r="AH71"/>
  <c r="AG71"/>
  <c r="AF71"/>
  <c r="AX70"/>
  <c r="AW70"/>
  <c r="AV70"/>
  <c r="AU70"/>
  <c r="AT70"/>
  <c r="AS70"/>
  <c r="AR70"/>
  <c r="AQ70"/>
  <c r="E70"/>
  <c r="AN70"/>
  <c r="F70"/>
  <c r="AO70"/>
  <c r="AP70"/>
  <c r="Q70"/>
  <c r="AH70"/>
  <c r="AG70"/>
  <c r="AF70"/>
  <c r="AX69"/>
  <c r="AW69"/>
  <c r="AV69"/>
  <c r="AU69"/>
  <c r="AT69"/>
  <c r="AS69"/>
  <c r="AR69"/>
  <c r="AQ69"/>
  <c r="E69"/>
  <c r="AN69"/>
  <c r="F69"/>
  <c r="AO69"/>
  <c r="AP69"/>
  <c r="Q69"/>
  <c r="AH69"/>
  <c r="AG69"/>
  <c r="AF69"/>
  <c r="AX68"/>
  <c r="AW68"/>
  <c r="AV68"/>
  <c r="AU68"/>
  <c r="AT68"/>
  <c r="AS68"/>
  <c r="AR68"/>
  <c r="AQ68"/>
  <c r="E68"/>
  <c r="AN68"/>
  <c r="F68"/>
  <c r="AO68"/>
  <c r="AP68"/>
  <c r="Q68"/>
  <c r="AH68"/>
  <c r="AG68"/>
  <c r="AF68"/>
  <c r="F4"/>
  <c r="AY67"/>
  <c r="AX67"/>
  <c r="AW67"/>
  <c r="AV67"/>
  <c r="AU67"/>
  <c r="AT67"/>
  <c r="AS67"/>
  <c r="AR67"/>
  <c r="AQ67"/>
  <c r="E67"/>
  <c r="AN67"/>
  <c r="F67"/>
  <c r="AO67"/>
  <c r="AP67"/>
  <c r="Q67"/>
  <c r="AH67"/>
  <c r="AG67"/>
  <c r="AF67"/>
  <c r="F3"/>
  <c r="AY66"/>
  <c r="AX66"/>
  <c r="AW66"/>
  <c r="AV66"/>
  <c r="AU66"/>
  <c r="AT66"/>
  <c r="AS66"/>
  <c r="AR66"/>
  <c r="AQ66"/>
  <c r="E66"/>
  <c r="AN66"/>
  <c r="F66"/>
  <c r="AO66"/>
  <c r="AP66"/>
  <c r="Q66"/>
  <c r="AH66"/>
  <c r="AG66"/>
  <c r="AF66"/>
  <c r="I64"/>
  <c r="AQ62"/>
  <c r="AP62"/>
  <c r="AO62"/>
  <c r="AN62"/>
  <c r="AM62"/>
  <c r="AL62"/>
  <c r="AK62"/>
  <c r="AJ62"/>
  <c r="AI62"/>
  <c r="AH62"/>
  <c r="AG62"/>
  <c r="AF62"/>
  <c r="AE62"/>
  <c r="AD62"/>
  <c r="AC62"/>
  <c r="AB62"/>
  <c r="AA62"/>
  <c r="Z62"/>
  <c r="Y62"/>
  <c r="I62"/>
  <c r="H62"/>
  <c r="G62"/>
  <c r="F62"/>
  <c r="E62"/>
  <c r="D62"/>
  <c r="C62"/>
  <c r="BC61"/>
  <c r="BB61"/>
  <c r="AQ61"/>
  <c r="AP61"/>
  <c r="AO61"/>
  <c r="AN61"/>
  <c r="AM61"/>
  <c r="AL61"/>
  <c r="AK61"/>
  <c r="AJ61"/>
  <c r="AI61"/>
  <c r="AH61"/>
  <c r="AG61"/>
  <c r="AF61"/>
  <c r="AE61"/>
  <c r="AD61"/>
  <c r="AC61"/>
  <c r="AB61"/>
  <c r="AA61"/>
  <c r="Z61"/>
  <c r="Y61"/>
  <c r="I61"/>
  <c r="H61"/>
  <c r="G61"/>
  <c r="F61"/>
  <c r="E61"/>
  <c r="D61"/>
  <c r="C61"/>
  <c r="AQ60"/>
  <c r="AP60"/>
  <c r="AO60"/>
  <c r="AN60"/>
  <c r="AM60"/>
  <c r="AL60"/>
  <c r="AK60"/>
  <c r="AJ60"/>
  <c r="AI60"/>
  <c r="AH60"/>
  <c r="AG60"/>
  <c r="AF60"/>
  <c r="AE60"/>
  <c r="AD60"/>
  <c r="AC60"/>
  <c r="AB60"/>
  <c r="AA60"/>
  <c r="Z60"/>
  <c r="Y60"/>
  <c r="I60"/>
  <c r="H60"/>
  <c r="G60"/>
  <c r="F60"/>
  <c r="E60"/>
  <c r="D60"/>
  <c r="C60"/>
  <c r="AQ59"/>
  <c r="AP59"/>
  <c r="AO59"/>
  <c r="AN59"/>
  <c r="AM59"/>
  <c r="AL59"/>
  <c r="AK59"/>
  <c r="AJ59"/>
  <c r="AI59"/>
  <c r="AH59"/>
  <c r="AG59"/>
  <c r="AF59"/>
  <c r="AE59"/>
  <c r="AD59"/>
  <c r="AC59"/>
  <c r="AB59"/>
  <c r="AA59"/>
  <c r="Z59"/>
  <c r="Y59"/>
  <c r="I59"/>
  <c r="H59"/>
  <c r="G59"/>
  <c r="F59"/>
  <c r="E59"/>
  <c r="D59"/>
  <c r="C59"/>
  <c r="AQ58"/>
  <c r="AP58"/>
  <c r="AO58"/>
  <c r="AN58"/>
  <c r="AM58"/>
  <c r="AL58"/>
  <c r="AK58"/>
  <c r="AJ58"/>
  <c r="AI58"/>
  <c r="AH58"/>
  <c r="AG58"/>
  <c r="AF58"/>
  <c r="AE58"/>
  <c r="AD58"/>
  <c r="AC58"/>
  <c r="AB58"/>
  <c r="AA58"/>
  <c r="Z58"/>
  <c r="Y58"/>
  <c r="I58"/>
  <c r="H58"/>
  <c r="G58"/>
  <c r="F58"/>
  <c r="E58"/>
  <c r="D58"/>
  <c r="C58"/>
  <c r="AQ57"/>
  <c r="AP57"/>
  <c r="AO57"/>
  <c r="AN57"/>
  <c r="AM57"/>
  <c r="AL57"/>
  <c r="AK57"/>
  <c r="AJ57"/>
  <c r="AI57"/>
  <c r="AH57"/>
  <c r="AG57"/>
  <c r="AF57"/>
  <c r="AE57"/>
  <c r="AD57"/>
  <c r="AC57"/>
  <c r="AB57"/>
  <c r="AA57"/>
  <c r="Z57"/>
  <c r="Y57"/>
  <c r="I57"/>
  <c r="H57"/>
  <c r="G57"/>
  <c r="F57"/>
  <c r="E57"/>
  <c r="D57"/>
  <c r="C57"/>
  <c r="AQ56"/>
  <c r="AP56"/>
  <c r="AO56"/>
  <c r="AN56"/>
  <c r="AM56"/>
  <c r="AL56"/>
  <c r="AK56"/>
  <c r="AJ56"/>
  <c r="AI56"/>
  <c r="AH56"/>
  <c r="AG56"/>
  <c r="AF56"/>
  <c r="AE56"/>
  <c r="AD56"/>
  <c r="AC56"/>
  <c r="AB56"/>
  <c r="AA56"/>
  <c r="Z56"/>
  <c r="Y56"/>
  <c r="G56"/>
  <c r="F56"/>
  <c r="E56"/>
  <c r="D56"/>
  <c r="C56"/>
  <c r="AQ55"/>
  <c r="AP55"/>
  <c r="AO55"/>
  <c r="AN55"/>
  <c r="AM55"/>
  <c r="AL55"/>
  <c r="AK55"/>
  <c r="AJ55"/>
  <c r="AI55"/>
  <c r="AH55"/>
  <c r="AG55"/>
  <c r="AF55"/>
  <c r="AE55"/>
  <c r="AD55"/>
  <c r="AC55"/>
  <c r="AB55"/>
  <c r="AA55"/>
  <c r="Z55"/>
  <c r="Y55"/>
  <c r="G55"/>
  <c r="F55"/>
  <c r="E55"/>
  <c r="D55"/>
  <c r="C55"/>
  <c r="AQ54"/>
  <c r="AP54"/>
  <c r="AO54"/>
  <c r="AN54"/>
  <c r="AM54"/>
  <c r="AL54"/>
  <c r="AK54"/>
  <c r="AJ54"/>
  <c r="AI54"/>
  <c r="AH54"/>
  <c r="AG54"/>
  <c r="AF54"/>
  <c r="AE54"/>
  <c r="AD54"/>
  <c r="AC54"/>
  <c r="AB54"/>
  <c r="AA54"/>
  <c r="Z54"/>
  <c r="Y54"/>
  <c r="I54"/>
  <c r="H54"/>
  <c r="G54"/>
  <c r="F54"/>
  <c r="E54"/>
  <c r="D54"/>
  <c r="C54"/>
  <c r="AQ53"/>
  <c r="AP53"/>
  <c r="AO53"/>
  <c r="AN53"/>
  <c r="AM53"/>
  <c r="AL53"/>
  <c r="AK53"/>
  <c r="AJ53"/>
  <c r="AI53"/>
  <c r="AH53"/>
  <c r="AG53"/>
  <c r="AF53"/>
  <c r="AE53"/>
  <c r="AD53"/>
  <c r="AA53"/>
  <c r="Z53"/>
  <c r="Y53"/>
  <c r="I53"/>
  <c r="H53"/>
  <c r="G53"/>
  <c r="F53"/>
  <c r="E53"/>
  <c r="D53"/>
  <c r="C53"/>
  <c r="AQ52"/>
  <c r="AP52"/>
  <c r="AO52"/>
  <c r="AN52"/>
  <c r="AM52"/>
  <c r="AL52"/>
  <c r="AK52"/>
  <c r="AJ52"/>
  <c r="AI52"/>
  <c r="AH52"/>
  <c r="AG52"/>
  <c r="AF52"/>
  <c r="AE52"/>
  <c r="AD52"/>
  <c r="AC52"/>
  <c r="AB52"/>
  <c r="AA52"/>
  <c r="Z52"/>
  <c r="Y52"/>
  <c r="I52"/>
  <c r="H52"/>
  <c r="G52"/>
  <c r="F52"/>
  <c r="E52"/>
  <c r="D52"/>
  <c r="C52"/>
  <c r="AQ51"/>
  <c r="AP51"/>
  <c r="AO51"/>
  <c r="AN51"/>
  <c r="AM51"/>
  <c r="AL51"/>
  <c r="AK51"/>
  <c r="AJ51"/>
  <c r="AI51"/>
  <c r="AH51"/>
  <c r="AG51"/>
  <c r="AF51"/>
  <c r="AE51"/>
  <c r="AD51"/>
  <c r="AC51"/>
  <c r="AB51"/>
  <c r="AA51"/>
  <c r="Z51"/>
  <c r="Y51"/>
  <c r="I51"/>
  <c r="H51"/>
  <c r="G51"/>
  <c r="F51"/>
  <c r="E51"/>
  <c r="D51"/>
  <c r="C51"/>
  <c r="AQ50"/>
  <c r="AP50"/>
  <c r="AO50"/>
  <c r="AN50"/>
  <c r="AM50"/>
  <c r="AL50"/>
  <c r="AK50"/>
  <c r="AJ50"/>
  <c r="AI50"/>
  <c r="AH50"/>
  <c r="AG50"/>
  <c r="AF50"/>
  <c r="AE50"/>
  <c r="AD50"/>
  <c r="AC50"/>
  <c r="AB50"/>
  <c r="AA50"/>
  <c r="Z50"/>
  <c r="Y50"/>
  <c r="I50"/>
  <c r="H50"/>
  <c r="G50"/>
  <c r="F50"/>
  <c r="E50"/>
  <c r="D50"/>
  <c r="C50"/>
  <c r="AQ49"/>
  <c r="AP49"/>
  <c r="AO49"/>
  <c r="AN49"/>
  <c r="AM49"/>
  <c r="AL49"/>
  <c r="AK49"/>
  <c r="AJ49"/>
  <c r="AI49"/>
  <c r="AH49"/>
  <c r="AG49"/>
  <c r="AF49"/>
  <c r="AE49"/>
  <c r="AD49"/>
  <c r="AC49"/>
  <c r="AB49"/>
  <c r="AA49"/>
  <c r="Z49"/>
  <c r="Y49"/>
  <c r="I49"/>
  <c r="H49"/>
  <c r="G49"/>
  <c r="F49"/>
  <c r="E49"/>
  <c r="D49"/>
  <c r="C49"/>
  <c r="AQ48"/>
  <c r="AJ48"/>
  <c r="AG48"/>
  <c r="AE48"/>
  <c r="AD48"/>
  <c r="AC48"/>
  <c r="AA48"/>
  <c r="Y48"/>
  <c r="G48"/>
  <c r="D48"/>
  <c r="C48"/>
  <c r="AQ47"/>
  <c r="AJ47"/>
  <c r="AG47"/>
  <c r="AE47"/>
  <c r="AD47"/>
  <c r="AC47"/>
  <c r="AA47"/>
  <c r="Y47"/>
  <c r="G47"/>
  <c r="D47"/>
  <c r="C47"/>
  <c r="AQ46"/>
  <c r="AJ46"/>
  <c r="AG46"/>
  <c r="AE46"/>
  <c r="AD46"/>
  <c r="AC46"/>
  <c r="AA46"/>
  <c r="Y46"/>
  <c r="G46"/>
  <c r="D46"/>
  <c r="C46"/>
  <c r="AQ45"/>
  <c r="AJ45"/>
  <c r="AG45"/>
  <c r="AE45"/>
  <c r="AD45"/>
  <c r="AC45"/>
  <c r="AA45"/>
  <c r="Y45"/>
  <c r="G45"/>
  <c r="D45"/>
  <c r="C45"/>
  <c r="AQ44"/>
  <c r="AJ44"/>
  <c r="AG44"/>
  <c r="AE44"/>
  <c r="AD44"/>
  <c r="AA44"/>
  <c r="Y44"/>
  <c r="G44"/>
  <c r="D44"/>
  <c r="C44"/>
  <c r="AQ43"/>
  <c r="AJ43"/>
  <c r="AG43"/>
  <c r="AE43"/>
  <c r="AD43"/>
  <c r="AA43"/>
  <c r="Y43"/>
  <c r="G43"/>
  <c r="D43"/>
  <c r="C43"/>
  <c r="AQ42"/>
  <c r="AJ42"/>
  <c r="AG42"/>
  <c r="AE42"/>
  <c r="AD42"/>
  <c r="AA42"/>
  <c r="Y42"/>
  <c r="G42"/>
  <c r="D42"/>
  <c r="C42"/>
  <c r="AQ41"/>
  <c r="AJ41"/>
  <c r="AG41"/>
  <c r="AE41"/>
  <c r="AD41"/>
  <c r="AA41"/>
  <c r="Y41"/>
  <c r="G41"/>
  <c r="D41"/>
  <c r="C41"/>
  <c r="AQ40"/>
  <c r="AJ40"/>
  <c r="AG40"/>
  <c r="AE40"/>
  <c r="AD40"/>
  <c r="AC40"/>
  <c r="AA40"/>
  <c r="Y40"/>
  <c r="G40"/>
  <c r="D40"/>
  <c r="C40"/>
  <c r="AQ39"/>
  <c r="AJ39"/>
  <c r="AG39"/>
  <c r="AE39"/>
  <c r="AD39"/>
  <c r="AC39"/>
  <c r="AA39"/>
  <c r="Y39"/>
  <c r="G39"/>
  <c r="D39"/>
  <c r="C39"/>
  <c r="AQ38"/>
  <c r="AJ38"/>
  <c r="AG38"/>
  <c r="AA38"/>
  <c r="Y38"/>
  <c r="G38"/>
  <c r="D38"/>
  <c r="C38"/>
  <c r="AQ37"/>
  <c r="AJ37"/>
  <c r="AA37"/>
  <c r="Y37"/>
  <c r="G37"/>
  <c r="D37"/>
  <c r="C37"/>
  <c r="AQ36"/>
  <c r="AJ36"/>
  <c r="AG36"/>
  <c r="AE36"/>
  <c r="AD36"/>
  <c r="AC36"/>
  <c r="AA36"/>
  <c r="Y36"/>
  <c r="G36"/>
  <c r="D36"/>
  <c r="C36"/>
  <c r="AQ35"/>
  <c r="AJ35"/>
  <c r="AG35"/>
  <c r="AE35"/>
  <c r="AD35"/>
  <c r="AC35"/>
  <c r="AA35"/>
  <c r="Y35"/>
  <c r="G35"/>
  <c r="D35"/>
  <c r="C35"/>
  <c r="AQ34"/>
  <c r="AJ34"/>
  <c r="AG34"/>
  <c r="AE34"/>
  <c r="AD34"/>
  <c r="AC34"/>
  <c r="AA34"/>
  <c r="Y34"/>
  <c r="G34"/>
  <c r="D34"/>
  <c r="C34"/>
  <c r="AQ33"/>
  <c r="AJ33"/>
  <c r="AG33"/>
  <c r="AE33"/>
  <c r="AD33"/>
  <c r="AC33"/>
  <c r="AA33"/>
  <c r="Y33"/>
  <c r="G33"/>
  <c r="D33"/>
  <c r="C33"/>
  <c r="AQ32"/>
  <c r="AJ32"/>
  <c r="AG32"/>
  <c r="AE32"/>
  <c r="AD32"/>
  <c r="AC32"/>
  <c r="AA32"/>
  <c r="Y32"/>
  <c r="G32"/>
  <c r="D32"/>
  <c r="C32"/>
  <c r="AQ31"/>
  <c r="AJ31"/>
  <c r="AG31"/>
  <c r="AE31"/>
  <c r="AD31"/>
  <c r="AC31"/>
  <c r="AA31"/>
  <c r="Y31"/>
  <c r="G31"/>
  <c r="D31"/>
  <c r="C31"/>
  <c r="AQ30"/>
  <c r="AJ30"/>
  <c r="AE30"/>
  <c r="AD30"/>
  <c r="AC30"/>
  <c r="AA30"/>
  <c r="Y30"/>
  <c r="G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D6" i="149"/>
  <c r="D5"/>
  <c r="H33"/>
  <c r="I33"/>
  <c r="J33"/>
  <c r="L33"/>
  <c r="D3"/>
  <c r="M33"/>
  <c r="K33"/>
  <c r="N33"/>
  <c r="O33"/>
  <c r="P33"/>
  <c r="R33"/>
  <c r="T33"/>
  <c r="H34"/>
  <c r="I34"/>
  <c r="J34"/>
  <c r="L34"/>
  <c r="M34"/>
  <c r="K34"/>
  <c r="N34"/>
  <c r="O34"/>
  <c r="P34"/>
  <c r="R34"/>
  <c r="T34"/>
  <c r="H35"/>
  <c r="I35"/>
  <c r="J35"/>
  <c r="L35"/>
  <c r="M35"/>
  <c r="K35"/>
  <c r="N35"/>
  <c r="O35"/>
  <c r="P35"/>
  <c r="R35"/>
  <c r="T35"/>
  <c r="T37"/>
  <c r="S33"/>
  <c r="S34"/>
  <c r="S35"/>
  <c r="S37"/>
  <c r="R37"/>
  <c r="P40"/>
  <c r="O37"/>
  <c r="I45"/>
  <c r="I49"/>
  <c r="V33"/>
  <c r="W33"/>
  <c r="V34"/>
  <c r="W34"/>
  <c r="V35"/>
  <c r="W35"/>
  <c r="W37"/>
  <c r="V37"/>
  <c r="I51"/>
  <c r="I52"/>
  <c r="M53"/>
  <c r="M54"/>
  <c r="I53"/>
  <c r="AJ33"/>
  <c r="AK33"/>
  <c r="AJ34"/>
  <c r="AK34"/>
  <c r="AJ35"/>
  <c r="AK35"/>
  <c r="AL33"/>
  <c r="AL34"/>
  <c r="AL35"/>
  <c r="Q46"/>
  <c r="Q47"/>
  <c r="Q48"/>
  <c r="Q49"/>
  <c r="AH48"/>
  <c r="I46"/>
  <c r="U33"/>
  <c r="U34"/>
  <c r="U35"/>
  <c r="U37"/>
  <c r="I47"/>
  <c r="I48"/>
  <c r="AH47"/>
  <c r="AH46"/>
  <c r="I41"/>
  <c r="I42"/>
  <c r="AH44"/>
  <c r="AH43"/>
  <c r="I40"/>
  <c r="M42"/>
  <c r="M43"/>
  <c r="AH42"/>
  <c r="P42"/>
  <c r="P41"/>
  <c r="F5"/>
  <c r="AY35"/>
  <c r="AX35"/>
  <c r="AW35"/>
  <c r="AV35"/>
  <c r="AU35"/>
  <c r="AT35"/>
  <c r="AS35"/>
  <c r="AR35"/>
  <c r="AQ35"/>
  <c r="E35"/>
  <c r="AN35"/>
  <c r="F35"/>
  <c r="AO35"/>
  <c r="AP35"/>
  <c r="Q35"/>
  <c r="AH35"/>
  <c r="AG35"/>
  <c r="AF35"/>
  <c r="F4"/>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I30"/>
  <c r="H30"/>
  <c r="G30"/>
  <c r="F30"/>
  <c r="E30"/>
  <c r="D30"/>
  <c r="C30"/>
  <c r="AQ29"/>
  <c r="AP29"/>
  <c r="AO29"/>
  <c r="AN29"/>
  <c r="AM29"/>
  <c r="AL29"/>
  <c r="AK29"/>
  <c r="AJ29"/>
  <c r="AI29"/>
  <c r="AH29"/>
  <c r="AG29"/>
  <c r="AF29"/>
  <c r="AE29"/>
  <c r="AD29"/>
  <c r="AC29"/>
  <c r="AB29"/>
  <c r="AA29"/>
  <c r="Z29"/>
  <c r="Y29"/>
  <c r="I29"/>
  <c r="H29"/>
  <c r="G29"/>
  <c r="F29"/>
  <c r="E29"/>
  <c r="D29"/>
  <c r="C29"/>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D6" i="75"/>
  <c r="D5"/>
  <c r="H60"/>
  <c r="I60"/>
  <c r="J60"/>
  <c r="L60"/>
  <c r="D3"/>
  <c r="M60"/>
  <c r="K60"/>
  <c r="N60"/>
  <c r="O60"/>
  <c r="P60"/>
  <c r="R60"/>
  <c r="T60"/>
  <c r="H61"/>
  <c r="I61"/>
  <c r="J61"/>
  <c r="L61"/>
  <c r="M61"/>
  <c r="K61"/>
  <c r="N61"/>
  <c r="O61"/>
  <c r="P61"/>
  <c r="R61"/>
  <c r="T61"/>
  <c r="H62"/>
  <c r="I62"/>
  <c r="J62"/>
  <c r="L62"/>
  <c r="M62"/>
  <c r="K62"/>
  <c r="N62"/>
  <c r="O62"/>
  <c r="P62"/>
  <c r="R62"/>
  <c r="T62"/>
  <c r="H63"/>
  <c r="I63"/>
  <c r="J63"/>
  <c r="L63"/>
  <c r="M63"/>
  <c r="K63"/>
  <c r="N63"/>
  <c r="O63"/>
  <c r="P63"/>
  <c r="R63"/>
  <c r="T63"/>
  <c r="H64"/>
  <c r="I64"/>
  <c r="J64"/>
  <c r="L64"/>
  <c r="M64"/>
  <c r="K64"/>
  <c r="N64"/>
  <c r="O64"/>
  <c r="P64"/>
  <c r="R64"/>
  <c r="T64"/>
  <c r="H65"/>
  <c r="I65"/>
  <c r="J65"/>
  <c r="L65"/>
  <c r="M65"/>
  <c r="K65"/>
  <c r="N65"/>
  <c r="O65"/>
  <c r="P65"/>
  <c r="R65"/>
  <c r="T65"/>
  <c r="H66"/>
  <c r="I66"/>
  <c r="J66"/>
  <c r="L66"/>
  <c r="M66"/>
  <c r="K66"/>
  <c r="N66"/>
  <c r="O66"/>
  <c r="P66"/>
  <c r="R66"/>
  <c r="T66"/>
  <c r="H67"/>
  <c r="I67"/>
  <c r="J67"/>
  <c r="L67"/>
  <c r="M67"/>
  <c r="K67"/>
  <c r="N67"/>
  <c r="O67"/>
  <c r="P67"/>
  <c r="R67"/>
  <c r="T67"/>
  <c r="H68"/>
  <c r="I68"/>
  <c r="J68"/>
  <c r="L68"/>
  <c r="M68"/>
  <c r="K68"/>
  <c r="N68"/>
  <c r="O68"/>
  <c r="P68"/>
  <c r="R68"/>
  <c r="T68"/>
  <c r="H69"/>
  <c r="I69"/>
  <c r="J69"/>
  <c r="L69"/>
  <c r="M69"/>
  <c r="K69"/>
  <c r="N69"/>
  <c r="O69"/>
  <c r="P69"/>
  <c r="R69"/>
  <c r="T69"/>
  <c r="H70"/>
  <c r="I70"/>
  <c r="J70"/>
  <c r="L70"/>
  <c r="M70"/>
  <c r="K70"/>
  <c r="N70"/>
  <c r="O70"/>
  <c r="P70"/>
  <c r="R70"/>
  <c r="T70"/>
  <c r="H71"/>
  <c r="I71"/>
  <c r="J71"/>
  <c r="L71"/>
  <c r="M71"/>
  <c r="K71"/>
  <c r="N71"/>
  <c r="O71"/>
  <c r="P71"/>
  <c r="R71"/>
  <c r="T71"/>
  <c r="H72"/>
  <c r="I72"/>
  <c r="J72"/>
  <c r="L72"/>
  <c r="M72"/>
  <c r="K72"/>
  <c r="N72"/>
  <c r="O72"/>
  <c r="P72"/>
  <c r="R72"/>
  <c r="T72"/>
  <c r="H73"/>
  <c r="I73"/>
  <c r="J73"/>
  <c r="L73"/>
  <c r="M73"/>
  <c r="K73"/>
  <c r="N73"/>
  <c r="O73"/>
  <c r="P73"/>
  <c r="R73"/>
  <c r="T73"/>
  <c r="H74"/>
  <c r="I74"/>
  <c r="J74"/>
  <c r="L74"/>
  <c r="M74"/>
  <c r="K74"/>
  <c r="N74"/>
  <c r="O74"/>
  <c r="P74"/>
  <c r="R74"/>
  <c r="T74"/>
  <c r="H75"/>
  <c r="I75"/>
  <c r="J75"/>
  <c r="L75"/>
  <c r="M75"/>
  <c r="K75"/>
  <c r="N75"/>
  <c r="O75"/>
  <c r="P75"/>
  <c r="R75"/>
  <c r="T75"/>
  <c r="H76"/>
  <c r="I76"/>
  <c r="J76"/>
  <c r="L76"/>
  <c r="M76"/>
  <c r="K76"/>
  <c r="N76"/>
  <c r="O76"/>
  <c r="P76"/>
  <c r="R76"/>
  <c r="T76"/>
  <c r="H77"/>
  <c r="I77"/>
  <c r="J77"/>
  <c r="L77"/>
  <c r="M77"/>
  <c r="K77"/>
  <c r="N77"/>
  <c r="O77"/>
  <c r="P77"/>
  <c r="R77"/>
  <c r="T77"/>
  <c r="H78"/>
  <c r="I78"/>
  <c r="J78"/>
  <c r="L78"/>
  <c r="M78"/>
  <c r="K78"/>
  <c r="N78"/>
  <c r="O78"/>
  <c r="P78"/>
  <c r="R78"/>
  <c r="T78"/>
  <c r="H79"/>
  <c r="I79"/>
  <c r="J79"/>
  <c r="L79"/>
  <c r="M79"/>
  <c r="K79"/>
  <c r="N79"/>
  <c r="O79"/>
  <c r="P79"/>
  <c r="R79"/>
  <c r="T79"/>
  <c r="H80"/>
  <c r="I80"/>
  <c r="J80"/>
  <c r="L80"/>
  <c r="M80"/>
  <c r="K80"/>
  <c r="N80"/>
  <c r="O80"/>
  <c r="P80"/>
  <c r="R80"/>
  <c r="T80"/>
  <c r="H81"/>
  <c r="I81"/>
  <c r="J81"/>
  <c r="L81"/>
  <c r="M81"/>
  <c r="K81"/>
  <c r="N81"/>
  <c r="O81"/>
  <c r="P81"/>
  <c r="R81"/>
  <c r="T81"/>
  <c r="H82"/>
  <c r="I82"/>
  <c r="J82"/>
  <c r="L82"/>
  <c r="M82"/>
  <c r="K82"/>
  <c r="N82"/>
  <c r="O82"/>
  <c r="P82"/>
  <c r="R82"/>
  <c r="T82"/>
  <c r="T84"/>
  <c r="S60"/>
  <c r="S61"/>
  <c r="S62"/>
  <c r="S63"/>
  <c r="S64"/>
  <c r="S65"/>
  <c r="S66"/>
  <c r="S67"/>
  <c r="S68"/>
  <c r="S69"/>
  <c r="S70"/>
  <c r="S71"/>
  <c r="S72"/>
  <c r="S73"/>
  <c r="S74"/>
  <c r="S75"/>
  <c r="S76"/>
  <c r="S77"/>
  <c r="S78"/>
  <c r="S79"/>
  <c r="S80"/>
  <c r="S81"/>
  <c r="S82"/>
  <c r="S84"/>
  <c r="R84"/>
  <c r="P87"/>
  <c r="O84"/>
  <c r="I92"/>
  <c r="I93"/>
  <c r="U60"/>
  <c r="U61"/>
  <c r="U62"/>
  <c r="U63"/>
  <c r="U64"/>
  <c r="U65"/>
  <c r="U66"/>
  <c r="U67"/>
  <c r="U68"/>
  <c r="U69"/>
  <c r="U70"/>
  <c r="U71"/>
  <c r="U72"/>
  <c r="U73"/>
  <c r="U74"/>
  <c r="U75"/>
  <c r="U76"/>
  <c r="U77"/>
  <c r="U78"/>
  <c r="U79"/>
  <c r="U80"/>
  <c r="U81"/>
  <c r="U82"/>
  <c r="U84"/>
  <c r="I94"/>
  <c r="I95"/>
  <c r="I96"/>
  <c r="V60"/>
  <c r="W60"/>
  <c r="V61"/>
  <c r="W61"/>
  <c r="V62"/>
  <c r="W62"/>
  <c r="V63"/>
  <c r="W63"/>
  <c r="V64"/>
  <c r="W64"/>
  <c r="V65"/>
  <c r="W65"/>
  <c r="V66"/>
  <c r="W66"/>
  <c r="V67"/>
  <c r="W67"/>
  <c r="V68"/>
  <c r="W68"/>
  <c r="V69"/>
  <c r="W69"/>
  <c r="V70"/>
  <c r="W70"/>
  <c r="V71"/>
  <c r="W71"/>
  <c r="V72"/>
  <c r="W72"/>
  <c r="V73"/>
  <c r="W73"/>
  <c r="V74"/>
  <c r="W74"/>
  <c r="V75"/>
  <c r="W75"/>
  <c r="V76"/>
  <c r="W76"/>
  <c r="V77"/>
  <c r="W77"/>
  <c r="V78"/>
  <c r="W78"/>
  <c r="V79"/>
  <c r="W79"/>
  <c r="V80"/>
  <c r="W80"/>
  <c r="V81"/>
  <c r="W81"/>
  <c r="V82"/>
  <c r="W82"/>
  <c r="W84"/>
  <c r="V84"/>
  <c r="I98"/>
  <c r="I99"/>
  <c r="M100"/>
  <c r="M101"/>
  <c r="I100"/>
  <c r="AJ60"/>
  <c r="AK60"/>
  <c r="AJ61"/>
  <c r="AK61"/>
  <c r="AJ62"/>
  <c r="AK62"/>
  <c r="AJ63"/>
  <c r="AK63"/>
  <c r="AJ64"/>
  <c r="AK64"/>
  <c r="AJ65"/>
  <c r="AK65"/>
  <c r="AJ66"/>
  <c r="AK66"/>
  <c r="AJ67"/>
  <c r="AK67"/>
  <c r="AJ68"/>
  <c r="AK68"/>
  <c r="AJ69"/>
  <c r="AK69"/>
  <c r="AJ70"/>
  <c r="AK70"/>
  <c r="AJ71"/>
  <c r="AK71"/>
  <c r="AJ72"/>
  <c r="AK72"/>
  <c r="AJ73"/>
  <c r="AK73"/>
  <c r="AJ74"/>
  <c r="AK74"/>
  <c r="AJ75"/>
  <c r="AK75"/>
  <c r="AJ76"/>
  <c r="AK76"/>
  <c r="AJ77"/>
  <c r="AK77"/>
  <c r="AJ78"/>
  <c r="AK78"/>
  <c r="AJ79"/>
  <c r="AK79"/>
  <c r="AJ80"/>
  <c r="AK80"/>
  <c r="AJ81"/>
  <c r="AK81"/>
  <c r="AJ82"/>
  <c r="AK82"/>
  <c r="AL60"/>
  <c r="AL61"/>
  <c r="AL62"/>
  <c r="AL63"/>
  <c r="AL64"/>
  <c r="AL65"/>
  <c r="AL66"/>
  <c r="AL67"/>
  <c r="AL68"/>
  <c r="AL69"/>
  <c r="AL70"/>
  <c r="AL71"/>
  <c r="AL72"/>
  <c r="AL73"/>
  <c r="AL74"/>
  <c r="AL75"/>
  <c r="AL76"/>
  <c r="AL77"/>
  <c r="AL78"/>
  <c r="AL79"/>
  <c r="AL80"/>
  <c r="AL81"/>
  <c r="AL82"/>
  <c r="Q93"/>
  <c r="Q94"/>
  <c r="Q95"/>
  <c r="Q96"/>
  <c r="AH95"/>
  <c r="AH94"/>
  <c r="AH93"/>
  <c r="I88"/>
  <c r="I89"/>
  <c r="AH91"/>
  <c r="AH90"/>
  <c r="I87"/>
  <c r="M89"/>
  <c r="M90"/>
  <c r="AH89"/>
  <c r="P89"/>
  <c r="P88"/>
  <c r="AX82"/>
  <c r="AW82"/>
  <c r="AV82"/>
  <c r="AU82"/>
  <c r="AT82"/>
  <c r="AS82"/>
  <c r="AR82"/>
  <c r="AQ82"/>
  <c r="E82"/>
  <c r="AN82"/>
  <c r="F82"/>
  <c r="AO82"/>
  <c r="AP82"/>
  <c r="Q82"/>
  <c r="AH82"/>
  <c r="AG82"/>
  <c r="AF82"/>
  <c r="AX81"/>
  <c r="AW81"/>
  <c r="AV81"/>
  <c r="AU81"/>
  <c r="AT81"/>
  <c r="AS81"/>
  <c r="AR81"/>
  <c r="AQ81"/>
  <c r="E81"/>
  <c r="AN81"/>
  <c r="F81"/>
  <c r="AO81"/>
  <c r="AP81"/>
  <c r="Q81"/>
  <c r="AH81"/>
  <c r="AG81"/>
  <c r="AF81"/>
  <c r="AX80"/>
  <c r="AW80"/>
  <c r="AV80"/>
  <c r="AU80"/>
  <c r="AT80"/>
  <c r="AS80"/>
  <c r="AR80"/>
  <c r="AQ80"/>
  <c r="E80"/>
  <c r="AN80"/>
  <c r="F80"/>
  <c r="AO80"/>
  <c r="AP80"/>
  <c r="Q80"/>
  <c r="AH80"/>
  <c r="AG80"/>
  <c r="AF80"/>
  <c r="AX79"/>
  <c r="AW79"/>
  <c r="AV79"/>
  <c r="AU79"/>
  <c r="AT79"/>
  <c r="AS79"/>
  <c r="AR79"/>
  <c r="AQ79"/>
  <c r="E79"/>
  <c r="AN79"/>
  <c r="F79"/>
  <c r="AO79"/>
  <c r="AP79"/>
  <c r="Q79"/>
  <c r="AH79"/>
  <c r="AG79"/>
  <c r="AF79"/>
  <c r="AX78"/>
  <c r="AW78"/>
  <c r="AV78"/>
  <c r="AU78"/>
  <c r="AT78"/>
  <c r="AS78"/>
  <c r="AR78"/>
  <c r="AQ78"/>
  <c r="E78"/>
  <c r="AN78"/>
  <c r="F78"/>
  <c r="AO78"/>
  <c r="AP78"/>
  <c r="Q78"/>
  <c r="AH78"/>
  <c r="AG78"/>
  <c r="AF78"/>
  <c r="AX77"/>
  <c r="AW77"/>
  <c r="AV77"/>
  <c r="AU77"/>
  <c r="AT77"/>
  <c r="AS77"/>
  <c r="AR77"/>
  <c r="AQ77"/>
  <c r="E77"/>
  <c r="AN77"/>
  <c r="F77"/>
  <c r="AO77"/>
  <c r="AP77"/>
  <c r="Q77"/>
  <c r="AH77"/>
  <c r="AG77"/>
  <c r="AF77"/>
  <c r="AX76"/>
  <c r="AW76"/>
  <c r="AV76"/>
  <c r="AU76"/>
  <c r="AT76"/>
  <c r="AS76"/>
  <c r="AR76"/>
  <c r="AQ76"/>
  <c r="E76"/>
  <c r="AN76"/>
  <c r="F76"/>
  <c r="AO76"/>
  <c r="AP76"/>
  <c r="Q76"/>
  <c r="AH76"/>
  <c r="AG76"/>
  <c r="AF76"/>
  <c r="AX75"/>
  <c r="AW75"/>
  <c r="AV75"/>
  <c r="AU75"/>
  <c r="AT75"/>
  <c r="AS75"/>
  <c r="AR75"/>
  <c r="AQ75"/>
  <c r="E75"/>
  <c r="AN75"/>
  <c r="F75"/>
  <c r="AO75"/>
  <c r="AP75"/>
  <c r="Q75"/>
  <c r="AH75"/>
  <c r="AG75"/>
  <c r="AF75"/>
  <c r="AX74"/>
  <c r="AW74"/>
  <c r="AV74"/>
  <c r="AU74"/>
  <c r="AT74"/>
  <c r="AS74"/>
  <c r="AR74"/>
  <c r="AQ74"/>
  <c r="E74"/>
  <c r="AN74"/>
  <c r="F74"/>
  <c r="AO74"/>
  <c r="AP74"/>
  <c r="Q74"/>
  <c r="AH74"/>
  <c r="AG74"/>
  <c r="AF74"/>
  <c r="AX73"/>
  <c r="AW73"/>
  <c r="AV73"/>
  <c r="AU73"/>
  <c r="AT73"/>
  <c r="AS73"/>
  <c r="AR73"/>
  <c r="AQ73"/>
  <c r="E73"/>
  <c r="AN73"/>
  <c r="F73"/>
  <c r="AO73"/>
  <c r="AP73"/>
  <c r="Q73"/>
  <c r="AH73"/>
  <c r="AG73"/>
  <c r="AF73"/>
  <c r="AX72"/>
  <c r="AW72"/>
  <c r="AV72"/>
  <c r="AU72"/>
  <c r="AT72"/>
  <c r="AS72"/>
  <c r="AR72"/>
  <c r="AQ72"/>
  <c r="E72"/>
  <c r="AN72"/>
  <c r="F72"/>
  <c r="AO72"/>
  <c r="AP72"/>
  <c r="Q72"/>
  <c r="AH72"/>
  <c r="AG72"/>
  <c r="AF72"/>
  <c r="AX71"/>
  <c r="AW71"/>
  <c r="AV71"/>
  <c r="AU71"/>
  <c r="AT71"/>
  <c r="AS71"/>
  <c r="AR71"/>
  <c r="AQ71"/>
  <c r="E71"/>
  <c r="AN71"/>
  <c r="F71"/>
  <c r="AO71"/>
  <c r="AP71"/>
  <c r="Q71"/>
  <c r="AH71"/>
  <c r="AG71"/>
  <c r="AF71"/>
  <c r="AX70"/>
  <c r="AW70"/>
  <c r="AV70"/>
  <c r="AU70"/>
  <c r="AT70"/>
  <c r="AS70"/>
  <c r="AR70"/>
  <c r="AQ70"/>
  <c r="E70"/>
  <c r="AN70"/>
  <c r="F70"/>
  <c r="AO70"/>
  <c r="AP70"/>
  <c r="Q70"/>
  <c r="AH70"/>
  <c r="AG70"/>
  <c r="AF70"/>
  <c r="AX69"/>
  <c r="AW69"/>
  <c r="AV69"/>
  <c r="AU69"/>
  <c r="AT69"/>
  <c r="AS69"/>
  <c r="AR69"/>
  <c r="AQ69"/>
  <c r="E69"/>
  <c r="AN69"/>
  <c r="F69"/>
  <c r="AO69"/>
  <c r="AP69"/>
  <c r="Q69"/>
  <c r="AH69"/>
  <c r="AG69"/>
  <c r="AF69"/>
  <c r="AX68"/>
  <c r="AW68"/>
  <c r="AV68"/>
  <c r="AU68"/>
  <c r="AT68"/>
  <c r="AS68"/>
  <c r="AR68"/>
  <c r="AQ68"/>
  <c r="E68"/>
  <c r="AN68"/>
  <c r="F68"/>
  <c r="AO68"/>
  <c r="AP68"/>
  <c r="Q68"/>
  <c r="AH68"/>
  <c r="AG68"/>
  <c r="AF68"/>
  <c r="AX67"/>
  <c r="AW67"/>
  <c r="AV67"/>
  <c r="AU67"/>
  <c r="AT67"/>
  <c r="AS67"/>
  <c r="AR67"/>
  <c r="AQ67"/>
  <c r="E67"/>
  <c r="AN67"/>
  <c r="F67"/>
  <c r="AO67"/>
  <c r="AP67"/>
  <c r="Q67"/>
  <c r="AH67"/>
  <c r="AG67"/>
  <c r="AF67"/>
  <c r="AX66"/>
  <c r="AW66"/>
  <c r="AV66"/>
  <c r="AU66"/>
  <c r="AT66"/>
  <c r="AS66"/>
  <c r="AR66"/>
  <c r="AQ66"/>
  <c r="E66"/>
  <c r="AN66"/>
  <c r="F66"/>
  <c r="AO66"/>
  <c r="AP66"/>
  <c r="Q66"/>
  <c r="AH66"/>
  <c r="AG66"/>
  <c r="AF66"/>
  <c r="AX65"/>
  <c r="AW65"/>
  <c r="AV65"/>
  <c r="AU65"/>
  <c r="AT65"/>
  <c r="AS65"/>
  <c r="AR65"/>
  <c r="AQ65"/>
  <c r="E65"/>
  <c r="AN65"/>
  <c r="F65"/>
  <c r="AO65"/>
  <c r="AP65"/>
  <c r="Q65"/>
  <c r="AH65"/>
  <c r="AG65"/>
  <c r="AF65"/>
  <c r="AX64"/>
  <c r="AW64"/>
  <c r="AV64"/>
  <c r="AU64"/>
  <c r="AT64"/>
  <c r="AS64"/>
  <c r="AR64"/>
  <c r="AQ64"/>
  <c r="E64"/>
  <c r="AN64"/>
  <c r="F64"/>
  <c r="AO64"/>
  <c r="AP64"/>
  <c r="Q64"/>
  <c r="AH64"/>
  <c r="AG64"/>
  <c r="AF64"/>
  <c r="F5"/>
  <c r="AY63"/>
  <c r="AX63"/>
  <c r="AW63"/>
  <c r="AV63"/>
  <c r="AU63"/>
  <c r="AT63"/>
  <c r="AS63"/>
  <c r="AR63"/>
  <c r="AQ63"/>
  <c r="E63"/>
  <c r="AN63"/>
  <c r="F63"/>
  <c r="AO63"/>
  <c r="AP63"/>
  <c r="Q63"/>
  <c r="AH63"/>
  <c r="AG63"/>
  <c r="AF63"/>
  <c r="F6"/>
  <c r="AY62"/>
  <c r="AX62"/>
  <c r="AW62"/>
  <c r="AV62"/>
  <c r="AU62"/>
  <c r="AT62"/>
  <c r="AS62"/>
  <c r="AR62"/>
  <c r="AQ62"/>
  <c r="E62"/>
  <c r="AN62"/>
  <c r="F62"/>
  <c r="AO62"/>
  <c r="AP62"/>
  <c r="Q62"/>
  <c r="AH62"/>
  <c r="AG62"/>
  <c r="AF62"/>
  <c r="F4"/>
  <c r="AY61"/>
  <c r="AX61"/>
  <c r="AW61"/>
  <c r="AV61"/>
  <c r="AU61"/>
  <c r="AT61"/>
  <c r="AS61"/>
  <c r="AR61"/>
  <c r="AQ61"/>
  <c r="E61"/>
  <c r="AN61"/>
  <c r="F61"/>
  <c r="AO61"/>
  <c r="AP61"/>
  <c r="Q61"/>
  <c r="AH61"/>
  <c r="AG61"/>
  <c r="AF61"/>
  <c r="F3"/>
  <c r="AY60"/>
  <c r="AX60"/>
  <c r="AW60"/>
  <c r="AV60"/>
  <c r="AU60"/>
  <c r="AT60"/>
  <c r="AS60"/>
  <c r="AR60"/>
  <c r="AQ60"/>
  <c r="E60"/>
  <c r="AN60"/>
  <c r="F60"/>
  <c r="AO60"/>
  <c r="AP60"/>
  <c r="Q60"/>
  <c r="AH60"/>
  <c r="AG60"/>
  <c r="AF60"/>
  <c r="I58"/>
  <c r="AQ56"/>
  <c r="AP56"/>
  <c r="AO56"/>
  <c r="AN56"/>
  <c r="AM56"/>
  <c r="AL56"/>
  <c r="AK56"/>
  <c r="AJ56"/>
  <c r="AI56"/>
  <c r="AH56"/>
  <c r="AG56"/>
  <c r="AF56"/>
  <c r="AE56"/>
  <c r="AD56"/>
  <c r="AC56"/>
  <c r="AB56"/>
  <c r="AA56"/>
  <c r="Z56"/>
  <c r="Y56"/>
  <c r="G56"/>
  <c r="F56"/>
  <c r="E56"/>
  <c r="D56"/>
  <c r="C56"/>
  <c r="AQ55"/>
  <c r="AP55"/>
  <c r="AO55"/>
  <c r="AN55"/>
  <c r="AM55"/>
  <c r="AL55"/>
  <c r="AK55"/>
  <c r="AJ55"/>
  <c r="AI55"/>
  <c r="AH55"/>
  <c r="AG55"/>
  <c r="AF55"/>
  <c r="AE55"/>
  <c r="AD55"/>
  <c r="AC55"/>
  <c r="AB55"/>
  <c r="AA55"/>
  <c r="Z55"/>
  <c r="Y55"/>
  <c r="G55"/>
  <c r="F55"/>
  <c r="E55"/>
  <c r="D55"/>
  <c r="C55"/>
  <c r="AQ54"/>
  <c r="AP54"/>
  <c r="AO54"/>
  <c r="AN54"/>
  <c r="AM54"/>
  <c r="AL54"/>
  <c r="AK54"/>
  <c r="AJ54"/>
  <c r="AI54"/>
  <c r="AH54"/>
  <c r="AG54"/>
  <c r="AF54"/>
  <c r="AE54"/>
  <c r="AD54"/>
  <c r="AC54"/>
  <c r="AB54"/>
  <c r="AA54"/>
  <c r="Z54"/>
  <c r="Y54"/>
  <c r="I54"/>
  <c r="H54"/>
  <c r="G54"/>
  <c r="F54"/>
  <c r="E54"/>
  <c r="D54"/>
  <c r="C54"/>
  <c r="AQ53"/>
  <c r="AP53"/>
  <c r="AO53"/>
  <c r="AN53"/>
  <c r="AM53"/>
  <c r="AL53"/>
  <c r="AK53"/>
  <c r="AJ53"/>
  <c r="AI53"/>
  <c r="AH53"/>
  <c r="AG53"/>
  <c r="AF53"/>
  <c r="AE53"/>
  <c r="AD53"/>
  <c r="AC53"/>
  <c r="AB53"/>
  <c r="AA53"/>
  <c r="Z53"/>
  <c r="Y53"/>
  <c r="I53"/>
  <c r="H53"/>
  <c r="G53"/>
  <c r="F53"/>
  <c r="E53"/>
  <c r="D53"/>
  <c r="C53"/>
  <c r="AQ52"/>
  <c r="AP52"/>
  <c r="AO52"/>
  <c r="AN52"/>
  <c r="AM52"/>
  <c r="AL52"/>
  <c r="AK52"/>
  <c r="AJ52"/>
  <c r="AI52"/>
  <c r="AH52"/>
  <c r="AG52"/>
  <c r="AF52"/>
  <c r="AE52"/>
  <c r="AD52"/>
  <c r="AC52"/>
  <c r="AB52"/>
  <c r="AA52"/>
  <c r="Z52"/>
  <c r="Y52"/>
  <c r="I52"/>
  <c r="H52"/>
  <c r="G52"/>
  <c r="F52"/>
  <c r="E52"/>
  <c r="D52"/>
  <c r="C52"/>
  <c r="AQ51"/>
  <c r="AP51"/>
  <c r="AO51"/>
  <c r="AN51"/>
  <c r="AM51"/>
  <c r="AL51"/>
  <c r="AK51"/>
  <c r="AJ51"/>
  <c r="AI51"/>
  <c r="AH51"/>
  <c r="AG51"/>
  <c r="AF51"/>
  <c r="AE51"/>
  <c r="AD51"/>
  <c r="AC51"/>
  <c r="AB51"/>
  <c r="AA51"/>
  <c r="Z51"/>
  <c r="Y51"/>
  <c r="I51"/>
  <c r="H51"/>
  <c r="G51"/>
  <c r="F51"/>
  <c r="E51"/>
  <c r="D51"/>
  <c r="C51"/>
  <c r="AQ50"/>
  <c r="AP50"/>
  <c r="AO50"/>
  <c r="AN50"/>
  <c r="AM50"/>
  <c r="AL50"/>
  <c r="AK50"/>
  <c r="AJ50"/>
  <c r="AI50"/>
  <c r="AH50"/>
  <c r="AG50"/>
  <c r="AF50"/>
  <c r="AE50"/>
  <c r="AD50"/>
  <c r="AC50"/>
  <c r="AB50"/>
  <c r="AA50"/>
  <c r="Z50"/>
  <c r="Y50"/>
  <c r="I50"/>
  <c r="H50"/>
  <c r="G50"/>
  <c r="F50"/>
  <c r="E50"/>
  <c r="D50"/>
  <c r="C50"/>
  <c r="AQ46"/>
  <c r="AJ46"/>
  <c r="AG46"/>
  <c r="AE46"/>
  <c r="AD46"/>
  <c r="AC46"/>
  <c r="AA46"/>
  <c r="Y46"/>
  <c r="G46"/>
  <c r="D46"/>
  <c r="C46"/>
  <c r="AQ45"/>
  <c r="AJ45"/>
  <c r="AG45"/>
  <c r="AE45"/>
  <c r="AD45"/>
  <c r="AC45"/>
  <c r="AA45"/>
  <c r="Y45"/>
  <c r="G45"/>
  <c r="D45"/>
  <c r="C45"/>
  <c r="Y44"/>
  <c r="G44"/>
  <c r="D44"/>
  <c r="C44"/>
  <c r="Y43"/>
  <c r="G43"/>
  <c r="D43"/>
  <c r="C43"/>
  <c r="Y42"/>
  <c r="G42"/>
  <c r="D42"/>
  <c r="C42"/>
  <c r="Y41"/>
  <c r="G41"/>
  <c r="D41"/>
  <c r="C41"/>
  <c r="AQ40"/>
  <c r="AJ40"/>
  <c r="AG40"/>
  <c r="AE40"/>
  <c r="AD40"/>
  <c r="AC40"/>
  <c r="AA40"/>
  <c r="Y40"/>
  <c r="G40"/>
  <c r="D40"/>
  <c r="C40"/>
  <c r="AQ39"/>
  <c r="AJ39"/>
  <c r="AG39"/>
  <c r="AE39"/>
  <c r="AD39"/>
  <c r="AC39"/>
  <c r="AA39"/>
  <c r="Y39"/>
  <c r="G39"/>
  <c r="D39"/>
  <c r="C39"/>
  <c r="AQ38"/>
  <c r="Y38"/>
  <c r="G38"/>
  <c r="D38"/>
  <c r="C38"/>
  <c r="AQ37"/>
  <c r="Y37"/>
  <c r="G37"/>
  <c r="D37"/>
  <c r="C37"/>
  <c r="AQ36"/>
  <c r="AJ36"/>
  <c r="AG36"/>
  <c r="AE36"/>
  <c r="AD36"/>
  <c r="AC36"/>
  <c r="AA36"/>
  <c r="Y36"/>
  <c r="G36"/>
  <c r="D36"/>
  <c r="C36"/>
  <c r="AQ35"/>
  <c r="AJ35"/>
  <c r="AG35"/>
  <c r="AE35"/>
  <c r="AD35"/>
  <c r="AC35"/>
  <c r="AA35"/>
  <c r="Y35"/>
  <c r="G35"/>
  <c r="D35"/>
  <c r="C35"/>
  <c r="AQ34"/>
  <c r="AJ34"/>
  <c r="AG34"/>
  <c r="AE34"/>
  <c r="AD34"/>
  <c r="AC34"/>
  <c r="AA34"/>
  <c r="Y34"/>
  <c r="G34"/>
  <c r="D34"/>
  <c r="C34"/>
  <c r="AQ33"/>
  <c r="AJ33"/>
  <c r="AG33"/>
  <c r="AE33"/>
  <c r="AD33"/>
  <c r="AC33"/>
  <c r="AA33"/>
  <c r="Y33"/>
  <c r="G33"/>
  <c r="D33"/>
  <c r="C33"/>
  <c r="AQ32"/>
  <c r="AJ32"/>
  <c r="AG32"/>
  <c r="AE32"/>
  <c r="AD32"/>
  <c r="AC32"/>
  <c r="AA32"/>
  <c r="Y32"/>
  <c r="G32"/>
  <c r="D32"/>
  <c r="C32"/>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Y27"/>
  <c r="G27"/>
  <c r="D27"/>
  <c r="C27"/>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98"/>
  <c r="D5"/>
  <c r="H35"/>
  <c r="I35"/>
  <c r="J35"/>
  <c r="L35"/>
  <c r="D3"/>
  <c r="M35"/>
  <c r="K35"/>
  <c r="N35"/>
  <c r="O35"/>
  <c r="P35"/>
  <c r="R35"/>
  <c r="T35"/>
  <c r="H36"/>
  <c r="I36"/>
  <c r="J36"/>
  <c r="L36"/>
  <c r="M36"/>
  <c r="K36"/>
  <c r="N36"/>
  <c r="O36"/>
  <c r="P36"/>
  <c r="R36"/>
  <c r="T36"/>
  <c r="H37"/>
  <c r="I37"/>
  <c r="J37"/>
  <c r="L37"/>
  <c r="M37"/>
  <c r="K37"/>
  <c r="N37"/>
  <c r="O37"/>
  <c r="P37"/>
  <c r="R37"/>
  <c r="T37"/>
  <c r="H38"/>
  <c r="I38"/>
  <c r="J38"/>
  <c r="L38"/>
  <c r="M38"/>
  <c r="K38"/>
  <c r="N38"/>
  <c r="O38"/>
  <c r="P38"/>
  <c r="R38"/>
  <c r="T38"/>
  <c r="T40"/>
  <c r="S35"/>
  <c r="S36"/>
  <c r="S37"/>
  <c r="S38"/>
  <c r="S40"/>
  <c r="R40"/>
  <c r="P43"/>
  <c r="O40"/>
  <c r="I48"/>
  <c r="I49"/>
  <c r="U35"/>
  <c r="U36"/>
  <c r="U37"/>
  <c r="U38"/>
  <c r="U40"/>
  <c r="I50"/>
  <c r="I51"/>
  <c r="I52"/>
  <c r="V35"/>
  <c r="W35"/>
  <c r="V36"/>
  <c r="W36"/>
  <c r="V37"/>
  <c r="W37"/>
  <c r="V38"/>
  <c r="W38"/>
  <c r="W40"/>
  <c r="V40"/>
  <c r="I54"/>
  <c r="I55"/>
  <c r="M56"/>
  <c r="M57"/>
  <c r="I56"/>
  <c r="AJ35"/>
  <c r="AK35"/>
  <c r="AJ36"/>
  <c r="AK36"/>
  <c r="AJ37"/>
  <c r="AK37"/>
  <c r="AJ38"/>
  <c r="AK38"/>
  <c r="AL35"/>
  <c r="AL36"/>
  <c r="AL37"/>
  <c r="AL38"/>
  <c r="Q49"/>
  <c r="Q50"/>
  <c r="Q51"/>
  <c r="Q52"/>
  <c r="AH51"/>
  <c r="AH50"/>
  <c r="AH49"/>
  <c r="I44"/>
  <c r="I45"/>
  <c r="AH47"/>
  <c r="AH46"/>
  <c r="I43"/>
  <c r="M45"/>
  <c r="M46"/>
  <c r="AH45"/>
  <c r="P45"/>
  <c r="P44"/>
  <c r="AX38"/>
  <c r="AW38"/>
  <c r="AV38"/>
  <c r="AU38"/>
  <c r="AT38"/>
  <c r="AS38"/>
  <c r="AR38"/>
  <c r="AQ38"/>
  <c r="E38"/>
  <c r="AN38"/>
  <c r="F38"/>
  <c r="AO38"/>
  <c r="AP38"/>
  <c r="Q38"/>
  <c r="AH38"/>
  <c r="AG38"/>
  <c r="AF38"/>
  <c r="AX37"/>
  <c r="AW37"/>
  <c r="AV37"/>
  <c r="AU37"/>
  <c r="AT37"/>
  <c r="AS37"/>
  <c r="AR37"/>
  <c r="AQ37"/>
  <c r="E37"/>
  <c r="AN37"/>
  <c r="F37"/>
  <c r="AO37"/>
  <c r="AP37"/>
  <c r="Q37"/>
  <c r="AH37"/>
  <c r="AG37"/>
  <c r="AF37"/>
  <c r="AX36"/>
  <c r="AW36"/>
  <c r="AV36"/>
  <c r="AU36"/>
  <c r="AT36"/>
  <c r="AS36"/>
  <c r="AR36"/>
  <c r="AQ36"/>
  <c r="E36"/>
  <c r="AN36"/>
  <c r="F36"/>
  <c r="AO36"/>
  <c r="AP36"/>
  <c r="Q36"/>
  <c r="AH36"/>
  <c r="AG36"/>
  <c r="AF36"/>
  <c r="F6"/>
  <c r="AY35"/>
  <c r="AX35"/>
  <c r="AW35"/>
  <c r="AV35"/>
  <c r="AU35"/>
  <c r="AT35"/>
  <c r="AS35"/>
  <c r="AR35"/>
  <c r="AQ35"/>
  <c r="E35"/>
  <c r="AN35"/>
  <c r="F35"/>
  <c r="AO35"/>
  <c r="AP35"/>
  <c r="Q35"/>
  <c r="AH35"/>
  <c r="AG35"/>
  <c r="AF35"/>
  <c r="I33"/>
  <c r="AQ32"/>
  <c r="AP32"/>
  <c r="AO32"/>
  <c r="AN32"/>
  <c r="AM32"/>
  <c r="AL32"/>
  <c r="AK32"/>
  <c r="AJ32"/>
  <c r="AI32"/>
  <c r="AH32"/>
  <c r="AG32"/>
  <c r="AF32"/>
  <c r="AE32"/>
  <c r="AD32"/>
  <c r="AC32"/>
  <c r="AB32"/>
  <c r="AA32"/>
  <c r="Z32"/>
  <c r="Y32"/>
  <c r="G32"/>
  <c r="F32"/>
  <c r="E32"/>
  <c r="D32"/>
  <c r="C32"/>
  <c r="AQ31"/>
  <c r="AP31"/>
  <c r="AO31"/>
  <c r="AN31"/>
  <c r="AM31"/>
  <c r="AL31"/>
  <c r="AK31"/>
  <c r="AJ31"/>
  <c r="AI31"/>
  <c r="AH31"/>
  <c r="AG31"/>
  <c r="AF31"/>
  <c r="AE31"/>
  <c r="AD31"/>
  <c r="AC31"/>
  <c r="AB31"/>
  <c r="AA31"/>
  <c r="Z31"/>
  <c r="Y31"/>
  <c r="G31"/>
  <c r="F31"/>
  <c r="E31"/>
  <c r="D31"/>
  <c r="C31"/>
  <c r="AQ30"/>
  <c r="AP30"/>
  <c r="AO30"/>
  <c r="AN30"/>
  <c r="AM30"/>
  <c r="AL30"/>
  <c r="AK30"/>
  <c r="AJ30"/>
  <c r="AI30"/>
  <c r="AH30"/>
  <c r="AG30"/>
  <c r="AF30"/>
  <c r="AE30"/>
  <c r="AD30"/>
  <c r="AC30"/>
  <c r="AB30"/>
  <c r="AA30"/>
  <c r="Z30"/>
  <c r="Y30"/>
  <c r="I30"/>
  <c r="H30"/>
  <c r="G30"/>
  <c r="F30"/>
  <c r="E30"/>
  <c r="D30"/>
  <c r="C30"/>
  <c r="AQ28"/>
  <c r="AP28"/>
  <c r="AO28"/>
  <c r="AN28"/>
  <c r="AM28"/>
  <c r="AL28"/>
  <c r="AK28"/>
  <c r="AJ28"/>
  <c r="AI28"/>
  <c r="AH28"/>
  <c r="AG28"/>
  <c r="AF28"/>
  <c r="AE28"/>
  <c r="AD28"/>
  <c r="AC28"/>
  <c r="AB28"/>
  <c r="AA28"/>
  <c r="Z28"/>
  <c r="Y28"/>
  <c r="I28"/>
  <c r="H28"/>
  <c r="G28"/>
  <c r="F28"/>
  <c r="E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F4"/>
  <c r="F3"/>
  <c r="D6" i="71"/>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T46"/>
  <c r="S37"/>
  <c r="S38"/>
  <c r="S39"/>
  <c r="S40"/>
  <c r="S41"/>
  <c r="S42"/>
  <c r="S43"/>
  <c r="S44"/>
  <c r="S46"/>
  <c r="R46"/>
  <c r="P49"/>
  <c r="O46"/>
  <c r="I54"/>
  <c r="I58"/>
  <c r="V37"/>
  <c r="W37"/>
  <c r="V38"/>
  <c r="W38"/>
  <c r="V39"/>
  <c r="W39"/>
  <c r="V40"/>
  <c r="W40"/>
  <c r="V41"/>
  <c r="W41"/>
  <c r="V42"/>
  <c r="W42"/>
  <c r="V43"/>
  <c r="W43"/>
  <c r="V44"/>
  <c r="W44"/>
  <c r="W46"/>
  <c r="V46"/>
  <c r="I60"/>
  <c r="I61"/>
  <c r="M62"/>
  <c r="M63"/>
  <c r="I62"/>
  <c r="AJ37"/>
  <c r="AK37"/>
  <c r="AJ38"/>
  <c r="AK38"/>
  <c r="AJ39"/>
  <c r="AK39"/>
  <c r="AJ40"/>
  <c r="AK40"/>
  <c r="AJ41"/>
  <c r="AK41"/>
  <c r="AJ42"/>
  <c r="AK42"/>
  <c r="AJ43"/>
  <c r="AK43"/>
  <c r="AJ44"/>
  <c r="AK44"/>
  <c r="AL37"/>
  <c r="AL38"/>
  <c r="AL39"/>
  <c r="AL40"/>
  <c r="AL41"/>
  <c r="AL42"/>
  <c r="AL43"/>
  <c r="AL44"/>
  <c r="Q55"/>
  <c r="Q56"/>
  <c r="Q57"/>
  <c r="Q58"/>
  <c r="AH57"/>
  <c r="I55"/>
  <c r="U37"/>
  <c r="U38"/>
  <c r="U39"/>
  <c r="U40"/>
  <c r="U41"/>
  <c r="U42"/>
  <c r="U43"/>
  <c r="U44"/>
  <c r="U46"/>
  <c r="I56"/>
  <c r="I57"/>
  <c r="AH56"/>
  <c r="AH55"/>
  <c r="I50"/>
  <c r="I51"/>
  <c r="AH53"/>
  <c r="AH52"/>
  <c r="I49"/>
  <c r="M51"/>
  <c r="M52"/>
  <c r="AH51"/>
  <c r="P51"/>
  <c r="P50"/>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92"/>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T45"/>
  <c r="S37"/>
  <c r="S38"/>
  <c r="S39"/>
  <c r="S40"/>
  <c r="S41"/>
  <c r="S42"/>
  <c r="S43"/>
  <c r="S45"/>
  <c r="R45"/>
  <c r="P48"/>
  <c r="O45"/>
  <c r="I53"/>
  <c r="I57"/>
  <c r="V37"/>
  <c r="W37"/>
  <c r="V38"/>
  <c r="W38"/>
  <c r="V39"/>
  <c r="W39"/>
  <c r="V40"/>
  <c r="W40"/>
  <c r="V41"/>
  <c r="W41"/>
  <c r="V42"/>
  <c r="W42"/>
  <c r="V43"/>
  <c r="W43"/>
  <c r="W45"/>
  <c r="V45"/>
  <c r="I59"/>
  <c r="I60"/>
  <c r="M61"/>
  <c r="M62"/>
  <c r="I61"/>
  <c r="AJ37"/>
  <c r="AK37"/>
  <c r="AJ38"/>
  <c r="AK38"/>
  <c r="AJ39"/>
  <c r="AK39"/>
  <c r="AJ40"/>
  <c r="AK40"/>
  <c r="AJ41"/>
  <c r="AK41"/>
  <c r="AJ42"/>
  <c r="AK42"/>
  <c r="AJ43"/>
  <c r="AK43"/>
  <c r="AL37"/>
  <c r="AL38"/>
  <c r="AL39"/>
  <c r="AL40"/>
  <c r="AL41"/>
  <c r="AL42"/>
  <c r="AL43"/>
  <c r="Q54"/>
  <c r="Q55"/>
  <c r="Q56"/>
  <c r="Q57"/>
  <c r="AH56"/>
  <c r="I54"/>
  <c r="U37"/>
  <c r="U38"/>
  <c r="U39"/>
  <c r="U40"/>
  <c r="U41"/>
  <c r="U42"/>
  <c r="U43"/>
  <c r="U45"/>
  <c r="I55"/>
  <c r="I56"/>
  <c r="AH55"/>
  <c r="AH54"/>
  <c r="I49"/>
  <c r="I50"/>
  <c r="AH52"/>
  <c r="AH51"/>
  <c r="I48"/>
  <c r="M50"/>
  <c r="M51"/>
  <c r="AH50"/>
  <c r="P50"/>
  <c r="P49"/>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I35"/>
  <c r="AQ34"/>
  <c r="AP34"/>
  <c r="AO34"/>
  <c r="AN34"/>
  <c r="AM34"/>
  <c r="AL34"/>
  <c r="AK34"/>
  <c r="AJ34"/>
  <c r="AI34"/>
  <c r="AH34"/>
  <c r="AG34"/>
  <c r="AF34"/>
  <c r="AE34"/>
  <c r="I34"/>
  <c r="H34"/>
  <c r="G34"/>
  <c r="F34"/>
  <c r="E34"/>
  <c r="D34"/>
  <c r="C34"/>
  <c r="AQ33"/>
  <c r="AP33"/>
  <c r="AO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J30"/>
  <c r="AG30"/>
  <c r="AE30"/>
  <c r="AD30"/>
  <c r="Y30"/>
  <c r="G30"/>
  <c r="D30"/>
  <c r="C30"/>
  <c r="AQ29"/>
  <c r="AJ29"/>
  <c r="AG29"/>
  <c r="AE29"/>
  <c r="AD29"/>
  <c r="Y29"/>
  <c r="G29"/>
  <c r="D29"/>
  <c r="C29"/>
  <c r="AQ28"/>
  <c r="AJ28"/>
  <c r="AG28"/>
  <c r="AE28"/>
  <c r="AD28"/>
  <c r="AC28"/>
  <c r="Y28"/>
  <c r="G28"/>
  <c r="D28"/>
  <c r="C28"/>
  <c r="AQ27"/>
  <c r="AJ27"/>
  <c r="AG27"/>
  <c r="AE27"/>
  <c r="AD27"/>
  <c r="AC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94"/>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T45"/>
  <c r="S37"/>
  <c r="S38"/>
  <c r="S39"/>
  <c r="S40"/>
  <c r="S41"/>
  <c r="S42"/>
  <c r="S43"/>
  <c r="S45"/>
  <c r="R45"/>
  <c r="P48"/>
  <c r="O45"/>
  <c r="I53"/>
  <c r="I57"/>
  <c r="V37"/>
  <c r="W37"/>
  <c r="V38"/>
  <c r="W38"/>
  <c r="V39"/>
  <c r="W39"/>
  <c r="V40"/>
  <c r="W40"/>
  <c r="V41"/>
  <c r="W41"/>
  <c r="V42"/>
  <c r="W42"/>
  <c r="V43"/>
  <c r="W43"/>
  <c r="W45"/>
  <c r="V45"/>
  <c r="I59"/>
  <c r="I60"/>
  <c r="M61"/>
  <c r="M62"/>
  <c r="I61"/>
  <c r="AJ37"/>
  <c r="AK37"/>
  <c r="AJ38"/>
  <c r="AK38"/>
  <c r="AJ39"/>
  <c r="AK39"/>
  <c r="AJ40"/>
  <c r="AK40"/>
  <c r="AJ41"/>
  <c r="AK41"/>
  <c r="AJ42"/>
  <c r="AK42"/>
  <c r="AJ43"/>
  <c r="AK43"/>
  <c r="AL37"/>
  <c r="AL38"/>
  <c r="AL39"/>
  <c r="AL40"/>
  <c r="AL41"/>
  <c r="AL42"/>
  <c r="AL43"/>
  <c r="Q54"/>
  <c r="Q55"/>
  <c r="Q56"/>
  <c r="Q57"/>
  <c r="AH56"/>
  <c r="I54"/>
  <c r="U37"/>
  <c r="U38"/>
  <c r="U39"/>
  <c r="U40"/>
  <c r="U41"/>
  <c r="U42"/>
  <c r="U43"/>
  <c r="U45"/>
  <c r="I55"/>
  <c r="I56"/>
  <c r="AH55"/>
  <c r="AH54"/>
  <c r="I49"/>
  <c r="I50"/>
  <c r="AH52"/>
  <c r="AH51"/>
  <c r="I48"/>
  <c r="M50"/>
  <c r="M51"/>
  <c r="AH50"/>
  <c r="P50"/>
  <c r="P49"/>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F5"/>
  <c r="AY39"/>
  <c r="AX39"/>
  <c r="AW39"/>
  <c r="AV39"/>
  <c r="AU39"/>
  <c r="AT39"/>
  <c r="AS39"/>
  <c r="AR39"/>
  <c r="AQ39"/>
  <c r="E39"/>
  <c r="AN39"/>
  <c r="F39"/>
  <c r="AO39"/>
  <c r="AP39"/>
  <c r="Q39"/>
  <c r="AH39"/>
  <c r="AG39"/>
  <c r="AF39"/>
  <c r="F4"/>
  <c r="AY38"/>
  <c r="AX38"/>
  <c r="AW38"/>
  <c r="AV38"/>
  <c r="AU38"/>
  <c r="AT38"/>
  <c r="AS38"/>
  <c r="AR38"/>
  <c r="AQ38"/>
  <c r="E38"/>
  <c r="AN38"/>
  <c r="F38"/>
  <c r="AO38"/>
  <c r="AP38"/>
  <c r="Q38"/>
  <c r="AH38"/>
  <c r="AG38"/>
  <c r="AF38"/>
  <c r="F3"/>
  <c r="AY37"/>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J30"/>
  <c r="AG30"/>
  <c r="AE30"/>
  <c r="AD30"/>
  <c r="AC30"/>
  <c r="AA30"/>
  <c r="Y30"/>
  <c r="G30"/>
  <c r="D30"/>
  <c r="C30"/>
  <c r="Y29"/>
  <c r="G29"/>
  <c r="D29"/>
  <c r="C29"/>
  <c r="Y28"/>
  <c r="G28"/>
  <c r="D28"/>
  <c r="C28"/>
  <c r="AQ27"/>
  <c r="AJ27"/>
  <c r="AG27"/>
  <c r="AE27"/>
  <c r="AD27"/>
  <c r="Y27"/>
  <c r="G27"/>
  <c r="D27"/>
  <c r="C27"/>
  <c r="AQ26"/>
  <c r="AJ26"/>
  <c r="AG26"/>
  <c r="AE26"/>
  <c r="AD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D6" i="96"/>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T44"/>
  <c r="S37"/>
  <c r="S38"/>
  <c r="S39"/>
  <c r="S40"/>
  <c r="S41"/>
  <c r="S42"/>
  <c r="S44"/>
  <c r="R44"/>
  <c r="P47"/>
  <c r="O44"/>
  <c r="I52"/>
  <c r="I56"/>
  <c r="V37"/>
  <c r="W37"/>
  <c r="V38"/>
  <c r="W38"/>
  <c r="V39"/>
  <c r="W39"/>
  <c r="V40"/>
  <c r="W40"/>
  <c r="V41"/>
  <c r="W41"/>
  <c r="V42"/>
  <c r="W42"/>
  <c r="W44"/>
  <c r="V44"/>
  <c r="I58"/>
  <c r="I59"/>
  <c r="M60"/>
  <c r="M61"/>
  <c r="I60"/>
  <c r="AJ37"/>
  <c r="AK37"/>
  <c r="AJ38"/>
  <c r="AK38"/>
  <c r="AJ39"/>
  <c r="AK39"/>
  <c r="AJ40"/>
  <c r="AK40"/>
  <c r="AJ41"/>
  <c r="AK41"/>
  <c r="AJ42"/>
  <c r="AK42"/>
  <c r="AL37"/>
  <c r="AL38"/>
  <c r="AL39"/>
  <c r="AL40"/>
  <c r="AL41"/>
  <c r="AL42"/>
  <c r="Q53"/>
  <c r="Q54"/>
  <c r="Q55"/>
  <c r="Q56"/>
  <c r="AH55"/>
  <c r="I53"/>
  <c r="U37"/>
  <c r="U38"/>
  <c r="U39"/>
  <c r="U40"/>
  <c r="U41"/>
  <c r="U42"/>
  <c r="U44"/>
  <c r="I54"/>
  <c r="I55"/>
  <c r="AH54"/>
  <c r="AH53"/>
  <c r="I48"/>
  <c r="I49"/>
  <c r="AH51"/>
  <c r="AH50"/>
  <c r="I47"/>
  <c r="M49"/>
  <c r="M50"/>
  <c r="AH49"/>
  <c r="P49"/>
  <c r="P48"/>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I35"/>
  <c r="AQ34"/>
  <c r="AP34"/>
  <c r="AO34"/>
  <c r="AN34"/>
  <c r="AM34"/>
  <c r="AL34"/>
  <c r="AK34"/>
  <c r="AJ34"/>
  <c r="AI34"/>
  <c r="AH34"/>
  <c r="AG34"/>
  <c r="AF34"/>
  <c r="AE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0"/>
  <c r="AP30"/>
  <c r="AO30"/>
  <c r="AN30"/>
  <c r="AM30"/>
  <c r="AL30"/>
  <c r="AK30"/>
  <c r="AJ30"/>
  <c r="AI30"/>
  <c r="AH30"/>
  <c r="AG30"/>
  <c r="AF30"/>
  <c r="AE30"/>
  <c r="AD30"/>
  <c r="AC30"/>
  <c r="AB30"/>
  <c r="AA30"/>
  <c r="Z30"/>
  <c r="Y30"/>
  <c r="I30"/>
  <c r="H30"/>
  <c r="G30"/>
  <c r="F30"/>
  <c r="E30"/>
  <c r="D30"/>
  <c r="C30"/>
  <c r="AQ29"/>
  <c r="AJ29"/>
  <c r="AG29"/>
  <c r="AE29"/>
  <c r="AD29"/>
  <c r="AC29"/>
  <c r="AA29"/>
  <c r="Y29"/>
  <c r="G29"/>
  <c r="D29"/>
  <c r="C29"/>
  <c r="AQ28"/>
  <c r="AJ28"/>
  <c r="AG28"/>
  <c r="AE28"/>
  <c r="AD28"/>
  <c r="AC28"/>
  <c r="Y28"/>
  <c r="G28"/>
  <c r="D28"/>
  <c r="C28"/>
  <c r="AQ27"/>
  <c r="AJ27"/>
  <c r="AG27"/>
  <c r="AE27"/>
  <c r="AD27"/>
  <c r="AC27"/>
  <c r="Y27"/>
  <c r="G27"/>
  <c r="D27"/>
  <c r="C27"/>
  <c r="AQ26"/>
  <c r="AJ26"/>
  <c r="AG26"/>
  <c r="Y26"/>
  <c r="G26"/>
  <c r="D26"/>
  <c r="C26"/>
  <c r="AQ25"/>
  <c r="AJ25"/>
  <c r="AG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60"/>
  <c r="D5"/>
  <c r="H89"/>
  <c r="I89"/>
  <c r="J89"/>
  <c r="L89"/>
  <c r="D3"/>
  <c r="M89"/>
  <c r="K89"/>
  <c r="N89"/>
  <c r="O89"/>
  <c r="P89"/>
  <c r="R89"/>
  <c r="T89"/>
  <c r="H90"/>
  <c r="I90"/>
  <c r="J90"/>
  <c r="L90"/>
  <c r="M90"/>
  <c r="K90"/>
  <c r="N90"/>
  <c r="O90"/>
  <c r="P90"/>
  <c r="R90"/>
  <c r="T90"/>
  <c r="H91"/>
  <c r="I91"/>
  <c r="J91"/>
  <c r="L91"/>
  <c r="M91"/>
  <c r="K91"/>
  <c r="N91"/>
  <c r="O91"/>
  <c r="P91"/>
  <c r="R91"/>
  <c r="T91"/>
  <c r="H92"/>
  <c r="I92"/>
  <c r="J92"/>
  <c r="L92"/>
  <c r="M92"/>
  <c r="K92"/>
  <c r="N92"/>
  <c r="O92"/>
  <c r="P92"/>
  <c r="R92"/>
  <c r="T92"/>
  <c r="H93"/>
  <c r="I93"/>
  <c r="J93"/>
  <c r="L93"/>
  <c r="M93"/>
  <c r="K93"/>
  <c r="N93"/>
  <c r="O93"/>
  <c r="P93"/>
  <c r="R93"/>
  <c r="T93"/>
  <c r="H94"/>
  <c r="I94"/>
  <c r="J94"/>
  <c r="L94"/>
  <c r="M94"/>
  <c r="K94"/>
  <c r="N94"/>
  <c r="O94"/>
  <c r="P94"/>
  <c r="R94"/>
  <c r="T94"/>
  <c r="H95"/>
  <c r="I95"/>
  <c r="J95"/>
  <c r="L95"/>
  <c r="M95"/>
  <c r="K95"/>
  <c r="N95"/>
  <c r="O95"/>
  <c r="P95"/>
  <c r="R95"/>
  <c r="T95"/>
  <c r="H96"/>
  <c r="I96"/>
  <c r="J96"/>
  <c r="L96"/>
  <c r="M96"/>
  <c r="K96"/>
  <c r="N96"/>
  <c r="O96"/>
  <c r="P96"/>
  <c r="R96"/>
  <c r="T96"/>
  <c r="H97"/>
  <c r="I97"/>
  <c r="J97"/>
  <c r="L97"/>
  <c r="M97"/>
  <c r="K97"/>
  <c r="N97"/>
  <c r="O97"/>
  <c r="P97"/>
  <c r="R97"/>
  <c r="T97"/>
  <c r="H98"/>
  <c r="I98"/>
  <c r="J98"/>
  <c r="L98"/>
  <c r="M98"/>
  <c r="K98"/>
  <c r="N98"/>
  <c r="O98"/>
  <c r="P98"/>
  <c r="R98"/>
  <c r="T98"/>
  <c r="H99"/>
  <c r="I99"/>
  <c r="J99"/>
  <c r="L99"/>
  <c r="M99"/>
  <c r="K99"/>
  <c r="N99"/>
  <c r="O99"/>
  <c r="P99"/>
  <c r="R99"/>
  <c r="T99"/>
  <c r="H100"/>
  <c r="I100"/>
  <c r="J100"/>
  <c r="L100"/>
  <c r="M100"/>
  <c r="K100"/>
  <c r="N100"/>
  <c r="O100"/>
  <c r="P100"/>
  <c r="R100"/>
  <c r="T100"/>
  <c r="H101"/>
  <c r="I101"/>
  <c r="J101"/>
  <c r="L101"/>
  <c r="M101"/>
  <c r="K101"/>
  <c r="N101"/>
  <c r="O101"/>
  <c r="P101"/>
  <c r="R101"/>
  <c r="T101"/>
  <c r="H102"/>
  <c r="I102"/>
  <c r="J102"/>
  <c r="L102"/>
  <c r="M102"/>
  <c r="K102"/>
  <c r="N102"/>
  <c r="O102"/>
  <c r="P102"/>
  <c r="R102"/>
  <c r="T102"/>
  <c r="H103"/>
  <c r="I103"/>
  <c r="J103"/>
  <c r="L103"/>
  <c r="M103"/>
  <c r="K103"/>
  <c r="N103"/>
  <c r="O103"/>
  <c r="P103"/>
  <c r="R103"/>
  <c r="T103"/>
  <c r="H104"/>
  <c r="I104"/>
  <c r="J104"/>
  <c r="L104"/>
  <c r="M104"/>
  <c r="K104"/>
  <c r="N104"/>
  <c r="O104"/>
  <c r="P104"/>
  <c r="R104"/>
  <c r="T104"/>
  <c r="H105"/>
  <c r="I105"/>
  <c r="J105"/>
  <c r="L105"/>
  <c r="M105"/>
  <c r="K105"/>
  <c r="N105"/>
  <c r="O105"/>
  <c r="P105"/>
  <c r="R105"/>
  <c r="T105"/>
  <c r="H106"/>
  <c r="I106"/>
  <c r="J106"/>
  <c r="L106"/>
  <c r="M106"/>
  <c r="K106"/>
  <c r="N106"/>
  <c r="O106"/>
  <c r="P106"/>
  <c r="R106"/>
  <c r="T106"/>
  <c r="H107"/>
  <c r="I107"/>
  <c r="J107"/>
  <c r="L107"/>
  <c r="M107"/>
  <c r="K107"/>
  <c r="N107"/>
  <c r="O107"/>
  <c r="P107"/>
  <c r="R107"/>
  <c r="T107"/>
  <c r="H108"/>
  <c r="I108"/>
  <c r="J108"/>
  <c r="L108"/>
  <c r="M108"/>
  <c r="K108"/>
  <c r="N108"/>
  <c r="O108"/>
  <c r="P108"/>
  <c r="R108"/>
  <c r="T108"/>
  <c r="H109"/>
  <c r="I109"/>
  <c r="J109"/>
  <c r="L109"/>
  <c r="M109"/>
  <c r="K109"/>
  <c r="N109"/>
  <c r="O109"/>
  <c r="P109"/>
  <c r="R109"/>
  <c r="T109"/>
  <c r="H110"/>
  <c r="I110"/>
  <c r="J110"/>
  <c r="L110"/>
  <c r="M110"/>
  <c r="K110"/>
  <c r="N110"/>
  <c r="O110"/>
  <c r="P110"/>
  <c r="R110"/>
  <c r="T110"/>
  <c r="H111"/>
  <c r="I111"/>
  <c r="J111"/>
  <c r="L111"/>
  <c r="M111"/>
  <c r="K111"/>
  <c r="N111"/>
  <c r="O111"/>
  <c r="P111"/>
  <c r="R111"/>
  <c r="T111"/>
  <c r="H112"/>
  <c r="I112"/>
  <c r="J112"/>
  <c r="L112"/>
  <c r="M112"/>
  <c r="K112"/>
  <c r="N112"/>
  <c r="O112"/>
  <c r="P112"/>
  <c r="R112"/>
  <c r="T112"/>
  <c r="H113"/>
  <c r="I113"/>
  <c r="J113"/>
  <c r="L113"/>
  <c r="M113"/>
  <c r="K113"/>
  <c r="N113"/>
  <c r="O113"/>
  <c r="P113"/>
  <c r="R113"/>
  <c r="T113"/>
  <c r="H114"/>
  <c r="I114"/>
  <c r="J114"/>
  <c r="L114"/>
  <c r="M114"/>
  <c r="K114"/>
  <c r="N114"/>
  <c r="O114"/>
  <c r="P114"/>
  <c r="R114"/>
  <c r="T114"/>
  <c r="H115"/>
  <c r="I115"/>
  <c r="J115"/>
  <c r="L115"/>
  <c r="M115"/>
  <c r="K115"/>
  <c r="N115"/>
  <c r="O115"/>
  <c r="P115"/>
  <c r="R115"/>
  <c r="T115"/>
  <c r="H116"/>
  <c r="I116"/>
  <c r="J116"/>
  <c r="L116"/>
  <c r="M116"/>
  <c r="K116"/>
  <c r="N116"/>
  <c r="O116"/>
  <c r="P116"/>
  <c r="R116"/>
  <c r="T116"/>
  <c r="H117"/>
  <c r="I117"/>
  <c r="J117"/>
  <c r="L117"/>
  <c r="M117"/>
  <c r="K117"/>
  <c r="N117"/>
  <c r="O117"/>
  <c r="P117"/>
  <c r="R117"/>
  <c r="T117"/>
  <c r="H118"/>
  <c r="I118"/>
  <c r="J118"/>
  <c r="L118"/>
  <c r="M118"/>
  <c r="K118"/>
  <c r="N118"/>
  <c r="O118"/>
  <c r="P118"/>
  <c r="R118"/>
  <c r="T118"/>
  <c r="H119"/>
  <c r="I119"/>
  <c r="J119"/>
  <c r="L119"/>
  <c r="M119"/>
  <c r="K119"/>
  <c r="N119"/>
  <c r="O119"/>
  <c r="P119"/>
  <c r="R119"/>
  <c r="T119"/>
  <c r="H120"/>
  <c r="I120"/>
  <c r="J120"/>
  <c r="L120"/>
  <c r="M120"/>
  <c r="K120"/>
  <c r="N120"/>
  <c r="O120"/>
  <c r="P120"/>
  <c r="R120"/>
  <c r="T120"/>
  <c r="H121"/>
  <c r="I121"/>
  <c r="J121"/>
  <c r="L121"/>
  <c r="M121"/>
  <c r="K121"/>
  <c r="N121"/>
  <c r="O121"/>
  <c r="P121"/>
  <c r="R121"/>
  <c r="T121"/>
  <c r="H122"/>
  <c r="I122"/>
  <c r="J122"/>
  <c r="L122"/>
  <c r="M122"/>
  <c r="K122"/>
  <c r="N122"/>
  <c r="O122"/>
  <c r="P122"/>
  <c r="R122"/>
  <c r="T122"/>
  <c r="H123"/>
  <c r="I123"/>
  <c r="J123"/>
  <c r="L123"/>
  <c r="M123"/>
  <c r="K123"/>
  <c r="N123"/>
  <c r="O123"/>
  <c r="P123"/>
  <c r="R123"/>
  <c r="T123"/>
  <c r="H124"/>
  <c r="I124"/>
  <c r="J124"/>
  <c r="L124"/>
  <c r="M124"/>
  <c r="K124"/>
  <c r="N124"/>
  <c r="O124"/>
  <c r="P124"/>
  <c r="R124"/>
  <c r="T124"/>
  <c r="H125"/>
  <c r="I125"/>
  <c r="J125"/>
  <c r="L125"/>
  <c r="M125"/>
  <c r="K125"/>
  <c r="N125"/>
  <c r="O125"/>
  <c r="P125"/>
  <c r="R125"/>
  <c r="T125"/>
  <c r="H126"/>
  <c r="I126"/>
  <c r="J126"/>
  <c r="L126"/>
  <c r="M126"/>
  <c r="K126"/>
  <c r="N126"/>
  <c r="O126"/>
  <c r="P126"/>
  <c r="R126"/>
  <c r="T126"/>
  <c r="H127"/>
  <c r="I127"/>
  <c r="J127"/>
  <c r="L127"/>
  <c r="M127"/>
  <c r="K127"/>
  <c r="N127"/>
  <c r="O127"/>
  <c r="P127"/>
  <c r="R127"/>
  <c r="T127"/>
  <c r="H128"/>
  <c r="I128"/>
  <c r="J128"/>
  <c r="L128"/>
  <c r="M128"/>
  <c r="K128"/>
  <c r="N128"/>
  <c r="O128"/>
  <c r="P128"/>
  <c r="R128"/>
  <c r="T128"/>
  <c r="H129"/>
  <c r="I129"/>
  <c r="J129"/>
  <c r="L129"/>
  <c r="M129"/>
  <c r="K129"/>
  <c r="N129"/>
  <c r="O129"/>
  <c r="P129"/>
  <c r="R129"/>
  <c r="T129"/>
  <c r="H130"/>
  <c r="I130"/>
  <c r="J130"/>
  <c r="L130"/>
  <c r="M130"/>
  <c r="K130"/>
  <c r="N130"/>
  <c r="O130"/>
  <c r="P130"/>
  <c r="R130"/>
  <c r="T130"/>
  <c r="T132"/>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2"/>
  <c r="R132"/>
  <c r="P135"/>
  <c r="O132"/>
  <c r="I140"/>
  <c r="I141"/>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2"/>
  <c r="I142"/>
  <c r="I143"/>
  <c r="I144"/>
  <c r="V89"/>
  <c r="W89"/>
  <c r="V90"/>
  <c r="W90"/>
  <c r="V91"/>
  <c r="W91"/>
  <c r="V92"/>
  <c r="W92"/>
  <c r="V93"/>
  <c r="W93"/>
  <c r="V94"/>
  <c r="W94"/>
  <c r="V95"/>
  <c r="W95"/>
  <c r="V96"/>
  <c r="W96"/>
  <c r="V97"/>
  <c r="W97"/>
  <c r="V98"/>
  <c r="W98"/>
  <c r="V99"/>
  <c r="W99"/>
  <c r="V100"/>
  <c r="W100"/>
  <c r="V101"/>
  <c r="W101"/>
  <c r="V102"/>
  <c r="W102"/>
  <c r="V103"/>
  <c r="W103"/>
  <c r="V104"/>
  <c r="W104"/>
  <c r="V105"/>
  <c r="W105"/>
  <c r="V106"/>
  <c r="W106"/>
  <c r="V107"/>
  <c r="W107"/>
  <c r="V108"/>
  <c r="W108"/>
  <c r="V109"/>
  <c r="W109"/>
  <c r="V110"/>
  <c r="W110"/>
  <c r="V111"/>
  <c r="W111"/>
  <c r="V112"/>
  <c r="W112"/>
  <c r="V113"/>
  <c r="W113"/>
  <c r="V114"/>
  <c r="W114"/>
  <c r="V115"/>
  <c r="W115"/>
  <c r="V116"/>
  <c r="W116"/>
  <c r="V117"/>
  <c r="W117"/>
  <c r="V118"/>
  <c r="W118"/>
  <c r="V119"/>
  <c r="W119"/>
  <c r="V120"/>
  <c r="W120"/>
  <c r="V121"/>
  <c r="W121"/>
  <c r="V122"/>
  <c r="W122"/>
  <c r="V123"/>
  <c r="W123"/>
  <c r="V124"/>
  <c r="W124"/>
  <c r="V125"/>
  <c r="W125"/>
  <c r="V126"/>
  <c r="W126"/>
  <c r="V127"/>
  <c r="W127"/>
  <c r="V128"/>
  <c r="W128"/>
  <c r="V129"/>
  <c r="W129"/>
  <c r="V130"/>
  <c r="W130"/>
  <c r="W132"/>
  <c r="V132"/>
  <c r="I146"/>
  <c r="I147"/>
  <c r="M148"/>
  <c r="M149"/>
  <c r="I148"/>
  <c r="AJ89"/>
  <c r="AK89"/>
  <c r="AJ90"/>
  <c r="AK90"/>
  <c r="AJ91"/>
  <c r="AK91"/>
  <c r="AJ92"/>
  <c r="AK92"/>
  <c r="AJ93"/>
  <c r="AK93"/>
  <c r="AJ94"/>
  <c r="AK94"/>
  <c r="AJ95"/>
  <c r="AK95"/>
  <c r="AJ96"/>
  <c r="AK96"/>
  <c r="AJ97"/>
  <c r="AK97"/>
  <c r="AJ98"/>
  <c r="AK98"/>
  <c r="AJ99"/>
  <c r="AK99"/>
  <c r="AJ100"/>
  <c r="AK100"/>
  <c r="AJ101"/>
  <c r="AK101"/>
  <c r="AJ102"/>
  <c r="AK102"/>
  <c r="AJ103"/>
  <c r="AK103"/>
  <c r="AJ104"/>
  <c r="AK104"/>
  <c r="AJ105"/>
  <c r="AK105"/>
  <c r="AJ106"/>
  <c r="AK106"/>
  <c r="AJ107"/>
  <c r="AK107"/>
  <c r="AJ108"/>
  <c r="AK108"/>
  <c r="AJ109"/>
  <c r="AK109"/>
  <c r="AJ110"/>
  <c r="AK110"/>
  <c r="AJ111"/>
  <c r="AK111"/>
  <c r="AJ112"/>
  <c r="AK112"/>
  <c r="AJ113"/>
  <c r="AK113"/>
  <c r="AJ114"/>
  <c r="AK114"/>
  <c r="AJ115"/>
  <c r="AK115"/>
  <c r="AJ116"/>
  <c r="AK116"/>
  <c r="AJ117"/>
  <c r="AK117"/>
  <c r="AJ118"/>
  <c r="AK118"/>
  <c r="AJ119"/>
  <c r="AK119"/>
  <c r="AJ120"/>
  <c r="AK120"/>
  <c r="AJ121"/>
  <c r="AK121"/>
  <c r="AJ122"/>
  <c r="AK122"/>
  <c r="AJ123"/>
  <c r="AK123"/>
  <c r="AJ124"/>
  <c r="AK124"/>
  <c r="AJ125"/>
  <c r="AK125"/>
  <c r="AJ126"/>
  <c r="AK126"/>
  <c r="AJ127"/>
  <c r="AK127"/>
  <c r="AJ128"/>
  <c r="AK128"/>
  <c r="AJ129"/>
  <c r="AK129"/>
  <c r="AJ130"/>
  <c r="AK130"/>
  <c r="AL89"/>
  <c r="AL90"/>
  <c r="AL91"/>
  <c r="AL92"/>
  <c r="AL93"/>
  <c r="AL94"/>
  <c r="AL95"/>
  <c r="AL96"/>
  <c r="AL97"/>
  <c r="AL98"/>
  <c r="AL99"/>
  <c r="AL100"/>
  <c r="AL101"/>
  <c r="AL102"/>
  <c r="AL103"/>
  <c r="AL104"/>
  <c r="AL105"/>
  <c r="AL106"/>
  <c r="AL107"/>
  <c r="AL108"/>
  <c r="AL109"/>
  <c r="AL110"/>
  <c r="AL111"/>
  <c r="AL112"/>
  <c r="AL113"/>
  <c r="AL114"/>
  <c r="AL115"/>
  <c r="AL116"/>
  <c r="AL117"/>
  <c r="AL118"/>
  <c r="AL119"/>
  <c r="AL120"/>
  <c r="AL121"/>
  <c r="AL122"/>
  <c r="AL123"/>
  <c r="AL124"/>
  <c r="AL125"/>
  <c r="AL126"/>
  <c r="AL127"/>
  <c r="AL128"/>
  <c r="AL129"/>
  <c r="AL130"/>
  <c r="Q141"/>
  <c r="Q142"/>
  <c r="Q143"/>
  <c r="Q144"/>
  <c r="AH143"/>
  <c r="AH142"/>
  <c r="AH141"/>
  <c r="I136"/>
  <c r="I137"/>
  <c r="AH139"/>
  <c r="AH138"/>
  <c r="I135"/>
  <c r="M137"/>
  <c r="M138"/>
  <c r="AH137"/>
  <c r="P137"/>
  <c r="P136"/>
  <c r="AX130"/>
  <c r="AW130"/>
  <c r="AV130"/>
  <c r="AU130"/>
  <c r="AT130"/>
  <c r="AS130"/>
  <c r="AR130"/>
  <c r="AQ130"/>
  <c r="E130"/>
  <c r="AN130"/>
  <c r="F130"/>
  <c r="AO130"/>
  <c r="AP130"/>
  <c r="Q130"/>
  <c r="AH130"/>
  <c r="AG130"/>
  <c r="AF130"/>
  <c r="AX129"/>
  <c r="AW129"/>
  <c r="AV129"/>
  <c r="AU129"/>
  <c r="AT129"/>
  <c r="AS129"/>
  <c r="AR129"/>
  <c r="AQ129"/>
  <c r="E129"/>
  <c r="AN129"/>
  <c r="F129"/>
  <c r="AO129"/>
  <c r="AP129"/>
  <c r="Q129"/>
  <c r="AH129"/>
  <c r="AG129"/>
  <c r="AF129"/>
  <c r="AX128"/>
  <c r="AW128"/>
  <c r="AV128"/>
  <c r="AU128"/>
  <c r="AT128"/>
  <c r="AS128"/>
  <c r="AR128"/>
  <c r="AQ128"/>
  <c r="E128"/>
  <c r="AN128"/>
  <c r="F128"/>
  <c r="AO128"/>
  <c r="AP128"/>
  <c r="Q128"/>
  <c r="AH128"/>
  <c r="AG128"/>
  <c r="AF128"/>
  <c r="AX127"/>
  <c r="AW127"/>
  <c r="AV127"/>
  <c r="AU127"/>
  <c r="AT127"/>
  <c r="AS127"/>
  <c r="AR127"/>
  <c r="AQ127"/>
  <c r="E127"/>
  <c r="AN127"/>
  <c r="F127"/>
  <c r="AO127"/>
  <c r="AP127"/>
  <c r="Q127"/>
  <c r="AH127"/>
  <c r="AG127"/>
  <c r="AF127"/>
  <c r="AX126"/>
  <c r="AW126"/>
  <c r="AV126"/>
  <c r="AU126"/>
  <c r="AT126"/>
  <c r="AS126"/>
  <c r="AR126"/>
  <c r="AQ126"/>
  <c r="E126"/>
  <c r="AN126"/>
  <c r="F126"/>
  <c r="AO126"/>
  <c r="AP126"/>
  <c r="Q126"/>
  <c r="AH126"/>
  <c r="AG126"/>
  <c r="AF126"/>
  <c r="AX125"/>
  <c r="AW125"/>
  <c r="AV125"/>
  <c r="AU125"/>
  <c r="AT125"/>
  <c r="AS125"/>
  <c r="AR125"/>
  <c r="AQ125"/>
  <c r="E125"/>
  <c r="AN125"/>
  <c r="F125"/>
  <c r="AO125"/>
  <c r="AP125"/>
  <c r="Q125"/>
  <c r="AH125"/>
  <c r="AG125"/>
  <c r="AF125"/>
  <c r="AX124"/>
  <c r="AW124"/>
  <c r="AV124"/>
  <c r="AU124"/>
  <c r="AT124"/>
  <c r="AS124"/>
  <c r="AR124"/>
  <c r="AQ124"/>
  <c r="E124"/>
  <c r="AN124"/>
  <c r="F124"/>
  <c r="AO124"/>
  <c r="AP124"/>
  <c r="Q124"/>
  <c r="AH124"/>
  <c r="AG124"/>
  <c r="AF124"/>
  <c r="AX123"/>
  <c r="AW123"/>
  <c r="AV123"/>
  <c r="AU123"/>
  <c r="AT123"/>
  <c r="AS123"/>
  <c r="AR123"/>
  <c r="AQ123"/>
  <c r="E123"/>
  <c r="AN123"/>
  <c r="F123"/>
  <c r="AO123"/>
  <c r="AP123"/>
  <c r="Q123"/>
  <c r="AH123"/>
  <c r="AG123"/>
  <c r="AF123"/>
  <c r="AX122"/>
  <c r="AW122"/>
  <c r="AV122"/>
  <c r="AU122"/>
  <c r="AT122"/>
  <c r="AS122"/>
  <c r="AR122"/>
  <c r="AQ122"/>
  <c r="E122"/>
  <c r="AN122"/>
  <c r="F122"/>
  <c r="AO122"/>
  <c r="AP122"/>
  <c r="Q122"/>
  <c r="AH122"/>
  <c r="AG122"/>
  <c r="AF122"/>
  <c r="AX121"/>
  <c r="AW121"/>
  <c r="AV121"/>
  <c r="AU121"/>
  <c r="AT121"/>
  <c r="AS121"/>
  <c r="AR121"/>
  <c r="AQ121"/>
  <c r="E121"/>
  <c r="AN121"/>
  <c r="F121"/>
  <c r="AO121"/>
  <c r="AP121"/>
  <c r="Q121"/>
  <c r="AH121"/>
  <c r="AG121"/>
  <c r="AF121"/>
  <c r="AX120"/>
  <c r="AW120"/>
  <c r="AV120"/>
  <c r="AU120"/>
  <c r="AT120"/>
  <c r="AS120"/>
  <c r="AR120"/>
  <c r="AQ120"/>
  <c r="E120"/>
  <c r="AN120"/>
  <c r="F120"/>
  <c r="AO120"/>
  <c r="AP120"/>
  <c r="Q120"/>
  <c r="AH120"/>
  <c r="AG120"/>
  <c r="AF120"/>
  <c r="AX119"/>
  <c r="AW119"/>
  <c r="AV119"/>
  <c r="AU119"/>
  <c r="AT119"/>
  <c r="AS119"/>
  <c r="AR119"/>
  <c r="AQ119"/>
  <c r="E119"/>
  <c r="AN119"/>
  <c r="F119"/>
  <c r="AO119"/>
  <c r="AP119"/>
  <c r="Q119"/>
  <c r="AH119"/>
  <c r="AG119"/>
  <c r="AF119"/>
  <c r="AX118"/>
  <c r="AW118"/>
  <c r="AV118"/>
  <c r="AU118"/>
  <c r="AT118"/>
  <c r="AS118"/>
  <c r="AR118"/>
  <c r="AQ118"/>
  <c r="E118"/>
  <c r="AN118"/>
  <c r="F118"/>
  <c r="AO118"/>
  <c r="AP118"/>
  <c r="Q118"/>
  <c r="AH118"/>
  <c r="AG118"/>
  <c r="AF118"/>
  <c r="AX117"/>
  <c r="AW117"/>
  <c r="AV117"/>
  <c r="AU117"/>
  <c r="AT117"/>
  <c r="AS117"/>
  <c r="AR117"/>
  <c r="AQ117"/>
  <c r="E117"/>
  <c r="AN117"/>
  <c r="F117"/>
  <c r="AO117"/>
  <c r="AP117"/>
  <c r="Q117"/>
  <c r="AH117"/>
  <c r="AG117"/>
  <c r="AF117"/>
  <c r="AX116"/>
  <c r="AW116"/>
  <c r="AV116"/>
  <c r="AU116"/>
  <c r="AT116"/>
  <c r="AS116"/>
  <c r="AR116"/>
  <c r="AQ116"/>
  <c r="E116"/>
  <c r="AN116"/>
  <c r="F116"/>
  <c r="AO116"/>
  <c r="AP116"/>
  <c r="Q116"/>
  <c r="AH116"/>
  <c r="AG116"/>
  <c r="AF116"/>
  <c r="AX115"/>
  <c r="AW115"/>
  <c r="AV115"/>
  <c r="AU115"/>
  <c r="AT115"/>
  <c r="AS115"/>
  <c r="AR115"/>
  <c r="AQ115"/>
  <c r="E115"/>
  <c r="AN115"/>
  <c r="F115"/>
  <c r="AO115"/>
  <c r="AP115"/>
  <c r="Q115"/>
  <c r="AH115"/>
  <c r="AG115"/>
  <c r="AF115"/>
  <c r="AX114"/>
  <c r="AW114"/>
  <c r="AV114"/>
  <c r="AU114"/>
  <c r="AT114"/>
  <c r="AS114"/>
  <c r="AR114"/>
  <c r="AQ114"/>
  <c r="E114"/>
  <c r="AN114"/>
  <c r="F114"/>
  <c r="AO114"/>
  <c r="AP114"/>
  <c r="Q114"/>
  <c r="AH114"/>
  <c r="AG114"/>
  <c r="AF114"/>
  <c r="AX113"/>
  <c r="AW113"/>
  <c r="AV113"/>
  <c r="AU113"/>
  <c r="AT113"/>
  <c r="AS113"/>
  <c r="AR113"/>
  <c r="AQ113"/>
  <c r="E113"/>
  <c r="AN113"/>
  <c r="F113"/>
  <c r="AO113"/>
  <c r="AP113"/>
  <c r="Q113"/>
  <c r="AH113"/>
  <c r="AG113"/>
  <c r="AF113"/>
  <c r="AX112"/>
  <c r="AW112"/>
  <c r="AV112"/>
  <c r="AU112"/>
  <c r="AT112"/>
  <c r="AS112"/>
  <c r="AR112"/>
  <c r="AQ112"/>
  <c r="E112"/>
  <c r="AN112"/>
  <c r="F112"/>
  <c r="AO112"/>
  <c r="AP112"/>
  <c r="Q112"/>
  <c r="AH112"/>
  <c r="AG112"/>
  <c r="AF112"/>
  <c r="AX111"/>
  <c r="AW111"/>
  <c r="AV111"/>
  <c r="AU111"/>
  <c r="AT111"/>
  <c r="AS111"/>
  <c r="AR111"/>
  <c r="AQ111"/>
  <c r="E111"/>
  <c r="AN111"/>
  <c r="F111"/>
  <c r="AO111"/>
  <c r="AP111"/>
  <c r="Q111"/>
  <c r="AH111"/>
  <c r="AG111"/>
  <c r="AF111"/>
  <c r="AX110"/>
  <c r="AW110"/>
  <c r="AV110"/>
  <c r="AU110"/>
  <c r="AT110"/>
  <c r="AS110"/>
  <c r="AR110"/>
  <c r="AQ110"/>
  <c r="E110"/>
  <c r="AN110"/>
  <c r="F110"/>
  <c r="AO110"/>
  <c r="AP110"/>
  <c r="Q110"/>
  <c r="AH110"/>
  <c r="AG110"/>
  <c r="AF110"/>
  <c r="AX109"/>
  <c r="AW109"/>
  <c r="AV109"/>
  <c r="AU109"/>
  <c r="AT109"/>
  <c r="AS109"/>
  <c r="AR109"/>
  <c r="AQ109"/>
  <c r="E109"/>
  <c r="AN109"/>
  <c r="F109"/>
  <c r="AO109"/>
  <c r="AP109"/>
  <c r="Q109"/>
  <c r="AH109"/>
  <c r="AG109"/>
  <c r="AF109"/>
  <c r="AX108"/>
  <c r="AW108"/>
  <c r="AV108"/>
  <c r="AU108"/>
  <c r="AT108"/>
  <c r="AS108"/>
  <c r="AR108"/>
  <c r="AQ108"/>
  <c r="E108"/>
  <c r="AN108"/>
  <c r="F108"/>
  <c r="AO108"/>
  <c r="AP108"/>
  <c r="Q108"/>
  <c r="AH108"/>
  <c r="AG108"/>
  <c r="AF108"/>
  <c r="AX107"/>
  <c r="AW107"/>
  <c r="AV107"/>
  <c r="AU107"/>
  <c r="AT107"/>
  <c r="AS107"/>
  <c r="AR107"/>
  <c r="AQ107"/>
  <c r="E107"/>
  <c r="AN107"/>
  <c r="F107"/>
  <c r="AO107"/>
  <c r="AP107"/>
  <c r="Q107"/>
  <c r="AH107"/>
  <c r="AG107"/>
  <c r="AF107"/>
  <c r="AX106"/>
  <c r="AW106"/>
  <c r="AV106"/>
  <c r="AU106"/>
  <c r="AT106"/>
  <c r="AS106"/>
  <c r="AR106"/>
  <c r="AQ106"/>
  <c r="E106"/>
  <c r="AN106"/>
  <c r="F106"/>
  <c r="AO106"/>
  <c r="AP106"/>
  <c r="Q106"/>
  <c r="AH106"/>
  <c r="AG106"/>
  <c r="AF106"/>
  <c r="AX105"/>
  <c r="AW105"/>
  <c r="AV105"/>
  <c r="AU105"/>
  <c r="AT105"/>
  <c r="AS105"/>
  <c r="AR105"/>
  <c r="AQ105"/>
  <c r="E105"/>
  <c r="AN105"/>
  <c r="F105"/>
  <c r="AO105"/>
  <c r="AP105"/>
  <c r="Q105"/>
  <c r="AH105"/>
  <c r="AG105"/>
  <c r="AF105"/>
  <c r="AX104"/>
  <c r="AW104"/>
  <c r="AV104"/>
  <c r="AU104"/>
  <c r="AT104"/>
  <c r="AS104"/>
  <c r="AR104"/>
  <c r="AQ104"/>
  <c r="E104"/>
  <c r="AN104"/>
  <c r="F104"/>
  <c r="AO104"/>
  <c r="AP104"/>
  <c r="Q104"/>
  <c r="AH104"/>
  <c r="AG104"/>
  <c r="AF104"/>
  <c r="AX103"/>
  <c r="AW103"/>
  <c r="AV103"/>
  <c r="AU103"/>
  <c r="AT103"/>
  <c r="AS103"/>
  <c r="AR103"/>
  <c r="AQ103"/>
  <c r="E103"/>
  <c r="AN103"/>
  <c r="F103"/>
  <c r="AO103"/>
  <c r="AP103"/>
  <c r="Q103"/>
  <c r="AH103"/>
  <c r="AG103"/>
  <c r="AF103"/>
  <c r="AX102"/>
  <c r="AW102"/>
  <c r="AV102"/>
  <c r="AU102"/>
  <c r="AT102"/>
  <c r="AS102"/>
  <c r="AR102"/>
  <c r="AQ102"/>
  <c r="E102"/>
  <c r="AN102"/>
  <c r="F102"/>
  <c r="AO102"/>
  <c r="AP102"/>
  <c r="Q102"/>
  <c r="AH102"/>
  <c r="AG102"/>
  <c r="AF102"/>
  <c r="AX101"/>
  <c r="AW101"/>
  <c r="AV101"/>
  <c r="AU101"/>
  <c r="AT101"/>
  <c r="AS101"/>
  <c r="AR101"/>
  <c r="AQ101"/>
  <c r="E101"/>
  <c r="AN101"/>
  <c r="F101"/>
  <c r="AO101"/>
  <c r="AP101"/>
  <c r="Q101"/>
  <c r="AH101"/>
  <c r="AG101"/>
  <c r="AF101"/>
  <c r="AX100"/>
  <c r="AW100"/>
  <c r="AV100"/>
  <c r="AU100"/>
  <c r="AT100"/>
  <c r="AS100"/>
  <c r="AR100"/>
  <c r="AQ100"/>
  <c r="E100"/>
  <c r="AN100"/>
  <c r="F100"/>
  <c r="AO100"/>
  <c r="AP100"/>
  <c r="Q100"/>
  <c r="AH100"/>
  <c r="AG100"/>
  <c r="AF100"/>
  <c r="AX99"/>
  <c r="AW99"/>
  <c r="AV99"/>
  <c r="AU99"/>
  <c r="AT99"/>
  <c r="AS99"/>
  <c r="AR99"/>
  <c r="AQ99"/>
  <c r="E99"/>
  <c r="AN99"/>
  <c r="F99"/>
  <c r="AO99"/>
  <c r="AP99"/>
  <c r="Q99"/>
  <c r="AH99"/>
  <c r="AG99"/>
  <c r="AF99"/>
  <c r="AX98"/>
  <c r="AW98"/>
  <c r="AV98"/>
  <c r="AU98"/>
  <c r="AT98"/>
  <c r="AS98"/>
  <c r="AR98"/>
  <c r="AQ98"/>
  <c r="E98"/>
  <c r="AN98"/>
  <c r="F98"/>
  <c r="AO98"/>
  <c r="AP98"/>
  <c r="Q98"/>
  <c r="AH98"/>
  <c r="AG98"/>
  <c r="AF98"/>
  <c r="AX97"/>
  <c r="AW97"/>
  <c r="AV97"/>
  <c r="AU97"/>
  <c r="AT97"/>
  <c r="AS97"/>
  <c r="AR97"/>
  <c r="AQ97"/>
  <c r="E97"/>
  <c r="AN97"/>
  <c r="F97"/>
  <c r="AO97"/>
  <c r="AP97"/>
  <c r="Q97"/>
  <c r="AH97"/>
  <c r="AG97"/>
  <c r="AF97"/>
  <c r="AX96"/>
  <c r="AW96"/>
  <c r="AV96"/>
  <c r="AU96"/>
  <c r="AT96"/>
  <c r="AS96"/>
  <c r="AR96"/>
  <c r="AQ96"/>
  <c r="E96"/>
  <c r="AN96"/>
  <c r="F96"/>
  <c r="AO96"/>
  <c r="AP96"/>
  <c r="Q96"/>
  <c r="AH96"/>
  <c r="AG96"/>
  <c r="AF96"/>
  <c r="AX95"/>
  <c r="AW95"/>
  <c r="AV95"/>
  <c r="AU95"/>
  <c r="AT95"/>
  <c r="AS95"/>
  <c r="AR95"/>
  <c r="AQ95"/>
  <c r="E95"/>
  <c r="AN95"/>
  <c r="F95"/>
  <c r="AO95"/>
  <c r="AP95"/>
  <c r="Q95"/>
  <c r="AH95"/>
  <c r="AG95"/>
  <c r="AF95"/>
  <c r="AX94"/>
  <c r="AW94"/>
  <c r="AV94"/>
  <c r="AU94"/>
  <c r="AT94"/>
  <c r="AS94"/>
  <c r="AR94"/>
  <c r="AQ94"/>
  <c r="E94"/>
  <c r="AN94"/>
  <c r="F94"/>
  <c r="AO94"/>
  <c r="AP94"/>
  <c r="Q94"/>
  <c r="AH94"/>
  <c r="AG94"/>
  <c r="AF94"/>
  <c r="AX93"/>
  <c r="AW93"/>
  <c r="AV93"/>
  <c r="AU93"/>
  <c r="AT93"/>
  <c r="AS93"/>
  <c r="AR93"/>
  <c r="AQ93"/>
  <c r="E93"/>
  <c r="AN93"/>
  <c r="F93"/>
  <c r="AO93"/>
  <c r="AP93"/>
  <c r="Q93"/>
  <c r="AH93"/>
  <c r="AG93"/>
  <c r="AF93"/>
  <c r="AX92"/>
  <c r="AW92"/>
  <c r="AV92"/>
  <c r="AU92"/>
  <c r="AT92"/>
  <c r="AS92"/>
  <c r="AR92"/>
  <c r="AQ92"/>
  <c r="E92"/>
  <c r="AN92"/>
  <c r="F92"/>
  <c r="AO92"/>
  <c r="AP92"/>
  <c r="Q92"/>
  <c r="AH92"/>
  <c r="AG92"/>
  <c r="AF92"/>
  <c r="AX91"/>
  <c r="AW91"/>
  <c r="AV91"/>
  <c r="AU91"/>
  <c r="AT91"/>
  <c r="AS91"/>
  <c r="AR91"/>
  <c r="AQ91"/>
  <c r="E91"/>
  <c r="AN91"/>
  <c r="F91"/>
  <c r="AO91"/>
  <c r="AP91"/>
  <c r="Q91"/>
  <c r="AH91"/>
  <c r="AG91"/>
  <c r="AF91"/>
  <c r="F5"/>
  <c r="AY90"/>
  <c r="AX90"/>
  <c r="AW90"/>
  <c r="AV90"/>
  <c r="AU90"/>
  <c r="AT90"/>
  <c r="AS90"/>
  <c r="AR90"/>
  <c r="AQ90"/>
  <c r="E90"/>
  <c r="AN90"/>
  <c r="F90"/>
  <c r="AO90"/>
  <c r="AP90"/>
  <c r="Q90"/>
  <c r="AH90"/>
  <c r="AG90"/>
  <c r="AF90"/>
  <c r="F4"/>
  <c r="AY89"/>
  <c r="AX89"/>
  <c r="AW89"/>
  <c r="AV89"/>
  <c r="AU89"/>
  <c r="AT89"/>
  <c r="AS89"/>
  <c r="AR89"/>
  <c r="AQ89"/>
  <c r="E89"/>
  <c r="AN89"/>
  <c r="F89"/>
  <c r="AO89"/>
  <c r="AP89"/>
  <c r="Q89"/>
  <c r="AH89"/>
  <c r="AG89"/>
  <c r="AF89"/>
  <c r="I87"/>
  <c r="AQ86"/>
  <c r="AP86"/>
  <c r="AO86"/>
  <c r="AN86"/>
  <c r="AM86"/>
  <c r="AL86"/>
  <c r="AK86"/>
  <c r="AJ86"/>
  <c r="AG86"/>
  <c r="AF86"/>
  <c r="AE86"/>
  <c r="AD86"/>
  <c r="AC86"/>
  <c r="AB86"/>
  <c r="AA86"/>
  <c r="Z86"/>
  <c r="Y86"/>
  <c r="I86"/>
  <c r="G86"/>
  <c r="F86"/>
  <c r="E86"/>
  <c r="D86"/>
  <c r="C86"/>
  <c r="AQ85"/>
  <c r="AP85"/>
  <c r="AO85"/>
  <c r="AN85"/>
  <c r="AM85"/>
  <c r="AL85"/>
  <c r="AK85"/>
  <c r="AJ85"/>
  <c r="AG85"/>
  <c r="AF85"/>
  <c r="AE85"/>
  <c r="AD85"/>
  <c r="AC85"/>
  <c r="AB85"/>
  <c r="AA85"/>
  <c r="Z85"/>
  <c r="Y85"/>
  <c r="I85"/>
  <c r="H85"/>
  <c r="G85"/>
  <c r="F85"/>
  <c r="E85"/>
  <c r="D85"/>
  <c r="C85"/>
  <c r="AQ84"/>
  <c r="AP84"/>
  <c r="AO84"/>
  <c r="AN84"/>
  <c r="AM84"/>
  <c r="AL84"/>
  <c r="AK84"/>
  <c r="AJ84"/>
  <c r="AI84"/>
  <c r="AH84"/>
  <c r="AG84"/>
  <c r="AF84"/>
  <c r="AE84"/>
  <c r="AD84"/>
  <c r="AC84"/>
  <c r="AB84"/>
  <c r="AA84"/>
  <c r="Z84"/>
  <c r="Y84"/>
  <c r="I84"/>
  <c r="H84"/>
  <c r="G84"/>
  <c r="F84"/>
  <c r="E84"/>
  <c r="D84"/>
  <c r="C84"/>
  <c r="AQ83"/>
  <c r="AP83"/>
  <c r="AO83"/>
  <c r="AN83"/>
  <c r="AM83"/>
  <c r="AL83"/>
  <c r="AK83"/>
  <c r="AJ83"/>
  <c r="AI83"/>
  <c r="AH83"/>
  <c r="AG83"/>
  <c r="AF83"/>
  <c r="AE83"/>
  <c r="AD83"/>
  <c r="AC83"/>
  <c r="AB83"/>
  <c r="AA83"/>
  <c r="Z83"/>
  <c r="Y83"/>
  <c r="I83"/>
  <c r="H83"/>
  <c r="G83"/>
  <c r="F83"/>
  <c r="E83"/>
  <c r="D83"/>
  <c r="C83"/>
  <c r="AQ82"/>
  <c r="AP82"/>
  <c r="AO82"/>
  <c r="AN82"/>
  <c r="AM82"/>
  <c r="AJ82"/>
  <c r="AE82"/>
  <c r="AD82"/>
  <c r="Z82"/>
  <c r="Y82"/>
  <c r="G82"/>
  <c r="F82"/>
  <c r="E82"/>
  <c r="D82"/>
  <c r="C82"/>
  <c r="AQ81"/>
  <c r="AP81"/>
  <c r="AO81"/>
  <c r="AN81"/>
  <c r="AM81"/>
  <c r="AJ81"/>
  <c r="AE81"/>
  <c r="AD81"/>
  <c r="Z81"/>
  <c r="Y81"/>
  <c r="G81"/>
  <c r="F81"/>
  <c r="E81"/>
  <c r="D81"/>
  <c r="C81"/>
  <c r="AQ80"/>
  <c r="AP80"/>
  <c r="AO80"/>
  <c r="AN80"/>
  <c r="AM80"/>
  <c r="AL80"/>
  <c r="AK80"/>
  <c r="AJ80"/>
  <c r="AG80"/>
  <c r="AF80"/>
  <c r="AE80"/>
  <c r="AD80"/>
  <c r="AC80"/>
  <c r="AB80"/>
  <c r="AA80"/>
  <c r="Z80"/>
  <c r="Y80"/>
  <c r="I80"/>
  <c r="H80"/>
  <c r="G80"/>
  <c r="F80"/>
  <c r="E80"/>
  <c r="D80"/>
  <c r="C80"/>
  <c r="AQ79"/>
  <c r="AP79"/>
  <c r="AO79"/>
  <c r="AN79"/>
  <c r="AM79"/>
  <c r="AJ79"/>
  <c r="AE79"/>
  <c r="AD79"/>
  <c r="AA79"/>
  <c r="Z79"/>
  <c r="Y79"/>
  <c r="G79"/>
  <c r="F79"/>
  <c r="E79"/>
  <c r="D79"/>
  <c r="C79"/>
  <c r="AQ78"/>
  <c r="AP78"/>
  <c r="AO78"/>
  <c r="AN78"/>
  <c r="AM78"/>
  <c r="AJ78"/>
  <c r="AE78"/>
  <c r="AD78"/>
  <c r="AA78"/>
  <c r="Z78"/>
  <c r="Y78"/>
  <c r="G78"/>
  <c r="F78"/>
  <c r="E78"/>
  <c r="D78"/>
  <c r="C78"/>
  <c r="AQ77"/>
  <c r="AP77"/>
  <c r="AO77"/>
  <c r="AN77"/>
  <c r="AM77"/>
  <c r="AL77"/>
  <c r="AK77"/>
  <c r="AJ77"/>
  <c r="AG77"/>
  <c r="AF77"/>
  <c r="AE77"/>
  <c r="AD77"/>
  <c r="AC77"/>
  <c r="AB77"/>
  <c r="AA77"/>
  <c r="Z77"/>
  <c r="Y77"/>
  <c r="I77"/>
  <c r="H77"/>
  <c r="G77"/>
  <c r="F77"/>
  <c r="E77"/>
  <c r="D77"/>
  <c r="C77"/>
  <c r="AQ76"/>
  <c r="AP76"/>
  <c r="AO76"/>
  <c r="AN76"/>
  <c r="AM76"/>
  <c r="AL76"/>
  <c r="AK76"/>
  <c r="AJ76"/>
  <c r="AI76"/>
  <c r="AH76"/>
  <c r="AG76"/>
  <c r="AF76"/>
  <c r="AE76"/>
  <c r="AD76"/>
  <c r="AC76"/>
  <c r="AB76"/>
  <c r="AA76"/>
  <c r="Z76"/>
  <c r="Y76"/>
  <c r="I76"/>
  <c r="H76"/>
  <c r="G76"/>
  <c r="F76"/>
  <c r="E76"/>
  <c r="D76"/>
  <c r="C76"/>
  <c r="AQ75"/>
  <c r="AP75"/>
  <c r="AO75"/>
  <c r="AN75"/>
  <c r="AM75"/>
  <c r="AL75"/>
  <c r="AK75"/>
  <c r="AJ75"/>
  <c r="AG75"/>
  <c r="AF75"/>
  <c r="AE75"/>
  <c r="AD75"/>
  <c r="AC75"/>
  <c r="AB75"/>
  <c r="AA75"/>
  <c r="Z75"/>
  <c r="Y75"/>
  <c r="I75"/>
  <c r="H75"/>
  <c r="G75"/>
  <c r="F75"/>
  <c r="E75"/>
  <c r="D75"/>
  <c r="C75"/>
  <c r="AQ74"/>
  <c r="AP74"/>
  <c r="AO74"/>
  <c r="AN74"/>
  <c r="AM74"/>
  <c r="AL74"/>
  <c r="AK74"/>
  <c r="AJ74"/>
  <c r="AG74"/>
  <c r="AF74"/>
  <c r="AE74"/>
  <c r="AD74"/>
  <c r="AC74"/>
  <c r="AB74"/>
  <c r="AA74"/>
  <c r="Z74"/>
  <c r="Y74"/>
  <c r="I74"/>
  <c r="H74"/>
  <c r="G74"/>
  <c r="F74"/>
  <c r="E74"/>
  <c r="D74"/>
  <c r="C74"/>
  <c r="AQ73"/>
  <c r="AP73"/>
  <c r="AO73"/>
  <c r="AN73"/>
  <c r="AM73"/>
  <c r="AL73"/>
  <c r="AK73"/>
  <c r="AJ73"/>
  <c r="AG73"/>
  <c r="AF73"/>
  <c r="AE73"/>
  <c r="AD73"/>
  <c r="AC73"/>
  <c r="AB73"/>
  <c r="AA73"/>
  <c r="Z73"/>
  <c r="Y73"/>
  <c r="I73"/>
  <c r="H73"/>
  <c r="G73"/>
  <c r="F73"/>
  <c r="E73"/>
  <c r="D73"/>
  <c r="C73"/>
  <c r="AQ72"/>
  <c r="AP72"/>
  <c r="AO72"/>
  <c r="AN72"/>
  <c r="AM72"/>
  <c r="AL72"/>
  <c r="AK72"/>
  <c r="AJ72"/>
  <c r="AG72"/>
  <c r="AF72"/>
  <c r="AE72"/>
  <c r="AD72"/>
  <c r="AA72"/>
  <c r="Z72"/>
  <c r="Y72"/>
  <c r="I72"/>
  <c r="H72"/>
  <c r="G72"/>
  <c r="F72"/>
  <c r="E72"/>
  <c r="D72"/>
  <c r="C72"/>
  <c r="AQ71"/>
  <c r="AP71"/>
  <c r="AO71"/>
  <c r="AN71"/>
  <c r="AM71"/>
  <c r="AL71"/>
  <c r="AK71"/>
  <c r="AJ71"/>
  <c r="AG71"/>
  <c r="AF71"/>
  <c r="AE71"/>
  <c r="AD71"/>
  <c r="AC71"/>
  <c r="AB71"/>
  <c r="AA71"/>
  <c r="Z71"/>
  <c r="Y71"/>
  <c r="I71"/>
  <c r="H71"/>
  <c r="G71"/>
  <c r="F71"/>
  <c r="E71"/>
  <c r="D71"/>
  <c r="C71"/>
  <c r="AQ70"/>
  <c r="AP70"/>
  <c r="AO70"/>
  <c r="AN70"/>
  <c r="AM70"/>
  <c r="AL70"/>
  <c r="AK70"/>
  <c r="AJ70"/>
  <c r="AI70"/>
  <c r="AH70"/>
  <c r="AG70"/>
  <c r="AF70"/>
  <c r="AE70"/>
  <c r="AD70"/>
  <c r="AC70"/>
  <c r="AB70"/>
  <c r="AA70"/>
  <c r="Z70"/>
  <c r="Y70"/>
  <c r="I70"/>
  <c r="H70"/>
  <c r="G70"/>
  <c r="F70"/>
  <c r="E70"/>
  <c r="D70"/>
  <c r="C70"/>
  <c r="AQ66"/>
  <c r="AP66"/>
  <c r="AO66"/>
  <c r="AN66"/>
  <c r="AM66"/>
  <c r="AL66"/>
  <c r="AK66"/>
  <c r="AJ66"/>
  <c r="AG66"/>
  <c r="AF66"/>
  <c r="AE66"/>
  <c r="AD66"/>
  <c r="AC66"/>
  <c r="AB66"/>
  <c r="AA66"/>
  <c r="Z66"/>
  <c r="Y66"/>
  <c r="I66"/>
  <c r="H66"/>
  <c r="G66"/>
  <c r="F66"/>
  <c r="E66"/>
  <c r="D66"/>
  <c r="C66"/>
  <c r="AQ65"/>
  <c r="AG65"/>
  <c r="AE65"/>
  <c r="AD65"/>
  <c r="AC65"/>
  <c r="AA65"/>
  <c r="Y65"/>
  <c r="G65"/>
  <c r="D65"/>
  <c r="C65"/>
  <c r="AQ64"/>
  <c r="AG64"/>
  <c r="AE64"/>
  <c r="AD64"/>
  <c r="AA64"/>
  <c r="Y64"/>
  <c r="G64"/>
  <c r="D64"/>
  <c r="C64"/>
  <c r="AQ63"/>
  <c r="AG63"/>
  <c r="Y63"/>
  <c r="G63"/>
  <c r="D63"/>
  <c r="C63"/>
  <c r="AQ62"/>
  <c r="AG62"/>
  <c r="Y62"/>
  <c r="G62"/>
  <c r="D62"/>
  <c r="C62"/>
  <c r="AQ61"/>
  <c r="AG61"/>
  <c r="Y61"/>
  <c r="G61"/>
  <c r="D61"/>
  <c r="C61"/>
  <c r="AQ60"/>
  <c r="AG60"/>
  <c r="Y60"/>
  <c r="G60"/>
  <c r="D60"/>
  <c r="C60"/>
  <c r="AQ59"/>
  <c r="AG59"/>
  <c r="AE59"/>
  <c r="AD59"/>
  <c r="AC59"/>
  <c r="AA59"/>
  <c r="Y59"/>
  <c r="G59"/>
  <c r="D59"/>
  <c r="C59"/>
  <c r="AQ58"/>
  <c r="AG58"/>
  <c r="AE58"/>
  <c r="AD58"/>
  <c r="AC58"/>
  <c r="AA58"/>
  <c r="Y58"/>
  <c r="G58"/>
  <c r="D58"/>
  <c r="C58"/>
  <c r="AQ57"/>
  <c r="AG57"/>
  <c r="AE57"/>
  <c r="AD57"/>
  <c r="AC57"/>
  <c r="AA57"/>
  <c r="Y57"/>
  <c r="G57"/>
  <c r="D57"/>
  <c r="C57"/>
  <c r="AQ56"/>
  <c r="Y56"/>
  <c r="G56"/>
  <c r="D56"/>
  <c r="C56"/>
  <c r="AQ55"/>
  <c r="Y55"/>
  <c r="G55"/>
  <c r="D55"/>
  <c r="C55"/>
  <c r="AQ54"/>
  <c r="AG54"/>
  <c r="AE54"/>
  <c r="AD54"/>
  <c r="AC54"/>
  <c r="AA54"/>
  <c r="Y54"/>
  <c r="G54"/>
  <c r="D54"/>
  <c r="C54"/>
  <c r="AQ53"/>
  <c r="AG53"/>
  <c r="AE53"/>
  <c r="AD53"/>
  <c r="AC53"/>
  <c r="AA53"/>
  <c r="Y53"/>
  <c r="G53"/>
  <c r="D53"/>
  <c r="C53"/>
  <c r="AQ52"/>
  <c r="AG52"/>
  <c r="AE52"/>
  <c r="AD52"/>
  <c r="AC52"/>
  <c r="AA52"/>
  <c r="Y52"/>
  <c r="G52"/>
  <c r="D52"/>
  <c r="C52"/>
  <c r="AQ51"/>
  <c r="Y51"/>
  <c r="G51"/>
  <c r="D51"/>
  <c r="C51"/>
  <c r="AQ50"/>
  <c r="Y50"/>
  <c r="G50"/>
  <c r="D50"/>
  <c r="C50"/>
  <c r="AQ49"/>
  <c r="AG49"/>
  <c r="AE49"/>
  <c r="AD49"/>
  <c r="AC49"/>
  <c r="AA49"/>
  <c r="Y49"/>
  <c r="G49"/>
  <c r="D49"/>
  <c r="C49"/>
  <c r="AQ48"/>
  <c r="AG48"/>
  <c r="Y48"/>
  <c r="G48"/>
  <c r="D48"/>
  <c r="C48"/>
  <c r="AQ47"/>
  <c r="Y47"/>
  <c r="G47"/>
  <c r="D47"/>
  <c r="C47"/>
  <c r="AQ46"/>
  <c r="AG46"/>
  <c r="AE46"/>
  <c r="AD46"/>
  <c r="AC46"/>
  <c r="AA46"/>
  <c r="Y46"/>
  <c r="G46"/>
  <c r="D46"/>
  <c r="C46"/>
  <c r="AQ45"/>
  <c r="AG45"/>
  <c r="AE45"/>
  <c r="AD45"/>
  <c r="AC45"/>
  <c r="AA45"/>
  <c r="Y45"/>
  <c r="G45"/>
  <c r="D45"/>
  <c r="C45"/>
  <c r="AQ44"/>
  <c r="AG44"/>
  <c r="AE44"/>
  <c r="AD44"/>
  <c r="AC44"/>
  <c r="AA44"/>
  <c r="Y44"/>
  <c r="G44"/>
  <c r="D44"/>
  <c r="C44"/>
  <c r="AQ43"/>
  <c r="AG43"/>
  <c r="AE43"/>
  <c r="AD43"/>
  <c r="AC43"/>
  <c r="AA43"/>
  <c r="Y43"/>
  <c r="G43"/>
  <c r="D43"/>
  <c r="C43"/>
  <c r="AQ42"/>
  <c r="AG42"/>
  <c r="AE42"/>
  <c r="AD42"/>
  <c r="AC42"/>
  <c r="AA42"/>
  <c r="Y42"/>
  <c r="G42"/>
  <c r="D42"/>
  <c r="C42"/>
  <c r="AQ41"/>
  <c r="AG41"/>
  <c r="AE41"/>
  <c r="AD41"/>
  <c r="AC41"/>
  <c r="AA41"/>
  <c r="Y41"/>
  <c r="G41"/>
  <c r="D41"/>
  <c r="C41"/>
  <c r="AQ40"/>
  <c r="AG40"/>
  <c r="AE40"/>
  <c r="AD40"/>
  <c r="AC40"/>
  <c r="AA40"/>
  <c r="Y40"/>
  <c r="G40"/>
  <c r="D40"/>
  <c r="C40"/>
  <c r="AQ39"/>
  <c r="AG39"/>
  <c r="AE39"/>
  <c r="AD39"/>
  <c r="AC39"/>
  <c r="AA39"/>
  <c r="Y39"/>
  <c r="G39"/>
  <c r="D39"/>
  <c r="C39"/>
  <c r="AQ38"/>
  <c r="AG38"/>
  <c r="AE38"/>
  <c r="AD38"/>
  <c r="AC38"/>
  <c r="AA38"/>
  <c r="Y38"/>
  <c r="G38"/>
  <c r="D38"/>
  <c r="C38"/>
  <c r="AQ37"/>
  <c r="AG37"/>
  <c r="AE37"/>
  <c r="AD37"/>
  <c r="AC37"/>
  <c r="AA37"/>
  <c r="Y37"/>
  <c r="G37"/>
  <c r="D37"/>
  <c r="C37"/>
  <c r="AQ36"/>
  <c r="AG36"/>
  <c r="AE36"/>
  <c r="AD36"/>
  <c r="AC36"/>
  <c r="AA36"/>
  <c r="Y36"/>
  <c r="G36"/>
  <c r="D36"/>
  <c r="C36"/>
  <c r="AQ35"/>
  <c r="AG35"/>
  <c r="AE35"/>
  <c r="AD35"/>
  <c r="AC35"/>
  <c r="AA35"/>
  <c r="Y35"/>
  <c r="G35"/>
  <c r="D35"/>
  <c r="C35"/>
  <c r="AQ34"/>
  <c r="AG34"/>
  <c r="AE34"/>
  <c r="AD34"/>
  <c r="AC34"/>
  <c r="AA34"/>
  <c r="Y34"/>
  <c r="G34"/>
  <c r="D34"/>
  <c r="C34"/>
  <c r="AQ33"/>
  <c r="AG33"/>
  <c r="AE33"/>
  <c r="AD33"/>
  <c r="AC33"/>
  <c r="AA33"/>
  <c r="Y33"/>
  <c r="G33"/>
  <c r="D33"/>
  <c r="C33"/>
  <c r="AQ32"/>
  <c r="AG32"/>
  <c r="AE32"/>
  <c r="AD32"/>
  <c r="AC32"/>
  <c r="AA32"/>
  <c r="Y32"/>
  <c r="G32"/>
  <c r="D32"/>
  <c r="C32"/>
  <c r="AQ31"/>
  <c r="AG31"/>
  <c r="AE31"/>
  <c r="AD31"/>
  <c r="AC31"/>
  <c r="AA31"/>
  <c r="Y31"/>
  <c r="G31"/>
  <c r="D31"/>
  <c r="C31"/>
  <c r="AQ30"/>
  <c r="Y30"/>
  <c r="G30"/>
  <c r="D30"/>
  <c r="C30"/>
  <c r="AQ29"/>
  <c r="Y29"/>
  <c r="G29"/>
  <c r="D29"/>
  <c r="C29"/>
  <c r="AQ28"/>
  <c r="AG28"/>
  <c r="AE28"/>
  <c r="AD28"/>
  <c r="AC28"/>
  <c r="AA28"/>
  <c r="Y28"/>
  <c r="G28"/>
  <c r="D28"/>
  <c r="C28"/>
  <c r="AQ27"/>
  <c r="AG27"/>
  <c r="AE27"/>
  <c r="AD27"/>
  <c r="AC27"/>
  <c r="AA27"/>
  <c r="Y27"/>
  <c r="G27"/>
  <c r="D27"/>
  <c r="C27"/>
  <c r="AQ26"/>
  <c r="AG26"/>
  <c r="AE26"/>
  <c r="AD26"/>
  <c r="AC26"/>
  <c r="AA26"/>
  <c r="Y26"/>
  <c r="G26"/>
  <c r="D26"/>
  <c r="C26"/>
  <c r="AQ25"/>
  <c r="AG25"/>
  <c r="AE25"/>
  <c r="AD25"/>
  <c r="AC25"/>
  <c r="AA25"/>
  <c r="Y25"/>
  <c r="G25"/>
  <c r="D25"/>
  <c r="C25"/>
  <c r="AQ24"/>
  <c r="AG24"/>
  <c r="AE24"/>
  <c r="AD24"/>
  <c r="AC24"/>
  <c r="AA24"/>
  <c r="Y24"/>
  <c r="G24"/>
  <c r="D24"/>
  <c r="C24"/>
  <c r="AQ23"/>
  <c r="AP23"/>
  <c r="AO23"/>
  <c r="AN23"/>
  <c r="AM23"/>
  <c r="AL23"/>
  <c r="AK23"/>
  <c r="AG23"/>
  <c r="AF23"/>
  <c r="AE23"/>
  <c r="AD23"/>
  <c r="AC23"/>
  <c r="AB23"/>
  <c r="AA23"/>
  <c r="Z23"/>
  <c r="Y23"/>
  <c r="F6"/>
  <c r="Q21"/>
  <c r="D21"/>
  <c r="E20"/>
  <c r="D20"/>
  <c r="D19"/>
  <c r="D17"/>
  <c r="E16"/>
  <c r="D16"/>
  <c r="D15"/>
  <c r="F13"/>
  <c r="D13"/>
  <c r="D12"/>
  <c r="D11"/>
  <c r="D9"/>
  <c r="D8"/>
  <c r="D7"/>
  <c r="F3"/>
  <c r="D6" i="130"/>
  <c r="D5"/>
  <c r="H45"/>
  <c r="I45"/>
  <c r="J45"/>
  <c r="L45"/>
  <c r="D3"/>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T51"/>
  <c r="S45"/>
  <c r="S46"/>
  <c r="S47"/>
  <c r="S48"/>
  <c r="S49"/>
  <c r="S51"/>
  <c r="R51"/>
  <c r="P54"/>
  <c r="O51"/>
  <c r="I59"/>
  <c r="I60"/>
  <c r="U45"/>
  <c r="U46"/>
  <c r="U47"/>
  <c r="U48"/>
  <c r="U49"/>
  <c r="U51"/>
  <c r="I61"/>
  <c r="I62"/>
  <c r="I63"/>
  <c r="V45"/>
  <c r="W45"/>
  <c r="V46"/>
  <c r="W46"/>
  <c r="V47"/>
  <c r="W47"/>
  <c r="V48"/>
  <c r="W48"/>
  <c r="V49"/>
  <c r="W49"/>
  <c r="W51"/>
  <c r="V51"/>
  <c r="I65"/>
  <c r="I66"/>
  <c r="M67"/>
  <c r="M68"/>
  <c r="I67"/>
  <c r="AJ45"/>
  <c r="AK45"/>
  <c r="AJ46"/>
  <c r="AK46"/>
  <c r="AJ47"/>
  <c r="AK47"/>
  <c r="AJ48"/>
  <c r="AK48"/>
  <c r="AJ49"/>
  <c r="AK49"/>
  <c r="AL45"/>
  <c r="AL46"/>
  <c r="AL47"/>
  <c r="AL48"/>
  <c r="AL49"/>
  <c r="Q60"/>
  <c r="Q61"/>
  <c r="Q62"/>
  <c r="Q63"/>
  <c r="AH62"/>
  <c r="AH61"/>
  <c r="AH60"/>
  <c r="I55"/>
  <c r="I56"/>
  <c r="AH58"/>
  <c r="AH57"/>
  <c r="I54"/>
  <c r="M56"/>
  <c r="M57"/>
  <c r="AH56"/>
  <c r="P56"/>
  <c r="P55"/>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F5"/>
  <c r="AY45"/>
  <c r="AX45"/>
  <c r="AW45"/>
  <c r="AV45"/>
  <c r="AU45"/>
  <c r="AT45"/>
  <c r="AS45"/>
  <c r="AR45"/>
  <c r="AQ45"/>
  <c r="E45"/>
  <c r="AN45"/>
  <c r="F45"/>
  <c r="AO45"/>
  <c r="AP45"/>
  <c r="Q45"/>
  <c r="AH45"/>
  <c r="AG45"/>
  <c r="AF45"/>
  <c r="I43"/>
  <c r="AQ41"/>
  <c r="AP41"/>
  <c r="AN41"/>
  <c r="AM41"/>
  <c r="AL41"/>
  <c r="AK41"/>
  <c r="AJ41"/>
  <c r="AI41"/>
  <c r="AH41"/>
  <c r="AG41"/>
  <c r="AF41"/>
  <c r="AE41"/>
  <c r="AD41"/>
  <c r="AC41"/>
  <c r="AB41"/>
  <c r="AA41"/>
  <c r="Z41"/>
  <c r="Y41"/>
  <c r="G41"/>
  <c r="F41"/>
  <c r="E41"/>
  <c r="D41"/>
  <c r="C41"/>
  <c r="AQ40"/>
  <c r="AP40"/>
  <c r="AN40"/>
  <c r="AM40"/>
  <c r="AL40"/>
  <c r="AK40"/>
  <c r="AJ40"/>
  <c r="AI40"/>
  <c r="AH40"/>
  <c r="AG40"/>
  <c r="AF40"/>
  <c r="AE40"/>
  <c r="AD40"/>
  <c r="AC40"/>
  <c r="AB40"/>
  <c r="AA40"/>
  <c r="Z40"/>
  <c r="Y40"/>
  <c r="G40"/>
  <c r="F40"/>
  <c r="E40"/>
  <c r="D40"/>
  <c r="C40"/>
  <c r="AQ39"/>
  <c r="AP39"/>
  <c r="AO39"/>
  <c r="AN39"/>
  <c r="AM39"/>
  <c r="AL39"/>
  <c r="AK39"/>
  <c r="AJ39"/>
  <c r="AI39"/>
  <c r="AH39"/>
  <c r="AG39"/>
  <c r="AF39"/>
  <c r="AE39"/>
  <c r="AD39"/>
  <c r="AC39"/>
  <c r="AB39"/>
  <c r="AA39"/>
  <c r="Z39"/>
  <c r="Y39"/>
  <c r="G39"/>
  <c r="F39"/>
  <c r="E39"/>
  <c r="D39"/>
  <c r="C39"/>
  <c r="AQ38"/>
  <c r="AP38"/>
  <c r="AO38"/>
  <c r="AN38"/>
  <c r="AM38"/>
  <c r="AL38"/>
  <c r="AK38"/>
  <c r="AJ38"/>
  <c r="AI38"/>
  <c r="AH38"/>
  <c r="AG38"/>
  <c r="AF38"/>
  <c r="AE38"/>
  <c r="AD38"/>
  <c r="AC38"/>
  <c r="AB38"/>
  <c r="AA38"/>
  <c r="Z38"/>
  <c r="Y38"/>
  <c r="G38"/>
  <c r="F38"/>
  <c r="E38"/>
  <c r="D38"/>
  <c r="C38"/>
  <c r="AQ37"/>
  <c r="AP37"/>
  <c r="AN37"/>
  <c r="AM37"/>
  <c r="AL37"/>
  <c r="AK37"/>
  <c r="AJ37"/>
  <c r="AI37"/>
  <c r="AH37"/>
  <c r="AG37"/>
  <c r="AF37"/>
  <c r="AE37"/>
  <c r="AD37"/>
  <c r="AC37"/>
  <c r="AB37"/>
  <c r="AA37"/>
  <c r="Z37"/>
  <c r="Y37"/>
  <c r="G37"/>
  <c r="F37"/>
  <c r="E37"/>
  <c r="D37"/>
  <c r="C37"/>
  <c r="AQ36"/>
  <c r="AP36"/>
  <c r="AN36"/>
  <c r="AM36"/>
  <c r="AL36"/>
  <c r="AK36"/>
  <c r="AJ36"/>
  <c r="AI36"/>
  <c r="AH36"/>
  <c r="AG36"/>
  <c r="AF36"/>
  <c r="AE36"/>
  <c r="AD36"/>
  <c r="AC36"/>
  <c r="AB36"/>
  <c r="AA36"/>
  <c r="Z36"/>
  <c r="Y36"/>
  <c r="G36"/>
  <c r="F36"/>
  <c r="E36"/>
  <c r="D36"/>
  <c r="C36"/>
  <c r="AQ35"/>
  <c r="AP35"/>
  <c r="AN35"/>
  <c r="AM35"/>
  <c r="AL35"/>
  <c r="AK35"/>
  <c r="AJ35"/>
  <c r="AI35"/>
  <c r="AH35"/>
  <c r="AG35"/>
  <c r="AF35"/>
  <c r="AE35"/>
  <c r="AD35"/>
  <c r="AA35"/>
  <c r="Z35"/>
  <c r="Y35"/>
  <c r="I35"/>
  <c r="H35"/>
  <c r="G35"/>
  <c r="F35"/>
  <c r="E35"/>
  <c r="D35"/>
  <c r="C35"/>
  <c r="AQ34"/>
  <c r="AP34"/>
  <c r="AN34"/>
  <c r="AM34"/>
  <c r="AL34"/>
  <c r="AK34"/>
  <c r="AJ34"/>
  <c r="AI34"/>
  <c r="AH34"/>
  <c r="AG34"/>
  <c r="AF34"/>
  <c r="AE34"/>
  <c r="AD34"/>
  <c r="AC34"/>
  <c r="AB34"/>
  <c r="AA34"/>
  <c r="Z34"/>
  <c r="Y34"/>
  <c r="I34"/>
  <c r="H34"/>
  <c r="G34"/>
  <c r="F34"/>
  <c r="E34"/>
  <c r="D34"/>
  <c r="C34"/>
  <c r="AQ33"/>
  <c r="AP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F3"/>
  <c r="D6" i="78"/>
  <c r="D5"/>
  <c r="H34"/>
  <c r="I34"/>
  <c r="J34"/>
  <c r="L34"/>
  <c r="D3"/>
  <c r="M34"/>
  <c r="K34"/>
  <c r="N34"/>
  <c r="O34"/>
  <c r="P34"/>
  <c r="R34"/>
  <c r="T34"/>
  <c r="H35"/>
  <c r="I35"/>
  <c r="J35"/>
  <c r="L35"/>
  <c r="M35"/>
  <c r="K35"/>
  <c r="N35"/>
  <c r="O35"/>
  <c r="P35"/>
  <c r="R35"/>
  <c r="T35"/>
  <c r="H36"/>
  <c r="I36"/>
  <c r="J36"/>
  <c r="L36"/>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T41"/>
  <c r="S34"/>
  <c r="S35"/>
  <c r="S36"/>
  <c r="S37"/>
  <c r="S38"/>
  <c r="S39"/>
  <c r="S41"/>
  <c r="R41"/>
  <c r="P44"/>
  <c r="O41"/>
  <c r="I49"/>
  <c r="I50"/>
  <c r="U34"/>
  <c r="U35"/>
  <c r="U36"/>
  <c r="U37"/>
  <c r="U38"/>
  <c r="U39"/>
  <c r="U41"/>
  <c r="I51"/>
  <c r="I52"/>
  <c r="I53"/>
  <c r="V34"/>
  <c r="W34"/>
  <c r="V35"/>
  <c r="W35"/>
  <c r="V36"/>
  <c r="W36"/>
  <c r="V37"/>
  <c r="W37"/>
  <c r="V38"/>
  <c r="W38"/>
  <c r="V39"/>
  <c r="W39"/>
  <c r="W41"/>
  <c r="V41"/>
  <c r="I55"/>
  <c r="I56"/>
  <c r="M57"/>
  <c r="M58"/>
  <c r="I57"/>
  <c r="AJ34"/>
  <c r="AK34"/>
  <c r="AJ35"/>
  <c r="AK35"/>
  <c r="AJ36"/>
  <c r="AK36"/>
  <c r="AJ37"/>
  <c r="AK37"/>
  <c r="AJ38"/>
  <c r="AK38"/>
  <c r="AJ39"/>
  <c r="AK39"/>
  <c r="AL34"/>
  <c r="AL35"/>
  <c r="AL36"/>
  <c r="AL37"/>
  <c r="AL38"/>
  <c r="AL39"/>
  <c r="Q50"/>
  <c r="Q51"/>
  <c r="Q52"/>
  <c r="Q53"/>
  <c r="AH52"/>
  <c r="AH51"/>
  <c r="AH50"/>
  <c r="I45"/>
  <c r="I46"/>
  <c r="AH48"/>
  <c r="AH47"/>
  <c r="I44"/>
  <c r="M46"/>
  <c r="M47"/>
  <c r="AH46"/>
  <c r="P46"/>
  <c r="P45"/>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AX36"/>
  <c r="AW36"/>
  <c r="AV36"/>
  <c r="AU36"/>
  <c r="AT36"/>
  <c r="AS36"/>
  <c r="AR36"/>
  <c r="AQ36"/>
  <c r="E36"/>
  <c r="AN36"/>
  <c r="F36"/>
  <c r="AO36"/>
  <c r="AP36"/>
  <c r="Q36"/>
  <c r="AH36"/>
  <c r="AG36"/>
  <c r="AF36"/>
  <c r="F5"/>
  <c r="AY35"/>
  <c r="AX35"/>
  <c r="AW35"/>
  <c r="AV35"/>
  <c r="AU35"/>
  <c r="AT35"/>
  <c r="AS35"/>
  <c r="AR35"/>
  <c r="AQ35"/>
  <c r="E35"/>
  <c r="AN35"/>
  <c r="F35"/>
  <c r="AO35"/>
  <c r="AP35"/>
  <c r="Q35"/>
  <c r="AH35"/>
  <c r="AG35"/>
  <c r="AF35"/>
  <c r="F3"/>
  <c r="AY34"/>
  <c r="AX34"/>
  <c r="AW34"/>
  <c r="AV34"/>
  <c r="AU34"/>
  <c r="AT34"/>
  <c r="AS34"/>
  <c r="AR34"/>
  <c r="AQ34"/>
  <c r="E34"/>
  <c r="AN34"/>
  <c r="F34"/>
  <c r="AO34"/>
  <c r="AP34"/>
  <c r="Q34"/>
  <c r="AH34"/>
  <c r="AG34"/>
  <c r="AF34"/>
  <c r="I32"/>
  <c r="AQ31"/>
  <c r="AP31"/>
  <c r="AO31"/>
  <c r="AN31"/>
  <c r="AM31"/>
  <c r="AL31"/>
  <c r="AK31"/>
  <c r="AJ31"/>
  <c r="AI31"/>
  <c r="AH31"/>
  <c r="AG31"/>
  <c r="AF31"/>
  <c r="AE31"/>
  <c r="AD31"/>
  <c r="AC31"/>
  <c r="AB31"/>
  <c r="AA31"/>
  <c r="Z31"/>
  <c r="Y31"/>
  <c r="I31"/>
  <c r="H31"/>
  <c r="G31"/>
  <c r="F31"/>
  <c r="E31"/>
  <c r="D31"/>
  <c r="C31"/>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D6" i="67"/>
  <c r="D5"/>
  <c r="H39"/>
  <c r="I39"/>
  <c r="J39"/>
  <c r="L39"/>
  <c r="D3"/>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T47"/>
  <c r="S39"/>
  <c r="S40"/>
  <c r="S41"/>
  <c r="S42"/>
  <c r="S43"/>
  <c r="S44"/>
  <c r="S45"/>
  <c r="S47"/>
  <c r="R47"/>
  <c r="P50"/>
  <c r="O47"/>
  <c r="I55"/>
  <c r="I56"/>
  <c r="U39"/>
  <c r="U40"/>
  <c r="U41"/>
  <c r="U42"/>
  <c r="U43"/>
  <c r="U44"/>
  <c r="U45"/>
  <c r="U47"/>
  <c r="I57"/>
  <c r="I58"/>
  <c r="I59"/>
  <c r="V39"/>
  <c r="W39"/>
  <c r="V40"/>
  <c r="W40"/>
  <c r="V41"/>
  <c r="W41"/>
  <c r="V42"/>
  <c r="W42"/>
  <c r="V43"/>
  <c r="W43"/>
  <c r="V44"/>
  <c r="W44"/>
  <c r="V45"/>
  <c r="W45"/>
  <c r="W47"/>
  <c r="V47"/>
  <c r="I61"/>
  <c r="I62"/>
  <c r="M63"/>
  <c r="M64"/>
  <c r="I63"/>
  <c r="AJ39"/>
  <c r="AK39"/>
  <c r="AJ40"/>
  <c r="AK40"/>
  <c r="AJ41"/>
  <c r="AK41"/>
  <c r="AJ42"/>
  <c r="AK42"/>
  <c r="AJ43"/>
  <c r="AK43"/>
  <c r="AJ44"/>
  <c r="AK44"/>
  <c r="AJ45"/>
  <c r="AK45"/>
  <c r="AL39"/>
  <c r="AL40"/>
  <c r="AL41"/>
  <c r="AL42"/>
  <c r="AL43"/>
  <c r="AL44"/>
  <c r="AL45"/>
  <c r="Q56"/>
  <c r="Q57"/>
  <c r="Q58"/>
  <c r="Q59"/>
  <c r="AH58"/>
  <c r="AH57"/>
  <c r="AH56"/>
  <c r="I51"/>
  <c r="I52"/>
  <c r="AH54"/>
  <c r="AH53"/>
  <c r="I50"/>
  <c r="M52"/>
  <c r="M53"/>
  <c r="AH52"/>
  <c r="P52"/>
  <c r="P51"/>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F5"/>
  <c r="AY42"/>
  <c r="AX42"/>
  <c r="AW42"/>
  <c r="AV42"/>
  <c r="AU42"/>
  <c r="AT42"/>
  <c r="AS42"/>
  <c r="AR42"/>
  <c r="AQ42"/>
  <c r="E42"/>
  <c r="AN42"/>
  <c r="F42"/>
  <c r="AO42"/>
  <c r="AP42"/>
  <c r="Q42"/>
  <c r="AH42"/>
  <c r="AG42"/>
  <c r="AF42"/>
  <c r="F6"/>
  <c r="AY41"/>
  <c r="AX41"/>
  <c r="AW41"/>
  <c r="AV41"/>
  <c r="AU41"/>
  <c r="AT41"/>
  <c r="AS41"/>
  <c r="AR41"/>
  <c r="AQ41"/>
  <c r="E41"/>
  <c r="AN41"/>
  <c r="F41"/>
  <c r="AO41"/>
  <c r="AP41"/>
  <c r="Q41"/>
  <c r="AH41"/>
  <c r="AG41"/>
  <c r="AF41"/>
  <c r="F4"/>
  <c r="AY40"/>
  <c r="AX40"/>
  <c r="AW40"/>
  <c r="AV40"/>
  <c r="AU40"/>
  <c r="AT40"/>
  <c r="AS40"/>
  <c r="AR40"/>
  <c r="AQ40"/>
  <c r="E40"/>
  <c r="AN40"/>
  <c r="F40"/>
  <c r="AO40"/>
  <c r="AP40"/>
  <c r="Q40"/>
  <c r="AH40"/>
  <c r="AG40"/>
  <c r="AF40"/>
  <c r="F3"/>
  <c r="AY39"/>
  <c r="AX39"/>
  <c r="AW39"/>
  <c r="AV39"/>
  <c r="AU39"/>
  <c r="AT39"/>
  <c r="AS39"/>
  <c r="AR39"/>
  <c r="AQ39"/>
  <c r="E39"/>
  <c r="AN39"/>
  <c r="F39"/>
  <c r="AO39"/>
  <c r="AP39"/>
  <c r="Q39"/>
  <c r="AH39"/>
  <c r="AG39"/>
  <c r="AF39"/>
  <c r="I37"/>
  <c r="AQ35"/>
  <c r="AP35"/>
  <c r="AO35"/>
  <c r="AN35"/>
  <c r="AM35"/>
  <c r="AL35"/>
  <c r="AK35"/>
  <c r="AJ35"/>
  <c r="AI35"/>
  <c r="AH35"/>
  <c r="AG35"/>
  <c r="AF35"/>
  <c r="AE35"/>
  <c r="AD35"/>
  <c r="AC35"/>
  <c r="AB35"/>
  <c r="AA35"/>
  <c r="Z35"/>
  <c r="Y35"/>
  <c r="I35"/>
  <c r="H35"/>
  <c r="G35"/>
  <c r="F35"/>
  <c r="E35"/>
  <c r="D35"/>
  <c r="C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1"/>
  <c r="AP31"/>
  <c r="AO31"/>
  <c r="AN31"/>
  <c r="AM31"/>
  <c r="AL31"/>
  <c r="AK31"/>
  <c r="AJ31"/>
  <c r="AI31"/>
  <c r="AH31"/>
  <c r="AG31"/>
  <c r="AF31"/>
  <c r="AE31"/>
  <c r="AD31"/>
  <c r="AC31"/>
  <c r="AB31"/>
  <c r="AA31"/>
  <c r="Z31"/>
  <c r="Y31"/>
  <c r="I31"/>
  <c r="H31"/>
  <c r="G31"/>
  <c r="F31"/>
  <c r="E31"/>
  <c r="D31"/>
  <c r="C31"/>
  <c r="AQ30"/>
  <c r="AJ30"/>
  <c r="AG30"/>
  <c r="AE30"/>
  <c r="AD30"/>
  <c r="AC30"/>
  <c r="AA30"/>
  <c r="Y30"/>
  <c r="G30"/>
  <c r="D30"/>
  <c r="C30"/>
  <c r="AQ29"/>
  <c r="AJ29"/>
  <c r="AG29"/>
  <c r="AE29"/>
  <c r="AD29"/>
  <c r="AC29"/>
  <c r="AA29"/>
  <c r="Y29"/>
  <c r="G29"/>
  <c r="D29"/>
  <c r="C29"/>
  <c r="AQ28"/>
  <c r="AJ28"/>
  <c r="AG28"/>
  <c r="AE28"/>
  <c r="AD28"/>
  <c r="AC28"/>
  <c r="Y28"/>
  <c r="G28"/>
  <c r="D28"/>
  <c r="C28"/>
  <c r="AQ27"/>
  <c r="AJ27"/>
  <c r="AE27"/>
  <c r="AD27"/>
  <c r="AC27"/>
  <c r="Y27"/>
  <c r="G27"/>
  <c r="D27"/>
  <c r="C27"/>
  <c r="AQ26"/>
  <c r="AJ26"/>
  <c r="AG26"/>
  <c r="AE26"/>
  <c r="AD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76"/>
  <c r="D5"/>
  <c r="H33"/>
  <c r="I33"/>
  <c r="J33"/>
  <c r="L33"/>
  <c r="D3"/>
  <c r="M33"/>
  <c r="K33"/>
  <c r="N33"/>
  <c r="O33"/>
  <c r="P33"/>
  <c r="R33"/>
  <c r="T33"/>
  <c r="H34"/>
  <c r="I34"/>
  <c r="J34"/>
  <c r="L34"/>
  <c r="M34"/>
  <c r="K34"/>
  <c r="N34"/>
  <c r="O34"/>
  <c r="P34"/>
  <c r="R34"/>
  <c r="T34"/>
  <c r="H35"/>
  <c r="I35"/>
  <c r="J35"/>
  <c r="L35"/>
  <c r="M35"/>
  <c r="K35"/>
  <c r="N35"/>
  <c r="O35"/>
  <c r="P35"/>
  <c r="R35"/>
  <c r="T35"/>
  <c r="H36"/>
  <c r="I36"/>
  <c r="J36"/>
  <c r="L36"/>
  <c r="M36"/>
  <c r="K36"/>
  <c r="N36"/>
  <c r="O36"/>
  <c r="P36"/>
  <c r="R36"/>
  <c r="T36"/>
  <c r="H37"/>
  <c r="I37"/>
  <c r="J37"/>
  <c r="L37"/>
  <c r="M37"/>
  <c r="K37"/>
  <c r="N37"/>
  <c r="O37"/>
  <c r="P37"/>
  <c r="R37"/>
  <c r="T37"/>
  <c r="T39"/>
  <c r="S33"/>
  <c r="S34"/>
  <c r="S35"/>
  <c r="S36"/>
  <c r="S37"/>
  <c r="S39"/>
  <c r="R39"/>
  <c r="P42"/>
  <c r="O39"/>
  <c r="I47"/>
  <c r="I48"/>
  <c r="U33"/>
  <c r="U34"/>
  <c r="U35"/>
  <c r="U36"/>
  <c r="U37"/>
  <c r="U39"/>
  <c r="I49"/>
  <c r="I50"/>
  <c r="I51"/>
  <c r="V33"/>
  <c r="W33"/>
  <c r="V34"/>
  <c r="W34"/>
  <c r="V35"/>
  <c r="W35"/>
  <c r="V36"/>
  <c r="W36"/>
  <c r="V37"/>
  <c r="W37"/>
  <c r="W39"/>
  <c r="V39"/>
  <c r="I53"/>
  <c r="I54"/>
  <c r="M55"/>
  <c r="M56"/>
  <c r="I55"/>
  <c r="AJ33"/>
  <c r="AK33"/>
  <c r="AJ34"/>
  <c r="AK34"/>
  <c r="AJ35"/>
  <c r="AK35"/>
  <c r="AJ36"/>
  <c r="AK36"/>
  <c r="AJ37"/>
  <c r="AK37"/>
  <c r="AL33"/>
  <c r="AL34"/>
  <c r="AL35"/>
  <c r="AL36"/>
  <c r="AL37"/>
  <c r="Q48"/>
  <c r="Q49"/>
  <c r="Q50"/>
  <c r="Q51"/>
  <c r="AH50"/>
  <c r="AH49"/>
  <c r="AH48"/>
  <c r="I43"/>
  <c r="I44"/>
  <c r="AH46"/>
  <c r="AH45"/>
  <c r="I42"/>
  <c r="M44"/>
  <c r="M45"/>
  <c r="AH44"/>
  <c r="P44"/>
  <c r="P43"/>
  <c r="AX37"/>
  <c r="AW37"/>
  <c r="AV37"/>
  <c r="AU37"/>
  <c r="AT37"/>
  <c r="AS37"/>
  <c r="AR37"/>
  <c r="AQ37"/>
  <c r="E37"/>
  <c r="AN37"/>
  <c r="F37"/>
  <c r="AO37"/>
  <c r="AP37"/>
  <c r="Q37"/>
  <c r="AH37"/>
  <c r="AG37"/>
  <c r="AF37"/>
  <c r="AX36"/>
  <c r="AW36"/>
  <c r="AV36"/>
  <c r="AU36"/>
  <c r="AT36"/>
  <c r="AS36"/>
  <c r="AR36"/>
  <c r="AQ36"/>
  <c r="E36"/>
  <c r="AN36"/>
  <c r="F36"/>
  <c r="AO36"/>
  <c r="AP36"/>
  <c r="Q36"/>
  <c r="AH36"/>
  <c r="AG36"/>
  <c r="AF36"/>
  <c r="AX35"/>
  <c r="AW35"/>
  <c r="AV35"/>
  <c r="AU35"/>
  <c r="AT35"/>
  <c r="AS35"/>
  <c r="AR35"/>
  <c r="AQ35"/>
  <c r="E35"/>
  <c r="AN35"/>
  <c r="F35"/>
  <c r="AO35"/>
  <c r="AP35"/>
  <c r="Q35"/>
  <c r="AH35"/>
  <c r="AG35"/>
  <c r="AF35"/>
  <c r="F5"/>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8"/>
  <c r="AJ28"/>
  <c r="AG28"/>
  <c r="AE28"/>
  <c r="AD28"/>
  <c r="AC28"/>
  <c r="AA28"/>
  <c r="Y28"/>
  <c r="G28"/>
  <c r="D28"/>
  <c r="C28"/>
  <c r="AQ27"/>
  <c r="AJ27"/>
  <c r="AG27"/>
  <c r="AE27"/>
  <c r="AD27"/>
  <c r="AC27"/>
  <c r="AA27"/>
  <c r="Y27"/>
  <c r="G27"/>
  <c r="D27"/>
  <c r="C27"/>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I82" i="64"/>
  <c r="AH77"/>
  <c r="AH76"/>
  <c r="AH75"/>
  <c r="I70"/>
  <c r="I71"/>
  <c r="AH73"/>
  <c r="AH72"/>
  <c r="I69"/>
  <c r="M71"/>
  <c r="M72"/>
  <c r="AH71"/>
  <c r="P71"/>
  <c r="P70"/>
  <c r="AX64"/>
  <c r="AW64"/>
  <c r="AV64"/>
  <c r="AU64"/>
  <c r="AT64"/>
  <c r="AS64"/>
  <c r="AR64"/>
  <c r="AQ64"/>
  <c r="E64"/>
  <c r="AN64"/>
  <c r="F64"/>
  <c r="AO64"/>
  <c r="AP64"/>
  <c r="Q64"/>
  <c r="AH64"/>
  <c r="AG64"/>
  <c r="AF64"/>
  <c r="AX63"/>
  <c r="AW63"/>
  <c r="AV63"/>
  <c r="AU63"/>
  <c r="AT63"/>
  <c r="AS63"/>
  <c r="AR63"/>
  <c r="AQ63"/>
  <c r="E63"/>
  <c r="AN63"/>
  <c r="F63"/>
  <c r="AO63"/>
  <c r="AP63"/>
  <c r="Q63"/>
  <c r="AH63"/>
  <c r="AG63"/>
  <c r="AF63"/>
  <c r="AX62"/>
  <c r="AW62"/>
  <c r="AV62"/>
  <c r="AU62"/>
  <c r="AT62"/>
  <c r="AS62"/>
  <c r="AR62"/>
  <c r="AQ62"/>
  <c r="E62"/>
  <c r="AN62"/>
  <c r="F62"/>
  <c r="AO62"/>
  <c r="AP62"/>
  <c r="Q62"/>
  <c r="AH62"/>
  <c r="AG62"/>
  <c r="AF62"/>
  <c r="AX61"/>
  <c r="AW61"/>
  <c r="AV61"/>
  <c r="AU61"/>
  <c r="AT61"/>
  <c r="AS61"/>
  <c r="AR61"/>
  <c r="AQ61"/>
  <c r="E61"/>
  <c r="AN61"/>
  <c r="F61"/>
  <c r="AO61"/>
  <c r="AP61"/>
  <c r="Q61"/>
  <c r="AH61"/>
  <c r="AG61"/>
  <c r="AF61"/>
  <c r="AX60"/>
  <c r="AW60"/>
  <c r="AV60"/>
  <c r="AU60"/>
  <c r="AT60"/>
  <c r="AS60"/>
  <c r="AR60"/>
  <c r="AQ60"/>
  <c r="E60"/>
  <c r="AN60"/>
  <c r="F60"/>
  <c r="AO60"/>
  <c r="AP60"/>
  <c r="Q60"/>
  <c r="AH60"/>
  <c r="AG60"/>
  <c r="AF60"/>
  <c r="AX59"/>
  <c r="AW59"/>
  <c r="AV59"/>
  <c r="AU59"/>
  <c r="AT59"/>
  <c r="AS59"/>
  <c r="AR59"/>
  <c r="AQ59"/>
  <c r="E59"/>
  <c r="AN59"/>
  <c r="F59"/>
  <c r="AO59"/>
  <c r="AP59"/>
  <c r="Q59"/>
  <c r="AH59"/>
  <c r="AG59"/>
  <c r="AF59"/>
  <c r="AX58"/>
  <c r="AW58"/>
  <c r="AV58"/>
  <c r="AU58"/>
  <c r="AT58"/>
  <c r="AS58"/>
  <c r="AR58"/>
  <c r="AQ58"/>
  <c r="E58"/>
  <c r="AN58"/>
  <c r="F58"/>
  <c r="AO58"/>
  <c r="AP58"/>
  <c r="Q58"/>
  <c r="AH58"/>
  <c r="AG58"/>
  <c r="AF58"/>
  <c r="AX57"/>
  <c r="AW57"/>
  <c r="AV57"/>
  <c r="AU57"/>
  <c r="AT57"/>
  <c r="AS57"/>
  <c r="AR57"/>
  <c r="AQ57"/>
  <c r="E57"/>
  <c r="AN57"/>
  <c r="F57"/>
  <c r="AO57"/>
  <c r="AP57"/>
  <c r="Q57"/>
  <c r="AH57"/>
  <c r="AG57"/>
  <c r="AF57"/>
  <c r="AX56"/>
  <c r="AW56"/>
  <c r="AV56"/>
  <c r="AU56"/>
  <c r="AT56"/>
  <c r="AS56"/>
  <c r="AR56"/>
  <c r="AQ56"/>
  <c r="E56"/>
  <c r="AN56"/>
  <c r="F56"/>
  <c r="AO56"/>
  <c r="AP56"/>
  <c r="Q56"/>
  <c r="AH56"/>
  <c r="AG56"/>
  <c r="AF56"/>
  <c r="AX55"/>
  <c r="AW55"/>
  <c r="AV55"/>
  <c r="AU55"/>
  <c r="AT55"/>
  <c r="AS55"/>
  <c r="AR55"/>
  <c r="AQ55"/>
  <c r="E55"/>
  <c r="AN55"/>
  <c r="F55"/>
  <c r="AO55"/>
  <c r="AP55"/>
  <c r="Q55"/>
  <c r="AH55"/>
  <c r="AG55"/>
  <c r="AF55"/>
  <c r="F5"/>
  <c r="AY54"/>
  <c r="AX54"/>
  <c r="AW54"/>
  <c r="AV54"/>
  <c r="AU54"/>
  <c r="AT54"/>
  <c r="AS54"/>
  <c r="AR54"/>
  <c r="AQ54"/>
  <c r="E54"/>
  <c r="AN54"/>
  <c r="F54"/>
  <c r="AO54"/>
  <c r="AP54"/>
  <c r="Q54"/>
  <c r="AH54"/>
  <c r="AG54"/>
  <c r="AF54"/>
  <c r="AX53"/>
  <c r="AW53"/>
  <c r="AV53"/>
  <c r="AU53"/>
  <c r="AT53"/>
  <c r="AS53"/>
  <c r="AR53"/>
  <c r="AQ53"/>
  <c r="E53"/>
  <c r="AN53"/>
  <c r="F53"/>
  <c r="AO53"/>
  <c r="AP53"/>
  <c r="Q53"/>
  <c r="AH53"/>
  <c r="AG53"/>
  <c r="AF53"/>
  <c r="F6"/>
  <c r="AY52"/>
  <c r="AX52"/>
  <c r="AW52"/>
  <c r="AV52"/>
  <c r="AU52"/>
  <c r="AT52"/>
  <c r="AS52"/>
  <c r="AR52"/>
  <c r="AQ52"/>
  <c r="E52"/>
  <c r="AN52"/>
  <c r="F52"/>
  <c r="AO52"/>
  <c r="AP52"/>
  <c r="Q52"/>
  <c r="AH52"/>
  <c r="AG52"/>
  <c r="AF52"/>
  <c r="AX51"/>
  <c r="AW51"/>
  <c r="AV51"/>
  <c r="AU51"/>
  <c r="AT51"/>
  <c r="AS51"/>
  <c r="AR51"/>
  <c r="AQ51"/>
  <c r="E51"/>
  <c r="AN51"/>
  <c r="F51"/>
  <c r="AO51"/>
  <c r="AP51"/>
  <c r="Q51"/>
  <c r="AH51"/>
  <c r="AG51"/>
  <c r="AF51"/>
  <c r="F4"/>
  <c r="AY50"/>
  <c r="AX50"/>
  <c r="AW50"/>
  <c r="AV50"/>
  <c r="AU50"/>
  <c r="AT50"/>
  <c r="AS50"/>
  <c r="AR50"/>
  <c r="AQ50"/>
  <c r="E50"/>
  <c r="AN50"/>
  <c r="F50"/>
  <c r="AO50"/>
  <c r="AP50"/>
  <c r="Q50"/>
  <c r="AH50"/>
  <c r="AG50"/>
  <c r="AF50"/>
  <c r="F3"/>
  <c r="AY49"/>
  <c r="AX49"/>
  <c r="AW49"/>
  <c r="AV49"/>
  <c r="AU49"/>
  <c r="AT49"/>
  <c r="AS49"/>
  <c r="AR49"/>
  <c r="AQ49"/>
  <c r="E49"/>
  <c r="AN49"/>
  <c r="F49"/>
  <c r="AO49"/>
  <c r="AP49"/>
  <c r="Q49"/>
  <c r="AH49"/>
  <c r="AG49"/>
  <c r="AF49"/>
  <c r="I47"/>
  <c r="AQ46"/>
  <c r="AP46"/>
  <c r="AO46"/>
  <c r="AN46"/>
  <c r="AM46"/>
  <c r="AL46"/>
  <c r="AK46"/>
  <c r="AJ46"/>
  <c r="AI46"/>
  <c r="AH46"/>
  <c r="AG46"/>
  <c r="AF46"/>
  <c r="AE46"/>
  <c r="AD46"/>
  <c r="AC46"/>
  <c r="AB46"/>
  <c r="AA46"/>
  <c r="Z46"/>
  <c r="Y46"/>
  <c r="I46"/>
  <c r="H46"/>
  <c r="G46"/>
  <c r="F46"/>
  <c r="E46"/>
  <c r="D46"/>
  <c r="C46"/>
  <c r="AQ45"/>
  <c r="AP45"/>
  <c r="AO45"/>
  <c r="AN45"/>
  <c r="AM45"/>
  <c r="AL45"/>
  <c r="AK45"/>
  <c r="AJ45"/>
  <c r="AI45"/>
  <c r="AH45"/>
  <c r="AG45"/>
  <c r="AF45"/>
  <c r="AE45"/>
  <c r="AD45"/>
  <c r="AC45"/>
  <c r="AB45"/>
  <c r="AA45"/>
  <c r="Z45"/>
  <c r="Y45"/>
  <c r="I45"/>
  <c r="H45"/>
  <c r="G45"/>
  <c r="F45"/>
  <c r="E45"/>
  <c r="D45"/>
  <c r="C45"/>
  <c r="AQ44"/>
  <c r="AP44"/>
  <c r="AO44"/>
  <c r="AN44"/>
  <c r="AM44"/>
  <c r="AL44"/>
  <c r="AK44"/>
  <c r="AJ44"/>
  <c r="AI44"/>
  <c r="AH44"/>
  <c r="AG44"/>
  <c r="AF44"/>
  <c r="AE44"/>
  <c r="AD44"/>
  <c r="AC44"/>
  <c r="AB44"/>
  <c r="AA44"/>
  <c r="Z44"/>
  <c r="Y44"/>
  <c r="I44"/>
  <c r="H44"/>
  <c r="G44"/>
  <c r="F44"/>
  <c r="E44"/>
  <c r="D44"/>
  <c r="C44"/>
  <c r="AQ43"/>
  <c r="AP43"/>
  <c r="AO43"/>
  <c r="AN43"/>
  <c r="AM43"/>
  <c r="AL43"/>
  <c r="AK43"/>
  <c r="AJ43"/>
  <c r="AI43"/>
  <c r="AH43"/>
  <c r="AG43"/>
  <c r="AF43"/>
  <c r="AE43"/>
  <c r="AD43"/>
  <c r="AC43"/>
  <c r="AB43"/>
  <c r="AA43"/>
  <c r="Z43"/>
  <c r="Y43"/>
  <c r="I43"/>
  <c r="H43"/>
  <c r="G43"/>
  <c r="F43"/>
  <c r="E43"/>
  <c r="D43"/>
  <c r="C43"/>
  <c r="AQ42"/>
  <c r="AP42"/>
  <c r="AO42"/>
  <c r="AN42"/>
  <c r="AM42"/>
  <c r="AL42"/>
  <c r="AK42"/>
  <c r="AJ42"/>
  <c r="AI42"/>
  <c r="AH42"/>
  <c r="AG42"/>
  <c r="AF42"/>
  <c r="AE42"/>
  <c r="AD42"/>
  <c r="AC42"/>
  <c r="AB42"/>
  <c r="AA42"/>
  <c r="Z42"/>
  <c r="Y42"/>
  <c r="I42"/>
  <c r="H42"/>
  <c r="G42"/>
  <c r="F42"/>
  <c r="E42"/>
  <c r="D42"/>
  <c r="C42"/>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9"/>
  <c r="AJ39"/>
  <c r="AG39"/>
  <c r="AE39"/>
  <c r="AD39"/>
  <c r="AC39"/>
  <c r="AA39"/>
  <c r="Y39"/>
  <c r="G39"/>
  <c r="D39"/>
  <c r="C39"/>
  <c r="AQ38"/>
  <c r="AJ38"/>
  <c r="AG38"/>
  <c r="AE38"/>
  <c r="AD38"/>
  <c r="AC38"/>
  <c r="AA38"/>
  <c r="Y38"/>
  <c r="G38"/>
  <c r="D38"/>
  <c r="C38"/>
  <c r="AQ37"/>
  <c r="AJ37"/>
  <c r="AG37"/>
  <c r="AE37"/>
  <c r="AD37"/>
  <c r="AC37"/>
  <c r="AA37"/>
  <c r="Y37"/>
  <c r="G37"/>
  <c r="D37"/>
  <c r="C37"/>
  <c r="AQ36"/>
  <c r="AJ36"/>
  <c r="AG36"/>
  <c r="AE36"/>
  <c r="AD36"/>
  <c r="AC36"/>
  <c r="AA36"/>
  <c r="Y36"/>
  <c r="G36"/>
  <c r="D36"/>
  <c r="C36"/>
  <c r="AQ35"/>
  <c r="AJ35"/>
  <c r="AG35"/>
  <c r="AE35"/>
  <c r="AD35"/>
  <c r="AC35"/>
  <c r="AA35"/>
  <c r="Y35"/>
  <c r="G35"/>
  <c r="D35"/>
  <c r="C35"/>
  <c r="AQ34"/>
  <c r="AJ34"/>
  <c r="AG34"/>
  <c r="AE34"/>
  <c r="AD34"/>
  <c r="AC34"/>
  <c r="AA34"/>
  <c r="Y34"/>
  <c r="G34"/>
  <c r="D34"/>
  <c r="C34"/>
  <c r="AQ33"/>
  <c r="AJ33"/>
  <c r="AG33"/>
  <c r="AE33"/>
  <c r="AD33"/>
  <c r="AC33"/>
  <c r="AA33"/>
  <c r="Y33"/>
  <c r="G33"/>
  <c r="D33"/>
  <c r="C33"/>
  <c r="AQ32"/>
  <c r="AJ32"/>
  <c r="AE32"/>
  <c r="AD32"/>
  <c r="AC32"/>
  <c r="AA32"/>
  <c r="Y32"/>
  <c r="G32"/>
  <c r="D32"/>
  <c r="C32"/>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G23"/>
  <c r="AF23"/>
  <c r="AE23"/>
  <c r="AD23"/>
  <c r="AC23"/>
  <c r="AB23"/>
  <c r="AA23"/>
  <c r="Z23"/>
  <c r="Y23"/>
  <c r="Q21"/>
  <c r="E20"/>
  <c r="D20"/>
  <c r="D19"/>
  <c r="D17"/>
  <c r="E16"/>
  <c r="D16"/>
  <c r="D15"/>
  <c r="D13"/>
  <c r="D12"/>
  <c r="D11"/>
  <c r="D9"/>
  <c r="D8"/>
  <c r="D6" i="123"/>
  <c r="D5"/>
  <c r="H41"/>
  <c r="I41"/>
  <c r="J41"/>
  <c r="L41"/>
  <c r="D3"/>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T52"/>
  <c r="S41"/>
  <c r="S42"/>
  <c r="S43"/>
  <c r="S44"/>
  <c r="S45"/>
  <c r="S46"/>
  <c r="S47"/>
  <c r="S48"/>
  <c r="S49"/>
  <c r="S50"/>
  <c r="S52"/>
  <c r="R52"/>
  <c r="P55"/>
  <c r="O52"/>
  <c r="I60"/>
  <c r="I61"/>
  <c r="U41"/>
  <c r="U42"/>
  <c r="U43"/>
  <c r="U44"/>
  <c r="U45"/>
  <c r="U46"/>
  <c r="U47"/>
  <c r="U48"/>
  <c r="U49"/>
  <c r="U50"/>
  <c r="U52"/>
  <c r="I62"/>
  <c r="I63"/>
  <c r="I64"/>
  <c r="V41"/>
  <c r="W41"/>
  <c r="V42"/>
  <c r="W42"/>
  <c r="V43"/>
  <c r="W43"/>
  <c r="V44"/>
  <c r="W44"/>
  <c r="V45"/>
  <c r="W45"/>
  <c r="V46"/>
  <c r="W46"/>
  <c r="V47"/>
  <c r="W47"/>
  <c r="V48"/>
  <c r="W48"/>
  <c r="V49"/>
  <c r="W49"/>
  <c r="V50"/>
  <c r="W50"/>
  <c r="W52"/>
  <c r="V52"/>
  <c r="I66"/>
  <c r="I67"/>
  <c r="M68"/>
  <c r="M69"/>
  <c r="I68"/>
  <c r="AJ41"/>
  <c r="AK41"/>
  <c r="AJ42"/>
  <c r="AK42"/>
  <c r="AJ43"/>
  <c r="AK43"/>
  <c r="AJ44"/>
  <c r="AK44"/>
  <c r="AJ45"/>
  <c r="AK45"/>
  <c r="AJ46"/>
  <c r="AK46"/>
  <c r="AJ47"/>
  <c r="AK47"/>
  <c r="AJ48"/>
  <c r="AK48"/>
  <c r="AJ49"/>
  <c r="AK49"/>
  <c r="AJ50"/>
  <c r="AK50"/>
  <c r="AL41"/>
  <c r="AL42"/>
  <c r="AL43"/>
  <c r="AL44"/>
  <c r="AL45"/>
  <c r="AL46"/>
  <c r="AL47"/>
  <c r="AL48"/>
  <c r="AL49"/>
  <c r="AL50"/>
  <c r="Q61"/>
  <c r="Q62"/>
  <c r="Q63"/>
  <c r="Q64"/>
  <c r="AH63"/>
  <c r="AH62"/>
  <c r="AH61"/>
  <c r="I56"/>
  <c r="I57"/>
  <c r="AH59"/>
  <c r="AH58"/>
  <c r="I55"/>
  <c r="M57"/>
  <c r="M58"/>
  <c r="AH57"/>
  <c r="P57"/>
  <c r="P56"/>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F6"/>
  <c r="AY44"/>
  <c r="AX44"/>
  <c r="AW44"/>
  <c r="AV44"/>
  <c r="AU44"/>
  <c r="AT44"/>
  <c r="AS44"/>
  <c r="AR44"/>
  <c r="AQ44"/>
  <c r="E44"/>
  <c r="AN44"/>
  <c r="F44"/>
  <c r="AO44"/>
  <c r="AP44"/>
  <c r="Q44"/>
  <c r="AH44"/>
  <c r="AG44"/>
  <c r="AF44"/>
  <c r="AX43"/>
  <c r="AW43"/>
  <c r="AV43"/>
  <c r="AU43"/>
  <c r="AT43"/>
  <c r="AS43"/>
  <c r="AR43"/>
  <c r="AQ43"/>
  <c r="E43"/>
  <c r="AN43"/>
  <c r="F43"/>
  <c r="AO43"/>
  <c r="AP43"/>
  <c r="Q43"/>
  <c r="AH43"/>
  <c r="AG43"/>
  <c r="AF43"/>
  <c r="F4"/>
  <c r="AY42"/>
  <c r="AX42"/>
  <c r="AW42"/>
  <c r="AV42"/>
  <c r="AU42"/>
  <c r="AT42"/>
  <c r="AS42"/>
  <c r="AR42"/>
  <c r="AQ42"/>
  <c r="E42"/>
  <c r="AN42"/>
  <c r="F42"/>
  <c r="AO42"/>
  <c r="AP42"/>
  <c r="Q42"/>
  <c r="AH42"/>
  <c r="AG42"/>
  <c r="AF42"/>
  <c r="F3"/>
  <c r="AY41"/>
  <c r="AX41"/>
  <c r="AW41"/>
  <c r="AV41"/>
  <c r="AU41"/>
  <c r="AT41"/>
  <c r="AS41"/>
  <c r="AR41"/>
  <c r="AQ41"/>
  <c r="E41"/>
  <c r="AN41"/>
  <c r="F41"/>
  <c r="AO41"/>
  <c r="AP41"/>
  <c r="Q41"/>
  <c r="AH41"/>
  <c r="AG41"/>
  <c r="AF41"/>
  <c r="I39"/>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I36"/>
  <c r="H36"/>
  <c r="G36"/>
  <c r="F36"/>
  <c r="E36"/>
  <c r="D36"/>
  <c r="C36"/>
  <c r="AQ35"/>
  <c r="AP35"/>
  <c r="AO35"/>
  <c r="AN35"/>
  <c r="AM35"/>
  <c r="AL35"/>
  <c r="AK35"/>
  <c r="AJ35"/>
  <c r="AI35"/>
  <c r="AH35"/>
  <c r="AG35"/>
  <c r="AF35"/>
  <c r="AE35"/>
  <c r="AD35"/>
  <c r="AC35"/>
  <c r="AB35"/>
  <c r="AA35"/>
  <c r="Z35"/>
  <c r="Y35"/>
  <c r="I35"/>
  <c r="H35"/>
  <c r="G35"/>
  <c r="F35"/>
  <c r="E35"/>
  <c r="D35"/>
  <c r="C35"/>
  <c r="AQ34"/>
  <c r="AP34"/>
  <c r="AO34"/>
  <c r="AN34"/>
  <c r="AM34"/>
  <c r="AL34"/>
  <c r="AK34"/>
  <c r="AJ34"/>
  <c r="AI34"/>
  <c r="AH34"/>
  <c r="AG34"/>
  <c r="AF34"/>
  <c r="AE34"/>
  <c r="AD34"/>
  <c r="AC34"/>
  <c r="AB34"/>
  <c r="AA34"/>
  <c r="Z34"/>
  <c r="Y34"/>
  <c r="I34"/>
  <c r="H34"/>
  <c r="G34"/>
  <c r="F34"/>
  <c r="E34"/>
  <c r="D34"/>
  <c r="C34"/>
  <c r="AQ33"/>
  <c r="AJ33"/>
  <c r="AG33"/>
  <c r="AE33"/>
  <c r="AD33"/>
  <c r="AC33"/>
  <c r="AA33"/>
  <c r="Y33"/>
  <c r="G33"/>
  <c r="D33"/>
  <c r="C33"/>
  <c r="AQ32"/>
  <c r="AJ32"/>
  <c r="AG32"/>
  <c r="AE32"/>
  <c r="AD32"/>
  <c r="AC32"/>
  <c r="AA32"/>
  <c r="Y32"/>
  <c r="G32"/>
  <c r="D32"/>
  <c r="C32"/>
  <c r="AQ31"/>
  <c r="AJ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122"/>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T44"/>
  <c r="S37"/>
  <c r="S38"/>
  <c r="S39"/>
  <c r="S40"/>
  <c r="S41"/>
  <c r="S42"/>
  <c r="S44"/>
  <c r="R44"/>
  <c r="P47"/>
  <c r="O44"/>
  <c r="I52"/>
  <c r="I53"/>
  <c r="U37"/>
  <c r="U38"/>
  <c r="U39"/>
  <c r="U40"/>
  <c r="U41"/>
  <c r="U42"/>
  <c r="U44"/>
  <c r="I54"/>
  <c r="I55"/>
  <c r="I56"/>
  <c r="V37"/>
  <c r="W37"/>
  <c r="V38"/>
  <c r="W38"/>
  <c r="V39"/>
  <c r="W39"/>
  <c r="V40"/>
  <c r="W40"/>
  <c r="V41"/>
  <c r="W41"/>
  <c r="V42"/>
  <c r="W42"/>
  <c r="W44"/>
  <c r="V44"/>
  <c r="I58"/>
  <c r="I59"/>
  <c r="M60"/>
  <c r="M61"/>
  <c r="I60"/>
  <c r="AJ37"/>
  <c r="AK37"/>
  <c r="AJ38"/>
  <c r="AK38"/>
  <c r="AJ39"/>
  <c r="AK39"/>
  <c r="AJ40"/>
  <c r="AK40"/>
  <c r="AJ41"/>
  <c r="AK41"/>
  <c r="AJ42"/>
  <c r="AK42"/>
  <c r="AL37"/>
  <c r="AL38"/>
  <c r="AL39"/>
  <c r="AL40"/>
  <c r="AL41"/>
  <c r="AL42"/>
  <c r="Q53"/>
  <c r="Q54"/>
  <c r="Q55"/>
  <c r="Q56"/>
  <c r="AH55"/>
  <c r="AH54"/>
  <c r="AH53"/>
  <c r="I48"/>
  <c r="I49"/>
  <c r="AH51"/>
  <c r="AH50"/>
  <c r="I47"/>
  <c r="M49"/>
  <c r="M50"/>
  <c r="AH49"/>
  <c r="P49"/>
  <c r="P48"/>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F5"/>
  <c r="AY37"/>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1"/>
  <c r="AP31"/>
  <c r="AO31"/>
  <c r="AN31"/>
  <c r="AM31"/>
  <c r="AL31"/>
  <c r="AK31"/>
  <c r="AJ31"/>
  <c r="AI31"/>
  <c r="AH31"/>
  <c r="AG31"/>
  <c r="AF31"/>
  <c r="AE31"/>
  <c r="AD31"/>
  <c r="AC31"/>
  <c r="AB31"/>
  <c r="AA31"/>
  <c r="Z31"/>
  <c r="Y31"/>
  <c r="I31"/>
  <c r="H31"/>
  <c r="G31"/>
  <c r="F31"/>
  <c r="E31"/>
  <c r="D31"/>
  <c r="C31"/>
  <c r="AQ30"/>
  <c r="AP30"/>
  <c r="AO30"/>
  <c r="AN30"/>
  <c r="AM30"/>
  <c r="AL30"/>
  <c r="AK30"/>
  <c r="AJ30"/>
  <c r="AI30"/>
  <c r="AH30"/>
  <c r="AG30"/>
  <c r="AF30"/>
  <c r="AE30"/>
  <c r="AD30"/>
  <c r="AC30"/>
  <c r="AB30"/>
  <c r="AA30"/>
  <c r="Z30"/>
  <c r="Y30"/>
  <c r="I30"/>
  <c r="H30"/>
  <c r="G30"/>
  <c r="F30"/>
  <c r="E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F3"/>
  <c r="D6" i="173"/>
  <c r="D5"/>
  <c r="H40"/>
  <c r="I40"/>
  <c r="J40"/>
  <c r="L40"/>
  <c r="D3"/>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H44"/>
  <c r="I44"/>
  <c r="J44"/>
  <c r="L44"/>
  <c r="M44"/>
  <c r="K44"/>
  <c r="N44"/>
  <c r="O44"/>
  <c r="P44"/>
  <c r="R44"/>
  <c r="T44"/>
  <c r="H45"/>
  <c r="I45"/>
  <c r="J45"/>
  <c r="L45"/>
  <c r="M45"/>
  <c r="K45"/>
  <c r="N45"/>
  <c r="O45"/>
  <c r="P45"/>
  <c r="R45"/>
  <c r="T45"/>
  <c r="H46"/>
  <c r="I46"/>
  <c r="J46"/>
  <c r="L46"/>
  <c r="M46"/>
  <c r="K46"/>
  <c r="N46"/>
  <c r="O46"/>
  <c r="P46"/>
  <c r="R46"/>
  <c r="T46"/>
  <c r="T48"/>
  <c r="S40"/>
  <c r="S41"/>
  <c r="S42"/>
  <c r="S43"/>
  <c r="S44"/>
  <c r="S45"/>
  <c r="S46"/>
  <c r="S48"/>
  <c r="R48"/>
  <c r="P51"/>
  <c r="O48"/>
  <c r="I56"/>
  <c r="I57"/>
  <c r="U40"/>
  <c r="U41"/>
  <c r="U42"/>
  <c r="U43"/>
  <c r="U44"/>
  <c r="U45"/>
  <c r="U46"/>
  <c r="U48"/>
  <c r="I58"/>
  <c r="I59"/>
  <c r="I60"/>
  <c r="V40"/>
  <c r="W40"/>
  <c r="V41"/>
  <c r="W41"/>
  <c r="V42"/>
  <c r="W42"/>
  <c r="V43"/>
  <c r="W43"/>
  <c r="V44"/>
  <c r="W44"/>
  <c r="V45"/>
  <c r="W45"/>
  <c r="V46"/>
  <c r="W46"/>
  <c r="W48"/>
  <c r="V48"/>
  <c r="I62"/>
  <c r="I63"/>
  <c r="M64"/>
  <c r="M65"/>
  <c r="I64"/>
  <c r="AJ40"/>
  <c r="AK40"/>
  <c r="AJ41"/>
  <c r="AK41"/>
  <c r="AJ42"/>
  <c r="AK42"/>
  <c r="AJ43"/>
  <c r="AK43"/>
  <c r="AJ44"/>
  <c r="AK44"/>
  <c r="AJ45"/>
  <c r="AK45"/>
  <c r="AJ46"/>
  <c r="AK46"/>
  <c r="AL40"/>
  <c r="AL41"/>
  <c r="AL42"/>
  <c r="AL43"/>
  <c r="AL44"/>
  <c r="AL45"/>
  <c r="AL46"/>
  <c r="Q57"/>
  <c r="Q58"/>
  <c r="Q59"/>
  <c r="Q60"/>
  <c r="AH59"/>
  <c r="AH58"/>
  <c r="AH57"/>
  <c r="I52"/>
  <c r="I53"/>
  <c r="AH55"/>
  <c r="AH54"/>
  <c r="I51"/>
  <c r="M53"/>
  <c r="M54"/>
  <c r="AH53"/>
  <c r="P53"/>
  <c r="P52"/>
  <c r="AX46"/>
  <c r="AW46"/>
  <c r="AV46"/>
  <c r="AU46"/>
  <c r="AT46"/>
  <c r="AS46"/>
  <c r="AR46"/>
  <c r="AQ46"/>
  <c r="E46"/>
  <c r="AN46"/>
  <c r="F46"/>
  <c r="AO46"/>
  <c r="AP46"/>
  <c r="Q46"/>
  <c r="AH46"/>
  <c r="AG46"/>
  <c r="AF46"/>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F5"/>
  <c r="AY40"/>
  <c r="AX40"/>
  <c r="AW40"/>
  <c r="AV40"/>
  <c r="AU40"/>
  <c r="AT40"/>
  <c r="AS40"/>
  <c r="AR40"/>
  <c r="AQ40"/>
  <c r="E40"/>
  <c r="AN40"/>
  <c r="F40"/>
  <c r="AO40"/>
  <c r="AP40"/>
  <c r="Q40"/>
  <c r="AH40"/>
  <c r="AG40"/>
  <c r="AF40"/>
  <c r="I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G36"/>
  <c r="F36"/>
  <c r="E36"/>
  <c r="D36"/>
  <c r="C36"/>
  <c r="AQ35"/>
  <c r="AP35"/>
  <c r="AO35"/>
  <c r="AN35"/>
  <c r="AM35"/>
  <c r="AL35"/>
  <c r="AK35"/>
  <c r="AJ35"/>
  <c r="AI35"/>
  <c r="AH35"/>
  <c r="AG35"/>
  <c r="AF35"/>
  <c r="AE35"/>
  <c r="AD35"/>
  <c r="AC35"/>
  <c r="AB35"/>
  <c r="AA35"/>
  <c r="Z35"/>
  <c r="Y35"/>
  <c r="G35"/>
  <c r="F35"/>
  <c r="E35"/>
  <c r="D35"/>
  <c r="C35"/>
  <c r="AQ34"/>
  <c r="AP34"/>
  <c r="AN34"/>
  <c r="AM34"/>
  <c r="AL34"/>
  <c r="AK34"/>
  <c r="AJ34"/>
  <c r="AI34"/>
  <c r="AH34"/>
  <c r="AG34"/>
  <c r="AF34"/>
  <c r="AE34"/>
  <c r="AD34"/>
  <c r="AC34"/>
  <c r="AB34"/>
  <c r="AA34"/>
  <c r="Z34"/>
  <c r="Y34"/>
  <c r="I34"/>
  <c r="H34"/>
  <c r="G34"/>
  <c r="F34"/>
  <c r="E34"/>
  <c r="D34"/>
  <c r="C34"/>
  <c r="AQ33"/>
  <c r="AP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J27"/>
  <c r="AG27"/>
  <c r="Y27"/>
  <c r="G27"/>
  <c r="D27"/>
  <c r="C27"/>
  <c r="AQ26"/>
  <c r="AJ26"/>
  <c r="AG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F8"/>
  <c r="D8"/>
  <c r="D7"/>
  <c r="F4"/>
  <c r="F3"/>
  <c r="D6" i="172"/>
  <c r="D5"/>
  <c r="H33"/>
  <c r="I33"/>
  <c r="J33"/>
  <c r="L33"/>
  <c r="D3"/>
  <c r="M33"/>
  <c r="K33"/>
  <c r="N33"/>
  <c r="O33"/>
  <c r="P33"/>
  <c r="R33"/>
  <c r="T33"/>
  <c r="H34"/>
  <c r="I34"/>
  <c r="J34"/>
  <c r="L34"/>
  <c r="M34"/>
  <c r="K34"/>
  <c r="N34"/>
  <c r="O34"/>
  <c r="P34"/>
  <c r="R34"/>
  <c r="T34"/>
  <c r="H35"/>
  <c r="I35"/>
  <c r="J35"/>
  <c r="L35"/>
  <c r="M35"/>
  <c r="K35"/>
  <c r="N35"/>
  <c r="O35"/>
  <c r="P35"/>
  <c r="R35"/>
  <c r="T35"/>
  <c r="H36"/>
  <c r="I36"/>
  <c r="J36"/>
  <c r="L36"/>
  <c r="M36"/>
  <c r="K36"/>
  <c r="N36"/>
  <c r="O36"/>
  <c r="P36"/>
  <c r="R36"/>
  <c r="T36"/>
  <c r="T38"/>
  <c r="S33"/>
  <c r="S34"/>
  <c r="S35"/>
  <c r="S36"/>
  <c r="S38"/>
  <c r="R38"/>
  <c r="P41"/>
  <c r="O38"/>
  <c r="I46"/>
  <c r="I47"/>
  <c r="U33"/>
  <c r="U34"/>
  <c r="U35"/>
  <c r="U36"/>
  <c r="U38"/>
  <c r="I48"/>
  <c r="I49"/>
  <c r="I50"/>
  <c r="V33"/>
  <c r="W33"/>
  <c r="V34"/>
  <c r="W34"/>
  <c r="V35"/>
  <c r="W35"/>
  <c r="V36"/>
  <c r="W36"/>
  <c r="W38"/>
  <c r="V38"/>
  <c r="I52"/>
  <c r="I53"/>
  <c r="M54"/>
  <c r="M55"/>
  <c r="I54"/>
  <c r="AJ33"/>
  <c r="AK33"/>
  <c r="AJ34"/>
  <c r="AK34"/>
  <c r="AJ35"/>
  <c r="AK35"/>
  <c r="AJ36"/>
  <c r="AK36"/>
  <c r="AL33"/>
  <c r="AL34"/>
  <c r="AL35"/>
  <c r="AL36"/>
  <c r="Q47"/>
  <c r="Q48"/>
  <c r="Q49"/>
  <c r="Q50"/>
  <c r="AH49"/>
  <c r="AH48"/>
  <c r="AH47"/>
  <c r="I42"/>
  <c r="I43"/>
  <c r="AH45"/>
  <c r="AH44"/>
  <c r="I41"/>
  <c r="M43"/>
  <c r="M44"/>
  <c r="AH43"/>
  <c r="P43"/>
  <c r="P42"/>
  <c r="AX36"/>
  <c r="AW36"/>
  <c r="AV36"/>
  <c r="AU36"/>
  <c r="AT36"/>
  <c r="AS36"/>
  <c r="AR36"/>
  <c r="AQ36"/>
  <c r="E36"/>
  <c r="AN36"/>
  <c r="F36"/>
  <c r="AO36"/>
  <c r="AP36"/>
  <c r="Q36"/>
  <c r="AH36"/>
  <c r="AG36"/>
  <c r="AF36"/>
  <c r="AX35"/>
  <c r="AW35"/>
  <c r="AV35"/>
  <c r="AU35"/>
  <c r="AT35"/>
  <c r="AS35"/>
  <c r="AR35"/>
  <c r="AQ35"/>
  <c r="E35"/>
  <c r="AN35"/>
  <c r="F35"/>
  <c r="AO35"/>
  <c r="AP35"/>
  <c r="Q35"/>
  <c r="AH35"/>
  <c r="AG35"/>
  <c r="AF35"/>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AQ31"/>
  <c r="AP31"/>
  <c r="AO31"/>
  <c r="AN31"/>
  <c r="AM31"/>
  <c r="AL31"/>
  <c r="AK31"/>
  <c r="AJ31"/>
  <c r="AI31"/>
  <c r="AH31"/>
  <c r="AG31"/>
  <c r="AF31"/>
  <c r="AE31"/>
  <c r="I31"/>
  <c r="H31"/>
  <c r="G31"/>
  <c r="F31"/>
  <c r="E31"/>
  <c r="D31"/>
  <c r="C31"/>
  <c r="AQ29"/>
  <c r="AP29"/>
  <c r="AO29"/>
  <c r="AN29"/>
  <c r="AM29"/>
  <c r="AL29"/>
  <c r="AK29"/>
  <c r="AJ29"/>
  <c r="AI29"/>
  <c r="AH29"/>
  <c r="AG29"/>
  <c r="AF29"/>
  <c r="AE29"/>
  <c r="AD29"/>
  <c r="AC29"/>
  <c r="AB29"/>
  <c r="AA29"/>
  <c r="Z29"/>
  <c r="Y29"/>
  <c r="I29"/>
  <c r="H29"/>
  <c r="G29"/>
  <c r="F29"/>
  <c r="E29"/>
  <c r="D29"/>
  <c r="C29"/>
  <c r="AQ28"/>
  <c r="AP28"/>
  <c r="AO28"/>
  <c r="AN28"/>
  <c r="AM28"/>
  <c r="AL28"/>
  <c r="AK28"/>
  <c r="AJ28"/>
  <c r="AI28"/>
  <c r="AH28"/>
  <c r="AG28"/>
  <c r="AF28"/>
  <c r="AE28"/>
  <c r="AD28"/>
  <c r="AC28"/>
  <c r="AB28"/>
  <c r="AA28"/>
  <c r="Z28"/>
  <c r="Y28"/>
  <c r="I28"/>
  <c r="H28"/>
  <c r="G28"/>
  <c r="F28"/>
  <c r="E28"/>
  <c r="D28"/>
  <c r="C28"/>
  <c r="AQ27"/>
  <c r="AJ27"/>
  <c r="AG27"/>
  <c r="AE27"/>
  <c r="AD27"/>
  <c r="AC27"/>
  <c r="AA27"/>
  <c r="Y27"/>
  <c r="G27"/>
  <c r="D27"/>
  <c r="C27"/>
  <c r="AQ26"/>
  <c r="Y26"/>
  <c r="G26"/>
  <c r="D26"/>
  <c r="C26"/>
  <c r="AQ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F8"/>
  <c r="D8"/>
  <c r="D7"/>
  <c r="F4"/>
  <c r="D6" i="82"/>
  <c r="D5"/>
  <c r="H34"/>
  <c r="I34"/>
  <c r="J34"/>
  <c r="L34"/>
  <c r="D3"/>
  <c r="M34"/>
  <c r="K34"/>
  <c r="N34"/>
  <c r="O34"/>
  <c r="P34"/>
  <c r="R34"/>
  <c r="T34"/>
  <c r="H35"/>
  <c r="I35"/>
  <c r="J35"/>
  <c r="L35"/>
  <c r="M35"/>
  <c r="K35"/>
  <c r="N35"/>
  <c r="O35"/>
  <c r="P35"/>
  <c r="R35"/>
  <c r="T35"/>
  <c r="H36"/>
  <c r="I36"/>
  <c r="J36"/>
  <c r="L36"/>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T42"/>
  <c r="S34"/>
  <c r="S35"/>
  <c r="S36"/>
  <c r="S37"/>
  <c r="S38"/>
  <c r="S39"/>
  <c r="S40"/>
  <c r="S42"/>
  <c r="R42"/>
  <c r="P45"/>
  <c r="O42"/>
  <c r="I50"/>
  <c r="I51"/>
  <c r="U34"/>
  <c r="U35"/>
  <c r="U36"/>
  <c r="U37"/>
  <c r="U38"/>
  <c r="U39"/>
  <c r="U40"/>
  <c r="U42"/>
  <c r="I52"/>
  <c r="I53"/>
  <c r="I54"/>
  <c r="V34"/>
  <c r="W34"/>
  <c r="V35"/>
  <c r="W35"/>
  <c r="V36"/>
  <c r="W36"/>
  <c r="V37"/>
  <c r="W37"/>
  <c r="V38"/>
  <c r="W38"/>
  <c r="V39"/>
  <c r="W39"/>
  <c r="V40"/>
  <c r="W40"/>
  <c r="W42"/>
  <c r="V42"/>
  <c r="I56"/>
  <c r="I57"/>
  <c r="M58"/>
  <c r="M59"/>
  <c r="I58"/>
  <c r="AJ34"/>
  <c r="AK34"/>
  <c r="AJ35"/>
  <c r="AK35"/>
  <c r="AJ36"/>
  <c r="AK36"/>
  <c r="AJ37"/>
  <c r="AK37"/>
  <c r="AJ38"/>
  <c r="AK38"/>
  <c r="AJ39"/>
  <c r="AK39"/>
  <c r="AJ40"/>
  <c r="AK40"/>
  <c r="AL34"/>
  <c r="AL35"/>
  <c r="AL36"/>
  <c r="AL37"/>
  <c r="AL38"/>
  <c r="AL39"/>
  <c r="AL40"/>
  <c r="Q51"/>
  <c r="Q52"/>
  <c r="Q53"/>
  <c r="Q54"/>
  <c r="AH53"/>
  <c r="AH52"/>
  <c r="AH51"/>
  <c r="I46"/>
  <c r="I47"/>
  <c r="AH49"/>
  <c r="AH48"/>
  <c r="I45"/>
  <c r="M47"/>
  <c r="M48"/>
  <c r="AH47"/>
  <c r="P47"/>
  <c r="P46"/>
  <c r="F6"/>
  <c r="AY40"/>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AX36"/>
  <c r="AW36"/>
  <c r="AV36"/>
  <c r="AU36"/>
  <c r="AT36"/>
  <c r="AS36"/>
  <c r="AR36"/>
  <c r="AQ36"/>
  <c r="E36"/>
  <c r="AN36"/>
  <c r="F36"/>
  <c r="AO36"/>
  <c r="AP36"/>
  <c r="Q36"/>
  <c r="AH36"/>
  <c r="AG36"/>
  <c r="AF36"/>
  <c r="F4"/>
  <c r="AY35"/>
  <c r="AX35"/>
  <c r="AW35"/>
  <c r="AV35"/>
  <c r="AU35"/>
  <c r="AT35"/>
  <c r="AS35"/>
  <c r="AR35"/>
  <c r="AQ35"/>
  <c r="E35"/>
  <c r="AN35"/>
  <c r="F35"/>
  <c r="AO35"/>
  <c r="AP35"/>
  <c r="Q35"/>
  <c r="AH35"/>
  <c r="AG35"/>
  <c r="AF35"/>
  <c r="F3"/>
  <c r="AY34"/>
  <c r="AX34"/>
  <c r="AW34"/>
  <c r="AV34"/>
  <c r="AU34"/>
  <c r="AT34"/>
  <c r="AS34"/>
  <c r="AR34"/>
  <c r="AQ34"/>
  <c r="E34"/>
  <c r="AN34"/>
  <c r="F34"/>
  <c r="AO34"/>
  <c r="AP34"/>
  <c r="Q34"/>
  <c r="AH34"/>
  <c r="AG34"/>
  <c r="AF34"/>
  <c r="I32"/>
  <c r="AQ30"/>
  <c r="AJ30"/>
  <c r="AG30"/>
  <c r="AE30"/>
  <c r="AD30"/>
  <c r="Y30"/>
  <c r="G30"/>
  <c r="D30"/>
  <c r="C30"/>
  <c r="AQ29"/>
  <c r="AJ29"/>
  <c r="AG29"/>
  <c r="AE29"/>
  <c r="AD29"/>
  <c r="Y29"/>
  <c r="G29"/>
  <c r="D29"/>
  <c r="C29"/>
  <c r="AQ28"/>
  <c r="AJ28"/>
  <c r="AG28"/>
  <c r="AE28"/>
  <c r="AD28"/>
  <c r="AC28"/>
  <c r="AA28"/>
  <c r="Y28"/>
  <c r="G28"/>
  <c r="D28"/>
  <c r="C28"/>
  <c r="AQ27"/>
  <c r="AJ27"/>
  <c r="AG27"/>
  <c r="AE27"/>
  <c r="AD27"/>
  <c r="Y27"/>
  <c r="G27"/>
  <c r="D27"/>
  <c r="C27"/>
  <c r="AQ26"/>
  <c r="AJ26"/>
  <c r="AE26"/>
  <c r="AD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158"/>
  <c r="D5"/>
  <c r="H44"/>
  <c r="I44"/>
  <c r="J44"/>
  <c r="L44"/>
  <c r="D3"/>
  <c r="M44"/>
  <c r="K44"/>
  <c r="N44"/>
  <c r="O44"/>
  <c r="P44"/>
  <c r="R44"/>
  <c r="T44"/>
  <c r="H45"/>
  <c r="I45"/>
  <c r="J45"/>
  <c r="L45"/>
  <c r="M45"/>
  <c r="K45"/>
  <c r="N45"/>
  <c r="O45"/>
  <c r="P45"/>
  <c r="R45"/>
  <c r="T45"/>
  <c r="H46"/>
  <c r="I46"/>
  <c r="J46"/>
  <c r="L46"/>
  <c r="M46"/>
  <c r="K46"/>
  <c r="N46"/>
  <c r="O46"/>
  <c r="P46"/>
  <c r="R46"/>
  <c r="T46"/>
  <c r="H47"/>
  <c r="I47"/>
  <c r="T29"/>
  <c r="J47"/>
  <c r="V29"/>
  <c r="L47"/>
  <c r="M47"/>
  <c r="K47"/>
  <c r="N47"/>
  <c r="O47"/>
  <c r="P47"/>
  <c r="R47"/>
  <c r="T47"/>
  <c r="H48"/>
  <c r="I48"/>
  <c r="T30"/>
  <c r="J48"/>
  <c r="V30"/>
  <c r="L48"/>
  <c r="M48"/>
  <c r="K48"/>
  <c r="N48"/>
  <c r="O48"/>
  <c r="P48"/>
  <c r="R48"/>
  <c r="T48"/>
  <c r="H49"/>
  <c r="I49"/>
  <c r="T31"/>
  <c r="J49"/>
  <c r="V31"/>
  <c r="L49"/>
  <c r="M49"/>
  <c r="K49"/>
  <c r="N49"/>
  <c r="O49"/>
  <c r="P49"/>
  <c r="R49"/>
  <c r="T49"/>
  <c r="H50"/>
  <c r="I50"/>
  <c r="T32"/>
  <c r="J50"/>
  <c r="V32"/>
  <c r="L50"/>
  <c r="M50"/>
  <c r="K50"/>
  <c r="N50"/>
  <c r="O50"/>
  <c r="P50"/>
  <c r="R50"/>
  <c r="T50"/>
  <c r="H51"/>
  <c r="I51"/>
  <c r="T33"/>
  <c r="J51"/>
  <c r="V33"/>
  <c r="L51"/>
  <c r="M51"/>
  <c r="K51"/>
  <c r="N51"/>
  <c r="O51"/>
  <c r="P51"/>
  <c r="R51"/>
  <c r="T51"/>
  <c r="T53"/>
  <c r="S44"/>
  <c r="S45"/>
  <c r="S46"/>
  <c r="S47"/>
  <c r="S48"/>
  <c r="S49"/>
  <c r="S50"/>
  <c r="S51"/>
  <c r="S53"/>
  <c r="R53"/>
  <c r="P56"/>
  <c r="O53"/>
  <c r="I61"/>
  <c r="I62"/>
  <c r="U44"/>
  <c r="U45"/>
  <c r="U46"/>
  <c r="U47"/>
  <c r="U48"/>
  <c r="U49"/>
  <c r="U50"/>
  <c r="U51"/>
  <c r="U53"/>
  <c r="I63"/>
  <c r="I64"/>
  <c r="I65"/>
  <c r="V44"/>
  <c r="W44"/>
  <c r="V45"/>
  <c r="W45"/>
  <c r="V46"/>
  <c r="W46"/>
  <c r="V47"/>
  <c r="W47"/>
  <c r="V48"/>
  <c r="W48"/>
  <c r="V49"/>
  <c r="W49"/>
  <c r="V50"/>
  <c r="W50"/>
  <c r="V51"/>
  <c r="W51"/>
  <c r="W53"/>
  <c r="V53"/>
  <c r="I67"/>
  <c r="I68"/>
  <c r="M69"/>
  <c r="M70"/>
  <c r="I69"/>
  <c r="AJ44"/>
  <c r="AK44"/>
  <c r="AJ45"/>
  <c r="AK45"/>
  <c r="AJ46"/>
  <c r="AK46"/>
  <c r="AJ47"/>
  <c r="AK47"/>
  <c r="AJ48"/>
  <c r="AK48"/>
  <c r="AJ49"/>
  <c r="AK49"/>
  <c r="AJ50"/>
  <c r="AK50"/>
  <c r="AJ51"/>
  <c r="AK51"/>
  <c r="AL44"/>
  <c r="AL45"/>
  <c r="AL46"/>
  <c r="AL47"/>
  <c r="AL48"/>
  <c r="AL49"/>
  <c r="AL50"/>
  <c r="AL51"/>
  <c r="Q62"/>
  <c r="Q63"/>
  <c r="Q64"/>
  <c r="Q65"/>
  <c r="AH64"/>
  <c r="AH63"/>
  <c r="AH62"/>
  <c r="I57"/>
  <c r="I58"/>
  <c r="AH60"/>
  <c r="AH59"/>
  <c r="I56"/>
  <c r="M58"/>
  <c r="M59"/>
  <c r="AH58"/>
  <c r="P58"/>
  <c r="P57"/>
  <c r="BB51"/>
  <c r="AJ33"/>
  <c r="BA51"/>
  <c r="AZ51"/>
  <c r="AX51"/>
  <c r="AW51"/>
  <c r="AV51"/>
  <c r="AU51"/>
  <c r="AT51"/>
  <c r="AS51"/>
  <c r="AR51"/>
  <c r="AQ51"/>
  <c r="E51"/>
  <c r="AN51"/>
  <c r="F51"/>
  <c r="AO51"/>
  <c r="AP51"/>
  <c r="Q51"/>
  <c r="AH51"/>
  <c r="AG51"/>
  <c r="AF51"/>
  <c r="BB50"/>
  <c r="AJ32"/>
  <c r="BA50"/>
  <c r="AZ50"/>
  <c r="AX50"/>
  <c r="AW50"/>
  <c r="AV50"/>
  <c r="AU50"/>
  <c r="AT50"/>
  <c r="AS50"/>
  <c r="AR50"/>
  <c r="AQ50"/>
  <c r="E50"/>
  <c r="AN50"/>
  <c r="F50"/>
  <c r="AO50"/>
  <c r="AP50"/>
  <c r="Q50"/>
  <c r="AH50"/>
  <c r="AG50"/>
  <c r="AF50"/>
  <c r="BB49"/>
  <c r="AJ31"/>
  <c r="BA49"/>
  <c r="AZ49"/>
  <c r="AX49"/>
  <c r="AW49"/>
  <c r="AV49"/>
  <c r="AU49"/>
  <c r="AT49"/>
  <c r="AS49"/>
  <c r="AR49"/>
  <c r="AQ49"/>
  <c r="E49"/>
  <c r="AN49"/>
  <c r="F49"/>
  <c r="AO49"/>
  <c r="AP49"/>
  <c r="Q49"/>
  <c r="AH49"/>
  <c r="AG49"/>
  <c r="AF49"/>
  <c r="BB48"/>
  <c r="AJ30"/>
  <c r="BA48"/>
  <c r="AZ48"/>
  <c r="AX48"/>
  <c r="AW48"/>
  <c r="AV48"/>
  <c r="AU48"/>
  <c r="AT48"/>
  <c r="AS48"/>
  <c r="AR48"/>
  <c r="AQ48"/>
  <c r="E48"/>
  <c r="AN48"/>
  <c r="F48"/>
  <c r="AO48"/>
  <c r="AP48"/>
  <c r="Q48"/>
  <c r="AH48"/>
  <c r="AG48"/>
  <c r="AF48"/>
  <c r="BB47"/>
  <c r="AJ29"/>
  <c r="BA47"/>
  <c r="AZ47"/>
  <c r="AX47"/>
  <c r="AW47"/>
  <c r="AV47"/>
  <c r="AU47"/>
  <c r="AT47"/>
  <c r="AS47"/>
  <c r="AR47"/>
  <c r="AQ47"/>
  <c r="E47"/>
  <c r="AN47"/>
  <c r="F47"/>
  <c r="AO47"/>
  <c r="AP47"/>
  <c r="Q47"/>
  <c r="AH47"/>
  <c r="AG47"/>
  <c r="AF47"/>
  <c r="BB46"/>
  <c r="AJ26"/>
  <c r="BA46"/>
  <c r="AZ46"/>
  <c r="AX46"/>
  <c r="AW46"/>
  <c r="AV46"/>
  <c r="AU46"/>
  <c r="AT46"/>
  <c r="AS46"/>
  <c r="AR46"/>
  <c r="AQ46"/>
  <c r="E46"/>
  <c r="AN46"/>
  <c r="F46"/>
  <c r="AO46"/>
  <c r="AP46"/>
  <c r="Q46"/>
  <c r="AH46"/>
  <c r="AG46"/>
  <c r="AF46"/>
  <c r="BB45"/>
  <c r="AJ25"/>
  <c r="BA45"/>
  <c r="AZ45"/>
  <c r="AX45"/>
  <c r="AW45"/>
  <c r="AV45"/>
  <c r="AU45"/>
  <c r="AT45"/>
  <c r="AS45"/>
  <c r="AR45"/>
  <c r="AQ45"/>
  <c r="E45"/>
  <c r="AN45"/>
  <c r="F45"/>
  <c r="AO45"/>
  <c r="AP45"/>
  <c r="Q45"/>
  <c r="AH45"/>
  <c r="AG45"/>
  <c r="AF45"/>
  <c r="BB44"/>
  <c r="AJ24"/>
  <c r="BA44"/>
  <c r="AZ44"/>
  <c r="F6"/>
  <c r="AY44"/>
  <c r="AX44"/>
  <c r="AW44"/>
  <c r="AV44"/>
  <c r="AU44"/>
  <c r="AT44"/>
  <c r="AS44"/>
  <c r="AR44"/>
  <c r="AQ44"/>
  <c r="E44"/>
  <c r="AN44"/>
  <c r="F44"/>
  <c r="AO44"/>
  <c r="AP44"/>
  <c r="Q44"/>
  <c r="AH44"/>
  <c r="AG44"/>
  <c r="AF44"/>
  <c r="I42"/>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I36"/>
  <c r="H36"/>
  <c r="G36"/>
  <c r="F36"/>
  <c r="E36"/>
  <c r="D36"/>
  <c r="C36"/>
  <c r="AQ33"/>
  <c r="AG33"/>
  <c r="AE33"/>
  <c r="AD33"/>
  <c r="AC33"/>
  <c r="AA33"/>
  <c r="Y33"/>
  <c r="G33"/>
  <c r="D33"/>
  <c r="C33"/>
  <c r="AQ32"/>
  <c r="AG32"/>
  <c r="AE32"/>
  <c r="AD32"/>
  <c r="AC32"/>
  <c r="AA32"/>
  <c r="Y32"/>
  <c r="G32"/>
  <c r="D32"/>
  <c r="C32"/>
  <c r="AQ31"/>
  <c r="AG31"/>
  <c r="AE31"/>
  <c r="AD31"/>
  <c r="AC31"/>
  <c r="AA31"/>
  <c r="Y31"/>
  <c r="G31"/>
  <c r="D31"/>
  <c r="C31"/>
  <c r="AQ30"/>
  <c r="AG30"/>
  <c r="AE30"/>
  <c r="AD30"/>
  <c r="AC30"/>
  <c r="AA30"/>
  <c r="Y30"/>
  <c r="G30"/>
  <c r="D30"/>
  <c r="C30"/>
  <c r="AQ29"/>
  <c r="AG29"/>
  <c r="AE29"/>
  <c r="AD29"/>
  <c r="AC29"/>
  <c r="AA29"/>
  <c r="Y29"/>
  <c r="G29"/>
  <c r="D29"/>
  <c r="C29"/>
  <c r="AQ26"/>
  <c r="AG26"/>
  <c r="AE26"/>
  <c r="AD26"/>
  <c r="AC26"/>
  <c r="AA26"/>
  <c r="Y26"/>
  <c r="G26"/>
  <c r="D26"/>
  <c r="C26"/>
  <c r="AQ25"/>
  <c r="AG25"/>
  <c r="AE25"/>
  <c r="AD25"/>
  <c r="AC25"/>
  <c r="AA25"/>
  <c r="Y25"/>
  <c r="G25"/>
  <c r="D25"/>
  <c r="C25"/>
  <c r="AQ24"/>
  <c r="AG24"/>
  <c r="AE24"/>
  <c r="AD24"/>
  <c r="AC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F4"/>
  <c r="F3"/>
  <c r="H39" i="114"/>
  <c r="I39"/>
  <c r="K39"/>
  <c r="L39"/>
  <c r="P39"/>
  <c r="R39"/>
  <c r="N39"/>
  <c r="O39"/>
  <c r="T39"/>
  <c r="H40"/>
  <c r="I40"/>
  <c r="K40"/>
  <c r="L40"/>
  <c r="P40"/>
  <c r="R40"/>
  <c r="N40"/>
  <c r="O40"/>
  <c r="T40"/>
  <c r="H41"/>
  <c r="I41"/>
  <c r="K41"/>
  <c r="L41"/>
  <c r="P41"/>
  <c r="R41"/>
  <c r="N41"/>
  <c r="O41"/>
  <c r="T41"/>
  <c r="H42"/>
  <c r="I42"/>
  <c r="K42"/>
  <c r="L42"/>
  <c r="P42"/>
  <c r="R42"/>
  <c r="N42"/>
  <c r="O42"/>
  <c r="T42"/>
  <c r="H43"/>
  <c r="I43"/>
  <c r="K43"/>
  <c r="L43"/>
  <c r="P43"/>
  <c r="R43"/>
  <c r="N43"/>
  <c r="O43"/>
  <c r="T43"/>
  <c r="H44"/>
  <c r="I44"/>
  <c r="K44"/>
  <c r="L44"/>
  <c r="P44"/>
  <c r="R44"/>
  <c r="N44"/>
  <c r="O44"/>
  <c r="T44"/>
  <c r="H45"/>
  <c r="I45"/>
  <c r="K45"/>
  <c r="L45"/>
  <c r="P45"/>
  <c r="R45"/>
  <c r="N45"/>
  <c r="O45"/>
  <c r="T45"/>
  <c r="H46"/>
  <c r="I46"/>
  <c r="K46"/>
  <c r="L46"/>
  <c r="P46"/>
  <c r="R46"/>
  <c r="N46"/>
  <c r="O46"/>
  <c r="T46"/>
  <c r="H47"/>
  <c r="I47"/>
  <c r="K47"/>
  <c r="L47"/>
  <c r="P47"/>
  <c r="R47"/>
  <c r="N47"/>
  <c r="O47"/>
  <c r="T47"/>
  <c r="H48"/>
  <c r="I48"/>
  <c r="K48"/>
  <c r="L48"/>
  <c r="P48"/>
  <c r="R48"/>
  <c r="N48"/>
  <c r="O48"/>
  <c r="T48"/>
  <c r="H49"/>
  <c r="I49"/>
  <c r="K49"/>
  <c r="L49"/>
  <c r="P49"/>
  <c r="R49"/>
  <c r="N49"/>
  <c r="O49"/>
  <c r="T49"/>
  <c r="T51"/>
  <c r="S39"/>
  <c r="S40"/>
  <c r="S41"/>
  <c r="S42"/>
  <c r="S43"/>
  <c r="S44"/>
  <c r="S45"/>
  <c r="S46"/>
  <c r="S47"/>
  <c r="S48"/>
  <c r="S49"/>
  <c r="S51"/>
  <c r="R51"/>
  <c r="P54"/>
  <c r="O51"/>
  <c r="I59"/>
  <c r="I60"/>
  <c r="U39"/>
  <c r="U40"/>
  <c r="U41"/>
  <c r="U42"/>
  <c r="U43"/>
  <c r="U44"/>
  <c r="U45"/>
  <c r="U46"/>
  <c r="U47"/>
  <c r="U48"/>
  <c r="U49"/>
  <c r="U51"/>
  <c r="I61"/>
  <c r="I62"/>
  <c r="I63"/>
  <c r="V39"/>
  <c r="W39"/>
  <c r="V40"/>
  <c r="W40"/>
  <c r="V41"/>
  <c r="W41"/>
  <c r="V42"/>
  <c r="W42"/>
  <c r="V43"/>
  <c r="W43"/>
  <c r="V44"/>
  <c r="W44"/>
  <c r="V45"/>
  <c r="W45"/>
  <c r="V46"/>
  <c r="W46"/>
  <c r="V47"/>
  <c r="W47"/>
  <c r="V48"/>
  <c r="W48"/>
  <c r="V49"/>
  <c r="W49"/>
  <c r="W51"/>
  <c r="V51"/>
  <c r="I65"/>
  <c r="I66"/>
  <c r="M67"/>
  <c r="M68"/>
  <c r="I67"/>
  <c r="AJ39"/>
  <c r="AK39"/>
  <c r="AJ40"/>
  <c r="AK40"/>
  <c r="AJ41"/>
  <c r="AK41"/>
  <c r="AJ42"/>
  <c r="AK42"/>
  <c r="AJ43"/>
  <c r="AK43"/>
  <c r="AJ44"/>
  <c r="AK44"/>
  <c r="AJ45"/>
  <c r="AK45"/>
  <c r="AJ46"/>
  <c r="AK46"/>
  <c r="AJ47"/>
  <c r="AK47"/>
  <c r="AJ48"/>
  <c r="AK48"/>
  <c r="AJ49"/>
  <c r="AK49"/>
  <c r="AL39"/>
  <c r="AL40"/>
  <c r="AL41"/>
  <c r="AL42"/>
  <c r="AL43"/>
  <c r="AL44"/>
  <c r="AL45"/>
  <c r="AL46"/>
  <c r="AL47"/>
  <c r="AL48"/>
  <c r="AL49"/>
  <c r="Q60"/>
  <c r="Q61"/>
  <c r="Q62"/>
  <c r="Q63"/>
  <c r="AH62"/>
  <c r="AH61"/>
  <c r="AH60"/>
  <c r="I54"/>
  <c r="I55"/>
  <c r="I56"/>
  <c r="AH58"/>
  <c r="AH57"/>
  <c r="M56"/>
  <c r="M57"/>
  <c r="AH56"/>
  <c r="P56"/>
  <c r="P55"/>
  <c r="AX49"/>
  <c r="AW49"/>
  <c r="Q34"/>
  <c r="M49"/>
  <c r="AV49"/>
  <c r="AU49"/>
  <c r="AT49"/>
  <c r="N34"/>
  <c r="J49"/>
  <c r="AS49"/>
  <c r="AR49"/>
  <c r="AQ49"/>
  <c r="E49"/>
  <c r="AN49"/>
  <c r="F49"/>
  <c r="AO49"/>
  <c r="AP49"/>
  <c r="Q49"/>
  <c r="AH49"/>
  <c r="AG49"/>
  <c r="AF49"/>
  <c r="AX48"/>
  <c r="AW48"/>
  <c r="Q33"/>
  <c r="M48"/>
  <c r="AV48"/>
  <c r="AU48"/>
  <c r="AT48"/>
  <c r="N33"/>
  <c r="J48"/>
  <c r="AS48"/>
  <c r="AR48"/>
  <c r="AQ48"/>
  <c r="E48"/>
  <c r="AN48"/>
  <c r="F48"/>
  <c r="AO48"/>
  <c r="AP48"/>
  <c r="Q48"/>
  <c r="AH48"/>
  <c r="AG48"/>
  <c r="AF48"/>
  <c r="AX47"/>
  <c r="AW47"/>
  <c r="Q32"/>
  <c r="M47"/>
  <c r="AV47"/>
  <c r="AU47"/>
  <c r="AT47"/>
  <c r="N32"/>
  <c r="J47"/>
  <c r="AS47"/>
  <c r="AR47"/>
  <c r="AQ47"/>
  <c r="E47"/>
  <c r="AN47"/>
  <c r="F47"/>
  <c r="AO47"/>
  <c r="AP47"/>
  <c r="Q47"/>
  <c r="AH47"/>
  <c r="AG47"/>
  <c r="AF47"/>
  <c r="AX46"/>
  <c r="AW46"/>
  <c r="Q31"/>
  <c r="M46"/>
  <c r="AV46"/>
  <c r="AU46"/>
  <c r="AT46"/>
  <c r="N31"/>
  <c r="J46"/>
  <c r="AS46"/>
  <c r="AR46"/>
  <c r="AQ46"/>
  <c r="E46"/>
  <c r="AN46"/>
  <c r="F46"/>
  <c r="AO46"/>
  <c r="AP46"/>
  <c r="Q46"/>
  <c r="AH46"/>
  <c r="AG46"/>
  <c r="AF46"/>
  <c r="AX45"/>
  <c r="AW45"/>
  <c r="Q30"/>
  <c r="M45"/>
  <c r="AV45"/>
  <c r="AU45"/>
  <c r="AT45"/>
  <c r="N30"/>
  <c r="J45"/>
  <c r="AS45"/>
  <c r="AR45"/>
  <c r="AQ45"/>
  <c r="E45"/>
  <c r="AN45"/>
  <c r="F45"/>
  <c r="AO45"/>
  <c r="AP45"/>
  <c r="Q45"/>
  <c r="AH45"/>
  <c r="AG45"/>
  <c r="AF45"/>
  <c r="AX44"/>
  <c r="AW44"/>
  <c r="Q29"/>
  <c r="M44"/>
  <c r="AV44"/>
  <c r="AU44"/>
  <c r="AT44"/>
  <c r="N29"/>
  <c r="J44"/>
  <c r="AS44"/>
  <c r="AR44"/>
  <c r="AQ44"/>
  <c r="E44"/>
  <c r="AN44"/>
  <c r="F44"/>
  <c r="AO44"/>
  <c r="AP44"/>
  <c r="Q44"/>
  <c r="AH44"/>
  <c r="AG44"/>
  <c r="AF44"/>
  <c r="AX43"/>
  <c r="AW43"/>
  <c r="Q28"/>
  <c r="M43"/>
  <c r="AV43"/>
  <c r="AU43"/>
  <c r="AT43"/>
  <c r="N28"/>
  <c r="J43"/>
  <c r="AS43"/>
  <c r="AR43"/>
  <c r="AQ43"/>
  <c r="E43"/>
  <c r="AN43"/>
  <c r="F43"/>
  <c r="AO43"/>
  <c r="AP43"/>
  <c r="Q43"/>
  <c r="AH43"/>
  <c r="AG43"/>
  <c r="AF43"/>
  <c r="AX42"/>
  <c r="AW42"/>
  <c r="Q27"/>
  <c r="M42"/>
  <c r="AV42"/>
  <c r="AU42"/>
  <c r="AT42"/>
  <c r="N27"/>
  <c r="J42"/>
  <c r="AS42"/>
  <c r="AR42"/>
  <c r="AQ42"/>
  <c r="E42"/>
  <c r="AN42"/>
  <c r="F42"/>
  <c r="AO42"/>
  <c r="AP42"/>
  <c r="Q42"/>
  <c r="AH42"/>
  <c r="AG42"/>
  <c r="AF42"/>
  <c r="AX41"/>
  <c r="AW41"/>
  <c r="Q26"/>
  <c r="M41"/>
  <c r="AV41"/>
  <c r="AU41"/>
  <c r="AT41"/>
  <c r="N26"/>
  <c r="J41"/>
  <c r="AS41"/>
  <c r="AR41"/>
  <c r="AQ41"/>
  <c r="E41"/>
  <c r="AN41"/>
  <c r="F41"/>
  <c r="AO41"/>
  <c r="AP41"/>
  <c r="Q41"/>
  <c r="AH41"/>
  <c r="AG41"/>
  <c r="AF41"/>
  <c r="F4"/>
  <c r="AY40"/>
  <c r="AX40"/>
  <c r="AW40"/>
  <c r="Q25"/>
  <c r="M40"/>
  <c r="AV40"/>
  <c r="AU40"/>
  <c r="AT40"/>
  <c r="N25"/>
  <c r="J40"/>
  <c r="AS40"/>
  <c r="AR40"/>
  <c r="AQ40"/>
  <c r="E40"/>
  <c r="AN40"/>
  <c r="F40"/>
  <c r="AO40"/>
  <c r="AP40"/>
  <c r="Q40"/>
  <c r="AH40"/>
  <c r="AG40"/>
  <c r="AF40"/>
  <c r="F3"/>
  <c r="AY39"/>
  <c r="AX39"/>
  <c r="AW39"/>
  <c r="Q24"/>
  <c r="M39"/>
  <c r="AV39"/>
  <c r="AU39"/>
  <c r="AT39"/>
  <c r="N24"/>
  <c r="J39"/>
  <c r="AS39"/>
  <c r="AR39"/>
  <c r="AQ39"/>
  <c r="E39"/>
  <c r="AN39"/>
  <c r="F39"/>
  <c r="AO39"/>
  <c r="AP39"/>
  <c r="Q39"/>
  <c r="AH39"/>
  <c r="AG39"/>
  <c r="AF39"/>
  <c r="AQ36"/>
  <c r="AP36"/>
  <c r="AO36"/>
  <c r="AN36"/>
  <c r="AM36"/>
  <c r="AL36"/>
  <c r="AK36"/>
  <c r="AJ36"/>
  <c r="AI36"/>
  <c r="AH36"/>
  <c r="AG36"/>
  <c r="AF36"/>
  <c r="AE36"/>
  <c r="AD36"/>
  <c r="AC36"/>
  <c r="AB36"/>
  <c r="AA36"/>
  <c r="Z36"/>
  <c r="Y36"/>
  <c r="I36"/>
  <c r="Q36"/>
  <c r="V36"/>
  <c r="H36"/>
  <c r="N36"/>
  <c r="U36"/>
  <c r="S36"/>
  <c r="R36"/>
  <c r="G36"/>
  <c r="F36"/>
  <c r="E36"/>
  <c r="D36"/>
  <c r="C36"/>
  <c r="I35"/>
  <c r="AQ34"/>
  <c r="AJ34"/>
  <c r="AG34"/>
  <c r="AE34"/>
  <c r="AD34"/>
  <c r="AC34"/>
  <c r="AA34"/>
  <c r="Y34"/>
  <c r="V34"/>
  <c r="U34"/>
  <c r="S34"/>
  <c r="R34"/>
  <c r="G34"/>
  <c r="D34"/>
  <c r="C34"/>
  <c r="AQ33"/>
  <c r="AJ33"/>
  <c r="AG33"/>
  <c r="AE33"/>
  <c r="AD33"/>
  <c r="AC33"/>
  <c r="AA33"/>
  <c r="Y33"/>
  <c r="V33"/>
  <c r="U33"/>
  <c r="S33"/>
  <c r="R33"/>
  <c r="G33"/>
  <c r="D33"/>
  <c r="C33"/>
  <c r="AQ32"/>
  <c r="AJ32"/>
  <c r="AG32"/>
  <c r="AE32"/>
  <c r="AD32"/>
  <c r="AC32"/>
  <c r="AA32"/>
  <c r="Y32"/>
  <c r="V32"/>
  <c r="U32"/>
  <c r="S32"/>
  <c r="R32"/>
  <c r="G32"/>
  <c r="D32"/>
  <c r="C32"/>
  <c r="AQ31"/>
  <c r="AJ31"/>
  <c r="AG31"/>
  <c r="AE31"/>
  <c r="AD31"/>
  <c r="AC31"/>
  <c r="AA31"/>
  <c r="Y31"/>
  <c r="V31"/>
  <c r="U31"/>
  <c r="S31"/>
  <c r="R31"/>
  <c r="G31"/>
  <c r="D31"/>
  <c r="C31"/>
  <c r="AQ30"/>
  <c r="AJ30"/>
  <c r="AG30"/>
  <c r="AE30"/>
  <c r="AD30"/>
  <c r="AC30"/>
  <c r="AA30"/>
  <c r="Y30"/>
  <c r="V30"/>
  <c r="U30"/>
  <c r="S30"/>
  <c r="R30"/>
  <c r="G30"/>
  <c r="D30"/>
  <c r="C30"/>
  <c r="AQ29"/>
  <c r="AJ29"/>
  <c r="AG29"/>
  <c r="AE29"/>
  <c r="AD29"/>
  <c r="AC29"/>
  <c r="AA29"/>
  <c r="Y29"/>
  <c r="V29"/>
  <c r="U29"/>
  <c r="S29"/>
  <c r="R29"/>
  <c r="G29"/>
  <c r="D29"/>
  <c r="C29"/>
  <c r="AQ28"/>
  <c r="AJ28"/>
  <c r="AH28"/>
  <c r="AG28"/>
  <c r="AE28"/>
  <c r="AD28"/>
  <c r="AC28"/>
  <c r="AA28"/>
  <c r="Y28"/>
  <c r="V28"/>
  <c r="U28"/>
  <c r="S28"/>
  <c r="R28"/>
  <c r="G28"/>
  <c r="D28"/>
  <c r="C28"/>
  <c r="AQ27"/>
  <c r="AJ27"/>
  <c r="AG27"/>
  <c r="AE27"/>
  <c r="AD27"/>
  <c r="AC27"/>
  <c r="AA27"/>
  <c r="Y27"/>
  <c r="V27"/>
  <c r="U27"/>
  <c r="S27"/>
  <c r="R27"/>
  <c r="G27"/>
  <c r="D27"/>
  <c r="C27"/>
  <c r="AQ26"/>
  <c r="AJ26"/>
  <c r="AG26"/>
  <c r="AE26"/>
  <c r="AD26"/>
  <c r="AC26"/>
  <c r="AA26"/>
  <c r="Y26"/>
  <c r="V26"/>
  <c r="U26"/>
  <c r="S26"/>
  <c r="R26"/>
  <c r="G26"/>
  <c r="D26"/>
  <c r="C26"/>
  <c r="AQ25"/>
  <c r="AJ25"/>
  <c r="AG25"/>
  <c r="AE25"/>
  <c r="AD25"/>
  <c r="AC25"/>
  <c r="AA25"/>
  <c r="Y25"/>
  <c r="V25"/>
  <c r="U25"/>
  <c r="S25"/>
  <c r="R25"/>
  <c r="G25"/>
  <c r="D25"/>
  <c r="C25"/>
  <c r="AQ24"/>
  <c r="AJ24"/>
  <c r="AG24"/>
  <c r="AE24"/>
  <c r="AD24"/>
  <c r="AC24"/>
  <c r="AA24"/>
  <c r="Y24"/>
  <c r="V24"/>
  <c r="U24"/>
  <c r="S24"/>
  <c r="R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110"/>
  <c r="D5"/>
  <c r="H46"/>
  <c r="I46"/>
  <c r="J46"/>
  <c r="L46"/>
  <c r="D3"/>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H51"/>
  <c r="I51"/>
  <c r="J51"/>
  <c r="L51"/>
  <c r="M51"/>
  <c r="K51"/>
  <c r="N51"/>
  <c r="O51"/>
  <c r="P51"/>
  <c r="R51"/>
  <c r="T51"/>
  <c r="H52"/>
  <c r="I52"/>
  <c r="J52"/>
  <c r="L52"/>
  <c r="M52"/>
  <c r="K52"/>
  <c r="N52"/>
  <c r="O52"/>
  <c r="P52"/>
  <c r="R52"/>
  <c r="T52"/>
  <c r="H53"/>
  <c r="I53"/>
  <c r="J53"/>
  <c r="L53"/>
  <c r="M53"/>
  <c r="K53"/>
  <c r="N53"/>
  <c r="O53"/>
  <c r="P53"/>
  <c r="R53"/>
  <c r="T53"/>
  <c r="H54"/>
  <c r="I54"/>
  <c r="J54"/>
  <c r="L54"/>
  <c r="M54"/>
  <c r="K54"/>
  <c r="N54"/>
  <c r="O54"/>
  <c r="P54"/>
  <c r="R54"/>
  <c r="T54"/>
  <c r="H55"/>
  <c r="I55"/>
  <c r="J55"/>
  <c r="L55"/>
  <c r="M55"/>
  <c r="K55"/>
  <c r="N55"/>
  <c r="O55"/>
  <c r="P55"/>
  <c r="R55"/>
  <c r="T55"/>
  <c r="H56"/>
  <c r="I56"/>
  <c r="J56"/>
  <c r="L56"/>
  <c r="M56"/>
  <c r="K56"/>
  <c r="N56"/>
  <c r="O56"/>
  <c r="P56"/>
  <c r="R56"/>
  <c r="T56"/>
  <c r="H57"/>
  <c r="I57"/>
  <c r="J57"/>
  <c r="L57"/>
  <c r="M57"/>
  <c r="K57"/>
  <c r="N57"/>
  <c r="O57"/>
  <c r="P57"/>
  <c r="R57"/>
  <c r="T57"/>
  <c r="T59"/>
  <c r="S46"/>
  <c r="S47"/>
  <c r="S48"/>
  <c r="S49"/>
  <c r="S50"/>
  <c r="S51"/>
  <c r="S52"/>
  <c r="S53"/>
  <c r="S54"/>
  <c r="S55"/>
  <c r="S56"/>
  <c r="S57"/>
  <c r="S59"/>
  <c r="R59"/>
  <c r="P62"/>
  <c r="O59"/>
  <c r="I67"/>
  <c r="I68"/>
  <c r="U46"/>
  <c r="U47"/>
  <c r="U48"/>
  <c r="U49"/>
  <c r="U50"/>
  <c r="U51"/>
  <c r="U52"/>
  <c r="U53"/>
  <c r="U54"/>
  <c r="U55"/>
  <c r="U56"/>
  <c r="U57"/>
  <c r="U59"/>
  <c r="I69"/>
  <c r="I70"/>
  <c r="I71"/>
  <c r="V46"/>
  <c r="W46"/>
  <c r="V47"/>
  <c r="W47"/>
  <c r="V48"/>
  <c r="W48"/>
  <c r="V49"/>
  <c r="W49"/>
  <c r="V50"/>
  <c r="W50"/>
  <c r="V51"/>
  <c r="W51"/>
  <c r="V52"/>
  <c r="W52"/>
  <c r="V53"/>
  <c r="W53"/>
  <c r="V54"/>
  <c r="W54"/>
  <c r="V55"/>
  <c r="W55"/>
  <c r="V56"/>
  <c r="W56"/>
  <c r="V57"/>
  <c r="W57"/>
  <c r="W59"/>
  <c r="V59"/>
  <c r="I73"/>
  <c r="I74"/>
  <c r="M75"/>
  <c r="M76"/>
  <c r="I75"/>
  <c r="AJ46"/>
  <c r="AK46"/>
  <c r="AJ47"/>
  <c r="AK47"/>
  <c r="AJ48"/>
  <c r="AK48"/>
  <c r="AJ49"/>
  <c r="AK49"/>
  <c r="AJ50"/>
  <c r="AK50"/>
  <c r="AJ51"/>
  <c r="AK51"/>
  <c r="AJ52"/>
  <c r="AK52"/>
  <c r="AJ53"/>
  <c r="AK53"/>
  <c r="AJ54"/>
  <c r="AK54"/>
  <c r="AJ55"/>
  <c r="AK55"/>
  <c r="AJ56"/>
  <c r="AK56"/>
  <c r="AJ57"/>
  <c r="AK57"/>
  <c r="AL46"/>
  <c r="AL47"/>
  <c r="AL48"/>
  <c r="AL49"/>
  <c r="AL50"/>
  <c r="AL51"/>
  <c r="AL52"/>
  <c r="AL53"/>
  <c r="AL54"/>
  <c r="AL55"/>
  <c r="AL56"/>
  <c r="AL57"/>
  <c r="Q68"/>
  <c r="Q69"/>
  <c r="Q70"/>
  <c r="Q71"/>
  <c r="AH70"/>
  <c r="AH69"/>
  <c r="AH68"/>
  <c r="I63"/>
  <c r="I64"/>
  <c r="AH66"/>
  <c r="AH65"/>
  <c r="I62"/>
  <c r="M64"/>
  <c r="M65"/>
  <c r="AH64"/>
  <c r="P64"/>
  <c r="P63"/>
  <c r="AX57"/>
  <c r="AW57"/>
  <c r="AV57"/>
  <c r="AU57"/>
  <c r="AT57"/>
  <c r="AS57"/>
  <c r="AR57"/>
  <c r="AQ57"/>
  <c r="E57"/>
  <c r="AN57"/>
  <c r="F57"/>
  <c r="AO57"/>
  <c r="AP57"/>
  <c r="Q57"/>
  <c r="AH57"/>
  <c r="AG57"/>
  <c r="AF57"/>
  <c r="AX56"/>
  <c r="AW56"/>
  <c r="AV56"/>
  <c r="AU56"/>
  <c r="AT56"/>
  <c r="AS56"/>
  <c r="AR56"/>
  <c r="AQ56"/>
  <c r="E56"/>
  <c r="AN56"/>
  <c r="F56"/>
  <c r="AO56"/>
  <c r="AP56"/>
  <c r="Q56"/>
  <c r="AH56"/>
  <c r="AG56"/>
  <c r="AF56"/>
  <c r="AX55"/>
  <c r="AW55"/>
  <c r="AV55"/>
  <c r="AU55"/>
  <c r="AT55"/>
  <c r="AS55"/>
  <c r="AR55"/>
  <c r="AQ55"/>
  <c r="E55"/>
  <c r="AN55"/>
  <c r="F55"/>
  <c r="AO55"/>
  <c r="AP55"/>
  <c r="Q55"/>
  <c r="AH55"/>
  <c r="AG55"/>
  <c r="AF55"/>
  <c r="AX54"/>
  <c r="AW54"/>
  <c r="AV54"/>
  <c r="AU54"/>
  <c r="AT54"/>
  <c r="AS54"/>
  <c r="AR54"/>
  <c r="AQ54"/>
  <c r="E54"/>
  <c r="AN54"/>
  <c r="F54"/>
  <c r="AO54"/>
  <c r="AP54"/>
  <c r="Q54"/>
  <c r="AH54"/>
  <c r="AG54"/>
  <c r="AF54"/>
  <c r="AX53"/>
  <c r="AW53"/>
  <c r="AV53"/>
  <c r="AU53"/>
  <c r="AT53"/>
  <c r="AS53"/>
  <c r="AR53"/>
  <c r="AQ53"/>
  <c r="E53"/>
  <c r="AN53"/>
  <c r="F53"/>
  <c r="AO53"/>
  <c r="AP53"/>
  <c r="Q53"/>
  <c r="AH53"/>
  <c r="AG53"/>
  <c r="AF53"/>
  <c r="AX52"/>
  <c r="AW52"/>
  <c r="AV52"/>
  <c r="AU52"/>
  <c r="AT52"/>
  <c r="AS52"/>
  <c r="AR52"/>
  <c r="AQ52"/>
  <c r="E52"/>
  <c r="AN52"/>
  <c r="F52"/>
  <c r="AO52"/>
  <c r="AP52"/>
  <c r="Q52"/>
  <c r="AH52"/>
  <c r="AG52"/>
  <c r="AF52"/>
  <c r="AX51"/>
  <c r="AW51"/>
  <c r="AV51"/>
  <c r="AU51"/>
  <c r="AT51"/>
  <c r="AS51"/>
  <c r="AR51"/>
  <c r="AQ51"/>
  <c r="E51"/>
  <c r="AN51"/>
  <c r="F51"/>
  <c r="AO51"/>
  <c r="AP51"/>
  <c r="Q51"/>
  <c r="AH51"/>
  <c r="AG51"/>
  <c r="AF51"/>
  <c r="AX50"/>
  <c r="AW50"/>
  <c r="AV50"/>
  <c r="AU50"/>
  <c r="AT50"/>
  <c r="AS50"/>
  <c r="AR50"/>
  <c r="AQ50"/>
  <c r="E50"/>
  <c r="AN50"/>
  <c r="F50"/>
  <c r="AO50"/>
  <c r="AP50"/>
  <c r="Q50"/>
  <c r="AH50"/>
  <c r="AG50"/>
  <c r="AF50"/>
  <c r="AX49"/>
  <c r="AW49"/>
  <c r="AV49"/>
  <c r="AU49"/>
  <c r="AT49"/>
  <c r="AS49"/>
  <c r="AR49"/>
  <c r="AQ49"/>
  <c r="E49"/>
  <c r="AN49"/>
  <c r="F49"/>
  <c r="AO49"/>
  <c r="AP49"/>
  <c r="Q49"/>
  <c r="AH49"/>
  <c r="AG49"/>
  <c r="AF49"/>
  <c r="F5"/>
  <c r="AY48"/>
  <c r="AX48"/>
  <c r="AW48"/>
  <c r="AV48"/>
  <c r="AU48"/>
  <c r="AT48"/>
  <c r="AS48"/>
  <c r="AR48"/>
  <c r="AQ48"/>
  <c r="E48"/>
  <c r="AN48"/>
  <c r="F48"/>
  <c r="AO48"/>
  <c r="AP48"/>
  <c r="Q48"/>
  <c r="AH48"/>
  <c r="AG48"/>
  <c r="AF48"/>
  <c r="F6"/>
  <c r="AY47"/>
  <c r="AX47"/>
  <c r="AW47"/>
  <c r="AV47"/>
  <c r="AU47"/>
  <c r="AT47"/>
  <c r="AS47"/>
  <c r="AR47"/>
  <c r="AQ47"/>
  <c r="E47"/>
  <c r="AN47"/>
  <c r="F47"/>
  <c r="AO47"/>
  <c r="AP47"/>
  <c r="Q47"/>
  <c r="AH47"/>
  <c r="AG47"/>
  <c r="AF47"/>
  <c r="F4"/>
  <c r="AY46"/>
  <c r="AX46"/>
  <c r="AW46"/>
  <c r="AV46"/>
  <c r="AU46"/>
  <c r="AT46"/>
  <c r="AS46"/>
  <c r="AR46"/>
  <c r="AQ46"/>
  <c r="E46"/>
  <c r="AN46"/>
  <c r="F46"/>
  <c r="AO46"/>
  <c r="AP46"/>
  <c r="Q46"/>
  <c r="AH46"/>
  <c r="AG46"/>
  <c r="AF46"/>
  <c r="I44"/>
  <c r="AQ43"/>
  <c r="AP43"/>
  <c r="AO43"/>
  <c r="AN43"/>
  <c r="AM43"/>
  <c r="AL43"/>
  <c r="AK43"/>
  <c r="AJ43"/>
  <c r="AI43"/>
  <c r="AH43"/>
  <c r="AG43"/>
  <c r="AF43"/>
  <c r="AE43"/>
  <c r="AD43"/>
  <c r="AC43"/>
  <c r="AB43"/>
  <c r="AA43"/>
  <c r="Z43"/>
  <c r="Y43"/>
  <c r="I43"/>
  <c r="H43"/>
  <c r="G43"/>
  <c r="F43"/>
  <c r="E43"/>
  <c r="D43"/>
  <c r="C43"/>
  <c r="AQ42"/>
  <c r="AP42"/>
  <c r="AO42"/>
  <c r="AN42"/>
  <c r="AM42"/>
  <c r="AL42"/>
  <c r="AK42"/>
  <c r="AJ42"/>
  <c r="AI42"/>
  <c r="AH42"/>
  <c r="AG42"/>
  <c r="AF42"/>
  <c r="AE42"/>
  <c r="AD42"/>
  <c r="AC42"/>
  <c r="AB42"/>
  <c r="AA42"/>
  <c r="Z42"/>
  <c r="Y42"/>
  <c r="I42"/>
  <c r="H42"/>
  <c r="G42"/>
  <c r="F42"/>
  <c r="E42"/>
  <c r="D42"/>
  <c r="C42"/>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9"/>
  <c r="AP39"/>
  <c r="AO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I36"/>
  <c r="H36"/>
  <c r="G36"/>
  <c r="F36"/>
  <c r="E36"/>
  <c r="D36"/>
  <c r="C36"/>
  <c r="AQ35"/>
  <c r="AJ35"/>
  <c r="AG35"/>
  <c r="AE35"/>
  <c r="AD35"/>
  <c r="AC35"/>
  <c r="AA35"/>
  <c r="Y35"/>
  <c r="G35"/>
  <c r="D35"/>
  <c r="C35"/>
  <c r="AQ34"/>
  <c r="AJ34"/>
  <c r="AG34"/>
  <c r="AE34"/>
  <c r="AD34"/>
  <c r="AC34"/>
  <c r="Y34"/>
  <c r="G34"/>
  <c r="D34"/>
  <c r="C34"/>
  <c r="AQ33"/>
  <c r="AJ33"/>
  <c r="AG33"/>
  <c r="AE33"/>
  <c r="AD33"/>
  <c r="AC33"/>
  <c r="Y33"/>
  <c r="G33"/>
  <c r="D33"/>
  <c r="C33"/>
  <c r="AQ32"/>
  <c r="AJ32"/>
  <c r="AG32"/>
  <c r="AE32"/>
  <c r="AD32"/>
  <c r="AC32"/>
  <c r="AA32"/>
  <c r="Y32"/>
  <c r="G32"/>
  <c r="D32"/>
  <c r="C32"/>
  <c r="AQ31"/>
  <c r="AJ31"/>
  <c r="AG31"/>
  <c r="AE31"/>
  <c r="AD31"/>
  <c r="AC31"/>
  <c r="Y31"/>
  <c r="G31"/>
  <c r="D31"/>
  <c r="C31"/>
  <c r="AQ30"/>
  <c r="AJ30"/>
  <c r="AG30"/>
  <c r="AE30"/>
  <c r="AD30"/>
  <c r="AC30"/>
  <c r="Y30"/>
  <c r="G30"/>
  <c r="D30"/>
  <c r="C30"/>
  <c r="AQ29"/>
  <c r="AJ29"/>
  <c r="AG29"/>
  <c r="AE29"/>
  <c r="AD29"/>
  <c r="Y29"/>
  <c r="G29"/>
  <c r="D29"/>
  <c r="C29"/>
  <c r="AQ28"/>
  <c r="AJ28"/>
  <c r="AG28"/>
  <c r="AE28"/>
  <c r="AD28"/>
  <c r="Y28"/>
  <c r="G28"/>
  <c r="D28"/>
  <c r="C28"/>
  <c r="AQ27"/>
  <c r="AJ27"/>
  <c r="AG27"/>
  <c r="AE27"/>
  <c r="AD27"/>
  <c r="AC27"/>
  <c r="AA27"/>
  <c r="Y27"/>
  <c r="G27"/>
  <c r="D27"/>
  <c r="C27"/>
  <c r="AQ26"/>
  <c r="AJ26"/>
  <c r="AG26"/>
  <c r="AE26"/>
  <c r="AD26"/>
  <c r="AC26"/>
  <c r="AA26"/>
  <c r="Y26"/>
  <c r="G26"/>
  <c r="D26"/>
  <c r="C26"/>
  <c r="AQ25"/>
  <c r="AJ25"/>
  <c r="AG25"/>
  <c r="AE25"/>
  <c r="AD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3"/>
  <c r="D6" i="150"/>
  <c r="D5"/>
  <c r="H33"/>
  <c r="I33"/>
  <c r="J33"/>
  <c r="L33"/>
  <c r="D3"/>
  <c r="M33"/>
  <c r="K33"/>
  <c r="N33"/>
  <c r="O33"/>
  <c r="P33"/>
  <c r="R33"/>
  <c r="T33"/>
  <c r="H34"/>
  <c r="I34"/>
  <c r="J34"/>
  <c r="L34"/>
  <c r="M34"/>
  <c r="K34"/>
  <c r="N34"/>
  <c r="O34"/>
  <c r="P34"/>
  <c r="R34"/>
  <c r="T34"/>
  <c r="H35"/>
  <c r="I35"/>
  <c r="J35"/>
  <c r="L35"/>
  <c r="M35"/>
  <c r="K35"/>
  <c r="N35"/>
  <c r="O35"/>
  <c r="P35"/>
  <c r="R35"/>
  <c r="T35"/>
  <c r="T37"/>
  <c r="S33"/>
  <c r="S34"/>
  <c r="S35"/>
  <c r="S37"/>
  <c r="R37"/>
  <c r="P40"/>
  <c r="O37"/>
  <c r="I45"/>
  <c r="I49"/>
  <c r="V33"/>
  <c r="W33"/>
  <c r="V34"/>
  <c r="W34"/>
  <c r="V35"/>
  <c r="W35"/>
  <c r="W37"/>
  <c r="V37"/>
  <c r="I51"/>
  <c r="I52"/>
  <c r="M53"/>
  <c r="M54"/>
  <c r="I53"/>
  <c r="AJ33"/>
  <c r="AK33"/>
  <c r="AJ34"/>
  <c r="AK34"/>
  <c r="AJ35"/>
  <c r="AK35"/>
  <c r="AL33"/>
  <c r="AL34"/>
  <c r="AL35"/>
  <c r="Q46"/>
  <c r="Q47"/>
  <c r="Q48"/>
  <c r="Q49"/>
  <c r="AH48"/>
  <c r="I46"/>
  <c r="U33"/>
  <c r="U34"/>
  <c r="U35"/>
  <c r="U37"/>
  <c r="I47"/>
  <c r="I48"/>
  <c r="AH47"/>
  <c r="AH46"/>
  <c r="I41"/>
  <c r="I42"/>
  <c r="AH44"/>
  <c r="AH43"/>
  <c r="I40"/>
  <c r="M42"/>
  <c r="M43"/>
  <c r="AH42"/>
  <c r="P42"/>
  <c r="P41"/>
  <c r="F5"/>
  <c r="AY35"/>
  <c r="AX35"/>
  <c r="AW35"/>
  <c r="AV35"/>
  <c r="AU35"/>
  <c r="AT35"/>
  <c r="AS35"/>
  <c r="AR35"/>
  <c r="AQ35"/>
  <c r="E35"/>
  <c r="AN35"/>
  <c r="F35"/>
  <c r="AO35"/>
  <c r="AP35"/>
  <c r="Q35"/>
  <c r="AH35"/>
  <c r="AG35"/>
  <c r="AF35"/>
  <c r="F4"/>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D6" i="87"/>
  <c r="D5"/>
  <c r="H59"/>
  <c r="I59"/>
  <c r="J59"/>
  <c r="L59"/>
  <c r="D3"/>
  <c r="M59"/>
  <c r="K59"/>
  <c r="N59"/>
  <c r="O59"/>
  <c r="P59"/>
  <c r="R59"/>
  <c r="T59"/>
  <c r="H60"/>
  <c r="I60"/>
  <c r="J60"/>
  <c r="L60"/>
  <c r="M60"/>
  <c r="K60"/>
  <c r="N60"/>
  <c r="O60"/>
  <c r="P60"/>
  <c r="R60"/>
  <c r="T60"/>
  <c r="H61"/>
  <c r="I61"/>
  <c r="J61"/>
  <c r="L61"/>
  <c r="M61"/>
  <c r="K61"/>
  <c r="N61"/>
  <c r="O61"/>
  <c r="P61"/>
  <c r="R61"/>
  <c r="T61"/>
  <c r="H62"/>
  <c r="I62"/>
  <c r="J62"/>
  <c r="L62"/>
  <c r="M62"/>
  <c r="K62"/>
  <c r="N62"/>
  <c r="O62"/>
  <c r="P62"/>
  <c r="R62"/>
  <c r="T62"/>
  <c r="H63"/>
  <c r="I63"/>
  <c r="J63"/>
  <c r="L63"/>
  <c r="M63"/>
  <c r="K63"/>
  <c r="N63"/>
  <c r="O63"/>
  <c r="P63"/>
  <c r="R63"/>
  <c r="T63"/>
  <c r="H64"/>
  <c r="I64"/>
  <c r="J64"/>
  <c r="L64"/>
  <c r="M64"/>
  <c r="K64"/>
  <c r="N64"/>
  <c r="O64"/>
  <c r="P64"/>
  <c r="R64"/>
  <c r="T64"/>
  <c r="H65"/>
  <c r="I65"/>
  <c r="J65"/>
  <c r="L65"/>
  <c r="M65"/>
  <c r="K65"/>
  <c r="N65"/>
  <c r="O65"/>
  <c r="P65"/>
  <c r="R65"/>
  <c r="T65"/>
  <c r="H66"/>
  <c r="I66"/>
  <c r="J66"/>
  <c r="L66"/>
  <c r="M66"/>
  <c r="K66"/>
  <c r="N66"/>
  <c r="O66"/>
  <c r="P66"/>
  <c r="R66"/>
  <c r="T66"/>
  <c r="H67"/>
  <c r="I67"/>
  <c r="J67"/>
  <c r="L67"/>
  <c r="M67"/>
  <c r="K67"/>
  <c r="N67"/>
  <c r="O67"/>
  <c r="P67"/>
  <c r="R67"/>
  <c r="T67"/>
  <c r="H68"/>
  <c r="I68"/>
  <c r="J68"/>
  <c r="L68"/>
  <c r="M68"/>
  <c r="K68"/>
  <c r="N68"/>
  <c r="O68"/>
  <c r="P68"/>
  <c r="R68"/>
  <c r="T68"/>
  <c r="H69"/>
  <c r="I69"/>
  <c r="J69"/>
  <c r="L69"/>
  <c r="M69"/>
  <c r="K69"/>
  <c r="N69"/>
  <c r="O69"/>
  <c r="P69"/>
  <c r="R69"/>
  <c r="T69"/>
  <c r="H70"/>
  <c r="I70"/>
  <c r="J70"/>
  <c r="L70"/>
  <c r="M70"/>
  <c r="K70"/>
  <c r="N70"/>
  <c r="O70"/>
  <c r="P70"/>
  <c r="R70"/>
  <c r="T70"/>
  <c r="H71"/>
  <c r="I71"/>
  <c r="J71"/>
  <c r="L71"/>
  <c r="M71"/>
  <c r="K71"/>
  <c r="N71"/>
  <c r="O71"/>
  <c r="P71"/>
  <c r="R71"/>
  <c r="T71"/>
  <c r="H72"/>
  <c r="I72"/>
  <c r="J72"/>
  <c r="L72"/>
  <c r="M72"/>
  <c r="K72"/>
  <c r="N72"/>
  <c r="O72"/>
  <c r="P72"/>
  <c r="R72"/>
  <c r="T72"/>
  <c r="H73"/>
  <c r="I73"/>
  <c r="J73"/>
  <c r="L73"/>
  <c r="M73"/>
  <c r="K73"/>
  <c r="N73"/>
  <c r="O73"/>
  <c r="P73"/>
  <c r="R73"/>
  <c r="T73"/>
  <c r="H74"/>
  <c r="I74"/>
  <c r="J74"/>
  <c r="L74"/>
  <c r="M74"/>
  <c r="K74"/>
  <c r="N74"/>
  <c r="O74"/>
  <c r="P74"/>
  <c r="R74"/>
  <c r="T74"/>
  <c r="H75"/>
  <c r="I75"/>
  <c r="J75"/>
  <c r="L75"/>
  <c r="M75"/>
  <c r="K75"/>
  <c r="N75"/>
  <c r="O75"/>
  <c r="P75"/>
  <c r="R75"/>
  <c r="T75"/>
  <c r="H76"/>
  <c r="I76"/>
  <c r="J76"/>
  <c r="L76"/>
  <c r="M76"/>
  <c r="K76"/>
  <c r="N76"/>
  <c r="O76"/>
  <c r="P76"/>
  <c r="R76"/>
  <c r="T76"/>
  <c r="H77"/>
  <c r="I77"/>
  <c r="J77"/>
  <c r="L77"/>
  <c r="M77"/>
  <c r="K77"/>
  <c r="N77"/>
  <c r="O77"/>
  <c r="P77"/>
  <c r="R77"/>
  <c r="T77"/>
  <c r="H78"/>
  <c r="I78"/>
  <c r="J78"/>
  <c r="L78"/>
  <c r="M78"/>
  <c r="K78"/>
  <c r="N78"/>
  <c r="O78"/>
  <c r="P78"/>
  <c r="R78"/>
  <c r="T78"/>
  <c r="H79"/>
  <c r="I79"/>
  <c r="J79"/>
  <c r="L79"/>
  <c r="M79"/>
  <c r="K79"/>
  <c r="N79"/>
  <c r="O79"/>
  <c r="P79"/>
  <c r="R79"/>
  <c r="T79"/>
  <c r="H80"/>
  <c r="I80"/>
  <c r="J80"/>
  <c r="L80"/>
  <c r="M80"/>
  <c r="K80"/>
  <c r="N80"/>
  <c r="O80"/>
  <c r="P80"/>
  <c r="R80"/>
  <c r="T80"/>
  <c r="H81"/>
  <c r="I81"/>
  <c r="J81"/>
  <c r="L81"/>
  <c r="M81"/>
  <c r="K81"/>
  <c r="N81"/>
  <c r="O81"/>
  <c r="P81"/>
  <c r="R81"/>
  <c r="T81"/>
  <c r="T83"/>
  <c r="S59"/>
  <c r="S60"/>
  <c r="S61"/>
  <c r="S62"/>
  <c r="S63"/>
  <c r="S64"/>
  <c r="S65"/>
  <c r="S66"/>
  <c r="S67"/>
  <c r="S68"/>
  <c r="S69"/>
  <c r="S70"/>
  <c r="S71"/>
  <c r="S72"/>
  <c r="S73"/>
  <c r="S74"/>
  <c r="S75"/>
  <c r="S76"/>
  <c r="S77"/>
  <c r="S78"/>
  <c r="S79"/>
  <c r="S80"/>
  <c r="S81"/>
  <c r="S83"/>
  <c r="R83"/>
  <c r="P86"/>
  <c r="O83"/>
  <c r="I91"/>
  <c r="I92"/>
  <c r="U59"/>
  <c r="U60"/>
  <c r="U61"/>
  <c r="U62"/>
  <c r="U63"/>
  <c r="U64"/>
  <c r="U65"/>
  <c r="U66"/>
  <c r="U67"/>
  <c r="U68"/>
  <c r="U69"/>
  <c r="U70"/>
  <c r="U71"/>
  <c r="U72"/>
  <c r="U73"/>
  <c r="U74"/>
  <c r="U75"/>
  <c r="U76"/>
  <c r="U77"/>
  <c r="U78"/>
  <c r="U79"/>
  <c r="U80"/>
  <c r="U81"/>
  <c r="U83"/>
  <c r="I93"/>
  <c r="I94"/>
  <c r="I95"/>
  <c r="V59"/>
  <c r="W59"/>
  <c r="V60"/>
  <c r="W60"/>
  <c r="V61"/>
  <c r="W61"/>
  <c r="V62"/>
  <c r="W62"/>
  <c r="V63"/>
  <c r="W63"/>
  <c r="V64"/>
  <c r="W64"/>
  <c r="V65"/>
  <c r="W65"/>
  <c r="V66"/>
  <c r="W66"/>
  <c r="V67"/>
  <c r="W67"/>
  <c r="V68"/>
  <c r="W68"/>
  <c r="V69"/>
  <c r="W69"/>
  <c r="V70"/>
  <c r="W70"/>
  <c r="V71"/>
  <c r="W71"/>
  <c r="V72"/>
  <c r="W72"/>
  <c r="V73"/>
  <c r="W73"/>
  <c r="V74"/>
  <c r="W74"/>
  <c r="V75"/>
  <c r="W75"/>
  <c r="V76"/>
  <c r="W76"/>
  <c r="V77"/>
  <c r="W77"/>
  <c r="V78"/>
  <c r="W78"/>
  <c r="V79"/>
  <c r="W79"/>
  <c r="V80"/>
  <c r="W80"/>
  <c r="V81"/>
  <c r="W81"/>
  <c r="W83"/>
  <c r="V83"/>
  <c r="I97"/>
  <c r="I98"/>
  <c r="M99"/>
  <c r="M100"/>
  <c r="I99"/>
  <c r="AJ59"/>
  <c r="AK59"/>
  <c r="AJ60"/>
  <c r="AK60"/>
  <c r="AJ61"/>
  <c r="AK61"/>
  <c r="AJ62"/>
  <c r="AK62"/>
  <c r="AJ63"/>
  <c r="AK63"/>
  <c r="AJ64"/>
  <c r="AK64"/>
  <c r="AJ65"/>
  <c r="AK65"/>
  <c r="AJ66"/>
  <c r="AK66"/>
  <c r="AJ67"/>
  <c r="AK67"/>
  <c r="AJ68"/>
  <c r="AK68"/>
  <c r="AJ69"/>
  <c r="AK69"/>
  <c r="AJ70"/>
  <c r="AK70"/>
  <c r="AJ71"/>
  <c r="AK71"/>
  <c r="AJ72"/>
  <c r="AK72"/>
  <c r="AJ73"/>
  <c r="AK73"/>
  <c r="AJ74"/>
  <c r="AK74"/>
  <c r="AJ75"/>
  <c r="AK75"/>
  <c r="AJ76"/>
  <c r="AK76"/>
  <c r="AJ77"/>
  <c r="AK77"/>
  <c r="AJ78"/>
  <c r="AK78"/>
  <c r="AJ79"/>
  <c r="AK79"/>
  <c r="AJ80"/>
  <c r="AK80"/>
  <c r="AJ81"/>
  <c r="AK81"/>
  <c r="AL59"/>
  <c r="AL60"/>
  <c r="AL61"/>
  <c r="AL62"/>
  <c r="AL63"/>
  <c r="AL64"/>
  <c r="AL65"/>
  <c r="AL66"/>
  <c r="AL67"/>
  <c r="AL68"/>
  <c r="AL69"/>
  <c r="AL70"/>
  <c r="AL71"/>
  <c r="AL72"/>
  <c r="AL73"/>
  <c r="AL74"/>
  <c r="AL75"/>
  <c r="AL76"/>
  <c r="AL77"/>
  <c r="AL78"/>
  <c r="AL79"/>
  <c r="AL80"/>
  <c r="AL81"/>
  <c r="Q92"/>
  <c r="Q93"/>
  <c r="Q94"/>
  <c r="Q95"/>
  <c r="AH94"/>
  <c r="AH93"/>
  <c r="AH92"/>
  <c r="I87"/>
  <c r="I88"/>
  <c r="AH90"/>
  <c r="AH89"/>
  <c r="I86"/>
  <c r="M88"/>
  <c r="M89"/>
  <c r="AH88"/>
  <c r="P88"/>
  <c r="P87"/>
  <c r="AX81"/>
  <c r="AW81"/>
  <c r="AV81"/>
  <c r="AU81"/>
  <c r="AT81"/>
  <c r="AS81"/>
  <c r="AR81"/>
  <c r="AQ81"/>
  <c r="E81"/>
  <c r="AN81"/>
  <c r="F81"/>
  <c r="AO81"/>
  <c r="AP81"/>
  <c r="Q81"/>
  <c r="AH81"/>
  <c r="AG81"/>
  <c r="AF81"/>
  <c r="AX80"/>
  <c r="AW80"/>
  <c r="AV80"/>
  <c r="AU80"/>
  <c r="AT80"/>
  <c r="AS80"/>
  <c r="AR80"/>
  <c r="AQ80"/>
  <c r="E80"/>
  <c r="AN80"/>
  <c r="F80"/>
  <c r="AO80"/>
  <c r="AP80"/>
  <c r="Q80"/>
  <c r="AH80"/>
  <c r="AG80"/>
  <c r="AF80"/>
  <c r="AX79"/>
  <c r="AW79"/>
  <c r="AV79"/>
  <c r="AU79"/>
  <c r="AT79"/>
  <c r="AS79"/>
  <c r="AR79"/>
  <c r="AQ79"/>
  <c r="E79"/>
  <c r="AN79"/>
  <c r="F79"/>
  <c r="AO79"/>
  <c r="AP79"/>
  <c r="Q79"/>
  <c r="AH79"/>
  <c r="AG79"/>
  <c r="AF79"/>
  <c r="AX78"/>
  <c r="AW78"/>
  <c r="AV78"/>
  <c r="AU78"/>
  <c r="AT78"/>
  <c r="AS78"/>
  <c r="AR78"/>
  <c r="AQ78"/>
  <c r="E78"/>
  <c r="AN78"/>
  <c r="F78"/>
  <c r="AO78"/>
  <c r="AP78"/>
  <c r="Q78"/>
  <c r="AH78"/>
  <c r="AG78"/>
  <c r="AF78"/>
  <c r="AX77"/>
  <c r="AW77"/>
  <c r="AV77"/>
  <c r="AU77"/>
  <c r="AT77"/>
  <c r="AS77"/>
  <c r="AR77"/>
  <c r="AQ77"/>
  <c r="E77"/>
  <c r="AN77"/>
  <c r="F77"/>
  <c r="AO77"/>
  <c r="AP77"/>
  <c r="Q77"/>
  <c r="AH77"/>
  <c r="AG77"/>
  <c r="AF77"/>
  <c r="AX76"/>
  <c r="AW76"/>
  <c r="AV76"/>
  <c r="AU76"/>
  <c r="AT76"/>
  <c r="AS76"/>
  <c r="AR76"/>
  <c r="AQ76"/>
  <c r="E76"/>
  <c r="AN76"/>
  <c r="F76"/>
  <c r="AO76"/>
  <c r="AP76"/>
  <c r="Q76"/>
  <c r="AH76"/>
  <c r="AG76"/>
  <c r="AF76"/>
  <c r="AX75"/>
  <c r="AW75"/>
  <c r="AV75"/>
  <c r="AU75"/>
  <c r="AT75"/>
  <c r="AS75"/>
  <c r="AR75"/>
  <c r="AQ75"/>
  <c r="E75"/>
  <c r="AN75"/>
  <c r="F75"/>
  <c r="AO75"/>
  <c r="AP75"/>
  <c r="Q75"/>
  <c r="AH75"/>
  <c r="AG75"/>
  <c r="AF75"/>
  <c r="AX74"/>
  <c r="AW74"/>
  <c r="AV74"/>
  <c r="AU74"/>
  <c r="AT74"/>
  <c r="AS74"/>
  <c r="AR74"/>
  <c r="AQ74"/>
  <c r="E74"/>
  <c r="AN74"/>
  <c r="F74"/>
  <c r="AO74"/>
  <c r="AP74"/>
  <c r="Q74"/>
  <c r="AH74"/>
  <c r="AG74"/>
  <c r="AF74"/>
  <c r="AX73"/>
  <c r="AW73"/>
  <c r="AV73"/>
  <c r="AU73"/>
  <c r="AT73"/>
  <c r="AS73"/>
  <c r="AR73"/>
  <c r="AQ73"/>
  <c r="E73"/>
  <c r="AN73"/>
  <c r="F73"/>
  <c r="AO73"/>
  <c r="AP73"/>
  <c r="Q73"/>
  <c r="AH73"/>
  <c r="AG73"/>
  <c r="AF73"/>
  <c r="AX72"/>
  <c r="AW72"/>
  <c r="AV72"/>
  <c r="AU72"/>
  <c r="AT72"/>
  <c r="AS72"/>
  <c r="AR72"/>
  <c r="AQ72"/>
  <c r="E72"/>
  <c r="AN72"/>
  <c r="F72"/>
  <c r="AO72"/>
  <c r="AP72"/>
  <c r="Q72"/>
  <c r="AH72"/>
  <c r="AG72"/>
  <c r="AF72"/>
  <c r="AX71"/>
  <c r="AW71"/>
  <c r="AV71"/>
  <c r="AU71"/>
  <c r="AT71"/>
  <c r="AS71"/>
  <c r="AR71"/>
  <c r="AQ71"/>
  <c r="E71"/>
  <c r="AN71"/>
  <c r="F71"/>
  <c r="AO71"/>
  <c r="AP71"/>
  <c r="Q71"/>
  <c r="AH71"/>
  <c r="AG71"/>
  <c r="AF71"/>
  <c r="AX70"/>
  <c r="AW70"/>
  <c r="AV70"/>
  <c r="AU70"/>
  <c r="AT70"/>
  <c r="AS70"/>
  <c r="AR70"/>
  <c r="AQ70"/>
  <c r="E70"/>
  <c r="AN70"/>
  <c r="F70"/>
  <c r="AO70"/>
  <c r="AP70"/>
  <c r="Q70"/>
  <c r="AH70"/>
  <c r="AG70"/>
  <c r="AF70"/>
  <c r="AX69"/>
  <c r="AW69"/>
  <c r="AV69"/>
  <c r="AU69"/>
  <c r="AT69"/>
  <c r="AS69"/>
  <c r="AR69"/>
  <c r="AQ69"/>
  <c r="E69"/>
  <c r="AN69"/>
  <c r="F69"/>
  <c r="AO69"/>
  <c r="AP69"/>
  <c r="Q69"/>
  <c r="AH69"/>
  <c r="AG69"/>
  <c r="AF69"/>
  <c r="AX68"/>
  <c r="AW68"/>
  <c r="AV68"/>
  <c r="AU68"/>
  <c r="AT68"/>
  <c r="AS68"/>
  <c r="AR68"/>
  <c r="AQ68"/>
  <c r="E68"/>
  <c r="AN68"/>
  <c r="F68"/>
  <c r="AO68"/>
  <c r="AP68"/>
  <c r="Q68"/>
  <c r="AH68"/>
  <c r="AG68"/>
  <c r="AF68"/>
  <c r="AX67"/>
  <c r="AW67"/>
  <c r="AV67"/>
  <c r="AU67"/>
  <c r="AT67"/>
  <c r="AS67"/>
  <c r="AR67"/>
  <c r="AQ67"/>
  <c r="E67"/>
  <c r="AN67"/>
  <c r="F67"/>
  <c r="AO67"/>
  <c r="AP67"/>
  <c r="Q67"/>
  <c r="AH67"/>
  <c r="AG67"/>
  <c r="AF67"/>
  <c r="AX66"/>
  <c r="AW66"/>
  <c r="AV66"/>
  <c r="AU66"/>
  <c r="AT66"/>
  <c r="AS66"/>
  <c r="AR66"/>
  <c r="AQ66"/>
  <c r="E66"/>
  <c r="AN66"/>
  <c r="F66"/>
  <c r="AO66"/>
  <c r="AP66"/>
  <c r="Q66"/>
  <c r="AH66"/>
  <c r="AG66"/>
  <c r="AF66"/>
  <c r="AX65"/>
  <c r="AW65"/>
  <c r="AV65"/>
  <c r="AU65"/>
  <c r="AT65"/>
  <c r="AS65"/>
  <c r="AR65"/>
  <c r="AQ65"/>
  <c r="E65"/>
  <c r="AN65"/>
  <c r="F65"/>
  <c r="AO65"/>
  <c r="AP65"/>
  <c r="Q65"/>
  <c r="AH65"/>
  <c r="AG65"/>
  <c r="AF65"/>
  <c r="AX64"/>
  <c r="AW64"/>
  <c r="AV64"/>
  <c r="AU64"/>
  <c r="AT64"/>
  <c r="AS64"/>
  <c r="AR64"/>
  <c r="AQ64"/>
  <c r="E64"/>
  <c r="AN64"/>
  <c r="F64"/>
  <c r="AO64"/>
  <c r="AP64"/>
  <c r="Q64"/>
  <c r="AH64"/>
  <c r="AG64"/>
  <c r="AF64"/>
  <c r="AX63"/>
  <c r="AW63"/>
  <c r="AV63"/>
  <c r="AU63"/>
  <c r="AT63"/>
  <c r="AS63"/>
  <c r="AR63"/>
  <c r="AQ63"/>
  <c r="E63"/>
  <c r="AN63"/>
  <c r="F63"/>
  <c r="AO63"/>
  <c r="AP63"/>
  <c r="Q63"/>
  <c r="AH63"/>
  <c r="AG63"/>
  <c r="AF63"/>
  <c r="F5"/>
  <c r="AY62"/>
  <c r="AX62"/>
  <c r="AW62"/>
  <c r="AV62"/>
  <c r="AU62"/>
  <c r="AT62"/>
  <c r="AS62"/>
  <c r="AR62"/>
  <c r="AQ62"/>
  <c r="E62"/>
  <c r="AN62"/>
  <c r="F62"/>
  <c r="AO62"/>
  <c r="AP62"/>
  <c r="Q62"/>
  <c r="AH62"/>
  <c r="AG62"/>
  <c r="AF62"/>
  <c r="F6"/>
  <c r="AY61"/>
  <c r="AX61"/>
  <c r="AW61"/>
  <c r="AV61"/>
  <c r="AU61"/>
  <c r="AT61"/>
  <c r="AS61"/>
  <c r="AR61"/>
  <c r="AQ61"/>
  <c r="E61"/>
  <c r="AN61"/>
  <c r="F61"/>
  <c r="AO61"/>
  <c r="AP61"/>
  <c r="Q61"/>
  <c r="AH61"/>
  <c r="AG61"/>
  <c r="AF61"/>
  <c r="F4"/>
  <c r="AY60"/>
  <c r="AX60"/>
  <c r="AW60"/>
  <c r="AV60"/>
  <c r="AU60"/>
  <c r="AT60"/>
  <c r="AS60"/>
  <c r="AR60"/>
  <c r="AQ60"/>
  <c r="E60"/>
  <c r="AN60"/>
  <c r="F60"/>
  <c r="AO60"/>
  <c r="AP60"/>
  <c r="Q60"/>
  <c r="AH60"/>
  <c r="AG60"/>
  <c r="AF60"/>
  <c r="F3"/>
  <c r="AY59"/>
  <c r="AX59"/>
  <c r="AW59"/>
  <c r="AV59"/>
  <c r="AU59"/>
  <c r="AT59"/>
  <c r="AS59"/>
  <c r="AR59"/>
  <c r="AQ59"/>
  <c r="E59"/>
  <c r="AN59"/>
  <c r="F59"/>
  <c r="AO59"/>
  <c r="AP59"/>
  <c r="Q59"/>
  <c r="AH59"/>
  <c r="AG59"/>
  <c r="AF59"/>
  <c r="I57"/>
  <c r="AQ55"/>
  <c r="AP55"/>
  <c r="AO55"/>
  <c r="AN55"/>
  <c r="AM55"/>
  <c r="AL55"/>
  <c r="AK55"/>
  <c r="AJ55"/>
  <c r="AI55"/>
  <c r="AH55"/>
  <c r="AG55"/>
  <c r="AF55"/>
  <c r="AE55"/>
  <c r="AD55"/>
  <c r="AC55"/>
  <c r="AB55"/>
  <c r="AA55"/>
  <c r="Z55"/>
  <c r="Y55"/>
  <c r="G55"/>
  <c r="F55"/>
  <c r="E55"/>
  <c r="D55"/>
  <c r="C55"/>
  <c r="AQ54"/>
  <c r="AP54"/>
  <c r="AO54"/>
  <c r="AN54"/>
  <c r="AM54"/>
  <c r="AL54"/>
  <c r="AK54"/>
  <c r="AJ54"/>
  <c r="AI54"/>
  <c r="AH54"/>
  <c r="AG54"/>
  <c r="AF54"/>
  <c r="AE54"/>
  <c r="AD54"/>
  <c r="AC54"/>
  <c r="AB54"/>
  <c r="AA54"/>
  <c r="Z54"/>
  <c r="Y54"/>
  <c r="G54"/>
  <c r="F54"/>
  <c r="E54"/>
  <c r="D54"/>
  <c r="C54"/>
  <c r="AQ53"/>
  <c r="AP53"/>
  <c r="AO53"/>
  <c r="AN53"/>
  <c r="AM53"/>
  <c r="AL53"/>
  <c r="AK53"/>
  <c r="AJ53"/>
  <c r="AI53"/>
  <c r="AH53"/>
  <c r="AG53"/>
  <c r="AF53"/>
  <c r="AE53"/>
  <c r="AD53"/>
  <c r="AC53"/>
  <c r="AB53"/>
  <c r="AA53"/>
  <c r="Z53"/>
  <c r="Y53"/>
  <c r="I53"/>
  <c r="H53"/>
  <c r="G53"/>
  <c r="F53"/>
  <c r="E53"/>
  <c r="D53"/>
  <c r="C53"/>
  <c r="AQ52"/>
  <c r="AP52"/>
  <c r="AO52"/>
  <c r="AN52"/>
  <c r="AM52"/>
  <c r="AL52"/>
  <c r="AK52"/>
  <c r="AJ52"/>
  <c r="AI52"/>
  <c r="AH52"/>
  <c r="AG52"/>
  <c r="AF52"/>
  <c r="AE52"/>
  <c r="AD52"/>
  <c r="AC52"/>
  <c r="AB52"/>
  <c r="AA52"/>
  <c r="Z52"/>
  <c r="Y52"/>
  <c r="I52"/>
  <c r="H52"/>
  <c r="G52"/>
  <c r="F52"/>
  <c r="E52"/>
  <c r="D52"/>
  <c r="C52"/>
  <c r="AQ51"/>
  <c r="AP51"/>
  <c r="AO51"/>
  <c r="AN51"/>
  <c r="AM51"/>
  <c r="AL51"/>
  <c r="AK51"/>
  <c r="AJ51"/>
  <c r="AI51"/>
  <c r="AH51"/>
  <c r="AG51"/>
  <c r="AF51"/>
  <c r="AE51"/>
  <c r="AD51"/>
  <c r="AC51"/>
  <c r="AB51"/>
  <c r="AA51"/>
  <c r="Z51"/>
  <c r="Y51"/>
  <c r="I51"/>
  <c r="H51"/>
  <c r="G51"/>
  <c r="F51"/>
  <c r="E51"/>
  <c r="D51"/>
  <c r="C51"/>
  <c r="AQ50"/>
  <c r="AP50"/>
  <c r="AO50"/>
  <c r="AN50"/>
  <c r="AM50"/>
  <c r="AL50"/>
  <c r="AK50"/>
  <c r="AJ50"/>
  <c r="AI50"/>
  <c r="AH50"/>
  <c r="AG50"/>
  <c r="AF50"/>
  <c r="AE50"/>
  <c r="AD50"/>
  <c r="AC50"/>
  <c r="AB50"/>
  <c r="AA50"/>
  <c r="Z50"/>
  <c r="Y50"/>
  <c r="I50"/>
  <c r="H50"/>
  <c r="G50"/>
  <c r="F50"/>
  <c r="E50"/>
  <c r="D50"/>
  <c r="C50"/>
  <c r="AQ49"/>
  <c r="AP49"/>
  <c r="AO49"/>
  <c r="AN49"/>
  <c r="AM49"/>
  <c r="AL49"/>
  <c r="AK49"/>
  <c r="AJ49"/>
  <c r="AI49"/>
  <c r="AH49"/>
  <c r="AG49"/>
  <c r="AF49"/>
  <c r="AE49"/>
  <c r="AD49"/>
  <c r="AC49"/>
  <c r="AB49"/>
  <c r="AA49"/>
  <c r="Z49"/>
  <c r="Y49"/>
  <c r="I49"/>
  <c r="H49"/>
  <c r="G49"/>
  <c r="F49"/>
  <c r="E49"/>
  <c r="D49"/>
  <c r="C49"/>
  <c r="Y46"/>
  <c r="G46"/>
  <c r="D46"/>
  <c r="C46"/>
  <c r="Y45"/>
  <c r="G45"/>
  <c r="D45"/>
  <c r="C45"/>
  <c r="Y44"/>
  <c r="G44"/>
  <c r="D44"/>
  <c r="C44"/>
  <c r="Y43"/>
  <c r="G43"/>
  <c r="D43"/>
  <c r="C43"/>
  <c r="Y42"/>
  <c r="G42"/>
  <c r="D42"/>
  <c r="C42"/>
  <c r="Y41"/>
  <c r="G41"/>
  <c r="D41"/>
  <c r="C41"/>
  <c r="AQ40"/>
  <c r="AJ40"/>
  <c r="AG40"/>
  <c r="AE40"/>
  <c r="AD40"/>
  <c r="AC40"/>
  <c r="AA40"/>
  <c r="Y40"/>
  <c r="G40"/>
  <c r="D40"/>
  <c r="C40"/>
  <c r="AQ39"/>
  <c r="AJ39"/>
  <c r="AG39"/>
  <c r="AE39"/>
  <c r="AD39"/>
  <c r="AC39"/>
  <c r="AA39"/>
  <c r="Y39"/>
  <c r="G39"/>
  <c r="D39"/>
  <c r="C39"/>
  <c r="AQ38"/>
  <c r="Y38"/>
  <c r="G38"/>
  <c r="D38"/>
  <c r="C38"/>
  <c r="AQ37"/>
  <c r="Y37"/>
  <c r="G37"/>
  <c r="D37"/>
  <c r="C37"/>
  <c r="AQ36"/>
  <c r="AJ36"/>
  <c r="AG36"/>
  <c r="AE36"/>
  <c r="AD36"/>
  <c r="AC36"/>
  <c r="AA36"/>
  <c r="Y36"/>
  <c r="G36"/>
  <c r="D36"/>
  <c r="C36"/>
  <c r="AQ35"/>
  <c r="AJ35"/>
  <c r="AG35"/>
  <c r="AE35"/>
  <c r="AD35"/>
  <c r="AC35"/>
  <c r="AA35"/>
  <c r="Y35"/>
  <c r="G35"/>
  <c r="D35"/>
  <c r="C35"/>
  <c r="AQ34"/>
  <c r="AJ34"/>
  <c r="AG34"/>
  <c r="AE34"/>
  <c r="AD34"/>
  <c r="AC34"/>
  <c r="AA34"/>
  <c r="Y34"/>
  <c r="G34"/>
  <c r="D34"/>
  <c r="C34"/>
  <c r="AQ33"/>
  <c r="AJ33"/>
  <c r="AG33"/>
  <c r="AE33"/>
  <c r="AD33"/>
  <c r="AC33"/>
  <c r="AA33"/>
  <c r="Y33"/>
  <c r="G33"/>
  <c r="D33"/>
  <c r="C33"/>
  <c r="AQ32"/>
  <c r="AJ32"/>
  <c r="AG32"/>
  <c r="AE32"/>
  <c r="AD32"/>
  <c r="AC32"/>
  <c r="AA32"/>
  <c r="Y32"/>
  <c r="G32"/>
  <c r="D32"/>
  <c r="C32"/>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Y27"/>
  <c r="G27"/>
  <c r="D27"/>
  <c r="C27"/>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D6" i="99"/>
  <c r="D5"/>
  <c r="H36"/>
  <c r="I36"/>
  <c r="J36"/>
  <c r="L36"/>
  <c r="D3"/>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T41"/>
  <c r="S36"/>
  <c r="S37"/>
  <c r="S38"/>
  <c r="S39"/>
  <c r="S41"/>
  <c r="R41"/>
  <c r="P44"/>
  <c r="O41"/>
  <c r="I49"/>
  <c r="I50"/>
  <c r="U36"/>
  <c r="U37"/>
  <c r="U38"/>
  <c r="U39"/>
  <c r="U41"/>
  <c r="I51"/>
  <c r="I52"/>
  <c r="I53"/>
  <c r="V36"/>
  <c r="W36"/>
  <c r="V37"/>
  <c r="W37"/>
  <c r="V38"/>
  <c r="W38"/>
  <c r="V39"/>
  <c r="W39"/>
  <c r="W41"/>
  <c r="V41"/>
  <c r="I55"/>
  <c r="I56"/>
  <c r="M57"/>
  <c r="M58"/>
  <c r="I57"/>
  <c r="AJ36"/>
  <c r="AK36"/>
  <c r="AJ37"/>
  <c r="AK37"/>
  <c r="AJ38"/>
  <c r="AK38"/>
  <c r="AJ39"/>
  <c r="AK39"/>
  <c r="AL36"/>
  <c r="AL37"/>
  <c r="AL38"/>
  <c r="AL39"/>
  <c r="Q50"/>
  <c r="Q51"/>
  <c r="Q52"/>
  <c r="Q53"/>
  <c r="AH52"/>
  <c r="AH51"/>
  <c r="AH50"/>
  <c r="I45"/>
  <c r="I46"/>
  <c r="AH48"/>
  <c r="AH47"/>
  <c r="I44"/>
  <c r="M46"/>
  <c r="M47"/>
  <c r="AH46"/>
  <c r="P46"/>
  <c r="P45"/>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F6"/>
  <c r="AY36"/>
  <c r="AX36"/>
  <c r="AW36"/>
  <c r="AV36"/>
  <c r="AU36"/>
  <c r="AT36"/>
  <c r="AS36"/>
  <c r="AR36"/>
  <c r="AQ36"/>
  <c r="E36"/>
  <c r="AN36"/>
  <c r="F36"/>
  <c r="AO36"/>
  <c r="AP36"/>
  <c r="Q36"/>
  <c r="AH36"/>
  <c r="AG36"/>
  <c r="AF36"/>
  <c r="I34"/>
  <c r="AQ32"/>
  <c r="AP32"/>
  <c r="AO32"/>
  <c r="AN32"/>
  <c r="AM32"/>
  <c r="AL32"/>
  <c r="AK32"/>
  <c r="AJ32"/>
  <c r="AI32"/>
  <c r="AH32"/>
  <c r="AG32"/>
  <c r="AF32"/>
  <c r="AE32"/>
  <c r="AD32"/>
  <c r="AC32"/>
  <c r="AB32"/>
  <c r="AA32"/>
  <c r="Z32"/>
  <c r="Y32"/>
  <c r="G32"/>
  <c r="F32"/>
  <c r="E32"/>
  <c r="D32"/>
  <c r="C32"/>
  <c r="AQ31"/>
  <c r="AP31"/>
  <c r="AO31"/>
  <c r="AN31"/>
  <c r="AM31"/>
  <c r="AL31"/>
  <c r="AK31"/>
  <c r="AJ31"/>
  <c r="AI31"/>
  <c r="AH31"/>
  <c r="AG31"/>
  <c r="AF31"/>
  <c r="AE31"/>
  <c r="AD31"/>
  <c r="AC31"/>
  <c r="AB31"/>
  <c r="AA31"/>
  <c r="Z31"/>
  <c r="Y31"/>
  <c r="G31"/>
  <c r="F31"/>
  <c r="E31"/>
  <c r="D31"/>
  <c r="C31"/>
  <c r="AQ30"/>
  <c r="AP30"/>
  <c r="AO30"/>
  <c r="AN30"/>
  <c r="AM30"/>
  <c r="AL30"/>
  <c r="AK30"/>
  <c r="AJ30"/>
  <c r="AI30"/>
  <c r="AH30"/>
  <c r="AG30"/>
  <c r="AF30"/>
  <c r="AE30"/>
  <c r="AD30"/>
  <c r="AC30"/>
  <c r="AB30"/>
  <c r="AA30"/>
  <c r="Z30"/>
  <c r="Y30"/>
  <c r="I30"/>
  <c r="H30"/>
  <c r="G30"/>
  <c r="F30"/>
  <c r="E30"/>
  <c r="D30"/>
  <c r="C30"/>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A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F4"/>
  <c r="F3"/>
  <c r="D6" i="84"/>
  <c r="D5"/>
  <c r="H36"/>
  <c r="I36"/>
  <c r="J36"/>
  <c r="L36"/>
  <c r="D3"/>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T45"/>
  <c r="S36"/>
  <c r="S37"/>
  <c r="S38"/>
  <c r="S39"/>
  <c r="S40"/>
  <c r="S41"/>
  <c r="S42"/>
  <c r="S43"/>
  <c r="S45"/>
  <c r="R45"/>
  <c r="P48"/>
  <c r="O45"/>
  <c r="I53"/>
  <c r="I57"/>
  <c r="V36"/>
  <c r="W36"/>
  <c r="V37"/>
  <c r="W37"/>
  <c r="V38"/>
  <c r="W38"/>
  <c r="V39"/>
  <c r="W39"/>
  <c r="V40"/>
  <c r="W40"/>
  <c r="V41"/>
  <c r="W41"/>
  <c r="V42"/>
  <c r="W42"/>
  <c r="V43"/>
  <c r="W43"/>
  <c r="W45"/>
  <c r="V45"/>
  <c r="I59"/>
  <c r="I60"/>
  <c r="M61"/>
  <c r="M62"/>
  <c r="I61"/>
  <c r="AJ36"/>
  <c r="AK36"/>
  <c r="AJ37"/>
  <c r="AK37"/>
  <c r="AJ38"/>
  <c r="AK38"/>
  <c r="AJ39"/>
  <c r="AK39"/>
  <c r="AJ40"/>
  <c r="AK40"/>
  <c r="AJ41"/>
  <c r="AK41"/>
  <c r="AJ42"/>
  <c r="AK42"/>
  <c r="AJ43"/>
  <c r="AK43"/>
  <c r="AL36"/>
  <c r="AL37"/>
  <c r="AL38"/>
  <c r="AL39"/>
  <c r="AL40"/>
  <c r="AL41"/>
  <c r="AL42"/>
  <c r="AL43"/>
  <c r="Q54"/>
  <c r="Q55"/>
  <c r="Q56"/>
  <c r="Q57"/>
  <c r="AH56"/>
  <c r="I54"/>
  <c r="U36"/>
  <c r="U37"/>
  <c r="U38"/>
  <c r="U39"/>
  <c r="U40"/>
  <c r="U41"/>
  <c r="U42"/>
  <c r="U43"/>
  <c r="U45"/>
  <c r="I55"/>
  <c r="I56"/>
  <c r="AH55"/>
  <c r="AH54"/>
  <c r="I49"/>
  <c r="I50"/>
  <c r="AH52"/>
  <c r="AH51"/>
  <c r="I48"/>
  <c r="M50"/>
  <c r="M51"/>
  <c r="AH50"/>
  <c r="P50"/>
  <c r="P49"/>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AX36"/>
  <c r="AW36"/>
  <c r="AV36"/>
  <c r="AU36"/>
  <c r="AT36"/>
  <c r="AS36"/>
  <c r="AR36"/>
  <c r="AQ36"/>
  <c r="E36"/>
  <c r="AN36"/>
  <c r="F36"/>
  <c r="AO36"/>
  <c r="AP36"/>
  <c r="Q36"/>
  <c r="AH36"/>
  <c r="AG36"/>
  <c r="AF36"/>
  <c r="I34"/>
  <c r="AQ33"/>
  <c r="AP33"/>
  <c r="AO33"/>
  <c r="AN33"/>
  <c r="AM33"/>
  <c r="AL33"/>
  <c r="AK33"/>
  <c r="AJ33"/>
  <c r="AI33"/>
  <c r="AH33"/>
  <c r="AG33"/>
  <c r="AF33"/>
  <c r="AE33"/>
  <c r="AD33"/>
  <c r="AC33"/>
  <c r="AB33"/>
  <c r="AA33"/>
  <c r="Z33"/>
  <c r="Y33"/>
  <c r="I33"/>
  <c r="H33"/>
  <c r="G33"/>
  <c r="F33"/>
  <c r="E33"/>
  <c r="D33"/>
  <c r="C33"/>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93"/>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T45"/>
  <c r="S37"/>
  <c r="S38"/>
  <c r="S39"/>
  <c r="S40"/>
  <c r="S41"/>
  <c r="S42"/>
  <c r="S43"/>
  <c r="S45"/>
  <c r="R45"/>
  <c r="P48"/>
  <c r="O45"/>
  <c r="I53"/>
  <c r="I57"/>
  <c r="V37"/>
  <c r="W37"/>
  <c r="V38"/>
  <c r="W38"/>
  <c r="V39"/>
  <c r="W39"/>
  <c r="V40"/>
  <c r="W40"/>
  <c r="V41"/>
  <c r="W41"/>
  <c r="V42"/>
  <c r="W42"/>
  <c r="V43"/>
  <c r="W43"/>
  <c r="W45"/>
  <c r="V45"/>
  <c r="I59"/>
  <c r="I60"/>
  <c r="M61"/>
  <c r="M62"/>
  <c r="I61"/>
  <c r="AJ37"/>
  <c r="AK37"/>
  <c r="AJ38"/>
  <c r="AK38"/>
  <c r="AJ39"/>
  <c r="AK39"/>
  <c r="AJ40"/>
  <c r="AK40"/>
  <c r="AJ41"/>
  <c r="AK41"/>
  <c r="AJ42"/>
  <c r="AK42"/>
  <c r="AJ43"/>
  <c r="AK43"/>
  <c r="AL37"/>
  <c r="AL38"/>
  <c r="AL39"/>
  <c r="AL40"/>
  <c r="AL41"/>
  <c r="AL42"/>
  <c r="AL43"/>
  <c r="Q54"/>
  <c r="Q55"/>
  <c r="Q56"/>
  <c r="Q57"/>
  <c r="AH56"/>
  <c r="I54"/>
  <c r="U37"/>
  <c r="U38"/>
  <c r="U39"/>
  <c r="U40"/>
  <c r="U41"/>
  <c r="U42"/>
  <c r="U43"/>
  <c r="U45"/>
  <c r="I55"/>
  <c r="I56"/>
  <c r="AH55"/>
  <c r="AH54"/>
  <c r="I49"/>
  <c r="I50"/>
  <c r="AH52"/>
  <c r="AH51"/>
  <c r="I48"/>
  <c r="M50"/>
  <c r="M51"/>
  <c r="AH50"/>
  <c r="P50"/>
  <c r="P49"/>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I35"/>
  <c r="AQ34"/>
  <c r="AP34"/>
  <c r="AO34"/>
  <c r="AN34"/>
  <c r="AM34"/>
  <c r="AL34"/>
  <c r="AK34"/>
  <c r="AJ34"/>
  <c r="AI34"/>
  <c r="AH34"/>
  <c r="AG34"/>
  <c r="AF34"/>
  <c r="AE34"/>
  <c r="I34"/>
  <c r="H34"/>
  <c r="G34"/>
  <c r="F34"/>
  <c r="E34"/>
  <c r="D34"/>
  <c r="C34"/>
  <c r="AQ33"/>
  <c r="AP33"/>
  <c r="AO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Y30"/>
  <c r="G30"/>
  <c r="D30"/>
  <c r="C30"/>
  <c r="Y29"/>
  <c r="G29"/>
  <c r="D29"/>
  <c r="C29"/>
  <c r="Y28"/>
  <c r="G28"/>
  <c r="D28"/>
  <c r="C28"/>
  <c r="Y27"/>
  <c r="G27"/>
  <c r="D27"/>
  <c r="C27"/>
  <c r="Y26"/>
  <c r="G26"/>
  <c r="D26"/>
  <c r="C26"/>
  <c r="Y25"/>
  <c r="G25"/>
  <c r="D25"/>
  <c r="C25"/>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95"/>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H43"/>
  <c r="I43"/>
  <c r="J43"/>
  <c r="L43"/>
  <c r="M43"/>
  <c r="K43"/>
  <c r="N43"/>
  <c r="O43"/>
  <c r="P43"/>
  <c r="R43"/>
  <c r="T43"/>
  <c r="T45"/>
  <c r="S37"/>
  <c r="S38"/>
  <c r="S39"/>
  <c r="S40"/>
  <c r="S41"/>
  <c r="S42"/>
  <c r="S43"/>
  <c r="S45"/>
  <c r="R45"/>
  <c r="P48"/>
  <c r="O45"/>
  <c r="I53"/>
  <c r="I57"/>
  <c r="V37"/>
  <c r="W37"/>
  <c r="V38"/>
  <c r="W38"/>
  <c r="V39"/>
  <c r="W39"/>
  <c r="V40"/>
  <c r="W40"/>
  <c r="V41"/>
  <c r="W41"/>
  <c r="V42"/>
  <c r="W42"/>
  <c r="V43"/>
  <c r="W43"/>
  <c r="W45"/>
  <c r="V45"/>
  <c r="I59"/>
  <c r="I60"/>
  <c r="M61"/>
  <c r="M62"/>
  <c r="I61"/>
  <c r="AJ37"/>
  <c r="AK37"/>
  <c r="AJ38"/>
  <c r="AK38"/>
  <c r="AJ39"/>
  <c r="AK39"/>
  <c r="AJ40"/>
  <c r="AK40"/>
  <c r="AJ41"/>
  <c r="AK41"/>
  <c r="AJ42"/>
  <c r="AK42"/>
  <c r="AJ43"/>
  <c r="AK43"/>
  <c r="AL37"/>
  <c r="AL38"/>
  <c r="AL39"/>
  <c r="AL40"/>
  <c r="AL41"/>
  <c r="AL42"/>
  <c r="AL43"/>
  <c r="Q54"/>
  <c r="Q55"/>
  <c r="Q56"/>
  <c r="Q57"/>
  <c r="AH56"/>
  <c r="I54"/>
  <c r="U37"/>
  <c r="U38"/>
  <c r="U39"/>
  <c r="U40"/>
  <c r="U41"/>
  <c r="U42"/>
  <c r="U43"/>
  <c r="U45"/>
  <c r="I55"/>
  <c r="I56"/>
  <c r="AH55"/>
  <c r="AH54"/>
  <c r="I49"/>
  <c r="I50"/>
  <c r="AH52"/>
  <c r="AH51"/>
  <c r="I48"/>
  <c r="M50"/>
  <c r="M51"/>
  <c r="AH50"/>
  <c r="P50"/>
  <c r="P49"/>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F5"/>
  <c r="AY39"/>
  <c r="AX39"/>
  <c r="AW39"/>
  <c r="AV39"/>
  <c r="AU39"/>
  <c r="AT39"/>
  <c r="AS39"/>
  <c r="AR39"/>
  <c r="AQ39"/>
  <c r="E39"/>
  <c r="AN39"/>
  <c r="F39"/>
  <c r="AO39"/>
  <c r="AP39"/>
  <c r="Q39"/>
  <c r="AH39"/>
  <c r="AG39"/>
  <c r="AF39"/>
  <c r="F4"/>
  <c r="AY38"/>
  <c r="AX38"/>
  <c r="AW38"/>
  <c r="AV38"/>
  <c r="AU38"/>
  <c r="AT38"/>
  <c r="AS38"/>
  <c r="AR38"/>
  <c r="AQ38"/>
  <c r="E38"/>
  <c r="AN38"/>
  <c r="F38"/>
  <c r="AO38"/>
  <c r="AP38"/>
  <c r="Q38"/>
  <c r="AH38"/>
  <c r="AG38"/>
  <c r="AF38"/>
  <c r="F3"/>
  <c r="AY37"/>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J30"/>
  <c r="AG30"/>
  <c r="AE30"/>
  <c r="AD30"/>
  <c r="AC30"/>
  <c r="AA30"/>
  <c r="Y30"/>
  <c r="G30"/>
  <c r="D30"/>
  <c r="C30"/>
  <c r="Y29"/>
  <c r="G29"/>
  <c r="D29"/>
  <c r="C29"/>
  <c r="Y28"/>
  <c r="G28"/>
  <c r="D28"/>
  <c r="C28"/>
  <c r="AQ27"/>
  <c r="AJ27"/>
  <c r="AG27"/>
  <c r="Y27"/>
  <c r="G27"/>
  <c r="D27"/>
  <c r="C27"/>
  <c r="AQ26"/>
  <c r="AJ26"/>
  <c r="AG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D6" i="97"/>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T44"/>
  <c r="S37"/>
  <c r="S38"/>
  <c r="S39"/>
  <c r="S40"/>
  <c r="S41"/>
  <c r="S42"/>
  <c r="S44"/>
  <c r="R44"/>
  <c r="P47"/>
  <c r="O44"/>
  <c r="I52"/>
  <c r="I53"/>
  <c r="U37"/>
  <c r="U38"/>
  <c r="U39"/>
  <c r="U40"/>
  <c r="U41"/>
  <c r="U42"/>
  <c r="U44"/>
  <c r="I54"/>
  <c r="I55"/>
  <c r="I56"/>
  <c r="V37"/>
  <c r="W37"/>
  <c r="V38"/>
  <c r="W38"/>
  <c r="V39"/>
  <c r="W39"/>
  <c r="V40"/>
  <c r="W40"/>
  <c r="V41"/>
  <c r="W41"/>
  <c r="V42"/>
  <c r="W42"/>
  <c r="W44"/>
  <c r="V44"/>
  <c r="I58"/>
  <c r="I59"/>
  <c r="M60"/>
  <c r="M61"/>
  <c r="I60"/>
  <c r="AJ37"/>
  <c r="AK37"/>
  <c r="AJ38"/>
  <c r="AK38"/>
  <c r="AJ39"/>
  <c r="AK39"/>
  <c r="AJ40"/>
  <c r="AK40"/>
  <c r="AJ41"/>
  <c r="AK41"/>
  <c r="AJ42"/>
  <c r="AK42"/>
  <c r="AL37"/>
  <c r="AL38"/>
  <c r="AL39"/>
  <c r="AL40"/>
  <c r="AL41"/>
  <c r="AL42"/>
  <c r="Q53"/>
  <c r="Q54"/>
  <c r="Q55"/>
  <c r="Q56"/>
  <c r="AH55"/>
  <c r="AH54"/>
  <c r="AH53"/>
  <c r="I48"/>
  <c r="I49"/>
  <c r="AH51"/>
  <c r="AH50"/>
  <c r="I47"/>
  <c r="M49"/>
  <c r="M50"/>
  <c r="AH49"/>
  <c r="P49"/>
  <c r="P48"/>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0"/>
  <c r="AP30"/>
  <c r="AO30"/>
  <c r="AN30"/>
  <c r="AM30"/>
  <c r="AL30"/>
  <c r="AK30"/>
  <c r="AJ30"/>
  <c r="AI30"/>
  <c r="AH30"/>
  <c r="AG30"/>
  <c r="AF30"/>
  <c r="AE30"/>
  <c r="AD30"/>
  <c r="AC30"/>
  <c r="AB30"/>
  <c r="AA30"/>
  <c r="Z30"/>
  <c r="Y30"/>
  <c r="I30"/>
  <c r="H30"/>
  <c r="G30"/>
  <c r="F30"/>
  <c r="E30"/>
  <c r="D30"/>
  <c r="C30"/>
  <c r="AQ29"/>
  <c r="AJ29"/>
  <c r="AG29"/>
  <c r="AE29"/>
  <c r="AD29"/>
  <c r="AC29"/>
  <c r="AA29"/>
  <c r="Y29"/>
  <c r="G29"/>
  <c r="D29"/>
  <c r="C29"/>
  <c r="AQ28"/>
  <c r="AJ28"/>
  <c r="AG28"/>
  <c r="Y28"/>
  <c r="G28"/>
  <c r="D28"/>
  <c r="C28"/>
  <c r="AQ27"/>
  <c r="AJ27"/>
  <c r="AG27"/>
  <c r="Y27"/>
  <c r="G27"/>
  <c r="D27"/>
  <c r="C27"/>
  <c r="AQ26"/>
  <c r="AJ26"/>
  <c r="AG26"/>
  <c r="Y26"/>
  <c r="G26"/>
  <c r="D26"/>
  <c r="C26"/>
  <c r="AQ25"/>
  <c r="AJ25"/>
  <c r="AG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F4"/>
  <c r="F3"/>
  <c r="D6" i="62"/>
  <c r="D5"/>
  <c r="H87"/>
  <c r="I87"/>
  <c r="J87"/>
  <c r="L87"/>
  <c r="D3"/>
  <c r="M87"/>
  <c r="K87"/>
  <c r="N87"/>
  <c r="O87"/>
  <c r="P87"/>
  <c r="R87"/>
  <c r="T87"/>
  <c r="H88"/>
  <c r="I88"/>
  <c r="J88"/>
  <c r="L88"/>
  <c r="M88"/>
  <c r="K88"/>
  <c r="N88"/>
  <c r="O88"/>
  <c r="P88"/>
  <c r="R88"/>
  <c r="T88"/>
  <c r="H89"/>
  <c r="I89"/>
  <c r="J89"/>
  <c r="L89"/>
  <c r="M89"/>
  <c r="K89"/>
  <c r="N89"/>
  <c r="O89"/>
  <c r="P89"/>
  <c r="R89"/>
  <c r="T89"/>
  <c r="H90"/>
  <c r="I90"/>
  <c r="J90"/>
  <c r="L90"/>
  <c r="M90"/>
  <c r="K90"/>
  <c r="N90"/>
  <c r="O90"/>
  <c r="P90"/>
  <c r="R90"/>
  <c r="T90"/>
  <c r="H91"/>
  <c r="I91"/>
  <c r="J91"/>
  <c r="L91"/>
  <c r="M91"/>
  <c r="K91"/>
  <c r="N91"/>
  <c r="O91"/>
  <c r="P91"/>
  <c r="R91"/>
  <c r="T91"/>
  <c r="H92"/>
  <c r="I92"/>
  <c r="J92"/>
  <c r="L92"/>
  <c r="M92"/>
  <c r="K92"/>
  <c r="N92"/>
  <c r="O92"/>
  <c r="P92"/>
  <c r="R92"/>
  <c r="T92"/>
  <c r="H93"/>
  <c r="I93"/>
  <c r="J93"/>
  <c r="L93"/>
  <c r="M93"/>
  <c r="K93"/>
  <c r="N93"/>
  <c r="O93"/>
  <c r="P93"/>
  <c r="R93"/>
  <c r="T93"/>
  <c r="H94"/>
  <c r="I94"/>
  <c r="J94"/>
  <c r="L94"/>
  <c r="M94"/>
  <c r="K94"/>
  <c r="N94"/>
  <c r="O94"/>
  <c r="P94"/>
  <c r="R94"/>
  <c r="T94"/>
  <c r="H95"/>
  <c r="I95"/>
  <c r="J95"/>
  <c r="L95"/>
  <c r="M95"/>
  <c r="K95"/>
  <c r="N95"/>
  <c r="O95"/>
  <c r="P95"/>
  <c r="R95"/>
  <c r="T95"/>
  <c r="H96"/>
  <c r="I96"/>
  <c r="J96"/>
  <c r="L96"/>
  <c r="M96"/>
  <c r="K96"/>
  <c r="N96"/>
  <c r="O96"/>
  <c r="P96"/>
  <c r="R96"/>
  <c r="T96"/>
  <c r="H97"/>
  <c r="I97"/>
  <c r="J97"/>
  <c r="L97"/>
  <c r="M97"/>
  <c r="K97"/>
  <c r="N97"/>
  <c r="O97"/>
  <c r="P97"/>
  <c r="R97"/>
  <c r="T97"/>
  <c r="H98"/>
  <c r="I98"/>
  <c r="J98"/>
  <c r="L98"/>
  <c r="M98"/>
  <c r="K98"/>
  <c r="N98"/>
  <c r="O98"/>
  <c r="P98"/>
  <c r="R98"/>
  <c r="T98"/>
  <c r="H99"/>
  <c r="I99"/>
  <c r="J99"/>
  <c r="L99"/>
  <c r="M99"/>
  <c r="K99"/>
  <c r="N99"/>
  <c r="O99"/>
  <c r="P99"/>
  <c r="R99"/>
  <c r="T99"/>
  <c r="H100"/>
  <c r="I100"/>
  <c r="J100"/>
  <c r="L100"/>
  <c r="M100"/>
  <c r="K100"/>
  <c r="N100"/>
  <c r="O100"/>
  <c r="P100"/>
  <c r="R100"/>
  <c r="T100"/>
  <c r="H101"/>
  <c r="I101"/>
  <c r="J101"/>
  <c r="L101"/>
  <c r="M101"/>
  <c r="K101"/>
  <c r="N101"/>
  <c r="O101"/>
  <c r="P101"/>
  <c r="R101"/>
  <c r="T101"/>
  <c r="H102"/>
  <c r="I102"/>
  <c r="J102"/>
  <c r="L102"/>
  <c r="M102"/>
  <c r="K102"/>
  <c r="N102"/>
  <c r="O102"/>
  <c r="P102"/>
  <c r="R102"/>
  <c r="T102"/>
  <c r="H103"/>
  <c r="I103"/>
  <c r="J103"/>
  <c r="L103"/>
  <c r="M103"/>
  <c r="K103"/>
  <c r="N103"/>
  <c r="O103"/>
  <c r="P103"/>
  <c r="R103"/>
  <c r="T103"/>
  <c r="H104"/>
  <c r="I104"/>
  <c r="J104"/>
  <c r="L104"/>
  <c r="M104"/>
  <c r="K104"/>
  <c r="N104"/>
  <c r="O104"/>
  <c r="P104"/>
  <c r="R104"/>
  <c r="T104"/>
  <c r="H105"/>
  <c r="I105"/>
  <c r="J105"/>
  <c r="L105"/>
  <c r="M105"/>
  <c r="K105"/>
  <c r="N105"/>
  <c r="O105"/>
  <c r="P105"/>
  <c r="R105"/>
  <c r="T105"/>
  <c r="H106"/>
  <c r="I106"/>
  <c r="J106"/>
  <c r="L106"/>
  <c r="M106"/>
  <c r="K106"/>
  <c r="N106"/>
  <c r="O106"/>
  <c r="P106"/>
  <c r="R106"/>
  <c r="T106"/>
  <c r="H107"/>
  <c r="I107"/>
  <c r="J107"/>
  <c r="L107"/>
  <c r="M107"/>
  <c r="K107"/>
  <c r="N107"/>
  <c r="O107"/>
  <c r="P107"/>
  <c r="R107"/>
  <c r="T107"/>
  <c r="H108"/>
  <c r="I108"/>
  <c r="J108"/>
  <c r="L108"/>
  <c r="M108"/>
  <c r="K108"/>
  <c r="N108"/>
  <c r="O108"/>
  <c r="P108"/>
  <c r="R108"/>
  <c r="T108"/>
  <c r="H109"/>
  <c r="I109"/>
  <c r="J109"/>
  <c r="L109"/>
  <c r="M109"/>
  <c r="K109"/>
  <c r="N109"/>
  <c r="O109"/>
  <c r="P109"/>
  <c r="R109"/>
  <c r="T109"/>
  <c r="H110"/>
  <c r="I110"/>
  <c r="J110"/>
  <c r="L110"/>
  <c r="M110"/>
  <c r="K110"/>
  <c r="N110"/>
  <c r="O110"/>
  <c r="P110"/>
  <c r="R110"/>
  <c r="T110"/>
  <c r="H111"/>
  <c r="I111"/>
  <c r="J111"/>
  <c r="L111"/>
  <c r="M111"/>
  <c r="K111"/>
  <c r="N111"/>
  <c r="O111"/>
  <c r="P111"/>
  <c r="R111"/>
  <c r="T111"/>
  <c r="H112"/>
  <c r="I112"/>
  <c r="J112"/>
  <c r="L112"/>
  <c r="M112"/>
  <c r="K112"/>
  <c r="N112"/>
  <c r="O112"/>
  <c r="P112"/>
  <c r="R112"/>
  <c r="T112"/>
  <c r="H113"/>
  <c r="I113"/>
  <c r="J113"/>
  <c r="L113"/>
  <c r="M113"/>
  <c r="K113"/>
  <c r="N113"/>
  <c r="O113"/>
  <c r="P113"/>
  <c r="R113"/>
  <c r="T113"/>
  <c r="H114"/>
  <c r="I114"/>
  <c r="J114"/>
  <c r="L114"/>
  <c r="M114"/>
  <c r="K114"/>
  <c r="N114"/>
  <c r="O114"/>
  <c r="P114"/>
  <c r="R114"/>
  <c r="T114"/>
  <c r="H115"/>
  <c r="I115"/>
  <c r="J115"/>
  <c r="L115"/>
  <c r="M115"/>
  <c r="K115"/>
  <c r="N115"/>
  <c r="O115"/>
  <c r="P115"/>
  <c r="R115"/>
  <c r="T115"/>
  <c r="H116"/>
  <c r="I116"/>
  <c r="J116"/>
  <c r="L116"/>
  <c r="M116"/>
  <c r="K116"/>
  <c r="N116"/>
  <c r="O116"/>
  <c r="P116"/>
  <c r="R116"/>
  <c r="T116"/>
  <c r="H117"/>
  <c r="I117"/>
  <c r="J117"/>
  <c r="L117"/>
  <c r="M117"/>
  <c r="K117"/>
  <c r="N117"/>
  <c r="O117"/>
  <c r="P117"/>
  <c r="R117"/>
  <c r="T117"/>
  <c r="H118"/>
  <c r="I118"/>
  <c r="J118"/>
  <c r="L118"/>
  <c r="M118"/>
  <c r="K118"/>
  <c r="N118"/>
  <c r="O118"/>
  <c r="P118"/>
  <c r="R118"/>
  <c r="T118"/>
  <c r="H119"/>
  <c r="I119"/>
  <c r="J119"/>
  <c r="L119"/>
  <c r="M119"/>
  <c r="K119"/>
  <c r="N119"/>
  <c r="O119"/>
  <c r="P119"/>
  <c r="R119"/>
  <c r="T119"/>
  <c r="H120"/>
  <c r="I120"/>
  <c r="J120"/>
  <c r="L120"/>
  <c r="M120"/>
  <c r="K120"/>
  <c r="N120"/>
  <c r="O120"/>
  <c r="P120"/>
  <c r="R120"/>
  <c r="T120"/>
  <c r="H121"/>
  <c r="I121"/>
  <c r="J121"/>
  <c r="L121"/>
  <c r="M121"/>
  <c r="K121"/>
  <c r="N121"/>
  <c r="O121"/>
  <c r="P121"/>
  <c r="R121"/>
  <c r="T121"/>
  <c r="H122"/>
  <c r="I122"/>
  <c r="J122"/>
  <c r="L122"/>
  <c r="M122"/>
  <c r="K122"/>
  <c r="N122"/>
  <c r="O122"/>
  <c r="P122"/>
  <c r="R122"/>
  <c r="T122"/>
  <c r="H123"/>
  <c r="I123"/>
  <c r="J123"/>
  <c r="L123"/>
  <c r="M123"/>
  <c r="K123"/>
  <c r="N123"/>
  <c r="O123"/>
  <c r="P123"/>
  <c r="R123"/>
  <c r="T123"/>
  <c r="H124"/>
  <c r="I124"/>
  <c r="J124"/>
  <c r="L124"/>
  <c r="M124"/>
  <c r="K124"/>
  <c r="N124"/>
  <c r="O124"/>
  <c r="P124"/>
  <c r="R124"/>
  <c r="T124"/>
  <c r="H125"/>
  <c r="I125"/>
  <c r="J125"/>
  <c r="L125"/>
  <c r="M125"/>
  <c r="K125"/>
  <c r="N125"/>
  <c r="O125"/>
  <c r="P125"/>
  <c r="R125"/>
  <c r="T125"/>
  <c r="H126"/>
  <c r="I126"/>
  <c r="J126"/>
  <c r="L126"/>
  <c r="M126"/>
  <c r="K126"/>
  <c r="N126"/>
  <c r="O126"/>
  <c r="P126"/>
  <c r="R126"/>
  <c r="T126"/>
  <c r="H127"/>
  <c r="I127"/>
  <c r="J127"/>
  <c r="L127"/>
  <c r="M127"/>
  <c r="K127"/>
  <c r="N127"/>
  <c r="O127"/>
  <c r="P127"/>
  <c r="R127"/>
  <c r="T127"/>
  <c r="T129"/>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9"/>
  <c r="R129"/>
  <c r="P132"/>
  <c r="O129"/>
  <c r="I137"/>
  <c r="I138"/>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9"/>
  <c r="I139"/>
  <c r="I140"/>
  <c r="I141"/>
  <c r="V87"/>
  <c r="W87"/>
  <c r="V88"/>
  <c r="W88"/>
  <c r="V89"/>
  <c r="W89"/>
  <c r="V90"/>
  <c r="W90"/>
  <c r="V91"/>
  <c r="W91"/>
  <c r="V92"/>
  <c r="W92"/>
  <c r="V93"/>
  <c r="W93"/>
  <c r="V94"/>
  <c r="W94"/>
  <c r="V95"/>
  <c r="W95"/>
  <c r="V96"/>
  <c r="W96"/>
  <c r="V97"/>
  <c r="W97"/>
  <c r="V98"/>
  <c r="W98"/>
  <c r="V99"/>
  <c r="W99"/>
  <c r="V100"/>
  <c r="W100"/>
  <c r="V101"/>
  <c r="W101"/>
  <c r="V102"/>
  <c r="W102"/>
  <c r="V103"/>
  <c r="W103"/>
  <c r="V104"/>
  <c r="W104"/>
  <c r="V105"/>
  <c r="W105"/>
  <c r="V106"/>
  <c r="W106"/>
  <c r="V107"/>
  <c r="W107"/>
  <c r="V108"/>
  <c r="W108"/>
  <c r="V109"/>
  <c r="W109"/>
  <c r="V110"/>
  <c r="W110"/>
  <c r="V111"/>
  <c r="W111"/>
  <c r="V112"/>
  <c r="W112"/>
  <c r="V113"/>
  <c r="W113"/>
  <c r="V114"/>
  <c r="W114"/>
  <c r="V115"/>
  <c r="W115"/>
  <c r="V116"/>
  <c r="W116"/>
  <c r="V117"/>
  <c r="W117"/>
  <c r="V118"/>
  <c r="W118"/>
  <c r="V119"/>
  <c r="W119"/>
  <c r="V120"/>
  <c r="W120"/>
  <c r="V121"/>
  <c r="W121"/>
  <c r="V122"/>
  <c r="W122"/>
  <c r="V123"/>
  <c r="W123"/>
  <c r="V124"/>
  <c r="W124"/>
  <c r="V125"/>
  <c r="W125"/>
  <c r="V126"/>
  <c r="W126"/>
  <c r="V127"/>
  <c r="W127"/>
  <c r="W129"/>
  <c r="V129"/>
  <c r="I143"/>
  <c r="I144"/>
  <c r="M145"/>
  <c r="M146"/>
  <c r="I145"/>
  <c r="AJ87"/>
  <c r="AK87"/>
  <c r="AJ88"/>
  <c r="AK88"/>
  <c r="AJ89"/>
  <c r="AK89"/>
  <c r="AJ90"/>
  <c r="AK90"/>
  <c r="AJ91"/>
  <c r="AK91"/>
  <c r="AJ92"/>
  <c r="AK92"/>
  <c r="AJ93"/>
  <c r="AK93"/>
  <c r="AJ94"/>
  <c r="AK94"/>
  <c r="AJ95"/>
  <c r="AK95"/>
  <c r="AJ96"/>
  <c r="AK96"/>
  <c r="AJ97"/>
  <c r="AK97"/>
  <c r="AJ98"/>
  <c r="AK98"/>
  <c r="AJ99"/>
  <c r="AK99"/>
  <c r="AJ100"/>
  <c r="AK100"/>
  <c r="AJ101"/>
  <c r="AK101"/>
  <c r="AJ102"/>
  <c r="AK102"/>
  <c r="AJ103"/>
  <c r="AK103"/>
  <c r="AJ104"/>
  <c r="AK104"/>
  <c r="AJ105"/>
  <c r="AK105"/>
  <c r="AJ106"/>
  <c r="AK106"/>
  <c r="AJ107"/>
  <c r="AK107"/>
  <c r="AJ108"/>
  <c r="AK108"/>
  <c r="AJ109"/>
  <c r="AK109"/>
  <c r="AJ110"/>
  <c r="AK110"/>
  <c r="AJ111"/>
  <c r="AK111"/>
  <c r="AJ112"/>
  <c r="AK112"/>
  <c r="AJ113"/>
  <c r="AK113"/>
  <c r="AJ114"/>
  <c r="AK114"/>
  <c r="AJ115"/>
  <c r="AK115"/>
  <c r="AJ116"/>
  <c r="AK116"/>
  <c r="AJ117"/>
  <c r="AK117"/>
  <c r="AJ118"/>
  <c r="AK118"/>
  <c r="AJ119"/>
  <c r="AK119"/>
  <c r="AJ120"/>
  <c r="AK120"/>
  <c r="AJ121"/>
  <c r="AK121"/>
  <c r="AJ122"/>
  <c r="AK122"/>
  <c r="AJ123"/>
  <c r="AK123"/>
  <c r="AJ124"/>
  <c r="AK124"/>
  <c r="AJ125"/>
  <c r="AK125"/>
  <c r="AJ126"/>
  <c r="AK126"/>
  <c r="AJ127"/>
  <c r="AK127"/>
  <c r="AL87"/>
  <c r="AL88"/>
  <c r="AL89"/>
  <c r="AL90"/>
  <c r="AL91"/>
  <c r="AL92"/>
  <c r="AL93"/>
  <c r="AL94"/>
  <c r="AL95"/>
  <c r="AL96"/>
  <c r="AL97"/>
  <c r="AL98"/>
  <c r="AL99"/>
  <c r="AL100"/>
  <c r="AL101"/>
  <c r="AL102"/>
  <c r="AL103"/>
  <c r="AL104"/>
  <c r="AL105"/>
  <c r="AL106"/>
  <c r="AL107"/>
  <c r="AL108"/>
  <c r="AL109"/>
  <c r="AL110"/>
  <c r="AL111"/>
  <c r="AL112"/>
  <c r="AL113"/>
  <c r="AL114"/>
  <c r="AL115"/>
  <c r="AL116"/>
  <c r="AL117"/>
  <c r="AL118"/>
  <c r="AL119"/>
  <c r="AL120"/>
  <c r="AL121"/>
  <c r="AL122"/>
  <c r="AL123"/>
  <c r="AL124"/>
  <c r="AL125"/>
  <c r="AL126"/>
  <c r="AL127"/>
  <c r="Q138"/>
  <c r="Q139"/>
  <c r="Q140"/>
  <c r="Q141"/>
  <c r="AH140"/>
  <c r="AH139"/>
  <c r="AH138"/>
  <c r="I133"/>
  <c r="I134"/>
  <c r="AH136"/>
  <c r="AH135"/>
  <c r="I132"/>
  <c r="M134"/>
  <c r="M135"/>
  <c r="AH134"/>
  <c r="P134"/>
  <c r="P133"/>
  <c r="AX127"/>
  <c r="AW127"/>
  <c r="AV127"/>
  <c r="AU127"/>
  <c r="AT127"/>
  <c r="AS127"/>
  <c r="AR127"/>
  <c r="AQ127"/>
  <c r="E127"/>
  <c r="AN127"/>
  <c r="F127"/>
  <c r="AO127"/>
  <c r="AP127"/>
  <c r="Q127"/>
  <c r="AH127"/>
  <c r="AG127"/>
  <c r="AF127"/>
  <c r="AX126"/>
  <c r="AW126"/>
  <c r="AV126"/>
  <c r="AU126"/>
  <c r="AT126"/>
  <c r="AS126"/>
  <c r="AR126"/>
  <c r="AQ126"/>
  <c r="E126"/>
  <c r="AN126"/>
  <c r="F126"/>
  <c r="AO126"/>
  <c r="AP126"/>
  <c r="Q126"/>
  <c r="AH126"/>
  <c r="AG126"/>
  <c r="AF126"/>
  <c r="AX125"/>
  <c r="AW125"/>
  <c r="AV125"/>
  <c r="AU125"/>
  <c r="AT125"/>
  <c r="AS125"/>
  <c r="AR125"/>
  <c r="AQ125"/>
  <c r="E125"/>
  <c r="AN125"/>
  <c r="F125"/>
  <c r="AO125"/>
  <c r="AP125"/>
  <c r="Q125"/>
  <c r="AH125"/>
  <c r="AG125"/>
  <c r="AF125"/>
  <c r="AX124"/>
  <c r="AW124"/>
  <c r="AV124"/>
  <c r="AU124"/>
  <c r="AT124"/>
  <c r="AS124"/>
  <c r="AR124"/>
  <c r="AQ124"/>
  <c r="E124"/>
  <c r="AN124"/>
  <c r="F124"/>
  <c r="AO124"/>
  <c r="AP124"/>
  <c r="Q124"/>
  <c r="AH124"/>
  <c r="AG124"/>
  <c r="AF124"/>
  <c r="AX123"/>
  <c r="AW123"/>
  <c r="AV123"/>
  <c r="AU123"/>
  <c r="AT123"/>
  <c r="AS123"/>
  <c r="AR123"/>
  <c r="AQ123"/>
  <c r="E123"/>
  <c r="AN123"/>
  <c r="F123"/>
  <c r="AO123"/>
  <c r="AP123"/>
  <c r="Q123"/>
  <c r="AH123"/>
  <c r="AG123"/>
  <c r="AF123"/>
  <c r="AX122"/>
  <c r="AW122"/>
  <c r="AV122"/>
  <c r="AU122"/>
  <c r="AT122"/>
  <c r="AS122"/>
  <c r="AR122"/>
  <c r="AQ122"/>
  <c r="E122"/>
  <c r="AN122"/>
  <c r="F122"/>
  <c r="AO122"/>
  <c r="AP122"/>
  <c r="Q122"/>
  <c r="AH122"/>
  <c r="AG122"/>
  <c r="AF122"/>
  <c r="AX121"/>
  <c r="AW121"/>
  <c r="AV121"/>
  <c r="AU121"/>
  <c r="AT121"/>
  <c r="AS121"/>
  <c r="AR121"/>
  <c r="AQ121"/>
  <c r="E121"/>
  <c r="AN121"/>
  <c r="F121"/>
  <c r="AO121"/>
  <c r="AP121"/>
  <c r="Q121"/>
  <c r="AH121"/>
  <c r="AG121"/>
  <c r="AF121"/>
  <c r="AX120"/>
  <c r="AW120"/>
  <c r="AV120"/>
  <c r="AU120"/>
  <c r="AT120"/>
  <c r="AS120"/>
  <c r="AR120"/>
  <c r="AQ120"/>
  <c r="E120"/>
  <c r="AN120"/>
  <c r="F120"/>
  <c r="AO120"/>
  <c r="AP120"/>
  <c r="Q120"/>
  <c r="AH120"/>
  <c r="AG120"/>
  <c r="AF120"/>
  <c r="AX119"/>
  <c r="AW119"/>
  <c r="AV119"/>
  <c r="AU119"/>
  <c r="AT119"/>
  <c r="AS119"/>
  <c r="AR119"/>
  <c r="AQ119"/>
  <c r="E119"/>
  <c r="AN119"/>
  <c r="F119"/>
  <c r="AO119"/>
  <c r="AP119"/>
  <c r="Q119"/>
  <c r="AH119"/>
  <c r="AG119"/>
  <c r="AF119"/>
  <c r="AX118"/>
  <c r="AW118"/>
  <c r="AV118"/>
  <c r="AU118"/>
  <c r="AT118"/>
  <c r="AS118"/>
  <c r="AR118"/>
  <c r="AQ118"/>
  <c r="E118"/>
  <c r="AN118"/>
  <c r="F118"/>
  <c r="AO118"/>
  <c r="AP118"/>
  <c r="Q118"/>
  <c r="AH118"/>
  <c r="AG118"/>
  <c r="AF118"/>
  <c r="AX117"/>
  <c r="AW117"/>
  <c r="AV117"/>
  <c r="AU117"/>
  <c r="AT117"/>
  <c r="AS117"/>
  <c r="AR117"/>
  <c r="AQ117"/>
  <c r="E117"/>
  <c r="AN117"/>
  <c r="F117"/>
  <c r="AO117"/>
  <c r="AP117"/>
  <c r="Q117"/>
  <c r="AH117"/>
  <c r="AG117"/>
  <c r="AF117"/>
  <c r="AX116"/>
  <c r="AW116"/>
  <c r="AV116"/>
  <c r="AU116"/>
  <c r="AT116"/>
  <c r="AS116"/>
  <c r="AR116"/>
  <c r="AQ116"/>
  <c r="E116"/>
  <c r="AN116"/>
  <c r="F116"/>
  <c r="AO116"/>
  <c r="AP116"/>
  <c r="Q116"/>
  <c r="AH116"/>
  <c r="AG116"/>
  <c r="AF116"/>
  <c r="AX115"/>
  <c r="AW115"/>
  <c r="AV115"/>
  <c r="AU115"/>
  <c r="AT115"/>
  <c r="AS115"/>
  <c r="AR115"/>
  <c r="AQ115"/>
  <c r="E115"/>
  <c r="AN115"/>
  <c r="F115"/>
  <c r="AO115"/>
  <c r="AP115"/>
  <c r="Q115"/>
  <c r="AH115"/>
  <c r="AG115"/>
  <c r="AF115"/>
  <c r="AX114"/>
  <c r="AW114"/>
  <c r="AV114"/>
  <c r="AU114"/>
  <c r="AT114"/>
  <c r="AS114"/>
  <c r="AR114"/>
  <c r="AQ114"/>
  <c r="E114"/>
  <c r="AN114"/>
  <c r="F114"/>
  <c r="AO114"/>
  <c r="AP114"/>
  <c r="Q114"/>
  <c r="AH114"/>
  <c r="AG114"/>
  <c r="AF114"/>
  <c r="AX113"/>
  <c r="AW113"/>
  <c r="AV113"/>
  <c r="AU113"/>
  <c r="AT113"/>
  <c r="AS113"/>
  <c r="AR113"/>
  <c r="AQ113"/>
  <c r="E113"/>
  <c r="AN113"/>
  <c r="F113"/>
  <c r="AO113"/>
  <c r="AP113"/>
  <c r="Q113"/>
  <c r="AH113"/>
  <c r="AG113"/>
  <c r="AF113"/>
  <c r="AX112"/>
  <c r="AW112"/>
  <c r="AV112"/>
  <c r="AU112"/>
  <c r="AT112"/>
  <c r="AS112"/>
  <c r="AR112"/>
  <c r="AQ112"/>
  <c r="E112"/>
  <c r="AN112"/>
  <c r="F112"/>
  <c r="AO112"/>
  <c r="AP112"/>
  <c r="Q112"/>
  <c r="AH112"/>
  <c r="AG112"/>
  <c r="AF112"/>
  <c r="AX111"/>
  <c r="AW111"/>
  <c r="AV111"/>
  <c r="AU111"/>
  <c r="AT111"/>
  <c r="AS111"/>
  <c r="AR111"/>
  <c r="AQ111"/>
  <c r="E111"/>
  <c r="AN111"/>
  <c r="F111"/>
  <c r="AO111"/>
  <c r="AP111"/>
  <c r="Q111"/>
  <c r="AH111"/>
  <c r="AG111"/>
  <c r="AF111"/>
  <c r="AX110"/>
  <c r="AW110"/>
  <c r="AV110"/>
  <c r="AU110"/>
  <c r="AT110"/>
  <c r="AS110"/>
  <c r="AR110"/>
  <c r="AQ110"/>
  <c r="E110"/>
  <c r="AN110"/>
  <c r="F110"/>
  <c r="AO110"/>
  <c r="AP110"/>
  <c r="Q110"/>
  <c r="AH110"/>
  <c r="AG110"/>
  <c r="AF110"/>
  <c r="AX109"/>
  <c r="AW109"/>
  <c r="AV109"/>
  <c r="AU109"/>
  <c r="AT109"/>
  <c r="AS109"/>
  <c r="AR109"/>
  <c r="AQ109"/>
  <c r="E109"/>
  <c r="AN109"/>
  <c r="F109"/>
  <c r="AO109"/>
  <c r="AP109"/>
  <c r="Q109"/>
  <c r="AH109"/>
  <c r="AG109"/>
  <c r="AF109"/>
  <c r="AX108"/>
  <c r="AW108"/>
  <c r="AV108"/>
  <c r="AU108"/>
  <c r="AT108"/>
  <c r="AS108"/>
  <c r="AR108"/>
  <c r="AQ108"/>
  <c r="E108"/>
  <c r="AN108"/>
  <c r="F108"/>
  <c r="AO108"/>
  <c r="AP108"/>
  <c r="Q108"/>
  <c r="AH108"/>
  <c r="AG108"/>
  <c r="AF108"/>
  <c r="AX107"/>
  <c r="AW107"/>
  <c r="AV107"/>
  <c r="AU107"/>
  <c r="AT107"/>
  <c r="AS107"/>
  <c r="AR107"/>
  <c r="AQ107"/>
  <c r="E107"/>
  <c r="AN107"/>
  <c r="F107"/>
  <c r="AO107"/>
  <c r="AP107"/>
  <c r="Q107"/>
  <c r="AH107"/>
  <c r="AG107"/>
  <c r="AF107"/>
  <c r="AX106"/>
  <c r="AW106"/>
  <c r="AV106"/>
  <c r="AU106"/>
  <c r="AT106"/>
  <c r="AS106"/>
  <c r="AR106"/>
  <c r="AQ106"/>
  <c r="E106"/>
  <c r="AN106"/>
  <c r="F106"/>
  <c r="AO106"/>
  <c r="AP106"/>
  <c r="Q106"/>
  <c r="AH106"/>
  <c r="AG106"/>
  <c r="AF106"/>
  <c r="AX105"/>
  <c r="AW105"/>
  <c r="AV105"/>
  <c r="AU105"/>
  <c r="AT105"/>
  <c r="AS105"/>
  <c r="AR105"/>
  <c r="AQ105"/>
  <c r="E105"/>
  <c r="AN105"/>
  <c r="F105"/>
  <c r="AO105"/>
  <c r="AP105"/>
  <c r="Q105"/>
  <c r="AH105"/>
  <c r="AG105"/>
  <c r="AF105"/>
  <c r="AX104"/>
  <c r="AW104"/>
  <c r="AV104"/>
  <c r="AU104"/>
  <c r="AT104"/>
  <c r="AS104"/>
  <c r="AR104"/>
  <c r="AQ104"/>
  <c r="E104"/>
  <c r="AN104"/>
  <c r="F104"/>
  <c r="AO104"/>
  <c r="AP104"/>
  <c r="Q104"/>
  <c r="AH104"/>
  <c r="AG104"/>
  <c r="AF104"/>
  <c r="AX103"/>
  <c r="AW103"/>
  <c r="AV103"/>
  <c r="AU103"/>
  <c r="AT103"/>
  <c r="AS103"/>
  <c r="AR103"/>
  <c r="AQ103"/>
  <c r="E103"/>
  <c r="AN103"/>
  <c r="F103"/>
  <c r="AO103"/>
  <c r="AP103"/>
  <c r="Q103"/>
  <c r="AH103"/>
  <c r="AG103"/>
  <c r="AF103"/>
  <c r="AX102"/>
  <c r="AW102"/>
  <c r="AV102"/>
  <c r="AU102"/>
  <c r="AT102"/>
  <c r="AS102"/>
  <c r="AR102"/>
  <c r="AQ102"/>
  <c r="E102"/>
  <c r="AN102"/>
  <c r="F102"/>
  <c r="AO102"/>
  <c r="AP102"/>
  <c r="Q102"/>
  <c r="AH102"/>
  <c r="AG102"/>
  <c r="AF102"/>
  <c r="AX101"/>
  <c r="AW101"/>
  <c r="AV101"/>
  <c r="AU101"/>
  <c r="AT101"/>
  <c r="AS101"/>
  <c r="AR101"/>
  <c r="AQ101"/>
  <c r="E101"/>
  <c r="AN101"/>
  <c r="F101"/>
  <c r="AO101"/>
  <c r="AP101"/>
  <c r="Q101"/>
  <c r="AH101"/>
  <c r="AG101"/>
  <c r="AF101"/>
  <c r="AX100"/>
  <c r="AW100"/>
  <c r="AV100"/>
  <c r="AU100"/>
  <c r="AT100"/>
  <c r="AS100"/>
  <c r="AR100"/>
  <c r="AQ100"/>
  <c r="E100"/>
  <c r="AN100"/>
  <c r="F100"/>
  <c r="AO100"/>
  <c r="AP100"/>
  <c r="Q100"/>
  <c r="AH100"/>
  <c r="AG100"/>
  <c r="AF100"/>
  <c r="AX99"/>
  <c r="AW99"/>
  <c r="AV99"/>
  <c r="AU99"/>
  <c r="AT99"/>
  <c r="AS99"/>
  <c r="AR99"/>
  <c r="AQ99"/>
  <c r="E99"/>
  <c r="AN99"/>
  <c r="F99"/>
  <c r="AO99"/>
  <c r="AP99"/>
  <c r="Q99"/>
  <c r="AH99"/>
  <c r="AG99"/>
  <c r="AF99"/>
  <c r="AX98"/>
  <c r="AW98"/>
  <c r="AV98"/>
  <c r="AU98"/>
  <c r="AT98"/>
  <c r="AS98"/>
  <c r="AR98"/>
  <c r="AQ98"/>
  <c r="E98"/>
  <c r="AN98"/>
  <c r="F98"/>
  <c r="AO98"/>
  <c r="AP98"/>
  <c r="Q98"/>
  <c r="AH98"/>
  <c r="AG98"/>
  <c r="AF98"/>
  <c r="AX97"/>
  <c r="AW97"/>
  <c r="AV97"/>
  <c r="AU97"/>
  <c r="AT97"/>
  <c r="AS97"/>
  <c r="AR97"/>
  <c r="AQ97"/>
  <c r="E97"/>
  <c r="AN97"/>
  <c r="F97"/>
  <c r="AO97"/>
  <c r="AP97"/>
  <c r="Q97"/>
  <c r="AH97"/>
  <c r="AG97"/>
  <c r="AF97"/>
  <c r="AX96"/>
  <c r="AW96"/>
  <c r="AV96"/>
  <c r="AU96"/>
  <c r="AT96"/>
  <c r="AS96"/>
  <c r="AR96"/>
  <c r="AQ96"/>
  <c r="E96"/>
  <c r="AN96"/>
  <c r="F96"/>
  <c r="AO96"/>
  <c r="AP96"/>
  <c r="Q96"/>
  <c r="AH96"/>
  <c r="AG96"/>
  <c r="AF96"/>
  <c r="AX95"/>
  <c r="AW95"/>
  <c r="AV95"/>
  <c r="AU95"/>
  <c r="AT95"/>
  <c r="AS95"/>
  <c r="AR95"/>
  <c r="AQ95"/>
  <c r="E95"/>
  <c r="AN95"/>
  <c r="F95"/>
  <c r="AO95"/>
  <c r="AP95"/>
  <c r="Q95"/>
  <c r="AH95"/>
  <c r="AG95"/>
  <c r="AF95"/>
  <c r="AX94"/>
  <c r="AW94"/>
  <c r="AV94"/>
  <c r="AU94"/>
  <c r="AT94"/>
  <c r="AS94"/>
  <c r="AR94"/>
  <c r="AQ94"/>
  <c r="E94"/>
  <c r="AN94"/>
  <c r="F94"/>
  <c r="AO94"/>
  <c r="AP94"/>
  <c r="Q94"/>
  <c r="AH94"/>
  <c r="AG94"/>
  <c r="AF94"/>
  <c r="AX93"/>
  <c r="AW93"/>
  <c r="AV93"/>
  <c r="AU93"/>
  <c r="AT93"/>
  <c r="AS93"/>
  <c r="AR93"/>
  <c r="AQ93"/>
  <c r="E93"/>
  <c r="AN93"/>
  <c r="F93"/>
  <c r="AO93"/>
  <c r="AP93"/>
  <c r="Q93"/>
  <c r="AH93"/>
  <c r="AG93"/>
  <c r="AF93"/>
  <c r="AX92"/>
  <c r="AW92"/>
  <c r="AV92"/>
  <c r="AU92"/>
  <c r="AT92"/>
  <c r="AS92"/>
  <c r="AR92"/>
  <c r="AQ92"/>
  <c r="E92"/>
  <c r="AN92"/>
  <c r="F92"/>
  <c r="AO92"/>
  <c r="AP92"/>
  <c r="Q92"/>
  <c r="AH92"/>
  <c r="AG92"/>
  <c r="AF92"/>
  <c r="AX91"/>
  <c r="AW91"/>
  <c r="AV91"/>
  <c r="AU91"/>
  <c r="AT91"/>
  <c r="AS91"/>
  <c r="AR91"/>
  <c r="AQ91"/>
  <c r="E91"/>
  <c r="AN91"/>
  <c r="F91"/>
  <c r="AO91"/>
  <c r="AP91"/>
  <c r="Q91"/>
  <c r="AH91"/>
  <c r="AG91"/>
  <c r="AF91"/>
  <c r="AX90"/>
  <c r="AW90"/>
  <c r="AV90"/>
  <c r="AU90"/>
  <c r="AT90"/>
  <c r="AS90"/>
  <c r="AR90"/>
  <c r="AQ90"/>
  <c r="E90"/>
  <c r="AN90"/>
  <c r="F90"/>
  <c r="AO90"/>
  <c r="AP90"/>
  <c r="Q90"/>
  <c r="AH90"/>
  <c r="AG90"/>
  <c r="AF90"/>
  <c r="AX89"/>
  <c r="AW89"/>
  <c r="AV89"/>
  <c r="AU89"/>
  <c r="AT89"/>
  <c r="AS89"/>
  <c r="AR89"/>
  <c r="AQ89"/>
  <c r="E89"/>
  <c r="AN89"/>
  <c r="F89"/>
  <c r="AO89"/>
  <c r="AP89"/>
  <c r="Q89"/>
  <c r="AH89"/>
  <c r="AG89"/>
  <c r="AF89"/>
  <c r="F5"/>
  <c r="AY88"/>
  <c r="AX88"/>
  <c r="AW88"/>
  <c r="AV88"/>
  <c r="AU88"/>
  <c r="AT88"/>
  <c r="AS88"/>
  <c r="AR88"/>
  <c r="AQ88"/>
  <c r="E88"/>
  <c r="AN88"/>
  <c r="F88"/>
  <c r="AO88"/>
  <c r="AP88"/>
  <c r="Q88"/>
  <c r="AH88"/>
  <c r="AG88"/>
  <c r="AF88"/>
  <c r="F4"/>
  <c r="AY87"/>
  <c r="AX87"/>
  <c r="AW87"/>
  <c r="AV87"/>
  <c r="AU87"/>
  <c r="AT87"/>
  <c r="AS87"/>
  <c r="AR87"/>
  <c r="AQ87"/>
  <c r="E87"/>
  <c r="AN87"/>
  <c r="F87"/>
  <c r="AO87"/>
  <c r="AP87"/>
  <c r="Q87"/>
  <c r="AH87"/>
  <c r="AG87"/>
  <c r="AF87"/>
  <c r="I85"/>
  <c r="AQ84"/>
  <c r="AP84"/>
  <c r="AO84"/>
  <c r="AN84"/>
  <c r="AM84"/>
  <c r="AL84"/>
  <c r="AK84"/>
  <c r="AJ84"/>
  <c r="AG84"/>
  <c r="AF84"/>
  <c r="AE84"/>
  <c r="AD84"/>
  <c r="AC84"/>
  <c r="AB84"/>
  <c r="AA84"/>
  <c r="Z84"/>
  <c r="Y84"/>
  <c r="I84"/>
  <c r="G84"/>
  <c r="F84"/>
  <c r="E84"/>
  <c r="D84"/>
  <c r="C84"/>
  <c r="AQ83"/>
  <c r="AP83"/>
  <c r="AO83"/>
  <c r="AN83"/>
  <c r="AM83"/>
  <c r="AL83"/>
  <c r="AK83"/>
  <c r="AJ83"/>
  <c r="AG83"/>
  <c r="AF83"/>
  <c r="AE83"/>
  <c r="AD83"/>
  <c r="AC83"/>
  <c r="AB83"/>
  <c r="AA83"/>
  <c r="Z83"/>
  <c r="Y83"/>
  <c r="I83"/>
  <c r="H83"/>
  <c r="G83"/>
  <c r="F83"/>
  <c r="E83"/>
  <c r="D83"/>
  <c r="C83"/>
  <c r="AQ82"/>
  <c r="AP82"/>
  <c r="AO82"/>
  <c r="AN82"/>
  <c r="AM82"/>
  <c r="AL82"/>
  <c r="AK82"/>
  <c r="AJ82"/>
  <c r="AI82"/>
  <c r="AH82"/>
  <c r="AG82"/>
  <c r="AF82"/>
  <c r="AE82"/>
  <c r="AD82"/>
  <c r="AC82"/>
  <c r="AB82"/>
  <c r="AA82"/>
  <c r="Z82"/>
  <c r="Y82"/>
  <c r="I82"/>
  <c r="H82"/>
  <c r="G82"/>
  <c r="F82"/>
  <c r="E82"/>
  <c r="D82"/>
  <c r="C82"/>
  <c r="AQ81"/>
  <c r="AP81"/>
  <c r="AO81"/>
  <c r="AN81"/>
  <c r="AM81"/>
  <c r="AL81"/>
  <c r="AK81"/>
  <c r="AJ81"/>
  <c r="AI81"/>
  <c r="AH81"/>
  <c r="AG81"/>
  <c r="AF81"/>
  <c r="AE81"/>
  <c r="AD81"/>
  <c r="AC81"/>
  <c r="AB81"/>
  <c r="AA81"/>
  <c r="Z81"/>
  <c r="Y81"/>
  <c r="I81"/>
  <c r="H81"/>
  <c r="G81"/>
  <c r="F81"/>
  <c r="E81"/>
  <c r="D81"/>
  <c r="C81"/>
  <c r="AQ80"/>
  <c r="AP80"/>
  <c r="AO80"/>
  <c r="AN80"/>
  <c r="AM80"/>
  <c r="AJ80"/>
  <c r="AE80"/>
  <c r="AD80"/>
  <c r="Z80"/>
  <c r="Y80"/>
  <c r="G80"/>
  <c r="F80"/>
  <c r="E80"/>
  <c r="D80"/>
  <c r="C80"/>
  <c r="AQ79"/>
  <c r="AP79"/>
  <c r="AO79"/>
  <c r="AN79"/>
  <c r="AM79"/>
  <c r="AJ79"/>
  <c r="AE79"/>
  <c r="AD79"/>
  <c r="Z79"/>
  <c r="Y79"/>
  <c r="G79"/>
  <c r="F79"/>
  <c r="E79"/>
  <c r="D79"/>
  <c r="C79"/>
  <c r="AQ78"/>
  <c r="AP78"/>
  <c r="AO78"/>
  <c r="AN78"/>
  <c r="AM78"/>
  <c r="AL78"/>
  <c r="AK78"/>
  <c r="AJ78"/>
  <c r="AG78"/>
  <c r="AF78"/>
  <c r="AE78"/>
  <c r="AD78"/>
  <c r="AC78"/>
  <c r="AB78"/>
  <c r="AA78"/>
  <c r="Z78"/>
  <c r="Y78"/>
  <c r="I78"/>
  <c r="H78"/>
  <c r="G78"/>
  <c r="F78"/>
  <c r="E78"/>
  <c r="D78"/>
  <c r="C78"/>
  <c r="AQ77"/>
  <c r="AP77"/>
  <c r="AO77"/>
  <c r="AN77"/>
  <c r="AM77"/>
  <c r="AL77"/>
  <c r="AK77"/>
  <c r="AJ77"/>
  <c r="AI77"/>
  <c r="AH77"/>
  <c r="AG77"/>
  <c r="AF77"/>
  <c r="AE77"/>
  <c r="AD77"/>
  <c r="AC77"/>
  <c r="AB77"/>
  <c r="AA77"/>
  <c r="Z77"/>
  <c r="Y77"/>
  <c r="G77"/>
  <c r="F77"/>
  <c r="E77"/>
  <c r="D77"/>
  <c r="C77"/>
  <c r="AQ76"/>
  <c r="AP76"/>
  <c r="AO76"/>
  <c r="AN76"/>
  <c r="AM76"/>
  <c r="AL76"/>
  <c r="AK76"/>
  <c r="AJ76"/>
  <c r="AI76"/>
  <c r="AH76"/>
  <c r="AG76"/>
  <c r="AF76"/>
  <c r="AE76"/>
  <c r="AD76"/>
  <c r="AC76"/>
  <c r="AB76"/>
  <c r="AA76"/>
  <c r="Z76"/>
  <c r="Y76"/>
  <c r="G76"/>
  <c r="F76"/>
  <c r="E76"/>
  <c r="D76"/>
  <c r="C76"/>
  <c r="AQ75"/>
  <c r="AP75"/>
  <c r="AO75"/>
  <c r="AN75"/>
  <c r="AM75"/>
  <c r="AL75"/>
  <c r="AK75"/>
  <c r="AJ75"/>
  <c r="AG75"/>
  <c r="AF75"/>
  <c r="AE75"/>
  <c r="AD75"/>
  <c r="AC75"/>
  <c r="AB75"/>
  <c r="AA75"/>
  <c r="Z75"/>
  <c r="Y75"/>
  <c r="I75"/>
  <c r="H75"/>
  <c r="G75"/>
  <c r="F75"/>
  <c r="E75"/>
  <c r="D75"/>
  <c r="C75"/>
  <c r="AQ74"/>
  <c r="AP74"/>
  <c r="AO74"/>
  <c r="AN74"/>
  <c r="AM74"/>
  <c r="AL74"/>
  <c r="AK74"/>
  <c r="AJ74"/>
  <c r="AI74"/>
  <c r="AH74"/>
  <c r="AG74"/>
  <c r="AF74"/>
  <c r="AE74"/>
  <c r="AD74"/>
  <c r="AC74"/>
  <c r="AB74"/>
  <c r="AA74"/>
  <c r="Z74"/>
  <c r="Y74"/>
  <c r="I74"/>
  <c r="H74"/>
  <c r="G74"/>
  <c r="F74"/>
  <c r="E74"/>
  <c r="D74"/>
  <c r="C74"/>
  <c r="AQ73"/>
  <c r="AP73"/>
  <c r="AO73"/>
  <c r="AN73"/>
  <c r="AM73"/>
  <c r="AL73"/>
  <c r="AK73"/>
  <c r="AJ73"/>
  <c r="AG73"/>
  <c r="AF73"/>
  <c r="AE73"/>
  <c r="AD73"/>
  <c r="AC73"/>
  <c r="AB73"/>
  <c r="AA73"/>
  <c r="Z73"/>
  <c r="Y73"/>
  <c r="I73"/>
  <c r="H73"/>
  <c r="G73"/>
  <c r="F73"/>
  <c r="E73"/>
  <c r="D73"/>
  <c r="C73"/>
  <c r="AQ72"/>
  <c r="AP72"/>
  <c r="AO72"/>
  <c r="AN72"/>
  <c r="AM72"/>
  <c r="AL72"/>
  <c r="AK72"/>
  <c r="AJ72"/>
  <c r="AG72"/>
  <c r="AF72"/>
  <c r="AE72"/>
  <c r="AD72"/>
  <c r="AC72"/>
  <c r="AB72"/>
  <c r="AA72"/>
  <c r="Z72"/>
  <c r="Y72"/>
  <c r="I72"/>
  <c r="H72"/>
  <c r="G72"/>
  <c r="F72"/>
  <c r="E72"/>
  <c r="D72"/>
  <c r="C72"/>
  <c r="AQ71"/>
  <c r="AP71"/>
  <c r="AO71"/>
  <c r="AN71"/>
  <c r="AM71"/>
  <c r="AL71"/>
  <c r="AK71"/>
  <c r="AJ71"/>
  <c r="AG71"/>
  <c r="AF71"/>
  <c r="AE71"/>
  <c r="AD71"/>
  <c r="AC71"/>
  <c r="AB71"/>
  <c r="AA71"/>
  <c r="Z71"/>
  <c r="Y71"/>
  <c r="I71"/>
  <c r="H71"/>
  <c r="G71"/>
  <c r="F71"/>
  <c r="E71"/>
  <c r="D71"/>
  <c r="C71"/>
  <c r="AQ70"/>
  <c r="AP70"/>
  <c r="AO70"/>
  <c r="AN70"/>
  <c r="AM70"/>
  <c r="AL70"/>
  <c r="AK70"/>
  <c r="AJ70"/>
  <c r="AG70"/>
  <c r="AF70"/>
  <c r="AE70"/>
  <c r="AD70"/>
  <c r="AA70"/>
  <c r="Z70"/>
  <c r="Y70"/>
  <c r="I70"/>
  <c r="H70"/>
  <c r="G70"/>
  <c r="F70"/>
  <c r="E70"/>
  <c r="D70"/>
  <c r="C70"/>
  <c r="AQ69"/>
  <c r="AP69"/>
  <c r="AO69"/>
  <c r="AN69"/>
  <c r="AM69"/>
  <c r="AL69"/>
  <c r="AK69"/>
  <c r="AJ69"/>
  <c r="AG69"/>
  <c r="AF69"/>
  <c r="AE69"/>
  <c r="AD69"/>
  <c r="AC69"/>
  <c r="AB69"/>
  <c r="AA69"/>
  <c r="Z69"/>
  <c r="Y69"/>
  <c r="I69"/>
  <c r="H69"/>
  <c r="G69"/>
  <c r="F69"/>
  <c r="E69"/>
  <c r="D69"/>
  <c r="C69"/>
  <c r="AQ68"/>
  <c r="AP68"/>
  <c r="AO68"/>
  <c r="AN68"/>
  <c r="AM68"/>
  <c r="AL68"/>
  <c r="AK68"/>
  <c r="AJ68"/>
  <c r="AI68"/>
  <c r="AH68"/>
  <c r="AG68"/>
  <c r="AF68"/>
  <c r="AE68"/>
  <c r="AD68"/>
  <c r="AC68"/>
  <c r="AB68"/>
  <c r="AA68"/>
  <c r="Z68"/>
  <c r="Y68"/>
  <c r="I68"/>
  <c r="H68"/>
  <c r="G68"/>
  <c r="F68"/>
  <c r="E68"/>
  <c r="D68"/>
  <c r="C68"/>
  <c r="AQ66"/>
  <c r="AP66"/>
  <c r="AO66"/>
  <c r="AN66"/>
  <c r="AM66"/>
  <c r="AL66"/>
  <c r="AK66"/>
  <c r="AJ66"/>
  <c r="AI66"/>
  <c r="AH66"/>
  <c r="AG66"/>
  <c r="AF66"/>
  <c r="AE66"/>
  <c r="AD66"/>
  <c r="AC66"/>
  <c r="AB66"/>
  <c r="AA66"/>
  <c r="Z66"/>
  <c r="Y66"/>
  <c r="I66"/>
  <c r="H66"/>
  <c r="G66"/>
  <c r="F66"/>
  <c r="E66"/>
  <c r="D66"/>
  <c r="C66"/>
  <c r="AQ65"/>
  <c r="AP65"/>
  <c r="AO65"/>
  <c r="AN65"/>
  <c r="AM65"/>
  <c r="AL65"/>
  <c r="AK65"/>
  <c r="AI65"/>
  <c r="AH65"/>
  <c r="AG65"/>
  <c r="AF65"/>
  <c r="AE65"/>
  <c r="AD65"/>
  <c r="AC65"/>
  <c r="AB65"/>
  <c r="AA65"/>
  <c r="Z65"/>
  <c r="Y65"/>
  <c r="I65"/>
  <c r="H65"/>
  <c r="G65"/>
  <c r="F65"/>
  <c r="E65"/>
  <c r="D65"/>
  <c r="C65"/>
  <c r="AQ64"/>
  <c r="AG64"/>
  <c r="AE64"/>
  <c r="AD64"/>
  <c r="AC64"/>
  <c r="AA64"/>
  <c r="Y64"/>
  <c r="G64"/>
  <c r="D64"/>
  <c r="C64"/>
  <c r="AQ63"/>
  <c r="AG63"/>
  <c r="Y63"/>
  <c r="G63"/>
  <c r="D63"/>
  <c r="C63"/>
  <c r="AQ62"/>
  <c r="AG62"/>
  <c r="Y62"/>
  <c r="G62"/>
  <c r="D62"/>
  <c r="C62"/>
  <c r="AQ61"/>
  <c r="AG61"/>
  <c r="Y61"/>
  <c r="G61"/>
  <c r="D61"/>
  <c r="C61"/>
  <c r="AQ60"/>
  <c r="AG60"/>
  <c r="Y60"/>
  <c r="G60"/>
  <c r="D60"/>
  <c r="C60"/>
  <c r="AQ59"/>
  <c r="AG59"/>
  <c r="AE59"/>
  <c r="AD59"/>
  <c r="AC59"/>
  <c r="AA59"/>
  <c r="Y59"/>
  <c r="G59"/>
  <c r="D59"/>
  <c r="C59"/>
  <c r="AQ58"/>
  <c r="AG58"/>
  <c r="AE58"/>
  <c r="AD58"/>
  <c r="AC58"/>
  <c r="AA58"/>
  <c r="Y58"/>
  <c r="G58"/>
  <c r="D58"/>
  <c r="C58"/>
  <c r="AQ57"/>
  <c r="AG57"/>
  <c r="AE57"/>
  <c r="AD57"/>
  <c r="AC57"/>
  <c r="AA57"/>
  <c r="Y57"/>
  <c r="G57"/>
  <c r="D57"/>
  <c r="C57"/>
  <c r="AQ56"/>
  <c r="Y56"/>
  <c r="G56"/>
  <c r="D56"/>
  <c r="C56"/>
  <c r="AQ55"/>
  <c r="Y55"/>
  <c r="G55"/>
  <c r="D55"/>
  <c r="C55"/>
  <c r="AQ54"/>
  <c r="AG54"/>
  <c r="AE54"/>
  <c r="AD54"/>
  <c r="AC54"/>
  <c r="AA54"/>
  <c r="Y54"/>
  <c r="G54"/>
  <c r="D54"/>
  <c r="C54"/>
  <c r="AQ53"/>
  <c r="AG53"/>
  <c r="AE53"/>
  <c r="AD53"/>
  <c r="AC53"/>
  <c r="AA53"/>
  <c r="Y53"/>
  <c r="G53"/>
  <c r="D53"/>
  <c r="C53"/>
  <c r="AQ52"/>
  <c r="AG52"/>
  <c r="AE52"/>
  <c r="AD52"/>
  <c r="AC52"/>
  <c r="AA52"/>
  <c r="Y52"/>
  <c r="G52"/>
  <c r="D52"/>
  <c r="C52"/>
  <c r="AQ51"/>
  <c r="AG51"/>
  <c r="Y51"/>
  <c r="G51"/>
  <c r="D51"/>
  <c r="C51"/>
  <c r="AQ50"/>
  <c r="AG50"/>
  <c r="Y50"/>
  <c r="G50"/>
  <c r="D50"/>
  <c r="C50"/>
  <c r="AQ49"/>
  <c r="AG49"/>
  <c r="AE49"/>
  <c r="AD49"/>
  <c r="AC49"/>
  <c r="AA49"/>
  <c r="Y49"/>
  <c r="G49"/>
  <c r="D49"/>
  <c r="C49"/>
  <c r="AQ48"/>
  <c r="Y48"/>
  <c r="G48"/>
  <c r="D48"/>
  <c r="C48"/>
  <c r="AQ47"/>
  <c r="Y47"/>
  <c r="G47"/>
  <c r="D47"/>
  <c r="C47"/>
  <c r="AQ46"/>
  <c r="AG46"/>
  <c r="AE46"/>
  <c r="AD46"/>
  <c r="AC46"/>
  <c r="AA46"/>
  <c r="Y46"/>
  <c r="G46"/>
  <c r="D46"/>
  <c r="C46"/>
  <c r="AQ45"/>
  <c r="AG45"/>
  <c r="AE45"/>
  <c r="AD45"/>
  <c r="AC45"/>
  <c r="AA45"/>
  <c r="Y45"/>
  <c r="G45"/>
  <c r="D45"/>
  <c r="C45"/>
  <c r="AQ44"/>
  <c r="AG44"/>
  <c r="AE44"/>
  <c r="AD44"/>
  <c r="AC44"/>
  <c r="AA44"/>
  <c r="Y44"/>
  <c r="G44"/>
  <c r="D44"/>
  <c r="C44"/>
  <c r="AQ43"/>
  <c r="AG43"/>
  <c r="AE43"/>
  <c r="AD43"/>
  <c r="AC43"/>
  <c r="AA43"/>
  <c r="Y43"/>
  <c r="G43"/>
  <c r="D43"/>
  <c r="C43"/>
  <c r="AQ42"/>
  <c r="AG42"/>
  <c r="AE42"/>
  <c r="AD42"/>
  <c r="AC42"/>
  <c r="AA42"/>
  <c r="Y42"/>
  <c r="G42"/>
  <c r="D42"/>
  <c r="C42"/>
  <c r="AQ41"/>
  <c r="AG41"/>
  <c r="AE41"/>
  <c r="AD41"/>
  <c r="AC41"/>
  <c r="AA41"/>
  <c r="Y41"/>
  <c r="G41"/>
  <c r="D41"/>
  <c r="C41"/>
  <c r="AQ40"/>
  <c r="AG40"/>
  <c r="AE40"/>
  <c r="AD40"/>
  <c r="AC40"/>
  <c r="AA40"/>
  <c r="Y40"/>
  <c r="G40"/>
  <c r="D40"/>
  <c r="C40"/>
  <c r="AQ39"/>
  <c r="AG39"/>
  <c r="AE39"/>
  <c r="AD39"/>
  <c r="AC39"/>
  <c r="AA39"/>
  <c r="Y39"/>
  <c r="G39"/>
  <c r="D39"/>
  <c r="C39"/>
  <c r="AQ38"/>
  <c r="AG38"/>
  <c r="AE38"/>
  <c r="AD38"/>
  <c r="AC38"/>
  <c r="AA38"/>
  <c r="Y38"/>
  <c r="G38"/>
  <c r="D38"/>
  <c r="C38"/>
  <c r="AQ37"/>
  <c r="AG37"/>
  <c r="AE37"/>
  <c r="AD37"/>
  <c r="AC37"/>
  <c r="AA37"/>
  <c r="Y37"/>
  <c r="G37"/>
  <c r="D37"/>
  <c r="C37"/>
  <c r="AQ36"/>
  <c r="AG36"/>
  <c r="AE36"/>
  <c r="AD36"/>
  <c r="AC36"/>
  <c r="AA36"/>
  <c r="Y36"/>
  <c r="G36"/>
  <c r="D36"/>
  <c r="C36"/>
  <c r="AQ35"/>
  <c r="AG35"/>
  <c r="AE35"/>
  <c r="AD35"/>
  <c r="AC35"/>
  <c r="AA35"/>
  <c r="Y35"/>
  <c r="G35"/>
  <c r="D35"/>
  <c r="C35"/>
  <c r="AQ34"/>
  <c r="AG34"/>
  <c r="AE34"/>
  <c r="AD34"/>
  <c r="AC34"/>
  <c r="AA34"/>
  <c r="Y34"/>
  <c r="G34"/>
  <c r="D34"/>
  <c r="C34"/>
  <c r="AQ33"/>
  <c r="AG33"/>
  <c r="AE33"/>
  <c r="AD33"/>
  <c r="AC33"/>
  <c r="AA33"/>
  <c r="Y33"/>
  <c r="G33"/>
  <c r="D33"/>
  <c r="C33"/>
  <c r="AQ32"/>
  <c r="AG32"/>
  <c r="AE32"/>
  <c r="AD32"/>
  <c r="AC32"/>
  <c r="AA32"/>
  <c r="Y32"/>
  <c r="G32"/>
  <c r="D32"/>
  <c r="C32"/>
  <c r="AQ31"/>
  <c r="AG31"/>
  <c r="AE31"/>
  <c r="AD31"/>
  <c r="AC31"/>
  <c r="AA31"/>
  <c r="Y31"/>
  <c r="G31"/>
  <c r="D31"/>
  <c r="C31"/>
  <c r="AQ30"/>
  <c r="Y30"/>
  <c r="G30"/>
  <c r="D30"/>
  <c r="C30"/>
  <c r="AQ29"/>
  <c r="Y29"/>
  <c r="G29"/>
  <c r="D29"/>
  <c r="C29"/>
  <c r="AQ28"/>
  <c r="AG28"/>
  <c r="AE28"/>
  <c r="AD28"/>
  <c r="AC28"/>
  <c r="AA28"/>
  <c r="Y28"/>
  <c r="G28"/>
  <c r="D28"/>
  <c r="C28"/>
  <c r="AQ27"/>
  <c r="AG27"/>
  <c r="AE27"/>
  <c r="AD27"/>
  <c r="AC27"/>
  <c r="AA27"/>
  <c r="Y27"/>
  <c r="G27"/>
  <c r="D27"/>
  <c r="C27"/>
  <c r="AQ26"/>
  <c r="AG26"/>
  <c r="AE26"/>
  <c r="AD26"/>
  <c r="AC26"/>
  <c r="AA26"/>
  <c r="Y26"/>
  <c r="G26"/>
  <c r="D26"/>
  <c r="C26"/>
  <c r="AQ25"/>
  <c r="AG25"/>
  <c r="AE25"/>
  <c r="AD25"/>
  <c r="AC25"/>
  <c r="AA25"/>
  <c r="Y25"/>
  <c r="G25"/>
  <c r="D25"/>
  <c r="C25"/>
  <c r="AQ24"/>
  <c r="AG24"/>
  <c r="AE24"/>
  <c r="AD24"/>
  <c r="AC24"/>
  <c r="AA24"/>
  <c r="Y24"/>
  <c r="G24"/>
  <c r="D24"/>
  <c r="C24"/>
  <c r="AQ23"/>
  <c r="AP23"/>
  <c r="AO23"/>
  <c r="AN23"/>
  <c r="AM23"/>
  <c r="AL23"/>
  <c r="AG23"/>
  <c r="AF23"/>
  <c r="AE23"/>
  <c r="AD23"/>
  <c r="AC23"/>
  <c r="AB23"/>
  <c r="AA23"/>
  <c r="Z23"/>
  <c r="Y23"/>
  <c r="F6"/>
  <c r="Q21"/>
  <c r="D21"/>
  <c r="E20"/>
  <c r="D20"/>
  <c r="D19"/>
  <c r="D17"/>
  <c r="E16"/>
  <c r="D16"/>
  <c r="D15"/>
  <c r="F13"/>
  <c r="D13"/>
  <c r="D12"/>
  <c r="D11"/>
  <c r="D9"/>
  <c r="D8"/>
  <c r="D7"/>
  <c r="F3"/>
  <c r="D6" i="135"/>
  <c r="D5"/>
  <c r="H45"/>
  <c r="I45"/>
  <c r="J45"/>
  <c r="L45"/>
  <c r="D3"/>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T51"/>
  <c r="S45"/>
  <c r="S46"/>
  <c r="S47"/>
  <c r="S48"/>
  <c r="S49"/>
  <c r="S51"/>
  <c r="R51"/>
  <c r="P54"/>
  <c r="O51"/>
  <c r="I59"/>
  <c r="I60"/>
  <c r="U45"/>
  <c r="U46"/>
  <c r="U47"/>
  <c r="U48"/>
  <c r="U49"/>
  <c r="U51"/>
  <c r="I61"/>
  <c r="I62"/>
  <c r="I63"/>
  <c r="V45"/>
  <c r="W45"/>
  <c r="V46"/>
  <c r="W46"/>
  <c r="V47"/>
  <c r="W47"/>
  <c r="V48"/>
  <c r="W48"/>
  <c r="V49"/>
  <c r="W49"/>
  <c r="W51"/>
  <c r="V51"/>
  <c r="I65"/>
  <c r="I66"/>
  <c r="M67"/>
  <c r="M68"/>
  <c r="I67"/>
  <c r="AJ45"/>
  <c r="AK45"/>
  <c r="AJ46"/>
  <c r="AK46"/>
  <c r="AJ47"/>
  <c r="AK47"/>
  <c r="AJ48"/>
  <c r="AK48"/>
  <c r="AJ49"/>
  <c r="AK49"/>
  <c r="AL45"/>
  <c r="AL46"/>
  <c r="AL47"/>
  <c r="AL48"/>
  <c r="AL49"/>
  <c r="Q60"/>
  <c r="Q61"/>
  <c r="Q62"/>
  <c r="Q63"/>
  <c r="AH62"/>
  <c r="AH61"/>
  <c r="AH60"/>
  <c r="I55"/>
  <c r="I56"/>
  <c r="AH58"/>
  <c r="AH57"/>
  <c r="I54"/>
  <c r="M56"/>
  <c r="M57"/>
  <c r="AH56"/>
  <c r="P56"/>
  <c r="P55"/>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F5"/>
  <c r="AY45"/>
  <c r="AX45"/>
  <c r="AW45"/>
  <c r="AV45"/>
  <c r="AU45"/>
  <c r="AT45"/>
  <c r="AS45"/>
  <c r="AR45"/>
  <c r="AQ45"/>
  <c r="E45"/>
  <c r="AN45"/>
  <c r="F45"/>
  <c r="AO45"/>
  <c r="AP45"/>
  <c r="Q45"/>
  <c r="AH45"/>
  <c r="AG45"/>
  <c r="AF45"/>
  <c r="I43"/>
  <c r="AQ41"/>
  <c r="AP41"/>
  <c r="AN41"/>
  <c r="AM41"/>
  <c r="AL41"/>
  <c r="AK41"/>
  <c r="AJ41"/>
  <c r="AI41"/>
  <c r="AH41"/>
  <c r="AG41"/>
  <c r="AF41"/>
  <c r="AE41"/>
  <c r="AD41"/>
  <c r="AC41"/>
  <c r="AB41"/>
  <c r="AA41"/>
  <c r="Z41"/>
  <c r="Y41"/>
  <c r="G41"/>
  <c r="F41"/>
  <c r="E41"/>
  <c r="D41"/>
  <c r="C41"/>
  <c r="AQ40"/>
  <c r="AP40"/>
  <c r="AN40"/>
  <c r="AM40"/>
  <c r="AL40"/>
  <c r="AK40"/>
  <c r="AJ40"/>
  <c r="AI40"/>
  <c r="AH40"/>
  <c r="AG40"/>
  <c r="AF40"/>
  <c r="AE40"/>
  <c r="AD40"/>
  <c r="AC40"/>
  <c r="AB40"/>
  <c r="AA40"/>
  <c r="Z40"/>
  <c r="Y40"/>
  <c r="G40"/>
  <c r="F40"/>
  <c r="E40"/>
  <c r="D40"/>
  <c r="C40"/>
  <c r="AQ39"/>
  <c r="AP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G38"/>
  <c r="F38"/>
  <c r="E38"/>
  <c r="D38"/>
  <c r="C38"/>
  <c r="AQ37"/>
  <c r="AP37"/>
  <c r="AO37"/>
  <c r="AN37"/>
  <c r="AM37"/>
  <c r="AL37"/>
  <c r="AK37"/>
  <c r="AJ37"/>
  <c r="AI37"/>
  <c r="AH37"/>
  <c r="AG37"/>
  <c r="AF37"/>
  <c r="AE37"/>
  <c r="AD37"/>
  <c r="AC37"/>
  <c r="AB37"/>
  <c r="AA37"/>
  <c r="Z37"/>
  <c r="Y37"/>
  <c r="G37"/>
  <c r="F37"/>
  <c r="E37"/>
  <c r="D37"/>
  <c r="C37"/>
  <c r="AQ36"/>
  <c r="AP36"/>
  <c r="AN36"/>
  <c r="AM36"/>
  <c r="AL36"/>
  <c r="AK36"/>
  <c r="AJ36"/>
  <c r="AI36"/>
  <c r="AH36"/>
  <c r="AG36"/>
  <c r="AF36"/>
  <c r="AE36"/>
  <c r="AD36"/>
  <c r="AC36"/>
  <c r="AB36"/>
  <c r="AA36"/>
  <c r="Z36"/>
  <c r="Y36"/>
  <c r="G36"/>
  <c r="F36"/>
  <c r="E36"/>
  <c r="D36"/>
  <c r="C36"/>
  <c r="AQ35"/>
  <c r="AP35"/>
  <c r="AN35"/>
  <c r="AM35"/>
  <c r="AL35"/>
  <c r="AK35"/>
  <c r="AJ35"/>
  <c r="AI35"/>
  <c r="AH35"/>
  <c r="AG35"/>
  <c r="AF35"/>
  <c r="AE35"/>
  <c r="AD35"/>
  <c r="AC35"/>
  <c r="AB35"/>
  <c r="AA35"/>
  <c r="Z35"/>
  <c r="Y35"/>
  <c r="G35"/>
  <c r="F35"/>
  <c r="E35"/>
  <c r="D35"/>
  <c r="C35"/>
  <c r="AQ34"/>
  <c r="AP34"/>
  <c r="AN34"/>
  <c r="AM34"/>
  <c r="AL34"/>
  <c r="AK34"/>
  <c r="AJ34"/>
  <c r="AI34"/>
  <c r="AH34"/>
  <c r="AG34"/>
  <c r="AF34"/>
  <c r="AE34"/>
  <c r="AD34"/>
  <c r="AC34"/>
  <c r="AB34"/>
  <c r="AA34"/>
  <c r="Z34"/>
  <c r="Y34"/>
  <c r="I34"/>
  <c r="H34"/>
  <c r="G34"/>
  <c r="F34"/>
  <c r="E34"/>
  <c r="D34"/>
  <c r="C34"/>
  <c r="AQ33"/>
  <c r="AP33"/>
  <c r="AN33"/>
  <c r="AM33"/>
  <c r="AL33"/>
  <c r="AK33"/>
  <c r="AJ33"/>
  <c r="AI33"/>
  <c r="AH33"/>
  <c r="AG33"/>
  <c r="AF33"/>
  <c r="AE33"/>
  <c r="AD33"/>
  <c r="AA33"/>
  <c r="Z33"/>
  <c r="Y33"/>
  <c r="I33"/>
  <c r="H33"/>
  <c r="G33"/>
  <c r="F33"/>
  <c r="E33"/>
  <c r="D33"/>
  <c r="C33"/>
  <c r="AQ31"/>
  <c r="AP31"/>
  <c r="AO31"/>
  <c r="AN31"/>
  <c r="AM31"/>
  <c r="AL31"/>
  <c r="AK31"/>
  <c r="AJ31"/>
  <c r="AI31"/>
  <c r="AH31"/>
  <c r="AG31"/>
  <c r="AF31"/>
  <c r="AE31"/>
  <c r="AD31"/>
  <c r="AC31"/>
  <c r="AB31"/>
  <c r="AA31"/>
  <c r="Z31"/>
  <c r="Y31"/>
  <c r="I31"/>
  <c r="H31"/>
  <c r="G31"/>
  <c r="F31"/>
  <c r="E31"/>
  <c r="D31"/>
  <c r="C31"/>
  <c r="AQ30"/>
  <c r="AP30"/>
  <c r="AO30"/>
  <c r="AN30"/>
  <c r="AM30"/>
  <c r="AL30"/>
  <c r="AK30"/>
  <c r="AJ30"/>
  <c r="AI30"/>
  <c r="AH30"/>
  <c r="AG30"/>
  <c r="AF30"/>
  <c r="AE30"/>
  <c r="AD30"/>
  <c r="AC30"/>
  <c r="AB30"/>
  <c r="AA30"/>
  <c r="Z30"/>
  <c r="Y30"/>
  <c r="I30"/>
  <c r="H30"/>
  <c r="G30"/>
  <c r="F30"/>
  <c r="E30"/>
  <c r="D30"/>
  <c r="C30"/>
  <c r="AQ29"/>
  <c r="AP29"/>
  <c r="AO29"/>
  <c r="AN29"/>
  <c r="AM29"/>
  <c r="AL29"/>
  <c r="AK29"/>
  <c r="AJ29"/>
  <c r="AI29"/>
  <c r="AH29"/>
  <c r="AG29"/>
  <c r="AF29"/>
  <c r="AE29"/>
  <c r="AD29"/>
  <c r="AC29"/>
  <c r="AB29"/>
  <c r="AA29"/>
  <c r="Z29"/>
  <c r="Y29"/>
  <c r="I29"/>
  <c r="H29"/>
  <c r="G29"/>
  <c r="F29"/>
  <c r="E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F3"/>
  <c r="D6" i="85"/>
  <c r="D5"/>
  <c r="H34"/>
  <c r="I34"/>
  <c r="J34"/>
  <c r="L34"/>
  <c r="D3"/>
  <c r="M34"/>
  <c r="K34"/>
  <c r="N34"/>
  <c r="O34"/>
  <c r="P34"/>
  <c r="R34"/>
  <c r="T34"/>
  <c r="H35"/>
  <c r="I35"/>
  <c r="J35"/>
  <c r="L35"/>
  <c r="M35"/>
  <c r="K35"/>
  <c r="N35"/>
  <c r="O35"/>
  <c r="P35"/>
  <c r="R35"/>
  <c r="T35"/>
  <c r="H36"/>
  <c r="I36"/>
  <c r="J36"/>
  <c r="L36"/>
  <c r="M36"/>
  <c r="K36"/>
  <c r="N36"/>
  <c r="O36"/>
  <c r="P36"/>
  <c r="R36"/>
  <c r="T36"/>
  <c r="H37"/>
  <c r="I37"/>
  <c r="J37"/>
  <c r="L37"/>
  <c r="M37"/>
  <c r="K37"/>
  <c r="N37"/>
  <c r="O37"/>
  <c r="P37"/>
  <c r="R37"/>
  <c r="T37"/>
  <c r="H38"/>
  <c r="I38"/>
  <c r="J38"/>
  <c r="L38"/>
  <c r="M38"/>
  <c r="K38"/>
  <c r="N38"/>
  <c r="O38"/>
  <c r="P38"/>
  <c r="R38"/>
  <c r="T38"/>
  <c r="H39"/>
  <c r="I39"/>
  <c r="J39"/>
  <c r="L39"/>
  <c r="M39"/>
  <c r="K39"/>
  <c r="N39"/>
  <c r="O39"/>
  <c r="P39"/>
  <c r="R39"/>
  <c r="T39"/>
  <c r="T41"/>
  <c r="S34"/>
  <c r="S35"/>
  <c r="S36"/>
  <c r="S37"/>
  <c r="S38"/>
  <c r="S39"/>
  <c r="S41"/>
  <c r="R41"/>
  <c r="P44"/>
  <c r="O41"/>
  <c r="I49"/>
  <c r="I50"/>
  <c r="U34"/>
  <c r="U35"/>
  <c r="U36"/>
  <c r="U37"/>
  <c r="U38"/>
  <c r="U39"/>
  <c r="U41"/>
  <c r="I51"/>
  <c r="I52"/>
  <c r="I53"/>
  <c r="V34"/>
  <c r="W34"/>
  <c r="V35"/>
  <c r="W35"/>
  <c r="V36"/>
  <c r="W36"/>
  <c r="V37"/>
  <c r="W37"/>
  <c r="V38"/>
  <c r="W38"/>
  <c r="V39"/>
  <c r="W39"/>
  <c r="W41"/>
  <c r="V41"/>
  <c r="I55"/>
  <c r="I56"/>
  <c r="M57"/>
  <c r="M58"/>
  <c r="I57"/>
  <c r="AJ34"/>
  <c r="AK34"/>
  <c r="AJ35"/>
  <c r="AK35"/>
  <c r="AJ36"/>
  <c r="AK36"/>
  <c r="AJ37"/>
  <c r="AK37"/>
  <c r="AJ38"/>
  <c r="AK38"/>
  <c r="AJ39"/>
  <c r="AK39"/>
  <c r="AL34"/>
  <c r="AL35"/>
  <c r="AL36"/>
  <c r="AL37"/>
  <c r="AL38"/>
  <c r="AL39"/>
  <c r="Q50"/>
  <c r="Q51"/>
  <c r="Q52"/>
  <c r="Q53"/>
  <c r="AH52"/>
  <c r="AH51"/>
  <c r="AH50"/>
  <c r="I45"/>
  <c r="I46"/>
  <c r="AH48"/>
  <c r="AH47"/>
  <c r="I44"/>
  <c r="M46"/>
  <c r="M47"/>
  <c r="AH46"/>
  <c r="P46"/>
  <c r="P45"/>
  <c r="AX39"/>
  <c r="AW39"/>
  <c r="AV39"/>
  <c r="AU39"/>
  <c r="AT39"/>
  <c r="AS39"/>
  <c r="AR39"/>
  <c r="AQ39"/>
  <c r="E39"/>
  <c r="AN39"/>
  <c r="F39"/>
  <c r="AO39"/>
  <c r="AP39"/>
  <c r="Q39"/>
  <c r="AH39"/>
  <c r="AG39"/>
  <c r="AF39"/>
  <c r="AX38"/>
  <c r="AW38"/>
  <c r="AV38"/>
  <c r="AU38"/>
  <c r="AT38"/>
  <c r="AS38"/>
  <c r="AR38"/>
  <c r="AQ38"/>
  <c r="E38"/>
  <c r="AN38"/>
  <c r="F38"/>
  <c r="AO38"/>
  <c r="AP38"/>
  <c r="Q38"/>
  <c r="AH38"/>
  <c r="AG38"/>
  <c r="AF38"/>
  <c r="AX37"/>
  <c r="AW37"/>
  <c r="AV37"/>
  <c r="AU37"/>
  <c r="AT37"/>
  <c r="AS37"/>
  <c r="AR37"/>
  <c r="AQ37"/>
  <c r="E37"/>
  <c r="AN37"/>
  <c r="F37"/>
  <c r="AO37"/>
  <c r="AP37"/>
  <c r="Q37"/>
  <c r="AH37"/>
  <c r="AG37"/>
  <c r="AF37"/>
  <c r="AX36"/>
  <c r="AW36"/>
  <c r="AV36"/>
  <c r="AU36"/>
  <c r="AT36"/>
  <c r="AS36"/>
  <c r="AR36"/>
  <c r="AQ36"/>
  <c r="E36"/>
  <c r="AN36"/>
  <c r="F36"/>
  <c r="AO36"/>
  <c r="AP36"/>
  <c r="Q36"/>
  <c r="AH36"/>
  <c r="AG36"/>
  <c r="AF36"/>
  <c r="F5"/>
  <c r="AY35"/>
  <c r="AX35"/>
  <c r="AW35"/>
  <c r="AV35"/>
  <c r="AU35"/>
  <c r="AT35"/>
  <c r="AS35"/>
  <c r="AR35"/>
  <c r="AQ35"/>
  <c r="E35"/>
  <c r="AN35"/>
  <c r="F35"/>
  <c r="AO35"/>
  <c r="AP35"/>
  <c r="Q35"/>
  <c r="AH35"/>
  <c r="AG35"/>
  <c r="AF35"/>
  <c r="F3"/>
  <c r="AY34"/>
  <c r="AX34"/>
  <c r="AW34"/>
  <c r="AV34"/>
  <c r="AU34"/>
  <c r="AT34"/>
  <c r="AS34"/>
  <c r="AR34"/>
  <c r="AQ34"/>
  <c r="E34"/>
  <c r="AN34"/>
  <c r="F34"/>
  <c r="AO34"/>
  <c r="AP34"/>
  <c r="Q34"/>
  <c r="AH34"/>
  <c r="AG34"/>
  <c r="AF34"/>
  <c r="I32"/>
  <c r="AQ31"/>
  <c r="AP31"/>
  <c r="AO31"/>
  <c r="AN31"/>
  <c r="AM31"/>
  <c r="AL31"/>
  <c r="AK31"/>
  <c r="AJ31"/>
  <c r="AI31"/>
  <c r="AH31"/>
  <c r="AG31"/>
  <c r="AF31"/>
  <c r="AE31"/>
  <c r="AD31"/>
  <c r="AC31"/>
  <c r="AB31"/>
  <c r="AA31"/>
  <c r="Z31"/>
  <c r="Y31"/>
  <c r="I31"/>
  <c r="H31"/>
  <c r="G31"/>
  <c r="F31"/>
  <c r="E31"/>
  <c r="D31"/>
  <c r="C31"/>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D6" i="88"/>
  <c r="D5"/>
  <c r="H37"/>
  <c r="I37"/>
  <c r="J37"/>
  <c r="L37"/>
  <c r="D3"/>
  <c r="M37"/>
  <c r="K37"/>
  <c r="N37"/>
  <c r="O37"/>
  <c r="P37"/>
  <c r="R37"/>
  <c r="T37"/>
  <c r="H38"/>
  <c r="I38"/>
  <c r="J38"/>
  <c r="L38"/>
  <c r="M38"/>
  <c r="K38"/>
  <c r="N38"/>
  <c r="O38"/>
  <c r="P38"/>
  <c r="R38"/>
  <c r="T38"/>
  <c r="H39"/>
  <c r="I39"/>
  <c r="J39"/>
  <c r="L39"/>
  <c r="M39"/>
  <c r="K39"/>
  <c r="N39"/>
  <c r="O39"/>
  <c r="P39"/>
  <c r="R39"/>
  <c r="T39"/>
  <c r="H40"/>
  <c r="I40"/>
  <c r="J40"/>
  <c r="L40"/>
  <c r="M40"/>
  <c r="K40"/>
  <c r="N40"/>
  <c r="O40"/>
  <c r="P40"/>
  <c r="R40"/>
  <c r="T40"/>
  <c r="H41"/>
  <c r="I41"/>
  <c r="J41"/>
  <c r="L41"/>
  <c r="M41"/>
  <c r="K41"/>
  <c r="N41"/>
  <c r="O41"/>
  <c r="P41"/>
  <c r="R41"/>
  <c r="T41"/>
  <c r="H42"/>
  <c r="I42"/>
  <c r="J42"/>
  <c r="L42"/>
  <c r="M42"/>
  <c r="K42"/>
  <c r="N42"/>
  <c r="O42"/>
  <c r="P42"/>
  <c r="R42"/>
  <c r="T42"/>
  <c r="T44"/>
  <c r="S37"/>
  <c r="S38"/>
  <c r="S39"/>
  <c r="S40"/>
  <c r="S41"/>
  <c r="S42"/>
  <c r="S44"/>
  <c r="R44"/>
  <c r="P47"/>
  <c r="O44"/>
  <c r="I52"/>
  <c r="I53"/>
  <c r="U37"/>
  <c r="U38"/>
  <c r="U39"/>
  <c r="U40"/>
  <c r="U41"/>
  <c r="U42"/>
  <c r="U44"/>
  <c r="I54"/>
  <c r="I55"/>
  <c r="I56"/>
  <c r="V37"/>
  <c r="W37"/>
  <c r="V38"/>
  <c r="W38"/>
  <c r="V39"/>
  <c r="W39"/>
  <c r="V40"/>
  <c r="W40"/>
  <c r="V41"/>
  <c r="W41"/>
  <c r="V42"/>
  <c r="W42"/>
  <c r="W44"/>
  <c r="V44"/>
  <c r="I58"/>
  <c r="I59"/>
  <c r="M60"/>
  <c r="M61"/>
  <c r="I60"/>
  <c r="AJ37"/>
  <c r="AK37"/>
  <c r="AJ38"/>
  <c r="AK38"/>
  <c r="AJ39"/>
  <c r="AK39"/>
  <c r="AJ40"/>
  <c r="AK40"/>
  <c r="AJ41"/>
  <c r="AK41"/>
  <c r="AJ42"/>
  <c r="AK42"/>
  <c r="AL37"/>
  <c r="AL38"/>
  <c r="AL39"/>
  <c r="AL40"/>
  <c r="AL41"/>
  <c r="AL42"/>
  <c r="Q53"/>
  <c r="Q54"/>
  <c r="Q55"/>
  <c r="Q56"/>
  <c r="AH55"/>
  <c r="AH54"/>
  <c r="AH53"/>
  <c r="I48"/>
  <c r="I49"/>
  <c r="AH51"/>
  <c r="AH50"/>
  <c r="I47"/>
  <c r="M49"/>
  <c r="M50"/>
  <c r="AH49"/>
  <c r="P49"/>
  <c r="P48"/>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F5"/>
  <c r="AY39"/>
  <c r="AX39"/>
  <c r="AW39"/>
  <c r="AV39"/>
  <c r="AU39"/>
  <c r="AT39"/>
  <c r="AS39"/>
  <c r="AR39"/>
  <c r="AQ39"/>
  <c r="E39"/>
  <c r="AN39"/>
  <c r="F39"/>
  <c r="AO39"/>
  <c r="AP39"/>
  <c r="Q39"/>
  <c r="AH39"/>
  <c r="AG39"/>
  <c r="AF39"/>
  <c r="F6"/>
  <c r="AY38"/>
  <c r="AX38"/>
  <c r="AW38"/>
  <c r="AV38"/>
  <c r="AU38"/>
  <c r="AT38"/>
  <c r="AS38"/>
  <c r="AR38"/>
  <c r="AQ38"/>
  <c r="E38"/>
  <c r="AN38"/>
  <c r="F38"/>
  <c r="AO38"/>
  <c r="AP38"/>
  <c r="Q38"/>
  <c r="AH38"/>
  <c r="AG38"/>
  <c r="AF38"/>
  <c r="F4"/>
  <c r="AY37"/>
  <c r="AX37"/>
  <c r="AW37"/>
  <c r="AV37"/>
  <c r="AU37"/>
  <c r="AT37"/>
  <c r="AS37"/>
  <c r="AR37"/>
  <c r="AQ37"/>
  <c r="E37"/>
  <c r="AN37"/>
  <c r="F37"/>
  <c r="AO37"/>
  <c r="AP37"/>
  <c r="Q37"/>
  <c r="AH37"/>
  <c r="AG37"/>
  <c r="AF37"/>
  <c r="I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1"/>
  <c r="AP31"/>
  <c r="AO31"/>
  <c r="AN31"/>
  <c r="AM31"/>
  <c r="AL31"/>
  <c r="AK31"/>
  <c r="AJ31"/>
  <c r="AI31"/>
  <c r="AH31"/>
  <c r="AG31"/>
  <c r="AF31"/>
  <c r="AE31"/>
  <c r="AD31"/>
  <c r="AC31"/>
  <c r="AB31"/>
  <c r="AA31"/>
  <c r="Z31"/>
  <c r="Y31"/>
  <c r="I31"/>
  <c r="H31"/>
  <c r="G31"/>
  <c r="F31"/>
  <c r="E31"/>
  <c r="D31"/>
  <c r="C31"/>
  <c r="AQ30"/>
  <c r="AP30"/>
  <c r="AO30"/>
  <c r="AN30"/>
  <c r="AM30"/>
  <c r="AL30"/>
  <c r="AK30"/>
  <c r="AJ30"/>
  <c r="AI30"/>
  <c r="AH30"/>
  <c r="AG30"/>
  <c r="AF30"/>
  <c r="AE30"/>
  <c r="AD30"/>
  <c r="AC30"/>
  <c r="AB30"/>
  <c r="AA30"/>
  <c r="Z30"/>
  <c r="Y30"/>
  <c r="I30"/>
  <c r="H30"/>
  <c r="G30"/>
  <c r="F30"/>
  <c r="E30"/>
  <c r="D30"/>
  <c r="C30"/>
  <c r="AQ29"/>
  <c r="AJ29"/>
  <c r="AG29"/>
  <c r="AE29"/>
  <c r="AD29"/>
  <c r="AC29"/>
  <c r="AA29"/>
  <c r="Y29"/>
  <c r="G29"/>
  <c r="D29"/>
  <c r="C29"/>
  <c r="AQ28"/>
  <c r="AJ28"/>
  <c r="AG28"/>
  <c r="AE28"/>
  <c r="AD28"/>
  <c r="AC28"/>
  <c r="AA28"/>
  <c r="Y28"/>
  <c r="G28"/>
  <c r="D28"/>
  <c r="C28"/>
  <c r="AQ27"/>
  <c r="AJ27"/>
  <c r="Y27"/>
  <c r="G27"/>
  <c r="D27"/>
  <c r="C27"/>
  <c r="AQ26"/>
  <c r="AJ26"/>
  <c r="Y26"/>
  <c r="G26"/>
  <c r="D26"/>
  <c r="C26"/>
  <c r="AQ25"/>
  <c r="AJ25"/>
  <c r="AG25"/>
  <c r="AE25"/>
  <c r="AD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3"/>
  <c r="D6" i="86"/>
  <c r="D5"/>
  <c r="H33"/>
  <c r="I33"/>
  <c r="J33"/>
  <c r="L33"/>
  <c r="D3"/>
  <c r="M33"/>
  <c r="K33"/>
  <c r="N33"/>
  <c r="O33"/>
  <c r="P33"/>
  <c r="R33"/>
  <c r="T33"/>
  <c r="H34"/>
  <c r="I34"/>
  <c r="J34"/>
  <c r="L34"/>
  <c r="M34"/>
  <c r="K34"/>
  <c r="N34"/>
  <c r="O34"/>
  <c r="P34"/>
  <c r="R34"/>
  <c r="T34"/>
  <c r="H35"/>
  <c r="I35"/>
  <c r="J35"/>
  <c r="L35"/>
  <c r="M35"/>
  <c r="K35"/>
  <c r="N35"/>
  <c r="O35"/>
  <c r="P35"/>
  <c r="R35"/>
  <c r="T35"/>
  <c r="H36"/>
  <c r="I36"/>
  <c r="J36"/>
  <c r="L36"/>
  <c r="M36"/>
  <c r="K36"/>
  <c r="N36"/>
  <c r="O36"/>
  <c r="P36"/>
  <c r="R36"/>
  <c r="T36"/>
  <c r="H37"/>
  <c r="I37"/>
  <c r="J37"/>
  <c r="L37"/>
  <c r="M37"/>
  <c r="K37"/>
  <c r="N37"/>
  <c r="O37"/>
  <c r="P37"/>
  <c r="R37"/>
  <c r="T37"/>
  <c r="T39"/>
  <c r="S33"/>
  <c r="S34"/>
  <c r="S35"/>
  <c r="S36"/>
  <c r="S37"/>
  <c r="S39"/>
  <c r="R39"/>
  <c r="P42"/>
  <c r="O39"/>
  <c r="I47"/>
  <c r="I48"/>
  <c r="U33"/>
  <c r="U34"/>
  <c r="U35"/>
  <c r="U36"/>
  <c r="U37"/>
  <c r="U39"/>
  <c r="I49"/>
  <c r="I50"/>
  <c r="I51"/>
  <c r="V33"/>
  <c r="W33"/>
  <c r="V34"/>
  <c r="W34"/>
  <c r="V35"/>
  <c r="W35"/>
  <c r="V36"/>
  <c r="W36"/>
  <c r="V37"/>
  <c r="W37"/>
  <c r="W39"/>
  <c r="V39"/>
  <c r="I53"/>
  <c r="I54"/>
  <c r="M55"/>
  <c r="M56"/>
  <c r="I55"/>
  <c r="AJ33"/>
  <c r="AK33"/>
  <c r="AJ34"/>
  <c r="AK34"/>
  <c r="AJ35"/>
  <c r="AK35"/>
  <c r="AJ36"/>
  <c r="AK36"/>
  <c r="AJ37"/>
  <c r="AK37"/>
  <c r="AL33"/>
  <c r="AL34"/>
  <c r="AL35"/>
  <c r="AL36"/>
  <c r="AL37"/>
  <c r="Q48"/>
  <c r="Q49"/>
  <c r="Q50"/>
  <c r="Q51"/>
  <c r="AH50"/>
  <c r="AH49"/>
  <c r="AH48"/>
  <c r="I43"/>
  <c r="I44"/>
  <c r="AH46"/>
  <c r="AH45"/>
  <c r="I42"/>
  <c r="M44"/>
  <c r="M45"/>
  <c r="AH44"/>
  <c r="P44"/>
  <c r="P43"/>
  <c r="AX37"/>
  <c r="AW37"/>
  <c r="AV37"/>
  <c r="AU37"/>
  <c r="AT37"/>
  <c r="AS37"/>
  <c r="AR37"/>
  <c r="AQ37"/>
  <c r="E37"/>
  <c r="AN37"/>
  <c r="F37"/>
  <c r="AO37"/>
  <c r="AP37"/>
  <c r="Q37"/>
  <c r="AH37"/>
  <c r="AG37"/>
  <c r="AF37"/>
  <c r="AX36"/>
  <c r="AW36"/>
  <c r="AV36"/>
  <c r="AU36"/>
  <c r="AT36"/>
  <c r="AS36"/>
  <c r="AR36"/>
  <c r="AQ36"/>
  <c r="E36"/>
  <c r="AN36"/>
  <c r="F36"/>
  <c r="AO36"/>
  <c r="AP36"/>
  <c r="Q36"/>
  <c r="AH36"/>
  <c r="AG36"/>
  <c r="AF36"/>
  <c r="AX35"/>
  <c r="AW35"/>
  <c r="AV35"/>
  <c r="AU35"/>
  <c r="AT35"/>
  <c r="AS35"/>
  <c r="AR35"/>
  <c r="AQ35"/>
  <c r="E35"/>
  <c r="AN35"/>
  <c r="F35"/>
  <c r="AO35"/>
  <c r="AP35"/>
  <c r="Q35"/>
  <c r="AH35"/>
  <c r="AG35"/>
  <c r="AF35"/>
  <c r="F5"/>
  <c r="AY34"/>
  <c r="AX34"/>
  <c r="AW34"/>
  <c r="AV34"/>
  <c r="AU34"/>
  <c r="AT34"/>
  <c r="AS34"/>
  <c r="AR34"/>
  <c r="AQ34"/>
  <c r="E34"/>
  <c r="AN34"/>
  <c r="F34"/>
  <c r="AO34"/>
  <c r="AP34"/>
  <c r="Q34"/>
  <c r="AH34"/>
  <c r="AG34"/>
  <c r="AF34"/>
  <c r="F3"/>
  <c r="AY33"/>
  <c r="AX33"/>
  <c r="AW33"/>
  <c r="AV33"/>
  <c r="AU33"/>
  <c r="AT33"/>
  <c r="AS33"/>
  <c r="AR33"/>
  <c r="AQ33"/>
  <c r="E33"/>
  <c r="AN33"/>
  <c r="F33"/>
  <c r="AO33"/>
  <c r="AP33"/>
  <c r="Q33"/>
  <c r="AH33"/>
  <c r="AG33"/>
  <c r="AF33"/>
  <c r="I31"/>
  <c r="AQ30"/>
  <c r="AP30"/>
  <c r="AO30"/>
  <c r="AN30"/>
  <c r="AM30"/>
  <c r="AL30"/>
  <c r="AK30"/>
  <c r="AJ30"/>
  <c r="AI30"/>
  <c r="AH30"/>
  <c r="AG30"/>
  <c r="AF30"/>
  <c r="AE30"/>
  <c r="AD30"/>
  <c r="AC30"/>
  <c r="AB30"/>
  <c r="AA30"/>
  <c r="Z30"/>
  <c r="Y30"/>
  <c r="I30"/>
  <c r="H30"/>
  <c r="G30"/>
  <c r="F30"/>
  <c r="E30"/>
  <c r="D30"/>
  <c r="C30"/>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Q21"/>
  <c r="D21"/>
  <c r="E20"/>
  <c r="D20"/>
  <c r="D19"/>
  <c r="D17"/>
  <c r="E16"/>
  <c r="D16"/>
  <c r="D15"/>
  <c r="F13"/>
  <c r="D13"/>
  <c r="D12"/>
  <c r="D11"/>
  <c r="D9"/>
  <c r="D8"/>
  <c r="D7"/>
  <c r="F4"/>
  <c r="H37" i="115"/>
  <c r="I37"/>
  <c r="K37"/>
  <c r="L37"/>
  <c r="P37"/>
  <c r="R37"/>
  <c r="N37"/>
  <c r="O37"/>
  <c r="T37"/>
  <c r="H38"/>
  <c r="I38"/>
  <c r="K38"/>
  <c r="L38"/>
  <c r="P38"/>
  <c r="R38"/>
  <c r="N38"/>
  <c r="O38"/>
  <c r="T38"/>
  <c r="H39"/>
  <c r="I39"/>
  <c r="K39"/>
  <c r="L39"/>
  <c r="P39"/>
  <c r="R39"/>
  <c r="N39"/>
  <c r="O39"/>
  <c r="T39"/>
  <c r="H40"/>
  <c r="I40"/>
  <c r="K40"/>
  <c r="L40"/>
  <c r="P40"/>
  <c r="R40"/>
  <c r="N40"/>
  <c r="O40"/>
  <c r="T40"/>
  <c r="H41"/>
  <c r="I41"/>
  <c r="K41"/>
  <c r="L41"/>
  <c r="P41"/>
  <c r="R41"/>
  <c r="N41"/>
  <c r="O41"/>
  <c r="T41"/>
  <c r="H42"/>
  <c r="I42"/>
  <c r="K42"/>
  <c r="L42"/>
  <c r="P42"/>
  <c r="R42"/>
  <c r="N42"/>
  <c r="O42"/>
  <c r="T42"/>
  <c r="H43"/>
  <c r="I43"/>
  <c r="K43"/>
  <c r="L43"/>
  <c r="P43"/>
  <c r="R43"/>
  <c r="N43"/>
  <c r="O43"/>
  <c r="T43"/>
  <c r="H44"/>
  <c r="I44"/>
  <c r="K44"/>
  <c r="L44"/>
  <c r="P44"/>
  <c r="R44"/>
  <c r="N44"/>
  <c r="O44"/>
  <c r="T44"/>
  <c r="T46"/>
  <c r="S37"/>
  <c r="S38"/>
  <c r="S39"/>
  <c r="S40"/>
  <c r="S41"/>
  <c r="S42"/>
  <c r="S43"/>
  <c r="S44"/>
  <c r="S46"/>
  <c r="R46"/>
  <c r="P49"/>
  <c r="O46"/>
  <c r="I54"/>
  <c r="I55"/>
  <c r="U37"/>
  <c r="U38"/>
  <c r="U39"/>
  <c r="U40"/>
  <c r="U41"/>
  <c r="U42"/>
  <c r="U43"/>
  <c r="U44"/>
  <c r="U46"/>
  <c r="I56"/>
  <c r="I57"/>
  <c r="I58"/>
  <c r="V37"/>
  <c r="W37"/>
  <c r="V38"/>
  <c r="W38"/>
  <c r="V39"/>
  <c r="W39"/>
  <c r="V40"/>
  <c r="W40"/>
  <c r="V41"/>
  <c r="W41"/>
  <c r="V42"/>
  <c r="W42"/>
  <c r="V43"/>
  <c r="W43"/>
  <c r="V44"/>
  <c r="W44"/>
  <c r="W46"/>
  <c r="V46"/>
  <c r="I60"/>
  <c r="I61"/>
  <c r="M62"/>
  <c r="M63"/>
  <c r="I62"/>
  <c r="AJ37"/>
  <c r="AK37"/>
  <c r="AJ38"/>
  <c r="AK38"/>
  <c r="AJ39"/>
  <c r="AK39"/>
  <c r="AJ40"/>
  <c r="AK40"/>
  <c r="AJ41"/>
  <c r="AK41"/>
  <c r="AJ42"/>
  <c r="AK42"/>
  <c r="AJ43"/>
  <c r="AK43"/>
  <c r="AJ44"/>
  <c r="AK44"/>
  <c r="AL37"/>
  <c r="AL38"/>
  <c r="AL39"/>
  <c r="AL40"/>
  <c r="AL41"/>
  <c r="AL42"/>
  <c r="AL43"/>
  <c r="AL44"/>
  <c r="Q55"/>
  <c r="Q56"/>
  <c r="Q57"/>
  <c r="Q58"/>
  <c r="AH57"/>
  <c r="AH56"/>
  <c r="AH55"/>
  <c r="I49"/>
  <c r="I50"/>
  <c r="I51"/>
  <c r="AH53"/>
  <c r="AH52"/>
  <c r="M51"/>
  <c r="M52"/>
  <c r="AH51"/>
  <c r="P51"/>
  <c r="P50"/>
  <c r="AX44"/>
  <c r="AW44"/>
  <c r="Q31"/>
  <c r="M44"/>
  <c r="AV44"/>
  <c r="AU44"/>
  <c r="AT44"/>
  <c r="N31"/>
  <c r="J44"/>
  <c r="AS44"/>
  <c r="AR44"/>
  <c r="AQ44"/>
  <c r="E44"/>
  <c r="AN44"/>
  <c r="F44"/>
  <c r="AO44"/>
  <c r="AP44"/>
  <c r="Q44"/>
  <c r="AH44"/>
  <c r="AG44"/>
  <c r="AF44"/>
  <c r="AX43"/>
  <c r="AW43"/>
  <c r="Q30"/>
  <c r="M43"/>
  <c r="AV43"/>
  <c r="AU43"/>
  <c r="AT43"/>
  <c r="N30"/>
  <c r="J43"/>
  <c r="AS43"/>
  <c r="AR43"/>
  <c r="AQ43"/>
  <c r="E43"/>
  <c r="AN43"/>
  <c r="F43"/>
  <c r="AO43"/>
  <c r="AP43"/>
  <c r="Q43"/>
  <c r="AH43"/>
  <c r="AG43"/>
  <c r="AF43"/>
  <c r="AX42"/>
  <c r="AW42"/>
  <c r="Q29"/>
  <c r="M42"/>
  <c r="AV42"/>
  <c r="AU42"/>
  <c r="AT42"/>
  <c r="N29"/>
  <c r="J42"/>
  <c r="AS42"/>
  <c r="AR42"/>
  <c r="AQ42"/>
  <c r="E42"/>
  <c r="AN42"/>
  <c r="F42"/>
  <c r="AO42"/>
  <c r="AP42"/>
  <c r="Q42"/>
  <c r="AH42"/>
  <c r="AG42"/>
  <c r="AF42"/>
  <c r="AX41"/>
  <c r="AW41"/>
  <c r="Q28"/>
  <c r="M41"/>
  <c r="AV41"/>
  <c r="AU41"/>
  <c r="AT41"/>
  <c r="N28"/>
  <c r="J41"/>
  <c r="AS41"/>
  <c r="AR41"/>
  <c r="AQ41"/>
  <c r="E41"/>
  <c r="AN41"/>
  <c r="F41"/>
  <c r="AO41"/>
  <c r="AP41"/>
  <c r="Q41"/>
  <c r="AH41"/>
  <c r="AG41"/>
  <c r="AF41"/>
  <c r="F4"/>
  <c r="AY40"/>
  <c r="AX40"/>
  <c r="AW40"/>
  <c r="Q27"/>
  <c r="M40"/>
  <c r="AV40"/>
  <c r="AU40"/>
  <c r="AT40"/>
  <c r="N27"/>
  <c r="J40"/>
  <c r="AS40"/>
  <c r="AR40"/>
  <c r="AQ40"/>
  <c r="E40"/>
  <c r="AN40"/>
  <c r="F40"/>
  <c r="AO40"/>
  <c r="AP40"/>
  <c r="Q40"/>
  <c r="AH40"/>
  <c r="AG40"/>
  <c r="AF40"/>
  <c r="AX39"/>
  <c r="AW39"/>
  <c r="Q26"/>
  <c r="M39"/>
  <c r="AV39"/>
  <c r="AU39"/>
  <c r="AT39"/>
  <c r="N26"/>
  <c r="J39"/>
  <c r="AS39"/>
  <c r="AR39"/>
  <c r="AQ39"/>
  <c r="E39"/>
  <c r="AN39"/>
  <c r="F39"/>
  <c r="AO39"/>
  <c r="AP39"/>
  <c r="Q39"/>
  <c r="AH39"/>
  <c r="AG39"/>
  <c r="AF39"/>
  <c r="AX38"/>
  <c r="AW38"/>
  <c r="Q25"/>
  <c r="M38"/>
  <c r="AV38"/>
  <c r="AU38"/>
  <c r="AT38"/>
  <c r="N25"/>
  <c r="J38"/>
  <c r="AS38"/>
  <c r="AR38"/>
  <c r="AQ38"/>
  <c r="E38"/>
  <c r="AN38"/>
  <c r="F38"/>
  <c r="AO38"/>
  <c r="AP38"/>
  <c r="Q38"/>
  <c r="AH38"/>
  <c r="AG38"/>
  <c r="AF38"/>
  <c r="F3"/>
  <c r="AY37"/>
  <c r="AX37"/>
  <c r="AW37"/>
  <c r="Q24"/>
  <c r="M37"/>
  <c r="AV37"/>
  <c r="AU37"/>
  <c r="AT37"/>
  <c r="N24"/>
  <c r="J37"/>
  <c r="AS37"/>
  <c r="AR37"/>
  <c r="AQ37"/>
  <c r="E37"/>
  <c r="AN37"/>
  <c r="F37"/>
  <c r="AO37"/>
  <c r="AP37"/>
  <c r="Q37"/>
  <c r="AH37"/>
  <c r="AG37"/>
  <c r="AF37"/>
  <c r="AQ34"/>
  <c r="AP34"/>
  <c r="AO34"/>
  <c r="AN34"/>
  <c r="AM34"/>
  <c r="AL34"/>
  <c r="AK34"/>
  <c r="AJ34"/>
  <c r="AI34"/>
  <c r="AH34"/>
  <c r="AG34"/>
  <c r="AF34"/>
  <c r="AE34"/>
  <c r="AD34"/>
  <c r="AC34"/>
  <c r="AB34"/>
  <c r="AA34"/>
  <c r="Z34"/>
  <c r="Y34"/>
  <c r="I34"/>
  <c r="Q34"/>
  <c r="V34"/>
  <c r="H34"/>
  <c r="N34"/>
  <c r="U34"/>
  <c r="S34"/>
  <c r="R34"/>
  <c r="G34"/>
  <c r="F34"/>
  <c r="E34"/>
  <c r="D34"/>
  <c r="C34"/>
  <c r="I33"/>
  <c r="AQ31"/>
  <c r="AJ31"/>
  <c r="AG31"/>
  <c r="AE31"/>
  <c r="AD31"/>
  <c r="AC31"/>
  <c r="AA31"/>
  <c r="Y31"/>
  <c r="V31"/>
  <c r="U31"/>
  <c r="S31"/>
  <c r="R31"/>
  <c r="G31"/>
  <c r="D31"/>
  <c r="C31"/>
  <c r="AQ30"/>
  <c r="AJ30"/>
  <c r="AG30"/>
  <c r="AE30"/>
  <c r="AD30"/>
  <c r="AC30"/>
  <c r="AA30"/>
  <c r="Y30"/>
  <c r="V30"/>
  <c r="U30"/>
  <c r="S30"/>
  <c r="R30"/>
  <c r="G30"/>
  <c r="D30"/>
  <c r="C30"/>
  <c r="AQ29"/>
  <c r="AJ29"/>
  <c r="AG29"/>
  <c r="AE29"/>
  <c r="AD29"/>
  <c r="AC29"/>
  <c r="AA29"/>
  <c r="Y29"/>
  <c r="V29"/>
  <c r="U29"/>
  <c r="S29"/>
  <c r="R29"/>
  <c r="G29"/>
  <c r="D29"/>
  <c r="C29"/>
  <c r="AQ28"/>
  <c r="AJ28"/>
  <c r="AH28"/>
  <c r="AG28"/>
  <c r="AE28"/>
  <c r="AD28"/>
  <c r="AC28"/>
  <c r="AA28"/>
  <c r="Y28"/>
  <c r="V28"/>
  <c r="U28"/>
  <c r="S28"/>
  <c r="R28"/>
  <c r="G28"/>
  <c r="D28"/>
  <c r="C28"/>
  <c r="AQ27"/>
  <c r="AJ27"/>
  <c r="AG27"/>
  <c r="AE27"/>
  <c r="AD27"/>
  <c r="AC27"/>
  <c r="AA27"/>
  <c r="Y27"/>
  <c r="V27"/>
  <c r="U27"/>
  <c r="S27"/>
  <c r="R27"/>
  <c r="G27"/>
  <c r="D27"/>
  <c r="C27"/>
  <c r="AQ26"/>
  <c r="AJ26"/>
  <c r="AG26"/>
  <c r="AE26"/>
  <c r="AD26"/>
  <c r="AC26"/>
  <c r="AA26"/>
  <c r="Y26"/>
  <c r="V26"/>
  <c r="U26"/>
  <c r="S26"/>
  <c r="R26"/>
  <c r="G26"/>
  <c r="D26"/>
  <c r="C26"/>
  <c r="AQ25"/>
  <c r="AJ25"/>
  <c r="AG25"/>
  <c r="AE25"/>
  <c r="AD25"/>
  <c r="AC25"/>
  <c r="AA25"/>
  <c r="Y25"/>
  <c r="V25"/>
  <c r="U25"/>
  <c r="S25"/>
  <c r="R25"/>
  <c r="G25"/>
  <c r="D25"/>
  <c r="C25"/>
  <c r="AQ24"/>
  <c r="AJ24"/>
  <c r="AG24"/>
  <c r="AE24"/>
  <c r="AD24"/>
  <c r="AC24"/>
  <c r="AA24"/>
  <c r="Y24"/>
  <c r="V24"/>
  <c r="U24"/>
  <c r="S24"/>
  <c r="R24"/>
  <c r="G24"/>
  <c r="D24"/>
  <c r="C24"/>
  <c r="AQ23"/>
  <c r="AP23"/>
  <c r="AO23"/>
  <c r="AN23"/>
  <c r="AM23"/>
  <c r="AL23"/>
  <c r="AK23"/>
  <c r="AJ23"/>
  <c r="AI23"/>
  <c r="AH23"/>
  <c r="AG23"/>
  <c r="AF23"/>
  <c r="AE23"/>
  <c r="AD23"/>
  <c r="AC23"/>
  <c r="AB23"/>
  <c r="AA23"/>
  <c r="Z23"/>
  <c r="Y23"/>
  <c r="Q21"/>
  <c r="D21"/>
  <c r="E20"/>
  <c r="D20"/>
  <c r="D19"/>
  <c r="D17"/>
  <c r="E16"/>
  <c r="D16"/>
  <c r="D15"/>
  <c r="F13"/>
  <c r="D13"/>
  <c r="D12"/>
  <c r="D11"/>
  <c r="D9"/>
  <c r="D7"/>
  <c r="D6" i="111"/>
  <c r="D5"/>
  <c r="H44"/>
  <c r="I44"/>
  <c r="J44"/>
  <c r="L44"/>
  <c r="D3"/>
  <c r="M44"/>
  <c r="K44"/>
  <c r="N44"/>
  <c r="O44"/>
  <c r="P44"/>
  <c r="R44"/>
  <c r="T44"/>
  <c r="H45"/>
  <c r="I45"/>
  <c r="J45"/>
  <c r="L45"/>
  <c r="M45"/>
  <c r="K45"/>
  <c r="N45"/>
  <c r="O45"/>
  <c r="P45"/>
  <c r="R45"/>
  <c r="T45"/>
  <c r="H46"/>
  <c r="I46"/>
  <c r="J46"/>
  <c r="L46"/>
  <c r="M46"/>
  <c r="K46"/>
  <c r="N46"/>
  <c r="O46"/>
  <c r="P46"/>
  <c r="R46"/>
  <c r="T46"/>
  <c r="H47"/>
  <c r="I47"/>
  <c r="J47"/>
  <c r="L47"/>
  <c r="M47"/>
  <c r="K47"/>
  <c r="N47"/>
  <c r="O47"/>
  <c r="P47"/>
  <c r="R47"/>
  <c r="T47"/>
  <c r="H48"/>
  <c r="I48"/>
  <c r="J48"/>
  <c r="L48"/>
  <c r="M48"/>
  <c r="K48"/>
  <c r="N48"/>
  <c r="O48"/>
  <c r="P48"/>
  <c r="R48"/>
  <c r="T48"/>
  <c r="H49"/>
  <c r="I49"/>
  <c r="J49"/>
  <c r="L49"/>
  <c r="M49"/>
  <c r="K49"/>
  <c r="N49"/>
  <c r="O49"/>
  <c r="P49"/>
  <c r="R49"/>
  <c r="T49"/>
  <c r="H50"/>
  <c r="I50"/>
  <c r="J50"/>
  <c r="L50"/>
  <c r="M50"/>
  <c r="K50"/>
  <c r="N50"/>
  <c r="O50"/>
  <c r="P50"/>
  <c r="R50"/>
  <c r="T50"/>
  <c r="H51"/>
  <c r="I51"/>
  <c r="J51"/>
  <c r="L51"/>
  <c r="M51"/>
  <c r="K51"/>
  <c r="N51"/>
  <c r="O51"/>
  <c r="P51"/>
  <c r="R51"/>
  <c r="T51"/>
  <c r="T54"/>
  <c r="S44"/>
  <c r="S45"/>
  <c r="S46"/>
  <c r="S47"/>
  <c r="S48"/>
  <c r="S49"/>
  <c r="S50"/>
  <c r="S51"/>
  <c r="S54"/>
  <c r="R54"/>
  <c r="P57"/>
  <c r="O54"/>
  <c r="I62"/>
  <c r="I63"/>
  <c r="U44"/>
  <c r="U45"/>
  <c r="U46"/>
  <c r="U47"/>
  <c r="U48"/>
  <c r="U49"/>
  <c r="U50"/>
  <c r="U51"/>
  <c r="U54"/>
  <c r="I64"/>
  <c r="I65"/>
  <c r="I66"/>
  <c r="V44"/>
  <c r="W44"/>
  <c r="V45"/>
  <c r="W45"/>
  <c r="V46"/>
  <c r="W46"/>
  <c r="V47"/>
  <c r="W47"/>
  <c r="V48"/>
  <c r="W48"/>
  <c r="V49"/>
  <c r="W49"/>
  <c r="V50"/>
  <c r="W50"/>
  <c r="V51"/>
  <c r="W51"/>
  <c r="W54"/>
  <c r="V54"/>
  <c r="I68"/>
  <c r="I69"/>
  <c r="M70"/>
  <c r="M71"/>
  <c r="I70"/>
  <c r="AJ44"/>
  <c r="AK44"/>
  <c r="AJ45"/>
  <c r="AK45"/>
  <c r="AJ46"/>
  <c r="AK46"/>
  <c r="AJ47"/>
  <c r="AK47"/>
  <c r="AJ48"/>
  <c r="AK48"/>
  <c r="AJ49"/>
  <c r="AK49"/>
  <c r="AJ50"/>
  <c r="AK50"/>
  <c r="AJ51"/>
  <c r="AK51"/>
  <c r="AL44"/>
  <c r="AL45"/>
  <c r="AL46"/>
  <c r="AL47"/>
  <c r="AL48"/>
  <c r="AL49"/>
  <c r="AL50"/>
  <c r="AL51"/>
  <c r="Q63"/>
  <c r="Q64"/>
  <c r="Q65"/>
  <c r="Q66"/>
  <c r="AH65"/>
  <c r="AH64"/>
  <c r="AH63"/>
  <c r="I58"/>
  <c r="I59"/>
  <c r="AH61"/>
  <c r="AH60"/>
  <c r="I57"/>
  <c r="M59"/>
  <c r="M60"/>
  <c r="AH59"/>
  <c r="P59"/>
  <c r="P58"/>
  <c r="AX51"/>
  <c r="AW51"/>
  <c r="AV51"/>
  <c r="AU51"/>
  <c r="AT51"/>
  <c r="AS51"/>
  <c r="AR51"/>
  <c r="AQ51"/>
  <c r="E51"/>
  <c r="AN51"/>
  <c r="F51"/>
  <c r="AO51"/>
  <c r="AP51"/>
  <c r="Q51"/>
  <c r="AH51"/>
  <c r="AG51"/>
  <c r="AF51"/>
  <c r="AX50"/>
  <c r="AW50"/>
  <c r="AV50"/>
  <c r="AU50"/>
  <c r="AT50"/>
  <c r="AS50"/>
  <c r="AR50"/>
  <c r="AQ50"/>
  <c r="E50"/>
  <c r="AN50"/>
  <c r="F50"/>
  <c r="AO50"/>
  <c r="AP50"/>
  <c r="Q50"/>
  <c r="AH50"/>
  <c r="AG50"/>
  <c r="AF50"/>
  <c r="AX49"/>
  <c r="AW49"/>
  <c r="AV49"/>
  <c r="AU49"/>
  <c r="AT49"/>
  <c r="AS49"/>
  <c r="AR49"/>
  <c r="AQ49"/>
  <c r="E49"/>
  <c r="AN49"/>
  <c r="F49"/>
  <c r="AO49"/>
  <c r="AP49"/>
  <c r="Q49"/>
  <c r="AH49"/>
  <c r="AG49"/>
  <c r="AF49"/>
  <c r="AX48"/>
  <c r="AW48"/>
  <c r="AV48"/>
  <c r="AU48"/>
  <c r="AT48"/>
  <c r="AS48"/>
  <c r="AR48"/>
  <c r="AQ48"/>
  <c r="E48"/>
  <c r="AN48"/>
  <c r="F48"/>
  <c r="AO48"/>
  <c r="AP48"/>
  <c r="Q48"/>
  <c r="AH48"/>
  <c r="AG48"/>
  <c r="AF48"/>
  <c r="AX47"/>
  <c r="AW47"/>
  <c r="AV47"/>
  <c r="AU47"/>
  <c r="AT47"/>
  <c r="AS47"/>
  <c r="AR47"/>
  <c r="AQ47"/>
  <c r="E47"/>
  <c r="AN47"/>
  <c r="F47"/>
  <c r="AO47"/>
  <c r="AP47"/>
  <c r="Q47"/>
  <c r="AH47"/>
  <c r="AG47"/>
  <c r="AF47"/>
  <c r="AX46"/>
  <c r="AW46"/>
  <c r="AV46"/>
  <c r="AU46"/>
  <c r="AT46"/>
  <c r="AS46"/>
  <c r="AR46"/>
  <c r="AQ46"/>
  <c r="E46"/>
  <c r="AN46"/>
  <c r="F46"/>
  <c r="AO46"/>
  <c r="AP46"/>
  <c r="Q46"/>
  <c r="AH46"/>
  <c r="AG46"/>
  <c r="AF46"/>
  <c r="F5"/>
  <c r="AY45"/>
  <c r="AX45"/>
  <c r="AW45"/>
  <c r="AV45"/>
  <c r="AU45"/>
  <c r="AT45"/>
  <c r="AS45"/>
  <c r="AR45"/>
  <c r="AQ45"/>
  <c r="E45"/>
  <c r="AN45"/>
  <c r="F45"/>
  <c r="AO45"/>
  <c r="AP45"/>
  <c r="Q45"/>
  <c r="AH45"/>
  <c r="AG45"/>
  <c r="AF45"/>
  <c r="F6"/>
  <c r="AY44"/>
  <c r="AX44"/>
  <c r="AW44"/>
  <c r="AV44"/>
  <c r="AU44"/>
  <c r="AT44"/>
  <c r="AS44"/>
  <c r="AR44"/>
  <c r="AQ44"/>
  <c r="E44"/>
  <c r="AN44"/>
  <c r="F44"/>
  <c r="AO44"/>
  <c r="AP44"/>
  <c r="Q44"/>
  <c r="AH44"/>
  <c r="AG44"/>
  <c r="AF44"/>
  <c r="I42"/>
  <c r="AQ41"/>
  <c r="AP41"/>
  <c r="AO41"/>
  <c r="AN41"/>
  <c r="AM41"/>
  <c r="AL41"/>
  <c r="AK41"/>
  <c r="AJ41"/>
  <c r="AI41"/>
  <c r="AH41"/>
  <c r="AG41"/>
  <c r="AF41"/>
  <c r="AE41"/>
  <c r="AD41"/>
  <c r="AC41"/>
  <c r="AB41"/>
  <c r="AA41"/>
  <c r="Z41"/>
  <c r="Y41"/>
  <c r="I41"/>
  <c r="H41"/>
  <c r="G41"/>
  <c r="F41"/>
  <c r="E41"/>
  <c r="D41"/>
  <c r="C41"/>
  <c r="AQ40"/>
  <c r="AP40"/>
  <c r="AO40"/>
  <c r="AN40"/>
  <c r="AM40"/>
  <c r="AL40"/>
  <c r="AK40"/>
  <c r="AJ40"/>
  <c r="AI40"/>
  <c r="AH40"/>
  <c r="AG40"/>
  <c r="AF40"/>
  <c r="AE40"/>
  <c r="AD40"/>
  <c r="AC40"/>
  <c r="AB40"/>
  <c r="AA40"/>
  <c r="Z40"/>
  <c r="Y40"/>
  <c r="I40"/>
  <c r="H40"/>
  <c r="G40"/>
  <c r="F40"/>
  <c r="E40"/>
  <c r="D40"/>
  <c r="C40"/>
  <c r="AQ39"/>
  <c r="AP39"/>
  <c r="AO39"/>
  <c r="AN39"/>
  <c r="AM39"/>
  <c r="AL39"/>
  <c r="AK39"/>
  <c r="AJ39"/>
  <c r="AI39"/>
  <c r="AH39"/>
  <c r="AG39"/>
  <c r="AF39"/>
  <c r="AE39"/>
  <c r="AD39"/>
  <c r="AC39"/>
  <c r="AB39"/>
  <c r="AA39"/>
  <c r="Z39"/>
  <c r="Y39"/>
  <c r="I39"/>
  <c r="H39"/>
  <c r="G39"/>
  <c r="F39"/>
  <c r="E39"/>
  <c r="D39"/>
  <c r="C39"/>
  <c r="AQ38"/>
  <c r="AP38"/>
  <c r="AO38"/>
  <c r="AN38"/>
  <c r="AM38"/>
  <c r="AL38"/>
  <c r="AK38"/>
  <c r="AJ38"/>
  <c r="AI38"/>
  <c r="AH38"/>
  <c r="AG38"/>
  <c r="AF38"/>
  <c r="AE38"/>
  <c r="AD38"/>
  <c r="AC38"/>
  <c r="AB38"/>
  <c r="AA38"/>
  <c r="Z38"/>
  <c r="Y38"/>
  <c r="I38"/>
  <c r="H38"/>
  <c r="G38"/>
  <c r="F38"/>
  <c r="E38"/>
  <c r="D38"/>
  <c r="C38"/>
  <c r="AQ37"/>
  <c r="AP37"/>
  <c r="AO37"/>
  <c r="AN37"/>
  <c r="AM37"/>
  <c r="AL37"/>
  <c r="AK37"/>
  <c r="AJ37"/>
  <c r="AI37"/>
  <c r="AH37"/>
  <c r="AG37"/>
  <c r="AF37"/>
  <c r="AE37"/>
  <c r="AD37"/>
  <c r="AC37"/>
  <c r="AB37"/>
  <c r="AA37"/>
  <c r="Z37"/>
  <c r="Y37"/>
  <c r="I37"/>
  <c r="H37"/>
  <c r="G37"/>
  <c r="F37"/>
  <c r="E37"/>
  <c r="D37"/>
  <c r="C37"/>
  <c r="AQ36"/>
  <c r="AP36"/>
  <c r="AO36"/>
  <c r="AN36"/>
  <c r="AM36"/>
  <c r="AL36"/>
  <c r="AK36"/>
  <c r="AJ36"/>
  <c r="AI36"/>
  <c r="AH36"/>
  <c r="AG36"/>
  <c r="AF36"/>
  <c r="AE36"/>
  <c r="AD36"/>
  <c r="AC36"/>
  <c r="AB36"/>
  <c r="AA36"/>
  <c r="Z36"/>
  <c r="Y36"/>
  <c r="I36"/>
  <c r="H36"/>
  <c r="G36"/>
  <c r="F36"/>
  <c r="E36"/>
  <c r="D36"/>
  <c r="C36"/>
  <c r="AQ35"/>
  <c r="AP35"/>
  <c r="AO35"/>
  <c r="AN35"/>
  <c r="AM35"/>
  <c r="AL35"/>
  <c r="AK35"/>
  <c r="AJ35"/>
  <c r="AI35"/>
  <c r="AH35"/>
  <c r="AG35"/>
  <c r="AF35"/>
  <c r="AE35"/>
  <c r="AD35"/>
  <c r="AC35"/>
  <c r="AB35"/>
  <c r="AA35"/>
  <c r="Z35"/>
  <c r="Y35"/>
  <c r="I35"/>
  <c r="H35"/>
  <c r="G35"/>
  <c r="F35"/>
  <c r="E35"/>
  <c r="D35"/>
  <c r="C35"/>
  <c r="AQ34"/>
  <c r="AP34"/>
  <c r="AO34"/>
  <c r="AN34"/>
  <c r="AM34"/>
  <c r="AL34"/>
  <c r="AK34"/>
  <c r="AJ34"/>
  <c r="AI34"/>
  <c r="AH34"/>
  <c r="AG34"/>
  <c r="AF34"/>
  <c r="AE34"/>
  <c r="AD34"/>
  <c r="AC34"/>
  <c r="AB34"/>
  <c r="AA34"/>
  <c r="Z34"/>
  <c r="Y34"/>
  <c r="I34"/>
  <c r="H34"/>
  <c r="G34"/>
  <c r="F34"/>
  <c r="E34"/>
  <c r="D34"/>
  <c r="C34"/>
  <c r="AQ33"/>
  <c r="AP33"/>
  <c r="AO33"/>
  <c r="AN33"/>
  <c r="AM33"/>
  <c r="AL33"/>
  <c r="AK33"/>
  <c r="AJ33"/>
  <c r="AI33"/>
  <c r="AH33"/>
  <c r="AG33"/>
  <c r="AF33"/>
  <c r="AE33"/>
  <c r="AD33"/>
  <c r="AC33"/>
  <c r="AB33"/>
  <c r="AA33"/>
  <c r="Z33"/>
  <c r="Y33"/>
  <c r="I33"/>
  <c r="H33"/>
  <c r="G33"/>
  <c r="F33"/>
  <c r="E33"/>
  <c r="D33"/>
  <c r="C33"/>
  <c r="AQ32"/>
  <c r="AP32"/>
  <c r="AO32"/>
  <c r="AN32"/>
  <c r="AM32"/>
  <c r="AL32"/>
  <c r="AK32"/>
  <c r="AJ32"/>
  <c r="AI32"/>
  <c r="AH32"/>
  <c r="AG32"/>
  <c r="AF32"/>
  <c r="AE32"/>
  <c r="AD32"/>
  <c r="AC32"/>
  <c r="AB32"/>
  <c r="AA32"/>
  <c r="Z32"/>
  <c r="Y32"/>
  <c r="I32"/>
  <c r="H32"/>
  <c r="G32"/>
  <c r="F32"/>
  <c r="E32"/>
  <c r="D32"/>
  <c r="C32"/>
  <c r="AQ31"/>
  <c r="AJ31"/>
  <c r="AG31"/>
  <c r="AE31"/>
  <c r="AD31"/>
  <c r="AC31"/>
  <c r="AA31"/>
  <c r="Y31"/>
  <c r="G31"/>
  <c r="D31"/>
  <c r="C31"/>
  <c r="AQ30"/>
  <c r="AJ30"/>
  <c r="AG30"/>
  <c r="AE30"/>
  <c r="AD30"/>
  <c r="AC30"/>
  <c r="Y30"/>
  <c r="G30"/>
  <c r="D30"/>
  <c r="C30"/>
  <c r="AQ29"/>
  <c r="AJ29"/>
  <c r="AG29"/>
  <c r="AE29"/>
  <c r="AD29"/>
  <c r="AC29"/>
  <c r="Y29"/>
  <c r="G29"/>
  <c r="D29"/>
  <c r="C29"/>
  <c r="AQ28"/>
  <c r="AJ28"/>
  <c r="AG28"/>
  <c r="AE28"/>
  <c r="AD28"/>
  <c r="AC28"/>
  <c r="AA28"/>
  <c r="Y28"/>
  <c r="G28"/>
  <c r="D28"/>
  <c r="C28"/>
  <c r="AQ27"/>
  <c r="Y27"/>
  <c r="G27"/>
  <c r="D27"/>
  <c r="C27"/>
  <c r="AQ26"/>
  <c r="Y26"/>
  <c r="G26"/>
  <c r="D26"/>
  <c r="C26"/>
  <c r="AQ25"/>
  <c r="AJ25"/>
  <c r="AG25"/>
  <c r="AE25"/>
  <c r="AD25"/>
  <c r="AC25"/>
  <c r="AA25"/>
  <c r="Y25"/>
  <c r="G25"/>
  <c r="D25"/>
  <c r="C25"/>
  <c r="AQ24"/>
  <c r="AJ24"/>
  <c r="AG24"/>
  <c r="AE24"/>
  <c r="AD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4"/>
  <c r="F3"/>
  <c r="D6" i="177"/>
  <c r="D5"/>
  <c r="H40"/>
  <c r="I40"/>
  <c r="T24"/>
  <c r="J40"/>
  <c r="V24"/>
  <c r="L40"/>
  <c r="D3"/>
  <c r="M40"/>
  <c r="K40"/>
  <c r="N40"/>
  <c r="O40"/>
  <c r="P40"/>
  <c r="R40"/>
  <c r="T40"/>
  <c r="H41"/>
  <c r="I41"/>
  <c r="T25"/>
  <c r="J41"/>
  <c r="V25"/>
  <c r="L41"/>
  <c r="M41"/>
  <c r="K41"/>
  <c r="N41"/>
  <c r="O41"/>
  <c r="P41"/>
  <c r="R41"/>
  <c r="T41"/>
  <c r="H42"/>
  <c r="I42"/>
  <c r="T26"/>
  <c r="J42"/>
  <c r="V26"/>
  <c r="L42"/>
  <c r="M42"/>
  <c r="K42"/>
  <c r="N42"/>
  <c r="O42"/>
  <c r="P42"/>
  <c r="R42"/>
  <c r="T42"/>
  <c r="H43"/>
  <c r="I43"/>
  <c r="T27"/>
  <c r="J43"/>
  <c r="V27"/>
  <c r="L43"/>
  <c r="M43"/>
  <c r="K43"/>
  <c r="N43"/>
  <c r="O43"/>
  <c r="P43"/>
  <c r="R43"/>
  <c r="T43"/>
  <c r="H44"/>
  <c r="I44"/>
  <c r="T28"/>
  <c r="J44"/>
  <c r="V28"/>
  <c r="L44"/>
  <c r="M44"/>
  <c r="K44"/>
  <c r="N44"/>
  <c r="O44"/>
  <c r="P44"/>
  <c r="R44"/>
  <c r="T44"/>
  <c r="H45"/>
  <c r="I45"/>
  <c r="T29"/>
  <c r="J45"/>
  <c r="V29"/>
  <c r="L45"/>
  <c r="M45"/>
  <c r="K45"/>
  <c r="N45"/>
  <c r="O45"/>
  <c r="P45"/>
  <c r="R45"/>
  <c r="T45"/>
  <c r="H46"/>
  <c r="I46"/>
  <c r="J46"/>
  <c r="L46"/>
  <c r="M46"/>
  <c r="K46"/>
  <c r="N46"/>
  <c r="O46"/>
  <c r="P46"/>
  <c r="R46"/>
  <c r="T46"/>
  <c r="H47"/>
  <c r="I47"/>
  <c r="J47"/>
  <c r="L47"/>
  <c r="M47"/>
  <c r="K47"/>
  <c r="N47"/>
  <c r="O47"/>
  <c r="P47"/>
  <c r="R47"/>
  <c r="T47"/>
  <c r="T49"/>
  <c r="S40"/>
  <c r="S41"/>
  <c r="S42"/>
  <c r="S43"/>
  <c r="S44"/>
  <c r="S45"/>
  <c r="S46"/>
  <c r="S47"/>
  <c r="S49"/>
  <c r="R49"/>
  <c r="P52"/>
  <c r="O49"/>
  <c r="I57"/>
  <c r="I58"/>
  <c r="U40"/>
  <c r="U41"/>
  <c r="U42"/>
  <c r="U43"/>
  <c r="U44"/>
  <c r="U45"/>
  <c r="U46"/>
  <c r="U47"/>
  <c r="U49"/>
  <c r="I59"/>
  <c r="I60"/>
  <c r="I61"/>
  <c r="V40"/>
  <c r="W40"/>
  <c r="V41"/>
  <c r="W41"/>
  <c r="V42"/>
  <c r="W42"/>
  <c r="V43"/>
  <c r="W43"/>
  <c r="V44"/>
  <c r="W44"/>
  <c r="V45"/>
  <c r="W45"/>
  <c r="V46"/>
  <c r="W46"/>
  <c r="V47"/>
  <c r="W47"/>
  <c r="W49"/>
  <c r="V49"/>
  <c r="I63"/>
  <c r="I64"/>
  <c r="M65"/>
  <c r="M66"/>
  <c r="I65"/>
  <c r="AJ40"/>
  <c r="AK40"/>
  <c r="AJ41"/>
  <c r="AK41"/>
  <c r="AJ42"/>
  <c r="AK42"/>
  <c r="AJ43"/>
  <c r="AK43"/>
  <c r="AJ44"/>
  <c r="AK44"/>
  <c r="AJ45"/>
  <c r="AK45"/>
  <c r="AJ46"/>
  <c r="AK46"/>
  <c r="AJ47"/>
  <c r="AK47"/>
  <c r="AL40"/>
  <c r="AL41"/>
  <c r="AL42"/>
  <c r="AL43"/>
  <c r="AL44"/>
  <c r="AL45"/>
  <c r="AL46"/>
  <c r="AL47"/>
  <c r="Q58"/>
  <c r="Q59"/>
  <c r="Q60"/>
  <c r="Q61"/>
  <c r="AH60"/>
  <c r="AH59"/>
  <c r="AH58"/>
  <c r="I53"/>
  <c r="I54"/>
  <c r="AH56"/>
  <c r="AH55"/>
  <c r="I52"/>
  <c r="M54"/>
  <c r="M55"/>
  <c r="AH54"/>
  <c r="P54"/>
  <c r="P53"/>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F5"/>
  <c r="AY42"/>
  <c r="AX42"/>
  <c r="AW42"/>
  <c r="AV42"/>
  <c r="AU42"/>
  <c r="AT42"/>
  <c r="AS42"/>
  <c r="AR42"/>
  <c r="AQ42"/>
  <c r="E42"/>
  <c r="AN42"/>
  <c r="F42"/>
  <c r="AO42"/>
  <c r="AP42"/>
  <c r="Q42"/>
  <c r="AH42"/>
  <c r="AG42"/>
  <c r="AF42"/>
  <c r="F6"/>
  <c r="AY41"/>
  <c r="AX41"/>
  <c r="AW41"/>
  <c r="AV41"/>
  <c r="AU41"/>
  <c r="AT41"/>
  <c r="AS41"/>
  <c r="AR41"/>
  <c r="AQ41"/>
  <c r="E41"/>
  <c r="AN41"/>
  <c r="F41"/>
  <c r="AO41"/>
  <c r="AP41"/>
  <c r="Q41"/>
  <c r="AH41"/>
  <c r="AG41"/>
  <c r="AF41"/>
  <c r="F4"/>
  <c r="AY40"/>
  <c r="AX40"/>
  <c r="AW40"/>
  <c r="AV40"/>
  <c r="AU40"/>
  <c r="AT40"/>
  <c r="AS40"/>
  <c r="AR40"/>
  <c r="AQ40"/>
  <c r="E40"/>
  <c r="AN40"/>
  <c r="F40"/>
  <c r="AO40"/>
  <c r="AP40"/>
  <c r="Q40"/>
  <c r="AH40"/>
  <c r="AG40"/>
  <c r="AF40"/>
  <c r="I38"/>
  <c r="AQ36"/>
  <c r="AP36"/>
  <c r="AO36"/>
  <c r="AN36"/>
  <c r="AM36"/>
  <c r="AL36"/>
  <c r="AK36"/>
  <c r="AJ36"/>
  <c r="AI36"/>
  <c r="AH36"/>
  <c r="AG36"/>
  <c r="AF36"/>
  <c r="AE36"/>
  <c r="AD36"/>
  <c r="AC36"/>
  <c r="AB36"/>
  <c r="AA36"/>
  <c r="Z36"/>
  <c r="Y36"/>
  <c r="I36"/>
  <c r="H36"/>
  <c r="G36"/>
  <c r="F36"/>
  <c r="E36"/>
  <c r="D36"/>
  <c r="C36"/>
  <c r="AQ33"/>
  <c r="AJ33"/>
  <c r="AG33"/>
  <c r="AE33"/>
  <c r="AD33"/>
  <c r="AC33"/>
  <c r="AA33"/>
  <c r="Y33"/>
  <c r="G33"/>
  <c r="D33"/>
  <c r="C33"/>
  <c r="AQ32"/>
  <c r="AJ32"/>
  <c r="AG32"/>
  <c r="AE32"/>
  <c r="AD32"/>
  <c r="AC32"/>
  <c r="AA32"/>
  <c r="Y32"/>
  <c r="G32"/>
  <c r="D32"/>
  <c r="C32"/>
  <c r="AQ29"/>
  <c r="AJ29"/>
  <c r="AG29"/>
  <c r="AE29"/>
  <c r="AD29"/>
  <c r="AC29"/>
  <c r="AA29"/>
  <c r="Y29"/>
  <c r="G29"/>
  <c r="D29"/>
  <c r="C29"/>
  <c r="AQ28"/>
  <c r="AJ28"/>
  <c r="AG28"/>
  <c r="AE28"/>
  <c r="AD28"/>
  <c r="AC28"/>
  <c r="AA28"/>
  <c r="Y28"/>
  <c r="G28"/>
  <c r="D28"/>
  <c r="C28"/>
  <c r="AQ27"/>
  <c r="AJ27"/>
  <c r="Y27"/>
  <c r="G27"/>
  <c r="D27"/>
  <c r="C27"/>
  <c r="AQ26"/>
  <c r="AJ26"/>
  <c r="Y26"/>
  <c r="G26"/>
  <c r="D26"/>
  <c r="C26"/>
  <c r="AQ25"/>
  <c r="AJ25"/>
  <c r="AG25"/>
  <c r="AE25"/>
  <c r="AD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21"/>
  <c r="E20"/>
  <c r="D20"/>
  <c r="D19"/>
  <c r="D17"/>
  <c r="E16"/>
  <c r="D16"/>
  <c r="D15"/>
  <c r="F13"/>
  <c r="D13"/>
  <c r="D12"/>
  <c r="D11"/>
  <c r="D9"/>
  <c r="D8"/>
  <c r="D7"/>
  <c r="F3"/>
  <c r="C91" i="83"/>
  <c r="J91"/>
  <c r="R91"/>
  <c r="S91"/>
  <c r="Q91"/>
  <c r="P91"/>
  <c r="N91"/>
  <c r="F91"/>
  <c r="G91"/>
  <c r="L91"/>
  <c r="H91"/>
  <c r="K91"/>
  <c r="E91"/>
  <c r="C90"/>
  <c r="J90"/>
  <c r="S90"/>
  <c r="R90"/>
  <c r="Q90"/>
  <c r="P90"/>
  <c r="N90"/>
  <c r="F90"/>
  <c r="G90"/>
  <c r="L90"/>
  <c r="H90"/>
  <c r="K90"/>
  <c r="E90"/>
  <c r="D90"/>
  <c r="C89"/>
  <c r="J89"/>
  <c r="S89"/>
  <c r="R89"/>
  <c r="Q89"/>
  <c r="P89"/>
  <c r="N89"/>
  <c r="F89"/>
  <c r="G89"/>
  <c r="L89"/>
  <c r="H89"/>
  <c r="K89"/>
  <c r="E89"/>
  <c r="D89"/>
  <c r="C87"/>
  <c r="J87"/>
  <c r="S87"/>
  <c r="R87"/>
  <c r="Q87"/>
  <c r="P87"/>
  <c r="N87"/>
  <c r="F87"/>
  <c r="G87"/>
  <c r="L87"/>
  <c r="H87"/>
  <c r="K87"/>
  <c r="E87"/>
  <c r="D87"/>
  <c r="C11"/>
  <c r="C12"/>
  <c r="C13"/>
  <c r="C14"/>
  <c r="C15"/>
  <c r="C16"/>
  <c r="C17"/>
  <c r="C18"/>
  <c r="D6" i="74"/>
  <c r="D5"/>
  <c r="H37"/>
  <c r="I37"/>
  <c r="J37"/>
  <c r="L37"/>
  <c r="D3"/>
  <c r="M37"/>
  <c r="K37"/>
  <c r="N37"/>
  <c r="O37"/>
  <c r="H38"/>
  <c r="I38"/>
  <c r="J38"/>
  <c r="L38"/>
  <c r="M38"/>
  <c r="K38"/>
  <c r="N38"/>
  <c r="O38"/>
  <c r="H39"/>
  <c r="I39"/>
  <c r="J39"/>
  <c r="L39"/>
  <c r="M39"/>
  <c r="K39"/>
  <c r="N39"/>
  <c r="O39"/>
  <c r="H40"/>
  <c r="I40"/>
  <c r="J40"/>
  <c r="L40"/>
  <c r="M40"/>
  <c r="K40"/>
  <c r="N40"/>
  <c r="O40"/>
  <c r="H41"/>
  <c r="I41"/>
  <c r="J41"/>
  <c r="L41"/>
  <c r="M41"/>
  <c r="K41"/>
  <c r="N41"/>
  <c r="O41"/>
  <c r="H42"/>
  <c r="I42"/>
  <c r="J42"/>
  <c r="L42"/>
  <c r="M42"/>
  <c r="K42"/>
  <c r="N42"/>
  <c r="O42"/>
  <c r="H43"/>
  <c r="I43"/>
  <c r="J43"/>
  <c r="L43"/>
  <c r="M43"/>
  <c r="K43"/>
  <c r="N43"/>
  <c r="O43"/>
  <c r="H44"/>
  <c r="I44"/>
  <c r="J44"/>
  <c r="L44"/>
  <c r="M44"/>
  <c r="K44"/>
  <c r="N44"/>
  <c r="O44"/>
  <c r="O46"/>
  <c r="I54"/>
  <c r="D7"/>
  <c r="C19" i="83"/>
  <c r="C20"/>
  <c r="C21"/>
  <c r="C22"/>
  <c r="C23"/>
  <c r="C24"/>
  <c r="C25"/>
  <c r="C26"/>
  <c r="D6" i="81"/>
  <c r="D5"/>
  <c r="H38"/>
  <c r="I38"/>
  <c r="J38"/>
  <c r="L38"/>
  <c r="D3"/>
  <c r="M38"/>
  <c r="K38"/>
  <c r="N38"/>
  <c r="O38"/>
  <c r="H39"/>
  <c r="I39"/>
  <c r="J39"/>
  <c r="L39"/>
  <c r="M39"/>
  <c r="K39"/>
  <c r="N39"/>
  <c r="O39"/>
  <c r="H40"/>
  <c r="I40"/>
  <c r="J40"/>
  <c r="L40"/>
  <c r="M40"/>
  <c r="K40"/>
  <c r="N40"/>
  <c r="O40"/>
  <c r="H41"/>
  <c r="I41"/>
  <c r="J41"/>
  <c r="L41"/>
  <c r="M41"/>
  <c r="K41"/>
  <c r="N41"/>
  <c r="O41"/>
  <c r="H42"/>
  <c r="I42"/>
  <c r="J42"/>
  <c r="L42"/>
  <c r="M42"/>
  <c r="K42"/>
  <c r="N42"/>
  <c r="O42"/>
  <c r="H43"/>
  <c r="I43"/>
  <c r="J43"/>
  <c r="L43"/>
  <c r="M43"/>
  <c r="K43"/>
  <c r="N43"/>
  <c r="O43"/>
  <c r="H44"/>
  <c r="I44"/>
  <c r="T32"/>
  <c r="J44"/>
  <c r="V32"/>
  <c r="L44"/>
  <c r="M44"/>
  <c r="K44"/>
  <c r="N44"/>
  <c r="O44"/>
  <c r="O46"/>
  <c r="I54"/>
  <c r="D7"/>
  <c r="C27" i="83"/>
  <c r="D6" i="166"/>
  <c r="D5"/>
  <c r="H42"/>
  <c r="I42"/>
  <c r="J42"/>
  <c r="L42"/>
  <c r="D3"/>
  <c r="M42"/>
  <c r="K42"/>
  <c r="N42"/>
  <c r="O42"/>
  <c r="H43"/>
  <c r="I43"/>
  <c r="J43"/>
  <c r="L43"/>
  <c r="M43"/>
  <c r="K43"/>
  <c r="N43"/>
  <c r="O43"/>
  <c r="H44"/>
  <c r="I44"/>
  <c r="T28"/>
  <c r="J44"/>
  <c r="V28"/>
  <c r="L44"/>
  <c r="M44"/>
  <c r="K44"/>
  <c r="N44"/>
  <c r="O44"/>
  <c r="H45"/>
  <c r="I45"/>
  <c r="T29"/>
  <c r="J45"/>
  <c r="V29"/>
  <c r="L45"/>
  <c r="M45"/>
  <c r="K45"/>
  <c r="N45"/>
  <c r="O45"/>
  <c r="H46"/>
  <c r="I46"/>
  <c r="T30"/>
  <c r="J46"/>
  <c r="V30"/>
  <c r="L46"/>
  <c r="M46"/>
  <c r="K46"/>
  <c r="N46"/>
  <c r="O46"/>
  <c r="H47"/>
  <c r="I47"/>
  <c r="T31"/>
  <c r="J47"/>
  <c r="V31"/>
  <c r="L47"/>
  <c r="M47"/>
  <c r="K47"/>
  <c r="N47"/>
  <c r="O47"/>
  <c r="O49"/>
  <c r="I57"/>
  <c r="D7"/>
  <c r="C28" i="83"/>
  <c r="C29"/>
  <c r="C30"/>
  <c r="D6" i="167"/>
  <c r="D5"/>
  <c r="H102"/>
  <c r="I102"/>
  <c r="J102"/>
  <c r="L102"/>
  <c r="D3"/>
  <c r="M102"/>
  <c r="K102"/>
  <c r="N102"/>
  <c r="O102"/>
  <c r="H103"/>
  <c r="I103"/>
  <c r="J103"/>
  <c r="L103"/>
  <c r="M103"/>
  <c r="K103"/>
  <c r="N103"/>
  <c r="O103"/>
  <c r="H104"/>
  <c r="I104"/>
  <c r="J104"/>
  <c r="L104"/>
  <c r="M104"/>
  <c r="K104"/>
  <c r="N104"/>
  <c r="O104"/>
  <c r="H105"/>
  <c r="I105"/>
  <c r="J105"/>
  <c r="L105"/>
  <c r="M105"/>
  <c r="K105"/>
  <c r="N105"/>
  <c r="O105"/>
  <c r="H106"/>
  <c r="I106"/>
  <c r="J106"/>
  <c r="L106"/>
  <c r="M106"/>
  <c r="K106"/>
  <c r="N106"/>
  <c r="O106"/>
  <c r="H107"/>
  <c r="I107"/>
  <c r="J107"/>
  <c r="L107"/>
  <c r="M107"/>
  <c r="K107"/>
  <c r="N107"/>
  <c r="O107"/>
  <c r="H108"/>
  <c r="I108"/>
  <c r="J108"/>
  <c r="L108"/>
  <c r="M108"/>
  <c r="K108"/>
  <c r="N108"/>
  <c r="O108"/>
  <c r="H109"/>
  <c r="I109"/>
  <c r="J109"/>
  <c r="L109"/>
  <c r="M109"/>
  <c r="K109"/>
  <c r="N109"/>
  <c r="O109"/>
  <c r="H110"/>
  <c r="I110"/>
  <c r="J110"/>
  <c r="L110"/>
  <c r="M110"/>
  <c r="K110"/>
  <c r="N110"/>
  <c r="O110"/>
  <c r="H111"/>
  <c r="I111"/>
  <c r="J111"/>
  <c r="L111"/>
  <c r="M111"/>
  <c r="K111"/>
  <c r="N111"/>
  <c r="O111"/>
  <c r="H112"/>
  <c r="I112"/>
  <c r="J112"/>
  <c r="L112"/>
  <c r="M112"/>
  <c r="K112"/>
  <c r="N112"/>
  <c r="O112"/>
  <c r="H113"/>
  <c r="I113"/>
  <c r="J113"/>
  <c r="L113"/>
  <c r="M113"/>
  <c r="K113"/>
  <c r="N113"/>
  <c r="O113"/>
  <c r="H114"/>
  <c r="I114"/>
  <c r="J114"/>
  <c r="L114"/>
  <c r="M114"/>
  <c r="K114"/>
  <c r="N114"/>
  <c r="O114"/>
  <c r="H115"/>
  <c r="I115"/>
  <c r="J115"/>
  <c r="L115"/>
  <c r="M115"/>
  <c r="K115"/>
  <c r="N115"/>
  <c r="O115"/>
  <c r="H116"/>
  <c r="I116"/>
  <c r="J116"/>
  <c r="L116"/>
  <c r="M116"/>
  <c r="K116"/>
  <c r="N116"/>
  <c r="O116"/>
  <c r="H117"/>
  <c r="I117"/>
  <c r="T41"/>
  <c r="J117"/>
  <c r="V41"/>
  <c r="L117"/>
  <c r="M117"/>
  <c r="K117"/>
  <c r="N117"/>
  <c r="O117"/>
  <c r="H118"/>
  <c r="I118"/>
  <c r="T42"/>
  <c r="J118"/>
  <c r="V42"/>
  <c r="L118"/>
  <c r="M118"/>
  <c r="K118"/>
  <c r="N118"/>
  <c r="O118"/>
  <c r="H119"/>
  <c r="I119"/>
  <c r="T43"/>
  <c r="J119"/>
  <c r="V43"/>
  <c r="L119"/>
  <c r="M119"/>
  <c r="K119"/>
  <c r="N119"/>
  <c r="O119"/>
  <c r="H120"/>
  <c r="I120"/>
  <c r="T44"/>
  <c r="J120"/>
  <c r="V44"/>
  <c r="L120"/>
  <c r="M120"/>
  <c r="K120"/>
  <c r="N120"/>
  <c r="O120"/>
  <c r="H121"/>
  <c r="I121"/>
  <c r="T45"/>
  <c r="J121"/>
  <c r="V45"/>
  <c r="L121"/>
  <c r="M121"/>
  <c r="K121"/>
  <c r="N121"/>
  <c r="O121"/>
  <c r="H122"/>
  <c r="I122"/>
  <c r="T46"/>
  <c r="J122"/>
  <c r="V46"/>
  <c r="L122"/>
  <c r="M122"/>
  <c r="K122"/>
  <c r="N122"/>
  <c r="O122"/>
  <c r="H123"/>
  <c r="I123"/>
  <c r="T47"/>
  <c r="J123"/>
  <c r="V47"/>
  <c r="L123"/>
  <c r="M123"/>
  <c r="K123"/>
  <c r="N123"/>
  <c r="O123"/>
  <c r="H124"/>
  <c r="I124"/>
  <c r="T48"/>
  <c r="J124"/>
  <c r="V48"/>
  <c r="L124"/>
  <c r="M124"/>
  <c r="K124"/>
  <c r="N124"/>
  <c r="O124"/>
  <c r="H125"/>
  <c r="I125"/>
  <c r="T49"/>
  <c r="J125"/>
  <c r="V49"/>
  <c r="L125"/>
  <c r="M125"/>
  <c r="K125"/>
  <c r="N125"/>
  <c r="O125"/>
  <c r="H126"/>
  <c r="I126"/>
  <c r="T50"/>
  <c r="J126"/>
  <c r="V50"/>
  <c r="L126"/>
  <c r="M126"/>
  <c r="K126"/>
  <c r="N126"/>
  <c r="O126"/>
  <c r="H127"/>
  <c r="I127"/>
  <c r="T51"/>
  <c r="J127"/>
  <c r="V51"/>
  <c r="L127"/>
  <c r="M127"/>
  <c r="K127"/>
  <c r="N127"/>
  <c r="O127"/>
  <c r="H128"/>
  <c r="I128"/>
  <c r="T52"/>
  <c r="J128"/>
  <c r="V52"/>
  <c r="L128"/>
  <c r="M128"/>
  <c r="K128"/>
  <c r="N128"/>
  <c r="O128"/>
  <c r="H129"/>
  <c r="I129"/>
  <c r="T53"/>
  <c r="J129"/>
  <c r="V53"/>
  <c r="L129"/>
  <c r="M129"/>
  <c r="K129"/>
  <c r="N129"/>
  <c r="O129"/>
  <c r="H130"/>
  <c r="I130"/>
  <c r="T54"/>
  <c r="J130"/>
  <c r="V54"/>
  <c r="L130"/>
  <c r="M130"/>
  <c r="K130"/>
  <c r="N130"/>
  <c r="O130"/>
  <c r="H131"/>
  <c r="I131"/>
  <c r="T55"/>
  <c r="J131"/>
  <c r="V55"/>
  <c r="L131"/>
  <c r="M131"/>
  <c r="K131"/>
  <c r="N131"/>
  <c r="O131"/>
  <c r="H132"/>
  <c r="I132"/>
  <c r="T56"/>
  <c r="J132"/>
  <c r="V56"/>
  <c r="L132"/>
  <c r="M132"/>
  <c r="K132"/>
  <c r="N132"/>
  <c r="O132"/>
  <c r="H133"/>
  <c r="I133"/>
  <c r="T57"/>
  <c r="J133"/>
  <c r="V57"/>
  <c r="L133"/>
  <c r="M133"/>
  <c r="K133"/>
  <c r="N133"/>
  <c r="O133"/>
  <c r="H134"/>
  <c r="I134"/>
  <c r="T58"/>
  <c r="J134"/>
  <c r="V58"/>
  <c r="L134"/>
  <c r="M134"/>
  <c r="K134"/>
  <c r="N134"/>
  <c r="O134"/>
  <c r="H135"/>
  <c r="I135"/>
  <c r="T59"/>
  <c r="J135"/>
  <c r="V59"/>
  <c r="L135"/>
  <c r="M135"/>
  <c r="K135"/>
  <c r="N135"/>
  <c r="O135"/>
  <c r="H136"/>
  <c r="I136"/>
  <c r="T60"/>
  <c r="J136"/>
  <c r="V60"/>
  <c r="L136"/>
  <c r="M136"/>
  <c r="K136"/>
  <c r="N136"/>
  <c r="O136"/>
  <c r="H137"/>
  <c r="I137"/>
  <c r="T61"/>
  <c r="J137"/>
  <c r="V61"/>
  <c r="L137"/>
  <c r="M137"/>
  <c r="K137"/>
  <c r="N137"/>
  <c r="O137"/>
  <c r="H138"/>
  <c r="I138"/>
  <c r="T62"/>
  <c r="J138"/>
  <c r="V62"/>
  <c r="L138"/>
  <c r="M138"/>
  <c r="K138"/>
  <c r="N138"/>
  <c r="O138"/>
  <c r="H139"/>
  <c r="I139"/>
  <c r="T63"/>
  <c r="J139"/>
  <c r="V63"/>
  <c r="L139"/>
  <c r="M139"/>
  <c r="K139"/>
  <c r="N139"/>
  <c r="O139"/>
  <c r="H140"/>
  <c r="I140"/>
  <c r="T64"/>
  <c r="J140"/>
  <c r="V64"/>
  <c r="L140"/>
  <c r="M140"/>
  <c r="K140"/>
  <c r="N140"/>
  <c r="O140"/>
  <c r="H141"/>
  <c r="I141"/>
  <c r="T65"/>
  <c r="J141"/>
  <c r="V65"/>
  <c r="L141"/>
  <c r="M141"/>
  <c r="K141"/>
  <c r="N141"/>
  <c r="O141"/>
  <c r="H142"/>
  <c r="I142"/>
  <c r="T66"/>
  <c r="J142"/>
  <c r="V66"/>
  <c r="L142"/>
  <c r="M142"/>
  <c r="K142"/>
  <c r="N142"/>
  <c r="O142"/>
  <c r="H143"/>
  <c r="I143"/>
  <c r="T67"/>
  <c r="J143"/>
  <c r="V67"/>
  <c r="L143"/>
  <c r="M143"/>
  <c r="K143"/>
  <c r="N143"/>
  <c r="O143"/>
  <c r="H144"/>
  <c r="I144"/>
  <c r="T68"/>
  <c r="J144"/>
  <c r="V68"/>
  <c r="L144"/>
  <c r="M144"/>
  <c r="K144"/>
  <c r="N144"/>
  <c r="O144"/>
  <c r="H145"/>
  <c r="I145"/>
  <c r="T69"/>
  <c r="J145"/>
  <c r="V69"/>
  <c r="L145"/>
  <c r="M145"/>
  <c r="K145"/>
  <c r="N145"/>
  <c r="O145"/>
  <c r="O147"/>
  <c r="I155"/>
  <c r="D7"/>
  <c r="C31" i="83"/>
  <c r="C32"/>
  <c r="C33"/>
  <c r="C34"/>
  <c r="C35"/>
  <c r="C36"/>
  <c r="C37"/>
  <c r="C38"/>
  <c r="C39"/>
  <c r="C40"/>
  <c r="C41"/>
  <c r="C42"/>
  <c r="C43"/>
  <c r="C44"/>
  <c r="C45"/>
  <c r="C46"/>
  <c r="C47"/>
  <c r="C48"/>
  <c r="C49"/>
  <c r="C50"/>
  <c r="C51"/>
  <c r="C52"/>
  <c r="C53"/>
  <c r="C54"/>
  <c r="C55"/>
  <c r="C56"/>
  <c r="C57"/>
  <c r="C58"/>
  <c r="C59"/>
  <c r="C60"/>
  <c r="C61"/>
  <c r="C62"/>
  <c r="C63"/>
  <c r="C64"/>
  <c r="C65"/>
  <c r="C67"/>
  <c r="C68"/>
  <c r="C69"/>
  <c r="C82"/>
  <c r="N10"/>
  <c r="N11"/>
  <c r="N12"/>
  <c r="N13"/>
  <c r="N14"/>
  <c r="N15"/>
  <c r="N16"/>
  <c r="N17"/>
  <c r="N18"/>
  <c r="P37" i="74"/>
  <c r="R37"/>
  <c r="T37"/>
  <c r="P38"/>
  <c r="R38"/>
  <c r="T38"/>
  <c r="P39"/>
  <c r="R39"/>
  <c r="T39"/>
  <c r="P40"/>
  <c r="R40"/>
  <c r="T40"/>
  <c r="P41"/>
  <c r="R41"/>
  <c r="T41"/>
  <c r="P42"/>
  <c r="R42"/>
  <c r="T42"/>
  <c r="P43"/>
  <c r="R43"/>
  <c r="T43"/>
  <c r="P44"/>
  <c r="R44"/>
  <c r="T44"/>
  <c r="T46"/>
  <c r="S37"/>
  <c r="S38"/>
  <c r="S39"/>
  <c r="S40"/>
  <c r="S41"/>
  <c r="S42"/>
  <c r="S43"/>
  <c r="S44"/>
  <c r="S46"/>
  <c r="R46"/>
  <c r="P49"/>
  <c r="P51"/>
  <c r="D12"/>
  <c r="N19" i="83"/>
  <c r="N20"/>
  <c r="N21"/>
  <c r="N22"/>
  <c r="N23"/>
  <c r="N24"/>
  <c r="N25"/>
  <c r="N26"/>
  <c r="P38" i="81"/>
  <c r="R38"/>
  <c r="T38"/>
  <c r="P39"/>
  <c r="R39"/>
  <c r="T39"/>
  <c r="P40"/>
  <c r="R40"/>
  <c r="T40"/>
  <c r="P41"/>
  <c r="R41"/>
  <c r="T41"/>
  <c r="P42"/>
  <c r="R42"/>
  <c r="T42"/>
  <c r="P43"/>
  <c r="R43"/>
  <c r="T43"/>
  <c r="P44"/>
  <c r="R44"/>
  <c r="T44"/>
  <c r="T46"/>
  <c r="S38"/>
  <c r="S39"/>
  <c r="S40"/>
  <c r="S41"/>
  <c r="S42"/>
  <c r="S43"/>
  <c r="S44"/>
  <c r="S46"/>
  <c r="R46"/>
  <c r="P49"/>
  <c r="P51"/>
  <c r="D12"/>
  <c r="N27" i="83"/>
  <c r="P42" i="166"/>
  <c r="R42"/>
  <c r="T42"/>
  <c r="P43"/>
  <c r="R43"/>
  <c r="T43"/>
  <c r="P44"/>
  <c r="R44"/>
  <c r="T44"/>
  <c r="P45"/>
  <c r="R45"/>
  <c r="T45"/>
  <c r="P46"/>
  <c r="R46"/>
  <c r="T46"/>
  <c r="P47"/>
  <c r="R47"/>
  <c r="T47"/>
  <c r="T49"/>
  <c r="S42"/>
  <c r="S43"/>
  <c r="S44"/>
  <c r="S45"/>
  <c r="S46"/>
  <c r="S47"/>
  <c r="S49"/>
  <c r="R49"/>
  <c r="P52"/>
  <c r="P54"/>
  <c r="D12"/>
  <c r="N28" i="83"/>
  <c r="N29"/>
  <c r="N30"/>
  <c r="P102" i="167"/>
  <c r="R102"/>
  <c r="T102"/>
  <c r="P103"/>
  <c r="R103"/>
  <c r="T103"/>
  <c r="P104"/>
  <c r="R104"/>
  <c r="T104"/>
  <c r="P105"/>
  <c r="R105"/>
  <c r="T105"/>
  <c r="P106"/>
  <c r="R106"/>
  <c r="T106"/>
  <c r="P107"/>
  <c r="R107"/>
  <c r="T107"/>
  <c r="P108"/>
  <c r="R108"/>
  <c r="T108"/>
  <c r="P109"/>
  <c r="R109"/>
  <c r="T109"/>
  <c r="P110"/>
  <c r="R110"/>
  <c r="T110"/>
  <c r="P111"/>
  <c r="R111"/>
  <c r="T111"/>
  <c r="P112"/>
  <c r="R112"/>
  <c r="T112"/>
  <c r="P113"/>
  <c r="R113"/>
  <c r="T113"/>
  <c r="P114"/>
  <c r="R114"/>
  <c r="T114"/>
  <c r="P115"/>
  <c r="R115"/>
  <c r="T115"/>
  <c r="P116"/>
  <c r="R116"/>
  <c r="T116"/>
  <c r="P117"/>
  <c r="R117"/>
  <c r="T117"/>
  <c r="P118"/>
  <c r="R118"/>
  <c r="T118"/>
  <c r="P119"/>
  <c r="R119"/>
  <c r="T119"/>
  <c r="P120"/>
  <c r="R120"/>
  <c r="T120"/>
  <c r="P121"/>
  <c r="R121"/>
  <c r="T121"/>
  <c r="P122"/>
  <c r="R122"/>
  <c r="T122"/>
  <c r="P123"/>
  <c r="R123"/>
  <c r="T123"/>
  <c r="P124"/>
  <c r="R124"/>
  <c r="T124"/>
  <c r="P125"/>
  <c r="R125"/>
  <c r="T125"/>
  <c r="P126"/>
  <c r="R126"/>
  <c r="T126"/>
  <c r="P127"/>
  <c r="R127"/>
  <c r="T127"/>
  <c r="P128"/>
  <c r="R128"/>
  <c r="T128"/>
  <c r="P129"/>
  <c r="R129"/>
  <c r="T129"/>
  <c r="P130"/>
  <c r="R130"/>
  <c r="T130"/>
  <c r="P131"/>
  <c r="R131"/>
  <c r="T131"/>
  <c r="P132"/>
  <c r="R132"/>
  <c r="T132"/>
  <c r="P133"/>
  <c r="R133"/>
  <c r="T133"/>
  <c r="P134"/>
  <c r="R134"/>
  <c r="T134"/>
  <c r="P135"/>
  <c r="R135"/>
  <c r="T135"/>
  <c r="P136"/>
  <c r="R136"/>
  <c r="T136"/>
  <c r="P137"/>
  <c r="R137"/>
  <c r="T137"/>
  <c r="P138"/>
  <c r="R138"/>
  <c r="T138"/>
  <c r="P139"/>
  <c r="R139"/>
  <c r="T139"/>
  <c r="P140"/>
  <c r="R140"/>
  <c r="T140"/>
  <c r="P141"/>
  <c r="R141"/>
  <c r="T141"/>
  <c r="P142"/>
  <c r="R142"/>
  <c r="T142"/>
  <c r="P143"/>
  <c r="R143"/>
  <c r="T143"/>
  <c r="P144"/>
  <c r="R144"/>
  <c r="T144"/>
  <c r="P145"/>
  <c r="R145"/>
  <c r="T145"/>
  <c r="T147"/>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7"/>
  <c r="R147"/>
  <c r="P150"/>
  <c r="P152"/>
  <c r="D12"/>
  <c r="N31" i="83"/>
  <c r="N32"/>
  <c r="N33"/>
  <c r="N34"/>
  <c r="N35"/>
  <c r="N36"/>
  <c r="N37"/>
  <c r="N38"/>
  <c r="N39"/>
  <c r="N40"/>
  <c r="N41"/>
  <c r="N42"/>
  <c r="N43"/>
  <c r="N44"/>
  <c r="N45"/>
  <c r="N46"/>
  <c r="N47"/>
  <c r="N48"/>
  <c r="N49"/>
  <c r="N50"/>
  <c r="N51"/>
  <c r="N52"/>
  <c r="N53"/>
  <c r="N54"/>
  <c r="N55"/>
  <c r="N56"/>
  <c r="N57"/>
  <c r="N58"/>
  <c r="N59"/>
  <c r="N60"/>
  <c r="N61"/>
  <c r="N62"/>
  <c r="N63"/>
  <c r="N64"/>
  <c r="N65"/>
  <c r="N67"/>
  <c r="N68"/>
  <c r="N69"/>
  <c r="C70"/>
  <c r="B72"/>
  <c r="R69"/>
  <c r="J69"/>
  <c r="Q69"/>
  <c r="P69"/>
  <c r="O69"/>
  <c r="M69"/>
  <c r="L69"/>
  <c r="K69"/>
  <c r="H69"/>
  <c r="F69"/>
  <c r="G69"/>
  <c r="I69"/>
  <c r="E69"/>
  <c r="D69"/>
  <c r="R68"/>
  <c r="J68"/>
  <c r="P68"/>
  <c r="Q68"/>
  <c r="O68"/>
  <c r="M68"/>
  <c r="L68"/>
  <c r="K68"/>
  <c r="H68"/>
  <c r="F68"/>
  <c r="G68"/>
  <c r="I68"/>
  <c r="E68"/>
  <c r="D68"/>
  <c r="R67"/>
  <c r="J67"/>
  <c r="Q67"/>
  <c r="P67"/>
  <c r="O67"/>
  <c r="M67"/>
  <c r="L67"/>
  <c r="K67"/>
  <c r="H67"/>
  <c r="F67"/>
  <c r="G67"/>
  <c r="I67"/>
  <c r="E67"/>
  <c r="D67"/>
  <c r="R65"/>
  <c r="J65"/>
  <c r="Q65"/>
  <c r="P65"/>
  <c r="O65"/>
  <c r="M65"/>
  <c r="L65"/>
  <c r="K65"/>
  <c r="H65"/>
  <c r="F65"/>
  <c r="G65"/>
  <c r="I65"/>
  <c r="E65"/>
  <c r="D65"/>
  <c r="R64"/>
  <c r="J64"/>
  <c r="Q64"/>
  <c r="P64"/>
  <c r="O64"/>
  <c r="M64"/>
  <c r="L64"/>
  <c r="K64"/>
  <c r="H64"/>
  <c r="F64"/>
  <c r="G64"/>
  <c r="I64"/>
  <c r="E64"/>
  <c r="D64"/>
  <c r="R63"/>
  <c r="J63"/>
  <c r="Q63"/>
  <c r="P63"/>
  <c r="O63"/>
  <c r="M63"/>
  <c r="L63"/>
  <c r="K63"/>
  <c r="H63"/>
  <c r="F63"/>
  <c r="G63"/>
  <c r="I63"/>
  <c r="E63"/>
  <c r="D63"/>
  <c r="R62"/>
  <c r="J62"/>
  <c r="Q62"/>
  <c r="P62"/>
  <c r="O62"/>
  <c r="M62"/>
  <c r="L62"/>
  <c r="K62"/>
  <c r="H62"/>
  <c r="F62"/>
  <c r="G62"/>
  <c r="I62"/>
  <c r="E62"/>
  <c r="D62"/>
  <c r="R61"/>
  <c r="J61"/>
  <c r="Q61"/>
  <c r="P61"/>
  <c r="O61"/>
  <c r="M61"/>
  <c r="L61"/>
  <c r="K61"/>
  <c r="H61"/>
  <c r="F61"/>
  <c r="G61"/>
  <c r="I61"/>
  <c r="E61"/>
  <c r="D61"/>
  <c r="R60"/>
  <c r="J60"/>
  <c r="Q60"/>
  <c r="P60"/>
  <c r="O60"/>
  <c r="M60"/>
  <c r="L60"/>
  <c r="K60"/>
  <c r="H60"/>
  <c r="F60"/>
  <c r="G60"/>
  <c r="I60"/>
  <c r="E60"/>
  <c r="D60"/>
  <c r="R59"/>
  <c r="J59"/>
  <c r="Q59"/>
  <c r="P59"/>
  <c r="O59"/>
  <c r="M59"/>
  <c r="L59"/>
  <c r="K59"/>
  <c r="H59"/>
  <c r="F59"/>
  <c r="G59"/>
  <c r="I59"/>
  <c r="E59"/>
  <c r="D59"/>
  <c r="R58"/>
  <c r="J58"/>
  <c r="Q58"/>
  <c r="P58"/>
  <c r="O58"/>
  <c r="M58"/>
  <c r="L58"/>
  <c r="K58"/>
  <c r="H58"/>
  <c r="F58"/>
  <c r="G58"/>
  <c r="I58"/>
  <c r="E58"/>
  <c r="D58"/>
  <c r="R57"/>
  <c r="J57"/>
  <c r="Q57"/>
  <c r="P57"/>
  <c r="O57"/>
  <c r="M57"/>
  <c r="L57"/>
  <c r="K57"/>
  <c r="H57"/>
  <c r="F57"/>
  <c r="G57"/>
  <c r="I57"/>
  <c r="E57"/>
  <c r="D57"/>
  <c r="R56"/>
  <c r="J56"/>
  <c r="Q56"/>
  <c r="P56"/>
  <c r="O56"/>
  <c r="M56"/>
  <c r="L56"/>
  <c r="K56"/>
  <c r="H56"/>
  <c r="F56"/>
  <c r="G56"/>
  <c r="I56"/>
  <c r="E56"/>
  <c r="D56"/>
  <c r="R55"/>
  <c r="J55"/>
  <c r="Q55"/>
  <c r="P55"/>
  <c r="O55"/>
  <c r="M55"/>
  <c r="L55"/>
  <c r="K55"/>
  <c r="H55"/>
  <c r="F55"/>
  <c r="G55"/>
  <c r="I55"/>
  <c r="E55"/>
  <c r="D55"/>
  <c r="R54"/>
  <c r="J54"/>
  <c r="P54"/>
  <c r="Q54"/>
  <c r="O54"/>
  <c r="M54"/>
  <c r="L54"/>
  <c r="K54"/>
  <c r="H54"/>
  <c r="F54"/>
  <c r="G54"/>
  <c r="I54"/>
  <c r="E54"/>
  <c r="D54"/>
  <c r="R53"/>
  <c r="J53"/>
  <c r="P53"/>
  <c r="Q53"/>
  <c r="O53"/>
  <c r="M53"/>
  <c r="L53"/>
  <c r="K53"/>
  <c r="H53"/>
  <c r="F53"/>
  <c r="G53"/>
  <c r="I53"/>
  <c r="E53"/>
  <c r="D53"/>
  <c r="R52"/>
  <c r="J52"/>
  <c r="Q52"/>
  <c r="P52"/>
  <c r="O52"/>
  <c r="M52"/>
  <c r="L52"/>
  <c r="K52"/>
  <c r="H52"/>
  <c r="F52"/>
  <c r="G52"/>
  <c r="I52"/>
  <c r="E52"/>
  <c r="D52"/>
  <c r="R51"/>
  <c r="J51"/>
  <c r="Q51"/>
  <c r="P51"/>
  <c r="O51"/>
  <c r="M51"/>
  <c r="L51"/>
  <c r="K51"/>
  <c r="H51"/>
  <c r="F51"/>
  <c r="G51"/>
  <c r="I51"/>
  <c r="E51"/>
  <c r="D51"/>
  <c r="R50"/>
  <c r="J50"/>
  <c r="Q50"/>
  <c r="P50"/>
  <c r="O50"/>
  <c r="M50"/>
  <c r="L50"/>
  <c r="K50"/>
  <c r="H50"/>
  <c r="F50"/>
  <c r="G50"/>
  <c r="I50"/>
  <c r="E50"/>
  <c r="D50"/>
  <c r="R49"/>
  <c r="J49"/>
  <c r="Q49"/>
  <c r="P49"/>
  <c r="O49"/>
  <c r="M49"/>
  <c r="L49"/>
  <c r="K49"/>
  <c r="H49"/>
  <c r="F49"/>
  <c r="G49"/>
  <c r="I49"/>
  <c r="E49"/>
  <c r="D49"/>
  <c r="R48"/>
  <c r="J48"/>
  <c r="Q48"/>
  <c r="P48"/>
  <c r="O48"/>
  <c r="M48"/>
  <c r="L48"/>
  <c r="K48"/>
  <c r="H48"/>
  <c r="F48"/>
  <c r="G48"/>
  <c r="I48"/>
  <c r="E48"/>
  <c r="D48"/>
  <c r="R47"/>
  <c r="J47"/>
  <c r="Q47"/>
  <c r="P47"/>
  <c r="O47"/>
  <c r="M47"/>
  <c r="L47"/>
  <c r="K47"/>
  <c r="H47"/>
  <c r="F47"/>
  <c r="G47"/>
  <c r="I47"/>
  <c r="E47"/>
  <c r="D47"/>
  <c r="R46"/>
  <c r="J46"/>
  <c r="Q46"/>
  <c r="P46"/>
  <c r="O46"/>
  <c r="M46"/>
  <c r="L46"/>
  <c r="K46"/>
  <c r="H46"/>
  <c r="F46"/>
  <c r="G46"/>
  <c r="I46"/>
  <c r="E46"/>
  <c r="D46"/>
  <c r="R45"/>
  <c r="J45"/>
  <c r="Q45"/>
  <c r="P45"/>
  <c r="O45"/>
  <c r="M45"/>
  <c r="L45"/>
  <c r="K45"/>
  <c r="H45"/>
  <c r="F45"/>
  <c r="G45"/>
  <c r="I45"/>
  <c r="E45"/>
  <c r="D45"/>
  <c r="R44"/>
  <c r="J44"/>
  <c r="Q44"/>
  <c r="P44"/>
  <c r="O44"/>
  <c r="M44"/>
  <c r="L44"/>
  <c r="K44"/>
  <c r="H44"/>
  <c r="F44"/>
  <c r="G44"/>
  <c r="I44"/>
  <c r="E44"/>
  <c r="D44"/>
  <c r="R43"/>
  <c r="J43"/>
  <c r="P43"/>
  <c r="Q43"/>
  <c r="O43"/>
  <c r="M43"/>
  <c r="L43"/>
  <c r="K43"/>
  <c r="H43"/>
  <c r="F43"/>
  <c r="G43"/>
  <c r="I43"/>
  <c r="E43"/>
  <c r="D43"/>
  <c r="R42"/>
  <c r="J42"/>
  <c r="Q42"/>
  <c r="P42"/>
  <c r="O42"/>
  <c r="M42"/>
  <c r="L42"/>
  <c r="K42"/>
  <c r="H42"/>
  <c r="F42"/>
  <c r="G42"/>
  <c r="I42"/>
  <c r="E42"/>
  <c r="D42"/>
  <c r="R41"/>
  <c r="J41"/>
  <c r="Q41"/>
  <c r="P41"/>
  <c r="O41"/>
  <c r="M41"/>
  <c r="L41"/>
  <c r="K41"/>
  <c r="H41"/>
  <c r="F41"/>
  <c r="G41"/>
  <c r="I41"/>
  <c r="E41"/>
  <c r="D41"/>
  <c r="R40"/>
  <c r="J40"/>
  <c r="Q40"/>
  <c r="P40"/>
  <c r="O40"/>
  <c r="M40"/>
  <c r="L40"/>
  <c r="K40"/>
  <c r="H40"/>
  <c r="F40"/>
  <c r="G40"/>
  <c r="I40"/>
  <c r="E40"/>
  <c r="D40"/>
  <c r="R39"/>
  <c r="J39"/>
  <c r="Q39"/>
  <c r="P39"/>
  <c r="O39"/>
  <c r="M39"/>
  <c r="L39"/>
  <c r="K39"/>
  <c r="H39"/>
  <c r="F39"/>
  <c r="G39"/>
  <c r="I39"/>
  <c r="E39"/>
  <c r="D39"/>
  <c r="R38"/>
  <c r="J38"/>
  <c r="Q38"/>
  <c r="P38"/>
  <c r="O38"/>
  <c r="M38"/>
  <c r="L38"/>
  <c r="K38"/>
  <c r="H38"/>
  <c r="F38"/>
  <c r="G38"/>
  <c r="I38"/>
  <c r="E38"/>
  <c r="D38"/>
  <c r="R37"/>
  <c r="J37"/>
  <c r="Q37"/>
  <c r="P37"/>
  <c r="O37"/>
  <c r="M37"/>
  <c r="L37"/>
  <c r="K37"/>
  <c r="H37"/>
  <c r="F37"/>
  <c r="G37"/>
  <c r="I37"/>
  <c r="E37"/>
  <c r="D37"/>
  <c r="R36"/>
  <c r="J36"/>
  <c r="Q36"/>
  <c r="P36"/>
  <c r="O36"/>
  <c r="M36"/>
  <c r="L36"/>
  <c r="K36"/>
  <c r="H36"/>
  <c r="F36"/>
  <c r="G36"/>
  <c r="I36"/>
  <c r="E36"/>
  <c r="D36"/>
  <c r="R35"/>
  <c r="J35"/>
  <c r="Q35"/>
  <c r="P35"/>
  <c r="O35"/>
  <c r="M35"/>
  <c r="L35"/>
  <c r="K35"/>
  <c r="H35"/>
  <c r="F35"/>
  <c r="G35"/>
  <c r="I35"/>
  <c r="E35"/>
  <c r="D35"/>
  <c r="R34"/>
  <c r="J34"/>
  <c r="Q34"/>
  <c r="P34"/>
  <c r="O34"/>
  <c r="M34"/>
  <c r="L34"/>
  <c r="K34"/>
  <c r="H34"/>
  <c r="F34"/>
  <c r="G34"/>
  <c r="I34"/>
  <c r="E34"/>
  <c r="D34"/>
  <c r="R33"/>
  <c r="J33"/>
  <c r="P33"/>
  <c r="Q33"/>
  <c r="O33"/>
  <c r="M33"/>
  <c r="L33"/>
  <c r="K33"/>
  <c r="H33"/>
  <c r="F33"/>
  <c r="G33"/>
  <c r="I33"/>
  <c r="E33"/>
  <c r="D33"/>
  <c r="R32"/>
  <c r="J32"/>
  <c r="P32"/>
  <c r="Q32"/>
  <c r="O32"/>
  <c r="M32"/>
  <c r="L32"/>
  <c r="K32"/>
  <c r="H32"/>
  <c r="F32"/>
  <c r="G32"/>
  <c r="I32"/>
  <c r="E32"/>
  <c r="D32"/>
  <c r="R31"/>
  <c r="I156" i="167"/>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7"/>
  <c r="I157"/>
  <c r="I158"/>
  <c r="I159"/>
  <c r="V102"/>
  <c r="W102"/>
  <c r="V103"/>
  <c r="W103"/>
  <c r="V104"/>
  <c r="W104"/>
  <c r="V105"/>
  <c r="W105"/>
  <c r="V106"/>
  <c r="W106"/>
  <c r="V107"/>
  <c r="W107"/>
  <c r="V108"/>
  <c r="W108"/>
  <c r="V109"/>
  <c r="W109"/>
  <c r="V110"/>
  <c r="W110"/>
  <c r="V111"/>
  <c r="W111"/>
  <c r="V112"/>
  <c r="W112"/>
  <c r="V113"/>
  <c r="W113"/>
  <c r="V114"/>
  <c r="W114"/>
  <c r="V115"/>
  <c r="W115"/>
  <c r="V116"/>
  <c r="W116"/>
  <c r="V117"/>
  <c r="W117"/>
  <c r="V118"/>
  <c r="W118"/>
  <c r="V119"/>
  <c r="W119"/>
  <c r="V120"/>
  <c r="W120"/>
  <c r="V121"/>
  <c r="W121"/>
  <c r="V122"/>
  <c r="W122"/>
  <c r="V123"/>
  <c r="W123"/>
  <c r="V124"/>
  <c r="W124"/>
  <c r="V125"/>
  <c r="W125"/>
  <c r="V126"/>
  <c r="W126"/>
  <c r="V127"/>
  <c r="W127"/>
  <c r="V128"/>
  <c r="W128"/>
  <c r="V129"/>
  <c r="W129"/>
  <c r="V130"/>
  <c r="W130"/>
  <c r="V131"/>
  <c r="W131"/>
  <c r="V132"/>
  <c r="W132"/>
  <c r="V133"/>
  <c r="W133"/>
  <c r="V134"/>
  <c r="W134"/>
  <c r="V135"/>
  <c r="W135"/>
  <c r="V136"/>
  <c r="W136"/>
  <c r="V137"/>
  <c r="W137"/>
  <c r="V138"/>
  <c r="W138"/>
  <c r="V139"/>
  <c r="W139"/>
  <c r="V140"/>
  <c r="W140"/>
  <c r="V141"/>
  <c r="W141"/>
  <c r="V142"/>
  <c r="W142"/>
  <c r="V143"/>
  <c r="W143"/>
  <c r="V144"/>
  <c r="W144"/>
  <c r="V145"/>
  <c r="W145"/>
  <c r="W147"/>
  <c r="V147"/>
  <c r="I161"/>
  <c r="I162"/>
  <c r="M163"/>
  <c r="M164"/>
  <c r="D21"/>
  <c r="J31" i="83"/>
  <c r="AJ102" i="167"/>
  <c r="AK102"/>
  <c r="AJ103"/>
  <c r="AK103"/>
  <c r="AJ104"/>
  <c r="AK104"/>
  <c r="AJ105"/>
  <c r="AK105"/>
  <c r="AJ106"/>
  <c r="AK106"/>
  <c r="AJ107"/>
  <c r="AK107"/>
  <c r="AJ108"/>
  <c r="AK108"/>
  <c r="AJ109"/>
  <c r="AK109"/>
  <c r="AJ110"/>
  <c r="AK110"/>
  <c r="AJ111"/>
  <c r="AK111"/>
  <c r="AJ112"/>
  <c r="AK112"/>
  <c r="AJ113"/>
  <c r="AK113"/>
  <c r="AJ114"/>
  <c r="AK114"/>
  <c r="AJ115"/>
  <c r="AK115"/>
  <c r="AJ116"/>
  <c r="AK116"/>
  <c r="AJ117"/>
  <c r="AK117"/>
  <c r="AJ118"/>
  <c r="AK118"/>
  <c r="AJ119"/>
  <c r="AK119"/>
  <c r="AJ120"/>
  <c r="AK120"/>
  <c r="AJ121"/>
  <c r="AK121"/>
  <c r="AJ122"/>
  <c r="AK122"/>
  <c r="AJ123"/>
  <c r="AK123"/>
  <c r="AJ124"/>
  <c r="AK124"/>
  <c r="AJ125"/>
  <c r="AK125"/>
  <c r="AJ126"/>
  <c r="AK126"/>
  <c r="AJ127"/>
  <c r="AK127"/>
  <c r="AJ128"/>
  <c r="AK128"/>
  <c r="AJ129"/>
  <c r="AK129"/>
  <c r="AJ130"/>
  <c r="AK130"/>
  <c r="AJ131"/>
  <c r="AK131"/>
  <c r="AJ132"/>
  <c r="AK132"/>
  <c r="AJ133"/>
  <c r="AK133"/>
  <c r="AJ134"/>
  <c r="AK134"/>
  <c r="AJ135"/>
  <c r="AK135"/>
  <c r="AJ136"/>
  <c r="AK136"/>
  <c r="AJ137"/>
  <c r="AK137"/>
  <c r="AJ138"/>
  <c r="AK138"/>
  <c r="AJ139"/>
  <c r="AK139"/>
  <c r="AJ140"/>
  <c r="AK140"/>
  <c r="AJ141"/>
  <c r="AK141"/>
  <c r="AJ142"/>
  <c r="AK142"/>
  <c r="AJ143"/>
  <c r="AK143"/>
  <c r="AJ144"/>
  <c r="AK144"/>
  <c r="AJ145"/>
  <c r="AK145"/>
  <c r="AL102"/>
  <c r="AL103"/>
  <c r="AL104"/>
  <c r="AL105"/>
  <c r="AL106"/>
  <c r="AL107"/>
  <c r="AL108"/>
  <c r="AL109"/>
  <c r="AL110"/>
  <c r="AL111"/>
  <c r="AL112"/>
  <c r="AL113"/>
  <c r="AL114"/>
  <c r="AL115"/>
  <c r="AL116"/>
  <c r="AL117"/>
  <c r="AL118"/>
  <c r="AL119"/>
  <c r="AL120"/>
  <c r="AL121"/>
  <c r="AL122"/>
  <c r="AL123"/>
  <c r="AL124"/>
  <c r="AL125"/>
  <c r="AL126"/>
  <c r="AL127"/>
  <c r="AL128"/>
  <c r="AL129"/>
  <c r="AL130"/>
  <c r="AL131"/>
  <c r="AL132"/>
  <c r="AL133"/>
  <c r="AL134"/>
  <c r="AL135"/>
  <c r="AL136"/>
  <c r="AL137"/>
  <c r="AL138"/>
  <c r="AL139"/>
  <c r="AL140"/>
  <c r="AL141"/>
  <c r="AL142"/>
  <c r="AL143"/>
  <c r="AL144"/>
  <c r="AL145"/>
  <c r="Q156"/>
  <c r="Q157"/>
  <c r="Q158"/>
  <c r="Q159"/>
  <c r="F13"/>
  <c r="P31" i="83"/>
  <c r="Q31"/>
  <c r="P151" i="167"/>
  <c r="D13"/>
  <c r="O31" i="83"/>
  <c r="D11" i="167"/>
  <c r="M31" i="83"/>
  <c r="L31"/>
  <c r="K31"/>
  <c r="AH156" i="167"/>
  <c r="I163"/>
  <c r="AH157"/>
  <c r="E20"/>
  <c r="H31" i="83"/>
  <c r="D19" i="167"/>
  <c r="F31" i="83"/>
  <c r="AH158" i="167"/>
  <c r="D20"/>
  <c r="G31" i="83"/>
  <c r="I31"/>
  <c r="D9" i="167"/>
  <c r="E31" i="83"/>
  <c r="D8" i="167"/>
  <c r="D31" i="83"/>
  <c r="R30"/>
  <c r="J30"/>
  <c r="Q30"/>
  <c r="P30"/>
  <c r="O30"/>
  <c r="M30"/>
  <c r="L30"/>
  <c r="K30"/>
  <c r="H30"/>
  <c r="F30"/>
  <c r="G30"/>
  <c r="I30"/>
  <c r="E30"/>
  <c r="D30"/>
  <c r="R29"/>
  <c r="J29"/>
  <c r="Q29"/>
  <c r="P29"/>
  <c r="O29"/>
  <c r="M29"/>
  <c r="L29"/>
  <c r="K29"/>
  <c r="H29"/>
  <c r="F29"/>
  <c r="G29"/>
  <c r="I29"/>
  <c r="E29"/>
  <c r="D29"/>
  <c r="R28"/>
  <c r="I58" i="166"/>
  <c r="U42"/>
  <c r="U43"/>
  <c r="U44"/>
  <c r="U45"/>
  <c r="U46"/>
  <c r="U47"/>
  <c r="U49"/>
  <c r="I59"/>
  <c r="I60"/>
  <c r="I61"/>
  <c r="V42"/>
  <c r="W42"/>
  <c r="V43"/>
  <c r="W43"/>
  <c r="V44"/>
  <c r="W44"/>
  <c r="V45"/>
  <c r="W45"/>
  <c r="V46"/>
  <c r="W46"/>
  <c r="V47"/>
  <c r="W47"/>
  <c r="W49"/>
  <c r="V49"/>
  <c r="I63"/>
  <c r="I64"/>
  <c r="M65"/>
  <c r="M66"/>
  <c r="D21"/>
  <c r="J28" i="83"/>
  <c r="Q28"/>
  <c r="AJ42" i="166"/>
  <c r="AK42"/>
  <c r="AJ43"/>
  <c r="AK43"/>
  <c r="AJ44"/>
  <c r="AK44"/>
  <c r="AJ45"/>
  <c r="AK45"/>
  <c r="AJ46"/>
  <c r="AK46"/>
  <c r="AJ47"/>
  <c r="AK47"/>
  <c r="AL42"/>
  <c r="AL43"/>
  <c r="AL44"/>
  <c r="AL45"/>
  <c r="AL46"/>
  <c r="AL47"/>
  <c r="Q58"/>
  <c r="Q59"/>
  <c r="Q60"/>
  <c r="Q61"/>
  <c r="F13"/>
  <c r="P28" i="83"/>
  <c r="P53" i="166"/>
  <c r="D13"/>
  <c r="O28" i="83"/>
  <c r="D11" i="166"/>
  <c r="M28" i="83"/>
  <c r="L28"/>
  <c r="K28"/>
  <c r="AH58" i="166"/>
  <c r="I65"/>
  <c r="AH59"/>
  <c r="E20"/>
  <c r="H28" i="83"/>
  <c r="D19" i="166"/>
  <c r="F28" i="83"/>
  <c r="AH60" i="166"/>
  <c r="D20"/>
  <c r="G28" i="83"/>
  <c r="I28"/>
  <c r="I27" i="166"/>
  <c r="D9"/>
  <c r="E28" i="83"/>
  <c r="H27" i="166"/>
  <c r="D8"/>
  <c r="D28" i="83"/>
  <c r="R27"/>
  <c r="I55" i="81"/>
  <c r="U38"/>
  <c r="U39"/>
  <c r="U40"/>
  <c r="U41"/>
  <c r="U42"/>
  <c r="U43"/>
  <c r="U44"/>
  <c r="U46"/>
  <c r="I56"/>
  <c r="I57"/>
  <c r="I58"/>
  <c r="V38"/>
  <c r="W38"/>
  <c r="V39"/>
  <c r="W39"/>
  <c r="V40"/>
  <c r="W40"/>
  <c r="V41"/>
  <c r="W41"/>
  <c r="V42"/>
  <c r="W42"/>
  <c r="V43"/>
  <c r="W43"/>
  <c r="V44"/>
  <c r="W44"/>
  <c r="W46"/>
  <c r="V46"/>
  <c r="I60"/>
  <c r="I61"/>
  <c r="M62"/>
  <c r="M63"/>
  <c r="D21"/>
  <c r="J27" i="83"/>
  <c r="AJ38" i="81"/>
  <c r="AK38"/>
  <c r="AJ39"/>
  <c r="AK39"/>
  <c r="AJ40"/>
  <c r="AK40"/>
  <c r="AJ41"/>
  <c r="AK41"/>
  <c r="AJ42"/>
  <c r="AK42"/>
  <c r="AJ43"/>
  <c r="AK43"/>
  <c r="AJ44"/>
  <c r="AK44"/>
  <c r="AL38"/>
  <c r="AL39"/>
  <c r="AL40"/>
  <c r="AL41"/>
  <c r="AL42"/>
  <c r="AL43"/>
  <c r="AL44"/>
  <c r="Q55"/>
  <c r="Q56"/>
  <c r="Q57"/>
  <c r="Q58"/>
  <c r="F13"/>
  <c r="P27" i="83"/>
  <c r="Q27"/>
  <c r="P50" i="81"/>
  <c r="D13"/>
  <c r="O27" i="83"/>
  <c r="D11" i="81"/>
  <c r="M27" i="83"/>
  <c r="L27"/>
  <c r="K27"/>
  <c r="AH55" i="81"/>
  <c r="I62"/>
  <c r="AH56"/>
  <c r="E20"/>
  <c r="H27" i="83"/>
  <c r="D19" i="81"/>
  <c r="F27" i="83"/>
  <c r="AH57" i="81"/>
  <c r="D20"/>
  <c r="G27" i="83"/>
  <c r="I27"/>
  <c r="I30" i="81"/>
  <c r="I31"/>
  <c r="D9"/>
  <c r="E27" i="83"/>
  <c r="H30" i="81"/>
  <c r="H31"/>
  <c r="D8"/>
  <c r="D27" i="83"/>
  <c r="R26"/>
  <c r="J26"/>
  <c r="Q26"/>
  <c r="P26"/>
  <c r="O26"/>
  <c r="M26"/>
  <c r="L26"/>
  <c r="K26"/>
  <c r="H26"/>
  <c r="F26"/>
  <c r="G26"/>
  <c r="I26"/>
  <c r="E26"/>
  <c r="D26"/>
  <c r="R25"/>
  <c r="J25"/>
  <c r="Q25"/>
  <c r="P25"/>
  <c r="O25"/>
  <c r="M25"/>
  <c r="L25"/>
  <c r="K25"/>
  <c r="H25"/>
  <c r="F25"/>
  <c r="G25"/>
  <c r="I25"/>
  <c r="E25"/>
  <c r="D25"/>
  <c r="R24"/>
  <c r="J24"/>
  <c r="Q24"/>
  <c r="P24"/>
  <c r="O24"/>
  <c r="M24"/>
  <c r="L24"/>
  <c r="K24"/>
  <c r="H24"/>
  <c r="F24"/>
  <c r="G24"/>
  <c r="I24"/>
  <c r="E24"/>
  <c r="D24"/>
  <c r="R23"/>
  <c r="J23"/>
  <c r="P23"/>
  <c r="Q23"/>
  <c r="O23"/>
  <c r="M23"/>
  <c r="L23"/>
  <c r="K23"/>
  <c r="H23"/>
  <c r="F23"/>
  <c r="G23"/>
  <c r="I23"/>
  <c r="E23"/>
  <c r="D23"/>
  <c r="R22"/>
  <c r="J22"/>
  <c r="Q22"/>
  <c r="P22"/>
  <c r="O22"/>
  <c r="M22"/>
  <c r="L22"/>
  <c r="K22"/>
  <c r="H22"/>
  <c r="F22"/>
  <c r="G22"/>
  <c r="I22"/>
  <c r="E22"/>
  <c r="D22"/>
  <c r="R21"/>
  <c r="J21"/>
  <c r="Q21"/>
  <c r="P21"/>
  <c r="O21"/>
  <c r="M21"/>
  <c r="L21"/>
  <c r="K21"/>
  <c r="H21"/>
  <c r="F21"/>
  <c r="G21"/>
  <c r="I21"/>
  <c r="E21"/>
  <c r="D21"/>
  <c r="R20"/>
  <c r="J20"/>
  <c r="P20"/>
  <c r="Q20"/>
  <c r="O20"/>
  <c r="M20"/>
  <c r="L20"/>
  <c r="K20"/>
  <c r="H20"/>
  <c r="F20"/>
  <c r="G20"/>
  <c r="I20"/>
  <c r="E20"/>
  <c r="D20"/>
  <c r="R19"/>
  <c r="I55" i="74"/>
  <c r="U37"/>
  <c r="U38"/>
  <c r="U39"/>
  <c r="U40"/>
  <c r="U41"/>
  <c r="U42"/>
  <c r="U43"/>
  <c r="U44"/>
  <c r="U46"/>
  <c r="I56"/>
  <c r="I57"/>
  <c r="I58"/>
  <c r="V37"/>
  <c r="W37"/>
  <c r="V38"/>
  <c r="W38"/>
  <c r="V39"/>
  <c r="W39"/>
  <c r="V40"/>
  <c r="W40"/>
  <c r="V41"/>
  <c r="W41"/>
  <c r="V42"/>
  <c r="W42"/>
  <c r="V43"/>
  <c r="W43"/>
  <c r="V44"/>
  <c r="W44"/>
  <c r="W46"/>
  <c r="V46"/>
  <c r="I60"/>
  <c r="I61"/>
  <c r="M62"/>
  <c r="M63"/>
  <c r="D21"/>
  <c r="J19" i="83"/>
  <c r="Q19"/>
  <c r="AJ37" i="74"/>
  <c r="AK37"/>
  <c r="AJ38"/>
  <c r="AK38"/>
  <c r="AJ39"/>
  <c r="AK39"/>
  <c r="AJ40"/>
  <c r="AK40"/>
  <c r="AJ41"/>
  <c r="AK41"/>
  <c r="AJ42"/>
  <c r="AK42"/>
  <c r="AJ43"/>
  <c r="AK43"/>
  <c r="AJ44"/>
  <c r="AK44"/>
  <c r="AL37"/>
  <c r="AL38"/>
  <c r="AL39"/>
  <c r="AL40"/>
  <c r="AL41"/>
  <c r="AL42"/>
  <c r="AL43"/>
  <c r="AL44"/>
  <c r="Q55"/>
  <c r="Q56"/>
  <c r="Q57"/>
  <c r="Q58"/>
  <c r="F13"/>
  <c r="P19" i="83"/>
  <c r="P50" i="74"/>
  <c r="D13"/>
  <c r="O19" i="83"/>
  <c r="D11" i="74"/>
  <c r="M19" i="83"/>
  <c r="L19"/>
  <c r="K19"/>
  <c r="AH55" i="74"/>
  <c r="I62"/>
  <c r="AH56"/>
  <c r="E20"/>
  <c r="H19" i="83"/>
  <c r="D19" i="74"/>
  <c r="F19" i="83"/>
  <c r="AH57" i="74"/>
  <c r="D20"/>
  <c r="G19" i="83"/>
  <c r="I19"/>
  <c r="D9" i="74"/>
  <c r="E19" i="83"/>
  <c r="D8" i="74"/>
  <c r="D19" i="83"/>
  <c r="R18"/>
  <c r="J18"/>
  <c r="Q18"/>
  <c r="P18"/>
  <c r="O18"/>
  <c r="M18"/>
  <c r="L18"/>
  <c r="K18"/>
  <c r="H18"/>
  <c r="F18"/>
  <c r="G18"/>
  <c r="I18"/>
  <c r="E18"/>
  <c r="D18"/>
  <c r="R17"/>
  <c r="J17"/>
  <c r="Q17"/>
  <c r="P17"/>
  <c r="O17"/>
  <c r="M17"/>
  <c r="L17"/>
  <c r="K17"/>
  <c r="H17"/>
  <c r="F17"/>
  <c r="G17"/>
  <c r="I17"/>
  <c r="E17"/>
  <c r="D17"/>
  <c r="R16"/>
  <c r="J16"/>
  <c r="Q16"/>
  <c r="P16"/>
  <c r="O16"/>
  <c r="M16"/>
  <c r="L16"/>
  <c r="K16"/>
  <c r="H16"/>
  <c r="F16"/>
  <c r="G16"/>
  <c r="I16"/>
  <c r="E16"/>
  <c r="D16"/>
  <c r="R15"/>
  <c r="J15"/>
  <c r="Q15"/>
  <c r="P15"/>
  <c r="O15"/>
  <c r="M15"/>
  <c r="L15"/>
  <c r="K15"/>
  <c r="H15"/>
  <c r="F15"/>
  <c r="G15"/>
  <c r="I15"/>
  <c r="E15"/>
  <c r="D15"/>
  <c r="R14"/>
  <c r="J14"/>
  <c r="P14"/>
  <c r="Q14"/>
  <c r="O14"/>
  <c r="M14"/>
  <c r="L14"/>
  <c r="K14"/>
  <c r="H14"/>
  <c r="F14"/>
  <c r="G14"/>
  <c r="I14"/>
  <c r="E14"/>
  <c r="D14"/>
  <c r="R13"/>
  <c r="J13"/>
  <c r="Q13"/>
  <c r="P13"/>
  <c r="O13"/>
  <c r="M13"/>
  <c r="L13"/>
  <c r="K13"/>
  <c r="H13"/>
  <c r="F13"/>
  <c r="G13"/>
  <c r="I13"/>
  <c r="E13"/>
  <c r="D13"/>
  <c r="R12"/>
  <c r="J12"/>
  <c r="P12"/>
  <c r="Q12"/>
  <c r="O12"/>
  <c r="M12"/>
  <c r="L12"/>
  <c r="K12"/>
  <c r="H12"/>
  <c r="F12"/>
  <c r="G12"/>
  <c r="I12"/>
  <c r="E12"/>
  <c r="D12"/>
  <c r="R11"/>
  <c r="J11"/>
  <c r="P11"/>
  <c r="Q11"/>
  <c r="O11"/>
  <c r="M11"/>
  <c r="L11"/>
  <c r="K11"/>
  <c r="H11"/>
  <c r="F11"/>
  <c r="G11"/>
  <c r="I11"/>
  <c r="E11"/>
  <c r="D11"/>
  <c r="R10"/>
  <c r="O10"/>
  <c r="M10"/>
  <c r="L10"/>
  <c r="K10"/>
  <c r="H10"/>
  <c r="F10"/>
  <c r="G10"/>
  <c r="I10"/>
  <c r="E10"/>
  <c r="D10"/>
  <c r="D6" i="256"/>
  <c r="D5"/>
  <c r="H24"/>
  <c r="H72"/>
  <c r="I24"/>
  <c r="I72"/>
  <c r="J72"/>
  <c r="L72"/>
  <c r="D3"/>
  <c r="M72"/>
  <c r="K72"/>
  <c r="N72"/>
  <c r="O72"/>
  <c r="P72"/>
  <c r="R72"/>
  <c r="T72"/>
  <c r="H25"/>
  <c r="H73"/>
  <c r="I25"/>
  <c r="I73"/>
  <c r="J73"/>
  <c r="L73"/>
  <c r="M73"/>
  <c r="K73"/>
  <c r="N73"/>
  <c r="O73"/>
  <c r="P73"/>
  <c r="R73"/>
  <c r="T73"/>
  <c r="H26"/>
  <c r="H74"/>
  <c r="I26"/>
  <c r="I74"/>
  <c r="J74"/>
  <c r="L74"/>
  <c r="M74"/>
  <c r="K74"/>
  <c r="N74"/>
  <c r="O74"/>
  <c r="P74"/>
  <c r="R74"/>
  <c r="T74"/>
  <c r="H29"/>
  <c r="H75"/>
  <c r="I29"/>
  <c r="I75"/>
  <c r="T29"/>
  <c r="J75"/>
  <c r="V29"/>
  <c r="L75"/>
  <c r="F8"/>
  <c r="W29"/>
  <c r="M75"/>
  <c r="U29"/>
  <c r="K75"/>
  <c r="N75"/>
  <c r="O75"/>
  <c r="P75"/>
  <c r="R75"/>
  <c r="T75"/>
  <c r="H76"/>
  <c r="I76"/>
  <c r="T30"/>
  <c r="J76"/>
  <c r="V30"/>
  <c r="L76"/>
  <c r="W30"/>
  <c r="M76"/>
  <c r="U30"/>
  <c r="K76"/>
  <c r="N76"/>
  <c r="O76"/>
  <c r="P76"/>
  <c r="R76"/>
  <c r="T76"/>
  <c r="H77"/>
  <c r="I77"/>
  <c r="T31"/>
  <c r="J77"/>
  <c r="V31"/>
  <c r="L77"/>
  <c r="W31"/>
  <c r="M77"/>
  <c r="U31"/>
  <c r="K77"/>
  <c r="N77"/>
  <c r="O77"/>
  <c r="P77"/>
  <c r="R77"/>
  <c r="T77"/>
  <c r="H32"/>
  <c r="H78"/>
  <c r="I32"/>
  <c r="I78"/>
  <c r="T32"/>
  <c r="J78"/>
  <c r="V32"/>
  <c r="L78"/>
  <c r="W32"/>
  <c r="M78"/>
  <c r="U32"/>
  <c r="K78"/>
  <c r="N78"/>
  <c r="O78"/>
  <c r="P78"/>
  <c r="R78"/>
  <c r="T78"/>
  <c r="H33"/>
  <c r="H79"/>
  <c r="I33"/>
  <c r="I79"/>
  <c r="T33"/>
  <c r="J79"/>
  <c r="V33"/>
  <c r="L79"/>
  <c r="W33"/>
  <c r="M79"/>
  <c r="U33"/>
  <c r="K79"/>
  <c r="N79"/>
  <c r="O79"/>
  <c r="P79"/>
  <c r="R79"/>
  <c r="T79"/>
  <c r="H80"/>
  <c r="I34"/>
  <c r="I80"/>
  <c r="T34"/>
  <c r="J80"/>
  <c r="V34"/>
  <c r="L80"/>
  <c r="W34"/>
  <c r="M80"/>
  <c r="U34"/>
  <c r="K80"/>
  <c r="N80"/>
  <c r="O80"/>
  <c r="P80"/>
  <c r="R80"/>
  <c r="T80"/>
  <c r="H81"/>
  <c r="I81"/>
  <c r="T35"/>
  <c r="J81"/>
  <c r="V35"/>
  <c r="L81"/>
  <c r="W35"/>
  <c r="M81"/>
  <c r="U35"/>
  <c r="K81"/>
  <c r="N81"/>
  <c r="O81"/>
  <c r="P81"/>
  <c r="R81"/>
  <c r="T81"/>
  <c r="H82"/>
  <c r="I82"/>
  <c r="T36"/>
  <c r="J82"/>
  <c r="V36"/>
  <c r="L82"/>
  <c r="W36"/>
  <c r="M82"/>
  <c r="U36"/>
  <c r="K82"/>
  <c r="N82"/>
  <c r="O82"/>
  <c r="P82"/>
  <c r="R82"/>
  <c r="T82"/>
  <c r="H83"/>
  <c r="I83"/>
  <c r="T37"/>
  <c r="J83"/>
  <c r="V37"/>
  <c r="L83"/>
  <c r="W37"/>
  <c r="M83"/>
  <c r="U37"/>
  <c r="K83"/>
  <c r="N83"/>
  <c r="O83"/>
  <c r="P83"/>
  <c r="R83"/>
  <c r="T83"/>
  <c r="H84"/>
  <c r="I84"/>
  <c r="T38"/>
  <c r="J84"/>
  <c r="V38"/>
  <c r="L84"/>
  <c r="W38"/>
  <c r="M84"/>
  <c r="U38"/>
  <c r="K84"/>
  <c r="N84"/>
  <c r="O84"/>
  <c r="P84"/>
  <c r="R84"/>
  <c r="T84"/>
  <c r="T86"/>
  <c r="S72"/>
  <c r="S73"/>
  <c r="S74"/>
  <c r="S75"/>
  <c r="S76"/>
  <c r="S77"/>
  <c r="S78"/>
  <c r="S79"/>
  <c r="S80"/>
  <c r="S81"/>
  <c r="S82"/>
  <c r="S83"/>
  <c r="S84"/>
  <c r="S86"/>
  <c r="R86"/>
  <c r="P89"/>
  <c r="O86"/>
  <c r="I94"/>
  <c r="I95"/>
  <c r="U72"/>
  <c r="U73"/>
  <c r="U74"/>
  <c r="U75"/>
  <c r="U76"/>
  <c r="U77"/>
  <c r="U78"/>
  <c r="U79"/>
  <c r="U80"/>
  <c r="U81"/>
  <c r="U82"/>
  <c r="U83"/>
  <c r="U84"/>
  <c r="U86"/>
  <c r="I96"/>
  <c r="I97"/>
  <c r="I98"/>
  <c r="V72"/>
  <c r="W72"/>
  <c r="V73"/>
  <c r="W73"/>
  <c r="V74"/>
  <c r="W74"/>
  <c r="V75"/>
  <c r="W75"/>
  <c r="V76"/>
  <c r="W76"/>
  <c r="V77"/>
  <c r="W77"/>
  <c r="V78"/>
  <c r="W78"/>
  <c r="V79"/>
  <c r="W79"/>
  <c r="V80"/>
  <c r="W80"/>
  <c r="V81"/>
  <c r="W81"/>
  <c r="V82"/>
  <c r="W82"/>
  <c r="V83"/>
  <c r="W83"/>
  <c r="V84"/>
  <c r="W84"/>
  <c r="W86"/>
  <c r="V86"/>
  <c r="I100"/>
  <c r="I101"/>
  <c r="M102"/>
  <c r="M103"/>
  <c r="I102"/>
  <c r="AJ72"/>
  <c r="AK72"/>
  <c r="AJ73"/>
  <c r="AK73"/>
  <c r="AJ74"/>
  <c r="AK74"/>
  <c r="AJ75"/>
  <c r="AK75"/>
  <c r="AJ76"/>
  <c r="AK76"/>
  <c r="AJ77"/>
  <c r="AK77"/>
  <c r="AJ78"/>
  <c r="AK78"/>
  <c r="AJ79"/>
  <c r="AK79"/>
  <c r="AJ80"/>
  <c r="AK80"/>
  <c r="AJ81"/>
  <c r="AK81"/>
  <c r="AJ82"/>
  <c r="AK82"/>
  <c r="AJ83"/>
  <c r="AK83"/>
  <c r="AJ84"/>
  <c r="AK84"/>
  <c r="AL72"/>
  <c r="AL73"/>
  <c r="AL74"/>
  <c r="AL75"/>
  <c r="AL76"/>
  <c r="AL77"/>
  <c r="AL78"/>
  <c r="AL79"/>
  <c r="AL80"/>
  <c r="AL81"/>
  <c r="AL82"/>
  <c r="AL83"/>
  <c r="AL84"/>
  <c r="Q95"/>
  <c r="Q96"/>
  <c r="Q97"/>
  <c r="Q98"/>
  <c r="AH97"/>
  <c r="AH96"/>
  <c r="AH95"/>
  <c r="I90"/>
  <c r="I91"/>
  <c r="AH93"/>
  <c r="AH92"/>
  <c r="I89"/>
  <c r="M91"/>
  <c r="M92"/>
  <c r="AH91"/>
  <c r="P91"/>
  <c r="P90"/>
  <c r="AX84"/>
  <c r="AW84"/>
  <c r="AV84"/>
  <c r="AU84"/>
  <c r="AT84"/>
  <c r="AS84"/>
  <c r="AR84"/>
  <c r="AQ84"/>
  <c r="E38"/>
  <c r="E84"/>
  <c r="AN84"/>
  <c r="F38"/>
  <c r="F84"/>
  <c r="AO84"/>
  <c r="AP84"/>
  <c r="Q84"/>
  <c r="AH84"/>
  <c r="AG84"/>
  <c r="AF84"/>
  <c r="AX83"/>
  <c r="AW83"/>
  <c r="AV83"/>
  <c r="AU83"/>
  <c r="AT83"/>
  <c r="AS83"/>
  <c r="AR83"/>
  <c r="AQ83"/>
  <c r="E37"/>
  <c r="E83"/>
  <c r="AN83"/>
  <c r="F37"/>
  <c r="F83"/>
  <c r="AO83"/>
  <c r="AP83"/>
  <c r="Q83"/>
  <c r="AH83"/>
  <c r="AG83"/>
  <c r="AF83"/>
  <c r="AX82"/>
  <c r="AW82"/>
  <c r="AV82"/>
  <c r="AU82"/>
  <c r="AT82"/>
  <c r="AS82"/>
  <c r="AR82"/>
  <c r="AQ82"/>
  <c r="E36"/>
  <c r="E82"/>
  <c r="AN82"/>
  <c r="F36"/>
  <c r="F82"/>
  <c r="AO82"/>
  <c r="AP82"/>
  <c r="Q82"/>
  <c r="AH82"/>
  <c r="AG82"/>
  <c r="AF82"/>
  <c r="AX81"/>
  <c r="AW81"/>
  <c r="AV81"/>
  <c r="AU81"/>
  <c r="AT81"/>
  <c r="AS81"/>
  <c r="AR81"/>
  <c r="AQ81"/>
  <c r="E35"/>
  <c r="E81"/>
  <c r="AN81"/>
  <c r="F35"/>
  <c r="F81"/>
  <c r="AO81"/>
  <c r="AP81"/>
  <c r="Q81"/>
  <c r="AH81"/>
  <c r="AG81"/>
  <c r="AF81"/>
  <c r="AX80"/>
  <c r="AW80"/>
  <c r="AV80"/>
  <c r="AU80"/>
  <c r="AT80"/>
  <c r="AS80"/>
  <c r="AR80"/>
  <c r="AQ80"/>
  <c r="E34"/>
  <c r="E80"/>
  <c r="AN80"/>
  <c r="F34"/>
  <c r="F80"/>
  <c r="AO80"/>
  <c r="AP80"/>
  <c r="Q80"/>
  <c r="AH80"/>
  <c r="AG80"/>
  <c r="AF80"/>
  <c r="AX79"/>
  <c r="AW79"/>
  <c r="AV79"/>
  <c r="AU79"/>
  <c r="AT79"/>
  <c r="AS79"/>
  <c r="AR79"/>
  <c r="AQ79"/>
  <c r="E33"/>
  <c r="E79"/>
  <c r="AN79"/>
  <c r="F33"/>
  <c r="F79"/>
  <c r="AO79"/>
  <c r="AP79"/>
  <c r="Q79"/>
  <c r="AH79"/>
  <c r="AG79"/>
  <c r="AF79"/>
  <c r="AX78"/>
  <c r="AW78"/>
  <c r="AV78"/>
  <c r="AU78"/>
  <c r="AT78"/>
  <c r="AS78"/>
  <c r="AR78"/>
  <c r="AQ78"/>
  <c r="E32"/>
  <c r="E78"/>
  <c r="AN78"/>
  <c r="F32"/>
  <c r="F78"/>
  <c r="AO78"/>
  <c r="AP78"/>
  <c r="Q78"/>
  <c r="AH78"/>
  <c r="AG78"/>
  <c r="AF78"/>
  <c r="AX77"/>
  <c r="AW77"/>
  <c r="AV77"/>
  <c r="AU77"/>
  <c r="AT77"/>
  <c r="AS77"/>
  <c r="AR77"/>
  <c r="AQ77"/>
  <c r="E31"/>
  <c r="E77"/>
  <c r="AN77"/>
  <c r="F31"/>
  <c r="F77"/>
  <c r="AO77"/>
  <c r="AP77"/>
  <c r="Q77"/>
  <c r="AH77"/>
  <c r="AG77"/>
  <c r="AF77"/>
  <c r="AX76"/>
  <c r="AW76"/>
  <c r="AV76"/>
  <c r="AU76"/>
  <c r="AT76"/>
  <c r="AS76"/>
  <c r="AR76"/>
  <c r="AQ76"/>
  <c r="E30"/>
  <c r="E76"/>
  <c r="AN76"/>
  <c r="F30"/>
  <c r="F76"/>
  <c r="AO76"/>
  <c r="AP76"/>
  <c r="Q76"/>
  <c r="AH76"/>
  <c r="AG76"/>
  <c r="AF76"/>
  <c r="AX75"/>
  <c r="AW75"/>
  <c r="AV75"/>
  <c r="AU75"/>
  <c r="AT75"/>
  <c r="AS75"/>
  <c r="AR75"/>
  <c r="AQ75"/>
  <c r="E29"/>
  <c r="E75"/>
  <c r="AN75"/>
  <c r="F29"/>
  <c r="F75"/>
  <c r="AO75"/>
  <c r="AP75"/>
  <c r="Q75"/>
  <c r="AH75"/>
  <c r="AG75"/>
  <c r="AF75"/>
  <c r="AX74"/>
  <c r="AW74"/>
  <c r="AV74"/>
  <c r="AU74"/>
  <c r="AT74"/>
  <c r="AS74"/>
  <c r="AR74"/>
  <c r="AQ74"/>
  <c r="E26"/>
  <c r="E74"/>
  <c r="AN74"/>
  <c r="F26"/>
  <c r="F74"/>
  <c r="AO74"/>
  <c r="AP74"/>
  <c r="Q74"/>
  <c r="AH74"/>
  <c r="AG74"/>
  <c r="AF74"/>
  <c r="AX73"/>
  <c r="AW73"/>
  <c r="AV73"/>
  <c r="AU73"/>
  <c r="AT73"/>
  <c r="AS73"/>
  <c r="AR73"/>
  <c r="AQ73"/>
  <c r="E25"/>
  <c r="E73"/>
  <c r="AN73"/>
  <c r="F25"/>
  <c r="F73"/>
  <c r="AO73"/>
  <c r="AP73"/>
  <c r="Q73"/>
  <c r="AH73"/>
  <c r="AG73"/>
  <c r="AF73"/>
  <c r="F4"/>
  <c r="AY72"/>
  <c r="AX72"/>
  <c r="AW72"/>
  <c r="AV72"/>
  <c r="AU72"/>
  <c r="AT72"/>
  <c r="AS72"/>
  <c r="AR72"/>
  <c r="AQ72"/>
  <c r="E24"/>
  <c r="E72"/>
  <c r="AN72"/>
  <c r="F24"/>
  <c r="F72"/>
  <c r="AO72"/>
  <c r="AP72"/>
  <c r="Q72"/>
  <c r="AH72"/>
  <c r="AG72"/>
  <c r="AF72"/>
  <c r="I70"/>
  <c r="AO68"/>
  <c r="AN68"/>
  <c r="AM68"/>
  <c r="AL68"/>
  <c r="AK68"/>
  <c r="AJ68"/>
  <c r="AI68"/>
  <c r="AH68"/>
  <c r="AG68"/>
  <c r="AF68"/>
  <c r="AE68"/>
  <c r="AD68"/>
  <c r="AA68"/>
  <c r="Z68"/>
  <c r="Y68"/>
  <c r="I68"/>
  <c r="H68"/>
  <c r="G68"/>
  <c r="F68"/>
  <c r="E68"/>
  <c r="D68"/>
  <c r="C68"/>
  <c r="AO66"/>
  <c r="AN66"/>
  <c r="AM66"/>
  <c r="AL66"/>
  <c r="AK66"/>
  <c r="AJ66"/>
  <c r="AI66"/>
  <c r="AH66"/>
  <c r="AG66"/>
  <c r="AF66"/>
  <c r="AE66"/>
  <c r="AD66"/>
  <c r="AC66"/>
  <c r="AB66"/>
  <c r="AA66"/>
  <c r="Z66"/>
  <c r="Y66"/>
  <c r="W66"/>
  <c r="V66"/>
  <c r="U66"/>
  <c r="T66"/>
  <c r="I66"/>
  <c r="H66"/>
  <c r="G66"/>
  <c r="F66"/>
  <c r="E66"/>
  <c r="D66"/>
  <c r="C66"/>
  <c r="AO65"/>
  <c r="AN65"/>
  <c r="AM65"/>
  <c r="AL65"/>
  <c r="AK65"/>
  <c r="AJ65"/>
  <c r="AG65"/>
  <c r="AF65"/>
  <c r="AE65"/>
  <c r="AD65"/>
  <c r="AC65"/>
  <c r="AB65"/>
  <c r="AA65"/>
  <c r="Z65"/>
  <c r="Y65"/>
  <c r="I65"/>
  <c r="G65"/>
  <c r="F65"/>
  <c r="E65"/>
  <c r="D65"/>
  <c r="C65"/>
  <c r="AO64"/>
  <c r="AN64"/>
  <c r="AM64"/>
  <c r="AL64"/>
  <c r="AK64"/>
  <c r="AJ64"/>
  <c r="AG64"/>
  <c r="AF64"/>
  <c r="AE64"/>
  <c r="AD64"/>
  <c r="AC64"/>
  <c r="AB64"/>
  <c r="AA64"/>
  <c r="Z64"/>
  <c r="Y64"/>
  <c r="I64"/>
  <c r="H64"/>
  <c r="G64"/>
  <c r="F64"/>
  <c r="E64"/>
  <c r="D64"/>
  <c r="C64"/>
  <c r="AO63"/>
  <c r="AN63"/>
  <c r="AM63"/>
  <c r="AL63"/>
  <c r="AK63"/>
  <c r="AJ63"/>
  <c r="AI63"/>
  <c r="AH63"/>
  <c r="AG63"/>
  <c r="AF63"/>
  <c r="AE63"/>
  <c r="AD63"/>
  <c r="AC63"/>
  <c r="AB63"/>
  <c r="AA63"/>
  <c r="Z63"/>
  <c r="Y63"/>
  <c r="I63"/>
  <c r="H63"/>
  <c r="G63"/>
  <c r="F63"/>
  <c r="E63"/>
  <c r="D63"/>
  <c r="C63"/>
  <c r="AO62"/>
  <c r="AN62"/>
  <c r="AM62"/>
  <c r="AL62"/>
  <c r="AK62"/>
  <c r="AJ62"/>
  <c r="AI62"/>
  <c r="AH62"/>
  <c r="AG62"/>
  <c r="AF62"/>
  <c r="AE62"/>
  <c r="AD62"/>
  <c r="AC62"/>
  <c r="AB62"/>
  <c r="AA62"/>
  <c r="Z62"/>
  <c r="Y62"/>
  <c r="I62"/>
  <c r="H62"/>
  <c r="G62"/>
  <c r="F62"/>
  <c r="E62"/>
  <c r="D62"/>
  <c r="C62"/>
  <c r="AO61"/>
  <c r="AN61"/>
  <c r="AM61"/>
  <c r="AJ61"/>
  <c r="AE61"/>
  <c r="AD61"/>
  <c r="Z61"/>
  <c r="Y61"/>
  <c r="G61"/>
  <c r="F61"/>
  <c r="E61"/>
  <c r="D61"/>
  <c r="C61"/>
  <c r="AO60"/>
  <c r="AN60"/>
  <c r="AM60"/>
  <c r="AJ60"/>
  <c r="AE60"/>
  <c r="AD60"/>
  <c r="Z60"/>
  <c r="Y60"/>
  <c r="G60"/>
  <c r="F60"/>
  <c r="E60"/>
  <c r="D60"/>
  <c r="C60"/>
  <c r="AO59"/>
  <c r="AN59"/>
  <c r="AM59"/>
  <c r="AL59"/>
  <c r="AK59"/>
  <c r="AJ59"/>
  <c r="AG59"/>
  <c r="AF59"/>
  <c r="AE59"/>
  <c r="AD59"/>
  <c r="AC59"/>
  <c r="AB59"/>
  <c r="AA59"/>
  <c r="Z59"/>
  <c r="Y59"/>
  <c r="I59"/>
  <c r="H59"/>
  <c r="G59"/>
  <c r="F59"/>
  <c r="E59"/>
  <c r="D59"/>
  <c r="C59"/>
  <c r="AO58"/>
  <c r="AN58"/>
  <c r="AM58"/>
  <c r="AJ58"/>
  <c r="AE58"/>
  <c r="AD58"/>
  <c r="AA58"/>
  <c r="Z58"/>
  <c r="Y58"/>
  <c r="G58"/>
  <c r="F58"/>
  <c r="E58"/>
  <c r="D58"/>
  <c r="C58"/>
  <c r="AO57"/>
  <c r="AN57"/>
  <c r="AM57"/>
  <c r="AJ57"/>
  <c r="AE57"/>
  <c r="AD57"/>
  <c r="AA57"/>
  <c r="Z57"/>
  <c r="Y57"/>
  <c r="G57"/>
  <c r="F57"/>
  <c r="E57"/>
  <c r="D57"/>
  <c r="C57"/>
  <c r="AO56"/>
  <c r="AN56"/>
  <c r="AM56"/>
  <c r="AL56"/>
  <c r="AK56"/>
  <c r="AJ56"/>
  <c r="AG56"/>
  <c r="AF56"/>
  <c r="AE56"/>
  <c r="AD56"/>
  <c r="AC56"/>
  <c r="AB56"/>
  <c r="AA56"/>
  <c r="Z56"/>
  <c r="Y56"/>
  <c r="I56"/>
  <c r="H56"/>
  <c r="G56"/>
  <c r="F56"/>
  <c r="E56"/>
  <c r="D56"/>
  <c r="C56"/>
  <c r="AO55"/>
  <c r="AN55"/>
  <c r="AM55"/>
  <c r="AL55"/>
  <c r="AK55"/>
  <c r="AJ55"/>
  <c r="AI55"/>
  <c r="AH55"/>
  <c r="AG55"/>
  <c r="AF55"/>
  <c r="AE55"/>
  <c r="AD55"/>
  <c r="AC55"/>
  <c r="AB55"/>
  <c r="AA55"/>
  <c r="Z55"/>
  <c r="Y55"/>
  <c r="I55"/>
  <c r="H55"/>
  <c r="G55"/>
  <c r="F55"/>
  <c r="E55"/>
  <c r="D55"/>
  <c r="C55"/>
  <c r="AO54"/>
  <c r="AN54"/>
  <c r="AM54"/>
  <c r="AL54"/>
  <c r="AK54"/>
  <c r="AJ54"/>
  <c r="AG54"/>
  <c r="AF54"/>
  <c r="AE54"/>
  <c r="AD54"/>
  <c r="AC54"/>
  <c r="AB54"/>
  <c r="AA54"/>
  <c r="Z54"/>
  <c r="Y54"/>
  <c r="I54"/>
  <c r="H54"/>
  <c r="G54"/>
  <c r="F54"/>
  <c r="E54"/>
  <c r="D54"/>
  <c r="C54"/>
  <c r="AO53"/>
  <c r="AN53"/>
  <c r="AM53"/>
  <c r="AL53"/>
  <c r="AK53"/>
  <c r="AJ53"/>
  <c r="AG53"/>
  <c r="AF53"/>
  <c r="AE53"/>
  <c r="AD53"/>
  <c r="AC53"/>
  <c r="AB53"/>
  <c r="AA53"/>
  <c r="Z53"/>
  <c r="Y53"/>
  <c r="I53"/>
  <c r="H53"/>
  <c r="G53"/>
  <c r="F53"/>
  <c r="E53"/>
  <c r="D53"/>
  <c r="C53"/>
  <c r="AO52"/>
  <c r="AN52"/>
  <c r="AM52"/>
  <c r="AL52"/>
  <c r="AK52"/>
  <c r="AJ52"/>
  <c r="AG52"/>
  <c r="AF52"/>
  <c r="AE52"/>
  <c r="AD52"/>
  <c r="AC52"/>
  <c r="AB52"/>
  <c r="AA52"/>
  <c r="Z52"/>
  <c r="Y52"/>
  <c r="I52"/>
  <c r="H52"/>
  <c r="G52"/>
  <c r="F52"/>
  <c r="E52"/>
  <c r="D52"/>
  <c r="C52"/>
  <c r="AO51"/>
  <c r="AN51"/>
  <c r="AM51"/>
  <c r="AL51"/>
  <c r="AK51"/>
  <c r="AJ51"/>
  <c r="AG51"/>
  <c r="AF51"/>
  <c r="AE51"/>
  <c r="AD51"/>
  <c r="AA51"/>
  <c r="Z51"/>
  <c r="Y51"/>
  <c r="I51"/>
  <c r="H51"/>
  <c r="G51"/>
  <c r="F51"/>
  <c r="E51"/>
  <c r="D51"/>
  <c r="C51"/>
  <c r="AO50"/>
  <c r="AN50"/>
  <c r="AM50"/>
  <c r="AL50"/>
  <c r="AK50"/>
  <c r="AJ50"/>
  <c r="AG50"/>
  <c r="AF50"/>
  <c r="AE50"/>
  <c r="AD50"/>
  <c r="AC50"/>
  <c r="AB50"/>
  <c r="AA50"/>
  <c r="Z50"/>
  <c r="Y50"/>
  <c r="I50"/>
  <c r="H50"/>
  <c r="G50"/>
  <c r="F50"/>
  <c r="E50"/>
  <c r="D50"/>
  <c r="C50"/>
  <c r="AO48"/>
  <c r="AN48"/>
  <c r="AM48"/>
  <c r="AL48"/>
  <c r="AK48"/>
  <c r="AJ48"/>
  <c r="AI48"/>
  <c r="AH48"/>
  <c r="AG48"/>
  <c r="AF48"/>
  <c r="AE48"/>
  <c r="AD48"/>
  <c r="AC48"/>
  <c r="AB48"/>
  <c r="AA48"/>
  <c r="Z48"/>
  <c r="Y48"/>
  <c r="I48"/>
  <c r="H48"/>
  <c r="G48"/>
  <c r="F48"/>
  <c r="E48"/>
  <c r="D48"/>
  <c r="C48"/>
  <c r="AO47"/>
  <c r="AN47"/>
  <c r="AM47"/>
  <c r="AL47"/>
  <c r="AK47"/>
  <c r="AJ47"/>
  <c r="AI47"/>
  <c r="AH47"/>
  <c r="AG47"/>
  <c r="AF47"/>
  <c r="AE47"/>
  <c r="AD47"/>
  <c r="AC47"/>
  <c r="AB47"/>
  <c r="AA47"/>
  <c r="Z47"/>
  <c r="Y47"/>
  <c r="I47"/>
  <c r="H47"/>
  <c r="G47"/>
  <c r="F47"/>
  <c r="E47"/>
  <c r="D47"/>
  <c r="C47"/>
  <c r="AO46"/>
  <c r="AN46"/>
  <c r="AM46"/>
  <c r="AL46"/>
  <c r="AK46"/>
  <c r="AJ46"/>
  <c r="AI46"/>
  <c r="AH46"/>
  <c r="AG46"/>
  <c r="AF46"/>
  <c r="AE46"/>
  <c r="AD46"/>
  <c r="AC46"/>
  <c r="AB46"/>
  <c r="AA46"/>
  <c r="Z46"/>
  <c r="Y46"/>
  <c r="G46"/>
  <c r="F46"/>
  <c r="E46"/>
  <c r="D46"/>
  <c r="C46"/>
  <c r="AO45"/>
  <c r="AN45"/>
  <c r="AM45"/>
  <c r="AL45"/>
  <c r="AK45"/>
  <c r="AJ45"/>
  <c r="AI45"/>
  <c r="AH45"/>
  <c r="AG45"/>
  <c r="AF45"/>
  <c r="AE45"/>
  <c r="AD45"/>
  <c r="AC45"/>
  <c r="AB45"/>
  <c r="AA45"/>
  <c r="Z45"/>
  <c r="Y45"/>
  <c r="G45"/>
  <c r="F45"/>
  <c r="E45"/>
  <c r="D45"/>
  <c r="C45"/>
  <c r="AO44"/>
  <c r="AN44"/>
  <c r="AM44"/>
  <c r="AL44"/>
  <c r="AK44"/>
  <c r="AJ44"/>
  <c r="AI44"/>
  <c r="AH44"/>
  <c r="AG44"/>
  <c r="AF44"/>
  <c r="AE44"/>
  <c r="AD44"/>
  <c r="AC44"/>
  <c r="AB44"/>
  <c r="AA44"/>
  <c r="Z44"/>
  <c r="Y44"/>
  <c r="I44"/>
  <c r="H44"/>
  <c r="G44"/>
  <c r="F44"/>
  <c r="E44"/>
  <c r="D44"/>
  <c r="C44"/>
  <c r="AO43"/>
  <c r="AN43"/>
  <c r="AM43"/>
  <c r="AL43"/>
  <c r="AK43"/>
  <c r="AJ43"/>
  <c r="AI43"/>
  <c r="AH43"/>
  <c r="AG43"/>
  <c r="AF43"/>
  <c r="AE43"/>
  <c r="AD43"/>
  <c r="AC43"/>
  <c r="AB43"/>
  <c r="AA43"/>
  <c r="Z43"/>
  <c r="Y43"/>
  <c r="I43"/>
  <c r="H43"/>
  <c r="G43"/>
  <c r="F43"/>
  <c r="E43"/>
  <c r="D43"/>
  <c r="C43"/>
  <c r="AO42"/>
  <c r="AN42"/>
  <c r="AM42"/>
  <c r="AL42"/>
  <c r="AK42"/>
  <c r="AJ42"/>
  <c r="AI42"/>
  <c r="AH42"/>
  <c r="AG42"/>
  <c r="AF42"/>
  <c r="AE42"/>
  <c r="AD42"/>
  <c r="AA42"/>
  <c r="Z42"/>
  <c r="Y42"/>
  <c r="I42"/>
  <c r="H42"/>
  <c r="G42"/>
  <c r="F42"/>
  <c r="E42"/>
  <c r="D42"/>
  <c r="C42"/>
  <c r="AO41"/>
  <c r="AN41"/>
  <c r="AM41"/>
  <c r="AL41"/>
  <c r="AK41"/>
  <c r="AJ41"/>
  <c r="AI41"/>
  <c r="AH41"/>
  <c r="AG41"/>
  <c r="AF41"/>
  <c r="AE41"/>
  <c r="AD41"/>
  <c r="AC41"/>
  <c r="AB41"/>
  <c r="AA41"/>
  <c r="Z41"/>
  <c r="Y41"/>
  <c r="I41"/>
  <c r="H41"/>
  <c r="G41"/>
  <c r="F41"/>
  <c r="E41"/>
  <c r="D41"/>
  <c r="AO38"/>
  <c r="AN38"/>
  <c r="AM38"/>
  <c r="AJ38"/>
  <c r="AI38"/>
  <c r="AH38"/>
  <c r="AG38"/>
  <c r="AF38"/>
  <c r="AE38"/>
  <c r="AD38"/>
  <c r="AA38"/>
  <c r="Z38"/>
  <c r="Y38"/>
  <c r="G38"/>
  <c r="D38"/>
  <c r="C38"/>
  <c r="AO37"/>
  <c r="AN37"/>
  <c r="AM37"/>
  <c r="AJ37"/>
  <c r="AI37"/>
  <c r="AH37"/>
  <c r="AG37"/>
  <c r="AF37"/>
  <c r="AE37"/>
  <c r="AD37"/>
  <c r="AA37"/>
  <c r="Z37"/>
  <c r="Y37"/>
  <c r="G37"/>
  <c r="D37"/>
  <c r="C37"/>
  <c r="AO36"/>
  <c r="AN36"/>
  <c r="AM36"/>
  <c r="AL36"/>
  <c r="AK36"/>
  <c r="AJ36"/>
  <c r="AI36"/>
  <c r="AH36"/>
  <c r="AG36"/>
  <c r="AA36"/>
  <c r="Z36"/>
  <c r="Y36"/>
  <c r="G36"/>
  <c r="D36"/>
  <c r="C36"/>
  <c r="AO35"/>
  <c r="AN35"/>
  <c r="AM35"/>
  <c r="AL35"/>
  <c r="AK35"/>
  <c r="AJ35"/>
  <c r="AI35"/>
  <c r="AH35"/>
  <c r="AG35"/>
  <c r="AA35"/>
  <c r="Z35"/>
  <c r="Y35"/>
  <c r="G35"/>
  <c r="D35"/>
  <c r="C35"/>
  <c r="AB34"/>
  <c r="AK34"/>
  <c r="AO34"/>
  <c r="AN34"/>
  <c r="AM34"/>
  <c r="AL34"/>
  <c r="AJ34"/>
  <c r="AI34"/>
  <c r="AH34"/>
  <c r="AG34"/>
  <c r="AF34"/>
  <c r="AE34"/>
  <c r="AD34"/>
  <c r="AC34"/>
  <c r="AA34"/>
  <c r="Z34"/>
  <c r="Y34"/>
  <c r="G34"/>
  <c r="D34"/>
  <c r="C34"/>
  <c r="AB33"/>
  <c r="AK33"/>
  <c r="AO33"/>
  <c r="AN33"/>
  <c r="AM33"/>
  <c r="AL33"/>
  <c r="AJ33"/>
  <c r="AI33"/>
  <c r="AH33"/>
  <c r="AG33"/>
  <c r="AF33"/>
  <c r="AE33"/>
  <c r="AD33"/>
  <c r="AC33"/>
  <c r="AA33"/>
  <c r="Z33"/>
  <c r="Y33"/>
  <c r="G33"/>
  <c r="D33"/>
  <c r="C33"/>
  <c r="AB32"/>
  <c r="AK32"/>
  <c r="AO32"/>
  <c r="AN32"/>
  <c r="AM32"/>
  <c r="AL32"/>
  <c r="AJ32"/>
  <c r="AI32"/>
  <c r="AH32"/>
  <c r="AG32"/>
  <c r="AF32"/>
  <c r="AE32"/>
  <c r="AD32"/>
  <c r="AC32"/>
  <c r="AA32"/>
  <c r="Z32"/>
  <c r="Y32"/>
  <c r="G32"/>
  <c r="D32"/>
  <c r="C32"/>
  <c r="AO31"/>
  <c r="AN31"/>
  <c r="AM31"/>
  <c r="AJ31"/>
  <c r="AI31"/>
  <c r="AH31"/>
  <c r="AG31"/>
  <c r="Z31"/>
  <c r="Y31"/>
  <c r="G31"/>
  <c r="D31"/>
  <c r="C31"/>
  <c r="AO30"/>
  <c r="AN30"/>
  <c r="AM30"/>
  <c r="AJ30"/>
  <c r="AI30"/>
  <c r="AH30"/>
  <c r="AG30"/>
  <c r="Z30"/>
  <c r="Y30"/>
  <c r="G30"/>
  <c r="D30"/>
  <c r="C30"/>
  <c r="AO29"/>
  <c r="AN29"/>
  <c r="AM29"/>
  <c r="AL29"/>
  <c r="AK29"/>
  <c r="AJ29"/>
  <c r="AI29"/>
  <c r="AH29"/>
  <c r="AG29"/>
  <c r="AF29"/>
  <c r="AE29"/>
  <c r="AD29"/>
  <c r="AC29"/>
  <c r="AB29"/>
  <c r="AA29"/>
  <c r="Z29"/>
  <c r="Y29"/>
  <c r="G29"/>
  <c r="D29"/>
  <c r="C29"/>
  <c r="AB26"/>
  <c r="AK26"/>
  <c r="AO26"/>
  <c r="AN26"/>
  <c r="AM26"/>
  <c r="AL26"/>
  <c r="AJ26"/>
  <c r="AI26"/>
  <c r="AH26"/>
  <c r="AG26"/>
  <c r="AF26"/>
  <c r="AE26"/>
  <c r="AD26"/>
  <c r="AC26"/>
  <c r="AA26"/>
  <c r="Z26"/>
  <c r="Y26"/>
  <c r="G26"/>
  <c r="D26"/>
  <c r="C26"/>
  <c r="AO25"/>
  <c r="AN25"/>
  <c r="AM25"/>
  <c r="AL25"/>
  <c r="AK25"/>
  <c r="AJ25"/>
  <c r="AI25"/>
  <c r="AH25"/>
  <c r="AG25"/>
  <c r="AF25"/>
  <c r="AE25"/>
  <c r="AD25"/>
  <c r="AC25"/>
  <c r="AB25"/>
  <c r="AA25"/>
  <c r="Z25"/>
  <c r="Y25"/>
  <c r="G25"/>
  <c r="D25"/>
  <c r="C25"/>
  <c r="AB24"/>
  <c r="AK24"/>
  <c r="AO24"/>
  <c r="AN24"/>
  <c r="AM24"/>
  <c r="AL24"/>
  <c r="AJ24"/>
  <c r="AI24"/>
  <c r="AH24"/>
  <c r="AG24"/>
  <c r="AF24"/>
  <c r="AE24"/>
  <c r="AD24"/>
  <c r="AC24"/>
  <c r="AA24"/>
  <c r="Z24"/>
  <c r="Y24"/>
  <c r="G24"/>
  <c r="D24"/>
  <c r="C24"/>
  <c r="AO23"/>
  <c r="AN23"/>
  <c r="AM23"/>
  <c r="AL23"/>
  <c r="AK23"/>
  <c r="AJ23"/>
  <c r="AI23"/>
  <c r="AH23"/>
  <c r="AG23"/>
  <c r="AF23"/>
  <c r="AE23"/>
  <c r="AD23"/>
  <c r="AC23"/>
  <c r="AB23"/>
  <c r="AA23"/>
  <c r="Z23"/>
  <c r="Y23"/>
  <c r="F6"/>
  <c r="F5"/>
  <c r="Q21"/>
  <c r="D21"/>
  <c r="E20"/>
  <c r="D20"/>
  <c r="D19"/>
  <c r="D17"/>
  <c r="E16"/>
  <c r="D16"/>
  <c r="D15"/>
  <c r="F13"/>
  <c r="D13"/>
  <c r="D12"/>
  <c r="D11"/>
  <c r="D9"/>
  <c r="D8"/>
  <c r="D7"/>
  <c r="F3"/>
  <c r="I151" i="167"/>
  <c r="I152"/>
  <c r="AH154"/>
  <c r="AH153"/>
  <c r="I150"/>
  <c r="M152"/>
  <c r="M153"/>
  <c r="AH152"/>
  <c r="AT145"/>
  <c r="AS145"/>
  <c r="AR145"/>
  <c r="AQ145"/>
  <c r="E145"/>
  <c r="AN145"/>
  <c r="F145"/>
  <c r="AO145"/>
  <c r="AP145"/>
  <c r="Q145"/>
  <c r="AH145"/>
  <c r="AG145"/>
  <c r="AF145"/>
  <c r="AT144"/>
  <c r="AS144"/>
  <c r="AR144"/>
  <c r="AQ144"/>
  <c r="E144"/>
  <c r="AN144"/>
  <c r="F144"/>
  <c r="AO144"/>
  <c r="AP144"/>
  <c r="Q144"/>
  <c r="AH144"/>
  <c r="AG144"/>
  <c r="AF144"/>
  <c r="AT143"/>
  <c r="AS143"/>
  <c r="AR143"/>
  <c r="AQ143"/>
  <c r="E143"/>
  <c r="AN143"/>
  <c r="F143"/>
  <c r="AO143"/>
  <c r="AP143"/>
  <c r="Q143"/>
  <c r="AH143"/>
  <c r="AG143"/>
  <c r="AF143"/>
  <c r="AT142"/>
  <c r="AS142"/>
  <c r="AR142"/>
  <c r="AQ142"/>
  <c r="E142"/>
  <c r="AN142"/>
  <c r="F142"/>
  <c r="AO142"/>
  <c r="AP142"/>
  <c r="Q142"/>
  <c r="AH142"/>
  <c r="AG142"/>
  <c r="AF142"/>
  <c r="AT141"/>
  <c r="AS141"/>
  <c r="AR141"/>
  <c r="AQ141"/>
  <c r="E141"/>
  <c r="AN141"/>
  <c r="F141"/>
  <c r="AO141"/>
  <c r="AP141"/>
  <c r="Q141"/>
  <c r="AH141"/>
  <c r="AG141"/>
  <c r="AF141"/>
  <c r="AT140"/>
  <c r="AS140"/>
  <c r="AR140"/>
  <c r="AQ140"/>
  <c r="E140"/>
  <c r="AN140"/>
  <c r="F140"/>
  <c r="AO140"/>
  <c r="AP140"/>
  <c r="Q140"/>
  <c r="AH140"/>
  <c r="AG140"/>
  <c r="AF140"/>
  <c r="AT139"/>
  <c r="AS139"/>
  <c r="AR139"/>
  <c r="AQ139"/>
  <c r="E139"/>
  <c r="AN139"/>
  <c r="F139"/>
  <c r="AO139"/>
  <c r="AP139"/>
  <c r="Q139"/>
  <c r="AH139"/>
  <c r="AG139"/>
  <c r="AF139"/>
  <c r="AT138"/>
  <c r="AS138"/>
  <c r="AR138"/>
  <c r="AQ138"/>
  <c r="E138"/>
  <c r="AN138"/>
  <c r="F138"/>
  <c r="AO138"/>
  <c r="AP138"/>
  <c r="Q138"/>
  <c r="AH138"/>
  <c r="AG138"/>
  <c r="AF138"/>
  <c r="AT137"/>
  <c r="AS137"/>
  <c r="AR137"/>
  <c r="AQ137"/>
  <c r="E137"/>
  <c r="AN137"/>
  <c r="F137"/>
  <c r="AO137"/>
  <c r="AP137"/>
  <c r="Q137"/>
  <c r="AH137"/>
  <c r="AG137"/>
  <c r="AF137"/>
  <c r="AT136"/>
  <c r="AS136"/>
  <c r="AR136"/>
  <c r="AQ136"/>
  <c r="E136"/>
  <c r="AN136"/>
  <c r="F136"/>
  <c r="AO136"/>
  <c r="AP136"/>
  <c r="Q136"/>
  <c r="AH136"/>
  <c r="AG136"/>
  <c r="AF136"/>
  <c r="AT135"/>
  <c r="AS135"/>
  <c r="AR135"/>
  <c r="AQ135"/>
  <c r="E135"/>
  <c r="AN135"/>
  <c r="F135"/>
  <c r="AO135"/>
  <c r="AP135"/>
  <c r="Q135"/>
  <c r="AH135"/>
  <c r="AG135"/>
  <c r="AF135"/>
  <c r="AT134"/>
  <c r="AS134"/>
  <c r="AR134"/>
  <c r="AQ134"/>
  <c r="E134"/>
  <c r="AN134"/>
  <c r="F134"/>
  <c r="AO134"/>
  <c r="AP134"/>
  <c r="Q134"/>
  <c r="AH134"/>
  <c r="AG134"/>
  <c r="AF134"/>
  <c r="AT133"/>
  <c r="AS133"/>
  <c r="AR133"/>
  <c r="AQ133"/>
  <c r="E133"/>
  <c r="AN133"/>
  <c r="F133"/>
  <c r="AO133"/>
  <c r="AP133"/>
  <c r="Q133"/>
  <c r="AH133"/>
  <c r="AG133"/>
  <c r="AF133"/>
  <c r="AT132"/>
  <c r="AS132"/>
  <c r="AR132"/>
  <c r="AQ132"/>
  <c r="E132"/>
  <c r="AN132"/>
  <c r="F132"/>
  <c r="AO132"/>
  <c r="AP132"/>
  <c r="Q132"/>
  <c r="AH132"/>
  <c r="AG132"/>
  <c r="AF132"/>
  <c r="AT131"/>
  <c r="AS131"/>
  <c r="AR131"/>
  <c r="AQ131"/>
  <c r="E131"/>
  <c r="AN131"/>
  <c r="F131"/>
  <c r="AO131"/>
  <c r="AP131"/>
  <c r="Q131"/>
  <c r="AH131"/>
  <c r="AG131"/>
  <c r="AF131"/>
  <c r="AT130"/>
  <c r="AS130"/>
  <c r="AR130"/>
  <c r="AQ130"/>
  <c r="E130"/>
  <c r="AN130"/>
  <c r="F130"/>
  <c r="AO130"/>
  <c r="AP130"/>
  <c r="Q130"/>
  <c r="AH130"/>
  <c r="AG130"/>
  <c r="AF130"/>
  <c r="AT129"/>
  <c r="AS129"/>
  <c r="AR129"/>
  <c r="AQ129"/>
  <c r="E129"/>
  <c r="AN129"/>
  <c r="F129"/>
  <c r="AO129"/>
  <c r="AP129"/>
  <c r="Q129"/>
  <c r="AH129"/>
  <c r="AG129"/>
  <c r="AF129"/>
  <c r="AT128"/>
  <c r="AS128"/>
  <c r="AR128"/>
  <c r="AQ128"/>
  <c r="E128"/>
  <c r="AN128"/>
  <c r="F128"/>
  <c r="AO128"/>
  <c r="AP128"/>
  <c r="Q128"/>
  <c r="AH128"/>
  <c r="AG128"/>
  <c r="AF128"/>
  <c r="AT127"/>
  <c r="AS127"/>
  <c r="AR127"/>
  <c r="AQ127"/>
  <c r="E127"/>
  <c r="AN127"/>
  <c r="F127"/>
  <c r="AO127"/>
  <c r="AP127"/>
  <c r="Q127"/>
  <c r="AH127"/>
  <c r="AG127"/>
  <c r="AF127"/>
  <c r="AT126"/>
  <c r="AS126"/>
  <c r="AR126"/>
  <c r="AQ126"/>
  <c r="E126"/>
  <c r="AN126"/>
  <c r="F126"/>
  <c r="AO126"/>
  <c r="AP126"/>
  <c r="Q126"/>
  <c r="AH126"/>
  <c r="AG126"/>
  <c r="AF126"/>
  <c r="AT125"/>
  <c r="AS125"/>
  <c r="AR125"/>
  <c r="AQ125"/>
  <c r="E125"/>
  <c r="AN125"/>
  <c r="F125"/>
  <c r="AO125"/>
  <c r="AP125"/>
  <c r="Q125"/>
  <c r="AH125"/>
  <c r="AG125"/>
  <c r="AF125"/>
  <c r="AT124"/>
  <c r="AS124"/>
  <c r="AR124"/>
  <c r="AQ124"/>
  <c r="E124"/>
  <c r="AN124"/>
  <c r="F124"/>
  <c r="AO124"/>
  <c r="AP124"/>
  <c r="Q124"/>
  <c r="AH124"/>
  <c r="AG124"/>
  <c r="AF124"/>
  <c r="AT123"/>
  <c r="AS123"/>
  <c r="AR123"/>
  <c r="AQ123"/>
  <c r="E123"/>
  <c r="AN123"/>
  <c r="F123"/>
  <c r="AO123"/>
  <c r="AP123"/>
  <c r="Q123"/>
  <c r="AH123"/>
  <c r="AG123"/>
  <c r="AF123"/>
  <c r="AT122"/>
  <c r="AS122"/>
  <c r="AR122"/>
  <c r="AQ122"/>
  <c r="E122"/>
  <c r="AN122"/>
  <c r="F122"/>
  <c r="AO122"/>
  <c r="AP122"/>
  <c r="Q122"/>
  <c r="AH122"/>
  <c r="AG122"/>
  <c r="AF122"/>
  <c r="AT121"/>
  <c r="AS121"/>
  <c r="AR121"/>
  <c r="AQ121"/>
  <c r="E121"/>
  <c r="AN121"/>
  <c r="F121"/>
  <c r="AO121"/>
  <c r="AP121"/>
  <c r="Q121"/>
  <c r="AH121"/>
  <c r="AG121"/>
  <c r="AF121"/>
  <c r="AT120"/>
  <c r="AS120"/>
  <c r="AR120"/>
  <c r="AQ120"/>
  <c r="E120"/>
  <c r="AN120"/>
  <c r="F120"/>
  <c r="AO120"/>
  <c r="AP120"/>
  <c r="Q120"/>
  <c r="AH120"/>
  <c r="AG120"/>
  <c r="AF120"/>
  <c r="AT119"/>
  <c r="AS119"/>
  <c r="AR119"/>
  <c r="AQ119"/>
  <c r="E119"/>
  <c r="AN119"/>
  <c r="F119"/>
  <c r="AO119"/>
  <c r="AP119"/>
  <c r="Q119"/>
  <c r="AH119"/>
  <c r="AG119"/>
  <c r="AF119"/>
  <c r="AT118"/>
  <c r="AS118"/>
  <c r="AR118"/>
  <c r="AQ118"/>
  <c r="E118"/>
  <c r="AN118"/>
  <c r="F118"/>
  <c r="AO118"/>
  <c r="AP118"/>
  <c r="Q118"/>
  <c r="AH118"/>
  <c r="AG118"/>
  <c r="AF118"/>
  <c r="AT117"/>
  <c r="AS117"/>
  <c r="AR117"/>
  <c r="AQ117"/>
  <c r="E117"/>
  <c r="AN117"/>
  <c r="F117"/>
  <c r="AO117"/>
  <c r="AP117"/>
  <c r="Q117"/>
  <c r="AH117"/>
  <c r="AG117"/>
  <c r="AF117"/>
  <c r="AT116"/>
  <c r="AS116"/>
  <c r="AR116"/>
  <c r="AQ116"/>
  <c r="E116"/>
  <c r="AN116"/>
  <c r="F116"/>
  <c r="AO116"/>
  <c r="AP116"/>
  <c r="Q116"/>
  <c r="AH116"/>
  <c r="AG116"/>
  <c r="AF116"/>
  <c r="AT115"/>
  <c r="AS115"/>
  <c r="AR115"/>
  <c r="AQ115"/>
  <c r="E115"/>
  <c r="AN115"/>
  <c r="F115"/>
  <c r="AO115"/>
  <c r="AP115"/>
  <c r="Q115"/>
  <c r="AH115"/>
  <c r="AG115"/>
  <c r="AF115"/>
  <c r="AT114"/>
  <c r="AS114"/>
  <c r="AR114"/>
  <c r="AQ114"/>
  <c r="E114"/>
  <c r="AN114"/>
  <c r="F114"/>
  <c r="AO114"/>
  <c r="AP114"/>
  <c r="Q114"/>
  <c r="AH114"/>
  <c r="AG114"/>
  <c r="AF114"/>
  <c r="AT113"/>
  <c r="AS113"/>
  <c r="AR113"/>
  <c r="AQ113"/>
  <c r="E113"/>
  <c r="AN113"/>
  <c r="F113"/>
  <c r="AO113"/>
  <c r="AP113"/>
  <c r="Q113"/>
  <c r="AH113"/>
  <c r="AG113"/>
  <c r="AF113"/>
  <c r="AT112"/>
  <c r="AS112"/>
  <c r="AR112"/>
  <c r="AQ112"/>
  <c r="E112"/>
  <c r="AN112"/>
  <c r="F112"/>
  <c r="AO112"/>
  <c r="AP112"/>
  <c r="Q112"/>
  <c r="AH112"/>
  <c r="AG112"/>
  <c r="AF112"/>
  <c r="AT111"/>
  <c r="AS111"/>
  <c r="AR111"/>
  <c r="AQ111"/>
  <c r="E111"/>
  <c r="AN111"/>
  <c r="F111"/>
  <c r="AO111"/>
  <c r="AP111"/>
  <c r="Q111"/>
  <c r="AH111"/>
  <c r="AG111"/>
  <c r="AF111"/>
  <c r="AT110"/>
  <c r="AS110"/>
  <c r="AR110"/>
  <c r="AQ110"/>
  <c r="E110"/>
  <c r="AN110"/>
  <c r="F110"/>
  <c r="AO110"/>
  <c r="AP110"/>
  <c r="Q110"/>
  <c r="AH110"/>
  <c r="AG110"/>
  <c r="AF110"/>
  <c r="AT109"/>
  <c r="AS109"/>
  <c r="AR109"/>
  <c r="AQ109"/>
  <c r="E109"/>
  <c r="AN109"/>
  <c r="F109"/>
  <c r="AO109"/>
  <c r="AP109"/>
  <c r="Q109"/>
  <c r="AH109"/>
  <c r="AG109"/>
  <c r="AF109"/>
  <c r="AT108"/>
  <c r="AS108"/>
  <c r="AR108"/>
  <c r="AQ108"/>
  <c r="E108"/>
  <c r="AN108"/>
  <c r="F108"/>
  <c r="AO108"/>
  <c r="AP108"/>
  <c r="Q108"/>
  <c r="AH108"/>
  <c r="AG108"/>
  <c r="AF108"/>
  <c r="AT107"/>
  <c r="AS107"/>
  <c r="AR107"/>
  <c r="AQ107"/>
  <c r="E107"/>
  <c r="AN107"/>
  <c r="F107"/>
  <c r="AO107"/>
  <c r="AP107"/>
  <c r="Q107"/>
  <c r="AH107"/>
  <c r="AG107"/>
  <c r="AF107"/>
  <c r="AT106"/>
  <c r="AS106"/>
  <c r="AR106"/>
  <c r="AQ106"/>
  <c r="E106"/>
  <c r="AN106"/>
  <c r="F106"/>
  <c r="AO106"/>
  <c r="AP106"/>
  <c r="Q106"/>
  <c r="AH106"/>
  <c r="AG106"/>
  <c r="AF106"/>
  <c r="F6"/>
  <c r="AU105"/>
  <c r="AT105"/>
  <c r="AS105"/>
  <c r="AR105"/>
  <c r="AQ105"/>
  <c r="E105"/>
  <c r="AN105"/>
  <c r="F105"/>
  <c r="AO105"/>
  <c r="AP105"/>
  <c r="Q105"/>
  <c r="AH105"/>
  <c r="AG105"/>
  <c r="AF105"/>
  <c r="F5"/>
  <c r="AU104"/>
  <c r="AT104"/>
  <c r="AS104"/>
  <c r="AR104"/>
  <c r="AQ104"/>
  <c r="E104"/>
  <c r="AN104"/>
  <c r="F104"/>
  <c r="AO104"/>
  <c r="AP104"/>
  <c r="Q104"/>
  <c r="AH104"/>
  <c r="AG104"/>
  <c r="AF104"/>
  <c r="F3"/>
  <c r="AU103"/>
  <c r="AT103"/>
  <c r="AS103"/>
  <c r="AR103"/>
  <c r="AQ103"/>
  <c r="E103"/>
  <c r="AN103"/>
  <c r="F103"/>
  <c r="AO103"/>
  <c r="AP103"/>
  <c r="Q103"/>
  <c r="AH103"/>
  <c r="AG103"/>
  <c r="AF103"/>
  <c r="F4"/>
  <c r="AU102"/>
  <c r="AT102"/>
  <c r="AS102"/>
  <c r="AR102"/>
  <c r="AQ102"/>
  <c r="E102"/>
  <c r="AN102"/>
  <c r="F102"/>
  <c r="AO102"/>
  <c r="AP102"/>
  <c r="Q102"/>
  <c r="AH102"/>
  <c r="AG102"/>
  <c r="AF102"/>
  <c r="I100"/>
  <c r="AO98"/>
  <c r="AN98"/>
  <c r="AM98"/>
  <c r="AL98"/>
  <c r="AK98"/>
  <c r="AJ98"/>
  <c r="AI98"/>
  <c r="AH98"/>
  <c r="AG98"/>
  <c r="AF98"/>
  <c r="AE98"/>
  <c r="AD98"/>
  <c r="AA98"/>
  <c r="Z98"/>
  <c r="Y98"/>
  <c r="I98"/>
  <c r="H98"/>
  <c r="G98"/>
  <c r="F98"/>
  <c r="E98"/>
  <c r="D98"/>
  <c r="C98"/>
  <c r="AO96"/>
  <c r="AN96"/>
  <c r="AM96"/>
  <c r="AL96"/>
  <c r="AK96"/>
  <c r="AJ96"/>
  <c r="AG96"/>
  <c r="AF96"/>
  <c r="AE96"/>
  <c r="AD96"/>
  <c r="AC96"/>
  <c r="AB96"/>
  <c r="AA96"/>
  <c r="Z96"/>
  <c r="Y96"/>
  <c r="I96"/>
  <c r="G96"/>
  <c r="F96"/>
  <c r="E96"/>
  <c r="D96"/>
  <c r="C96"/>
  <c r="AO95"/>
  <c r="AN95"/>
  <c r="AM95"/>
  <c r="AL95"/>
  <c r="AK95"/>
  <c r="AJ95"/>
  <c r="AG95"/>
  <c r="AF95"/>
  <c r="AE95"/>
  <c r="AD95"/>
  <c r="AC95"/>
  <c r="AB95"/>
  <c r="AA95"/>
  <c r="Z95"/>
  <c r="Y95"/>
  <c r="I95"/>
  <c r="H95"/>
  <c r="G95"/>
  <c r="F95"/>
  <c r="E95"/>
  <c r="D95"/>
  <c r="C95"/>
  <c r="AO94"/>
  <c r="AN94"/>
  <c r="AM94"/>
  <c r="AL94"/>
  <c r="AK94"/>
  <c r="AJ94"/>
  <c r="AI94"/>
  <c r="AH94"/>
  <c r="AG94"/>
  <c r="AF94"/>
  <c r="AE94"/>
  <c r="AD94"/>
  <c r="AC94"/>
  <c r="AB94"/>
  <c r="AA94"/>
  <c r="Z94"/>
  <c r="Y94"/>
  <c r="I94"/>
  <c r="H94"/>
  <c r="G94"/>
  <c r="F94"/>
  <c r="E94"/>
  <c r="D94"/>
  <c r="C94"/>
  <c r="AO93"/>
  <c r="AN93"/>
  <c r="AM93"/>
  <c r="AL93"/>
  <c r="AK93"/>
  <c r="AJ93"/>
  <c r="AI93"/>
  <c r="AH93"/>
  <c r="AG93"/>
  <c r="AF93"/>
  <c r="AE93"/>
  <c r="AD93"/>
  <c r="AC93"/>
  <c r="AB93"/>
  <c r="AA93"/>
  <c r="Z93"/>
  <c r="Y93"/>
  <c r="I93"/>
  <c r="H93"/>
  <c r="G93"/>
  <c r="F93"/>
  <c r="E93"/>
  <c r="D93"/>
  <c r="C93"/>
  <c r="AO92"/>
  <c r="AN92"/>
  <c r="AM92"/>
  <c r="AJ92"/>
  <c r="AE92"/>
  <c r="AD92"/>
  <c r="Z92"/>
  <c r="Y92"/>
  <c r="G92"/>
  <c r="F92"/>
  <c r="E92"/>
  <c r="D92"/>
  <c r="C92"/>
  <c r="AO91"/>
  <c r="AN91"/>
  <c r="AM91"/>
  <c r="AJ91"/>
  <c r="AE91"/>
  <c r="AD91"/>
  <c r="Z91"/>
  <c r="Y91"/>
  <c r="G91"/>
  <c r="F91"/>
  <c r="E91"/>
  <c r="D91"/>
  <c r="C91"/>
  <c r="AO90"/>
  <c r="AN90"/>
  <c r="AM90"/>
  <c r="AL90"/>
  <c r="AK90"/>
  <c r="AJ90"/>
  <c r="AG90"/>
  <c r="AF90"/>
  <c r="AE90"/>
  <c r="AD90"/>
  <c r="AC90"/>
  <c r="AB90"/>
  <c r="AA90"/>
  <c r="Z90"/>
  <c r="Y90"/>
  <c r="I90"/>
  <c r="H90"/>
  <c r="G90"/>
  <c r="F90"/>
  <c r="E90"/>
  <c r="D90"/>
  <c r="C90"/>
  <c r="AO89"/>
  <c r="AN89"/>
  <c r="AM89"/>
  <c r="AJ89"/>
  <c r="AE89"/>
  <c r="AD89"/>
  <c r="AA89"/>
  <c r="Z89"/>
  <c r="Y89"/>
  <c r="G89"/>
  <c r="F89"/>
  <c r="E89"/>
  <c r="D89"/>
  <c r="C89"/>
  <c r="AO88"/>
  <c r="AN88"/>
  <c r="AM88"/>
  <c r="AJ88"/>
  <c r="AE88"/>
  <c r="AD88"/>
  <c r="AA88"/>
  <c r="Z88"/>
  <c r="Y88"/>
  <c r="G88"/>
  <c r="F88"/>
  <c r="E88"/>
  <c r="D88"/>
  <c r="C88"/>
  <c r="AO87"/>
  <c r="AN87"/>
  <c r="AM87"/>
  <c r="AL87"/>
  <c r="AK87"/>
  <c r="AJ87"/>
  <c r="AG87"/>
  <c r="AF87"/>
  <c r="AE87"/>
  <c r="AD87"/>
  <c r="AC87"/>
  <c r="AB87"/>
  <c r="AA87"/>
  <c r="Z87"/>
  <c r="Y87"/>
  <c r="I87"/>
  <c r="H87"/>
  <c r="G87"/>
  <c r="F87"/>
  <c r="E87"/>
  <c r="D87"/>
  <c r="C87"/>
  <c r="AO86"/>
  <c r="AN86"/>
  <c r="AM86"/>
  <c r="AL86"/>
  <c r="AK86"/>
  <c r="AJ86"/>
  <c r="AI86"/>
  <c r="AH86"/>
  <c r="AG86"/>
  <c r="AF86"/>
  <c r="AE86"/>
  <c r="AD86"/>
  <c r="AC86"/>
  <c r="AB86"/>
  <c r="AA86"/>
  <c r="Z86"/>
  <c r="Y86"/>
  <c r="I86"/>
  <c r="H86"/>
  <c r="G86"/>
  <c r="F86"/>
  <c r="E86"/>
  <c r="D86"/>
  <c r="C86"/>
  <c r="AO85"/>
  <c r="AN85"/>
  <c r="AM85"/>
  <c r="AL85"/>
  <c r="AK85"/>
  <c r="AJ85"/>
  <c r="AG85"/>
  <c r="AF85"/>
  <c r="AE85"/>
  <c r="AD85"/>
  <c r="AC85"/>
  <c r="AB85"/>
  <c r="AA85"/>
  <c r="Z85"/>
  <c r="Y85"/>
  <c r="I85"/>
  <c r="H85"/>
  <c r="G85"/>
  <c r="F85"/>
  <c r="E85"/>
  <c r="D85"/>
  <c r="C85"/>
  <c r="AO84"/>
  <c r="AN84"/>
  <c r="AM84"/>
  <c r="AL84"/>
  <c r="AK84"/>
  <c r="AJ84"/>
  <c r="AG84"/>
  <c r="AF84"/>
  <c r="AE84"/>
  <c r="AD84"/>
  <c r="AC84"/>
  <c r="AB84"/>
  <c r="AA84"/>
  <c r="Z84"/>
  <c r="Y84"/>
  <c r="I84"/>
  <c r="H84"/>
  <c r="G84"/>
  <c r="F84"/>
  <c r="E84"/>
  <c r="D84"/>
  <c r="C84"/>
  <c r="AO83"/>
  <c r="AN83"/>
  <c r="AM83"/>
  <c r="AL83"/>
  <c r="AK83"/>
  <c r="AJ83"/>
  <c r="AG83"/>
  <c r="AF83"/>
  <c r="AE83"/>
  <c r="AD83"/>
  <c r="AC83"/>
  <c r="AB83"/>
  <c r="AA83"/>
  <c r="Z83"/>
  <c r="Y83"/>
  <c r="I83"/>
  <c r="H83"/>
  <c r="G83"/>
  <c r="F83"/>
  <c r="E83"/>
  <c r="D83"/>
  <c r="C83"/>
  <c r="AO82"/>
  <c r="AN82"/>
  <c r="AM82"/>
  <c r="AL82"/>
  <c r="AK82"/>
  <c r="AJ82"/>
  <c r="AG82"/>
  <c r="AF82"/>
  <c r="AE82"/>
  <c r="AD82"/>
  <c r="AA82"/>
  <c r="Z82"/>
  <c r="Y82"/>
  <c r="I82"/>
  <c r="H82"/>
  <c r="G82"/>
  <c r="F82"/>
  <c r="E82"/>
  <c r="D82"/>
  <c r="C82"/>
  <c r="AO81"/>
  <c r="AN81"/>
  <c r="AM81"/>
  <c r="AL81"/>
  <c r="AK81"/>
  <c r="AJ81"/>
  <c r="AG81"/>
  <c r="AF81"/>
  <c r="AE81"/>
  <c r="AD81"/>
  <c r="AC81"/>
  <c r="AB81"/>
  <c r="AA81"/>
  <c r="Z81"/>
  <c r="Y81"/>
  <c r="I81"/>
  <c r="H81"/>
  <c r="G81"/>
  <c r="F81"/>
  <c r="E81"/>
  <c r="D81"/>
  <c r="C81"/>
  <c r="AO79"/>
  <c r="AN79"/>
  <c r="AM79"/>
  <c r="AL79"/>
  <c r="AK79"/>
  <c r="AJ79"/>
  <c r="AI79"/>
  <c r="AH79"/>
  <c r="AG79"/>
  <c r="AF79"/>
  <c r="AE79"/>
  <c r="AD79"/>
  <c r="AC79"/>
  <c r="AB79"/>
  <c r="AA79"/>
  <c r="Z79"/>
  <c r="Y79"/>
  <c r="I79"/>
  <c r="H79"/>
  <c r="G79"/>
  <c r="F79"/>
  <c r="E79"/>
  <c r="D79"/>
  <c r="C79"/>
  <c r="AO78"/>
  <c r="AN78"/>
  <c r="AM78"/>
  <c r="AL78"/>
  <c r="AK78"/>
  <c r="AJ78"/>
  <c r="AI78"/>
  <c r="AH78"/>
  <c r="AG78"/>
  <c r="AF78"/>
  <c r="AE78"/>
  <c r="AD78"/>
  <c r="AC78"/>
  <c r="AB78"/>
  <c r="AA78"/>
  <c r="Z78"/>
  <c r="Y78"/>
  <c r="I78"/>
  <c r="H78"/>
  <c r="G78"/>
  <c r="F78"/>
  <c r="E78"/>
  <c r="D78"/>
  <c r="C78"/>
  <c r="AO77"/>
  <c r="AN77"/>
  <c r="AM77"/>
  <c r="AL77"/>
  <c r="AK77"/>
  <c r="AJ77"/>
  <c r="AI77"/>
  <c r="AH77"/>
  <c r="AG77"/>
  <c r="AF77"/>
  <c r="AE77"/>
  <c r="AD77"/>
  <c r="AC77"/>
  <c r="AB77"/>
  <c r="AA77"/>
  <c r="Z77"/>
  <c r="Y77"/>
  <c r="G77"/>
  <c r="F77"/>
  <c r="E77"/>
  <c r="D77"/>
  <c r="C77"/>
  <c r="AO76"/>
  <c r="AN76"/>
  <c r="AM76"/>
  <c r="AL76"/>
  <c r="AK76"/>
  <c r="AJ76"/>
  <c r="AI76"/>
  <c r="AH76"/>
  <c r="AG76"/>
  <c r="AF76"/>
  <c r="AE76"/>
  <c r="AD76"/>
  <c r="AC76"/>
  <c r="AB76"/>
  <c r="AA76"/>
  <c r="Z76"/>
  <c r="Y76"/>
  <c r="G76"/>
  <c r="F76"/>
  <c r="E76"/>
  <c r="D76"/>
  <c r="C76"/>
  <c r="AO75"/>
  <c r="AN75"/>
  <c r="AM75"/>
  <c r="AL75"/>
  <c r="AK75"/>
  <c r="AJ75"/>
  <c r="AI75"/>
  <c r="AH75"/>
  <c r="AG75"/>
  <c r="AF75"/>
  <c r="AE75"/>
  <c r="AD75"/>
  <c r="AC75"/>
  <c r="AB75"/>
  <c r="AA75"/>
  <c r="Z75"/>
  <c r="Y75"/>
  <c r="I75"/>
  <c r="H75"/>
  <c r="G75"/>
  <c r="F75"/>
  <c r="E75"/>
  <c r="D75"/>
  <c r="C75"/>
  <c r="AO74"/>
  <c r="AN74"/>
  <c r="AM74"/>
  <c r="AL74"/>
  <c r="AK74"/>
  <c r="AJ74"/>
  <c r="AI74"/>
  <c r="AH74"/>
  <c r="AG74"/>
  <c r="AF74"/>
  <c r="AE74"/>
  <c r="AD74"/>
  <c r="AC74"/>
  <c r="AB74"/>
  <c r="AA74"/>
  <c r="Z74"/>
  <c r="Y74"/>
  <c r="I74"/>
  <c r="H74"/>
  <c r="G74"/>
  <c r="F74"/>
  <c r="E74"/>
  <c r="D74"/>
  <c r="C74"/>
  <c r="AO73"/>
  <c r="AN73"/>
  <c r="AM73"/>
  <c r="AL73"/>
  <c r="AK73"/>
  <c r="AJ73"/>
  <c r="AI73"/>
  <c r="AH73"/>
  <c r="AG73"/>
  <c r="AF73"/>
  <c r="AE73"/>
  <c r="AD73"/>
  <c r="AA73"/>
  <c r="Z73"/>
  <c r="Y73"/>
  <c r="I73"/>
  <c r="H73"/>
  <c r="G73"/>
  <c r="F73"/>
  <c r="E73"/>
  <c r="D73"/>
  <c r="C73"/>
  <c r="AO72"/>
  <c r="AN72"/>
  <c r="AM72"/>
  <c r="AL72"/>
  <c r="AK72"/>
  <c r="AJ72"/>
  <c r="AI72"/>
  <c r="AH72"/>
  <c r="AG72"/>
  <c r="AF72"/>
  <c r="AE72"/>
  <c r="AD72"/>
  <c r="AC72"/>
  <c r="AB72"/>
  <c r="AA72"/>
  <c r="Z72"/>
  <c r="Y72"/>
  <c r="I72"/>
  <c r="H72"/>
  <c r="G72"/>
  <c r="F72"/>
  <c r="E72"/>
  <c r="D72"/>
  <c r="AJ69"/>
  <c r="AG69"/>
  <c r="AE69"/>
  <c r="AD69"/>
  <c r="AC69"/>
  <c r="AA69"/>
  <c r="Y69"/>
  <c r="G69"/>
  <c r="D69"/>
  <c r="C69"/>
  <c r="AJ68"/>
  <c r="AG68"/>
  <c r="AE68"/>
  <c r="AD68"/>
  <c r="AC68"/>
  <c r="AA68"/>
  <c r="Y68"/>
  <c r="G68"/>
  <c r="D68"/>
  <c r="C68"/>
  <c r="AJ67"/>
  <c r="AG67"/>
  <c r="AE67"/>
  <c r="AD67"/>
  <c r="AC67"/>
  <c r="AA67"/>
  <c r="Y67"/>
  <c r="G67"/>
  <c r="D67"/>
  <c r="C67"/>
  <c r="AJ66"/>
  <c r="AG66"/>
  <c r="AE66"/>
  <c r="AD66"/>
  <c r="Y66"/>
  <c r="G66"/>
  <c r="D66"/>
  <c r="C66"/>
  <c r="AJ65"/>
  <c r="AG65"/>
  <c r="AE65"/>
  <c r="AD65"/>
  <c r="Y65"/>
  <c r="G65"/>
  <c r="D65"/>
  <c r="C65"/>
  <c r="AJ64"/>
  <c r="AG64"/>
  <c r="AE64"/>
  <c r="AD64"/>
  <c r="AC64"/>
  <c r="AA64"/>
  <c r="Y64"/>
  <c r="G64"/>
  <c r="D64"/>
  <c r="C64"/>
  <c r="AJ63"/>
  <c r="AG63"/>
  <c r="AE63"/>
  <c r="AD63"/>
  <c r="AC63"/>
  <c r="AA63"/>
  <c r="Y63"/>
  <c r="G63"/>
  <c r="D63"/>
  <c r="C63"/>
  <c r="AJ62"/>
  <c r="AG62"/>
  <c r="AE62"/>
  <c r="AD62"/>
  <c r="AC62"/>
  <c r="AA62"/>
  <c r="Y62"/>
  <c r="G62"/>
  <c r="D62"/>
  <c r="C62"/>
  <c r="AE61"/>
  <c r="AD61"/>
  <c r="Y61"/>
  <c r="G61"/>
  <c r="D61"/>
  <c r="C61"/>
  <c r="AE60"/>
  <c r="AD60"/>
  <c r="Y60"/>
  <c r="G60"/>
  <c r="D60"/>
  <c r="C60"/>
  <c r="AJ59"/>
  <c r="AG59"/>
  <c r="AE59"/>
  <c r="AD59"/>
  <c r="AC59"/>
  <c r="AA59"/>
  <c r="Y59"/>
  <c r="G59"/>
  <c r="D59"/>
  <c r="C59"/>
  <c r="AJ58"/>
  <c r="AG58"/>
  <c r="Y58"/>
  <c r="G58"/>
  <c r="D58"/>
  <c r="C58"/>
  <c r="AJ57"/>
  <c r="AG57"/>
  <c r="Y57"/>
  <c r="G57"/>
  <c r="D57"/>
  <c r="C57"/>
  <c r="AJ56"/>
  <c r="AG56"/>
  <c r="AE56"/>
  <c r="AD56"/>
  <c r="AC56"/>
  <c r="AA56"/>
  <c r="Y56"/>
  <c r="G56"/>
  <c r="D56"/>
  <c r="C56"/>
  <c r="AJ55"/>
  <c r="AG55"/>
  <c r="AE55"/>
  <c r="AD55"/>
  <c r="AC55"/>
  <c r="AA55"/>
  <c r="Y55"/>
  <c r="G55"/>
  <c r="D55"/>
  <c r="C55"/>
  <c r="AJ54"/>
  <c r="AG54"/>
  <c r="AE54"/>
  <c r="AD54"/>
  <c r="AC54"/>
  <c r="AA54"/>
  <c r="Y54"/>
  <c r="G54"/>
  <c r="D54"/>
  <c r="C54"/>
  <c r="AJ53"/>
  <c r="AG53"/>
  <c r="AE53"/>
  <c r="AD53"/>
  <c r="AC53"/>
  <c r="AA53"/>
  <c r="Y53"/>
  <c r="G53"/>
  <c r="D53"/>
  <c r="C53"/>
  <c r="AJ52"/>
  <c r="AG52"/>
  <c r="AE52"/>
  <c r="AD52"/>
  <c r="AC52"/>
  <c r="AA52"/>
  <c r="Y52"/>
  <c r="G52"/>
  <c r="D52"/>
  <c r="C52"/>
  <c r="AJ51"/>
  <c r="AG51"/>
  <c r="AE51"/>
  <c r="AD51"/>
  <c r="AC51"/>
  <c r="AA51"/>
  <c r="Y51"/>
  <c r="G51"/>
  <c r="D51"/>
  <c r="C51"/>
  <c r="AJ50"/>
  <c r="AG50"/>
  <c r="AE50"/>
  <c r="AD50"/>
  <c r="AC50"/>
  <c r="AA50"/>
  <c r="Y50"/>
  <c r="G50"/>
  <c r="D50"/>
  <c r="C50"/>
  <c r="AJ49"/>
  <c r="AG49"/>
  <c r="AE49"/>
  <c r="AD49"/>
  <c r="AC49"/>
  <c r="AA49"/>
  <c r="Y49"/>
  <c r="G49"/>
  <c r="D49"/>
  <c r="C49"/>
  <c r="AJ48"/>
  <c r="AG48"/>
  <c r="AE48"/>
  <c r="AD48"/>
  <c r="AC48"/>
  <c r="AA48"/>
  <c r="Y48"/>
  <c r="G48"/>
  <c r="D48"/>
  <c r="C48"/>
  <c r="AJ47"/>
  <c r="AG47"/>
  <c r="AE47"/>
  <c r="AD47"/>
  <c r="AC47"/>
  <c r="AA47"/>
  <c r="Y47"/>
  <c r="G47"/>
  <c r="D47"/>
  <c r="C47"/>
  <c r="AJ46"/>
  <c r="Y46"/>
  <c r="G46"/>
  <c r="D46"/>
  <c r="C46"/>
  <c r="AJ45"/>
  <c r="Y45"/>
  <c r="G45"/>
  <c r="D45"/>
  <c r="C45"/>
  <c r="AJ44"/>
  <c r="AG44"/>
  <c r="AE44"/>
  <c r="AD44"/>
  <c r="AC44"/>
  <c r="AA44"/>
  <c r="Y44"/>
  <c r="G44"/>
  <c r="D44"/>
  <c r="C44"/>
  <c r="AJ43"/>
  <c r="AG43"/>
  <c r="AE43"/>
  <c r="AD43"/>
  <c r="AC43"/>
  <c r="AA43"/>
  <c r="Y43"/>
  <c r="G43"/>
  <c r="D43"/>
  <c r="C43"/>
  <c r="AJ42"/>
  <c r="AG42"/>
  <c r="AE42"/>
  <c r="AD42"/>
  <c r="AC42"/>
  <c r="AA42"/>
  <c r="Y42"/>
  <c r="G42"/>
  <c r="D42"/>
  <c r="C42"/>
  <c r="AJ41"/>
  <c r="AG41"/>
  <c r="AE41"/>
  <c r="AD41"/>
  <c r="AC41"/>
  <c r="AA41"/>
  <c r="Y41"/>
  <c r="G41"/>
  <c r="D41"/>
  <c r="C41"/>
  <c r="AJ38"/>
  <c r="AG38"/>
  <c r="AE38"/>
  <c r="AD38"/>
  <c r="AC38"/>
  <c r="AA38"/>
  <c r="Y38"/>
  <c r="G38"/>
  <c r="D38"/>
  <c r="C38"/>
  <c r="AJ37"/>
  <c r="AG37"/>
  <c r="AE37"/>
  <c r="AD37"/>
  <c r="AC37"/>
  <c r="AA37"/>
  <c r="Y37"/>
  <c r="G37"/>
  <c r="D37"/>
  <c r="C37"/>
  <c r="AJ36"/>
  <c r="AG36"/>
  <c r="Y36"/>
  <c r="G36"/>
  <c r="D36"/>
  <c r="C36"/>
  <c r="AJ35"/>
  <c r="AG35"/>
  <c r="Y35"/>
  <c r="G35"/>
  <c r="D35"/>
  <c r="C35"/>
  <c r="AJ34"/>
  <c r="AG34"/>
  <c r="Y34"/>
  <c r="G34"/>
  <c r="D34"/>
  <c r="C34"/>
  <c r="AJ33"/>
  <c r="Y33"/>
  <c r="G33"/>
  <c r="D33"/>
  <c r="C33"/>
  <c r="AJ32"/>
  <c r="AG32"/>
  <c r="AE32"/>
  <c r="AD32"/>
  <c r="AC32"/>
  <c r="AA32"/>
  <c r="Y32"/>
  <c r="G32"/>
  <c r="D32"/>
  <c r="C32"/>
  <c r="AJ31"/>
  <c r="AG31"/>
  <c r="AE31"/>
  <c r="AD31"/>
  <c r="AC31"/>
  <c r="AA31"/>
  <c r="Y31"/>
  <c r="G31"/>
  <c r="D31"/>
  <c r="C31"/>
  <c r="AJ30"/>
  <c r="AG30"/>
  <c r="AE30"/>
  <c r="AD30"/>
  <c r="AC30"/>
  <c r="AA30"/>
  <c r="Y30"/>
  <c r="G30"/>
  <c r="D30"/>
  <c r="C30"/>
  <c r="AJ29"/>
  <c r="AG29"/>
  <c r="AE29"/>
  <c r="AD29"/>
  <c r="AC29"/>
  <c r="AA29"/>
  <c r="Y29"/>
  <c r="G29"/>
  <c r="D29"/>
  <c r="C29"/>
  <c r="AJ28"/>
  <c r="AG28"/>
  <c r="AE28"/>
  <c r="AD28"/>
  <c r="AC28"/>
  <c r="AA28"/>
  <c r="Y28"/>
  <c r="G28"/>
  <c r="D28"/>
  <c r="C28"/>
  <c r="AJ27"/>
  <c r="AG27"/>
  <c r="AE27"/>
  <c r="AD27"/>
  <c r="AC27"/>
  <c r="AA27"/>
  <c r="Y27"/>
  <c r="G27"/>
  <c r="D27"/>
  <c r="C27"/>
  <c r="AJ26"/>
  <c r="AG26"/>
  <c r="AE26"/>
  <c r="AD26"/>
  <c r="AC26"/>
  <c r="AA26"/>
  <c r="Y26"/>
  <c r="G26"/>
  <c r="D26"/>
  <c r="C26"/>
  <c r="AJ25"/>
  <c r="AG25"/>
  <c r="AE25"/>
  <c r="AD25"/>
  <c r="AC25"/>
  <c r="AA25"/>
  <c r="Y25"/>
  <c r="G25"/>
  <c r="D25"/>
  <c r="C25"/>
  <c r="AJ24"/>
  <c r="AG24"/>
  <c r="AE24"/>
  <c r="AD24"/>
  <c r="AC24"/>
  <c r="AA24"/>
  <c r="Y24"/>
  <c r="G24"/>
  <c r="D24"/>
  <c r="C24"/>
  <c r="AO23"/>
  <c r="AN23"/>
  <c r="AM23"/>
  <c r="AL23"/>
  <c r="AK23"/>
  <c r="AJ23"/>
  <c r="AI23"/>
  <c r="AH23"/>
  <c r="AG23"/>
  <c r="AF23"/>
  <c r="AE23"/>
  <c r="AD23"/>
  <c r="AC23"/>
  <c r="AB23"/>
  <c r="AA23"/>
  <c r="Z23"/>
  <c r="Y23"/>
  <c r="Q21"/>
  <c r="D17"/>
  <c r="E16"/>
  <c r="D16"/>
  <c r="D15"/>
  <c r="D6" i="255"/>
  <c r="D5"/>
  <c r="H24"/>
  <c r="H67"/>
  <c r="I24"/>
  <c r="I67"/>
  <c r="J67"/>
  <c r="L67"/>
  <c r="D3"/>
  <c r="M67"/>
  <c r="K67"/>
  <c r="N67"/>
  <c r="O67"/>
  <c r="P67"/>
  <c r="R67"/>
  <c r="T67"/>
  <c r="H68"/>
  <c r="I68"/>
  <c r="J68"/>
  <c r="L68"/>
  <c r="M68"/>
  <c r="K68"/>
  <c r="N68"/>
  <c r="O68"/>
  <c r="P68"/>
  <c r="R68"/>
  <c r="T68"/>
  <c r="H69"/>
  <c r="I69"/>
  <c r="J69"/>
  <c r="L69"/>
  <c r="M69"/>
  <c r="K69"/>
  <c r="N69"/>
  <c r="O69"/>
  <c r="P69"/>
  <c r="R69"/>
  <c r="T69"/>
  <c r="H70"/>
  <c r="I70"/>
  <c r="J70"/>
  <c r="L70"/>
  <c r="M70"/>
  <c r="K70"/>
  <c r="N70"/>
  <c r="O70"/>
  <c r="P70"/>
  <c r="R70"/>
  <c r="T70"/>
  <c r="H71"/>
  <c r="I71"/>
  <c r="J71"/>
  <c r="L71"/>
  <c r="M71"/>
  <c r="K71"/>
  <c r="N71"/>
  <c r="O71"/>
  <c r="P71"/>
  <c r="R71"/>
  <c r="T71"/>
  <c r="H29"/>
  <c r="H72"/>
  <c r="I29"/>
  <c r="I72"/>
  <c r="J72"/>
  <c r="L72"/>
  <c r="M72"/>
  <c r="K72"/>
  <c r="N72"/>
  <c r="O72"/>
  <c r="P72"/>
  <c r="R72"/>
  <c r="T72"/>
  <c r="H32"/>
  <c r="H73"/>
  <c r="I32"/>
  <c r="I73"/>
  <c r="T32"/>
  <c r="J73"/>
  <c r="V32"/>
  <c r="L73"/>
  <c r="F8"/>
  <c r="W32"/>
  <c r="M73"/>
  <c r="U32"/>
  <c r="K73"/>
  <c r="N73"/>
  <c r="O73"/>
  <c r="P73"/>
  <c r="R73"/>
  <c r="T73"/>
  <c r="H33"/>
  <c r="H74"/>
  <c r="I33"/>
  <c r="I74"/>
  <c r="T33"/>
  <c r="J74"/>
  <c r="V33"/>
  <c r="L74"/>
  <c r="W33"/>
  <c r="M74"/>
  <c r="U33"/>
  <c r="K74"/>
  <c r="N74"/>
  <c r="O74"/>
  <c r="P74"/>
  <c r="R74"/>
  <c r="T74"/>
  <c r="H34"/>
  <c r="H75"/>
  <c r="I34"/>
  <c r="I75"/>
  <c r="T34"/>
  <c r="J75"/>
  <c r="V34"/>
  <c r="L75"/>
  <c r="W34"/>
  <c r="M75"/>
  <c r="U34"/>
  <c r="K75"/>
  <c r="N75"/>
  <c r="O75"/>
  <c r="P75"/>
  <c r="R75"/>
  <c r="T75"/>
  <c r="T77"/>
  <c r="S67"/>
  <c r="S68"/>
  <c r="S69"/>
  <c r="S70"/>
  <c r="S71"/>
  <c r="S72"/>
  <c r="S73"/>
  <c r="S74"/>
  <c r="S75"/>
  <c r="S77"/>
  <c r="R77"/>
  <c r="P80"/>
  <c r="O77"/>
  <c r="I85"/>
  <c r="I89"/>
  <c r="V67"/>
  <c r="W67"/>
  <c r="V68"/>
  <c r="W68"/>
  <c r="V69"/>
  <c r="W69"/>
  <c r="V70"/>
  <c r="W70"/>
  <c r="V71"/>
  <c r="W71"/>
  <c r="V72"/>
  <c r="W72"/>
  <c r="V73"/>
  <c r="W73"/>
  <c r="V74"/>
  <c r="W74"/>
  <c r="V75"/>
  <c r="W75"/>
  <c r="W77"/>
  <c r="V77"/>
  <c r="I91"/>
  <c r="I92"/>
  <c r="M93"/>
  <c r="M94"/>
  <c r="I93"/>
  <c r="AJ67"/>
  <c r="AK67"/>
  <c r="AJ68"/>
  <c r="AK68"/>
  <c r="AJ69"/>
  <c r="AK69"/>
  <c r="AJ70"/>
  <c r="AK70"/>
  <c r="AJ71"/>
  <c r="AK71"/>
  <c r="AJ72"/>
  <c r="AK72"/>
  <c r="AJ73"/>
  <c r="AK73"/>
  <c r="AJ74"/>
  <c r="AK74"/>
  <c r="AJ75"/>
  <c r="AK75"/>
  <c r="AL67"/>
  <c r="AL68"/>
  <c r="AL69"/>
  <c r="AL70"/>
  <c r="AL71"/>
  <c r="AL72"/>
  <c r="AL73"/>
  <c r="AL74"/>
  <c r="AL75"/>
  <c r="Q86"/>
  <c r="Q87"/>
  <c r="Q88"/>
  <c r="Q89"/>
  <c r="AH88"/>
  <c r="I86"/>
  <c r="U67"/>
  <c r="U68"/>
  <c r="U69"/>
  <c r="U70"/>
  <c r="U71"/>
  <c r="U72"/>
  <c r="U73"/>
  <c r="U74"/>
  <c r="U75"/>
  <c r="U77"/>
  <c r="I87"/>
  <c r="I88"/>
  <c r="AH87"/>
  <c r="AH86"/>
  <c r="I81"/>
  <c r="I82"/>
  <c r="AH84"/>
  <c r="AH83"/>
  <c r="I80"/>
  <c r="M82"/>
  <c r="M83"/>
  <c r="AH82"/>
  <c r="P82"/>
  <c r="P81"/>
  <c r="AX75"/>
  <c r="AW75"/>
  <c r="AV75"/>
  <c r="AU75"/>
  <c r="AT75"/>
  <c r="AS75"/>
  <c r="AR75"/>
  <c r="AQ75"/>
  <c r="E34"/>
  <c r="E75"/>
  <c r="AN75"/>
  <c r="F34"/>
  <c r="F75"/>
  <c r="AO75"/>
  <c r="AP75"/>
  <c r="Q75"/>
  <c r="AH75"/>
  <c r="AG75"/>
  <c r="AF75"/>
  <c r="AX74"/>
  <c r="AW74"/>
  <c r="AV74"/>
  <c r="AU74"/>
  <c r="AT74"/>
  <c r="AS74"/>
  <c r="AR74"/>
  <c r="AQ74"/>
  <c r="E33"/>
  <c r="E74"/>
  <c r="AN74"/>
  <c r="F33"/>
  <c r="F74"/>
  <c r="AO74"/>
  <c r="AP74"/>
  <c r="Q74"/>
  <c r="AH74"/>
  <c r="AG74"/>
  <c r="AF74"/>
  <c r="AX73"/>
  <c r="AW73"/>
  <c r="AV73"/>
  <c r="AU73"/>
  <c r="AT73"/>
  <c r="AS73"/>
  <c r="AR73"/>
  <c r="AQ73"/>
  <c r="E32"/>
  <c r="E73"/>
  <c r="AN73"/>
  <c r="F32"/>
  <c r="F73"/>
  <c r="AO73"/>
  <c r="AP73"/>
  <c r="Q73"/>
  <c r="AH73"/>
  <c r="AG73"/>
  <c r="AF73"/>
  <c r="AX72"/>
  <c r="AW72"/>
  <c r="AV72"/>
  <c r="AU72"/>
  <c r="AT72"/>
  <c r="AS72"/>
  <c r="AR72"/>
  <c r="AQ72"/>
  <c r="E29"/>
  <c r="E72"/>
  <c r="AN72"/>
  <c r="F29"/>
  <c r="F72"/>
  <c r="AO72"/>
  <c r="AP72"/>
  <c r="Q72"/>
  <c r="AH72"/>
  <c r="AG72"/>
  <c r="AF72"/>
  <c r="AX71"/>
  <c r="AW71"/>
  <c r="AV71"/>
  <c r="AU71"/>
  <c r="AT71"/>
  <c r="AS71"/>
  <c r="AR71"/>
  <c r="AQ71"/>
  <c r="E28"/>
  <c r="E71"/>
  <c r="AN71"/>
  <c r="F28"/>
  <c r="F71"/>
  <c r="AO71"/>
  <c r="AP71"/>
  <c r="Q71"/>
  <c r="AH71"/>
  <c r="AG71"/>
  <c r="AF71"/>
  <c r="AX70"/>
  <c r="AW70"/>
  <c r="AV70"/>
  <c r="AU70"/>
  <c r="AT70"/>
  <c r="AS70"/>
  <c r="AR70"/>
  <c r="AQ70"/>
  <c r="E27"/>
  <c r="E70"/>
  <c r="AN70"/>
  <c r="F27"/>
  <c r="F70"/>
  <c r="AO70"/>
  <c r="AP70"/>
  <c r="Q70"/>
  <c r="AH70"/>
  <c r="AG70"/>
  <c r="AF70"/>
  <c r="AX69"/>
  <c r="AW69"/>
  <c r="AV69"/>
  <c r="AU69"/>
  <c r="AT69"/>
  <c r="AS69"/>
  <c r="AR69"/>
  <c r="AQ69"/>
  <c r="E26"/>
  <c r="E69"/>
  <c r="AN69"/>
  <c r="F26"/>
  <c r="F69"/>
  <c r="AO69"/>
  <c r="AP69"/>
  <c r="Q69"/>
  <c r="AH69"/>
  <c r="AG69"/>
  <c r="AF69"/>
  <c r="AX68"/>
  <c r="AW68"/>
  <c r="AV68"/>
  <c r="AU68"/>
  <c r="AT68"/>
  <c r="AS68"/>
  <c r="AR68"/>
  <c r="AQ68"/>
  <c r="E25"/>
  <c r="E68"/>
  <c r="AN68"/>
  <c r="F25"/>
  <c r="F68"/>
  <c r="AO68"/>
  <c r="AP68"/>
  <c r="Q68"/>
  <c r="AH68"/>
  <c r="AG68"/>
  <c r="AF68"/>
  <c r="F6"/>
  <c r="AY67"/>
  <c r="AX67"/>
  <c r="AW67"/>
  <c r="AV67"/>
  <c r="AU67"/>
  <c r="AT67"/>
  <c r="AS67"/>
  <c r="AR67"/>
  <c r="AQ67"/>
  <c r="E24"/>
  <c r="E67"/>
  <c r="AN67"/>
  <c r="F24"/>
  <c r="F67"/>
  <c r="AO67"/>
  <c r="AP67"/>
  <c r="Q67"/>
  <c r="AH67"/>
  <c r="AG67"/>
  <c r="AF67"/>
  <c r="I65"/>
  <c r="AN63"/>
  <c r="AM63"/>
  <c r="AL63"/>
  <c r="AK63"/>
  <c r="AJ63"/>
  <c r="AI63"/>
  <c r="AH63"/>
  <c r="AG63"/>
  <c r="AF63"/>
  <c r="AE63"/>
  <c r="AD63"/>
  <c r="AA63"/>
  <c r="Z63"/>
  <c r="Y63"/>
  <c r="I63"/>
  <c r="H63"/>
  <c r="G63"/>
  <c r="F63"/>
  <c r="E63"/>
  <c r="D63"/>
  <c r="C63"/>
  <c r="AN61"/>
  <c r="AM61"/>
  <c r="AL61"/>
  <c r="AK61"/>
  <c r="AJ61"/>
  <c r="AG61"/>
  <c r="AF61"/>
  <c r="AE61"/>
  <c r="AD61"/>
  <c r="AC61"/>
  <c r="AB61"/>
  <c r="AA61"/>
  <c r="Z61"/>
  <c r="Y61"/>
  <c r="I61"/>
  <c r="G61"/>
  <c r="F61"/>
  <c r="E61"/>
  <c r="D61"/>
  <c r="C61"/>
  <c r="AN60"/>
  <c r="AM60"/>
  <c r="AL60"/>
  <c r="AK60"/>
  <c r="AJ60"/>
  <c r="AG60"/>
  <c r="AF60"/>
  <c r="AE60"/>
  <c r="AD60"/>
  <c r="AC60"/>
  <c r="AB60"/>
  <c r="AA60"/>
  <c r="Z60"/>
  <c r="Y60"/>
  <c r="I60"/>
  <c r="H60"/>
  <c r="G60"/>
  <c r="F60"/>
  <c r="E60"/>
  <c r="D60"/>
  <c r="C60"/>
  <c r="AN59"/>
  <c r="AM59"/>
  <c r="AL59"/>
  <c r="AK59"/>
  <c r="AJ59"/>
  <c r="AI59"/>
  <c r="AH59"/>
  <c r="AG59"/>
  <c r="AF59"/>
  <c r="AE59"/>
  <c r="AD59"/>
  <c r="AC59"/>
  <c r="AB59"/>
  <c r="AA59"/>
  <c r="Z59"/>
  <c r="Y59"/>
  <c r="I59"/>
  <c r="H59"/>
  <c r="G59"/>
  <c r="F59"/>
  <c r="E59"/>
  <c r="D59"/>
  <c r="C59"/>
  <c r="AN58"/>
  <c r="AM58"/>
  <c r="AL58"/>
  <c r="AK58"/>
  <c r="AJ58"/>
  <c r="AI58"/>
  <c r="AH58"/>
  <c r="AG58"/>
  <c r="AF58"/>
  <c r="AE58"/>
  <c r="AD58"/>
  <c r="AC58"/>
  <c r="AB58"/>
  <c r="AA58"/>
  <c r="Z58"/>
  <c r="Y58"/>
  <c r="I58"/>
  <c r="H58"/>
  <c r="G58"/>
  <c r="F58"/>
  <c r="E58"/>
  <c r="D58"/>
  <c r="C58"/>
  <c r="AN57"/>
  <c r="AM57"/>
  <c r="AJ57"/>
  <c r="AE57"/>
  <c r="AD57"/>
  <c r="Z57"/>
  <c r="Y57"/>
  <c r="G57"/>
  <c r="F57"/>
  <c r="E57"/>
  <c r="D57"/>
  <c r="C57"/>
  <c r="AN56"/>
  <c r="AM56"/>
  <c r="AJ56"/>
  <c r="AE56"/>
  <c r="AD56"/>
  <c r="Z56"/>
  <c r="Y56"/>
  <c r="G56"/>
  <c r="F56"/>
  <c r="E56"/>
  <c r="D56"/>
  <c r="C56"/>
  <c r="AN55"/>
  <c r="AM55"/>
  <c r="AL55"/>
  <c r="AK55"/>
  <c r="AJ55"/>
  <c r="AG55"/>
  <c r="AF55"/>
  <c r="AE55"/>
  <c r="AD55"/>
  <c r="AC55"/>
  <c r="AB55"/>
  <c r="AA55"/>
  <c r="Z55"/>
  <c r="Y55"/>
  <c r="I55"/>
  <c r="H55"/>
  <c r="G55"/>
  <c r="F55"/>
  <c r="E55"/>
  <c r="D55"/>
  <c r="C55"/>
  <c r="AN54"/>
  <c r="AM54"/>
  <c r="AJ54"/>
  <c r="AE54"/>
  <c r="AD54"/>
  <c r="AA54"/>
  <c r="Z54"/>
  <c r="Y54"/>
  <c r="G54"/>
  <c r="F54"/>
  <c r="E54"/>
  <c r="D54"/>
  <c r="C54"/>
  <c r="AN53"/>
  <c r="AM53"/>
  <c r="AJ53"/>
  <c r="AE53"/>
  <c r="AD53"/>
  <c r="AA53"/>
  <c r="Z53"/>
  <c r="Y53"/>
  <c r="G53"/>
  <c r="F53"/>
  <c r="E53"/>
  <c r="D53"/>
  <c r="C53"/>
  <c r="AN52"/>
  <c r="AM52"/>
  <c r="AL52"/>
  <c r="AK52"/>
  <c r="AJ52"/>
  <c r="AG52"/>
  <c r="AF52"/>
  <c r="AE52"/>
  <c r="AD52"/>
  <c r="AC52"/>
  <c r="AB52"/>
  <c r="AA52"/>
  <c r="Z52"/>
  <c r="Y52"/>
  <c r="I52"/>
  <c r="H52"/>
  <c r="G52"/>
  <c r="F52"/>
  <c r="E52"/>
  <c r="D52"/>
  <c r="C52"/>
  <c r="AN51"/>
  <c r="AM51"/>
  <c r="AL51"/>
  <c r="AK51"/>
  <c r="AJ51"/>
  <c r="AI51"/>
  <c r="AH51"/>
  <c r="AG51"/>
  <c r="AF51"/>
  <c r="AE51"/>
  <c r="AD51"/>
  <c r="AC51"/>
  <c r="AB51"/>
  <c r="AA51"/>
  <c r="Z51"/>
  <c r="Y51"/>
  <c r="I51"/>
  <c r="H51"/>
  <c r="G51"/>
  <c r="F51"/>
  <c r="E51"/>
  <c r="D51"/>
  <c r="C51"/>
  <c r="AN50"/>
  <c r="AM50"/>
  <c r="AL50"/>
  <c r="AK50"/>
  <c r="AJ50"/>
  <c r="AG50"/>
  <c r="AF50"/>
  <c r="AE50"/>
  <c r="AD50"/>
  <c r="AC50"/>
  <c r="AB50"/>
  <c r="AA50"/>
  <c r="Z50"/>
  <c r="Y50"/>
  <c r="I50"/>
  <c r="H50"/>
  <c r="G50"/>
  <c r="F50"/>
  <c r="E50"/>
  <c r="D50"/>
  <c r="C50"/>
  <c r="AN49"/>
  <c r="AM49"/>
  <c r="AL49"/>
  <c r="AK49"/>
  <c r="AJ49"/>
  <c r="AG49"/>
  <c r="AF49"/>
  <c r="AE49"/>
  <c r="AD49"/>
  <c r="AC49"/>
  <c r="AB49"/>
  <c r="AA49"/>
  <c r="Z49"/>
  <c r="Y49"/>
  <c r="I49"/>
  <c r="H49"/>
  <c r="G49"/>
  <c r="F49"/>
  <c r="E49"/>
  <c r="D49"/>
  <c r="C49"/>
  <c r="AN48"/>
  <c r="AM48"/>
  <c r="AL48"/>
  <c r="AK48"/>
  <c r="AJ48"/>
  <c r="AG48"/>
  <c r="AF48"/>
  <c r="AE48"/>
  <c r="AD48"/>
  <c r="AC48"/>
  <c r="AB48"/>
  <c r="AA48"/>
  <c r="Z48"/>
  <c r="Y48"/>
  <c r="I48"/>
  <c r="H48"/>
  <c r="G48"/>
  <c r="F48"/>
  <c r="E48"/>
  <c r="D48"/>
  <c r="C48"/>
  <c r="AN47"/>
  <c r="AM47"/>
  <c r="AL47"/>
  <c r="AK47"/>
  <c r="AJ47"/>
  <c r="AG47"/>
  <c r="AF47"/>
  <c r="AE47"/>
  <c r="AD47"/>
  <c r="AA47"/>
  <c r="Z47"/>
  <c r="Y47"/>
  <c r="I47"/>
  <c r="H47"/>
  <c r="G47"/>
  <c r="F47"/>
  <c r="E47"/>
  <c r="D47"/>
  <c r="C47"/>
  <c r="AN46"/>
  <c r="AM46"/>
  <c r="AL46"/>
  <c r="AK46"/>
  <c r="AJ46"/>
  <c r="AG46"/>
  <c r="AF46"/>
  <c r="AE46"/>
  <c r="AD46"/>
  <c r="AC46"/>
  <c r="AB46"/>
  <c r="AA46"/>
  <c r="Z46"/>
  <c r="Y46"/>
  <c r="I46"/>
  <c r="H46"/>
  <c r="G46"/>
  <c r="F46"/>
  <c r="E46"/>
  <c r="D46"/>
  <c r="C46"/>
  <c r="AN44"/>
  <c r="AM44"/>
  <c r="AL44"/>
  <c r="AK44"/>
  <c r="AJ44"/>
  <c r="AI44"/>
  <c r="AH44"/>
  <c r="AG44"/>
  <c r="AF44"/>
  <c r="AE44"/>
  <c r="AD44"/>
  <c r="AC44"/>
  <c r="AB44"/>
  <c r="AA44"/>
  <c r="Z44"/>
  <c r="Y44"/>
  <c r="I44"/>
  <c r="H44"/>
  <c r="G44"/>
  <c r="F44"/>
  <c r="E44"/>
  <c r="D44"/>
  <c r="C44"/>
  <c r="AN43"/>
  <c r="AM43"/>
  <c r="AL43"/>
  <c r="AK43"/>
  <c r="AJ43"/>
  <c r="AI43"/>
  <c r="AH43"/>
  <c r="AG43"/>
  <c r="AF43"/>
  <c r="AE43"/>
  <c r="AD43"/>
  <c r="AC43"/>
  <c r="AB43"/>
  <c r="AA43"/>
  <c r="Z43"/>
  <c r="Y43"/>
  <c r="I43"/>
  <c r="H43"/>
  <c r="G43"/>
  <c r="F43"/>
  <c r="E43"/>
  <c r="D43"/>
  <c r="C43"/>
  <c r="AN42"/>
  <c r="AM42"/>
  <c r="AL42"/>
  <c r="AK42"/>
  <c r="AJ42"/>
  <c r="AI42"/>
  <c r="AH42"/>
  <c r="AG42"/>
  <c r="AF42"/>
  <c r="AE42"/>
  <c r="AD42"/>
  <c r="AC42"/>
  <c r="AB42"/>
  <c r="AA42"/>
  <c r="Z42"/>
  <c r="Y42"/>
  <c r="G42"/>
  <c r="F42"/>
  <c r="E42"/>
  <c r="D42"/>
  <c r="C42"/>
  <c r="AN41"/>
  <c r="AM41"/>
  <c r="AL41"/>
  <c r="AK41"/>
  <c r="AJ41"/>
  <c r="AI41"/>
  <c r="AH41"/>
  <c r="AG41"/>
  <c r="AF41"/>
  <c r="AE41"/>
  <c r="AD41"/>
  <c r="AC41"/>
  <c r="AB41"/>
  <c r="AA41"/>
  <c r="Z41"/>
  <c r="Y41"/>
  <c r="G41"/>
  <c r="F41"/>
  <c r="E41"/>
  <c r="D41"/>
  <c r="C41"/>
  <c r="AN40"/>
  <c r="AM40"/>
  <c r="AL40"/>
  <c r="AK40"/>
  <c r="AJ40"/>
  <c r="AI40"/>
  <c r="AH40"/>
  <c r="AG40"/>
  <c r="AF40"/>
  <c r="AE40"/>
  <c r="AD40"/>
  <c r="AC40"/>
  <c r="AB40"/>
  <c r="AA40"/>
  <c r="Z40"/>
  <c r="Y40"/>
  <c r="I40"/>
  <c r="H40"/>
  <c r="G40"/>
  <c r="F40"/>
  <c r="E40"/>
  <c r="D40"/>
  <c r="C40"/>
  <c r="AN39"/>
  <c r="AM39"/>
  <c r="AL39"/>
  <c r="AK39"/>
  <c r="AJ39"/>
  <c r="AI39"/>
  <c r="AH39"/>
  <c r="AG39"/>
  <c r="AF39"/>
  <c r="AE39"/>
  <c r="AD39"/>
  <c r="AC39"/>
  <c r="AB39"/>
  <c r="AA39"/>
  <c r="Z39"/>
  <c r="Y39"/>
  <c r="I39"/>
  <c r="H39"/>
  <c r="G39"/>
  <c r="F39"/>
  <c r="E39"/>
  <c r="D39"/>
  <c r="C39"/>
  <c r="AN38"/>
  <c r="AM38"/>
  <c r="AL38"/>
  <c r="AK38"/>
  <c r="AJ38"/>
  <c r="AI38"/>
  <c r="AH38"/>
  <c r="AG38"/>
  <c r="AF38"/>
  <c r="AE38"/>
  <c r="AD38"/>
  <c r="AA38"/>
  <c r="Z38"/>
  <c r="Y38"/>
  <c r="I38"/>
  <c r="H38"/>
  <c r="G38"/>
  <c r="F38"/>
  <c r="E38"/>
  <c r="D38"/>
  <c r="C38"/>
  <c r="AN37"/>
  <c r="AM37"/>
  <c r="AL37"/>
  <c r="AK37"/>
  <c r="AJ37"/>
  <c r="AI37"/>
  <c r="AH37"/>
  <c r="AG37"/>
  <c r="AF37"/>
  <c r="AE37"/>
  <c r="AD37"/>
  <c r="AC37"/>
  <c r="AB37"/>
  <c r="AA37"/>
  <c r="Z37"/>
  <c r="Y37"/>
  <c r="I37"/>
  <c r="H37"/>
  <c r="G37"/>
  <c r="F37"/>
  <c r="E37"/>
  <c r="D37"/>
  <c r="AO34"/>
  <c r="AN34"/>
  <c r="AM34"/>
  <c r="AL34"/>
  <c r="AK34"/>
  <c r="AJ34"/>
  <c r="AI34"/>
  <c r="AH34"/>
  <c r="AG34"/>
  <c r="AF34"/>
  <c r="AE34"/>
  <c r="AD34"/>
  <c r="AC34"/>
  <c r="AB34"/>
  <c r="AA34"/>
  <c r="Z34"/>
  <c r="Y34"/>
  <c r="G34"/>
  <c r="D34"/>
  <c r="C34"/>
  <c r="AB33"/>
  <c r="AK33"/>
  <c r="AO33"/>
  <c r="AN33"/>
  <c r="AM33"/>
  <c r="AL33"/>
  <c r="AJ33"/>
  <c r="AI33"/>
  <c r="AH33"/>
  <c r="AG33"/>
  <c r="AF33"/>
  <c r="AE33"/>
  <c r="AD33"/>
  <c r="AC33"/>
  <c r="AA33"/>
  <c r="Z33"/>
  <c r="Y33"/>
  <c r="G33"/>
  <c r="D33"/>
  <c r="C33"/>
  <c r="AB32"/>
  <c r="AK32"/>
  <c r="AO32"/>
  <c r="AN32"/>
  <c r="AM32"/>
  <c r="AL32"/>
  <c r="AJ32"/>
  <c r="AI32"/>
  <c r="AH32"/>
  <c r="AG32"/>
  <c r="AF32"/>
  <c r="AE32"/>
  <c r="AD32"/>
  <c r="AC32"/>
  <c r="AA32"/>
  <c r="Z32"/>
  <c r="Y32"/>
  <c r="G32"/>
  <c r="D32"/>
  <c r="C32"/>
  <c r="AO29"/>
  <c r="AN29"/>
  <c r="AM29"/>
  <c r="AL29"/>
  <c r="AK29"/>
  <c r="AJ29"/>
  <c r="AI29"/>
  <c r="AH29"/>
  <c r="AG29"/>
  <c r="AF29"/>
  <c r="AE29"/>
  <c r="AD29"/>
  <c r="AC29"/>
  <c r="AB29"/>
  <c r="AA29"/>
  <c r="Z29"/>
  <c r="Y29"/>
  <c r="G29"/>
  <c r="D29"/>
  <c r="C29"/>
  <c r="AO28"/>
  <c r="AN28"/>
  <c r="AM28"/>
  <c r="AJ28"/>
  <c r="AI28"/>
  <c r="AH28"/>
  <c r="AG28"/>
  <c r="AA28"/>
  <c r="Z28"/>
  <c r="Y28"/>
  <c r="G28"/>
  <c r="D28"/>
  <c r="C28"/>
  <c r="AO27"/>
  <c r="AN27"/>
  <c r="AM27"/>
  <c r="AJ27"/>
  <c r="AI27"/>
  <c r="AH27"/>
  <c r="AG27"/>
  <c r="AA27"/>
  <c r="Z27"/>
  <c r="Y27"/>
  <c r="G27"/>
  <c r="D27"/>
  <c r="C27"/>
  <c r="AO26"/>
  <c r="AN26"/>
  <c r="AM26"/>
  <c r="AJ26"/>
  <c r="AI26"/>
  <c r="AH26"/>
  <c r="AG26"/>
  <c r="AA26"/>
  <c r="Z26"/>
  <c r="Y26"/>
  <c r="G26"/>
  <c r="D26"/>
  <c r="C26"/>
  <c r="AO25"/>
  <c r="AN25"/>
  <c r="AM25"/>
  <c r="AJ25"/>
  <c r="AI25"/>
  <c r="AH25"/>
  <c r="AG25"/>
  <c r="AA25"/>
  <c r="Z25"/>
  <c r="Y25"/>
  <c r="G25"/>
  <c r="D25"/>
  <c r="C25"/>
  <c r="AO24"/>
  <c r="AN24"/>
  <c r="AM24"/>
  <c r="AL24"/>
  <c r="AK24"/>
  <c r="AJ24"/>
  <c r="AI24"/>
  <c r="AH24"/>
  <c r="AG24"/>
  <c r="AF24"/>
  <c r="AE24"/>
  <c r="AD24"/>
  <c r="AC24"/>
  <c r="AB24"/>
  <c r="AA24"/>
  <c r="Z24"/>
  <c r="Y24"/>
  <c r="G24"/>
  <c r="D24"/>
  <c r="C24"/>
  <c r="AO23"/>
  <c r="AN23"/>
  <c r="AM23"/>
  <c r="AL23"/>
  <c r="AK23"/>
  <c r="AJ23"/>
  <c r="AI23"/>
  <c r="AH23"/>
  <c r="AG23"/>
  <c r="AF23"/>
  <c r="AE23"/>
  <c r="AD23"/>
  <c r="AC23"/>
  <c r="AB23"/>
  <c r="AA23"/>
  <c r="Z23"/>
  <c r="Y23"/>
  <c r="F5"/>
  <c r="Q21"/>
  <c r="D21"/>
  <c r="E20"/>
  <c r="D20"/>
  <c r="D19"/>
  <c r="D17"/>
  <c r="E16"/>
  <c r="D16"/>
  <c r="D15"/>
  <c r="F13"/>
  <c r="D13"/>
  <c r="D12"/>
  <c r="D11"/>
  <c r="D9"/>
  <c r="D8"/>
  <c r="D7"/>
  <c r="F4"/>
  <c r="F3"/>
  <c r="D6" i="260"/>
  <c r="D5"/>
  <c r="H24"/>
  <c r="H89"/>
  <c r="I24"/>
  <c r="I89"/>
  <c r="J89"/>
  <c r="L89"/>
  <c r="D3"/>
  <c r="M89"/>
  <c r="K89"/>
  <c r="N89"/>
  <c r="O89"/>
  <c r="P89"/>
  <c r="R89"/>
  <c r="T89"/>
  <c r="H25"/>
  <c r="H90"/>
  <c r="I25"/>
  <c r="I90"/>
  <c r="J90"/>
  <c r="L90"/>
  <c r="M90"/>
  <c r="K90"/>
  <c r="N90"/>
  <c r="O90"/>
  <c r="P90"/>
  <c r="R90"/>
  <c r="T90"/>
  <c r="H26"/>
  <c r="H91"/>
  <c r="I26"/>
  <c r="I91"/>
  <c r="J91"/>
  <c r="L91"/>
  <c r="M91"/>
  <c r="K91"/>
  <c r="N91"/>
  <c r="O91"/>
  <c r="P91"/>
  <c r="R91"/>
  <c r="T91"/>
  <c r="H27"/>
  <c r="H92"/>
  <c r="I27"/>
  <c r="I92"/>
  <c r="J92"/>
  <c r="L92"/>
  <c r="M92"/>
  <c r="K92"/>
  <c r="N92"/>
  <c r="O92"/>
  <c r="P92"/>
  <c r="R92"/>
  <c r="T92"/>
  <c r="H93"/>
  <c r="I93"/>
  <c r="J93"/>
  <c r="L93"/>
  <c r="M93"/>
  <c r="K93"/>
  <c r="N93"/>
  <c r="O93"/>
  <c r="P93"/>
  <c r="R93"/>
  <c r="T93"/>
  <c r="H94"/>
  <c r="I94"/>
  <c r="J94"/>
  <c r="L94"/>
  <c r="M94"/>
  <c r="K94"/>
  <c r="N94"/>
  <c r="O94"/>
  <c r="P94"/>
  <c r="R94"/>
  <c r="T94"/>
  <c r="H95"/>
  <c r="I95"/>
  <c r="J95"/>
  <c r="L95"/>
  <c r="M95"/>
  <c r="K95"/>
  <c r="N95"/>
  <c r="O95"/>
  <c r="P95"/>
  <c r="R95"/>
  <c r="T95"/>
  <c r="H96"/>
  <c r="I96"/>
  <c r="J96"/>
  <c r="L96"/>
  <c r="M96"/>
  <c r="K96"/>
  <c r="N96"/>
  <c r="O96"/>
  <c r="P96"/>
  <c r="R96"/>
  <c r="T96"/>
  <c r="H34"/>
  <c r="H97"/>
  <c r="I34"/>
  <c r="I97"/>
  <c r="T34"/>
  <c r="J97"/>
  <c r="V34"/>
  <c r="L97"/>
  <c r="F8"/>
  <c r="W34"/>
  <c r="M97"/>
  <c r="U34"/>
  <c r="K97"/>
  <c r="N97"/>
  <c r="O97"/>
  <c r="P97"/>
  <c r="R97"/>
  <c r="T97"/>
  <c r="H35"/>
  <c r="H98"/>
  <c r="I35"/>
  <c r="I98"/>
  <c r="T35"/>
  <c r="J98"/>
  <c r="V35"/>
  <c r="L98"/>
  <c r="W35"/>
  <c r="M98"/>
  <c r="U35"/>
  <c r="K98"/>
  <c r="N98"/>
  <c r="O98"/>
  <c r="P98"/>
  <c r="R98"/>
  <c r="T98"/>
  <c r="H36"/>
  <c r="H99"/>
  <c r="I36"/>
  <c r="I99"/>
  <c r="T36"/>
  <c r="J99"/>
  <c r="V36"/>
  <c r="L99"/>
  <c r="W36"/>
  <c r="M99"/>
  <c r="U36"/>
  <c r="K99"/>
  <c r="N99"/>
  <c r="O99"/>
  <c r="P99"/>
  <c r="R99"/>
  <c r="T99"/>
  <c r="H100"/>
  <c r="I100"/>
  <c r="T37"/>
  <c r="J100"/>
  <c r="V37"/>
  <c r="L100"/>
  <c r="W37"/>
  <c r="M100"/>
  <c r="U37"/>
  <c r="K100"/>
  <c r="N100"/>
  <c r="O100"/>
  <c r="P100"/>
  <c r="R100"/>
  <c r="T100"/>
  <c r="H101"/>
  <c r="I101"/>
  <c r="T38"/>
  <c r="J101"/>
  <c r="V38"/>
  <c r="L101"/>
  <c r="W38"/>
  <c r="M101"/>
  <c r="U38"/>
  <c r="K101"/>
  <c r="N101"/>
  <c r="O101"/>
  <c r="P101"/>
  <c r="R101"/>
  <c r="T101"/>
  <c r="H39"/>
  <c r="H102"/>
  <c r="I39"/>
  <c r="I102"/>
  <c r="T39"/>
  <c r="J102"/>
  <c r="V39"/>
  <c r="L102"/>
  <c r="W39"/>
  <c r="M102"/>
  <c r="U39"/>
  <c r="K102"/>
  <c r="N102"/>
  <c r="O102"/>
  <c r="P102"/>
  <c r="R102"/>
  <c r="T102"/>
  <c r="H40"/>
  <c r="H103"/>
  <c r="I40"/>
  <c r="I103"/>
  <c r="T40"/>
  <c r="J103"/>
  <c r="V40"/>
  <c r="L103"/>
  <c r="W40"/>
  <c r="M103"/>
  <c r="U40"/>
  <c r="K103"/>
  <c r="N103"/>
  <c r="O103"/>
  <c r="P103"/>
  <c r="R103"/>
  <c r="T103"/>
  <c r="H41"/>
  <c r="H104"/>
  <c r="I41"/>
  <c r="I104"/>
  <c r="T41"/>
  <c r="J104"/>
  <c r="V41"/>
  <c r="L104"/>
  <c r="W41"/>
  <c r="M104"/>
  <c r="U41"/>
  <c r="K104"/>
  <c r="N104"/>
  <c r="O104"/>
  <c r="P104"/>
  <c r="R104"/>
  <c r="T104"/>
  <c r="H43"/>
  <c r="H105"/>
  <c r="I43"/>
  <c r="I105"/>
  <c r="T43"/>
  <c r="J105"/>
  <c r="V43"/>
  <c r="L105"/>
  <c r="W43"/>
  <c r="M105"/>
  <c r="U43"/>
  <c r="K105"/>
  <c r="N105"/>
  <c r="O105"/>
  <c r="P105"/>
  <c r="R105"/>
  <c r="T105"/>
  <c r="H44"/>
  <c r="H106"/>
  <c r="I44"/>
  <c r="I106"/>
  <c r="T44"/>
  <c r="J106"/>
  <c r="V44"/>
  <c r="L106"/>
  <c r="W44"/>
  <c r="M106"/>
  <c r="U44"/>
  <c r="K106"/>
  <c r="N106"/>
  <c r="O106"/>
  <c r="P106"/>
  <c r="R106"/>
  <c r="T106"/>
  <c r="H45"/>
  <c r="H107"/>
  <c r="I45"/>
  <c r="I107"/>
  <c r="T45"/>
  <c r="J107"/>
  <c r="V45"/>
  <c r="L107"/>
  <c r="W45"/>
  <c r="M107"/>
  <c r="U45"/>
  <c r="K107"/>
  <c r="N107"/>
  <c r="O107"/>
  <c r="P107"/>
  <c r="R107"/>
  <c r="T107"/>
  <c r="H108"/>
  <c r="I108"/>
  <c r="T46"/>
  <c r="J108"/>
  <c r="V46"/>
  <c r="L108"/>
  <c r="W46"/>
  <c r="M108"/>
  <c r="U46"/>
  <c r="K108"/>
  <c r="N108"/>
  <c r="O108"/>
  <c r="P108"/>
  <c r="R108"/>
  <c r="T108"/>
  <c r="H109"/>
  <c r="I109"/>
  <c r="T47"/>
  <c r="J109"/>
  <c r="V47"/>
  <c r="L109"/>
  <c r="W47"/>
  <c r="M109"/>
  <c r="U47"/>
  <c r="K109"/>
  <c r="N109"/>
  <c r="O109"/>
  <c r="P109"/>
  <c r="R109"/>
  <c r="T109"/>
  <c r="H110"/>
  <c r="I110"/>
  <c r="T48"/>
  <c r="J110"/>
  <c r="V48"/>
  <c r="L110"/>
  <c r="W48"/>
  <c r="M110"/>
  <c r="U48"/>
  <c r="K110"/>
  <c r="N110"/>
  <c r="O110"/>
  <c r="P110"/>
  <c r="R110"/>
  <c r="T110"/>
  <c r="H111"/>
  <c r="I111"/>
  <c r="T49"/>
  <c r="J111"/>
  <c r="V49"/>
  <c r="L111"/>
  <c r="W49"/>
  <c r="M111"/>
  <c r="U49"/>
  <c r="K111"/>
  <c r="N111"/>
  <c r="O111"/>
  <c r="P111"/>
  <c r="R111"/>
  <c r="T111"/>
  <c r="H50"/>
  <c r="H112"/>
  <c r="I50"/>
  <c r="I112"/>
  <c r="T50"/>
  <c r="J112"/>
  <c r="V50"/>
  <c r="L112"/>
  <c r="W50"/>
  <c r="M112"/>
  <c r="U50"/>
  <c r="K112"/>
  <c r="N112"/>
  <c r="O112"/>
  <c r="P112"/>
  <c r="R112"/>
  <c r="T112"/>
  <c r="H51"/>
  <c r="H113"/>
  <c r="I51"/>
  <c r="I113"/>
  <c r="T51"/>
  <c r="J113"/>
  <c r="V51"/>
  <c r="L113"/>
  <c r="W51"/>
  <c r="M113"/>
  <c r="U51"/>
  <c r="K113"/>
  <c r="N113"/>
  <c r="O113"/>
  <c r="P113"/>
  <c r="R113"/>
  <c r="T113"/>
  <c r="H114"/>
  <c r="I114"/>
  <c r="T52"/>
  <c r="J114"/>
  <c r="V52"/>
  <c r="L114"/>
  <c r="W52"/>
  <c r="M114"/>
  <c r="U52"/>
  <c r="K114"/>
  <c r="N114"/>
  <c r="O114"/>
  <c r="P114"/>
  <c r="R114"/>
  <c r="T114"/>
  <c r="H115"/>
  <c r="I115"/>
  <c r="T53"/>
  <c r="J115"/>
  <c r="V53"/>
  <c r="L115"/>
  <c r="W53"/>
  <c r="M115"/>
  <c r="U53"/>
  <c r="K115"/>
  <c r="N115"/>
  <c r="O115"/>
  <c r="P115"/>
  <c r="R115"/>
  <c r="T115"/>
  <c r="H54"/>
  <c r="H116"/>
  <c r="I54"/>
  <c r="I116"/>
  <c r="T54"/>
  <c r="J116"/>
  <c r="V54"/>
  <c r="L116"/>
  <c r="W54"/>
  <c r="M116"/>
  <c r="U54"/>
  <c r="K116"/>
  <c r="N116"/>
  <c r="O116"/>
  <c r="P116"/>
  <c r="R116"/>
  <c r="T116"/>
  <c r="H55"/>
  <c r="H117"/>
  <c r="I55"/>
  <c r="I117"/>
  <c r="T55"/>
  <c r="J117"/>
  <c r="V55"/>
  <c r="L117"/>
  <c r="W55"/>
  <c r="M117"/>
  <c r="U55"/>
  <c r="K117"/>
  <c r="N117"/>
  <c r="O117"/>
  <c r="P117"/>
  <c r="R117"/>
  <c r="T117"/>
  <c r="T119"/>
  <c r="S89"/>
  <c r="S90"/>
  <c r="S91"/>
  <c r="S92"/>
  <c r="S93"/>
  <c r="S94"/>
  <c r="S95"/>
  <c r="S96"/>
  <c r="S97"/>
  <c r="S98"/>
  <c r="S99"/>
  <c r="S100"/>
  <c r="S101"/>
  <c r="S102"/>
  <c r="S103"/>
  <c r="S104"/>
  <c r="S105"/>
  <c r="S106"/>
  <c r="S107"/>
  <c r="S108"/>
  <c r="S109"/>
  <c r="S110"/>
  <c r="S111"/>
  <c r="S112"/>
  <c r="S113"/>
  <c r="S114"/>
  <c r="S115"/>
  <c r="S116"/>
  <c r="S117"/>
  <c r="S119"/>
  <c r="R119"/>
  <c r="P122"/>
  <c r="O119"/>
  <c r="I127"/>
  <c r="I128"/>
  <c r="U89"/>
  <c r="U90"/>
  <c r="U91"/>
  <c r="U92"/>
  <c r="U93"/>
  <c r="U94"/>
  <c r="U95"/>
  <c r="U96"/>
  <c r="U97"/>
  <c r="U98"/>
  <c r="U99"/>
  <c r="U100"/>
  <c r="U101"/>
  <c r="U102"/>
  <c r="U103"/>
  <c r="U104"/>
  <c r="U105"/>
  <c r="U106"/>
  <c r="U107"/>
  <c r="U108"/>
  <c r="U109"/>
  <c r="U110"/>
  <c r="U111"/>
  <c r="U112"/>
  <c r="U113"/>
  <c r="U114"/>
  <c r="U115"/>
  <c r="U116"/>
  <c r="U117"/>
  <c r="U119"/>
  <c r="I129"/>
  <c r="I130"/>
  <c r="I131"/>
  <c r="V89"/>
  <c r="W89"/>
  <c r="V90"/>
  <c r="W90"/>
  <c r="V91"/>
  <c r="W91"/>
  <c r="V92"/>
  <c r="W92"/>
  <c r="V93"/>
  <c r="W93"/>
  <c r="V94"/>
  <c r="W94"/>
  <c r="V95"/>
  <c r="W95"/>
  <c r="V96"/>
  <c r="W96"/>
  <c r="V97"/>
  <c r="W97"/>
  <c r="V98"/>
  <c r="W98"/>
  <c r="V99"/>
  <c r="W99"/>
  <c r="V100"/>
  <c r="W100"/>
  <c r="V101"/>
  <c r="W101"/>
  <c r="V102"/>
  <c r="W102"/>
  <c r="V103"/>
  <c r="W103"/>
  <c r="V104"/>
  <c r="W104"/>
  <c r="V105"/>
  <c r="W105"/>
  <c r="V106"/>
  <c r="W106"/>
  <c r="V107"/>
  <c r="W107"/>
  <c r="V108"/>
  <c r="W108"/>
  <c r="V109"/>
  <c r="W109"/>
  <c r="V110"/>
  <c r="W110"/>
  <c r="V111"/>
  <c r="W111"/>
  <c r="V112"/>
  <c r="W112"/>
  <c r="V113"/>
  <c r="W113"/>
  <c r="V114"/>
  <c r="W114"/>
  <c r="V115"/>
  <c r="W115"/>
  <c r="V116"/>
  <c r="W116"/>
  <c r="V117"/>
  <c r="W117"/>
  <c r="W119"/>
  <c r="V119"/>
  <c r="I133"/>
  <c r="I134"/>
  <c r="M135"/>
  <c r="M136"/>
  <c r="I135"/>
  <c r="AJ89"/>
  <c r="AK89"/>
  <c r="AJ90"/>
  <c r="AK90"/>
  <c r="AJ91"/>
  <c r="AK91"/>
  <c r="AJ92"/>
  <c r="AK92"/>
  <c r="AJ93"/>
  <c r="AK93"/>
  <c r="AJ94"/>
  <c r="AK94"/>
  <c r="AJ95"/>
  <c r="AK95"/>
  <c r="AJ96"/>
  <c r="AK96"/>
  <c r="AJ97"/>
  <c r="AK97"/>
  <c r="AJ98"/>
  <c r="AK98"/>
  <c r="AJ99"/>
  <c r="AK99"/>
  <c r="AJ100"/>
  <c r="AK100"/>
  <c r="AJ101"/>
  <c r="AK101"/>
  <c r="AJ102"/>
  <c r="AK102"/>
  <c r="AJ103"/>
  <c r="AK103"/>
  <c r="AJ104"/>
  <c r="AK104"/>
  <c r="AJ105"/>
  <c r="AK105"/>
  <c r="AJ106"/>
  <c r="AK106"/>
  <c r="AJ107"/>
  <c r="AK107"/>
  <c r="AJ108"/>
  <c r="AK108"/>
  <c r="AJ109"/>
  <c r="AK109"/>
  <c r="AJ110"/>
  <c r="AK110"/>
  <c r="AJ111"/>
  <c r="AK111"/>
  <c r="AJ112"/>
  <c r="AK112"/>
  <c r="AJ113"/>
  <c r="AK113"/>
  <c r="AJ114"/>
  <c r="AK114"/>
  <c r="AJ115"/>
  <c r="AK115"/>
  <c r="AJ116"/>
  <c r="AK116"/>
  <c r="AJ117"/>
  <c r="AK117"/>
  <c r="AL89"/>
  <c r="AL90"/>
  <c r="AL91"/>
  <c r="AL92"/>
  <c r="AL93"/>
  <c r="AL94"/>
  <c r="AL95"/>
  <c r="AL96"/>
  <c r="AL97"/>
  <c r="AL98"/>
  <c r="AL99"/>
  <c r="AL100"/>
  <c r="AL101"/>
  <c r="AL102"/>
  <c r="AL103"/>
  <c r="AL104"/>
  <c r="AL105"/>
  <c r="AL106"/>
  <c r="AL107"/>
  <c r="AL108"/>
  <c r="AL109"/>
  <c r="AL110"/>
  <c r="AL111"/>
  <c r="AL112"/>
  <c r="AL113"/>
  <c r="AL114"/>
  <c r="AL115"/>
  <c r="AL116"/>
  <c r="AL117"/>
  <c r="Q128"/>
  <c r="Q129"/>
  <c r="Q130"/>
  <c r="Q131"/>
  <c r="AH130"/>
  <c r="AH129"/>
  <c r="AH128"/>
  <c r="I123"/>
  <c r="I124"/>
  <c r="AH126"/>
  <c r="AH125"/>
  <c r="I122"/>
  <c r="M124"/>
  <c r="M125"/>
  <c r="AH124"/>
  <c r="P124"/>
  <c r="P123"/>
  <c r="AX117"/>
  <c r="AW117"/>
  <c r="AV117"/>
  <c r="AU117"/>
  <c r="AT117"/>
  <c r="AS117"/>
  <c r="AR117"/>
  <c r="AQ117"/>
  <c r="E55"/>
  <c r="E117"/>
  <c r="AN117"/>
  <c r="F55"/>
  <c r="F117"/>
  <c r="AO117"/>
  <c r="AP117"/>
  <c r="Q117"/>
  <c r="AH117"/>
  <c r="AG117"/>
  <c r="AF117"/>
  <c r="AX116"/>
  <c r="AW116"/>
  <c r="AV116"/>
  <c r="AU116"/>
  <c r="AT116"/>
  <c r="AS116"/>
  <c r="AR116"/>
  <c r="AQ116"/>
  <c r="E54"/>
  <c r="E116"/>
  <c r="AN116"/>
  <c r="F54"/>
  <c r="F116"/>
  <c r="AO116"/>
  <c r="AP116"/>
  <c r="Q116"/>
  <c r="AH116"/>
  <c r="AG116"/>
  <c r="AF116"/>
  <c r="AX115"/>
  <c r="AW115"/>
  <c r="AV115"/>
  <c r="AU115"/>
  <c r="AT115"/>
  <c r="AS115"/>
  <c r="AR115"/>
  <c r="AQ115"/>
  <c r="E53"/>
  <c r="E115"/>
  <c r="AN115"/>
  <c r="F53"/>
  <c r="F115"/>
  <c r="AO115"/>
  <c r="AP115"/>
  <c r="Q115"/>
  <c r="AH115"/>
  <c r="AG115"/>
  <c r="AF115"/>
  <c r="AX114"/>
  <c r="AW114"/>
  <c r="AV114"/>
  <c r="AU114"/>
  <c r="AT114"/>
  <c r="AS114"/>
  <c r="AR114"/>
  <c r="AQ114"/>
  <c r="E52"/>
  <c r="E114"/>
  <c r="AN114"/>
  <c r="F52"/>
  <c r="F114"/>
  <c r="AO114"/>
  <c r="AP114"/>
  <c r="Q114"/>
  <c r="AH114"/>
  <c r="AG114"/>
  <c r="AF114"/>
  <c r="AX113"/>
  <c r="AW113"/>
  <c r="AV113"/>
  <c r="AU113"/>
  <c r="AT113"/>
  <c r="AS113"/>
  <c r="AR113"/>
  <c r="AQ113"/>
  <c r="E51"/>
  <c r="E113"/>
  <c r="AN113"/>
  <c r="F51"/>
  <c r="F113"/>
  <c r="AO113"/>
  <c r="AP113"/>
  <c r="Q113"/>
  <c r="AH113"/>
  <c r="AG113"/>
  <c r="AF113"/>
  <c r="AX112"/>
  <c r="AW112"/>
  <c r="AV112"/>
  <c r="AU112"/>
  <c r="AT112"/>
  <c r="AS112"/>
  <c r="AR112"/>
  <c r="AQ112"/>
  <c r="E50"/>
  <c r="E112"/>
  <c r="AN112"/>
  <c r="F50"/>
  <c r="F112"/>
  <c r="AO112"/>
  <c r="AP112"/>
  <c r="Q112"/>
  <c r="AH112"/>
  <c r="AG112"/>
  <c r="AF112"/>
  <c r="AX111"/>
  <c r="AW111"/>
  <c r="AV111"/>
  <c r="AU111"/>
  <c r="AT111"/>
  <c r="AS111"/>
  <c r="AR111"/>
  <c r="AQ111"/>
  <c r="E49"/>
  <c r="E111"/>
  <c r="AN111"/>
  <c r="F49"/>
  <c r="F111"/>
  <c r="AO111"/>
  <c r="AP111"/>
  <c r="Q111"/>
  <c r="AH111"/>
  <c r="AG111"/>
  <c r="AF111"/>
  <c r="AX110"/>
  <c r="AW110"/>
  <c r="AV110"/>
  <c r="AU110"/>
  <c r="AT110"/>
  <c r="AS110"/>
  <c r="AR110"/>
  <c r="AQ110"/>
  <c r="E48"/>
  <c r="E110"/>
  <c r="AN110"/>
  <c r="F48"/>
  <c r="F110"/>
  <c r="AO110"/>
  <c r="AP110"/>
  <c r="Q110"/>
  <c r="AH110"/>
  <c r="AG110"/>
  <c r="AF110"/>
  <c r="AX109"/>
  <c r="AW109"/>
  <c r="AV109"/>
  <c r="AU109"/>
  <c r="AT109"/>
  <c r="AS109"/>
  <c r="AR109"/>
  <c r="AQ109"/>
  <c r="E47"/>
  <c r="E109"/>
  <c r="AN109"/>
  <c r="F47"/>
  <c r="F109"/>
  <c r="AO109"/>
  <c r="AP109"/>
  <c r="Q109"/>
  <c r="AH109"/>
  <c r="AG109"/>
  <c r="AF109"/>
  <c r="AX108"/>
  <c r="AW108"/>
  <c r="AV108"/>
  <c r="AU108"/>
  <c r="AT108"/>
  <c r="AS108"/>
  <c r="AR108"/>
  <c r="AQ108"/>
  <c r="E46"/>
  <c r="E108"/>
  <c r="AN108"/>
  <c r="F46"/>
  <c r="F108"/>
  <c r="AO108"/>
  <c r="AP108"/>
  <c r="Q108"/>
  <c r="AH108"/>
  <c r="AG108"/>
  <c r="AF108"/>
  <c r="AX107"/>
  <c r="AW107"/>
  <c r="AV107"/>
  <c r="AU107"/>
  <c r="AT107"/>
  <c r="AS107"/>
  <c r="AR107"/>
  <c r="AQ107"/>
  <c r="E45"/>
  <c r="E107"/>
  <c r="AN107"/>
  <c r="F45"/>
  <c r="F107"/>
  <c r="AO107"/>
  <c r="AP107"/>
  <c r="Q107"/>
  <c r="AH107"/>
  <c r="AG107"/>
  <c r="AF107"/>
  <c r="AX106"/>
  <c r="AW106"/>
  <c r="AV106"/>
  <c r="AU106"/>
  <c r="AT106"/>
  <c r="AS106"/>
  <c r="AR106"/>
  <c r="AQ106"/>
  <c r="E44"/>
  <c r="E106"/>
  <c r="AN106"/>
  <c r="F44"/>
  <c r="F106"/>
  <c r="AO106"/>
  <c r="AP106"/>
  <c r="Q106"/>
  <c r="AH106"/>
  <c r="AG106"/>
  <c r="AF106"/>
  <c r="AX105"/>
  <c r="AW105"/>
  <c r="AV105"/>
  <c r="AU105"/>
  <c r="AT105"/>
  <c r="AS105"/>
  <c r="AR105"/>
  <c r="AQ105"/>
  <c r="E43"/>
  <c r="E105"/>
  <c r="AN105"/>
  <c r="F43"/>
  <c r="F105"/>
  <c r="AO105"/>
  <c r="AP105"/>
  <c r="Q105"/>
  <c r="AH105"/>
  <c r="AG105"/>
  <c r="AF105"/>
  <c r="AX104"/>
  <c r="AW104"/>
  <c r="AV104"/>
  <c r="AU104"/>
  <c r="AT104"/>
  <c r="AS104"/>
  <c r="AR104"/>
  <c r="AQ104"/>
  <c r="E41"/>
  <c r="E104"/>
  <c r="AN104"/>
  <c r="F41"/>
  <c r="F104"/>
  <c r="AO104"/>
  <c r="AP104"/>
  <c r="Q104"/>
  <c r="AH104"/>
  <c r="AG104"/>
  <c r="AF104"/>
  <c r="AX103"/>
  <c r="AW103"/>
  <c r="AV103"/>
  <c r="AU103"/>
  <c r="AT103"/>
  <c r="AS103"/>
  <c r="AR103"/>
  <c r="AQ103"/>
  <c r="E40"/>
  <c r="E103"/>
  <c r="AN103"/>
  <c r="F40"/>
  <c r="F103"/>
  <c r="AO103"/>
  <c r="AP103"/>
  <c r="Q103"/>
  <c r="AH103"/>
  <c r="AG103"/>
  <c r="AF103"/>
  <c r="AX102"/>
  <c r="AW102"/>
  <c r="AV102"/>
  <c r="AU102"/>
  <c r="AT102"/>
  <c r="AS102"/>
  <c r="AR102"/>
  <c r="AQ102"/>
  <c r="E39"/>
  <c r="E102"/>
  <c r="AN102"/>
  <c r="F39"/>
  <c r="F102"/>
  <c r="AO102"/>
  <c r="AP102"/>
  <c r="Q102"/>
  <c r="AH102"/>
  <c r="AG102"/>
  <c r="AF102"/>
  <c r="AX101"/>
  <c r="AW101"/>
  <c r="AV101"/>
  <c r="AU101"/>
  <c r="AT101"/>
  <c r="AS101"/>
  <c r="AR101"/>
  <c r="AQ101"/>
  <c r="E38"/>
  <c r="E101"/>
  <c r="AN101"/>
  <c r="F38"/>
  <c r="F101"/>
  <c r="AO101"/>
  <c r="AP101"/>
  <c r="Q101"/>
  <c r="AH101"/>
  <c r="AG101"/>
  <c r="AF101"/>
  <c r="AX100"/>
  <c r="AW100"/>
  <c r="AV100"/>
  <c r="AU100"/>
  <c r="AT100"/>
  <c r="AS100"/>
  <c r="AR100"/>
  <c r="AQ100"/>
  <c r="E37"/>
  <c r="E100"/>
  <c r="AN100"/>
  <c r="F37"/>
  <c r="F100"/>
  <c r="AO100"/>
  <c r="AP100"/>
  <c r="Q100"/>
  <c r="AH100"/>
  <c r="AG100"/>
  <c r="AF100"/>
  <c r="AX99"/>
  <c r="AW99"/>
  <c r="AV99"/>
  <c r="AU99"/>
  <c r="AT99"/>
  <c r="AS99"/>
  <c r="AR99"/>
  <c r="AQ99"/>
  <c r="E36"/>
  <c r="E99"/>
  <c r="AN99"/>
  <c r="F36"/>
  <c r="F99"/>
  <c r="AO99"/>
  <c r="AP99"/>
  <c r="Q99"/>
  <c r="AH99"/>
  <c r="AG99"/>
  <c r="AF99"/>
  <c r="AX98"/>
  <c r="AW98"/>
  <c r="AV98"/>
  <c r="AU98"/>
  <c r="AT98"/>
  <c r="AS98"/>
  <c r="AR98"/>
  <c r="AQ98"/>
  <c r="E35"/>
  <c r="E98"/>
  <c r="AN98"/>
  <c r="F35"/>
  <c r="F98"/>
  <c r="AO98"/>
  <c r="AP98"/>
  <c r="Q98"/>
  <c r="AH98"/>
  <c r="AG98"/>
  <c r="AF98"/>
  <c r="AX97"/>
  <c r="AW97"/>
  <c r="AV97"/>
  <c r="AU97"/>
  <c r="AT97"/>
  <c r="AS97"/>
  <c r="AR97"/>
  <c r="AQ97"/>
  <c r="E34"/>
  <c r="E97"/>
  <c r="AN97"/>
  <c r="F34"/>
  <c r="F97"/>
  <c r="AO97"/>
  <c r="AP97"/>
  <c r="Q97"/>
  <c r="AH97"/>
  <c r="AG97"/>
  <c r="AF97"/>
  <c r="AX96"/>
  <c r="AW96"/>
  <c r="AV96"/>
  <c r="AU96"/>
  <c r="AT96"/>
  <c r="AS96"/>
  <c r="AR96"/>
  <c r="AQ96"/>
  <c r="E31"/>
  <c r="E96"/>
  <c r="AN96"/>
  <c r="F31"/>
  <c r="F96"/>
  <c r="AO96"/>
  <c r="AP96"/>
  <c r="Q96"/>
  <c r="AH96"/>
  <c r="AG96"/>
  <c r="AF96"/>
  <c r="AX95"/>
  <c r="AW95"/>
  <c r="AV95"/>
  <c r="AU95"/>
  <c r="AT95"/>
  <c r="AS95"/>
  <c r="AR95"/>
  <c r="AQ95"/>
  <c r="E30"/>
  <c r="E95"/>
  <c r="AN95"/>
  <c r="F30"/>
  <c r="F95"/>
  <c r="AO95"/>
  <c r="AP95"/>
  <c r="Q95"/>
  <c r="AH95"/>
  <c r="AG95"/>
  <c r="AF95"/>
  <c r="AX94"/>
  <c r="AW94"/>
  <c r="AV94"/>
  <c r="AU94"/>
  <c r="AT94"/>
  <c r="AS94"/>
  <c r="AR94"/>
  <c r="AQ94"/>
  <c r="E29"/>
  <c r="E94"/>
  <c r="AN94"/>
  <c r="F29"/>
  <c r="F94"/>
  <c r="AO94"/>
  <c r="AP94"/>
  <c r="Q94"/>
  <c r="AH94"/>
  <c r="AG94"/>
  <c r="AF94"/>
  <c r="AX93"/>
  <c r="AW93"/>
  <c r="AV93"/>
  <c r="AU93"/>
  <c r="AT93"/>
  <c r="AS93"/>
  <c r="AR93"/>
  <c r="AQ93"/>
  <c r="E28"/>
  <c r="E93"/>
  <c r="AN93"/>
  <c r="F28"/>
  <c r="F93"/>
  <c r="AO93"/>
  <c r="AP93"/>
  <c r="Q93"/>
  <c r="AH93"/>
  <c r="AG93"/>
  <c r="AF93"/>
  <c r="AX92"/>
  <c r="AW92"/>
  <c r="AV92"/>
  <c r="AU92"/>
  <c r="AT92"/>
  <c r="AS92"/>
  <c r="AR92"/>
  <c r="AQ92"/>
  <c r="E27"/>
  <c r="E92"/>
  <c r="AN92"/>
  <c r="F27"/>
  <c r="F92"/>
  <c r="AO92"/>
  <c r="AP92"/>
  <c r="Q92"/>
  <c r="AH92"/>
  <c r="AG92"/>
  <c r="AF92"/>
  <c r="AX91"/>
  <c r="AW91"/>
  <c r="AV91"/>
  <c r="AU91"/>
  <c r="AT91"/>
  <c r="AS91"/>
  <c r="AR91"/>
  <c r="AQ91"/>
  <c r="E26"/>
  <c r="E91"/>
  <c r="AN91"/>
  <c r="F26"/>
  <c r="F91"/>
  <c r="AO91"/>
  <c r="AP91"/>
  <c r="Q91"/>
  <c r="AH91"/>
  <c r="AG91"/>
  <c r="AF91"/>
  <c r="F6"/>
  <c r="AY90"/>
  <c r="AX90"/>
  <c r="AW90"/>
  <c r="AV90"/>
  <c r="AU90"/>
  <c r="AT90"/>
  <c r="AS90"/>
  <c r="AR90"/>
  <c r="AQ90"/>
  <c r="E25"/>
  <c r="E90"/>
  <c r="AN90"/>
  <c r="F25"/>
  <c r="F90"/>
  <c r="AO90"/>
  <c r="AP90"/>
  <c r="Q90"/>
  <c r="AH90"/>
  <c r="AG90"/>
  <c r="AF90"/>
  <c r="F3"/>
  <c r="AY89"/>
  <c r="AX89"/>
  <c r="AW89"/>
  <c r="AV89"/>
  <c r="AU89"/>
  <c r="AT89"/>
  <c r="AS89"/>
  <c r="AR89"/>
  <c r="AQ89"/>
  <c r="E24"/>
  <c r="E89"/>
  <c r="AN89"/>
  <c r="F24"/>
  <c r="F89"/>
  <c r="AO89"/>
  <c r="AP89"/>
  <c r="Q89"/>
  <c r="AH89"/>
  <c r="AG89"/>
  <c r="AF89"/>
  <c r="I87"/>
  <c r="AO85"/>
  <c r="AN85"/>
  <c r="AM85"/>
  <c r="AL85"/>
  <c r="AK85"/>
  <c r="AJ85"/>
  <c r="AI85"/>
  <c r="AH85"/>
  <c r="AG85"/>
  <c r="AF85"/>
  <c r="AE85"/>
  <c r="AD85"/>
  <c r="AA85"/>
  <c r="Z85"/>
  <c r="Y85"/>
  <c r="I85"/>
  <c r="H85"/>
  <c r="G85"/>
  <c r="F85"/>
  <c r="E85"/>
  <c r="D85"/>
  <c r="C85"/>
  <c r="AO83"/>
  <c r="AN83"/>
  <c r="AM83"/>
  <c r="AL83"/>
  <c r="AK83"/>
  <c r="AJ83"/>
  <c r="AG83"/>
  <c r="AF83"/>
  <c r="AE83"/>
  <c r="AD83"/>
  <c r="AC83"/>
  <c r="AB83"/>
  <c r="AA83"/>
  <c r="Z83"/>
  <c r="Y83"/>
  <c r="I83"/>
  <c r="G83"/>
  <c r="F83"/>
  <c r="E83"/>
  <c r="D83"/>
  <c r="C83"/>
  <c r="AO82"/>
  <c r="AN82"/>
  <c r="AM82"/>
  <c r="AL82"/>
  <c r="AK82"/>
  <c r="AJ82"/>
  <c r="AG82"/>
  <c r="AF82"/>
  <c r="AE82"/>
  <c r="AD82"/>
  <c r="AC82"/>
  <c r="AB82"/>
  <c r="AA82"/>
  <c r="Z82"/>
  <c r="Y82"/>
  <c r="I82"/>
  <c r="H82"/>
  <c r="G82"/>
  <c r="F82"/>
  <c r="E82"/>
  <c r="D82"/>
  <c r="C82"/>
  <c r="AO81"/>
  <c r="AN81"/>
  <c r="AM81"/>
  <c r="AL81"/>
  <c r="AK81"/>
  <c r="AJ81"/>
  <c r="AI81"/>
  <c r="AH81"/>
  <c r="AG81"/>
  <c r="AF81"/>
  <c r="AE81"/>
  <c r="AD81"/>
  <c r="AC81"/>
  <c r="AB81"/>
  <c r="AA81"/>
  <c r="Z81"/>
  <c r="Y81"/>
  <c r="I81"/>
  <c r="H81"/>
  <c r="G81"/>
  <c r="F81"/>
  <c r="E81"/>
  <c r="D81"/>
  <c r="C81"/>
  <c r="AO80"/>
  <c r="AN80"/>
  <c r="AM80"/>
  <c r="AL80"/>
  <c r="AK80"/>
  <c r="AJ80"/>
  <c r="AI80"/>
  <c r="AH80"/>
  <c r="AG80"/>
  <c r="AF80"/>
  <c r="AE80"/>
  <c r="AD80"/>
  <c r="AC80"/>
  <c r="AB80"/>
  <c r="AA80"/>
  <c r="Z80"/>
  <c r="Y80"/>
  <c r="I80"/>
  <c r="H80"/>
  <c r="G80"/>
  <c r="F80"/>
  <c r="E80"/>
  <c r="D80"/>
  <c r="C80"/>
  <c r="AO79"/>
  <c r="AN79"/>
  <c r="AM79"/>
  <c r="AJ79"/>
  <c r="AE79"/>
  <c r="AD79"/>
  <c r="Z79"/>
  <c r="Y79"/>
  <c r="G79"/>
  <c r="F79"/>
  <c r="E79"/>
  <c r="D79"/>
  <c r="C79"/>
  <c r="AO78"/>
  <c r="AN78"/>
  <c r="AM78"/>
  <c r="AJ78"/>
  <c r="AE78"/>
  <c r="AD78"/>
  <c r="Z78"/>
  <c r="Y78"/>
  <c r="G78"/>
  <c r="F78"/>
  <c r="E78"/>
  <c r="D78"/>
  <c r="C78"/>
  <c r="AO77"/>
  <c r="AN77"/>
  <c r="AM77"/>
  <c r="AL77"/>
  <c r="AK77"/>
  <c r="AJ77"/>
  <c r="AG77"/>
  <c r="AF77"/>
  <c r="AE77"/>
  <c r="AD77"/>
  <c r="AC77"/>
  <c r="AB77"/>
  <c r="AA77"/>
  <c r="Z77"/>
  <c r="Y77"/>
  <c r="I77"/>
  <c r="H77"/>
  <c r="G77"/>
  <c r="F77"/>
  <c r="E77"/>
  <c r="D77"/>
  <c r="C77"/>
  <c r="AO76"/>
  <c r="AN76"/>
  <c r="AM76"/>
  <c r="AJ76"/>
  <c r="AE76"/>
  <c r="AD76"/>
  <c r="AA76"/>
  <c r="Z76"/>
  <c r="Y76"/>
  <c r="G76"/>
  <c r="F76"/>
  <c r="E76"/>
  <c r="D76"/>
  <c r="C76"/>
  <c r="AO75"/>
  <c r="AN75"/>
  <c r="AM75"/>
  <c r="AJ75"/>
  <c r="AE75"/>
  <c r="AD75"/>
  <c r="AA75"/>
  <c r="Z75"/>
  <c r="Y75"/>
  <c r="G75"/>
  <c r="F75"/>
  <c r="E75"/>
  <c r="D75"/>
  <c r="C75"/>
  <c r="AO74"/>
  <c r="AN74"/>
  <c r="AM74"/>
  <c r="AL74"/>
  <c r="AK74"/>
  <c r="AJ74"/>
  <c r="AG74"/>
  <c r="AF74"/>
  <c r="AE74"/>
  <c r="AD74"/>
  <c r="AC74"/>
  <c r="AB74"/>
  <c r="AA74"/>
  <c r="Z74"/>
  <c r="Y74"/>
  <c r="I74"/>
  <c r="H74"/>
  <c r="G74"/>
  <c r="F74"/>
  <c r="E74"/>
  <c r="D74"/>
  <c r="C74"/>
  <c r="AO73"/>
  <c r="AN73"/>
  <c r="AM73"/>
  <c r="AL73"/>
  <c r="AK73"/>
  <c r="AJ73"/>
  <c r="AI73"/>
  <c r="AH73"/>
  <c r="AG73"/>
  <c r="AF73"/>
  <c r="AE73"/>
  <c r="AD73"/>
  <c r="AC73"/>
  <c r="AB73"/>
  <c r="AA73"/>
  <c r="Z73"/>
  <c r="Y73"/>
  <c r="I73"/>
  <c r="H73"/>
  <c r="G73"/>
  <c r="F73"/>
  <c r="E73"/>
  <c r="D73"/>
  <c r="C73"/>
  <c r="AO72"/>
  <c r="AN72"/>
  <c r="AM72"/>
  <c r="AL72"/>
  <c r="AK72"/>
  <c r="AJ72"/>
  <c r="AG72"/>
  <c r="AF72"/>
  <c r="AE72"/>
  <c r="AD72"/>
  <c r="AC72"/>
  <c r="AB72"/>
  <c r="AA72"/>
  <c r="Z72"/>
  <c r="Y72"/>
  <c r="I72"/>
  <c r="H72"/>
  <c r="G72"/>
  <c r="F72"/>
  <c r="E72"/>
  <c r="D72"/>
  <c r="C72"/>
  <c r="AO71"/>
  <c r="AN71"/>
  <c r="AM71"/>
  <c r="AL71"/>
  <c r="AK71"/>
  <c r="AJ71"/>
  <c r="AG71"/>
  <c r="AF71"/>
  <c r="AE71"/>
  <c r="AD71"/>
  <c r="AC71"/>
  <c r="AB71"/>
  <c r="AA71"/>
  <c r="Z71"/>
  <c r="Y71"/>
  <c r="I71"/>
  <c r="H71"/>
  <c r="G71"/>
  <c r="F71"/>
  <c r="E71"/>
  <c r="D71"/>
  <c r="C71"/>
  <c r="AO70"/>
  <c r="AN70"/>
  <c r="AM70"/>
  <c r="AL70"/>
  <c r="AK70"/>
  <c r="AJ70"/>
  <c r="AG70"/>
  <c r="AF70"/>
  <c r="AE70"/>
  <c r="AD70"/>
  <c r="AC70"/>
  <c r="AB70"/>
  <c r="AA70"/>
  <c r="Z70"/>
  <c r="Y70"/>
  <c r="I70"/>
  <c r="H70"/>
  <c r="G70"/>
  <c r="F70"/>
  <c r="E70"/>
  <c r="D70"/>
  <c r="C70"/>
  <c r="AO69"/>
  <c r="AN69"/>
  <c r="AM69"/>
  <c r="AL69"/>
  <c r="AK69"/>
  <c r="AJ69"/>
  <c r="AG69"/>
  <c r="AF69"/>
  <c r="AE69"/>
  <c r="AD69"/>
  <c r="AA69"/>
  <c r="Z69"/>
  <c r="Y69"/>
  <c r="I69"/>
  <c r="H69"/>
  <c r="G69"/>
  <c r="F69"/>
  <c r="E69"/>
  <c r="D69"/>
  <c r="C69"/>
  <c r="AO68"/>
  <c r="AN68"/>
  <c r="AM68"/>
  <c r="AL68"/>
  <c r="AK68"/>
  <c r="AJ68"/>
  <c r="AG68"/>
  <c r="AF68"/>
  <c r="AE68"/>
  <c r="AD68"/>
  <c r="AC68"/>
  <c r="AB68"/>
  <c r="AA68"/>
  <c r="Z68"/>
  <c r="Y68"/>
  <c r="I68"/>
  <c r="H68"/>
  <c r="G68"/>
  <c r="F68"/>
  <c r="E68"/>
  <c r="D68"/>
  <c r="C68"/>
  <c r="AO66"/>
  <c r="AN66"/>
  <c r="AM66"/>
  <c r="AL66"/>
  <c r="AK66"/>
  <c r="AJ66"/>
  <c r="AI66"/>
  <c r="AH66"/>
  <c r="AG66"/>
  <c r="AF66"/>
  <c r="AE66"/>
  <c r="AD66"/>
  <c r="AC66"/>
  <c r="AB66"/>
  <c r="AA66"/>
  <c r="Z66"/>
  <c r="Y66"/>
  <c r="I66"/>
  <c r="H66"/>
  <c r="G66"/>
  <c r="F66"/>
  <c r="E66"/>
  <c r="D66"/>
  <c r="C66"/>
  <c r="AO65"/>
  <c r="AN65"/>
  <c r="AM65"/>
  <c r="AL65"/>
  <c r="AK65"/>
  <c r="AJ65"/>
  <c r="AI65"/>
  <c r="AH65"/>
  <c r="AG65"/>
  <c r="AF65"/>
  <c r="AE65"/>
  <c r="AD65"/>
  <c r="AC65"/>
  <c r="AB65"/>
  <c r="AA65"/>
  <c r="Z65"/>
  <c r="Y65"/>
  <c r="I65"/>
  <c r="H65"/>
  <c r="G65"/>
  <c r="F65"/>
  <c r="E65"/>
  <c r="D65"/>
  <c r="C65"/>
  <c r="AO64"/>
  <c r="AN64"/>
  <c r="AM64"/>
  <c r="AL64"/>
  <c r="AK64"/>
  <c r="AJ64"/>
  <c r="AI64"/>
  <c r="AH64"/>
  <c r="AG64"/>
  <c r="AF64"/>
  <c r="AE64"/>
  <c r="AD64"/>
  <c r="AC64"/>
  <c r="AB64"/>
  <c r="AA64"/>
  <c r="Z64"/>
  <c r="Y64"/>
  <c r="G64"/>
  <c r="F64"/>
  <c r="E64"/>
  <c r="D64"/>
  <c r="C64"/>
  <c r="AO63"/>
  <c r="AN63"/>
  <c r="AM63"/>
  <c r="AL63"/>
  <c r="AK63"/>
  <c r="AJ63"/>
  <c r="AI63"/>
  <c r="AH63"/>
  <c r="AG63"/>
  <c r="AF63"/>
  <c r="AE63"/>
  <c r="AD63"/>
  <c r="AC63"/>
  <c r="AB63"/>
  <c r="AA63"/>
  <c r="Z63"/>
  <c r="Y63"/>
  <c r="G63"/>
  <c r="F63"/>
  <c r="E63"/>
  <c r="D63"/>
  <c r="C63"/>
  <c r="AO62"/>
  <c r="AN62"/>
  <c r="AM62"/>
  <c r="AL62"/>
  <c r="AK62"/>
  <c r="AJ62"/>
  <c r="AI62"/>
  <c r="AH62"/>
  <c r="AG62"/>
  <c r="AF62"/>
  <c r="AE62"/>
  <c r="AD62"/>
  <c r="AC62"/>
  <c r="AB62"/>
  <c r="AA62"/>
  <c r="Z62"/>
  <c r="Y62"/>
  <c r="I62"/>
  <c r="H62"/>
  <c r="G62"/>
  <c r="F62"/>
  <c r="E62"/>
  <c r="D62"/>
  <c r="C62"/>
  <c r="AO61"/>
  <c r="AN61"/>
  <c r="AM61"/>
  <c r="AL61"/>
  <c r="AK61"/>
  <c r="AJ61"/>
  <c r="AI61"/>
  <c r="AH61"/>
  <c r="AG61"/>
  <c r="AF61"/>
  <c r="AE61"/>
  <c r="AD61"/>
  <c r="AC61"/>
  <c r="AB61"/>
  <c r="AA61"/>
  <c r="Z61"/>
  <c r="Y61"/>
  <c r="I61"/>
  <c r="H61"/>
  <c r="G61"/>
  <c r="F61"/>
  <c r="E61"/>
  <c r="D61"/>
  <c r="C61"/>
  <c r="AO60"/>
  <c r="AN60"/>
  <c r="AM60"/>
  <c r="AL60"/>
  <c r="AK60"/>
  <c r="AJ60"/>
  <c r="AI60"/>
  <c r="AH60"/>
  <c r="AG60"/>
  <c r="AF60"/>
  <c r="AE60"/>
  <c r="AD60"/>
  <c r="AA60"/>
  <c r="Z60"/>
  <c r="Y60"/>
  <c r="I60"/>
  <c r="H60"/>
  <c r="G60"/>
  <c r="F60"/>
  <c r="E60"/>
  <c r="D60"/>
  <c r="C60"/>
  <c r="AO59"/>
  <c r="AN59"/>
  <c r="AM59"/>
  <c r="AL59"/>
  <c r="AK59"/>
  <c r="AJ59"/>
  <c r="AI59"/>
  <c r="AH59"/>
  <c r="AG59"/>
  <c r="AF59"/>
  <c r="AE59"/>
  <c r="AD59"/>
  <c r="AC59"/>
  <c r="AB59"/>
  <c r="AA59"/>
  <c r="Z59"/>
  <c r="Y59"/>
  <c r="I59"/>
  <c r="H59"/>
  <c r="G59"/>
  <c r="F59"/>
  <c r="E59"/>
  <c r="D59"/>
  <c r="AO55"/>
  <c r="AN55"/>
  <c r="AM55"/>
  <c r="AL55"/>
  <c r="AK55"/>
  <c r="AJ55"/>
  <c r="AI55"/>
  <c r="AH55"/>
  <c r="AG55"/>
  <c r="AF55"/>
  <c r="AE55"/>
  <c r="AD55"/>
  <c r="AC55"/>
  <c r="AB55"/>
  <c r="AA55"/>
  <c r="Z55"/>
  <c r="Y55"/>
  <c r="G55"/>
  <c r="D55"/>
  <c r="C55"/>
  <c r="AO54"/>
  <c r="AN54"/>
  <c r="AM54"/>
  <c r="AL54"/>
  <c r="AK54"/>
  <c r="AJ54"/>
  <c r="AI54"/>
  <c r="AH54"/>
  <c r="AG54"/>
  <c r="AF54"/>
  <c r="AE54"/>
  <c r="AD54"/>
  <c r="AC54"/>
  <c r="AB54"/>
  <c r="AA54"/>
  <c r="Z54"/>
  <c r="Y54"/>
  <c r="G54"/>
  <c r="D54"/>
  <c r="C54"/>
  <c r="AO53"/>
  <c r="AN53"/>
  <c r="AM53"/>
  <c r="AJ53"/>
  <c r="AI53"/>
  <c r="AH53"/>
  <c r="AG53"/>
  <c r="AF53"/>
  <c r="AE53"/>
  <c r="AD53"/>
  <c r="AA53"/>
  <c r="Z53"/>
  <c r="Y53"/>
  <c r="G53"/>
  <c r="D53"/>
  <c r="C53"/>
  <c r="AO52"/>
  <c r="AN52"/>
  <c r="AM52"/>
  <c r="AJ52"/>
  <c r="AI52"/>
  <c r="AH52"/>
  <c r="AG52"/>
  <c r="AF52"/>
  <c r="AE52"/>
  <c r="AD52"/>
  <c r="AA52"/>
  <c r="Z52"/>
  <c r="Y52"/>
  <c r="G52"/>
  <c r="D52"/>
  <c r="C52"/>
  <c r="AB51"/>
  <c r="AK51"/>
  <c r="AO51"/>
  <c r="AN51"/>
  <c r="AM51"/>
  <c r="AL51"/>
  <c r="AJ51"/>
  <c r="AI51"/>
  <c r="AH51"/>
  <c r="AG51"/>
  <c r="AF51"/>
  <c r="AE51"/>
  <c r="AD51"/>
  <c r="AC51"/>
  <c r="AA51"/>
  <c r="Z51"/>
  <c r="Y51"/>
  <c r="G51"/>
  <c r="D51"/>
  <c r="C51"/>
  <c r="AB50"/>
  <c r="AK50"/>
  <c r="AO50"/>
  <c r="AN50"/>
  <c r="AM50"/>
  <c r="AL50"/>
  <c r="AJ50"/>
  <c r="AI50"/>
  <c r="AH50"/>
  <c r="AG50"/>
  <c r="AF50"/>
  <c r="AE50"/>
  <c r="AD50"/>
  <c r="AC50"/>
  <c r="AA50"/>
  <c r="Z50"/>
  <c r="Y50"/>
  <c r="G50"/>
  <c r="D50"/>
  <c r="C50"/>
  <c r="AO49"/>
  <c r="AN49"/>
  <c r="AM49"/>
  <c r="AE49"/>
  <c r="AD49"/>
  <c r="Z49"/>
  <c r="Y49"/>
  <c r="G49"/>
  <c r="D49"/>
  <c r="C49"/>
  <c r="AO48"/>
  <c r="AN48"/>
  <c r="AM48"/>
  <c r="AE48"/>
  <c r="AD48"/>
  <c r="Z48"/>
  <c r="Y48"/>
  <c r="G48"/>
  <c r="D48"/>
  <c r="C48"/>
  <c r="AO47"/>
  <c r="AN47"/>
  <c r="AM47"/>
  <c r="AL47"/>
  <c r="AK47"/>
  <c r="AJ47"/>
  <c r="AI47"/>
  <c r="AH47"/>
  <c r="AG47"/>
  <c r="AA47"/>
  <c r="Z47"/>
  <c r="Y47"/>
  <c r="G47"/>
  <c r="D47"/>
  <c r="C47"/>
  <c r="AO46"/>
  <c r="AN46"/>
  <c r="AM46"/>
  <c r="AL46"/>
  <c r="AK46"/>
  <c r="AJ46"/>
  <c r="AI46"/>
  <c r="AH46"/>
  <c r="AG46"/>
  <c r="AA46"/>
  <c r="Z46"/>
  <c r="Y46"/>
  <c r="G46"/>
  <c r="D46"/>
  <c r="C46"/>
  <c r="AB45"/>
  <c r="AK45"/>
  <c r="AO45"/>
  <c r="AN45"/>
  <c r="AM45"/>
  <c r="AL45"/>
  <c r="AJ45"/>
  <c r="AI45"/>
  <c r="AH45"/>
  <c r="AG45"/>
  <c r="AF45"/>
  <c r="AE45"/>
  <c r="AD45"/>
  <c r="AC45"/>
  <c r="AA45"/>
  <c r="Z45"/>
  <c r="Y45"/>
  <c r="G45"/>
  <c r="D45"/>
  <c r="C45"/>
  <c r="AB44"/>
  <c r="AK44"/>
  <c r="AO44"/>
  <c r="AN44"/>
  <c r="AM44"/>
  <c r="AL44"/>
  <c r="AJ44"/>
  <c r="AI44"/>
  <c r="AH44"/>
  <c r="AG44"/>
  <c r="AF44"/>
  <c r="AE44"/>
  <c r="AD44"/>
  <c r="AC44"/>
  <c r="AA44"/>
  <c r="Z44"/>
  <c r="Y44"/>
  <c r="G44"/>
  <c r="D44"/>
  <c r="C44"/>
  <c r="AO43"/>
  <c r="AN43"/>
  <c r="AM43"/>
  <c r="AL43"/>
  <c r="AK43"/>
  <c r="AJ43"/>
  <c r="AI43"/>
  <c r="AH43"/>
  <c r="AG43"/>
  <c r="AF43"/>
  <c r="AE43"/>
  <c r="AD43"/>
  <c r="AC43"/>
  <c r="AB43"/>
  <c r="AA43"/>
  <c r="Z43"/>
  <c r="Y43"/>
  <c r="G43"/>
  <c r="D43"/>
  <c r="C43"/>
  <c r="AB41"/>
  <c r="AK41"/>
  <c r="AO41"/>
  <c r="AN41"/>
  <c r="AM41"/>
  <c r="AL41"/>
  <c r="AJ41"/>
  <c r="AI41"/>
  <c r="AH41"/>
  <c r="AG41"/>
  <c r="AF41"/>
  <c r="AE41"/>
  <c r="AD41"/>
  <c r="AC41"/>
  <c r="AA41"/>
  <c r="Z41"/>
  <c r="Y41"/>
  <c r="G41"/>
  <c r="D41"/>
  <c r="C41"/>
  <c r="AO40"/>
  <c r="AN40"/>
  <c r="AM40"/>
  <c r="AL40"/>
  <c r="AK40"/>
  <c r="AJ40"/>
  <c r="AI40"/>
  <c r="AH40"/>
  <c r="AG40"/>
  <c r="AF40"/>
  <c r="AE40"/>
  <c r="AD40"/>
  <c r="AC40"/>
  <c r="AB40"/>
  <c r="AA40"/>
  <c r="Z40"/>
  <c r="Y40"/>
  <c r="G40"/>
  <c r="D40"/>
  <c r="C40"/>
  <c r="AO39"/>
  <c r="AN39"/>
  <c r="AM39"/>
  <c r="AL39"/>
  <c r="AK39"/>
  <c r="AJ39"/>
  <c r="AI39"/>
  <c r="AH39"/>
  <c r="AG39"/>
  <c r="AF39"/>
  <c r="AE39"/>
  <c r="AD39"/>
  <c r="AC39"/>
  <c r="AB39"/>
  <c r="AA39"/>
  <c r="Z39"/>
  <c r="Y39"/>
  <c r="G39"/>
  <c r="D39"/>
  <c r="C39"/>
  <c r="AO38"/>
  <c r="AN38"/>
  <c r="AM38"/>
  <c r="AJ38"/>
  <c r="AI38"/>
  <c r="AH38"/>
  <c r="AG38"/>
  <c r="Z38"/>
  <c r="Y38"/>
  <c r="G38"/>
  <c r="D38"/>
  <c r="C38"/>
  <c r="AO37"/>
  <c r="AN37"/>
  <c r="AM37"/>
  <c r="AJ37"/>
  <c r="AI37"/>
  <c r="AH37"/>
  <c r="AG37"/>
  <c r="Z37"/>
  <c r="Y37"/>
  <c r="G37"/>
  <c r="D37"/>
  <c r="C37"/>
  <c r="AO36"/>
  <c r="AN36"/>
  <c r="AM36"/>
  <c r="AL36"/>
  <c r="AK36"/>
  <c r="AJ36"/>
  <c r="AI36"/>
  <c r="AH36"/>
  <c r="AG36"/>
  <c r="AF36"/>
  <c r="AE36"/>
  <c r="AD36"/>
  <c r="AC36"/>
  <c r="AB36"/>
  <c r="AA36"/>
  <c r="Z36"/>
  <c r="Y36"/>
  <c r="G36"/>
  <c r="D36"/>
  <c r="C36"/>
  <c r="AO35"/>
  <c r="AN35"/>
  <c r="AM35"/>
  <c r="AL35"/>
  <c r="AK35"/>
  <c r="AJ35"/>
  <c r="AI35"/>
  <c r="AH35"/>
  <c r="AG35"/>
  <c r="AF35"/>
  <c r="AE35"/>
  <c r="AD35"/>
  <c r="AC35"/>
  <c r="AB35"/>
  <c r="AA35"/>
  <c r="Z35"/>
  <c r="Y35"/>
  <c r="G35"/>
  <c r="D35"/>
  <c r="C35"/>
  <c r="AO34"/>
  <c r="AN34"/>
  <c r="AM34"/>
  <c r="AL34"/>
  <c r="AK34"/>
  <c r="AJ34"/>
  <c r="AI34"/>
  <c r="AH34"/>
  <c r="AG34"/>
  <c r="AF34"/>
  <c r="AE34"/>
  <c r="AD34"/>
  <c r="AC34"/>
  <c r="AB34"/>
  <c r="AA34"/>
  <c r="Z34"/>
  <c r="Y34"/>
  <c r="G34"/>
  <c r="D34"/>
  <c r="C34"/>
  <c r="AO31"/>
  <c r="AN31"/>
  <c r="AM31"/>
  <c r="AJ31"/>
  <c r="AI31"/>
  <c r="AH31"/>
  <c r="AG31"/>
  <c r="AA31"/>
  <c r="Z31"/>
  <c r="Y31"/>
  <c r="G31"/>
  <c r="D31"/>
  <c r="C31"/>
  <c r="AO30"/>
  <c r="AN30"/>
  <c r="AM30"/>
  <c r="AJ30"/>
  <c r="AI30"/>
  <c r="AH30"/>
  <c r="AG30"/>
  <c r="AA30"/>
  <c r="Z30"/>
  <c r="Y30"/>
  <c r="G30"/>
  <c r="D30"/>
  <c r="C30"/>
  <c r="AO29"/>
  <c r="AN29"/>
  <c r="AM29"/>
  <c r="AJ29"/>
  <c r="AI29"/>
  <c r="AH29"/>
  <c r="AG29"/>
  <c r="AA29"/>
  <c r="Z29"/>
  <c r="Y29"/>
  <c r="G29"/>
  <c r="D29"/>
  <c r="C29"/>
  <c r="AO28"/>
  <c r="AN28"/>
  <c r="AM28"/>
  <c r="AJ28"/>
  <c r="AI28"/>
  <c r="AH28"/>
  <c r="AG28"/>
  <c r="AA28"/>
  <c r="Z28"/>
  <c r="Y28"/>
  <c r="G28"/>
  <c r="D28"/>
  <c r="C28"/>
  <c r="AO27"/>
  <c r="AN27"/>
  <c r="AM27"/>
  <c r="AL27"/>
  <c r="AK27"/>
  <c r="AJ27"/>
  <c r="AI27"/>
  <c r="AH27"/>
  <c r="AG27"/>
  <c r="AF27"/>
  <c r="AE27"/>
  <c r="AD27"/>
  <c r="AC27"/>
  <c r="AB27"/>
  <c r="AA27"/>
  <c r="Z27"/>
  <c r="Y27"/>
  <c r="G27"/>
  <c r="D27"/>
  <c r="C27"/>
  <c r="AB26"/>
  <c r="AK26"/>
  <c r="AO26"/>
  <c r="AN26"/>
  <c r="AM26"/>
  <c r="AL26"/>
  <c r="AJ26"/>
  <c r="AI26"/>
  <c r="AH26"/>
  <c r="AG26"/>
  <c r="AF26"/>
  <c r="AE26"/>
  <c r="AD26"/>
  <c r="AC26"/>
  <c r="AA26"/>
  <c r="Z26"/>
  <c r="Y26"/>
  <c r="G26"/>
  <c r="D26"/>
  <c r="C26"/>
  <c r="AO25"/>
  <c r="AN25"/>
  <c r="AM25"/>
  <c r="AL25"/>
  <c r="AK25"/>
  <c r="AJ25"/>
  <c r="AI25"/>
  <c r="AH25"/>
  <c r="AG25"/>
  <c r="AF25"/>
  <c r="AE25"/>
  <c r="AD25"/>
  <c r="AC25"/>
  <c r="AB25"/>
  <c r="AA25"/>
  <c r="Z25"/>
  <c r="Y25"/>
  <c r="G25"/>
  <c r="D25"/>
  <c r="C25"/>
  <c r="AB24"/>
  <c r="AK24"/>
  <c r="AO24"/>
  <c r="AN24"/>
  <c r="AM24"/>
  <c r="AL24"/>
  <c r="AJ24"/>
  <c r="AI24"/>
  <c r="AH24"/>
  <c r="AG24"/>
  <c r="AF24"/>
  <c r="AE24"/>
  <c r="AD24"/>
  <c r="AC24"/>
  <c r="AA24"/>
  <c r="Z24"/>
  <c r="Y24"/>
  <c r="G24"/>
  <c r="D24"/>
  <c r="C24"/>
  <c r="AO23"/>
  <c r="AN23"/>
  <c r="AM23"/>
  <c r="AL23"/>
  <c r="AK23"/>
  <c r="AJ23"/>
  <c r="AI23"/>
  <c r="AH23"/>
  <c r="AG23"/>
  <c r="AF23"/>
  <c r="AE23"/>
  <c r="AD23"/>
  <c r="AC23"/>
  <c r="AB23"/>
  <c r="AA23"/>
  <c r="Z23"/>
  <c r="Y23"/>
  <c r="F5"/>
  <c r="Q21"/>
  <c r="D21"/>
  <c r="E20"/>
  <c r="D20"/>
  <c r="D19"/>
  <c r="D17"/>
  <c r="E16"/>
  <c r="D16"/>
  <c r="D15"/>
  <c r="F13"/>
  <c r="D13"/>
  <c r="D12"/>
  <c r="D11"/>
  <c r="D9"/>
  <c r="D8"/>
  <c r="D7"/>
  <c r="F4"/>
  <c r="D6" i="259"/>
  <c r="D5"/>
  <c r="H24"/>
  <c r="H65"/>
  <c r="I24"/>
  <c r="I65"/>
  <c r="J65"/>
  <c r="L65"/>
  <c r="D3"/>
  <c r="M65"/>
  <c r="K65"/>
  <c r="N65"/>
  <c r="O65"/>
  <c r="P65"/>
  <c r="R65"/>
  <c r="T65"/>
  <c r="H25"/>
  <c r="H66"/>
  <c r="I25"/>
  <c r="I66"/>
  <c r="J66"/>
  <c r="L66"/>
  <c r="M66"/>
  <c r="K66"/>
  <c r="N66"/>
  <c r="O66"/>
  <c r="P66"/>
  <c r="R66"/>
  <c r="T66"/>
  <c r="H26"/>
  <c r="H67"/>
  <c r="I26"/>
  <c r="I67"/>
  <c r="J67"/>
  <c r="L67"/>
  <c r="M67"/>
  <c r="K67"/>
  <c r="N67"/>
  <c r="O67"/>
  <c r="P67"/>
  <c r="R67"/>
  <c r="T67"/>
  <c r="H27"/>
  <c r="H68"/>
  <c r="I27"/>
  <c r="I68"/>
  <c r="J68"/>
  <c r="L68"/>
  <c r="M68"/>
  <c r="K68"/>
  <c r="N68"/>
  <c r="O68"/>
  <c r="P68"/>
  <c r="R68"/>
  <c r="T68"/>
  <c r="H28"/>
  <c r="H69"/>
  <c r="I28"/>
  <c r="I69"/>
  <c r="J69"/>
  <c r="L69"/>
  <c r="M69"/>
  <c r="K69"/>
  <c r="N69"/>
  <c r="O69"/>
  <c r="P69"/>
  <c r="R69"/>
  <c r="T69"/>
  <c r="H29"/>
  <c r="H70"/>
  <c r="I29"/>
  <c r="I70"/>
  <c r="J70"/>
  <c r="L70"/>
  <c r="M70"/>
  <c r="K70"/>
  <c r="N70"/>
  <c r="O70"/>
  <c r="P70"/>
  <c r="R70"/>
  <c r="T70"/>
  <c r="H32"/>
  <c r="H71"/>
  <c r="I32"/>
  <c r="I71"/>
  <c r="T32"/>
  <c r="J71"/>
  <c r="V32"/>
  <c r="L71"/>
  <c r="F8"/>
  <c r="W32"/>
  <c r="M71"/>
  <c r="U32"/>
  <c r="K71"/>
  <c r="N71"/>
  <c r="O71"/>
  <c r="P71"/>
  <c r="R71"/>
  <c r="T71"/>
  <c r="H33"/>
  <c r="H72"/>
  <c r="I33"/>
  <c r="I72"/>
  <c r="T33"/>
  <c r="J72"/>
  <c r="V33"/>
  <c r="L72"/>
  <c r="W33"/>
  <c r="M72"/>
  <c r="U33"/>
  <c r="K72"/>
  <c r="N72"/>
  <c r="O72"/>
  <c r="P72"/>
  <c r="R72"/>
  <c r="T72"/>
  <c r="T74"/>
  <c r="S65"/>
  <c r="S66"/>
  <c r="S67"/>
  <c r="S68"/>
  <c r="S69"/>
  <c r="S70"/>
  <c r="S71"/>
  <c r="S72"/>
  <c r="S74"/>
  <c r="R74"/>
  <c r="P77"/>
  <c r="O74"/>
  <c r="I82"/>
  <c r="I83"/>
  <c r="U65"/>
  <c r="U66"/>
  <c r="U67"/>
  <c r="U68"/>
  <c r="U69"/>
  <c r="U70"/>
  <c r="U71"/>
  <c r="U72"/>
  <c r="U74"/>
  <c r="I84"/>
  <c r="I85"/>
  <c r="I86"/>
  <c r="V65"/>
  <c r="W65"/>
  <c r="V66"/>
  <c r="W66"/>
  <c r="V67"/>
  <c r="W67"/>
  <c r="V68"/>
  <c r="W68"/>
  <c r="V69"/>
  <c r="W69"/>
  <c r="V70"/>
  <c r="W70"/>
  <c r="V71"/>
  <c r="W71"/>
  <c r="V72"/>
  <c r="W72"/>
  <c r="W74"/>
  <c r="V74"/>
  <c r="I88"/>
  <c r="I89"/>
  <c r="M90"/>
  <c r="M91"/>
  <c r="I90"/>
  <c r="AJ65"/>
  <c r="AK65"/>
  <c r="AJ66"/>
  <c r="AK66"/>
  <c r="AJ67"/>
  <c r="AK67"/>
  <c r="AJ68"/>
  <c r="AK68"/>
  <c r="AJ69"/>
  <c r="AK69"/>
  <c r="AJ70"/>
  <c r="AK70"/>
  <c r="AJ71"/>
  <c r="AK71"/>
  <c r="AJ72"/>
  <c r="AK72"/>
  <c r="AL65"/>
  <c r="AL66"/>
  <c r="AL67"/>
  <c r="AL68"/>
  <c r="AL69"/>
  <c r="AL70"/>
  <c r="AL71"/>
  <c r="AL72"/>
  <c r="Q83"/>
  <c r="Q84"/>
  <c r="Q85"/>
  <c r="Q86"/>
  <c r="AH85"/>
  <c r="AH84"/>
  <c r="AH83"/>
  <c r="I78"/>
  <c r="I79"/>
  <c r="AH81"/>
  <c r="AH80"/>
  <c r="I77"/>
  <c r="M79"/>
  <c r="M80"/>
  <c r="AH79"/>
  <c r="P79"/>
  <c r="P78"/>
  <c r="AX72"/>
  <c r="AW72"/>
  <c r="AV72"/>
  <c r="AU72"/>
  <c r="AT72"/>
  <c r="AS72"/>
  <c r="AR72"/>
  <c r="AQ72"/>
  <c r="E33"/>
  <c r="E72"/>
  <c r="AN72"/>
  <c r="F33"/>
  <c r="F72"/>
  <c r="AO72"/>
  <c r="AP72"/>
  <c r="Q72"/>
  <c r="AH72"/>
  <c r="AG72"/>
  <c r="AF72"/>
  <c r="AX71"/>
  <c r="AW71"/>
  <c r="AV71"/>
  <c r="AU71"/>
  <c r="AT71"/>
  <c r="AS71"/>
  <c r="AR71"/>
  <c r="AQ71"/>
  <c r="E32"/>
  <c r="E71"/>
  <c r="AN71"/>
  <c r="F32"/>
  <c r="F71"/>
  <c r="AO71"/>
  <c r="AP71"/>
  <c r="Q71"/>
  <c r="AH71"/>
  <c r="AG71"/>
  <c r="AF71"/>
  <c r="AX70"/>
  <c r="AW70"/>
  <c r="AV70"/>
  <c r="AU70"/>
  <c r="AT70"/>
  <c r="AS70"/>
  <c r="AR70"/>
  <c r="AQ70"/>
  <c r="E29"/>
  <c r="E70"/>
  <c r="AN70"/>
  <c r="F29"/>
  <c r="F70"/>
  <c r="AO70"/>
  <c r="AP70"/>
  <c r="Q70"/>
  <c r="AH70"/>
  <c r="AG70"/>
  <c r="AF70"/>
  <c r="AX69"/>
  <c r="AW69"/>
  <c r="AV69"/>
  <c r="AU69"/>
  <c r="AT69"/>
  <c r="AS69"/>
  <c r="AR69"/>
  <c r="AQ69"/>
  <c r="E28"/>
  <c r="E69"/>
  <c r="AN69"/>
  <c r="F28"/>
  <c r="F69"/>
  <c r="AO69"/>
  <c r="AP69"/>
  <c r="Q69"/>
  <c r="AH69"/>
  <c r="AG69"/>
  <c r="AF69"/>
  <c r="AX68"/>
  <c r="AW68"/>
  <c r="AV68"/>
  <c r="AU68"/>
  <c r="AT68"/>
  <c r="AS68"/>
  <c r="AR68"/>
  <c r="AQ68"/>
  <c r="E27"/>
  <c r="E68"/>
  <c r="AN68"/>
  <c r="F27"/>
  <c r="F68"/>
  <c r="AO68"/>
  <c r="AP68"/>
  <c r="Q68"/>
  <c r="AH68"/>
  <c r="AG68"/>
  <c r="AF68"/>
  <c r="AX67"/>
  <c r="AW67"/>
  <c r="AV67"/>
  <c r="AU67"/>
  <c r="AT67"/>
  <c r="AS67"/>
  <c r="AR67"/>
  <c r="AQ67"/>
  <c r="E26"/>
  <c r="E67"/>
  <c r="AN67"/>
  <c r="F26"/>
  <c r="F67"/>
  <c r="AO67"/>
  <c r="AP67"/>
  <c r="Q67"/>
  <c r="AH67"/>
  <c r="AG67"/>
  <c r="AF67"/>
  <c r="F5"/>
  <c r="AY66"/>
  <c r="AX66"/>
  <c r="AW66"/>
  <c r="AV66"/>
  <c r="AU66"/>
  <c r="AT66"/>
  <c r="AS66"/>
  <c r="AR66"/>
  <c r="AQ66"/>
  <c r="E25"/>
  <c r="E66"/>
  <c r="AN66"/>
  <c r="F25"/>
  <c r="F66"/>
  <c r="AO66"/>
  <c r="AP66"/>
  <c r="Q66"/>
  <c r="AH66"/>
  <c r="AG66"/>
  <c r="AF66"/>
  <c r="F4"/>
  <c r="AY65"/>
  <c r="AX65"/>
  <c r="AW65"/>
  <c r="AV65"/>
  <c r="AU65"/>
  <c r="AT65"/>
  <c r="AS65"/>
  <c r="AR65"/>
  <c r="AQ65"/>
  <c r="E24"/>
  <c r="E65"/>
  <c r="AN65"/>
  <c r="F24"/>
  <c r="F65"/>
  <c r="AO65"/>
  <c r="AP65"/>
  <c r="Q65"/>
  <c r="AH65"/>
  <c r="AG65"/>
  <c r="AF65"/>
  <c r="I63"/>
  <c r="AO61"/>
  <c r="AN61"/>
  <c r="AM61"/>
  <c r="AL61"/>
  <c r="AK61"/>
  <c r="AJ61"/>
  <c r="AI61"/>
  <c r="AH61"/>
  <c r="AG61"/>
  <c r="AF61"/>
  <c r="AE61"/>
  <c r="AD61"/>
  <c r="AA61"/>
  <c r="Z61"/>
  <c r="Y61"/>
  <c r="I61"/>
  <c r="H61"/>
  <c r="G61"/>
  <c r="F61"/>
  <c r="E61"/>
  <c r="D61"/>
  <c r="C61"/>
  <c r="AO59"/>
  <c r="AN59"/>
  <c r="AM59"/>
  <c r="AL59"/>
  <c r="AK59"/>
  <c r="AJ59"/>
  <c r="AG59"/>
  <c r="AF59"/>
  <c r="AE59"/>
  <c r="AD59"/>
  <c r="AC59"/>
  <c r="AB59"/>
  <c r="AA59"/>
  <c r="Z59"/>
  <c r="Y59"/>
  <c r="I59"/>
  <c r="G59"/>
  <c r="F59"/>
  <c r="E59"/>
  <c r="D59"/>
  <c r="C59"/>
  <c r="AO58"/>
  <c r="AN58"/>
  <c r="AM58"/>
  <c r="AL58"/>
  <c r="AK58"/>
  <c r="AJ58"/>
  <c r="AG58"/>
  <c r="AF58"/>
  <c r="AE58"/>
  <c r="AD58"/>
  <c r="AC58"/>
  <c r="AB58"/>
  <c r="AA58"/>
  <c r="Z58"/>
  <c r="Y58"/>
  <c r="I58"/>
  <c r="H58"/>
  <c r="G58"/>
  <c r="F58"/>
  <c r="E58"/>
  <c r="D58"/>
  <c r="C58"/>
  <c r="AO57"/>
  <c r="AN57"/>
  <c r="AM57"/>
  <c r="AL57"/>
  <c r="AK57"/>
  <c r="AJ57"/>
  <c r="AI57"/>
  <c r="AH57"/>
  <c r="AG57"/>
  <c r="AF57"/>
  <c r="AE57"/>
  <c r="AD57"/>
  <c r="AC57"/>
  <c r="AB57"/>
  <c r="AA57"/>
  <c r="Z57"/>
  <c r="Y57"/>
  <c r="I57"/>
  <c r="H57"/>
  <c r="G57"/>
  <c r="F57"/>
  <c r="E57"/>
  <c r="D57"/>
  <c r="C57"/>
  <c r="AO56"/>
  <c r="AN56"/>
  <c r="AM56"/>
  <c r="AL56"/>
  <c r="AK56"/>
  <c r="AJ56"/>
  <c r="AI56"/>
  <c r="AH56"/>
  <c r="AG56"/>
  <c r="AF56"/>
  <c r="AE56"/>
  <c r="AD56"/>
  <c r="AC56"/>
  <c r="AB56"/>
  <c r="AA56"/>
  <c r="Z56"/>
  <c r="Y56"/>
  <c r="I56"/>
  <c r="H56"/>
  <c r="G56"/>
  <c r="F56"/>
  <c r="E56"/>
  <c r="D56"/>
  <c r="C56"/>
  <c r="AO55"/>
  <c r="AN55"/>
  <c r="AM55"/>
  <c r="AJ55"/>
  <c r="AE55"/>
  <c r="AD55"/>
  <c r="Z55"/>
  <c r="Y55"/>
  <c r="G55"/>
  <c r="F55"/>
  <c r="E55"/>
  <c r="D55"/>
  <c r="C55"/>
  <c r="AO54"/>
  <c r="AN54"/>
  <c r="AM54"/>
  <c r="AJ54"/>
  <c r="AE54"/>
  <c r="AD54"/>
  <c r="Z54"/>
  <c r="Y54"/>
  <c r="G54"/>
  <c r="F54"/>
  <c r="E54"/>
  <c r="D54"/>
  <c r="C54"/>
  <c r="AO53"/>
  <c r="AN53"/>
  <c r="AM53"/>
  <c r="AL53"/>
  <c r="AK53"/>
  <c r="AJ53"/>
  <c r="AG53"/>
  <c r="AF53"/>
  <c r="AE53"/>
  <c r="AD53"/>
  <c r="AC53"/>
  <c r="AB53"/>
  <c r="AA53"/>
  <c r="Z53"/>
  <c r="Y53"/>
  <c r="I53"/>
  <c r="H53"/>
  <c r="G53"/>
  <c r="F53"/>
  <c r="E53"/>
  <c r="D53"/>
  <c r="C53"/>
  <c r="AO52"/>
  <c r="AN52"/>
  <c r="AM52"/>
  <c r="AJ52"/>
  <c r="AE52"/>
  <c r="AD52"/>
  <c r="AA52"/>
  <c r="Z52"/>
  <c r="Y52"/>
  <c r="G52"/>
  <c r="F52"/>
  <c r="E52"/>
  <c r="D52"/>
  <c r="C52"/>
  <c r="AO51"/>
  <c r="AN51"/>
  <c r="AM51"/>
  <c r="AJ51"/>
  <c r="AE51"/>
  <c r="AD51"/>
  <c r="AA51"/>
  <c r="Z51"/>
  <c r="Y51"/>
  <c r="G51"/>
  <c r="F51"/>
  <c r="E51"/>
  <c r="D51"/>
  <c r="C51"/>
  <c r="AO50"/>
  <c r="AN50"/>
  <c r="AM50"/>
  <c r="AL50"/>
  <c r="AK50"/>
  <c r="AJ50"/>
  <c r="AG50"/>
  <c r="AF50"/>
  <c r="AE50"/>
  <c r="AD50"/>
  <c r="AC50"/>
  <c r="AB50"/>
  <c r="AA50"/>
  <c r="Z50"/>
  <c r="Y50"/>
  <c r="I50"/>
  <c r="H50"/>
  <c r="G50"/>
  <c r="F50"/>
  <c r="E50"/>
  <c r="D50"/>
  <c r="C50"/>
  <c r="AO49"/>
  <c r="AN49"/>
  <c r="AM49"/>
  <c r="AL49"/>
  <c r="AK49"/>
  <c r="AJ49"/>
  <c r="AI49"/>
  <c r="AH49"/>
  <c r="AG49"/>
  <c r="AF49"/>
  <c r="AE49"/>
  <c r="AD49"/>
  <c r="AC49"/>
  <c r="AB49"/>
  <c r="AA49"/>
  <c r="Z49"/>
  <c r="Y49"/>
  <c r="I49"/>
  <c r="H49"/>
  <c r="G49"/>
  <c r="F49"/>
  <c r="E49"/>
  <c r="D49"/>
  <c r="C49"/>
  <c r="AO48"/>
  <c r="AN48"/>
  <c r="AM48"/>
  <c r="AL48"/>
  <c r="AK48"/>
  <c r="AJ48"/>
  <c r="AG48"/>
  <c r="AF48"/>
  <c r="AE48"/>
  <c r="AD48"/>
  <c r="AC48"/>
  <c r="AB48"/>
  <c r="AA48"/>
  <c r="Z48"/>
  <c r="Y48"/>
  <c r="I48"/>
  <c r="H48"/>
  <c r="G48"/>
  <c r="F48"/>
  <c r="E48"/>
  <c r="D48"/>
  <c r="C48"/>
  <c r="AO47"/>
  <c r="AN47"/>
  <c r="AM47"/>
  <c r="AL47"/>
  <c r="AK47"/>
  <c r="AJ47"/>
  <c r="AG47"/>
  <c r="AF47"/>
  <c r="AE47"/>
  <c r="AD47"/>
  <c r="AC47"/>
  <c r="AB47"/>
  <c r="AA47"/>
  <c r="Z47"/>
  <c r="Y47"/>
  <c r="I47"/>
  <c r="H47"/>
  <c r="G47"/>
  <c r="F47"/>
  <c r="E47"/>
  <c r="D47"/>
  <c r="C47"/>
  <c r="AO46"/>
  <c r="AN46"/>
  <c r="AM46"/>
  <c r="AL46"/>
  <c r="AK46"/>
  <c r="AJ46"/>
  <c r="AG46"/>
  <c r="AF46"/>
  <c r="AE46"/>
  <c r="AD46"/>
  <c r="AC46"/>
  <c r="AB46"/>
  <c r="AA46"/>
  <c r="Z46"/>
  <c r="Y46"/>
  <c r="I46"/>
  <c r="H46"/>
  <c r="G46"/>
  <c r="F46"/>
  <c r="E46"/>
  <c r="D46"/>
  <c r="C46"/>
  <c r="AO45"/>
  <c r="AN45"/>
  <c r="AM45"/>
  <c r="AL45"/>
  <c r="AK45"/>
  <c r="AJ45"/>
  <c r="AG45"/>
  <c r="AF45"/>
  <c r="AE45"/>
  <c r="AD45"/>
  <c r="AA45"/>
  <c r="Z45"/>
  <c r="Y45"/>
  <c r="I45"/>
  <c r="H45"/>
  <c r="G45"/>
  <c r="F45"/>
  <c r="E45"/>
  <c r="D45"/>
  <c r="C45"/>
  <c r="AO44"/>
  <c r="AN44"/>
  <c r="AM44"/>
  <c r="AL44"/>
  <c r="AK44"/>
  <c r="AJ44"/>
  <c r="AG44"/>
  <c r="AF44"/>
  <c r="AE44"/>
  <c r="AD44"/>
  <c r="AC44"/>
  <c r="AB44"/>
  <c r="AA44"/>
  <c r="Z44"/>
  <c r="Y44"/>
  <c r="I44"/>
  <c r="H44"/>
  <c r="G44"/>
  <c r="F44"/>
  <c r="E44"/>
  <c r="D44"/>
  <c r="C44"/>
  <c r="AO42"/>
  <c r="AN42"/>
  <c r="AM42"/>
  <c r="AL42"/>
  <c r="AK42"/>
  <c r="AJ42"/>
  <c r="AI42"/>
  <c r="AH42"/>
  <c r="AG42"/>
  <c r="AF42"/>
  <c r="AE42"/>
  <c r="AD42"/>
  <c r="AC42"/>
  <c r="AB42"/>
  <c r="AA42"/>
  <c r="Z42"/>
  <c r="Y42"/>
  <c r="I42"/>
  <c r="H42"/>
  <c r="G42"/>
  <c r="F42"/>
  <c r="E42"/>
  <c r="D42"/>
  <c r="C42"/>
  <c r="AO41"/>
  <c r="AN41"/>
  <c r="AM41"/>
  <c r="AL41"/>
  <c r="AK41"/>
  <c r="AJ41"/>
  <c r="AI41"/>
  <c r="AH41"/>
  <c r="AG41"/>
  <c r="AF41"/>
  <c r="AE41"/>
  <c r="AD41"/>
  <c r="AC41"/>
  <c r="AB41"/>
  <c r="AA41"/>
  <c r="Z41"/>
  <c r="Y41"/>
  <c r="I41"/>
  <c r="H41"/>
  <c r="G41"/>
  <c r="F41"/>
  <c r="E41"/>
  <c r="D41"/>
  <c r="C41"/>
  <c r="AO40"/>
  <c r="AN40"/>
  <c r="AM40"/>
  <c r="AL40"/>
  <c r="AK40"/>
  <c r="AJ40"/>
  <c r="AI40"/>
  <c r="AH40"/>
  <c r="AG40"/>
  <c r="AF40"/>
  <c r="AE40"/>
  <c r="AD40"/>
  <c r="AC40"/>
  <c r="AB40"/>
  <c r="AA40"/>
  <c r="Z40"/>
  <c r="Y40"/>
  <c r="G40"/>
  <c r="F40"/>
  <c r="E40"/>
  <c r="D40"/>
  <c r="C40"/>
  <c r="AO39"/>
  <c r="AN39"/>
  <c r="AM39"/>
  <c r="AL39"/>
  <c r="AK39"/>
  <c r="AJ39"/>
  <c r="AI39"/>
  <c r="AH39"/>
  <c r="AG39"/>
  <c r="AF39"/>
  <c r="AE39"/>
  <c r="AD39"/>
  <c r="AC39"/>
  <c r="AB39"/>
  <c r="AA39"/>
  <c r="Z39"/>
  <c r="Y39"/>
  <c r="G39"/>
  <c r="F39"/>
  <c r="E39"/>
  <c r="D39"/>
  <c r="C39"/>
  <c r="AO38"/>
  <c r="AN38"/>
  <c r="AM38"/>
  <c r="AL38"/>
  <c r="AK38"/>
  <c r="AJ38"/>
  <c r="AI38"/>
  <c r="AH38"/>
  <c r="AG38"/>
  <c r="AF38"/>
  <c r="AE38"/>
  <c r="AD38"/>
  <c r="AC38"/>
  <c r="AB38"/>
  <c r="AA38"/>
  <c r="Z38"/>
  <c r="Y38"/>
  <c r="I38"/>
  <c r="H38"/>
  <c r="G38"/>
  <c r="F38"/>
  <c r="E38"/>
  <c r="D38"/>
  <c r="C38"/>
  <c r="AO37"/>
  <c r="AN37"/>
  <c r="AM37"/>
  <c r="AL37"/>
  <c r="AK37"/>
  <c r="AJ37"/>
  <c r="AI37"/>
  <c r="AH37"/>
  <c r="AG37"/>
  <c r="AF37"/>
  <c r="AE37"/>
  <c r="AD37"/>
  <c r="AC37"/>
  <c r="AB37"/>
  <c r="AA37"/>
  <c r="Z37"/>
  <c r="Y37"/>
  <c r="I37"/>
  <c r="H37"/>
  <c r="G37"/>
  <c r="F37"/>
  <c r="E37"/>
  <c r="D37"/>
  <c r="C37"/>
  <c r="AO36"/>
  <c r="AN36"/>
  <c r="AM36"/>
  <c r="AL36"/>
  <c r="AK36"/>
  <c r="AJ36"/>
  <c r="AI36"/>
  <c r="AH36"/>
  <c r="AG36"/>
  <c r="AF36"/>
  <c r="AE36"/>
  <c r="AD36"/>
  <c r="AA36"/>
  <c r="Z36"/>
  <c r="Y36"/>
  <c r="I36"/>
  <c r="H36"/>
  <c r="G36"/>
  <c r="F36"/>
  <c r="E36"/>
  <c r="D36"/>
  <c r="C36"/>
  <c r="AO35"/>
  <c r="AN35"/>
  <c r="AM35"/>
  <c r="AL35"/>
  <c r="AK35"/>
  <c r="AJ35"/>
  <c r="AI35"/>
  <c r="AH35"/>
  <c r="AG35"/>
  <c r="AF35"/>
  <c r="AE35"/>
  <c r="AD35"/>
  <c r="AC35"/>
  <c r="AB35"/>
  <c r="AA35"/>
  <c r="Z35"/>
  <c r="Y35"/>
  <c r="I35"/>
  <c r="H35"/>
  <c r="G35"/>
  <c r="F35"/>
  <c r="E35"/>
  <c r="D35"/>
  <c r="AB33"/>
  <c r="AK33"/>
  <c r="AO33"/>
  <c r="AN33"/>
  <c r="AM33"/>
  <c r="AL33"/>
  <c r="AJ33"/>
  <c r="AI33"/>
  <c r="AH33"/>
  <c r="AG33"/>
  <c r="AF33"/>
  <c r="AE33"/>
  <c r="AD33"/>
  <c r="AC33"/>
  <c r="AA33"/>
  <c r="Z33"/>
  <c r="Y33"/>
  <c r="G33"/>
  <c r="D33"/>
  <c r="C33"/>
  <c r="AB32"/>
  <c r="AK32"/>
  <c r="AO32"/>
  <c r="AN32"/>
  <c r="AM32"/>
  <c r="AL32"/>
  <c r="AJ32"/>
  <c r="AI32"/>
  <c r="AH32"/>
  <c r="AG32"/>
  <c r="AF32"/>
  <c r="AE32"/>
  <c r="AD32"/>
  <c r="AC32"/>
  <c r="AA32"/>
  <c r="Z32"/>
  <c r="Y32"/>
  <c r="G32"/>
  <c r="D32"/>
  <c r="C32"/>
  <c r="AO29"/>
  <c r="AN29"/>
  <c r="AM29"/>
  <c r="AL29"/>
  <c r="AK29"/>
  <c r="AJ29"/>
  <c r="AI29"/>
  <c r="AH29"/>
  <c r="AG29"/>
  <c r="AF29"/>
  <c r="AE29"/>
  <c r="AD29"/>
  <c r="AC29"/>
  <c r="AB29"/>
  <c r="AA29"/>
  <c r="Z29"/>
  <c r="Y29"/>
  <c r="G29"/>
  <c r="D29"/>
  <c r="C29"/>
  <c r="AB28"/>
  <c r="AK28"/>
  <c r="AO28"/>
  <c r="AN28"/>
  <c r="AM28"/>
  <c r="AL28"/>
  <c r="AJ28"/>
  <c r="AI28"/>
  <c r="AH28"/>
  <c r="AG28"/>
  <c r="AF28"/>
  <c r="AE28"/>
  <c r="AD28"/>
  <c r="AC28"/>
  <c r="AA28"/>
  <c r="Z28"/>
  <c r="Y28"/>
  <c r="G28"/>
  <c r="D28"/>
  <c r="C28"/>
  <c r="AB27"/>
  <c r="AK27"/>
  <c r="AO27"/>
  <c r="AN27"/>
  <c r="AM27"/>
  <c r="AL27"/>
  <c r="AJ27"/>
  <c r="AI27"/>
  <c r="AH27"/>
  <c r="AG27"/>
  <c r="AF27"/>
  <c r="AE27"/>
  <c r="AD27"/>
  <c r="AC27"/>
  <c r="AA27"/>
  <c r="Z27"/>
  <c r="Y27"/>
  <c r="G27"/>
  <c r="D27"/>
  <c r="C27"/>
  <c r="AB26"/>
  <c r="AK26"/>
  <c r="AO26"/>
  <c r="AN26"/>
  <c r="AM26"/>
  <c r="AL26"/>
  <c r="AJ26"/>
  <c r="AI26"/>
  <c r="AH26"/>
  <c r="AG26"/>
  <c r="AF26"/>
  <c r="AE26"/>
  <c r="AD26"/>
  <c r="AC26"/>
  <c r="AA26"/>
  <c r="Z26"/>
  <c r="Y26"/>
  <c r="G26"/>
  <c r="D26"/>
  <c r="C26"/>
  <c r="AB25"/>
  <c r="AK25"/>
  <c r="AO25"/>
  <c r="AN25"/>
  <c r="AM25"/>
  <c r="AL25"/>
  <c r="AJ25"/>
  <c r="AI25"/>
  <c r="AH25"/>
  <c r="AG25"/>
  <c r="AF25"/>
  <c r="AE25"/>
  <c r="AD25"/>
  <c r="AC25"/>
  <c r="AA25"/>
  <c r="Z25"/>
  <c r="Y25"/>
  <c r="G25"/>
  <c r="D25"/>
  <c r="C25"/>
  <c r="AB24"/>
  <c r="AK24"/>
  <c r="AO24"/>
  <c r="AN24"/>
  <c r="AM24"/>
  <c r="AL24"/>
  <c r="AJ24"/>
  <c r="AI24"/>
  <c r="AH24"/>
  <c r="AG24"/>
  <c r="AF24"/>
  <c r="AE24"/>
  <c r="AD24"/>
  <c r="AC24"/>
  <c r="AA24"/>
  <c r="Z24"/>
  <c r="Y24"/>
  <c r="G24"/>
  <c r="D24"/>
  <c r="C24"/>
  <c r="AO23"/>
  <c r="AN23"/>
  <c r="AM23"/>
  <c r="AL23"/>
  <c r="AK23"/>
  <c r="AJ23"/>
  <c r="AI23"/>
  <c r="AH23"/>
  <c r="AG23"/>
  <c r="AF23"/>
  <c r="AE23"/>
  <c r="AD23"/>
  <c r="AC23"/>
  <c r="AB23"/>
  <c r="AA23"/>
  <c r="Z23"/>
  <c r="Y23"/>
  <c r="F6"/>
  <c r="Q21"/>
  <c r="D21"/>
  <c r="E20"/>
  <c r="D20"/>
  <c r="D19"/>
  <c r="D17"/>
  <c r="E16"/>
  <c r="D16"/>
  <c r="D15"/>
  <c r="F13"/>
  <c r="D13"/>
  <c r="D12"/>
  <c r="D11"/>
  <c r="D9"/>
  <c r="D8"/>
  <c r="D7"/>
  <c r="F3"/>
  <c r="D6" i="257"/>
  <c r="D5"/>
  <c r="H24"/>
  <c r="H61"/>
  <c r="I24"/>
  <c r="I61"/>
  <c r="J61"/>
  <c r="L61"/>
  <c r="D3"/>
  <c r="M61"/>
  <c r="K61"/>
  <c r="N61"/>
  <c r="O61"/>
  <c r="P61"/>
  <c r="R61"/>
  <c r="T61"/>
  <c r="H25"/>
  <c r="H62"/>
  <c r="I25"/>
  <c r="I62"/>
  <c r="T25"/>
  <c r="J62"/>
  <c r="V25"/>
  <c r="L62"/>
  <c r="F8"/>
  <c r="W25"/>
  <c r="M62"/>
  <c r="U25"/>
  <c r="K62"/>
  <c r="N62"/>
  <c r="O62"/>
  <c r="P62"/>
  <c r="R62"/>
  <c r="T62"/>
  <c r="H26"/>
  <c r="H63"/>
  <c r="I26"/>
  <c r="I63"/>
  <c r="T26"/>
  <c r="J63"/>
  <c r="V26"/>
  <c r="L63"/>
  <c r="W26"/>
  <c r="M63"/>
  <c r="U26"/>
  <c r="K63"/>
  <c r="N63"/>
  <c r="O63"/>
  <c r="P63"/>
  <c r="R63"/>
  <c r="T63"/>
  <c r="H27"/>
  <c r="H64"/>
  <c r="I27"/>
  <c r="I64"/>
  <c r="T27"/>
  <c r="J64"/>
  <c r="V27"/>
  <c r="L64"/>
  <c r="W27"/>
  <c r="M64"/>
  <c r="U27"/>
  <c r="K64"/>
  <c r="N64"/>
  <c r="O64"/>
  <c r="P64"/>
  <c r="R64"/>
  <c r="T64"/>
  <c r="H65"/>
  <c r="I65"/>
  <c r="T28"/>
  <c r="J65"/>
  <c r="V28"/>
  <c r="L65"/>
  <c r="W28"/>
  <c r="M65"/>
  <c r="U28"/>
  <c r="K65"/>
  <c r="N65"/>
  <c r="O65"/>
  <c r="P65"/>
  <c r="R65"/>
  <c r="T65"/>
  <c r="T67"/>
  <c r="S61"/>
  <c r="S62"/>
  <c r="S63"/>
  <c r="S64"/>
  <c r="S65"/>
  <c r="S67"/>
  <c r="R67"/>
  <c r="P70"/>
  <c r="O67"/>
  <c r="I75"/>
  <c r="I76"/>
  <c r="U61"/>
  <c r="U62"/>
  <c r="U63"/>
  <c r="U64"/>
  <c r="U65"/>
  <c r="U67"/>
  <c r="I77"/>
  <c r="I78"/>
  <c r="I79"/>
  <c r="V61"/>
  <c r="W61"/>
  <c r="V62"/>
  <c r="W62"/>
  <c r="V63"/>
  <c r="W63"/>
  <c r="V64"/>
  <c r="W64"/>
  <c r="V65"/>
  <c r="W65"/>
  <c r="W67"/>
  <c r="V67"/>
  <c r="I81"/>
  <c r="I82"/>
  <c r="M83"/>
  <c r="M84"/>
  <c r="I83"/>
  <c r="AJ61"/>
  <c r="AK61"/>
  <c r="AJ62"/>
  <c r="AK62"/>
  <c r="AJ63"/>
  <c r="AK63"/>
  <c r="AJ64"/>
  <c r="AK64"/>
  <c r="AJ65"/>
  <c r="AK65"/>
  <c r="AL61"/>
  <c r="AL62"/>
  <c r="AL63"/>
  <c r="AL64"/>
  <c r="AL65"/>
  <c r="Q76"/>
  <c r="Q77"/>
  <c r="Q78"/>
  <c r="Q79"/>
  <c r="AH78"/>
  <c r="AH77"/>
  <c r="AH76"/>
  <c r="I71"/>
  <c r="I72"/>
  <c r="AH74"/>
  <c r="AH73"/>
  <c r="I70"/>
  <c r="M72"/>
  <c r="M73"/>
  <c r="AH72"/>
  <c r="P72"/>
  <c r="P71"/>
  <c r="AX65"/>
  <c r="AW65"/>
  <c r="AV65"/>
  <c r="AU65"/>
  <c r="AT65"/>
  <c r="AS65"/>
  <c r="AR65"/>
  <c r="AQ65"/>
  <c r="E28"/>
  <c r="E65"/>
  <c r="AN65"/>
  <c r="F28"/>
  <c r="F65"/>
  <c r="AO65"/>
  <c r="AP65"/>
  <c r="Q65"/>
  <c r="AH65"/>
  <c r="AG65"/>
  <c r="AF65"/>
  <c r="AX64"/>
  <c r="AW64"/>
  <c r="AV64"/>
  <c r="AU64"/>
  <c r="AT64"/>
  <c r="AS64"/>
  <c r="AR64"/>
  <c r="AQ64"/>
  <c r="E27"/>
  <c r="E64"/>
  <c r="AN64"/>
  <c r="F27"/>
  <c r="F64"/>
  <c r="AO64"/>
  <c r="AP64"/>
  <c r="Q64"/>
  <c r="AH64"/>
  <c r="AG64"/>
  <c r="AF64"/>
  <c r="AX63"/>
  <c r="AW63"/>
  <c r="AV63"/>
  <c r="AU63"/>
  <c r="AT63"/>
  <c r="AS63"/>
  <c r="AR63"/>
  <c r="AQ63"/>
  <c r="E26"/>
  <c r="E63"/>
  <c r="AN63"/>
  <c r="F26"/>
  <c r="F63"/>
  <c r="AO63"/>
  <c r="AP63"/>
  <c r="Q63"/>
  <c r="AH63"/>
  <c r="AG63"/>
  <c r="AF63"/>
  <c r="AX62"/>
  <c r="AW62"/>
  <c r="AV62"/>
  <c r="AU62"/>
  <c r="AT62"/>
  <c r="AS62"/>
  <c r="AR62"/>
  <c r="AQ62"/>
  <c r="E25"/>
  <c r="E62"/>
  <c r="AN62"/>
  <c r="F25"/>
  <c r="F62"/>
  <c r="AO62"/>
  <c r="AP62"/>
  <c r="Q62"/>
  <c r="AH62"/>
  <c r="AG62"/>
  <c r="AF62"/>
  <c r="AX61"/>
  <c r="AW61"/>
  <c r="AV61"/>
  <c r="AU61"/>
  <c r="AT61"/>
  <c r="AS61"/>
  <c r="AR61"/>
  <c r="AQ61"/>
  <c r="E24"/>
  <c r="E61"/>
  <c r="AN61"/>
  <c r="F24"/>
  <c r="F61"/>
  <c r="AO61"/>
  <c r="AP61"/>
  <c r="Q61"/>
  <c r="AH61"/>
  <c r="AG61"/>
  <c r="AF61"/>
  <c r="I59"/>
  <c r="AO57"/>
  <c r="AN57"/>
  <c r="AM57"/>
  <c r="AL57"/>
  <c r="AK57"/>
  <c r="AJ57"/>
  <c r="AI57"/>
  <c r="AH57"/>
  <c r="AG57"/>
  <c r="AF57"/>
  <c r="AE57"/>
  <c r="AD57"/>
  <c r="AA57"/>
  <c r="Z57"/>
  <c r="Y57"/>
  <c r="I57"/>
  <c r="H57"/>
  <c r="G57"/>
  <c r="F57"/>
  <c r="E57"/>
  <c r="D57"/>
  <c r="C57"/>
  <c r="AO55"/>
  <c r="AN55"/>
  <c r="AM55"/>
  <c r="AL55"/>
  <c r="AK55"/>
  <c r="AJ55"/>
  <c r="AG55"/>
  <c r="AF55"/>
  <c r="AE55"/>
  <c r="AD55"/>
  <c r="AC55"/>
  <c r="AB55"/>
  <c r="AA55"/>
  <c r="Z55"/>
  <c r="Y55"/>
  <c r="I55"/>
  <c r="G55"/>
  <c r="F55"/>
  <c r="E55"/>
  <c r="D55"/>
  <c r="C55"/>
  <c r="AO54"/>
  <c r="AN54"/>
  <c r="AM54"/>
  <c r="AL54"/>
  <c r="AK54"/>
  <c r="AJ54"/>
  <c r="AG54"/>
  <c r="AF54"/>
  <c r="AE54"/>
  <c r="AD54"/>
  <c r="AC54"/>
  <c r="AB54"/>
  <c r="AA54"/>
  <c r="Z54"/>
  <c r="Y54"/>
  <c r="I54"/>
  <c r="H54"/>
  <c r="G54"/>
  <c r="F54"/>
  <c r="E54"/>
  <c r="D54"/>
  <c r="C54"/>
  <c r="AO53"/>
  <c r="AN53"/>
  <c r="AM53"/>
  <c r="AL53"/>
  <c r="AK53"/>
  <c r="AJ53"/>
  <c r="AI53"/>
  <c r="AH53"/>
  <c r="AG53"/>
  <c r="AF53"/>
  <c r="AE53"/>
  <c r="AD53"/>
  <c r="AC53"/>
  <c r="AB53"/>
  <c r="AA53"/>
  <c r="Z53"/>
  <c r="Y53"/>
  <c r="I53"/>
  <c r="H53"/>
  <c r="G53"/>
  <c r="F53"/>
  <c r="E53"/>
  <c r="D53"/>
  <c r="C53"/>
  <c r="AO52"/>
  <c r="AN52"/>
  <c r="AM52"/>
  <c r="AL52"/>
  <c r="AK52"/>
  <c r="AJ52"/>
  <c r="AI52"/>
  <c r="AH52"/>
  <c r="AG52"/>
  <c r="AF52"/>
  <c r="AE52"/>
  <c r="AD52"/>
  <c r="AC52"/>
  <c r="AB52"/>
  <c r="AA52"/>
  <c r="Z52"/>
  <c r="Y52"/>
  <c r="I52"/>
  <c r="H52"/>
  <c r="G52"/>
  <c r="F52"/>
  <c r="E52"/>
  <c r="D52"/>
  <c r="C52"/>
  <c r="AO51"/>
  <c r="AN51"/>
  <c r="AM51"/>
  <c r="AJ51"/>
  <c r="AE51"/>
  <c r="AD51"/>
  <c r="Z51"/>
  <c r="Y51"/>
  <c r="G51"/>
  <c r="F51"/>
  <c r="E51"/>
  <c r="D51"/>
  <c r="C51"/>
  <c r="AO50"/>
  <c r="AN50"/>
  <c r="AM50"/>
  <c r="AJ50"/>
  <c r="AE50"/>
  <c r="AD50"/>
  <c r="Z50"/>
  <c r="Y50"/>
  <c r="G50"/>
  <c r="F50"/>
  <c r="E50"/>
  <c r="D50"/>
  <c r="C50"/>
  <c r="AO49"/>
  <c r="AN49"/>
  <c r="AM49"/>
  <c r="AL49"/>
  <c r="AK49"/>
  <c r="AJ49"/>
  <c r="AG49"/>
  <c r="AF49"/>
  <c r="AE49"/>
  <c r="AD49"/>
  <c r="AC49"/>
  <c r="AB49"/>
  <c r="AA49"/>
  <c r="Z49"/>
  <c r="Y49"/>
  <c r="I49"/>
  <c r="H49"/>
  <c r="G49"/>
  <c r="F49"/>
  <c r="E49"/>
  <c r="D49"/>
  <c r="C49"/>
  <c r="AO48"/>
  <c r="AN48"/>
  <c r="AM48"/>
  <c r="AJ48"/>
  <c r="AE48"/>
  <c r="AD48"/>
  <c r="AA48"/>
  <c r="Z48"/>
  <c r="Y48"/>
  <c r="G48"/>
  <c r="F48"/>
  <c r="E48"/>
  <c r="D48"/>
  <c r="C48"/>
  <c r="AO47"/>
  <c r="AN47"/>
  <c r="AM47"/>
  <c r="AJ47"/>
  <c r="AE47"/>
  <c r="AD47"/>
  <c r="AA47"/>
  <c r="Z47"/>
  <c r="Y47"/>
  <c r="G47"/>
  <c r="F47"/>
  <c r="E47"/>
  <c r="D47"/>
  <c r="C47"/>
  <c r="AO46"/>
  <c r="AN46"/>
  <c r="AM46"/>
  <c r="AL46"/>
  <c r="AK46"/>
  <c r="AJ46"/>
  <c r="AG46"/>
  <c r="AF46"/>
  <c r="AE46"/>
  <c r="AD46"/>
  <c r="AC46"/>
  <c r="AB46"/>
  <c r="AA46"/>
  <c r="Z46"/>
  <c r="Y46"/>
  <c r="I46"/>
  <c r="H46"/>
  <c r="G46"/>
  <c r="F46"/>
  <c r="E46"/>
  <c r="D46"/>
  <c r="C46"/>
  <c r="AO45"/>
  <c r="AN45"/>
  <c r="AM45"/>
  <c r="AL45"/>
  <c r="AK45"/>
  <c r="AJ45"/>
  <c r="AI45"/>
  <c r="AH45"/>
  <c r="AG45"/>
  <c r="AF45"/>
  <c r="AE45"/>
  <c r="AD45"/>
  <c r="AC45"/>
  <c r="AB45"/>
  <c r="AA45"/>
  <c r="Z45"/>
  <c r="Y45"/>
  <c r="I45"/>
  <c r="H45"/>
  <c r="G45"/>
  <c r="F45"/>
  <c r="E45"/>
  <c r="D45"/>
  <c r="C45"/>
  <c r="AO44"/>
  <c r="AN44"/>
  <c r="AM44"/>
  <c r="AL44"/>
  <c r="AK44"/>
  <c r="AJ44"/>
  <c r="AG44"/>
  <c r="AF44"/>
  <c r="AE44"/>
  <c r="AD44"/>
  <c r="AC44"/>
  <c r="AB44"/>
  <c r="AA44"/>
  <c r="Z44"/>
  <c r="Y44"/>
  <c r="I44"/>
  <c r="H44"/>
  <c r="G44"/>
  <c r="F44"/>
  <c r="E44"/>
  <c r="D44"/>
  <c r="C44"/>
  <c r="AO43"/>
  <c r="AN43"/>
  <c r="AM43"/>
  <c r="AL43"/>
  <c r="AK43"/>
  <c r="AJ43"/>
  <c r="AG43"/>
  <c r="AF43"/>
  <c r="AE43"/>
  <c r="AD43"/>
  <c r="AC43"/>
  <c r="AB43"/>
  <c r="AA43"/>
  <c r="Z43"/>
  <c r="Y43"/>
  <c r="I43"/>
  <c r="H43"/>
  <c r="G43"/>
  <c r="F43"/>
  <c r="E43"/>
  <c r="D43"/>
  <c r="C43"/>
  <c r="AO42"/>
  <c r="AN42"/>
  <c r="AM42"/>
  <c r="AL42"/>
  <c r="AK42"/>
  <c r="AJ42"/>
  <c r="AG42"/>
  <c r="AF42"/>
  <c r="AE42"/>
  <c r="AD42"/>
  <c r="AC42"/>
  <c r="AB42"/>
  <c r="AA42"/>
  <c r="Z42"/>
  <c r="Y42"/>
  <c r="I42"/>
  <c r="H42"/>
  <c r="G42"/>
  <c r="F42"/>
  <c r="E42"/>
  <c r="D42"/>
  <c r="C42"/>
  <c r="AO41"/>
  <c r="AN41"/>
  <c r="AM41"/>
  <c r="AL41"/>
  <c r="AK41"/>
  <c r="AJ41"/>
  <c r="AG41"/>
  <c r="AF41"/>
  <c r="AE41"/>
  <c r="AD41"/>
  <c r="AA41"/>
  <c r="Z41"/>
  <c r="Y41"/>
  <c r="I41"/>
  <c r="H41"/>
  <c r="G41"/>
  <c r="F41"/>
  <c r="E41"/>
  <c r="D41"/>
  <c r="C41"/>
  <c r="AO40"/>
  <c r="AN40"/>
  <c r="AM40"/>
  <c r="AL40"/>
  <c r="AK40"/>
  <c r="AJ40"/>
  <c r="AG40"/>
  <c r="AF40"/>
  <c r="AE40"/>
  <c r="AD40"/>
  <c r="AC40"/>
  <c r="AB40"/>
  <c r="AA40"/>
  <c r="Z40"/>
  <c r="Y40"/>
  <c r="I40"/>
  <c r="H40"/>
  <c r="G40"/>
  <c r="F40"/>
  <c r="E40"/>
  <c r="D40"/>
  <c r="C40"/>
  <c r="AO38"/>
  <c r="AN38"/>
  <c r="AM38"/>
  <c r="AL38"/>
  <c r="AK38"/>
  <c r="AJ38"/>
  <c r="AI38"/>
  <c r="AH38"/>
  <c r="AG38"/>
  <c r="AF38"/>
  <c r="AE38"/>
  <c r="AD38"/>
  <c r="AC38"/>
  <c r="AB38"/>
  <c r="AA38"/>
  <c r="Z38"/>
  <c r="Y38"/>
  <c r="I38"/>
  <c r="H38"/>
  <c r="G38"/>
  <c r="F38"/>
  <c r="E38"/>
  <c r="D38"/>
  <c r="C38"/>
  <c r="AO37"/>
  <c r="AN37"/>
  <c r="AM37"/>
  <c r="AL37"/>
  <c r="AK37"/>
  <c r="AJ37"/>
  <c r="AI37"/>
  <c r="AH37"/>
  <c r="AG37"/>
  <c r="AF37"/>
  <c r="AE37"/>
  <c r="AD37"/>
  <c r="AC37"/>
  <c r="AB37"/>
  <c r="AA37"/>
  <c r="Z37"/>
  <c r="Y37"/>
  <c r="I37"/>
  <c r="H37"/>
  <c r="G37"/>
  <c r="F37"/>
  <c r="E37"/>
  <c r="D37"/>
  <c r="C37"/>
  <c r="AO36"/>
  <c r="AN36"/>
  <c r="AM36"/>
  <c r="AL36"/>
  <c r="AK36"/>
  <c r="AJ36"/>
  <c r="AI36"/>
  <c r="AH36"/>
  <c r="AG36"/>
  <c r="AF36"/>
  <c r="AE36"/>
  <c r="AD36"/>
  <c r="AC36"/>
  <c r="AB36"/>
  <c r="AA36"/>
  <c r="Z36"/>
  <c r="Y36"/>
  <c r="G36"/>
  <c r="F36"/>
  <c r="E36"/>
  <c r="D36"/>
  <c r="C36"/>
  <c r="AO35"/>
  <c r="AN35"/>
  <c r="AM35"/>
  <c r="AL35"/>
  <c r="AK35"/>
  <c r="AJ35"/>
  <c r="AI35"/>
  <c r="AH35"/>
  <c r="AG35"/>
  <c r="AF35"/>
  <c r="AE35"/>
  <c r="AD35"/>
  <c r="AC35"/>
  <c r="AB35"/>
  <c r="AA35"/>
  <c r="Z35"/>
  <c r="Y35"/>
  <c r="G35"/>
  <c r="F35"/>
  <c r="E35"/>
  <c r="D35"/>
  <c r="C35"/>
  <c r="AO34"/>
  <c r="AN34"/>
  <c r="AM34"/>
  <c r="AL34"/>
  <c r="AK34"/>
  <c r="AJ34"/>
  <c r="AI34"/>
  <c r="AH34"/>
  <c r="AG34"/>
  <c r="AF34"/>
  <c r="AE34"/>
  <c r="AD34"/>
  <c r="AC34"/>
  <c r="AB34"/>
  <c r="AA34"/>
  <c r="Z34"/>
  <c r="Y34"/>
  <c r="I34"/>
  <c r="H34"/>
  <c r="G34"/>
  <c r="F34"/>
  <c r="E34"/>
  <c r="D34"/>
  <c r="C34"/>
  <c r="AO33"/>
  <c r="AN33"/>
  <c r="AM33"/>
  <c r="AL33"/>
  <c r="AK33"/>
  <c r="AJ33"/>
  <c r="AI33"/>
  <c r="AH33"/>
  <c r="AG33"/>
  <c r="AF33"/>
  <c r="AE33"/>
  <c r="AD33"/>
  <c r="AC33"/>
  <c r="AB33"/>
  <c r="AA33"/>
  <c r="Z33"/>
  <c r="Y33"/>
  <c r="I33"/>
  <c r="H33"/>
  <c r="G33"/>
  <c r="F33"/>
  <c r="E33"/>
  <c r="D33"/>
  <c r="C33"/>
  <c r="AO32"/>
  <c r="AN32"/>
  <c r="AM32"/>
  <c r="AL32"/>
  <c r="AK32"/>
  <c r="AJ32"/>
  <c r="AI32"/>
  <c r="AH32"/>
  <c r="AG32"/>
  <c r="AF32"/>
  <c r="AE32"/>
  <c r="AD32"/>
  <c r="AA32"/>
  <c r="Z32"/>
  <c r="Y32"/>
  <c r="I32"/>
  <c r="H32"/>
  <c r="G32"/>
  <c r="F32"/>
  <c r="E32"/>
  <c r="D32"/>
  <c r="C32"/>
  <c r="AO31"/>
  <c r="AN31"/>
  <c r="AM31"/>
  <c r="AL31"/>
  <c r="AK31"/>
  <c r="AJ31"/>
  <c r="AI31"/>
  <c r="AH31"/>
  <c r="AG31"/>
  <c r="AF31"/>
  <c r="AE31"/>
  <c r="AD31"/>
  <c r="AC31"/>
  <c r="AB31"/>
  <c r="AA31"/>
  <c r="Z31"/>
  <c r="Y31"/>
  <c r="I31"/>
  <c r="H31"/>
  <c r="G31"/>
  <c r="F31"/>
  <c r="E31"/>
  <c r="D31"/>
  <c r="AB28"/>
  <c r="AK28"/>
  <c r="AO28"/>
  <c r="AN28"/>
  <c r="AM28"/>
  <c r="AL28"/>
  <c r="AJ28"/>
  <c r="AI28"/>
  <c r="AH28"/>
  <c r="AG28"/>
  <c r="AF28"/>
  <c r="AE28"/>
  <c r="AD28"/>
  <c r="AC28"/>
  <c r="AA28"/>
  <c r="Z28"/>
  <c r="Y28"/>
  <c r="G28"/>
  <c r="D28"/>
  <c r="C28"/>
  <c r="AB27"/>
  <c r="AK27"/>
  <c r="AO27"/>
  <c r="AN27"/>
  <c r="AM27"/>
  <c r="AL27"/>
  <c r="AJ27"/>
  <c r="AI27"/>
  <c r="AH27"/>
  <c r="AG27"/>
  <c r="AF27"/>
  <c r="AE27"/>
  <c r="AD27"/>
  <c r="AC27"/>
  <c r="AA27"/>
  <c r="Z27"/>
  <c r="Y27"/>
  <c r="G27"/>
  <c r="D27"/>
  <c r="C27"/>
  <c r="AB26"/>
  <c r="AK26"/>
  <c r="AO26"/>
  <c r="AN26"/>
  <c r="AM26"/>
  <c r="AL26"/>
  <c r="AJ26"/>
  <c r="AI26"/>
  <c r="AH26"/>
  <c r="AG26"/>
  <c r="AF26"/>
  <c r="AE26"/>
  <c r="AD26"/>
  <c r="AC26"/>
  <c r="AA26"/>
  <c r="Z26"/>
  <c r="Y26"/>
  <c r="G26"/>
  <c r="D26"/>
  <c r="C26"/>
  <c r="AK25"/>
  <c r="AO25"/>
  <c r="AN25"/>
  <c r="AM25"/>
  <c r="AL25"/>
  <c r="AJ25"/>
  <c r="AI25"/>
  <c r="AH25"/>
  <c r="AG25"/>
  <c r="AF25"/>
  <c r="AE25"/>
  <c r="AD25"/>
  <c r="AC25"/>
  <c r="AA25"/>
  <c r="Z25"/>
  <c r="Y25"/>
  <c r="G25"/>
  <c r="D25"/>
  <c r="C25"/>
  <c r="AB24"/>
  <c r="AK24"/>
  <c r="AO24"/>
  <c r="AN24"/>
  <c r="AM24"/>
  <c r="AL24"/>
  <c r="AJ24"/>
  <c r="AI24"/>
  <c r="AH24"/>
  <c r="AG24"/>
  <c r="AF24"/>
  <c r="AE24"/>
  <c r="AD24"/>
  <c r="AC24"/>
  <c r="AA24"/>
  <c r="Z24"/>
  <c r="Y24"/>
  <c r="G24"/>
  <c r="D24"/>
  <c r="C24"/>
  <c r="AO23"/>
  <c r="AN23"/>
  <c r="AM23"/>
  <c r="AL23"/>
  <c r="AK23"/>
  <c r="AJ23"/>
  <c r="AI23"/>
  <c r="AH23"/>
  <c r="AG23"/>
  <c r="AF23"/>
  <c r="AE23"/>
  <c r="AD23"/>
  <c r="AC23"/>
  <c r="AB23"/>
  <c r="AA23"/>
  <c r="Z23"/>
  <c r="Y23"/>
  <c r="F6"/>
  <c r="F5"/>
  <c r="Q21"/>
  <c r="D21"/>
  <c r="E20"/>
  <c r="D20"/>
  <c r="D19"/>
  <c r="D17"/>
  <c r="E16"/>
  <c r="D16"/>
  <c r="D15"/>
  <c r="F13"/>
  <c r="D13"/>
  <c r="D12"/>
  <c r="D11"/>
  <c r="D9"/>
  <c r="D8"/>
  <c r="D7"/>
  <c r="F4"/>
  <c r="F3"/>
  <c r="D6" i="226"/>
  <c r="D5"/>
  <c r="H33"/>
  <c r="I33"/>
  <c r="T24"/>
  <c r="J33"/>
  <c r="V24"/>
  <c r="L33"/>
  <c r="D3"/>
  <c r="F8"/>
  <c r="W24"/>
  <c r="M33"/>
  <c r="U24"/>
  <c r="K33"/>
  <c r="N33"/>
  <c r="O33"/>
  <c r="P33"/>
  <c r="R33"/>
  <c r="T33"/>
  <c r="H34"/>
  <c r="I34"/>
  <c r="J34"/>
  <c r="L34"/>
  <c r="M34"/>
  <c r="K34"/>
  <c r="N34"/>
  <c r="O34"/>
  <c r="P34"/>
  <c r="R34"/>
  <c r="T34"/>
  <c r="H35"/>
  <c r="I35"/>
  <c r="T26"/>
  <c r="J35"/>
  <c r="V26"/>
  <c r="L35"/>
  <c r="W26"/>
  <c r="M35"/>
  <c r="U26"/>
  <c r="K35"/>
  <c r="N35"/>
  <c r="O35"/>
  <c r="P35"/>
  <c r="R35"/>
  <c r="T35"/>
  <c r="T37"/>
  <c r="S33"/>
  <c r="S34"/>
  <c r="S35"/>
  <c r="S37"/>
  <c r="R37"/>
  <c r="P40"/>
  <c r="O37"/>
  <c r="I45"/>
  <c r="I46"/>
  <c r="U33"/>
  <c r="U34"/>
  <c r="U35"/>
  <c r="U37"/>
  <c r="I47"/>
  <c r="I48"/>
  <c r="I49"/>
  <c r="V33"/>
  <c r="W33"/>
  <c r="V34"/>
  <c r="W34"/>
  <c r="V35"/>
  <c r="W35"/>
  <c r="W37"/>
  <c r="V37"/>
  <c r="I51"/>
  <c r="I52"/>
  <c r="M53"/>
  <c r="M54"/>
  <c r="I53"/>
  <c r="AJ33"/>
  <c r="AK33"/>
  <c r="AJ34"/>
  <c r="AK34"/>
  <c r="AJ35"/>
  <c r="AK35"/>
  <c r="AL33"/>
  <c r="AL34"/>
  <c r="AL35"/>
  <c r="Q46"/>
  <c r="Q47"/>
  <c r="Q48"/>
  <c r="Q49"/>
  <c r="AH48"/>
  <c r="AH47"/>
  <c r="AH46"/>
  <c r="I41"/>
  <c r="I42"/>
  <c r="AH44"/>
  <c r="AH43"/>
  <c r="I40"/>
  <c r="M42"/>
  <c r="M43"/>
  <c r="AH42"/>
  <c r="P42"/>
  <c r="P41"/>
  <c r="AH26"/>
  <c r="AX35"/>
  <c r="AW35"/>
  <c r="AV35"/>
  <c r="AU35"/>
  <c r="AT35"/>
  <c r="AS35"/>
  <c r="AR35"/>
  <c r="AQ35"/>
  <c r="E26"/>
  <c r="E35"/>
  <c r="AN35"/>
  <c r="F26"/>
  <c r="F35"/>
  <c r="AO35"/>
  <c r="AP35"/>
  <c r="Q35"/>
  <c r="AH35"/>
  <c r="AG35"/>
  <c r="AF35"/>
  <c r="AH25"/>
  <c r="F3"/>
  <c r="AY34"/>
  <c r="AX34"/>
  <c r="AW34"/>
  <c r="AV34"/>
  <c r="AU34"/>
  <c r="AT34"/>
  <c r="AS34"/>
  <c r="AR34"/>
  <c r="AQ34"/>
  <c r="E25"/>
  <c r="E34"/>
  <c r="AN34"/>
  <c r="F25"/>
  <c r="F34"/>
  <c r="AO34"/>
  <c r="AP34"/>
  <c r="Q34"/>
  <c r="AH34"/>
  <c r="AG34"/>
  <c r="AF34"/>
  <c r="AH24"/>
  <c r="F4"/>
  <c r="AY33"/>
  <c r="AX33"/>
  <c r="AW33"/>
  <c r="AV33"/>
  <c r="AU33"/>
  <c r="AT33"/>
  <c r="AS33"/>
  <c r="AR33"/>
  <c r="AQ33"/>
  <c r="E24"/>
  <c r="E33"/>
  <c r="AN33"/>
  <c r="F24"/>
  <c r="F33"/>
  <c r="AO33"/>
  <c r="AP33"/>
  <c r="Q33"/>
  <c r="AH33"/>
  <c r="AG33"/>
  <c r="AF33"/>
  <c r="I31"/>
  <c r="AQ29"/>
  <c r="AP29"/>
  <c r="AO29"/>
  <c r="AN29"/>
  <c r="AM29"/>
  <c r="AL29"/>
  <c r="AK29"/>
  <c r="AJ29"/>
  <c r="AI29"/>
  <c r="AH29"/>
  <c r="AG29"/>
  <c r="AF29"/>
  <c r="AE29"/>
  <c r="AD29"/>
  <c r="AC29"/>
  <c r="AB29"/>
  <c r="AA29"/>
  <c r="Z29"/>
  <c r="Y29"/>
  <c r="G29"/>
  <c r="F29"/>
  <c r="E29"/>
  <c r="D29"/>
  <c r="C29"/>
  <c r="AQ26"/>
  <c r="AP26"/>
  <c r="AO26"/>
  <c r="AN26"/>
  <c r="AM26"/>
  <c r="AL26"/>
  <c r="AK26"/>
  <c r="AJ26"/>
  <c r="AI26"/>
  <c r="AG26"/>
  <c r="AF26"/>
  <c r="AE26"/>
  <c r="AD26"/>
  <c r="AC26"/>
  <c r="AB26"/>
  <c r="AA26"/>
  <c r="Z26"/>
  <c r="Y26"/>
  <c r="G26"/>
  <c r="D26"/>
  <c r="C26"/>
  <c r="AQ25"/>
  <c r="AP25"/>
  <c r="AO25"/>
  <c r="AN25"/>
  <c r="AM25"/>
  <c r="AL25"/>
  <c r="AK25"/>
  <c r="AJ25"/>
  <c r="AI25"/>
  <c r="AG25"/>
  <c r="AF25"/>
  <c r="AE25"/>
  <c r="AD25"/>
  <c r="AC25"/>
  <c r="AB25"/>
  <c r="AA25"/>
  <c r="Z25"/>
  <c r="Y25"/>
  <c r="G25"/>
  <c r="D25"/>
  <c r="C25"/>
  <c r="AQ24"/>
  <c r="AP24"/>
  <c r="AO24"/>
  <c r="AN24"/>
  <c r="AM24"/>
  <c r="AL24"/>
  <c r="AK24"/>
  <c r="AJ24"/>
  <c r="AI24"/>
  <c r="AG24"/>
  <c r="AF24"/>
  <c r="AE24"/>
  <c r="AD24"/>
  <c r="AC24"/>
  <c r="AB24"/>
  <c r="AA24"/>
  <c r="Z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D6" i="247"/>
  <c r="D5"/>
  <c r="H42"/>
  <c r="I24"/>
  <c r="I42"/>
  <c r="J42"/>
  <c r="L42"/>
  <c r="D3"/>
  <c r="M42"/>
  <c r="K42"/>
  <c r="N42"/>
  <c r="O42"/>
  <c r="P42"/>
  <c r="R42"/>
  <c r="T42"/>
  <c r="H43"/>
  <c r="I43"/>
  <c r="J43"/>
  <c r="L43"/>
  <c r="M43"/>
  <c r="K43"/>
  <c r="N43"/>
  <c r="O43"/>
  <c r="P43"/>
  <c r="R43"/>
  <c r="T43"/>
  <c r="H44"/>
  <c r="I44"/>
  <c r="J44"/>
  <c r="L44"/>
  <c r="M44"/>
  <c r="K44"/>
  <c r="N44"/>
  <c r="O44"/>
  <c r="P44"/>
  <c r="R44"/>
  <c r="T44"/>
  <c r="H45"/>
  <c r="I45"/>
  <c r="T29"/>
  <c r="J45"/>
  <c r="V29"/>
  <c r="L45"/>
  <c r="F8"/>
  <c r="W29"/>
  <c r="M45"/>
  <c r="U29"/>
  <c r="K45"/>
  <c r="N45"/>
  <c r="O45"/>
  <c r="P45"/>
  <c r="R45"/>
  <c r="T45"/>
  <c r="H30"/>
  <c r="H46"/>
  <c r="I30"/>
  <c r="I46"/>
  <c r="T30"/>
  <c r="J46"/>
  <c r="V30"/>
  <c r="L46"/>
  <c r="W30"/>
  <c r="M46"/>
  <c r="U30"/>
  <c r="K46"/>
  <c r="N46"/>
  <c r="O46"/>
  <c r="P46"/>
  <c r="R46"/>
  <c r="T46"/>
  <c r="H47"/>
  <c r="I47"/>
  <c r="T31"/>
  <c r="J47"/>
  <c r="V31"/>
  <c r="L47"/>
  <c r="W31"/>
  <c r="M47"/>
  <c r="U31"/>
  <c r="K47"/>
  <c r="N47"/>
  <c r="O47"/>
  <c r="P47"/>
  <c r="R47"/>
  <c r="T47"/>
  <c r="H48"/>
  <c r="I32"/>
  <c r="I48"/>
  <c r="T32"/>
  <c r="J48"/>
  <c r="V32"/>
  <c r="L48"/>
  <c r="W32"/>
  <c r="M48"/>
  <c r="U32"/>
  <c r="K48"/>
  <c r="N48"/>
  <c r="O48"/>
  <c r="P48"/>
  <c r="R48"/>
  <c r="T48"/>
  <c r="T50"/>
  <c r="S42"/>
  <c r="S43"/>
  <c r="S44"/>
  <c r="S45"/>
  <c r="S46"/>
  <c r="S47"/>
  <c r="S48"/>
  <c r="S50"/>
  <c r="R50"/>
  <c r="P53"/>
  <c r="O50"/>
  <c r="I58"/>
  <c r="I62"/>
  <c r="V42"/>
  <c r="W42"/>
  <c r="V43"/>
  <c r="W43"/>
  <c r="V44"/>
  <c r="W44"/>
  <c r="V45"/>
  <c r="W45"/>
  <c r="V46"/>
  <c r="W46"/>
  <c r="V47"/>
  <c r="W47"/>
  <c r="V48"/>
  <c r="W48"/>
  <c r="W50"/>
  <c r="V50"/>
  <c r="I64"/>
  <c r="I65"/>
  <c r="M66"/>
  <c r="M67"/>
  <c r="I66"/>
  <c r="AJ42"/>
  <c r="AK42"/>
  <c r="AJ43"/>
  <c r="AK43"/>
  <c r="AJ44"/>
  <c r="AK44"/>
  <c r="AJ45"/>
  <c r="AK45"/>
  <c r="AJ46"/>
  <c r="AK46"/>
  <c r="AJ47"/>
  <c r="AK47"/>
  <c r="AJ48"/>
  <c r="AK48"/>
  <c r="AL42"/>
  <c r="AL43"/>
  <c r="AL44"/>
  <c r="AL45"/>
  <c r="AL46"/>
  <c r="AL47"/>
  <c r="AL48"/>
  <c r="Q59"/>
  <c r="Q60"/>
  <c r="Q61"/>
  <c r="Q62"/>
  <c r="AH61"/>
  <c r="I59"/>
  <c r="U42"/>
  <c r="U43"/>
  <c r="U44"/>
  <c r="U45"/>
  <c r="U46"/>
  <c r="U47"/>
  <c r="U48"/>
  <c r="U50"/>
  <c r="I60"/>
  <c r="I61"/>
  <c r="AH60"/>
  <c r="AH59"/>
  <c r="I54"/>
  <c r="I55"/>
  <c r="AH57"/>
  <c r="AH56"/>
  <c r="I53"/>
  <c r="M55"/>
  <c r="M56"/>
  <c r="AH55"/>
  <c r="P55"/>
  <c r="P54"/>
  <c r="AX48"/>
  <c r="AW48"/>
  <c r="AV48"/>
  <c r="AU48"/>
  <c r="AT48"/>
  <c r="AS48"/>
  <c r="AR48"/>
  <c r="AQ48"/>
  <c r="E32"/>
  <c r="E48"/>
  <c r="AN48"/>
  <c r="F32"/>
  <c r="F48"/>
  <c r="AO48"/>
  <c r="AP48"/>
  <c r="Q48"/>
  <c r="AH48"/>
  <c r="AG48"/>
  <c r="AF48"/>
  <c r="AX47"/>
  <c r="AW47"/>
  <c r="AV47"/>
  <c r="AU47"/>
  <c r="AT47"/>
  <c r="AS47"/>
  <c r="AR47"/>
  <c r="AQ47"/>
  <c r="E31"/>
  <c r="E47"/>
  <c r="AN47"/>
  <c r="F31"/>
  <c r="F47"/>
  <c r="AO47"/>
  <c r="AP47"/>
  <c r="Q47"/>
  <c r="AH47"/>
  <c r="AG47"/>
  <c r="AF47"/>
  <c r="AX46"/>
  <c r="AW46"/>
  <c r="AV46"/>
  <c r="AU46"/>
  <c r="AT46"/>
  <c r="AS46"/>
  <c r="AR46"/>
  <c r="AQ46"/>
  <c r="E30"/>
  <c r="E46"/>
  <c r="AN46"/>
  <c r="F30"/>
  <c r="F46"/>
  <c r="AO46"/>
  <c r="AP46"/>
  <c r="Q46"/>
  <c r="AH46"/>
  <c r="AG46"/>
  <c r="AF46"/>
  <c r="AX45"/>
  <c r="AW45"/>
  <c r="AV45"/>
  <c r="AU45"/>
  <c r="AT45"/>
  <c r="AS45"/>
  <c r="AR45"/>
  <c r="AQ45"/>
  <c r="E29"/>
  <c r="E45"/>
  <c r="AN45"/>
  <c r="F29"/>
  <c r="F45"/>
  <c r="AO45"/>
  <c r="AP45"/>
  <c r="Q45"/>
  <c r="AH45"/>
  <c r="AG45"/>
  <c r="AF45"/>
  <c r="AX44"/>
  <c r="AW44"/>
  <c r="AV44"/>
  <c r="AU44"/>
  <c r="AT44"/>
  <c r="AS44"/>
  <c r="AR44"/>
  <c r="AQ44"/>
  <c r="E26"/>
  <c r="E44"/>
  <c r="AN44"/>
  <c r="F26"/>
  <c r="F44"/>
  <c r="AO44"/>
  <c r="AP44"/>
  <c r="Q44"/>
  <c r="AH44"/>
  <c r="AG44"/>
  <c r="AF44"/>
  <c r="AX43"/>
  <c r="AW43"/>
  <c r="AV43"/>
  <c r="AU43"/>
  <c r="AT43"/>
  <c r="AS43"/>
  <c r="AR43"/>
  <c r="AQ43"/>
  <c r="E25"/>
  <c r="E43"/>
  <c r="AN43"/>
  <c r="F25"/>
  <c r="F43"/>
  <c r="AO43"/>
  <c r="AP43"/>
  <c r="Q43"/>
  <c r="AH43"/>
  <c r="AG43"/>
  <c r="AF43"/>
  <c r="F6"/>
  <c r="AY42"/>
  <c r="AX42"/>
  <c r="AW42"/>
  <c r="AV42"/>
  <c r="AU42"/>
  <c r="AT42"/>
  <c r="AS42"/>
  <c r="AR42"/>
  <c r="AQ42"/>
  <c r="E24"/>
  <c r="E42"/>
  <c r="AN42"/>
  <c r="F24"/>
  <c r="F42"/>
  <c r="AO42"/>
  <c r="AP42"/>
  <c r="Q42"/>
  <c r="AH42"/>
  <c r="AG42"/>
  <c r="AF42"/>
  <c r="I40"/>
  <c r="AQ38"/>
  <c r="AP38"/>
  <c r="AO38"/>
  <c r="AN38"/>
  <c r="AM38"/>
  <c r="AL38"/>
  <c r="AK38"/>
  <c r="AJ38"/>
  <c r="AI38"/>
  <c r="AH38"/>
  <c r="AG38"/>
  <c r="AF38"/>
  <c r="AE38"/>
  <c r="AD38"/>
  <c r="AC38"/>
  <c r="AB38"/>
  <c r="AA38"/>
  <c r="Z38"/>
  <c r="Y38"/>
  <c r="W38"/>
  <c r="V38"/>
  <c r="U38"/>
  <c r="T38"/>
  <c r="I38"/>
  <c r="H38"/>
  <c r="G38"/>
  <c r="F38"/>
  <c r="E38"/>
  <c r="D38"/>
  <c r="C38"/>
  <c r="AQ37"/>
  <c r="AP37"/>
  <c r="AO37"/>
  <c r="AN37"/>
  <c r="AM37"/>
  <c r="AJ37"/>
  <c r="AI37"/>
  <c r="AH37"/>
  <c r="AG37"/>
  <c r="AF37"/>
  <c r="AE37"/>
  <c r="AD37"/>
  <c r="AA37"/>
  <c r="Z37"/>
  <c r="Y37"/>
  <c r="W37"/>
  <c r="V37"/>
  <c r="U37"/>
  <c r="T37"/>
  <c r="G37"/>
  <c r="F37"/>
  <c r="E37"/>
  <c r="D37"/>
  <c r="C37"/>
  <c r="AQ36"/>
  <c r="AP36"/>
  <c r="AO36"/>
  <c r="AN36"/>
  <c r="AM36"/>
  <c r="AL36"/>
  <c r="AK36"/>
  <c r="AJ36"/>
  <c r="AG36"/>
  <c r="AF36"/>
  <c r="AE36"/>
  <c r="AD36"/>
  <c r="AC36"/>
  <c r="AB36"/>
  <c r="AA36"/>
  <c r="Z36"/>
  <c r="Y36"/>
  <c r="I36"/>
  <c r="H36"/>
  <c r="G36"/>
  <c r="F36"/>
  <c r="E36"/>
  <c r="D36"/>
  <c r="C36"/>
  <c r="AQ32"/>
  <c r="AP32"/>
  <c r="AO32"/>
  <c r="AN32"/>
  <c r="AM32"/>
  <c r="AL32"/>
  <c r="AK32"/>
  <c r="AJ32"/>
  <c r="AI32"/>
  <c r="AH32"/>
  <c r="AG32"/>
  <c r="AF32"/>
  <c r="AE32"/>
  <c r="AD32"/>
  <c r="AC32"/>
  <c r="AB32"/>
  <c r="AA32"/>
  <c r="Z32"/>
  <c r="Y32"/>
  <c r="G32"/>
  <c r="D32"/>
  <c r="C32"/>
  <c r="AQ31"/>
  <c r="AP31"/>
  <c r="AO31"/>
  <c r="AN31"/>
  <c r="AM31"/>
  <c r="AJ31"/>
  <c r="AI31"/>
  <c r="AH31"/>
  <c r="AG31"/>
  <c r="AF31"/>
  <c r="AE31"/>
  <c r="AD31"/>
  <c r="AA31"/>
  <c r="Z31"/>
  <c r="Y31"/>
  <c r="G31"/>
  <c r="D31"/>
  <c r="C31"/>
  <c r="AQ30"/>
  <c r="AP30"/>
  <c r="AO30"/>
  <c r="AN30"/>
  <c r="AM30"/>
  <c r="AL30"/>
  <c r="AK30"/>
  <c r="AJ30"/>
  <c r="AI30"/>
  <c r="AH30"/>
  <c r="AG30"/>
  <c r="AF30"/>
  <c r="AE30"/>
  <c r="AD30"/>
  <c r="AC30"/>
  <c r="AB30"/>
  <c r="AA30"/>
  <c r="Z30"/>
  <c r="Y30"/>
  <c r="G30"/>
  <c r="D30"/>
  <c r="C30"/>
  <c r="AQ29"/>
  <c r="AP29"/>
  <c r="AO29"/>
  <c r="AN29"/>
  <c r="AM29"/>
  <c r="AJ29"/>
  <c r="AI29"/>
  <c r="AH29"/>
  <c r="AG29"/>
  <c r="Z29"/>
  <c r="Y29"/>
  <c r="G29"/>
  <c r="D29"/>
  <c r="C29"/>
  <c r="AQ26"/>
  <c r="AP26"/>
  <c r="AO26"/>
  <c r="AN26"/>
  <c r="AM26"/>
  <c r="AJ26"/>
  <c r="AI26"/>
  <c r="AH26"/>
  <c r="AG26"/>
  <c r="AA26"/>
  <c r="Z26"/>
  <c r="Y26"/>
  <c r="G26"/>
  <c r="D26"/>
  <c r="C26"/>
  <c r="AQ25"/>
  <c r="AP25"/>
  <c r="AO25"/>
  <c r="AN25"/>
  <c r="AM25"/>
  <c r="AJ25"/>
  <c r="AI25"/>
  <c r="AH25"/>
  <c r="AG25"/>
  <c r="AA25"/>
  <c r="Z25"/>
  <c r="Y25"/>
  <c r="G25"/>
  <c r="D25"/>
  <c r="C25"/>
  <c r="AQ24"/>
  <c r="AP24"/>
  <c r="AO24"/>
  <c r="AN24"/>
  <c r="AM24"/>
  <c r="AL24"/>
  <c r="AK24"/>
  <c r="AJ24"/>
  <c r="AI24"/>
  <c r="AH24"/>
  <c r="AG24"/>
  <c r="AF24"/>
  <c r="AE24"/>
  <c r="AD24"/>
  <c r="AC24"/>
  <c r="AB24"/>
  <c r="AA24"/>
  <c r="Z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F4"/>
  <c r="F3"/>
  <c r="D6" i="223"/>
  <c r="D5"/>
  <c r="H35"/>
  <c r="I24"/>
  <c r="I35"/>
  <c r="T24"/>
  <c r="J35"/>
  <c r="V24"/>
  <c r="L35"/>
  <c r="D3"/>
  <c r="F8"/>
  <c r="W24"/>
  <c r="M35"/>
  <c r="U24"/>
  <c r="K35"/>
  <c r="N35"/>
  <c r="O35"/>
  <c r="P35"/>
  <c r="R35"/>
  <c r="T35"/>
  <c r="H36"/>
  <c r="I25"/>
  <c r="I36"/>
  <c r="T25"/>
  <c r="J36"/>
  <c r="V25"/>
  <c r="L36"/>
  <c r="W25"/>
  <c r="M36"/>
  <c r="U25"/>
  <c r="K36"/>
  <c r="N36"/>
  <c r="O36"/>
  <c r="P36"/>
  <c r="R36"/>
  <c r="T36"/>
  <c r="H26"/>
  <c r="H37"/>
  <c r="I26"/>
  <c r="I37"/>
  <c r="J37"/>
  <c r="L37"/>
  <c r="M37"/>
  <c r="K37"/>
  <c r="N37"/>
  <c r="O37"/>
  <c r="P37"/>
  <c r="R37"/>
  <c r="T37"/>
  <c r="H38"/>
  <c r="I27"/>
  <c r="I38"/>
  <c r="T27"/>
  <c r="J38"/>
  <c r="V27"/>
  <c r="L38"/>
  <c r="W27"/>
  <c r="M38"/>
  <c r="U27"/>
  <c r="K38"/>
  <c r="N38"/>
  <c r="O38"/>
  <c r="P38"/>
  <c r="R38"/>
  <c r="T38"/>
  <c r="H39"/>
  <c r="I28"/>
  <c r="I39"/>
  <c r="T28"/>
  <c r="J39"/>
  <c r="V28"/>
  <c r="L39"/>
  <c r="W28"/>
  <c r="M39"/>
  <c r="U28"/>
  <c r="K39"/>
  <c r="N39"/>
  <c r="O39"/>
  <c r="P39"/>
  <c r="R39"/>
  <c r="T39"/>
  <c r="T41"/>
  <c r="S35"/>
  <c r="S36"/>
  <c r="S37"/>
  <c r="S38"/>
  <c r="S39"/>
  <c r="S41"/>
  <c r="R41"/>
  <c r="P44"/>
  <c r="O41"/>
  <c r="I49"/>
  <c r="I50"/>
  <c r="U35"/>
  <c r="U36"/>
  <c r="U37"/>
  <c r="U38"/>
  <c r="U39"/>
  <c r="U41"/>
  <c r="I51"/>
  <c r="I52"/>
  <c r="I53"/>
  <c r="V35"/>
  <c r="W35"/>
  <c r="V36"/>
  <c r="W36"/>
  <c r="V37"/>
  <c r="W37"/>
  <c r="V38"/>
  <c r="W38"/>
  <c r="V39"/>
  <c r="W39"/>
  <c r="W41"/>
  <c r="V41"/>
  <c r="I55"/>
  <c r="I56"/>
  <c r="M57"/>
  <c r="M58"/>
  <c r="I57"/>
  <c r="AJ35"/>
  <c r="AK35"/>
  <c r="AJ36"/>
  <c r="AK36"/>
  <c r="AJ37"/>
  <c r="AK37"/>
  <c r="AJ38"/>
  <c r="AK38"/>
  <c r="AJ39"/>
  <c r="AK39"/>
  <c r="AL35"/>
  <c r="AL36"/>
  <c r="AL37"/>
  <c r="AL38"/>
  <c r="AL39"/>
  <c r="Q50"/>
  <c r="Q51"/>
  <c r="Q52"/>
  <c r="Q53"/>
  <c r="AH52"/>
  <c r="AH51"/>
  <c r="AH50"/>
  <c r="I45"/>
  <c r="I46"/>
  <c r="AH48"/>
  <c r="AH47"/>
  <c r="I44"/>
  <c r="M46"/>
  <c r="M47"/>
  <c r="AH46"/>
  <c r="P46"/>
  <c r="P45"/>
  <c r="AH28"/>
  <c r="AX39"/>
  <c r="AW39"/>
  <c r="AV39"/>
  <c r="AU39"/>
  <c r="AT39"/>
  <c r="AS39"/>
  <c r="AR39"/>
  <c r="AQ39"/>
  <c r="E28"/>
  <c r="E39"/>
  <c r="AN39"/>
  <c r="F28"/>
  <c r="F39"/>
  <c r="AO39"/>
  <c r="AP39"/>
  <c r="Q39"/>
  <c r="AH39"/>
  <c r="AG39"/>
  <c r="AF39"/>
  <c r="AH27"/>
  <c r="AX38"/>
  <c r="AW38"/>
  <c r="AV38"/>
  <c r="AU38"/>
  <c r="AT38"/>
  <c r="AS38"/>
  <c r="AR38"/>
  <c r="AQ38"/>
  <c r="E27"/>
  <c r="E38"/>
  <c r="AN38"/>
  <c r="F27"/>
  <c r="F38"/>
  <c r="AO38"/>
  <c r="AP38"/>
  <c r="Q38"/>
  <c r="AH38"/>
  <c r="AG38"/>
  <c r="AF38"/>
  <c r="AH26"/>
  <c r="F6"/>
  <c r="AY37"/>
  <c r="AX37"/>
  <c r="AW37"/>
  <c r="AV37"/>
  <c r="AU37"/>
  <c r="AT37"/>
  <c r="AS37"/>
  <c r="AR37"/>
  <c r="AQ37"/>
  <c r="E26"/>
  <c r="E37"/>
  <c r="AN37"/>
  <c r="F26"/>
  <c r="F37"/>
  <c r="AO37"/>
  <c r="AP37"/>
  <c r="Q37"/>
  <c r="AH37"/>
  <c r="AG37"/>
  <c r="AF37"/>
  <c r="AH25"/>
  <c r="F3"/>
  <c r="AY36"/>
  <c r="AX36"/>
  <c r="AW36"/>
  <c r="AV36"/>
  <c r="AU36"/>
  <c r="AT36"/>
  <c r="AS36"/>
  <c r="AR36"/>
  <c r="AQ36"/>
  <c r="E25"/>
  <c r="E36"/>
  <c r="AN36"/>
  <c r="F25"/>
  <c r="F36"/>
  <c r="AO36"/>
  <c r="AP36"/>
  <c r="Q36"/>
  <c r="AH36"/>
  <c r="AG36"/>
  <c r="AF36"/>
  <c r="AH24"/>
  <c r="F4"/>
  <c r="AY35"/>
  <c r="AX35"/>
  <c r="AW35"/>
  <c r="AV35"/>
  <c r="AU35"/>
  <c r="AT35"/>
  <c r="AS35"/>
  <c r="AR35"/>
  <c r="AQ35"/>
  <c r="E24"/>
  <c r="E35"/>
  <c r="AN35"/>
  <c r="F24"/>
  <c r="F35"/>
  <c r="AO35"/>
  <c r="AP35"/>
  <c r="Q35"/>
  <c r="AH35"/>
  <c r="AG35"/>
  <c r="AF35"/>
  <c r="I33"/>
  <c r="AQ31"/>
  <c r="AP31"/>
  <c r="AO31"/>
  <c r="AN31"/>
  <c r="AM31"/>
  <c r="AL31"/>
  <c r="AK31"/>
  <c r="AJ31"/>
  <c r="AI31"/>
  <c r="AH31"/>
  <c r="AG31"/>
  <c r="AF31"/>
  <c r="AE31"/>
  <c r="AD31"/>
  <c r="AC31"/>
  <c r="AB31"/>
  <c r="AA31"/>
  <c r="Z31"/>
  <c r="Y31"/>
  <c r="I31"/>
  <c r="H31"/>
  <c r="G31"/>
  <c r="F31"/>
  <c r="E31"/>
  <c r="D31"/>
  <c r="C31"/>
  <c r="AQ28"/>
  <c r="AP28"/>
  <c r="AO28"/>
  <c r="AN28"/>
  <c r="AM28"/>
  <c r="AL28"/>
  <c r="AK28"/>
  <c r="AJ28"/>
  <c r="AI28"/>
  <c r="AG28"/>
  <c r="AF28"/>
  <c r="AE28"/>
  <c r="AD28"/>
  <c r="AC28"/>
  <c r="AB28"/>
  <c r="AA28"/>
  <c r="Z28"/>
  <c r="Y28"/>
  <c r="G28"/>
  <c r="D28"/>
  <c r="C28"/>
  <c r="AQ27"/>
  <c r="AP27"/>
  <c r="AO27"/>
  <c r="AN27"/>
  <c r="AM27"/>
  <c r="AL27"/>
  <c r="AK27"/>
  <c r="AJ27"/>
  <c r="AI27"/>
  <c r="AG27"/>
  <c r="AF27"/>
  <c r="AE27"/>
  <c r="AD27"/>
  <c r="AC27"/>
  <c r="AB27"/>
  <c r="AA27"/>
  <c r="Z27"/>
  <c r="Y27"/>
  <c r="G27"/>
  <c r="D27"/>
  <c r="C27"/>
  <c r="AQ26"/>
  <c r="AP26"/>
  <c r="AO26"/>
  <c r="AN26"/>
  <c r="AM26"/>
  <c r="AL26"/>
  <c r="AK26"/>
  <c r="AJ26"/>
  <c r="AI26"/>
  <c r="AG26"/>
  <c r="AF26"/>
  <c r="AE26"/>
  <c r="AD26"/>
  <c r="AC26"/>
  <c r="AB26"/>
  <c r="AA26"/>
  <c r="Z26"/>
  <c r="Y26"/>
  <c r="G26"/>
  <c r="D26"/>
  <c r="C26"/>
  <c r="AQ25"/>
  <c r="AP25"/>
  <c r="AO25"/>
  <c r="AN25"/>
  <c r="AM25"/>
  <c r="AL25"/>
  <c r="AK25"/>
  <c r="AJ25"/>
  <c r="AI25"/>
  <c r="AG25"/>
  <c r="AF25"/>
  <c r="AE25"/>
  <c r="AD25"/>
  <c r="AC25"/>
  <c r="AB25"/>
  <c r="AA25"/>
  <c r="Z25"/>
  <c r="Y25"/>
  <c r="G25"/>
  <c r="D25"/>
  <c r="C25"/>
  <c r="AQ24"/>
  <c r="AP24"/>
  <c r="AO24"/>
  <c r="AN24"/>
  <c r="AM24"/>
  <c r="AL24"/>
  <c r="AK24"/>
  <c r="AJ24"/>
  <c r="AI24"/>
  <c r="AG24"/>
  <c r="AF24"/>
  <c r="AE24"/>
  <c r="AD24"/>
  <c r="AC24"/>
  <c r="AB24"/>
  <c r="AA24"/>
  <c r="Z24"/>
  <c r="Y24"/>
  <c r="G24"/>
  <c r="D24"/>
  <c r="C24"/>
  <c r="AQ23"/>
  <c r="AP23"/>
  <c r="AO23"/>
  <c r="AN23"/>
  <c r="AM23"/>
  <c r="AL23"/>
  <c r="AK23"/>
  <c r="AJ23"/>
  <c r="AI23"/>
  <c r="AH23"/>
  <c r="AG23"/>
  <c r="AF23"/>
  <c r="AE23"/>
  <c r="AD23"/>
  <c r="AC23"/>
  <c r="AB23"/>
  <c r="AA23"/>
  <c r="Z23"/>
  <c r="Y23"/>
  <c r="F5"/>
  <c r="Q21"/>
  <c r="D21"/>
  <c r="E20"/>
  <c r="D20"/>
  <c r="D19"/>
  <c r="D17"/>
  <c r="E16"/>
  <c r="D16"/>
  <c r="D15"/>
  <c r="F13"/>
  <c r="D13"/>
  <c r="D12"/>
  <c r="D11"/>
  <c r="D9"/>
  <c r="D8"/>
  <c r="D7"/>
  <c r="D6" i="224"/>
  <c r="D5"/>
  <c r="H34"/>
  <c r="I34"/>
  <c r="T24"/>
  <c r="J34"/>
  <c r="V24"/>
  <c r="L34"/>
  <c r="D3"/>
  <c r="F8"/>
  <c r="W24"/>
  <c r="M34"/>
  <c r="U24"/>
  <c r="K34"/>
  <c r="N34"/>
  <c r="O34"/>
  <c r="P34"/>
  <c r="R34"/>
  <c r="T34"/>
  <c r="H35"/>
  <c r="I35"/>
  <c r="T25"/>
  <c r="J35"/>
  <c r="V25"/>
  <c r="L35"/>
  <c r="W25"/>
  <c r="M35"/>
  <c r="U25"/>
  <c r="K35"/>
  <c r="N35"/>
  <c r="O35"/>
  <c r="P35"/>
  <c r="R35"/>
  <c r="T35"/>
  <c r="H36"/>
  <c r="I36"/>
  <c r="T26"/>
  <c r="J36"/>
  <c r="V26"/>
  <c r="L36"/>
  <c r="W26"/>
  <c r="M36"/>
  <c r="U26"/>
  <c r="K36"/>
  <c r="N36"/>
  <c r="O36"/>
  <c r="P36"/>
  <c r="R36"/>
  <c r="T36"/>
  <c r="H37"/>
  <c r="I37"/>
  <c r="T27"/>
  <c r="J37"/>
  <c r="V27"/>
  <c r="L37"/>
  <c r="W27"/>
  <c r="M37"/>
  <c r="U27"/>
  <c r="K37"/>
  <c r="N37"/>
  <c r="O37"/>
  <c r="P37"/>
  <c r="R37"/>
  <c r="T37"/>
  <c r="T39"/>
  <c r="S34"/>
  <c r="S35"/>
  <c r="S36"/>
  <c r="S37"/>
  <c r="S39"/>
  <c r="R39"/>
  <c r="P42"/>
  <c r="O39"/>
  <c r="I47"/>
  <c r="I48"/>
  <c r="U34"/>
  <c r="U35"/>
  <c r="U36"/>
  <c r="U37"/>
  <c r="U39"/>
  <c r="I49"/>
  <c r="I50"/>
  <c r="I51"/>
  <c r="V34"/>
  <c r="W34"/>
  <c r="V35"/>
  <c r="W35"/>
  <c r="V36"/>
  <c r="W36"/>
  <c r="V37"/>
  <c r="W37"/>
  <c r="W39"/>
  <c r="V39"/>
  <c r="I53"/>
  <c r="I54"/>
  <c r="M55"/>
  <c r="M56"/>
  <c r="I55"/>
  <c r="AJ34"/>
  <c r="AK34"/>
  <c r="AJ35"/>
  <c r="AK35"/>
  <c r="AJ36"/>
  <c r="AK36"/>
  <c r="AJ37"/>
  <c r="AK37"/>
  <c r="AL34"/>
  <c r="AL35"/>
  <c r="AL36"/>
  <c r="AL37"/>
  <c r="Q48"/>
  <c r="Q49"/>
  <c r="Q50"/>
  <c r="Q51"/>
  <c r="AH50"/>
  <c r="AH49"/>
  <c r="AH48"/>
  <c r="I43"/>
  <c r="I44"/>
  <c r="AH46"/>
  <c r="AH45"/>
  <c r="I42"/>
  <c r="M44"/>
  <c r="M45"/>
  <c r="AH44"/>
  <c r="P44"/>
  <c r="P43"/>
  <c r="AH27"/>
  <c r="AG27"/>
  <c r="AX37"/>
  <c r="AW37"/>
  <c r="AV37"/>
  <c r="AU37"/>
  <c r="AT37"/>
  <c r="AS37"/>
  <c r="AR37"/>
  <c r="AQ37"/>
  <c r="E27"/>
  <c r="E37"/>
  <c r="AN37"/>
  <c r="F27"/>
  <c r="F37"/>
  <c r="AO37"/>
  <c r="AP37"/>
  <c r="Q37"/>
  <c r="AH37"/>
  <c r="AG37"/>
  <c r="AF37"/>
  <c r="AH26"/>
  <c r="AG26"/>
  <c r="AX36"/>
  <c r="AW36"/>
  <c r="AV36"/>
  <c r="AU36"/>
  <c r="AT36"/>
  <c r="AS36"/>
  <c r="AR36"/>
  <c r="AQ36"/>
  <c r="E26"/>
  <c r="E36"/>
  <c r="AN36"/>
  <c r="F26"/>
  <c r="F36"/>
  <c r="AO36"/>
  <c r="AP36"/>
  <c r="Q36"/>
  <c r="AH36"/>
  <c r="AG36"/>
  <c r="AF36"/>
  <c r="AH25"/>
  <c r="AG25"/>
  <c r="F3"/>
  <c r="AY35"/>
  <c r="AX35"/>
  <c r="AW35"/>
  <c r="AV35"/>
  <c r="AU35"/>
  <c r="AT35"/>
  <c r="AS35"/>
  <c r="AR35"/>
  <c r="AQ35"/>
  <c r="E25"/>
  <c r="E35"/>
  <c r="AN35"/>
  <c r="F25"/>
  <c r="F35"/>
  <c r="AO35"/>
  <c r="AP35"/>
  <c r="Q35"/>
  <c r="AH35"/>
  <c r="AG35"/>
  <c r="AF35"/>
  <c r="AH24"/>
  <c r="AG24"/>
  <c r="F4"/>
  <c r="AY34"/>
  <c r="AX34"/>
  <c r="AW34"/>
  <c r="AV34"/>
  <c r="AU34"/>
  <c r="AT34"/>
  <c r="AS34"/>
  <c r="AR34"/>
  <c r="AQ34"/>
  <c r="E24"/>
  <c r="E34"/>
  <c r="AN34"/>
  <c r="F24"/>
  <c r="F34"/>
  <c r="AO34"/>
  <c r="AP34"/>
  <c r="Q34"/>
  <c r="AH34"/>
  <c r="AG34"/>
  <c r="AF34"/>
  <c r="I32"/>
  <c r="AQ30"/>
  <c r="AP30"/>
  <c r="AO30"/>
  <c r="AN30"/>
  <c r="AM30"/>
  <c r="AL30"/>
  <c r="AK30"/>
  <c r="AJ30"/>
  <c r="AI30"/>
  <c r="AH30"/>
  <c r="AG30"/>
  <c r="AF30"/>
  <c r="AE30"/>
  <c r="AD30"/>
  <c r="AC30"/>
  <c r="AB30"/>
  <c r="AA30"/>
  <c r="Z30"/>
  <c r="Y30"/>
  <c r="I30"/>
  <c r="H30"/>
  <c r="G30"/>
  <c r="F30"/>
  <c r="E30"/>
  <c r="D30"/>
  <c r="C30"/>
  <c r="AQ27"/>
  <c r="AP27"/>
  <c r="AO27"/>
  <c r="AN27"/>
  <c r="AM27"/>
  <c r="AL27"/>
  <c r="AK27"/>
  <c r="AJ27"/>
  <c r="AI27"/>
  <c r="AF27"/>
  <c r="AE27"/>
  <c r="AD27"/>
  <c r="AC27"/>
  <c r="AB27"/>
  <c r="AA27"/>
  <c r="Z27"/>
  <c r="Y27"/>
  <c r="G27"/>
  <c r="D27"/>
  <c r="C27"/>
  <c r="AQ26"/>
  <c r="AP26"/>
  <c r="AO26"/>
  <c r="AN26"/>
  <c r="AM26"/>
  <c r="AL26"/>
  <c r="AK26"/>
  <c r="AJ26"/>
  <c r="AI26"/>
  <c r="AF26"/>
  <c r="AE26"/>
  <c r="AD26"/>
  <c r="AC26"/>
  <c r="AB26"/>
  <c r="AA26"/>
  <c r="Z26"/>
  <c r="Y26"/>
  <c r="G26"/>
  <c r="D26"/>
  <c r="C26"/>
  <c r="AQ25"/>
  <c r="AP25"/>
  <c r="AO25"/>
  <c r="AN25"/>
  <c r="AM25"/>
  <c r="AL25"/>
  <c r="AK25"/>
  <c r="AJ25"/>
  <c r="AI25"/>
  <c r="AF25"/>
  <c r="AE25"/>
  <c r="AD25"/>
  <c r="AC25"/>
  <c r="AB25"/>
  <c r="AA25"/>
  <c r="Z25"/>
  <c r="Y25"/>
  <c r="G25"/>
  <c r="D25"/>
  <c r="C25"/>
  <c r="AQ24"/>
  <c r="AP24"/>
  <c r="AO24"/>
  <c r="AN24"/>
  <c r="AM24"/>
  <c r="AL24"/>
  <c r="AK24"/>
  <c r="AJ24"/>
  <c r="AI24"/>
  <c r="AF24"/>
  <c r="AE24"/>
  <c r="AD24"/>
  <c r="AC24"/>
  <c r="AB24"/>
  <c r="AA24"/>
  <c r="Z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D6" i="225"/>
  <c r="D5"/>
  <c r="H34"/>
  <c r="I34"/>
  <c r="T24"/>
  <c r="J34"/>
  <c r="V24"/>
  <c r="L34"/>
  <c r="D3"/>
  <c r="F8"/>
  <c r="W24"/>
  <c r="M34"/>
  <c r="U24"/>
  <c r="K34"/>
  <c r="N34"/>
  <c r="O34"/>
  <c r="P34"/>
  <c r="R34"/>
  <c r="T34"/>
  <c r="H35"/>
  <c r="I35"/>
  <c r="J35"/>
  <c r="L35"/>
  <c r="M35"/>
  <c r="K35"/>
  <c r="N35"/>
  <c r="O35"/>
  <c r="P35"/>
  <c r="R35"/>
  <c r="T35"/>
  <c r="H36"/>
  <c r="I36"/>
  <c r="J36"/>
  <c r="L36"/>
  <c r="M36"/>
  <c r="K36"/>
  <c r="N36"/>
  <c r="O36"/>
  <c r="P36"/>
  <c r="R36"/>
  <c r="T36"/>
  <c r="H37"/>
  <c r="I37"/>
  <c r="J37"/>
  <c r="L37"/>
  <c r="M37"/>
  <c r="K37"/>
  <c r="N37"/>
  <c r="O37"/>
  <c r="P37"/>
  <c r="R37"/>
  <c r="T37"/>
  <c r="H38"/>
  <c r="I38"/>
  <c r="T28"/>
  <c r="J38"/>
  <c r="V28"/>
  <c r="L38"/>
  <c r="W28"/>
  <c r="M38"/>
  <c r="U28"/>
  <c r="K38"/>
  <c r="N38"/>
  <c r="O38"/>
  <c r="P38"/>
  <c r="R38"/>
  <c r="T38"/>
  <c r="T40"/>
  <c r="S34"/>
  <c r="S35"/>
  <c r="S36"/>
  <c r="S37"/>
  <c r="S38"/>
  <c r="S40"/>
  <c r="R40"/>
  <c r="P43"/>
  <c r="O40"/>
  <c r="I48"/>
  <c r="I49"/>
  <c r="U34"/>
  <c r="U35"/>
  <c r="U36"/>
  <c r="U37"/>
  <c r="U38"/>
  <c r="U40"/>
  <c r="I50"/>
  <c r="I51"/>
  <c r="I52"/>
  <c r="V34"/>
  <c r="W34"/>
  <c r="V35"/>
  <c r="W35"/>
  <c r="V36"/>
  <c r="W36"/>
  <c r="V37"/>
  <c r="W37"/>
  <c r="V38"/>
  <c r="W38"/>
  <c r="W40"/>
  <c r="V40"/>
  <c r="I54"/>
  <c r="I55"/>
  <c r="M56"/>
  <c r="M57"/>
  <c r="I56"/>
  <c r="AJ34"/>
  <c r="AK34"/>
  <c r="AJ35"/>
  <c r="AK35"/>
  <c r="AJ36"/>
  <c r="AK36"/>
  <c r="AJ37"/>
  <c r="AK37"/>
  <c r="AJ38"/>
  <c r="AK38"/>
  <c r="AL34"/>
  <c r="AL35"/>
  <c r="AL36"/>
  <c r="AL37"/>
  <c r="AL38"/>
  <c r="Q49"/>
  <c r="Q50"/>
  <c r="Q51"/>
  <c r="Q52"/>
  <c r="AH51"/>
  <c r="AH50"/>
  <c r="AH49"/>
  <c r="I44"/>
  <c r="I45"/>
  <c r="AH47"/>
  <c r="AH46"/>
  <c r="I43"/>
  <c r="M45"/>
  <c r="M46"/>
  <c r="AH45"/>
  <c r="P45"/>
  <c r="P44"/>
  <c r="AX38"/>
  <c r="AW38"/>
  <c r="AV38"/>
  <c r="AU38"/>
  <c r="AT38"/>
  <c r="AS38"/>
  <c r="AR38"/>
  <c r="AQ38"/>
  <c r="E28"/>
  <c r="E38"/>
  <c r="AN38"/>
  <c r="F28"/>
  <c r="F38"/>
  <c r="AO38"/>
  <c r="AP38"/>
  <c r="Q38"/>
  <c r="AH38"/>
  <c r="AG38"/>
  <c r="AF38"/>
  <c r="AX37"/>
  <c r="AW37"/>
  <c r="AV37"/>
  <c r="AU37"/>
  <c r="AT37"/>
  <c r="AS37"/>
  <c r="AR37"/>
  <c r="AQ37"/>
  <c r="E27"/>
  <c r="E37"/>
  <c r="AN37"/>
  <c r="F27"/>
  <c r="F37"/>
  <c r="AO37"/>
  <c r="AP37"/>
  <c r="Q37"/>
  <c r="AH37"/>
  <c r="AG37"/>
  <c r="AF37"/>
  <c r="AX36"/>
  <c r="AW36"/>
  <c r="AV36"/>
  <c r="AU36"/>
  <c r="AT36"/>
  <c r="AS36"/>
  <c r="AR36"/>
  <c r="AQ36"/>
  <c r="E26"/>
  <c r="E36"/>
  <c r="AN36"/>
  <c r="F26"/>
  <c r="F36"/>
  <c r="AO36"/>
  <c r="AP36"/>
  <c r="Q36"/>
  <c r="AH36"/>
  <c r="AG36"/>
  <c r="AF36"/>
  <c r="F3"/>
  <c r="AY35"/>
  <c r="AX35"/>
  <c r="AW35"/>
  <c r="AV35"/>
  <c r="AU35"/>
  <c r="AT35"/>
  <c r="AS35"/>
  <c r="AR35"/>
  <c r="AQ35"/>
  <c r="E25"/>
  <c r="E35"/>
  <c r="AN35"/>
  <c r="F25"/>
  <c r="F35"/>
  <c r="AO35"/>
  <c r="AP35"/>
  <c r="Q35"/>
  <c r="AH35"/>
  <c r="AG35"/>
  <c r="AF35"/>
  <c r="F4"/>
  <c r="AY34"/>
  <c r="AX34"/>
  <c r="AW34"/>
  <c r="AV34"/>
  <c r="AU34"/>
  <c r="AT34"/>
  <c r="AS34"/>
  <c r="AR34"/>
  <c r="AQ34"/>
  <c r="E24"/>
  <c r="E34"/>
  <c r="AN34"/>
  <c r="F24"/>
  <c r="F34"/>
  <c r="AO34"/>
  <c r="AP34"/>
  <c r="Q34"/>
  <c r="AH34"/>
  <c r="AG34"/>
  <c r="AF34"/>
  <c r="I32"/>
  <c r="AQ28"/>
  <c r="AP28"/>
  <c r="AO28"/>
  <c r="AN28"/>
  <c r="AM28"/>
  <c r="AL28"/>
  <c r="AK28"/>
  <c r="AJ28"/>
  <c r="AI28"/>
  <c r="AH28"/>
  <c r="AG28"/>
  <c r="AF28"/>
  <c r="AE28"/>
  <c r="AD28"/>
  <c r="AC28"/>
  <c r="AB28"/>
  <c r="AA28"/>
  <c r="Z28"/>
  <c r="Y28"/>
  <c r="G28"/>
  <c r="D28"/>
  <c r="C28"/>
  <c r="AQ27"/>
  <c r="AP27"/>
  <c r="AO27"/>
  <c r="AN27"/>
  <c r="AM27"/>
  <c r="AL27"/>
  <c r="AK27"/>
  <c r="AJ27"/>
  <c r="AI27"/>
  <c r="AH27"/>
  <c r="AG27"/>
  <c r="AF27"/>
  <c r="AE27"/>
  <c r="AD27"/>
  <c r="AC27"/>
  <c r="AB27"/>
  <c r="AA27"/>
  <c r="Z27"/>
  <c r="Y27"/>
  <c r="G27"/>
  <c r="D27"/>
  <c r="C27"/>
  <c r="AQ26"/>
  <c r="AP26"/>
  <c r="AO26"/>
  <c r="AN26"/>
  <c r="AM26"/>
  <c r="AL26"/>
  <c r="AK26"/>
  <c r="AJ26"/>
  <c r="AI26"/>
  <c r="AH26"/>
  <c r="AG26"/>
  <c r="AF26"/>
  <c r="AE26"/>
  <c r="AD26"/>
  <c r="AC26"/>
  <c r="AB26"/>
  <c r="AA26"/>
  <c r="Z26"/>
  <c r="Y26"/>
  <c r="G26"/>
  <c r="D26"/>
  <c r="C26"/>
  <c r="AQ25"/>
  <c r="AP25"/>
  <c r="AO25"/>
  <c r="AN25"/>
  <c r="AM25"/>
  <c r="AL25"/>
  <c r="AK25"/>
  <c r="AJ25"/>
  <c r="AI25"/>
  <c r="AH25"/>
  <c r="AG25"/>
  <c r="AF25"/>
  <c r="AE25"/>
  <c r="AD25"/>
  <c r="AC25"/>
  <c r="AB25"/>
  <c r="AA25"/>
  <c r="Z25"/>
  <c r="Y25"/>
  <c r="G25"/>
  <c r="D25"/>
  <c r="C25"/>
  <c r="AQ24"/>
  <c r="AP24"/>
  <c r="AO24"/>
  <c r="AN24"/>
  <c r="AM24"/>
  <c r="AL24"/>
  <c r="AK24"/>
  <c r="AJ24"/>
  <c r="AI24"/>
  <c r="AH24"/>
  <c r="AG24"/>
  <c r="AF24"/>
  <c r="AE24"/>
  <c r="AD24"/>
  <c r="AC24"/>
  <c r="AB24"/>
  <c r="AA24"/>
  <c r="Z24"/>
  <c r="Y24"/>
  <c r="G24"/>
  <c r="D24"/>
  <c r="C24"/>
  <c r="AQ23"/>
  <c r="AP23"/>
  <c r="AO23"/>
  <c r="AN23"/>
  <c r="AM23"/>
  <c r="AL23"/>
  <c r="AK23"/>
  <c r="AJ23"/>
  <c r="AI23"/>
  <c r="AH23"/>
  <c r="AG23"/>
  <c r="AF23"/>
  <c r="AE23"/>
  <c r="AD23"/>
  <c r="AC23"/>
  <c r="AB23"/>
  <c r="AA23"/>
  <c r="Z23"/>
  <c r="Y23"/>
  <c r="F6"/>
  <c r="F5"/>
  <c r="Q21"/>
  <c r="D21"/>
  <c r="E20"/>
  <c r="D20"/>
  <c r="D19"/>
  <c r="D17"/>
  <c r="E16"/>
  <c r="D16"/>
  <c r="D15"/>
  <c r="F13"/>
  <c r="D13"/>
  <c r="D12"/>
  <c r="D11"/>
  <c r="D9"/>
  <c r="D8"/>
  <c r="D7"/>
  <c r="I53" i="166"/>
  <c r="I54"/>
  <c r="AH56"/>
  <c r="AH55"/>
  <c r="I52"/>
  <c r="M54"/>
  <c r="M55"/>
  <c r="AH54"/>
  <c r="AX47"/>
  <c r="AW47"/>
  <c r="AV47"/>
  <c r="AU47"/>
  <c r="AT47"/>
  <c r="AS47"/>
  <c r="AR47"/>
  <c r="AQ47"/>
  <c r="E47"/>
  <c r="AN47"/>
  <c r="F47"/>
  <c r="AO47"/>
  <c r="AP47"/>
  <c r="Q47"/>
  <c r="AH47"/>
  <c r="AG47"/>
  <c r="AF47"/>
  <c r="AX46"/>
  <c r="AW46"/>
  <c r="AV46"/>
  <c r="AU46"/>
  <c r="AT46"/>
  <c r="AS46"/>
  <c r="AR46"/>
  <c r="AQ46"/>
  <c r="E46"/>
  <c r="AN46"/>
  <c r="F46"/>
  <c r="AO46"/>
  <c r="AP46"/>
  <c r="Q46"/>
  <c r="AH46"/>
  <c r="AG46"/>
  <c r="AF46"/>
  <c r="AX45"/>
  <c r="AW45"/>
  <c r="AV45"/>
  <c r="AU45"/>
  <c r="AT45"/>
  <c r="AS45"/>
  <c r="AR45"/>
  <c r="AQ45"/>
  <c r="E45"/>
  <c r="AN45"/>
  <c r="F45"/>
  <c r="AO45"/>
  <c r="AP45"/>
  <c r="Q45"/>
  <c r="AH45"/>
  <c r="AG45"/>
  <c r="AF45"/>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I40"/>
  <c r="AQ37"/>
  <c r="AP37"/>
  <c r="AO37"/>
  <c r="AN37"/>
  <c r="AM37"/>
  <c r="AL37"/>
  <c r="AK37"/>
  <c r="AJ37"/>
  <c r="AI37"/>
  <c r="AH37"/>
  <c r="AG37"/>
  <c r="AF37"/>
  <c r="AE37"/>
  <c r="AD37"/>
  <c r="AC37"/>
  <c r="AB37"/>
  <c r="AA37"/>
  <c r="Z37"/>
  <c r="Y37"/>
  <c r="I37"/>
  <c r="H37"/>
  <c r="G37"/>
  <c r="F37"/>
  <c r="E37"/>
  <c r="D37"/>
  <c r="C37"/>
  <c r="AQ35"/>
  <c r="AP35"/>
  <c r="AO35"/>
  <c r="AN35"/>
  <c r="AM35"/>
  <c r="AL35"/>
  <c r="AK35"/>
  <c r="AJ35"/>
  <c r="AI35"/>
  <c r="AH35"/>
  <c r="AG35"/>
  <c r="AF35"/>
  <c r="AE35"/>
  <c r="AD35"/>
  <c r="AC35"/>
  <c r="AB35"/>
  <c r="AA35"/>
  <c r="Z35"/>
  <c r="Y35"/>
  <c r="I35"/>
  <c r="H35"/>
  <c r="G35"/>
  <c r="F35"/>
  <c r="E35"/>
  <c r="D35"/>
  <c r="C35"/>
  <c r="AQ34"/>
  <c r="AP34"/>
  <c r="AO34"/>
  <c r="AN34"/>
  <c r="AM34"/>
  <c r="AL34"/>
  <c r="AK34"/>
  <c r="AJ34"/>
  <c r="AI34"/>
  <c r="AH34"/>
  <c r="AG34"/>
  <c r="AF34"/>
  <c r="AE34"/>
  <c r="AD34"/>
  <c r="AC34"/>
  <c r="AB34"/>
  <c r="AA34"/>
  <c r="Z34"/>
  <c r="Y34"/>
  <c r="I34"/>
  <c r="H34"/>
  <c r="G34"/>
  <c r="F34"/>
  <c r="E34"/>
  <c r="D34"/>
  <c r="C34"/>
  <c r="AQ32"/>
  <c r="AP32"/>
  <c r="AO32"/>
  <c r="AN32"/>
  <c r="AM32"/>
  <c r="AL32"/>
  <c r="AK32"/>
  <c r="AJ32"/>
  <c r="AI32"/>
  <c r="AH32"/>
  <c r="AG32"/>
  <c r="AF32"/>
  <c r="AE32"/>
  <c r="AD32"/>
  <c r="AC32"/>
  <c r="AB32"/>
  <c r="AA32"/>
  <c r="Z32"/>
  <c r="Y32"/>
  <c r="I32"/>
  <c r="H32"/>
  <c r="G32"/>
  <c r="F32"/>
  <c r="E32"/>
  <c r="D32"/>
  <c r="C32"/>
  <c r="AQ31"/>
  <c r="AJ31"/>
  <c r="AG31"/>
  <c r="AE31"/>
  <c r="AD31"/>
  <c r="AC31"/>
  <c r="AA31"/>
  <c r="Y31"/>
  <c r="G31"/>
  <c r="D31"/>
  <c r="C31"/>
  <c r="AQ30"/>
  <c r="AJ30"/>
  <c r="AG30"/>
  <c r="AE30"/>
  <c r="AD30"/>
  <c r="AC30"/>
  <c r="AA30"/>
  <c r="Y30"/>
  <c r="G30"/>
  <c r="D30"/>
  <c r="C30"/>
  <c r="AQ29"/>
  <c r="AJ29"/>
  <c r="AG29"/>
  <c r="AE29"/>
  <c r="AD29"/>
  <c r="AC29"/>
  <c r="AA29"/>
  <c r="Y29"/>
  <c r="G29"/>
  <c r="D29"/>
  <c r="C29"/>
  <c r="AQ28"/>
  <c r="AJ28"/>
  <c r="AG28"/>
  <c r="AE28"/>
  <c r="AD28"/>
  <c r="AC28"/>
  <c r="AA28"/>
  <c r="Y28"/>
  <c r="G28"/>
  <c r="D28"/>
  <c r="C28"/>
  <c r="AQ27"/>
  <c r="AP27"/>
  <c r="AO27"/>
  <c r="AN27"/>
  <c r="AM27"/>
  <c r="AL27"/>
  <c r="AK27"/>
  <c r="AJ27"/>
  <c r="AI27"/>
  <c r="AH27"/>
  <c r="AG27"/>
  <c r="AF27"/>
  <c r="AE27"/>
  <c r="AD27"/>
  <c r="AC27"/>
  <c r="AB27"/>
  <c r="AA27"/>
  <c r="Z27"/>
  <c r="Y27"/>
  <c r="G27"/>
  <c r="F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6"/>
  <c r="F5"/>
  <c r="Q21"/>
  <c r="D17"/>
  <c r="E16"/>
  <c r="D16"/>
  <c r="D15"/>
  <c r="F4"/>
  <c r="F3"/>
  <c r="I50" i="81"/>
  <c r="I51"/>
  <c r="AH53"/>
  <c r="AH52"/>
  <c r="I49"/>
  <c r="M51"/>
  <c r="M52"/>
  <c r="AH51"/>
  <c r="F5"/>
  <c r="AY44"/>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F6"/>
  <c r="AY41"/>
  <c r="AX41"/>
  <c r="AW41"/>
  <c r="AV41"/>
  <c r="AU41"/>
  <c r="AT41"/>
  <c r="AS41"/>
  <c r="AR41"/>
  <c r="AQ41"/>
  <c r="E41"/>
  <c r="AN41"/>
  <c r="F41"/>
  <c r="AO41"/>
  <c r="AP41"/>
  <c r="Q41"/>
  <c r="AH41"/>
  <c r="AG41"/>
  <c r="AF41"/>
  <c r="AX40"/>
  <c r="AW40"/>
  <c r="AV40"/>
  <c r="AU40"/>
  <c r="AT40"/>
  <c r="AS40"/>
  <c r="AR40"/>
  <c r="AQ40"/>
  <c r="E40"/>
  <c r="AN40"/>
  <c r="F40"/>
  <c r="AO40"/>
  <c r="AP40"/>
  <c r="Q40"/>
  <c r="AH40"/>
  <c r="AG40"/>
  <c r="AF40"/>
  <c r="AX39"/>
  <c r="AW39"/>
  <c r="AV39"/>
  <c r="AU39"/>
  <c r="AT39"/>
  <c r="AS39"/>
  <c r="AR39"/>
  <c r="AQ39"/>
  <c r="E39"/>
  <c r="AN39"/>
  <c r="F39"/>
  <c r="AO39"/>
  <c r="AP39"/>
  <c r="Q39"/>
  <c r="AH39"/>
  <c r="AG39"/>
  <c r="AF39"/>
  <c r="F3"/>
  <c r="AY38"/>
  <c r="AX38"/>
  <c r="AW38"/>
  <c r="AV38"/>
  <c r="AU38"/>
  <c r="AT38"/>
  <c r="AS38"/>
  <c r="AR38"/>
  <c r="AQ38"/>
  <c r="E38"/>
  <c r="AN38"/>
  <c r="F38"/>
  <c r="AO38"/>
  <c r="AP38"/>
  <c r="Q38"/>
  <c r="AH38"/>
  <c r="AG38"/>
  <c r="AF38"/>
  <c r="I36"/>
  <c r="AQ35"/>
  <c r="AP35"/>
  <c r="AO35"/>
  <c r="AN35"/>
  <c r="AM35"/>
  <c r="AL35"/>
  <c r="AK35"/>
  <c r="AJ35"/>
  <c r="AI35"/>
  <c r="AH35"/>
  <c r="AG35"/>
  <c r="AF35"/>
  <c r="AE35"/>
  <c r="I35"/>
  <c r="H35"/>
  <c r="G35"/>
  <c r="F35"/>
  <c r="E35"/>
  <c r="D35"/>
  <c r="C35"/>
  <c r="AQ32"/>
  <c r="AJ32"/>
  <c r="AG32"/>
  <c r="AE32"/>
  <c r="AD32"/>
  <c r="AC32"/>
  <c r="AA32"/>
  <c r="Y32"/>
  <c r="G32"/>
  <c r="D32"/>
  <c r="C32"/>
  <c r="AQ31"/>
  <c r="AP31"/>
  <c r="AO31"/>
  <c r="AN31"/>
  <c r="AM31"/>
  <c r="AL31"/>
  <c r="AK31"/>
  <c r="AJ31"/>
  <c r="AI31"/>
  <c r="AH31"/>
  <c r="AG31"/>
  <c r="AF31"/>
  <c r="AE31"/>
  <c r="AD31"/>
  <c r="AC31"/>
  <c r="AB31"/>
  <c r="AA31"/>
  <c r="Z31"/>
  <c r="Y31"/>
  <c r="G31"/>
  <c r="F31"/>
  <c r="AQ30"/>
  <c r="AP30"/>
  <c r="AO30"/>
  <c r="AN30"/>
  <c r="AM30"/>
  <c r="AL30"/>
  <c r="AK30"/>
  <c r="AJ30"/>
  <c r="AI30"/>
  <c r="AH30"/>
  <c r="AG30"/>
  <c r="AF30"/>
  <c r="AE30"/>
  <c r="AD30"/>
  <c r="AC30"/>
  <c r="AB30"/>
  <c r="AA30"/>
  <c r="Z30"/>
  <c r="Y30"/>
  <c r="G30"/>
  <c r="F30"/>
  <c r="E30"/>
  <c r="D30"/>
  <c r="C30"/>
  <c r="AQ29"/>
  <c r="AJ29"/>
  <c r="AG29"/>
  <c r="AE29"/>
  <c r="AD29"/>
  <c r="AC29"/>
  <c r="AA29"/>
  <c r="Y29"/>
  <c r="G29"/>
  <c r="D29"/>
  <c r="C29"/>
  <c r="AQ28"/>
  <c r="AJ28"/>
  <c r="AG28"/>
  <c r="AE28"/>
  <c r="AD28"/>
  <c r="AC28"/>
  <c r="AA28"/>
  <c r="Y28"/>
  <c r="G28"/>
  <c r="D28"/>
  <c r="C28"/>
  <c r="AQ27"/>
  <c r="AJ27"/>
  <c r="AG27"/>
  <c r="AE27"/>
  <c r="AD27"/>
  <c r="AC27"/>
  <c r="AA27"/>
  <c r="Y27"/>
  <c r="G27"/>
  <c r="D27"/>
  <c r="C27"/>
  <c r="AQ26"/>
  <c r="AJ26"/>
  <c r="AG26"/>
  <c r="AE26"/>
  <c r="AD26"/>
  <c r="AC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Q21"/>
  <c r="D17"/>
  <c r="E16"/>
  <c r="D16"/>
  <c r="D15"/>
  <c r="F4"/>
  <c r="I50" i="74"/>
  <c r="I51"/>
  <c r="AH53"/>
  <c r="AH52"/>
  <c r="I49"/>
  <c r="M51"/>
  <c r="M52"/>
  <c r="AH51"/>
  <c r="AX44"/>
  <c r="AW44"/>
  <c r="AV44"/>
  <c r="AU44"/>
  <c r="AT44"/>
  <c r="AS44"/>
  <c r="AR44"/>
  <c r="AQ44"/>
  <c r="E44"/>
  <c r="AN44"/>
  <c r="F44"/>
  <c r="AO44"/>
  <c r="AP44"/>
  <c r="Q44"/>
  <c r="AH44"/>
  <c r="AG44"/>
  <c r="AF44"/>
  <c r="AX43"/>
  <c r="AW43"/>
  <c r="AV43"/>
  <c r="AU43"/>
  <c r="AT43"/>
  <c r="AS43"/>
  <c r="AR43"/>
  <c r="AQ43"/>
  <c r="E43"/>
  <c r="AN43"/>
  <c r="F43"/>
  <c r="AO43"/>
  <c r="AP43"/>
  <c r="Q43"/>
  <c r="AH43"/>
  <c r="AG43"/>
  <c r="AF43"/>
  <c r="AX42"/>
  <c r="AW42"/>
  <c r="AV42"/>
  <c r="AU42"/>
  <c r="AT42"/>
  <c r="AS42"/>
  <c r="AR42"/>
  <c r="AQ42"/>
  <c r="E42"/>
  <c r="AN42"/>
  <c r="F42"/>
  <c r="AO42"/>
  <c r="AP42"/>
  <c r="Q42"/>
  <c r="AH42"/>
  <c r="AG42"/>
  <c r="AF42"/>
  <c r="AX41"/>
  <c r="AW41"/>
  <c r="AV41"/>
  <c r="AU41"/>
  <c r="AT41"/>
  <c r="AS41"/>
  <c r="AR41"/>
  <c r="AQ41"/>
  <c r="E41"/>
  <c r="AN41"/>
  <c r="F41"/>
  <c r="AO41"/>
  <c r="AP41"/>
  <c r="Q41"/>
  <c r="AH41"/>
  <c r="AG41"/>
  <c r="AF41"/>
  <c r="AX40"/>
  <c r="AW40"/>
  <c r="AV40"/>
  <c r="AU40"/>
  <c r="AT40"/>
  <c r="AS40"/>
  <c r="AR40"/>
  <c r="AQ40"/>
  <c r="E40"/>
  <c r="AN40"/>
  <c r="F40"/>
  <c r="AO40"/>
  <c r="AP40"/>
  <c r="Q40"/>
  <c r="AH40"/>
  <c r="AG40"/>
  <c r="AF40"/>
  <c r="F6"/>
  <c r="AY39"/>
  <c r="AX39"/>
  <c r="AW39"/>
  <c r="AV39"/>
  <c r="AU39"/>
  <c r="AT39"/>
  <c r="AS39"/>
  <c r="AR39"/>
  <c r="AQ39"/>
  <c r="E39"/>
  <c r="AN39"/>
  <c r="F39"/>
  <c r="AO39"/>
  <c r="AP39"/>
  <c r="Q39"/>
  <c r="AH39"/>
  <c r="AG39"/>
  <c r="AF39"/>
  <c r="F4"/>
  <c r="AY38"/>
  <c r="AX38"/>
  <c r="AW38"/>
  <c r="AV38"/>
  <c r="AU38"/>
  <c r="AT38"/>
  <c r="AS38"/>
  <c r="AR38"/>
  <c r="AQ38"/>
  <c r="E38"/>
  <c r="AN38"/>
  <c r="F38"/>
  <c r="AO38"/>
  <c r="AP38"/>
  <c r="Q38"/>
  <c r="AH38"/>
  <c r="AG38"/>
  <c r="AF38"/>
  <c r="F3"/>
  <c r="AY37"/>
  <c r="AX37"/>
  <c r="AW37"/>
  <c r="AV37"/>
  <c r="AU37"/>
  <c r="AT37"/>
  <c r="AS37"/>
  <c r="AR37"/>
  <c r="AQ37"/>
  <c r="E37"/>
  <c r="AN37"/>
  <c r="F37"/>
  <c r="AO37"/>
  <c r="AP37"/>
  <c r="Q37"/>
  <c r="AH37"/>
  <c r="AG37"/>
  <c r="AF37"/>
  <c r="I35"/>
  <c r="AQ33"/>
  <c r="AP33"/>
  <c r="AO33"/>
  <c r="AN33"/>
  <c r="AM33"/>
  <c r="AL33"/>
  <c r="AK33"/>
  <c r="AJ33"/>
  <c r="AI33"/>
  <c r="AH33"/>
  <c r="AG33"/>
  <c r="AF33"/>
  <c r="AE33"/>
  <c r="AD33"/>
  <c r="AC33"/>
  <c r="AB33"/>
  <c r="AA33"/>
  <c r="Z33"/>
  <c r="Y33"/>
  <c r="I33"/>
  <c r="H33"/>
  <c r="G33"/>
  <c r="F33"/>
  <c r="E33"/>
  <c r="D33"/>
  <c r="C33"/>
  <c r="AQ31"/>
  <c r="Y31"/>
  <c r="G31"/>
  <c r="D31"/>
  <c r="C31"/>
  <c r="AQ30"/>
  <c r="Y30"/>
  <c r="G30"/>
  <c r="D30"/>
  <c r="C30"/>
  <c r="AQ29"/>
  <c r="AJ29"/>
  <c r="AG29"/>
  <c r="AE29"/>
  <c r="AD29"/>
  <c r="AC29"/>
  <c r="AA29"/>
  <c r="Y29"/>
  <c r="G29"/>
  <c r="D29"/>
  <c r="C29"/>
  <c r="AQ28"/>
  <c r="AJ28"/>
  <c r="AE28"/>
  <c r="AD28"/>
  <c r="AC28"/>
  <c r="AA28"/>
  <c r="Y28"/>
  <c r="G28"/>
  <c r="D28"/>
  <c r="C28"/>
  <c r="AQ27"/>
  <c r="AJ27"/>
  <c r="AG27"/>
  <c r="AE27"/>
  <c r="AD27"/>
  <c r="AC27"/>
  <c r="AA27"/>
  <c r="Y27"/>
  <c r="G27"/>
  <c r="D27"/>
  <c r="C27"/>
  <c r="AQ26"/>
  <c r="AJ26"/>
  <c r="AG26"/>
  <c r="AE26"/>
  <c r="AD26"/>
  <c r="AA26"/>
  <c r="Y26"/>
  <c r="G26"/>
  <c r="D26"/>
  <c r="C26"/>
  <c r="AQ25"/>
  <c r="AJ25"/>
  <c r="AG25"/>
  <c r="AE25"/>
  <c r="AD25"/>
  <c r="AC25"/>
  <c r="AA25"/>
  <c r="Y25"/>
  <c r="G25"/>
  <c r="D25"/>
  <c r="C25"/>
  <c r="AQ24"/>
  <c r="AJ24"/>
  <c r="AG24"/>
  <c r="AE24"/>
  <c r="AD24"/>
  <c r="AC24"/>
  <c r="AA24"/>
  <c r="Y24"/>
  <c r="G24"/>
  <c r="D24"/>
  <c r="C24"/>
  <c r="AQ23"/>
  <c r="AP23"/>
  <c r="AO23"/>
  <c r="AN23"/>
  <c r="AM23"/>
  <c r="AL23"/>
  <c r="AK23"/>
  <c r="AJ23"/>
  <c r="AI23"/>
  <c r="AH23"/>
  <c r="AG23"/>
  <c r="AF23"/>
  <c r="AE23"/>
  <c r="AD23"/>
  <c r="AC23"/>
  <c r="AB23"/>
  <c r="AA23"/>
  <c r="Z23"/>
  <c r="Y23"/>
  <c r="F5"/>
  <c r="Q21"/>
  <c r="D17"/>
  <c r="E16"/>
  <c r="D16"/>
  <c r="D15"/>
</calcChain>
</file>

<file path=xl/sharedStrings.xml><?xml version="1.0" encoding="utf-8"?>
<sst xmlns="http://schemas.openxmlformats.org/spreadsheetml/2006/main" count="15895" uniqueCount="2475">
  <si>
    <t>number of subjects with hyperintensities, number of periventricular hyperitensities, number of hyperintensities in (frontal lobe, parietal lobe, occiptal lobe, temporal lobe, cerebellum, basal ganglia, brainstem).</t>
  </si>
  <si>
    <t>left gray hippocampus, right gray hippocampus, left white hippocampus, right white hippocampus (no means or SDs reported)</t>
  </si>
  <si>
    <t>whole brain volume, total raw frontal volume, total raw hippocampal volume, overall white matter hyperintensities (Scheltens scale)</t>
  </si>
  <si>
    <t>thyroid medication</t>
  </si>
  <si>
    <t>19 receiving benzodiazepines</t>
  </si>
  <si>
    <t>Used Fazekas scale, has mean scale value and has number of patients (low folate and normal folate) with hyperintensities, and number of controls with hyperintensities.</t>
  </si>
  <si>
    <t>Used Fazekas scale (total, PVH, DWMH), has mean values</t>
  </si>
  <si>
    <t>Reports mean Fazekas score (for DWMH and subcortical gray hyperintensities, and subcortical gray-matter lesions) and mean Boyko classification (for deep white-matter lesions and subcortical gray-matter hyperintensities), also gives chart showing % of subjects who met 0,1,2,3,4 for Boyko classifications</t>
  </si>
  <si>
    <t>Exclude overlaps with Naish et al 2006</t>
  </si>
  <si>
    <t>Fazekas scale used has average rating for periventricular hyperintensities and deep white matter hyperintensities. Also has average number of hyperintensities per subject, average volume of hyperintensities</t>
  </si>
  <si>
    <t>Uses Coffey scale, Has severity ratings and also reports Odds ratios for white matter hyperintensities but does not record number of subjects with hyperintensities</t>
  </si>
  <si>
    <t>Reports mean Fazekas score (for DWMH and subcortical gray hyperintensities, and subcortical gray-matter lesions) and mean Boyko classification (for deep white-matter lesions and subcortical gray-matter hyperintensities)</t>
  </si>
  <si>
    <t>Table 2 indicates that for the number of controls and patients with (periventricular hyperintensities, deep white hyperintensities, and subcortical gray hyperintensities). Table 3 has the rating for periventricular hyperintensities for patients and controls</t>
  </si>
  <si>
    <t xml:space="preserve">regions defined in the following two papers http://content.nejm.org/cgi/content/abstract/327/9/604 or http://content.nejm.org/cgi/content/abstract/322/12/789 </t>
  </si>
  <si>
    <t xml:space="preserve">regions defined in the following two papers  http://content.nejm.org/cgi/content/abstract/327/9/604 or http://content.nejm.org/cgi/content/abstract/322/12/789 </t>
  </si>
  <si>
    <t>age of onset split depending on antidepressant exposure</t>
  </si>
  <si>
    <t xml:space="preserve">Presently Classes these as Deep white matter as it states "White matter hyperintensities were defined as areas in the white matter, separate from the ventricles, that demonstrated prolonged T, relaxation times, appearing as areas of hyperintensity. All T, axial sections were examined for lesions: the areas of the white matter hyperintensities on each slice were summed to provide an overall estimate of white matter pathology."patients and controls seperated in groups of &lt;1cm2, 1-10cm2 and &gt;10cm2 of white matter hyperintensity. I have classified this as binary classifying &lt;1cm2 as negative and &gt;1cm2 as positive </t>
  </si>
  <si>
    <t>Table 2 appears to indicate that for the number of controls and patients with (periventricular hyperintensities, deep white hyperintensities, and subcortical gray hyperintensities). Table 3 has the rating for periventricular hyperintensities for patients and controls</t>
  </si>
  <si>
    <t>Excluded as used same control group as Iosigescu 2006.</t>
  </si>
  <si>
    <t>Exlclude Overlap with Naish et al 2006</t>
  </si>
  <si>
    <t>In portuguese. Table 2 for the number of controls and patients with (periventricular hyperintensities, deep white hyperintensities, and subcortical gray hyperintensities). Table 3 has the rating for periventricular hyperintensities for patients and controls</t>
  </si>
  <si>
    <t xml:space="preserve">Used Fazekas scale, has mean scale value and has number of patients (low folate and normal folate) with hyperintensities, and number of controls with hyperintensities. </t>
  </si>
  <si>
    <t>Exclude overlap with Naish et al 2006</t>
  </si>
  <si>
    <t>Uses Coffey scale, has severity ratings and also reports Odds ratios for white matter hyperintensities but does not record number of subjects with hyperintensities</t>
  </si>
  <si>
    <t>Scheltens rating scale, periventricular lesions</t>
  </si>
  <si>
    <t>Excluded mean not total. SDs are mean</t>
  </si>
  <si>
    <t>Exclude Difficulty working out how many in each group as there doesn't seem to be enough information in paper (ie how many males with re-occurance?)</t>
  </si>
  <si>
    <t>Exclude,Included 14 bipolar patients for left and right measures</t>
  </si>
  <si>
    <t>Exclude, Difficulty working out how many in each group as there doesn't seem to be enough information in paper (ie how many males with re-occurance?)</t>
  </si>
  <si>
    <t>Exclude, mean not total. SDs are mean</t>
  </si>
  <si>
    <t>Exclude Reject mean not total. SDs are mean</t>
  </si>
  <si>
    <t>Hippocampus, mean age &gt;60</t>
  </si>
  <si>
    <t>Hippocampus, mean age 20-60</t>
  </si>
  <si>
    <t>Hippocampus, mean age &lt;20</t>
  </si>
  <si>
    <t>Hippocampus, no alcohol or substance abuse</t>
  </si>
  <si>
    <t>Exclude Same as Pantel 1997</t>
  </si>
  <si>
    <t>Excluded same sample as Pantel 1997</t>
  </si>
  <si>
    <t>Excluded same sample as Lavretsky 2005</t>
  </si>
  <si>
    <t>Exclude same as Lavretsky 2005</t>
  </si>
  <si>
    <t>Exclude Same as Lavretsky 2005</t>
  </si>
  <si>
    <t>Total orbitofrontal</t>
  </si>
  <si>
    <t>Exclude Definite overlap with Lavretsky 2004</t>
  </si>
  <si>
    <t>Exclude,Definite overlap with Lavretsky 2004</t>
  </si>
  <si>
    <t>Exclude, Definite overlap with Lavretsky 2004</t>
  </si>
  <si>
    <t xml:space="preserve">Excluded, region unclear. </t>
  </si>
  <si>
    <t>Excluded, region unclear.</t>
  </si>
  <si>
    <t>Exclude "anterior cingulate-BA24 (subgenual gyrus)" definitions appear the same as Drevets 1997 but used total, not left and right</t>
  </si>
  <si>
    <t>Exclude used total, not left and right</t>
  </si>
  <si>
    <t>Exclude as probable control overlap with Yucel 2008. Email from Yucel says patients were different but controls probably overlapped</t>
  </si>
  <si>
    <t>gyrus rectus appears to be gray matter from study title</t>
  </si>
  <si>
    <t>gyri recta, gray matter</t>
  </si>
  <si>
    <t>Exclude No total corpus callosum area reported</t>
  </si>
  <si>
    <t>Number of studies published each year</t>
  </si>
  <si>
    <t>ICD-9</t>
  </si>
  <si>
    <t>ICD-10</t>
  </si>
  <si>
    <t>CCMD-3-R</t>
  </si>
  <si>
    <t>Number of regions measured</t>
  </si>
  <si>
    <t>Database of studies comparing brain structure in major depressive disorder to a control group</t>
  </si>
  <si>
    <t>Number of MDD Patients</t>
  </si>
  <si>
    <t>Ham-D rating scale</t>
  </si>
  <si>
    <t>Slice thickness (mm)</t>
  </si>
  <si>
    <t>Number of studies each year</t>
  </si>
  <si>
    <t>Exclude SDs too small, no reponse from email</t>
  </si>
  <si>
    <t>Exclude rated caudate atrophy but did not provide volumetric measures</t>
  </si>
  <si>
    <t>The paper says "Three patients and 17 control subjects were included in previous studies of the caudate (Krishnan et al., 1992 Magnetic resonance imaging of the caudate nuclei in depression. Preliminary observations. Archives of General Psychiatry) and putamen (Husain et al., 1991)" so have excluded these later two</t>
  </si>
  <si>
    <t>Excluded as sample overlaps with Parashos 1998. In Parashos it states "Three patients and 17 control subjects were included in previous studies of the caudate (Krishnan et al., 1992 Magnetic resonance imaging of the caudate nuclei in depression. Preliminary observations. Archives of General Psychiatry) and putamen (Husain et al., 1991)"</t>
  </si>
  <si>
    <t>Exclude: Email from Krishnan and Steffens saying this is an overlapping sample</t>
  </si>
  <si>
    <t>Exlude:  reports mean measure rather than total, SDs are mean SDs</t>
  </si>
  <si>
    <t>Exclude Same publication as Pantel 1997</t>
  </si>
  <si>
    <t>Exclude overlap with Kumar 1998 as Kumar 2000  says "The controls used in this study also served as the control group in our recent MRI report on minor depression"</t>
  </si>
  <si>
    <t>Note HIGH effect size this study was removed from meta-regressions</t>
  </si>
  <si>
    <t>Exclude mean not total. SDs are mean</t>
  </si>
  <si>
    <t>Exclude Included 14 bipolar patients for left and right measures</t>
  </si>
  <si>
    <t>Hippocampus, first episode patients</t>
  </si>
  <si>
    <t>Exclude, Included 14 bipolar patients for left and right measures</t>
  </si>
  <si>
    <t>Exclude, Paper says it used 24 subjects from Sheline et al 1999 so should exlclude</t>
  </si>
  <si>
    <t>Hippocampus, no comorbid anxiety</t>
  </si>
  <si>
    <t>Sheets may also be selected by clicking on the tabs at bottom of spreadsheet</t>
  </si>
  <si>
    <t>Sheet Name</t>
  </si>
  <si>
    <t>Description of sheet</t>
  </si>
  <si>
    <t>Database</t>
  </si>
  <si>
    <t>Graphs</t>
  </si>
  <si>
    <t>Information from the database in graphical format</t>
  </si>
  <si>
    <t xml:space="preserve">If you use this database or meta-analysis for research purposes (such as writing an introduction to a paper) </t>
  </si>
  <si>
    <t>please cite our paper from Archives of General Psychiatry. Thank you.</t>
  </si>
  <si>
    <t>Downloaded from www.depressiondatabase.org</t>
  </si>
  <si>
    <t>This spreadsheet contains a database and number of meta-analyses of difference brain structures in Major Depressive Disorder</t>
  </si>
  <si>
    <t>Please refer to our study published in Archives of General Psychiatry July 2011</t>
  </si>
  <si>
    <t>© Copyright Matthew Kempton 2011</t>
  </si>
  <si>
    <t xml:space="preserve">A summary of the MDD vs control meta-analysis. Two tables and graphs presenting effect sizes and 95% confidence intervals for 1) Continuous Variables and 2) Binary variables. The effect size values are extracted from the individual meta-analyses found on the subsequent sheets. It is possible to change the method of meta-analysis by adjusting 'switches' on this page. </t>
  </si>
  <si>
    <t xml:space="preserve">A comprehensive database of 225 structural imaging studies in major depressive disorder (MDD) listing medication, clinical data and which brain structures were measured  </t>
  </si>
  <si>
    <t>Navigation:</t>
  </si>
  <si>
    <t>Intro</t>
  </si>
  <si>
    <t>Each study has a link to the abstract of the paper, and where available a link to the electronic version of the paper. Empty cells and cells with 'ns' indicates the information was not available for the given study</t>
  </si>
  <si>
    <t>The table below consists of details from 225 studies which measured brain structure in patients with major depressive disorder compared to a control group</t>
  </si>
  <si>
    <t>Graphs from the Database</t>
  </si>
  <si>
    <t>Click on the links below to navigate to each graph</t>
  </si>
  <si>
    <t>Medications used in studies</t>
  </si>
  <si>
    <t>Number of patients and controls in each study</t>
  </si>
  <si>
    <t>Total number of subjects per study</t>
  </si>
  <si>
    <t>Back to Top</t>
  </si>
  <si>
    <t>Age mean and SD of MDD and control group</t>
  </si>
  <si>
    <t>MDD Diagnosis system</t>
  </si>
  <si>
    <t>Progression of diagnostic system</t>
  </si>
  <si>
    <t>normalised volume of "inferior anterior cingulate" says this is the same area as the subgenual prefrontal cortex: "The region we refer to here as the inferior anterior cingulate is called the subgenual prefrontal cortex by Drevets et al (1997)." (units mm3/Cerebral volume in L)</t>
  </si>
  <si>
    <t>Corpus callosum region 1 (anterior), ratio measure (normalised area)</t>
  </si>
  <si>
    <t>Corpus callosum normalised area, mm2 but actually a ratio measure</t>
  </si>
  <si>
    <t>DSM code</t>
  </si>
  <si>
    <t xml:space="preserve">Males, first episode, </t>
  </si>
  <si>
    <t>Females, first episode</t>
  </si>
  <si>
    <t>first episode, have included mean for total as the standard deviation is not simply the mean SD</t>
  </si>
  <si>
    <t>split by group</t>
  </si>
  <si>
    <t>split by male and female in table 1</t>
  </si>
  <si>
    <t xml:space="preserve">probable error. States 25.9 but max=81 and min=61 </t>
  </si>
  <si>
    <t>depressed patients split into with psychosis (n=23 onset=27.6) and without psychosis (n=19 onset=27.0)</t>
  </si>
  <si>
    <t>depressed patients split into with psychosis (n=23 HamD=30.5) and without psychosis (n=19 HamD=23.7)</t>
  </si>
  <si>
    <t>uses the term, leukoencephalopathy "leukoencephalopathy (MRI, periventricular and deep white matter hyperintensities; CT, leuko-araiosis;diffuse areas of decreased white matter density)".</t>
  </si>
  <si>
    <t>"Prevalence of leukoencephalopathic changes", says in the introduction "also called white matter hyperintensities"</t>
  </si>
  <si>
    <t>Exclude SDs are very small, not possible to contact author</t>
  </si>
  <si>
    <t>Excluded from all hyperintensity category as definition suggests DWMH</t>
  </si>
  <si>
    <t>Exclude as probable overlap with Lorenzetti 2009</t>
  </si>
  <si>
    <t>Percentage for chart</t>
  </si>
  <si>
    <t>Below is a description of the different sheets in this Excel workbook</t>
  </si>
  <si>
    <t>"Frontal lobe grey" volume, units not stated, (similar to other definitions of PFC)</t>
  </si>
  <si>
    <t>"Frontal lobe gray matter" (Prefrontal gray matter), cm3</t>
  </si>
  <si>
    <t>"Frontal lobe white"  volume, units not stated (similar to other definitions of prefrontal lobe white)</t>
  </si>
  <si>
    <t>oribitofrontal cortex gray matter, ICV corrected</t>
  </si>
  <si>
    <t>does have seperate medial orbitofrontal cortex, gray matter volume medial orbitofrontal cortex, cm3</t>
  </si>
  <si>
    <t>does have seperate lateral orbitofrontal cortex, gray matter volume lateral orbitofrontal cortex, cm3</t>
  </si>
  <si>
    <t>Amygdala-Hippocampal complex (total)</t>
  </si>
  <si>
    <t>Non-melancholic patients</t>
  </si>
  <si>
    <t>Melancholic patients</t>
  </si>
  <si>
    <t>whole brain volume (says mm3 but assume this is cm3 as would be too small)</t>
  </si>
  <si>
    <t xml:space="preserve">Intracranial volume, hippocampus, left hippocampus, right hippocampus, amygdala, left amygdala, right amygdala, entorhinal cortex, left entorhinal cortex, right entorhinal cortex, anterior cingulate cortex, left anterior cingulate cortex, right anterior cingulate cortex, hyperintensities </t>
  </si>
  <si>
    <t>Total effect sizes</t>
  </si>
  <si>
    <t>Early onset Patients numbers included in meta-analysis</t>
  </si>
  <si>
    <t>late onset Patients, numbers included in meta-analysis</t>
  </si>
  <si>
    <t>EOD Patient</t>
  </si>
  <si>
    <t>EOD Patient SD</t>
  </si>
  <si>
    <t>LOD Patient</t>
  </si>
  <si>
    <t>LOD Patient SD</t>
  </si>
  <si>
    <t>Hippocampus (early onset vs late onset depression)</t>
  </si>
  <si>
    <t>early onset vs late onset</t>
  </si>
  <si>
    <t>rated caudate atrophy but did not provide volumetric measures</t>
  </si>
  <si>
    <t>caudate nucleus, mm3</t>
  </si>
  <si>
    <t>caudate, unadjusted volume, ml</t>
  </si>
  <si>
    <t>Used Sheltens scale, basal ganglia</t>
  </si>
  <si>
    <t>Scheltens deep white matter score</t>
  </si>
  <si>
    <t>treatment responsive depression, control population halfed as used twice</t>
  </si>
  <si>
    <t>Shioiri T</t>
  </si>
  <si>
    <t>DSM-III</t>
  </si>
  <si>
    <t>DSM-IV</t>
  </si>
  <si>
    <t>RDC</t>
  </si>
  <si>
    <t>ICD</t>
  </si>
  <si>
    <t>Publication bias</t>
  </si>
  <si>
    <t>18 taking anxiolytics</t>
  </si>
  <si>
    <t>Callosal area, mm2</t>
  </si>
  <si>
    <t>left global sulcal index, right global sulcal index, left gray matter volume, right gray matter volume</t>
  </si>
  <si>
    <t>Intracranial volume, left temporal pole, right temporal pole, left superior temporal gyrus, right superior temporal gyrus, left planum polare, right planum polare, left heschl gyrus, right heschl gyrus, left planum temporale, right planum temporale, left rostral superior temporal gyrus, right rostral superior temporal gyrus, left caudal superior temporal gyrus, right caudal superior temporal gyrus</t>
  </si>
  <si>
    <t>Cn LTpl RTpl Lstg Rstg Lplpo Rplpo Lhg Rhg Lplt Rplt Lastg Rastg Lpstg Rpstg</t>
  </si>
  <si>
    <t>patients split into currently depressed patients and remitted patients</t>
  </si>
  <si>
    <t>9 received anxiolytics and/or sedatives such as benzodiazepines</t>
  </si>
  <si>
    <t xml:space="preserve">deep white matter hyperintensities, subcortical gray hyperintensities, right orbitofrontal cortex, total orbitofrontal cortex, total brain volume, left orbital frontal cortex divided by total brain volume, right orbital frontal cortex divided by total brain volume, total orbital frontal cortex divided by total brain volume  </t>
  </si>
  <si>
    <t>This is an area of the anterior cingulate anterior to the genu end of the corpus callosum 'Brodmann area 32', "Anterior cingulate-BA 32 is the second full gyrus visible from inferior to superior in medial prefrontal cortex measured in the first three slices anterior to the most anterior extension of corpus callosum visualized in the coronal plane." likely to be gray matter as other regions in this paper are gray matter only, mm3</t>
  </si>
  <si>
    <t>"Some of these regions were obtained through combining adjacent structures: for example, anterior and middle cingulate were combined in one ROI (cingulum)", unknown volume units, Gray matter as per title of paper, unknown volume units</t>
  </si>
  <si>
    <t>"Total anterior cingulate cortex" Probably gray as uses the term "anterior cingulate cortex", Uses 3 regions which may be relevant and are best seen in figure 1 of the paper: "precallosal" which is in front of corpus callosum and "rostral-anterior" which us above but not infront of corpus callosum, or total anterior cingulate cortex which includes all regions in figure 1, ml</t>
  </si>
  <si>
    <t>Deep white matter Hyperintensity (Fazekas, Coffey or Scheltens scale)</t>
  </si>
  <si>
    <t>Scheltens rating scale, deep white matter lesion total</t>
  </si>
  <si>
    <t>Scheltens rating scale, basal ganglia total</t>
  </si>
  <si>
    <t>SDs calculated from 95%CIs</t>
  </si>
  <si>
    <t>http://dx.doi.org/10.1017/S0033291709991656</t>
  </si>
  <si>
    <t>http://dx.doi.org/10.1016/j.jad.2009.03.015</t>
  </si>
  <si>
    <t>http://dx.doi.org/10.1097/JGP.0b013e3181aad5b2</t>
  </si>
  <si>
    <t>http://dx.doi.org/10.1007/s00406-009-0045-x</t>
  </si>
  <si>
    <t>http://dx.doi.org/10.1016/j.neuroimage.2009.03.031</t>
  </si>
  <si>
    <t>http://dx.doi.org/10.1016/j.pscychresns.2008.08.001</t>
  </si>
  <si>
    <t>http://dx.doi.org/10.1016/j.jad.2009.11.016</t>
  </si>
  <si>
    <t>http://dx.doi.org/10.1111/j.1600-0447.2009.01489.x</t>
  </si>
  <si>
    <t>http://bjp.rcpsych.org/cgi/reprint/196/2/143</t>
  </si>
  <si>
    <t>http://dx.doi.org/10.1016/j.biopsych.2009.10.017</t>
  </si>
  <si>
    <t>http://dx.doi.org/10.1016/j.pnpbp.2009.10.005</t>
  </si>
  <si>
    <t>Milne A, MacQueen GM, Yucel K, Soreni N, Hall GB.</t>
  </si>
  <si>
    <t>Exner C, Lange C, Irle E.</t>
  </si>
  <si>
    <t>patients split into those with melancholic features and those with non-melancholic features</t>
  </si>
  <si>
    <t>corpus callosum area, corpus callosum length, corpus callosum curvature, regional corpus callosum width</t>
  </si>
  <si>
    <t>cca ccl</t>
  </si>
  <si>
    <t>Currently depressed (control group halfed as used twice)</t>
  </si>
  <si>
    <t>Remitted group (control group halfed as used twice)</t>
  </si>
  <si>
    <t>patients split into first episode and multiple episode</t>
  </si>
  <si>
    <r>
      <t xml:space="preserve">Lhp </t>
    </r>
    <r>
      <rPr>
        <b/>
        <sz val="10"/>
        <rFont val="Arial"/>
        <family val="2"/>
      </rPr>
      <t>Rhp</t>
    </r>
  </si>
  <si>
    <t>Anterior cingulate cortex (references study by Sassi 2004 From image it looks like gray and white matter are included: Briefly, for the anterior cingulate, the tracing began at two slices anterior to the most anterior slice where the genu of the corpus callosum was visible, with the cingulate sulcus as the upper limit and the callosal sulcus as the lower limit defining the cingulate gyrus. The tracing progressed caudally on all slices until the slice where the anterior commissure was most apparent was reached. The anterior commissure marked the posterior limit of the anterior cingulate. The subsequent slice marked the anterior border of the posterior cingulate, and the cingulate gyrus was traced in the same manner. The final slice measured in the posterior cingulate occurred when the cerebral aqueduct appeared within the pons )</t>
  </si>
  <si>
    <t>Anterior cingulate (right)</t>
  </si>
  <si>
    <t>Used Sheltens scale, periventricular hyperintensities</t>
  </si>
  <si>
    <t>caudate nucleus, cm3</t>
  </si>
  <si>
    <t>lateral ventricles</t>
  </si>
  <si>
    <t>Cn hp Lhp Rhp am Lam Ram ec Lec Rec cga Lcga Rcga hyp</t>
  </si>
  <si>
    <t>number</t>
  </si>
  <si>
    <t>Kronmüller KT, Schröder J, Köhler S, Götz B, Victor D, Unger J, Giesel F, Magnotta V, Mundt C, Essig M, Pantel J.</t>
  </si>
  <si>
    <t>Intracranial volume cm3</t>
  </si>
  <si>
    <t>Caudate volume, units not stated</t>
  </si>
  <si>
    <t>caudate volume mm3</t>
  </si>
  <si>
    <t>Putamen, cm3 unadjusted (from table 2)</t>
  </si>
  <si>
    <t>Putamen volume, units not stated</t>
  </si>
  <si>
    <t>Thalamus volume, units not stated</t>
  </si>
  <si>
    <t>Temporal lobe, cm3 (absolute volume)</t>
  </si>
  <si>
    <t>Hippocampus volume, units not known</t>
  </si>
  <si>
    <t>amygdala volume, units unknown</t>
  </si>
  <si>
    <t>amygdala (mm3 divided by Cerebral volume in L)</t>
  </si>
  <si>
    <t>amygdala volume, voxels</t>
  </si>
  <si>
    <t>Any MRI hyperintensities</t>
  </si>
  <si>
    <t>recovered first episode</t>
  </si>
  <si>
    <t>hippocampus volume, cm3, only used total as this is reported for unipolars (see table 3)</t>
  </si>
  <si>
    <t>Scheltens periventricular hyperintensities score</t>
  </si>
  <si>
    <t>Scheltens basal ganglia score</t>
  </si>
  <si>
    <t>Subcortical gray hyperintensities (Fazekas, Coffey or Scheltens scale)</t>
  </si>
  <si>
    <t>Periventricular Hyperintensity (Fazekas, Coffey or Scheltens scale)</t>
  </si>
  <si>
    <t>http://dx.doi.org/10.1016/j.pnpbp.2009.05.020</t>
  </si>
  <si>
    <t>Takahashi T (A)</t>
  </si>
  <si>
    <t>Takahashi T (B)</t>
  </si>
  <si>
    <t>http://dx.doi.org/10.1007/s00406-009-0023-3</t>
  </si>
  <si>
    <t>http://dx.doi.org/10.1111/j.1600-0447.2009.01389.x</t>
  </si>
  <si>
    <t>http://dx.doi.org/10.1016/j.jad.2009.04.021</t>
  </si>
  <si>
    <t>http://dx.doi.org/10.1016/j.jpsychires.2009.03.007</t>
  </si>
  <si>
    <t>http://dx.doi.org/10.1038/mp.2009.26</t>
  </si>
  <si>
    <t>Cardoner N</t>
  </si>
  <si>
    <t>Almeida OP</t>
  </si>
  <si>
    <t>Agid R</t>
  </si>
  <si>
    <t>Tupler LA</t>
  </si>
  <si>
    <t>Steingard RJ</t>
  </si>
  <si>
    <t>Shah PJ</t>
  </si>
  <si>
    <t>Salokangas RK</t>
  </si>
  <si>
    <t>Patients without antidepressant exposure Used automatic parcelation divided into gray and total (ie gm+wm), divided patients into with and without antidepressant exposure</t>
  </si>
  <si>
    <t>Hong ED, Taylor WD, McQuoid DR, Potter GG, Payne ME, Ashley-Koch A, Steffens DC.</t>
  </si>
  <si>
    <t>Bonferroni corrected p value</t>
  </si>
  <si>
    <t>treatment resistant depression, control population halfed as used twice</t>
  </si>
  <si>
    <t xml:space="preserve">orbitofrontal cortex (gyrus rectus), subcallosal gyrus (BA25), anterior cingulate (BA24, ie subgenual prefrontal cortex), anterior cingulate (BA32), whole brain </t>
  </si>
  <si>
    <t>Caetano SC, Sassi R, Brambilla P, Harenski K, Nicoletti M, Mallinger AG, Frank E, Kupfer DJ, Keshavan MS, Soares JC.</t>
  </si>
  <si>
    <t>B Lprm Rprm</t>
  </si>
  <si>
    <t>whole brain volume, left hippocampus, right hippocampus</t>
  </si>
  <si>
    <t>raw frontal volume, used definition from Almeida 2003 "Frontal volume" (actually Prefrontal volume)", states mm3 but this is probably ml</t>
  </si>
  <si>
    <t>left amygdala, right amygdala, whole brain volume, Intracranial volume</t>
  </si>
  <si>
    <t>left amygdala, right amygdala, whole brain volume</t>
  </si>
  <si>
    <t>oribitofrontal cortex gray matter</t>
  </si>
  <si>
    <t>Non-psychotic depression, 2More complex definition but approximates to prefrontal lobe. Part of posterior boundary is anterior to caudate nucleus</t>
  </si>
  <si>
    <t>Position in chart (high value = top of chart)</t>
  </si>
  <si>
    <t>Patients number</t>
  </si>
  <si>
    <t>Controls number</t>
  </si>
  <si>
    <t>Lavretsky H, Kurbanyan K, Ballmaier M, Mintz J, Toga A, Kumar A.</t>
  </si>
  <si>
    <t>Publication bias part calculation</t>
  </si>
  <si>
    <t>pat_age</t>
  </si>
  <si>
    <t>split by onset</t>
  </si>
  <si>
    <t>split into male and female</t>
  </si>
  <si>
    <t>split into remitted and currently depressed</t>
  </si>
  <si>
    <t>Heterogeneity (I%)</t>
  </si>
  <si>
    <t>Heterogeneity (p-value)</t>
  </si>
  <si>
    <t>Combine left and right measures</t>
  </si>
  <si>
    <t>Additionally, 34 patients (59.65%) received some kind of comedication with benzodiazepines, neuroleptics or mood stabilizers</t>
  </si>
  <si>
    <t>23% (9) took benzodiazepines and 13% (5) hypnotics</t>
  </si>
  <si>
    <t>Caetano SC, Hatch JP, Brambilla P, Sassi RB, Nicoletti M, Mallinger AG, Frank E, Kupfer DJ, Keshavan MS, Soares JC.</t>
  </si>
  <si>
    <t>Matsuo K, Rosenberg DR, Easter PC, MacMaster FP, Chen HH, Nicoletti M, Caetano SC, Hatch JP, Soares JC.</t>
  </si>
  <si>
    <t>Excluded as email from Kumar states this study used overlapping samples with Lavretsky 2007</t>
  </si>
  <si>
    <t>Excluded as Email from Kumar states that this overlaps the sample of Kumar 2000</t>
  </si>
  <si>
    <t>Email from Kumar states that this sample was independent of Kumar 2000</t>
  </si>
  <si>
    <t>http://www.ncbi.nlm.nih.gov/pubmed/9169241</t>
  </si>
  <si>
    <t>Kumar</t>
  </si>
  <si>
    <t>http://www.ncbi.nlm.nih.gov/pubmed/9636205</t>
  </si>
  <si>
    <t>Excluded as email from Kumar state there is an overlap between this sample and Kumar 2000</t>
  </si>
  <si>
    <t>Excluded as email from Kumar state there is an overlap between this sample and Ballmaier 2008</t>
  </si>
  <si>
    <t>Excluded as email from Kumar states this study used overlapping samples with Lavretsky 2004</t>
  </si>
  <si>
    <t>Meisenzahl EM</t>
  </si>
  <si>
    <t>Sun J</t>
  </si>
  <si>
    <t>Kronenberg G</t>
  </si>
  <si>
    <t>remitted depressed, control group number halfed</t>
  </si>
  <si>
    <t>Brain volume, ml</t>
  </si>
  <si>
    <t>whole brain volume, mm3</t>
  </si>
  <si>
    <t>Lorenzetti V (B)</t>
  </si>
  <si>
    <t>http://dx.doi.org/10.1016/j.jad.2009.06.003</t>
  </si>
  <si>
    <t>http://www.cma.ca/multimedia/staticContent/HTML/N0/l2/jpn/vol-34/issue-2/pdf/pg127.pdf</t>
  </si>
  <si>
    <t>http://ajp.psychiatryonline.org/cgi/reprint/166/6/702</t>
  </si>
  <si>
    <t>http://www.liebertonline.com/doi/pdf/10.1089/104454603321666207</t>
  </si>
  <si>
    <t>http://www.pnas.org/content/100/3/1387.full.pdf</t>
  </si>
  <si>
    <t>Coryell W, Nopoulos P, Drevets W, Wilson T, Andreasen NC.</t>
  </si>
  <si>
    <t>Gyrus rectus, gray, raw volumes, mm5</t>
  </si>
  <si>
    <t>gyrus rectus (gray matter), mm3</t>
  </si>
  <si>
    <t>Excluded as sample overlap with Elderkin-Thompson 2008 based on email from Prof Kumar</t>
  </si>
  <si>
    <t>Corpus Callosum length</t>
  </si>
  <si>
    <t>Maximum corpus callosum length, cm</t>
  </si>
  <si>
    <t>Callosal length, cm</t>
  </si>
  <si>
    <t>Callosal length, mm</t>
  </si>
  <si>
    <t xml:space="preserve">Globus pallidus </t>
  </si>
  <si>
    <t>globus pallidus, cm3</t>
  </si>
  <si>
    <t>pallidum, unknown volume units</t>
  </si>
  <si>
    <t>pallidus (from supplementary datasheet), mm3</t>
  </si>
  <si>
    <t>Globus Pallidus (total)</t>
  </si>
  <si>
    <t>has gray white and CSF</t>
  </si>
  <si>
    <t>has white and gray matter</t>
  </si>
  <si>
    <t>DSM-III-R</t>
  </si>
  <si>
    <t>van Eijndhoven P, van Wingen G, van Oijen K, Rijpkema M, Goraj B, Jan Verkes R, Oude Voshaar R, Fernández G, Buitelaar J, Tendolkar I.</t>
  </si>
  <si>
    <t>Correlation</t>
  </si>
  <si>
    <t>Caudate total (with combined left and right</t>
  </si>
  <si>
    <t>Intracranial volume, length of adhesio interthalamica, length of cavum septum pellucidum</t>
  </si>
  <si>
    <t>left hippocampal gray mater, right hippocampal gray mater, left hippocampus white matter, right hippocampal white mater, left hippocampus volume, right hippocampus volume, intracranial volume</t>
  </si>
  <si>
    <t>Intracranial volume, corpus callosum cross sectional area, corpus callosum section 1 (anterior) area, corpus callosum section 2 (mid-anterior) area, corpus callosum section 3 (mid) area, corpus callosum section 4 (mid-posterior) area, corpus callosum section 5 (posterior) area</t>
  </si>
  <si>
    <t>Pizzagalli DA, Holmes AJ, Dillon DG, Goetz EL, Birk JL, Bogdan R, Dougherty DD, Iosifescu DV, Rauch SL, Fava M.</t>
  </si>
  <si>
    <t>left anterior insular cortex, right anterior insular cortex, left posterior insular cortex, right posterior insular cortex, Intracranial volume</t>
  </si>
  <si>
    <t>Exclude sample overlaps with Maller 2007</t>
  </si>
  <si>
    <t>Exclude is the same as Maller et al 2007</t>
  </si>
  <si>
    <t>Pujol J, Cardoner N, Benlloch L, Urretavizcaya M, Deus J, Losilla JM, Capdevila A, Vallejo J.</t>
  </si>
  <si>
    <t>Correlation left and right</t>
  </si>
  <si>
    <t>Meta-analysis Switches</t>
  </si>
  <si>
    <t xml:space="preserve">Raw values given for females only: Ventricle, Cortical sulci, sylvian fissure measures. </t>
  </si>
  <si>
    <t>V v3 sf sCFS</t>
  </si>
  <si>
    <t>Ve Vcau sw</t>
  </si>
  <si>
    <t>Exclude as only female raw values given may bias results</t>
  </si>
  <si>
    <t xml:space="preserve"> 1 methylphenidate (stimulant) 1 zopiclone (hypnotic)</t>
  </si>
  <si>
    <t>hippocampus, 'divided by ICV and multiplied by 1000'</t>
  </si>
  <si>
    <t>Exclude same sample as Takahashi (A) 2009</t>
  </si>
  <si>
    <t>ccma</t>
  </si>
  <si>
    <t>corpus callosum mid anterior</t>
  </si>
  <si>
    <t>ccmp</t>
  </si>
  <si>
    <t>corpus callosum mid posterior</t>
  </si>
  <si>
    <t>Cn cca ccaa ccma ccmb ccmp ccpa</t>
  </si>
  <si>
    <t>treatment resistant depression group</t>
  </si>
  <si>
    <t>Lateral ventricles, third ventricle width, sulcal dilation</t>
  </si>
  <si>
    <t>Parashos IA, Tupler LA, Blitchington T, Krishnan KR.</t>
  </si>
  <si>
    <t>B hp hyp</t>
  </si>
  <si>
    <t>amygdala cm3</t>
  </si>
  <si>
    <t>amygdala gray matter, cm3</t>
  </si>
  <si>
    <t>amygdala volume, ml</t>
  </si>
  <si>
    <t>Pub Bias chart</t>
  </si>
  <si>
    <t>The table below is for optional input into other meta-analysis software</t>
  </si>
  <si>
    <t>Steffens DC, Trost WT, Payne ME, Hybels CF, MacFall JR.</t>
  </si>
  <si>
    <t>http://dx.doi.org/10.1016/0006-3223(91)91297-5</t>
  </si>
  <si>
    <t>http://dx.doi.org/10.1016/0165-1781(91)90149-J</t>
  </si>
  <si>
    <t>http://neuro.psychiatryonline.org/cgi/reprint/3/4/387</t>
  </si>
  <si>
    <t>http://neuro.psychiatryonline.org/cgi/reprint/3/1/33</t>
  </si>
  <si>
    <t>Brain volume, says mm3 but assume this is cm3, non normalised</t>
  </si>
  <si>
    <t>Lange C</t>
  </si>
  <si>
    <t>http://dx.doi.org/10.1017/S0033291703001806</t>
  </si>
  <si>
    <t>Linsa Rinsa Linsp Rinsp Cn</t>
  </si>
  <si>
    <t>adithl</t>
  </si>
  <si>
    <t>adhesio interthalamica</t>
  </si>
  <si>
    <t>Cn adithl csp</t>
  </si>
  <si>
    <t>amygdala (absolute), ml</t>
  </si>
  <si>
    <t>amygdala volume, mm3</t>
  </si>
  <si>
    <t>currently depressed, control group number halfed</t>
  </si>
  <si>
    <t>Excluded (total)</t>
  </si>
  <si>
    <t>Excluded (left/right)</t>
  </si>
  <si>
    <t>Exclude: BA32 region too small</t>
  </si>
  <si>
    <t>Hippocampus (left and right converted to total)</t>
  </si>
  <si>
    <t>Excluded from total</t>
  </si>
  <si>
    <t>Excluded from left and right</t>
  </si>
  <si>
    <t>Gray matter voume, cm3, left and right hemisphere (table 3)</t>
  </si>
  <si>
    <t>Thalamic nucleus,  mm3</t>
  </si>
  <si>
    <t>Excluded same as Pantel 1997</t>
  </si>
  <si>
    <t>hippocampus-amygdala complex, mm3</t>
  </si>
  <si>
    <t>Excluded, region unclear. Refers to the measure as "medial orbitofrontal cortex" but cites Lai et al 2000 which measured whole orbitofrontal cortex</t>
  </si>
  <si>
    <t>Recovered first episode (controls halfed as used twice)</t>
  </si>
  <si>
    <t>Bicaudate ratio, bifrontal ratio, sella media ratio, sylvian fissure ratio, third ventricle width. The following was rated but no values reported (occipital lobe atrophy, parietal lobe atrophy, frontal lobe atrophy, temporal lobe atrophy)</t>
  </si>
  <si>
    <t>Ballmaier M, Kumar A, Elderkin-Thompson V, Narr KL, Luders E, Thompson PM, Hojatkashani C, Pham D, Heinz A, Toga AW.</t>
  </si>
  <si>
    <t>Sheline YI, Price JL, Vaishnavi SN, Mintun MA, Barch DM, Epstein AA, Wilkins CH, Snyder AZ, Couture L, Schechtman K, McKinstry RC.</t>
  </si>
  <si>
    <t>Moryś JM, Bobek-Billewicz B, Dziewiatkowski J, Ratajczak I, Pankiewicz P, Narkiewicz O, Moryś J.</t>
  </si>
  <si>
    <t>Periventricular hyperintensities</t>
  </si>
  <si>
    <t>Email from Krishnan and Steffens states that this is an independent sample from Greenwald 2001</t>
  </si>
  <si>
    <t>Email from Krishnan and Steffens states that this is an independent sample</t>
  </si>
  <si>
    <t>Excluded as email from Krishnan and Steffens state that this has an overlapping sample with Taylor 2007</t>
  </si>
  <si>
    <t>Bergouignan L</t>
  </si>
  <si>
    <t>Andreescu C</t>
  </si>
  <si>
    <t>http://dx.doi.org/10.1016/j.neuroimage.2008.11.006</t>
  </si>
  <si>
    <t>http://www.cma.ca/multimedia/staticContent/HTML/N0/l2/jpn/vol-33/issue-5/pdf/pg423.pdf</t>
  </si>
  <si>
    <t>Frodl T (C)</t>
  </si>
  <si>
    <t>Penttilä J, Paillère-Martinot ML, Martinot JL, Ringuenet D, Wessa M, Houenou J, Gallarda T, Bellivier F, Galinowski A, Bruguière P, Pinabel F, Leboyer M, Olié JP, Duchesnay E, Artiges E, Mangin JF, Cachia A.</t>
  </si>
  <si>
    <t>Iacono WG, Smith GN, Moreau M, Beiser M, Fleming JA, Lin TY, Flak B.</t>
  </si>
  <si>
    <t>raw and normalised volumes (normalised to intracranial volume) are presented for each measure: cerebral CSF, lateral ventricles, cortical CSF, left sylvian CSF, right sylvian CSF, sylvian CSF ratio (left sylvian CSF volume divided by right sylvian volume), Brain volume</t>
  </si>
  <si>
    <t>CCSF V cCSF LsfCSF RsfCSF asy(sfCSF) B</t>
  </si>
  <si>
    <t>hphd hpbdtl Lcau Rcau Lpt Rpt LPFL RPFL LFpst RFpst LT RT C</t>
  </si>
  <si>
    <t>Lacerda AL, Nicoletti MA, Brambilla P, Sassi RB, Mallinger AG, Frank E, Kupfer DJ, Keshavan MS, Soares JC.</t>
  </si>
  <si>
    <t>Intra-cranial content, says mm3 but assume this is ml</t>
  </si>
  <si>
    <t>Kronenberg G, Tebartz van Elst L, Regen F, Deuschle M, Heuser I, Colla M.</t>
  </si>
  <si>
    <t>http://dx.doi.org/10.1016/j.biopsych.2008.10.027</t>
  </si>
  <si>
    <t>Penttilä J</t>
  </si>
  <si>
    <t>Cranial volume, caudate nucleus, putamen, amygdala, hippocampus</t>
  </si>
  <si>
    <t xml:space="preserve">total brain volume, total hippocampal volume, white matter lesions (frontal periventricular, lateral periventricular, occipital periventricular, small subcortiacl, larger subcortical) </t>
  </si>
  <si>
    <t>Lateral Ventricle (Total)</t>
  </si>
  <si>
    <t>Caudate (total)</t>
  </si>
  <si>
    <t>pituitary gland volume (but no raw values given for depression group)</t>
  </si>
  <si>
    <t>Lam Ram B</t>
  </si>
  <si>
    <t>Lam Ram B Cn</t>
  </si>
  <si>
    <t xml:space="preserve">Total caudate, right caudate, left caudate, total brain volume, total white matter lesion volume, anterior white matter lesion volume, posterior white matter lesion volume </t>
  </si>
  <si>
    <t>http://ajp.psychiatryonline.org/cgi/reprint/160/1/83</t>
  </si>
  <si>
    <t>From table 2 as this has the larger sample</t>
  </si>
  <si>
    <t>Corpus callosum area, unadjusted mean, says cm3 but assume this is cm2 as methods says area drawn midsagittally</t>
  </si>
  <si>
    <t>Total callosal area, cm2</t>
  </si>
  <si>
    <t>Caudate nuclei volume (total), ml</t>
  </si>
  <si>
    <t>caudate, unadjusted mean, cm3</t>
  </si>
  <si>
    <t>measurement taken from table 2, 72 patients and 38 controls</t>
  </si>
  <si>
    <t>Putamen (left and right converted to total)</t>
  </si>
  <si>
    <t>Left and right measures combined</t>
  </si>
  <si>
    <t>Temporal Lobe (left and right converted to total)</t>
  </si>
  <si>
    <t>Early onset depression group, Measure was from genu of corpus callosum to the front</t>
  </si>
  <si>
    <t>Late onset depression group, Measure was from genu of corpus callosum to the front</t>
  </si>
  <si>
    <t>Frontal volume (white)</t>
  </si>
  <si>
    <t>Frontal volume (left, G+W)</t>
  </si>
  <si>
    <t>Frontal volume (Gray)</t>
  </si>
  <si>
    <t>split into subgroups</t>
  </si>
  <si>
    <t>Orbitofrontal (total)</t>
  </si>
  <si>
    <t>Lesser IM</t>
  </si>
  <si>
    <t>Lewine RR</t>
  </si>
  <si>
    <t>Guze BH</t>
  </si>
  <si>
    <t>Meisenzahl EM, Seifert D, Bottlender R, Teipel S, Zetzsche T, Jäger M, Koutsouleris N, Schmitt G, Scheuerecker J, Burgermeister B, Hampel H, Rupprecht T, Born C, Reiser M, Möller HJ, Frodl T.</t>
  </si>
  <si>
    <t>putamen</t>
  </si>
  <si>
    <t>CSF, left CSF, right CSF, used Sheltons scale to rate (deep white matter hyperintensities, periventricular hyperintensities, basal ganglia cahnges, infratentorial changes). Note some results for MRI are from subsample (n=58) of total described sample</t>
  </si>
  <si>
    <t>MacMillan S, Szeszko PR, Moore GJ, Madden R, Lorch E, Ivey J, Banerjee SP, Rosenberg DR.</t>
  </si>
  <si>
    <t>Subgenual PFC (total)</t>
  </si>
  <si>
    <t>subgenual, ml (same definition as Drevets)</t>
  </si>
  <si>
    <t>Email from Patelis confirming this sample is independet from Lorenzetti et al 2009</t>
  </si>
  <si>
    <t>Email from Patelis confirming this sample is independent from Velakoulis 2006</t>
  </si>
  <si>
    <t>Excluded as email from Sheline says this sample overlapped with Lenze et al 2008</t>
  </si>
  <si>
    <t>Excluded as email from Sheline states this overlaps with Sheline et al 2003</t>
  </si>
  <si>
    <t>Author confirmed in email that cerebral cortex was both gray and white matter</t>
  </si>
  <si>
    <t>Ashtari M, Greenwald BS, Kramer-Ginsberg E, Hu J, Wu H, Patel M, Aupperle P, Pollack S.</t>
  </si>
  <si>
    <t>left amygdala, right amygdala, left amygdala divided by total brain volume, right amygdala divided by total brain volume</t>
  </si>
  <si>
    <t>CT</t>
  </si>
  <si>
    <t>Two measures are reported for each structure, raw and normalised to intracranial volume: cerebral CSF, lateral ventricles, cortical CSF, left sylvian fissure CSF, right sylvian fissure CSF, brain</t>
  </si>
  <si>
    <t>Excluded as email from Frodl states this study overlaps with the sample from Frodl et al 2003</t>
  </si>
  <si>
    <t>Kuhl DE, Metter EJ, Riege WH.</t>
  </si>
  <si>
    <t>fourth ventricle, mm3</t>
  </si>
  <si>
    <t xml:space="preserve">fourth ventricle area (sum of area in 3 consecutive slices), cm2 </t>
  </si>
  <si>
    <t>fourth ventricle, cross sectional area, cm2</t>
  </si>
  <si>
    <t>Amygdala Hippocampal complex (left)</t>
  </si>
  <si>
    <t>amygdala hippocampal complex, cm3</t>
  </si>
  <si>
    <t>amygdalahippocampus, absolute measure, cm3</t>
  </si>
  <si>
    <t>amygdala hippocampal complex, mm3</t>
  </si>
  <si>
    <t>Anterior cingulate (total)</t>
  </si>
  <si>
    <t>MacQueen GM, Campbell S, McEwen BS, Macdonald K, Amano S, Joffe RT, Nahmias C, Young LT.</t>
  </si>
  <si>
    <t>Eker C, Ovali GY, Ozan E, Eker OD, Kitis O, Coburn K, Gonul AS.</t>
  </si>
  <si>
    <t>Krishnan KR, Doraiswamy PM, Figiel GS, Husain MM, Shah SA, Na C, Boyko OB, McDonald WM, Nemeroff CB, Ellinwood EH Jr.</t>
  </si>
  <si>
    <t>Frodl T (B)</t>
  </si>
  <si>
    <t>Ballmaier M (A)</t>
  </si>
  <si>
    <t>Ballmaier M (B)</t>
  </si>
  <si>
    <t>http://www.nature.com/npp/journal/v33/n11/pdf/1301655a.pdf</t>
  </si>
  <si>
    <t>whole brain measures, total volume, assume cm3</t>
  </si>
  <si>
    <t>Early onset group</t>
  </si>
  <si>
    <t>Late onset group</t>
  </si>
  <si>
    <t>total brain volume, mm3</t>
  </si>
  <si>
    <t>G</t>
  </si>
  <si>
    <t>Reports mean Fazekas score (for DWMH and subcortical gray hyperintensities, and subcortical gray-matter lesions) and mean Boyko classification (for deep white-matter lesions and subcortical gray-matter hyperintensities), also gives chart showing % of subjects who met 0,1,2,3,4 for Boyko classifications so we could apply a threshold calculate number of subject who have a hyperintensity</t>
  </si>
  <si>
    <t>Tae WS, Kim SS, Lee KU, Nam EC, Kim KW.</t>
  </si>
  <si>
    <t>Measured Gray, white and total volume from frontal lobe forward from genu of corpus callosum to front. Has a picture showing this</t>
  </si>
  <si>
    <t>"PFC total" (actually prefrontal lobe), cm3</t>
  </si>
  <si>
    <t>"PFC gray matter" (so this is PFC), cm3</t>
  </si>
  <si>
    <t>Pariante CM, Dazzan P, Danese A, Morgan KD, Brudaglio F, Morgan C, Fearon P, Orr K, Hutchinson G, Pantelis C, Velakoulis D, Jones PB, Leff J, Murray RM.</t>
  </si>
  <si>
    <t>Intracranial volume, right orbital frontal cortex gray, right orbital frontal cortex white, left orbital frontal cortex gray, left orbital frontal cortex white, right anterior cingulate gyrus gray, right anterior cingulate gyrus white, left anterior cingulate gyrus gray, left anterior cingulate gyrus white</t>
  </si>
  <si>
    <t>left amygdala, right amygdala, left amygdala divided by total brain volume, right amygdala divided by total brain volume, total brain volume, total gray matter, total white matter</t>
  </si>
  <si>
    <t>Bilder RM</t>
  </si>
  <si>
    <t>http://dx.doi.org/10.1016/S0167-8760(99)00077-X</t>
  </si>
  <si>
    <t>Bilder RM, Wu H, Bogerts B, Ashtari M, Robinson D, Woerner M, Lieberman JA, Degreef G.</t>
  </si>
  <si>
    <t>LGhp RGhp LWhp RWhp Lhp Rhp Cn</t>
  </si>
  <si>
    <t>Shioiri T, Oshitani Y, Kato T, Murashita J, Hamakawa H, Inubushi T, Nagata T, Takahashi S.</t>
  </si>
  <si>
    <t>Frodl T, Meisenzahl E, Zetzsche T, Bottlender R, Born C, Groll C, Jager M, Leinsinger G, Hahn K, Moller HJ.</t>
  </si>
  <si>
    <t>B G W CSF GF WF</t>
  </si>
  <si>
    <t>B F LF RF</t>
  </si>
  <si>
    <t>Lam Ram</t>
  </si>
  <si>
    <t>Lcau Rcau Lpt Rpt Lgp Rgp</t>
  </si>
  <si>
    <t>Lam Ram Lhp Rhp</t>
  </si>
  <si>
    <t>Lhp Rhp B</t>
  </si>
  <si>
    <t>Ghp LGhp RGhp C</t>
  </si>
  <si>
    <t>http://dx.doi.org/10.1016/S0022-3999(02)00425-7</t>
  </si>
  <si>
    <t>http://dx.doi.org/10.1017/S146114570300347X</t>
  </si>
  <si>
    <t>http://dx.doi.org/10.1017/S003329170300758X</t>
  </si>
  <si>
    <t>http://www.psychiatrist.com/abstracts/abstracts.asp?abstract=200306/060310.htm</t>
  </si>
  <si>
    <t>http://dx.doi.org/10.1016/S0006-3223(02)01474-9</t>
  </si>
  <si>
    <t>http://dx.doi.org/10.1016/S0925-4927(03)00123-9</t>
  </si>
  <si>
    <t>http://dx.doi.org/10.1016/S0006-3223(03)00063-5</t>
  </si>
  <si>
    <t>Neu P, Bajbouj M, Schilling A, Godemann F, Berman RM, Schlattmann P.</t>
  </si>
  <si>
    <t>SD Age patients</t>
  </si>
  <si>
    <t>Female patients</t>
  </si>
  <si>
    <t>Female controls</t>
  </si>
  <si>
    <t>reports number of subjects with each hyperintensity and used Used Scheltens rating scale and also (summary values for Scheltens scale not reported)</t>
  </si>
  <si>
    <t xml:space="preserve">Wcga Gcga Gorb Worb Grg Wrg </t>
  </si>
  <si>
    <t>"Frontal lobe", mm3</t>
  </si>
  <si>
    <t>hyperintenisities</t>
  </si>
  <si>
    <t>Naish JH, Baldwin RC, Patankar T, Jeffries S, Burns AS, Taylor CJ, Waterton JC, Jackson A.</t>
  </si>
  <si>
    <t>left anterior subgenual prefrontal cortex, right anterior subgenual prefrontal cortex, left posterior subgenual prefrontal cortex, right posterior subgenual prefrontal cortex</t>
  </si>
  <si>
    <t>w^2</t>
  </si>
  <si>
    <t>w star</t>
  </si>
  <si>
    <t>wstar*effect size</t>
  </si>
  <si>
    <t>effect size / se</t>
  </si>
  <si>
    <t>study</t>
  </si>
  <si>
    <t>year</t>
  </si>
  <si>
    <t>study_year</t>
  </si>
  <si>
    <t>pat_num</t>
  </si>
  <si>
    <t>pat_mean</t>
  </si>
  <si>
    <t>pat_sd</t>
  </si>
  <si>
    <t>con_num</t>
  </si>
  <si>
    <t>con_mean</t>
  </si>
  <si>
    <t>con_sd</t>
  </si>
  <si>
    <t>eff_size</t>
  </si>
  <si>
    <t>se_eff_size</t>
  </si>
  <si>
    <t>parameters</t>
  </si>
  <si>
    <t>Number of studies =</t>
  </si>
  <si>
    <t>Number of repeated studies</t>
  </si>
  <si>
    <t>T (fixed)</t>
  </si>
  <si>
    <t>Q</t>
  </si>
  <si>
    <t>var</t>
  </si>
  <si>
    <t>p</t>
  </si>
  <si>
    <t>95% CI</t>
  </si>
  <si>
    <t>Z-score</t>
  </si>
  <si>
    <t>I2</t>
  </si>
  <si>
    <t>Chart position</t>
  </si>
  <si>
    <t>http://ajp.psychiatryonline.org/cgi/reprint/148/5/617</t>
  </si>
  <si>
    <t>total brain volume, L</t>
  </si>
  <si>
    <t>Xia J, Chen J, Zhou Y, Zhang J, Yang B, Xia L, Wang C.</t>
  </si>
  <si>
    <t>Steffens DC, Byrum CE, McQuoid DR, Greenberg DL, Payne ME, Blitchington TF, MacFall JR, Krishnan KR.</t>
  </si>
  <si>
    <t>Palsson S, Larsson L, Tengelin E, Waern M, Samuelsson S, Hallstro T, Skoog I.</t>
  </si>
  <si>
    <t>Hickie I, Naismith S, Ward PB, Scott E, Mitchell P, Wilhelm K, Parker G.</t>
  </si>
  <si>
    <t>Heterogeneity (Q)</t>
  </si>
  <si>
    <t>Axelson DA, Doraiswamy PM, McDonald WM, Boyko OB, Tupler LA, Patterson LJ, Nemeroff CB, Ellinwood EH Jr, Krishnan KR.</t>
  </si>
  <si>
    <t>Yucel K, M C Kinnon M, Chahal R, Taylor V, Macdonald K, Joffe R, Macqueen G.</t>
  </si>
  <si>
    <t>http://www3.interscience.wiley.com/cgi-bin/fulltext/114803833/PDFSTART</t>
  </si>
  <si>
    <t>van Eijndhoven P</t>
  </si>
  <si>
    <t>T1LF T1RF T1LP T1RP T1LT T1RT T1Lcau T1Rcau T1Lth T1Rth</t>
  </si>
  <si>
    <t>Caudate nucleus, voxels</t>
  </si>
  <si>
    <t>Cerebral volume, voxels</t>
  </si>
  <si>
    <t>Cortical gray matter, voxels</t>
  </si>
  <si>
    <t>Pariante CM</t>
  </si>
  <si>
    <t>http://www.nature.com/npp/journal/v30/n10/full/1300766a.html</t>
  </si>
  <si>
    <t>No of subjects with T2-WIH (T2 weighted image hyperintensities)</t>
  </si>
  <si>
    <t>Number of Controls</t>
  </si>
  <si>
    <t>4th ventricle area, brain stem area, diameter 3rd ventricle, periventricular and deep white matter hyperintensities</t>
  </si>
  <si>
    <t>pituitary</t>
  </si>
  <si>
    <t>orbitofrontal cortex gray matter volume, cm3</t>
  </si>
  <si>
    <t>Scott ML, Golden CJ, Ruedrich SL, Bishop RJ.</t>
  </si>
  <si>
    <t>Takahashi T, Yücel M, Lorenzetti V, Tanino R, Whittle S, Suzuki M, Walterfang M, Pantelis C, Allen NB.</t>
  </si>
  <si>
    <t>Appears to include gray and white matter fromon front third of frontal lobe (ie genu of the corpus callosum to the front)  definitions of boundaries given in this paper http://www.jneurosci.org/cgi/reprint/14/8/4748</t>
  </si>
  <si>
    <t>Takahashi T, Yücel M, Lorenzetti V, Nakamura K, Whittle S, Walterfang M, Suzuki M, Pantelis C, Allen NB.</t>
  </si>
  <si>
    <t>Chen PS</t>
  </si>
  <si>
    <t>Brambilla P, Nicoletti M, Sassi RB, Mallinger AG, Frank E, Keshavan MS, Soares JC.</t>
  </si>
  <si>
    <t>Lavretsky H</t>
  </si>
  <si>
    <t>Lacerda AL</t>
  </si>
  <si>
    <t>Coryell W</t>
  </si>
  <si>
    <t>Chen CS</t>
  </si>
  <si>
    <t>Xia J</t>
  </si>
  <si>
    <t>Iosifescu DV, Renshaw PF, Lyoo IK, Lee HK, Perlis RH, Papakostas GI, Nierenberg AA, Fava M.</t>
  </si>
  <si>
    <t>Baldwin R, Jeffries S, Jackson A, Sutcliffe C, Thacker N, Scott M, Burns A.</t>
  </si>
  <si>
    <t>Kumar A, Bilker W, Jin Z, Udupa J.</t>
  </si>
  <si>
    <t>mid-sagittal brain area, corpus callosum length, corpus callosum area, anterior corpus callosum area, midanterior corpus callosum area, midposterior corpus callosum area, posterior corpus callosum area, anterior corpus callosum thickness, middle corpus callosum thickness, posterior corpus callosum thickness, also reports the following regions relative to mid-sagittal brain area (anterior corpus callosum, midanterior corpus callosum, midposterior corpus callosum, posteriorcorpus callosum area)</t>
  </si>
  <si>
    <t>Bar ccl cca ccaa ccmaa ccpaa ccpa ccta cctm cctp</t>
  </si>
  <si>
    <t>Kramer-Ginsberg E, Greenwald BS, Krishnan KR, Christiansen B, Hu J, Ashtari M, Patel M, Pollack S.</t>
  </si>
  <si>
    <t>left amygdala, left amygdala core, left amygdala noncore, right amygdala, right amygdala core, right amygdala noncore (total brain volume also measured but not shown)</t>
  </si>
  <si>
    <t>Hyperintensities: Whole-brain hyperitensity volume, deep hyperintensity volume, frontal hyperintensity volume, frontal deep hyperintensity volume, basal ganglia hyperintensity volume, parietal &amp; occipital (combined) hyperintensity volume</t>
  </si>
  <si>
    <t>Dupont RM (B)</t>
  </si>
  <si>
    <t>Sheline YI, Gado MH, Price JL.</t>
  </si>
  <si>
    <t>From abstract and discussions with U. Ettinger: VBR and % of intracranial volume (whole brain, CSF, left frontal lobe, right frontal lobe, left temporal lobe, right temporal lobe, left amygdala-hippocampus complex, right amygdala-hippocampus complex)</t>
  </si>
  <si>
    <t>Bremner JD, Vythilingam M, Vermetten E, Nazeer A, Adil J, Khan S, Staib LH, Charney DS.</t>
  </si>
  <si>
    <t>Exclude as measured "putaminal complex (lenticular nucleus, which included both the putamen and globus pallidus)"</t>
  </si>
  <si>
    <t>Putamen, cm3</t>
  </si>
  <si>
    <t>Putamen (left)</t>
  </si>
  <si>
    <t>Putamen (total)</t>
  </si>
  <si>
    <t>Kumar A (A)</t>
  </si>
  <si>
    <t>Kumar A (B)</t>
  </si>
  <si>
    <t>Risch SC, Lewine RJ, Kalin NH, Jewart RD, Risby ED, Caudle JM, Stipetic M, Turner J, Eccard MB, Pollard WE.</t>
  </si>
  <si>
    <t>Putamen nuclei, cm3, assume order of values in incorrect for left putamen as i)the text says is smaller in patients and ii)The total of left and right adds up to approx the correct values if the order is assumed to be wrong</t>
  </si>
  <si>
    <t>total brain volume, total brain volume divided by intracranial volume, frontal lobe, frontal lobe divided by intracranial volume, temporal lobe, temporal lobe divided by intracranial volume, hyperintensity lesion volume, hyperintensity lesion volume divided by intracranial volume</t>
  </si>
  <si>
    <t>left subgenual prefrontal cortex divided by whole brain volume</t>
  </si>
  <si>
    <t>rated Cavum Septum Pellucidum (thinning of septum)</t>
  </si>
  <si>
    <t>Limited information can be used from table 1: Note:The first lines of the table 1 list the numbers of hyperintensities in each region not the number of subjects with hyperintensities</t>
  </si>
  <si>
    <t>total number of white matter hyperintensities, volume of white matter hyperintensities, total number of basal ganglia lesions, volume of basal ganglia lesions, total number of lesions (gray and white matter), total volume of lesions (gray and white matter), periventricular hyperintensities score, deep white matter hyperintensities score</t>
  </si>
  <si>
    <t>DSM-III-R major depressive disorder</t>
  </si>
  <si>
    <t>Velakoulis D, Wood SJ, Wong MT, McGorry PD, Yung A, Phillips L, Smith D, Brewer W, Proffitt T, Desmond P, Pantelis C.</t>
  </si>
  <si>
    <t>L+R (Hippocampus, Amygdala), intracranial, whole brain</t>
  </si>
  <si>
    <t>amygdala, mm3</t>
  </si>
  <si>
    <t>Intracranial volume, mm3</t>
  </si>
  <si>
    <t>whole brain, (whole brain):(whole brain+CSF) ratio, frontal lobe, orbitofrontal, (frontal lobe):(frontal lobe + CSF) ratio, caudate, putamen, thalamus, cerebellum, corpus callosum area, lateral ventricles</t>
  </si>
  <si>
    <t>B F orb cau pt th c cca V</t>
  </si>
  <si>
    <t>Lam Ram Lamc Ramc Lamnc Ramnc C</t>
  </si>
  <si>
    <t>CERADv3 CERADLsf CERADRsf CERADLTs CERADRTs CERADLVth CERADRVth CERADLV CERADRV CERADLCs CERADRCs</t>
  </si>
  <si>
    <t>Lhp Rhp</t>
  </si>
  <si>
    <t>Lcau Rcau Lln Rln</t>
  </si>
  <si>
    <t>Janssen J, Hulshoff Pol HE, Lampe IK, Schnack HG, de Leeuw FE, Kahn RS, Heeren TJ.</t>
  </si>
  <si>
    <t>Imaging Method</t>
  </si>
  <si>
    <t>Pearlson GD, Rabins PV, Kim WS, Speedie LJ, Moberg PJ, Burns A, Bascom MJ.</t>
  </si>
  <si>
    <t xml:space="preserve">left caudate, right caudate, left putamen, right putamen, left globus pallidus, right globus pallidus </t>
  </si>
  <si>
    <t>caudate nucleus, absolute volume, ml</t>
  </si>
  <si>
    <t>caudate, assume cm3</t>
  </si>
  <si>
    <t>the mean of the left and right is not taken as the total, it appears that the authors have taken the mean SD</t>
  </si>
  <si>
    <t>Total orbitofrontal (provided other seperate gray matter volume), cm3</t>
  </si>
  <si>
    <t>antidepressant exposure, control population halfed as used twice</t>
  </si>
  <si>
    <t>no antidepressant exposure, control population halfed as used twice</t>
  </si>
  <si>
    <t>Suicidal patients</t>
  </si>
  <si>
    <t>orbitofrontal cortex, gray, cm3</t>
  </si>
  <si>
    <t>previously depressed group, control group divided by 2 as used twice</t>
  </si>
  <si>
    <t>Pituitary volume, mm3</t>
  </si>
  <si>
    <t>Patient Mean</t>
  </si>
  <si>
    <t>Control Mean</t>
  </si>
  <si>
    <t>Pooled SD</t>
  </si>
  <si>
    <t>Effect size</t>
  </si>
  <si>
    <t>Variance</t>
  </si>
  <si>
    <t>95% confidence</t>
  </si>
  <si>
    <t xml:space="preserve">weight </t>
  </si>
  <si>
    <t>weight *effect size</t>
  </si>
  <si>
    <t>weight * effect size^2</t>
  </si>
  <si>
    <t>Effect size chart</t>
  </si>
  <si>
    <t>Frodl T, Schüle C, Schmitt G, Born C, Baghai T, Zill P, Bottlender R, Rupprecht R, Bondy B, Reiser M, Möller HJ, Meisenzahl EM.</t>
  </si>
  <si>
    <t>http://ajp.psychiatryonline.org/cgi/reprint/149/5/620</t>
  </si>
  <si>
    <t>ROI studies</t>
  </si>
  <si>
    <t>left hippocampus, right hippocampus, left hippocampus length, (raw values not reported for: right hippocampus length)</t>
  </si>
  <si>
    <t>melancholic depression</t>
  </si>
  <si>
    <t>atypical depression</t>
  </si>
  <si>
    <t>hippocampus volume, assume cm3</t>
  </si>
  <si>
    <t xml:space="preserve">periventricular hyperintensities, deep white matter hyperintensities, subcortical gray matter hyperintensities. </t>
  </si>
  <si>
    <t>http://dx.doi.org/10.1016/0165-0327(91)90020-S</t>
  </si>
  <si>
    <t>Cardoner N, Pujol J, Vallejo J, Urretavizcaya M, Deus J, Lopez-Sala A, Benlloch L, Menchon JM.</t>
  </si>
  <si>
    <t>Keshavan MS, Mulsant BH, Sweet RA, Pasternak R, Zubenko GS, Krishnan RR.</t>
  </si>
  <si>
    <t>Cerebral volume, cm3</t>
  </si>
  <si>
    <t>Caudate nucleus volume (total), cm3</t>
  </si>
  <si>
    <t>Coffey CE</t>
  </si>
  <si>
    <t>First Author</t>
  </si>
  <si>
    <t>Locally stored copy</t>
  </si>
  <si>
    <t>used their own rating scale, mean rating given rather than number with and without</t>
  </si>
  <si>
    <t>Lauer CJ</t>
  </si>
  <si>
    <t>Palsson S</t>
  </si>
  <si>
    <t>Baumann B</t>
  </si>
  <si>
    <t>Marchesi C</t>
  </si>
  <si>
    <t>Wurthmann C</t>
  </si>
  <si>
    <t>Pearlson GD</t>
  </si>
  <si>
    <t>Van den Bossche B</t>
  </si>
  <si>
    <t>Andreasen NC</t>
  </si>
  <si>
    <t>Iacono WG</t>
  </si>
  <si>
    <t>Yates WR</t>
  </si>
  <si>
    <t>Scott ML</t>
  </si>
  <si>
    <t>Velakoulis D</t>
  </si>
  <si>
    <t>http://archpsyc.ama-assn.org/cgi/content/full/63/2/139</t>
  </si>
  <si>
    <t>Paper says it used 24 subjects from Sheline et al 1999 so should exlclude</t>
  </si>
  <si>
    <t>New sample only</t>
  </si>
  <si>
    <t>Wurthmann C, Bogerts B, Falkai P.</t>
  </si>
  <si>
    <t>Count</t>
  </si>
  <si>
    <t>"Frontal lobe gray matter" (Prefrontal white matter), cm3</t>
  </si>
  <si>
    <t>B Lhm Rhm medorb Lmedorb Rmedorb</t>
  </si>
  <si>
    <t>T1 intenisty in the Corpus Callosum (genu area, anterior body area, posterior body area, Ithmus area, Splenium area)</t>
  </si>
  <si>
    <t>Orbitofrontal cortex (right, gray)</t>
  </si>
  <si>
    <t>Orbitofrontal cortex (left, gray)</t>
  </si>
  <si>
    <t>sgPFC scPFC cga</t>
  </si>
  <si>
    <t>hippocampus, mm3 (manual)</t>
  </si>
  <si>
    <t>Non APOE-E4 depressed group only as controls were non APOE-E4</t>
  </si>
  <si>
    <t>Brain volume, left hippocampus, right hippocampus, shape analysis of hippocampus</t>
  </si>
  <si>
    <t>Intracranial cavity volume, cm3 (measured manually)</t>
  </si>
  <si>
    <t>Early onset depression</t>
  </si>
  <si>
    <t>Pituitary gland volume, cm3</t>
  </si>
  <si>
    <t>Brain volume, cm3</t>
  </si>
  <si>
    <t>Used Schelten's scale, Any PVH "Periventricular white-matter hyperintensities, total" (all MDD patients)</t>
  </si>
  <si>
    <t>hippocampus volume, cm3, manual measure</t>
  </si>
  <si>
    <t>hippocampus, left/right total, baseline mL</t>
  </si>
  <si>
    <t>amygdala, left/right total, basline, mL</t>
  </si>
  <si>
    <t>Putamen, mL</t>
  </si>
  <si>
    <t>Whole brain, mm3</t>
  </si>
  <si>
    <t>Whole brain volumes, mm3</t>
  </si>
  <si>
    <t>currently depressed patients (controls halfed as used twice)</t>
  </si>
  <si>
    <t>remitted depressed patients (controls halfed as used twice)</t>
  </si>
  <si>
    <t>Intra-cranial volume, mm3</t>
  </si>
  <si>
    <t>currently depressed patients (controls halfed as used twice), assumed error in SD of ICV of currently depressed patients</t>
  </si>
  <si>
    <t>quotes from neuroradiologist reports no formal scale used</t>
  </si>
  <si>
    <t>Coffey &amp; Fazekas scale, use without neurologic history group</t>
  </si>
  <si>
    <t>Chen HH, Rosenberg DR, MacMaster FP, Easter PC, Caetano SC, Nicoletti M, Hatch JP, Nery FG, Soares JC.</t>
  </si>
  <si>
    <t>V v3w sd</t>
  </si>
  <si>
    <t>Hippocampus (Left)</t>
  </si>
  <si>
    <t>Hippocampus (Right)</t>
  </si>
  <si>
    <t>Marchesi C, Silvestrini C, Ponari O, Volpi R, Chiodera P, Coiro V.</t>
  </si>
  <si>
    <t>pituitary, whole brain, Intracranial volume</t>
  </si>
  <si>
    <t>Lpt Rpt C</t>
  </si>
  <si>
    <t>pty B Cn</t>
  </si>
  <si>
    <t>currently depressed group, control group divided by 2 as used twice</t>
  </si>
  <si>
    <t>Intracranial volume, Following adjusted for ICV: Frontal lobe, left frontal lobe, right frontal lobe, Frontal gray matter, left frontal grey matter, right frontal grey matter, orbitofrontal, left orbitofrontal, right orbitofrontal, orbitofrontal grey, left orbitofrontal grey, right orbitofrontal grey</t>
  </si>
  <si>
    <t>Intracranial volume, Following ICV corrected: Frontal white matter, left frontal white matter, right frontal white matter, Frontal gray matter, left frontal grey matter, right frontal grey matter, orbitofrontal white matter, left orbitofrontal white matter, right orbitofrontal white matter, orbitofrontal grey, left orbitofrontal grey, right orbitofrontal grey</t>
  </si>
  <si>
    <t>left hippocampus, right hippocampus, left amygdala, right amygdala</t>
  </si>
  <si>
    <t>In portuguese. Table 2 appears to indicate that for the number of controls and patients with (periventricular hyperintensities, deep white hyperintensities, and subcortical gray hyperintensities). Table 3 has the rating for periventricular hyperintensities for patients and controls</t>
  </si>
  <si>
    <t>Frontal volume (left, gray)</t>
  </si>
  <si>
    <t>Frontal volume (right, gray)</t>
  </si>
  <si>
    <t>Frontal volume (left, white)</t>
  </si>
  <si>
    <t>Frontal volume (right, white)</t>
  </si>
  <si>
    <t>"Frontal volume" (actually Prefrontal volume), mm3, SDs calculated from 95%CIs</t>
  </si>
  <si>
    <t>Early onset group, SDs calculated from 95%CIs</t>
  </si>
  <si>
    <t>Late onset group, SDs calculated from 95%CIs</t>
  </si>
  <si>
    <t>"Frontal lobe" but no definitions</t>
  </si>
  <si>
    <t>"Deep white matter hyperintensities", Coffey classification scale 0= negative, 1-3 positive (we could change this), note doesn't seem to add to 100%?</t>
  </si>
  <si>
    <t>"subcortical gray matter lesions" Coffey scale 0= negative, 1-3 positive (we could change this)</t>
  </si>
  <si>
    <t>Nolan CL, Moore GJ, Madden R, Farchione T, Bartoi M, Lorch E, Stewart CM, Rosenberg DR.</t>
  </si>
  <si>
    <t>multiple episode depression compared to their control group</t>
  </si>
  <si>
    <t>Cerebrum</t>
  </si>
  <si>
    <t>Brain volume</t>
  </si>
  <si>
    <t>left anterior cingulate (Gray, White, CSF, Total), right anterior cingulate (Gray, White, CSF, Total), left gyrus rectus (Gray, White, CSF, Total), right gyrus rectus (Gray, White, CSF, Total), left orbitofrontal cortex (Gray, White, CSF, Total), right orbitofrontal cortex (Gray, White, CSF, Total) other regions looked at in prefontal cortex but not reported (precentral gyrus, superior frontal cortex, middle frontal cortex, inferior frontal cortex, total brain (Gray, White CSF, Total for each of these))</t>
  </si>
  <si>
    <r>
      <t xml:space="preserve">Lam Lamc Lamnc Ram Ramc Ramnc </t>
    </r>
    <r>
      <rPr>
        <b/>
        <sz val="10"/>
        <rFont val="Arial"/>
        <family val="2"/>
      </rPr>
      <t>B</t>
    </r>
  </si>
  <si>
    <t>Uses Scheltens rating scale to assess severity of hyperintensities but does not state how many subjects had hyperintensities</t>
  </si>
  <si>
    <t>Presents how many subjects have each of the 4 different ratings in periventricular, deep white and subcortical hyperintensities</t>
  </si>
  <si>
    <t>"Deep white matter hyperintensities", Modified Fazekas scale 0= negative, 1-3 positive (we could change this)</t>
  </si>
  <si>
    <t>Silverstone T, McPherson H, Li Q, Doyle T.</t>
  </si>
  <si>
    <t>Coffey classification method (0-3) used in table 1, periventricular hyperintensities not shown</t>
  </si>
  <si>
    <t>Used Fazekas scale modified by Coffey</t>
  </si>
  <si>
    <t>"At least one lesion in any subregion"</t>
  </si>
  <si>
    <t>th Lth Rth</t>
  </si>
  <si>
    <t>pty Cn</t>
  </si>
  <si>
    <t>LsgPFC RsgPFC C</t>
  </si>
  <si>
    <t xml:space="preserve">LsgPFC RsgPFC </t>
  </si>
  <si>
    <t>Lam Ram B G W</t>
  </si>
  <si>
    <t>Lhp Rhp LGhp RGhp LWhp RWhp</t>
  </si>
  <si>
    <t>total brain volume, mm4</t>
  </si>
  <si>
    <t>Exclude same sample  as Pujol 2002</t>
  </si>
  <si>
    <t>total brain volume, ml</t>
  </si>
  <si>
    <t>Exclude no standard deviations given</t>
  </si>
  <si>
    <t>Exclude subjects not split depending on depression</t>
  </si>
  <si>
    <t>Whole brain, mm3, assume it is actually mm3</t>
  </si>
  <si>
    <t>Taylor WD, Züchner S, McQuoid DR, Payne ME, MacFall JR, Steffens DC, Speer MC, Krishnan KR.</t>
  </si>
  <si>
    <t>Appears to include gray and white matter from front third of frontal lobe (ie genu of the corpus callosum to the front)  definitions of boundaries given in this paper http://www.jneurosci.org/cgi/reprint/14/8/4748</t>
  </si>
  <si>
    <t>Email from Jerome Maller saying that the SDs were incorrect in the paper and need to be divided by 10</t>
  </si>
  <si>
    <t>Botteron KN</t>
  </si>
  <si>
    <t>Drevets WC</t>
  </si>
  <si>
    <t>Psychotic Depression, More complex definition but approximates to prefrontal lobe. Part of posterior boundary is anterior to caudate nucleus</t>
  </si>
  <si>
    <t>Non-psychotic depression, K62More complex definition but approximates to prefrontal lobe. Part of posterior boundary is anterior to caudate nucleus</t>
  </si>
  <si>
    <t>Slightly smaller sample (18 and 37) given for frontal measures, "The frontal regions of interest included all frontal matter anterior to the genu of the corpus callosum"</t>
  </si>
  <si>
    <t>"Frontal lobe gray matter" (approximates to PFC), cm3</t>
  </si>
  <si>
    <t>"Frontal lobe white matter" (Prefrontal white matter), cm3</t>
  </si>
  <si>
    <t>VBR%, cognitively normal depressed group, SE converted to SDs</t>
  </si>
  <si>
    <t>Vythilingam M, Vermetten E, Anderson GM, Luckenbaugh D, Anderson ER, Snow J, Staib LH, Charney DS, Bremner JD.</t>
  </si>
  <si>
    <t>Wu M, Rosano C, Butters M, Whyte E, Nable M, Crooks R, Meltzer CC, Reynolds CF 3rd, Aizenstein HJ.</t>
  </si>
  <si>
    <t xml:space="preserve">frontal asymmetry, temporal asymmetry, whole brain asymmetry </t>
  </si>
  <si>
    <t>Dolan RJ, Poynton AM, Bridges PK, Trimble MR.</t>
  </si>
  <si>
    <t>Exclude as same sample as Lewine 1991</t>
  </si>
  <si>
    <t>The orbitofrontal region was defined as the brain parenchyma anterior to the PAC coronal surface and inferior to the AC-PC axial surface.</t>
  </si>
  <si>
    <t>orbitofrontal, cm3, from table 2, unadjusted mean</t>
  </si>
  <si>
    <t>orbitofrontal cortex, ml, non standardised</t>
  </si>
  <si>
    <t>orbitofrontal cortex used same definition as Lai et al 2000, ml, left orbitofrontal cortex volume missing from table 1 so used /total brain measures</t>
  </si>
  <si>
    <t>Kumar A, Bilker W, Lavretsky H, Gottlieb G.</t>
  </si>
  <si>
    <t>MDD (number of patients with major depressive disorder)</t>
  </si>
  <si>
    <t>Summary</t>
  </si>
  <si>
    <t>White matter</t>
  </si>
  <si>
    <t>CSF (total)</t>
  </si>
  <si>
    <t>Subgenual Prefrontal Cortex (left)</t>
  </si>
  <si>
    <t>Kumar A, Mintz J, Bilker W, Gottlieb G.</t>
  </si>
  <si>
    <t>brain volume, total gray matter, total white matter, total csf, frontal lobe grey matter, frontal lobe white matter. Note less subjects for frontal lobe volumes</t>
  </si>
  <si>
    <t>Rabins PV, Pearlson GD, Aylward E, Kumar AJ, Dowell K.</t>
  </si>
  <si>
    <t>Year</t>
  </si>
  <si>
    <t>Ventricular CT index ("width of the center of the bodies of the lateral ventricles expressed as a percentage of the maximum biparietal brain diameter") , Caudate CT index ("intercaudate span expressed as a percentage of the maximum biparietal diameter of the brain"), Cortical CT index ("width of the largest cortical sulcus measured on a level high in the brain expressed as a percentage of the maximum biparietal brain diameter").</t>
  </si>
  <si>
    <r>
      <t xml:space="preserve">V </t>
    </r>
    <r>
      <rPr>
        <b/>
        <sz val="10"/>
        <rFont val="Arial"/>
        <family val="2"/>
      </rPr>
      <t>CTLF CTRF CTLTP CTRTP CTLO CTRO CTcO</t>
    </r>
  </si>
  <si>
    <t>CTsso CTGsso CTWsso</t>
  </si>
  <si>
    <t>Total brain WMH lesion volume, Left hemisphere WMH lesion volume, Right hemisphere WMH lesion volume, Total frontal lobe WMH lesion volume, Left frontal lobe WMH lesion volume, Right frontal lobe WMH lesion volume, Total parietal lobe WMH lesion volume, Left parietal lobe WMH lesion volume, Right parietal lobe WMH lesion volume</t>
  </si>
  <si>
    <t>Chen CS, Chen CC, Kuo YT, Chiang IC, Ko CH, Lin HF.</t>
  </si>
  <si>
    <t>http://www.pnas.org/content/93/9/3908</t>
  </si>
  <si>
    <t>multep</t>
  </si>
  <si>
    <t>FE dep</t>
  </si>
  <si>
    <t>split depending on group (suicidal=16, nonsuicidal=26.9)</t>
  </si>
  <si>
    <t>split depending on group (suicidal =13.7, non-suicidal = 10.9)</t>
  </si>
  <si>
    <t>melancholic</t>
  </si>
  <si>
    <t>atypical</t>
  </si>
  <si>
    <t>split into melancholic (onset=49) and atypical (onset=40)</t>
  </si>
  <si>
    <t>psychosis</t>
  </si>
  <si>
    <t>no psychosis</t>
  </si>
  <si>
    <t>http://www.cma.ca/multimedia/staticContent/HTML/N0/l2/jpn/vol-31/issue-5/pdf/pg316.pdf</t>
  </si>
  <si>
    <t>http://www3.interscience.wiley.com/cgi-bin/fulltext/112775032/PDFSTART</t>
  </si>
  <si>
    <t>Pillay SS, Renshaw PF, Bonello CM, Lafer BC, Fava M, Yurgelun-Todd D.</t>
  </si>
  <si>
    <t>does have seperate medial orbitofrontal cortex, Medial orbitofrontal cortex, gray matter, cm3</t>
  </si>
  <si>
    <t>See below for meta-analysis of continous data, binary data, switches and heterogeneity analysis</t>
  </si>
  <si>
    <t>http://bjp.rcpsych.org/cgi/reprint/188/2/180</t>
  </si>
  <si>
    <t>Click on the links below for a meta-analysis of each region</t>
  </si>
  <si>
    <t>Region</t>
  </si>
  <si>
    <t>No of studies</t>
  </si>
  <si>
    <t>CNT (number of control subjects)</t>
  </si>
  <si>
    <t>RFX (Effect size from random effects analysis)</t>
  </si>
  <si>
    <t>min (minimum effect size -95% confidence interval)</t>
  </si>
  <si>
    <t>95% (width of 95% confidence interval)</t>
  </si>
  <si>
    <t>p-value (red indicates significant result)</t>
  </si>
  <si>
    <t>Bon p (p-value corrected for Bonferroni correction for multiple comparisons)</t>
  </si>
  <si>
    <t>Text for chart</t>
  </si>
  <si>
    <t>Elderkin-Thompson V, Ballmaier M, Hellemann G, Pham D, Lavretsky H, Kumar A.</t>
  </si>
  <si>
    <t>"Frontal-lobe volume was defined as the brain parenchyma anterior to the PAC coronal surface (a line perpendicular to the AC-PC line at the level of the anterior commissure) and superior to the AC-PC level"</t>
  </si>
  <si>
    <t>"Frontal" (approximates to prefrontal lobe volume, although ventral prefrontal lobe is not included and definition goes further back behind splenium), from table 2, unadjusted mean, cm3</t>
  </si>
  <si>
    <t>Summary of major depressive disorder versus control group meta-analysis</t>
  </si>
  <si>
    <t>Lateral Ventricles (total)</t>
  </si>
  <si>
    <t>Lateral Ventricles (MRI)</t>
  </si>
  <si>
    <t>Lateral Ventricles (CT)</t>
  </si>
  <si>
    <t>Brain</t>
  </si>
  <si>
    <t>Gray Matter (total)</t>
  </si>
  <si>
    <t>White matter (total)</t>
  </si>
  <si>
    <t>Caudate (left)</t>
  </si>
  <si>
    <t>Caudate (right)</t>
  </si>
  <si>
    <t>Putamen (right)</t>
  </si>
  <si>
    <t>Thalamus (total)</t>
  </si>
  <si>
    <t>Temporal Lobe (total)</t>
  </si>
  <si>
    <t>Temporal Lobe (right)</t>
  </si>
  <si>
    <t>Hippocampus (total)</t>
  </si>
  <si>
    <t>Hippocampus (left)</t>
  </si>
  <si>
    <t>Hippocampus (right)</t>
  </si>
  <si>
    <t>Amygdala (right)</t>
  </si>
  <si>
    <t>Anterior Cingulate (left)</t>
  </si>
  <si>
    <t>Anterior Cingulate (right)</t>
  </si>
  <si>
    <t>Subgenual PFC (left)</t>
  </si>
  <si>
    <t>Subgenual PFC (right)</t>
  </si>
  <si>
    <t>Whole Brain volume, left hippocampus, right hippocampus, total hippocampus, left amygdala, right amygdala, total amygdala</t>
  </si>
  <si>
    <t>Krishnan KR, McDonald WM, Doraiswamy PM, Tupler LA, Husain M, Boyko OB, Figiel GS, Ellinwood EH Jr.</t>
  </si>
  <si>
    <t>Wu JC, Buchsbaum MS, Johnson JC, Hershey TG, Wagner EA, Teng C, Lottenberg S.</t>
  </si>
  <si>
    <t>McIntosh AM</t>
  </si>
  <si>
    <t>http://dx.doi.org/10.1017/S0033291799003177</t>
  </si>
  <si>
    <t>Pizzagalli DA</t>
  </si>
  <si>
    <t>Whole brain, L+R(frontal lobe, temporal lobe, amygdala-hippocampal complex, caudate nucleus, lentiform nucleus, thalamic nucleus, lateral ventricle) third ventricle, forth ventricle</t>
  </si>
  <si>
    <t>B v3 v4 RF RT Ramhp Rcau Rln Rth RV LF LT Lamhp Lcau Lln Lth LV</t>
  </si>
  <si>
    <t>Sheline YI, Wang PW, Gado MH, Csernansky JG, Vannier MW.</t>
  </si>
  <si>
    <t>95% CI Z score</t>
  </si>
  <si>
    <t xml:space="preserve">asyPO asysm asyprm asyPFL asyT </t>
  </si>
  <si>
    <t>B medorb Lmedorb Rmedorb</t>
  </si>
  <si>
    <t>http://www.nature.com/nature/journal/v386/n6627/pdf/386824a0.pdf</t>
  </si>
  <si>
    <t>http://dx.doi.org/10.1017/S0033291796004576</t>
  </si>
  <si>
    <t>http://ajgponline.org/cgi/content/abstract/5/1/15</t>
  </si>
  <si>
    <t>http://dx.doi.org/10.1016/S0165-0327(96)00105-X</t>
  </si>
  <si>
    <t>http://dx.doi.org/10.1016/S0006-3223(96)00335-6</t>
  </si>
  <si>
    <t>http://stroke.ahajournals.org/cgi/reprint/29/3/613</t>
  </si>
  <si>
    <t>http://www.pnas.org/content/95/13/7654</t>
  </si>
  <si>
    <t>pituitary, Intracranial volume</t>
  </si>
  <si>
    <t>hp Lhp Rhp cau Lcau Rcau am Lam Ram F LF RF T LT RT B</t>
  </si>
  <si>
    <t>asy(F) asy(T) asy(B)</t>
  </si>
  <si>
    <t>Brain volume, total gray matter, total white matter, total CSF, also presents statistical surface maps of cortical grey matter changes</t>
  </si>
  <si>
    <t>Van den Bossche B, Maes M, Brussaard C, Schotte C, Cosyns P, De Moor J, De Schepper A.</t>
  </si>
  <si>
    <t>Amygdala (total)</t>
  </si>
  <si>
    <t>Gray matter</t>
  </si>
  <si>
    <t>Number patients</t>
  </si>
  <si>
    <t>Number of controls</t>
  </si>
  <si>
    <t>Heterogeneity</t>
  </si>
  <si>
    <t>p value</t>
  </si>
  <si>
    <t>I2 %</t>
  </si>
  <si>
    <t>Note a small number of values may vary slightly from those in the manuscript to to the formulas used in Excel</t>
  </si>
  <si>
    <t>Meta-analysis of Continous data</t>
  </si>
  <si>
    <t>Fazekas scale used has average rating for periventricular hyperintensities and deep white matter hyperintensities. Also has average number of hyperintensities per subject, average volume of hyperintensities and others, does not have number of subjects with lesions</t>
  </si>
  <si>
    <t>left frontal cortical sulci, right frontal cortical sulci, left parieto-occipital cortical sulci, right parieto-occipital cortical sulci, lateral ventricle ( VBR ), left Sylvian fissure (lateral sulcus) level 1 (dorsal), right Sylvian fissure (lateral sulcus) level 1 (dorsal), left Sylvian fissure (lateral sulcus) level 2 (middle), right Sylvian fissure (lateral sulcus) level 2 (middle), left Sylvian fissure (lateral sulcus) level 3 (basal), right Sylvian fissure (lateral sulcus) level 3 (basal), maximum area of third ventricle</t>
  </si>
  <si>
    <t>Ca</t>
  </si>
  <si>
    <t>Vfh V B</t>
  </si>
  <si>
    <t>Monkul ES, Hatch JP, Nicoletti MA, Spence S, Brambilla P, Lacerda AL, Sassi RB, Mallinger AG, Keshavan MS, Soares JC.</t>
  </si>
  <si>
    <t>+95% CI</t>
  </si>
  <si>
    <t>-95% CI</t>
  </si>
  <si>
    <t>standard error (se)</t>
  </si>
  <si>
    <t>1/se</t>
  </si>
  <si>
    <t>cca spa ctxca spa</t>
  </si>
  <si>
    <t>Total hippocampus, left hippocampus, right hippocampus, Total hippocampus body, left hippocampus body, right hippocampus body, Total hippocampus head, left hippocampus head, right hippocampus head, Total temporal lobe, left temporal lobe, right temporal lobe, whole brain.</t>
  </si>
  <si>
    <t>Unipolar_papers\Lee_2003.pdf</t>
  </si>
  <si>
    <t>Ballmaier M, Kumar A, Thompson PM, Narr KL, Lavretsky H, Estanol L, Deluca H, Toga AW.</t>
  </si>
  <si>
    <t>http://dx.doi.org/10.1016/0165-1781(83)90095-1</t>
  </si>
  <si>
    <t>total brain volume, right hippocampal volume, left hippocampal volume, surface mapping of hippocampus</t>
  </si>
  <si>
    <t>Steingard RJ, Renshaw PF, Hennen J, Lenox M, Cintron CB, Young AD, Connor DF, Au TH, Yurgelun-Todd DA.</t>
  </si>
  <si>
    <t>Anterior cingulate cortex and subdivisions: left subgenual, right subgenual, left pre-callosal, right pre-callosal, left rostral-anterior, right rostral-anterior, left caudal-anterior, right caudal-anterior, left total anterior cingulate cortex, right total anterior cingulate cortex</t>
  </si>
  <si>
    <t>Dupont RM, Jernigan TL, Heindel W, Butters N, Shafer K, Wilson T, Hesselink J, Gillin JC.</t>
  </si>
  <si>
    <t>Left gray matter amygdala, Right gray matter amygdala, Left gray matter hippocampus, Right gray matter hippocampus, Left gray matter superior temporal gyrus, Right gray matter superior temporal gyrus, Left gray matter temporal lobe, Right gray matter temporal lobe, Left total temporal lobe, Right total temporal lobe, ICV</t>
  </si>
  <si>
    <t>T1 values of: left frontal region, right frontal region, left parietal region, right parietal region, left temporal region, right temporal region, left caudate, right caudate, left thalamus, right thalamus</t>
  </si>
  <si>
    <t>hyperintensities, also lists patients with particular 'other abnormalities' and names them for each patient (such as atrophy, cyst, tumour etc.)</t>
  </si>
  <si>
    <t>Baumann B, Bornschlegl C, Krell D, Bogerts B.</t>
  </si>
  <si>
    <t>anterior (anterior to the genu of corpus callosum) white matter lesion volume, left anterior white matter lesion volume, right anterior white matter lesion volume,</t>
  </si>
  <si>
    <t>CT density at the axial slice of the centrum semiovale in (grey matter, white matter, whole slice)</t>
  </si>
  <si>
    <t>Shah PJ, Glabus MF, Goodwin GM, Ebmeier KP.</t>
  </si>
  <si>
    <t>Lacerda AL, Brambilla P, Sassi RB, Nicoletti MA, Mallinger AG, Frank E, Kupfer DJ, Keshavan MS, Soares JC.</t>
  </si>
  <si>
    <t>Orbitofrontal cortex (total, gray)</t>
  </si>
  <si>
    <t>Lai T, Payne ME, Byrum CE, Steffens DC, Krishnan KR.</t>
  </si>
  <si>
    <t xml:space="preserve">Used Schelten's scale, Any DWMH "Deep white-matter hyperintensities, total" </t>
  </si>
  <si>
    <t>sw Vab hyp</t>
  </si>
  <si>
    <t>V sw</t>
  </si>
  <si>
    <t xml:space="preserve">VBR </t>
  </si>
  <si>
    <t>Males, note: "medical controls" used</t>
  </si>
  <si>
    <t>Females note: "medical controls" used</t>
  </si>
  <si>
    <t>Dupont RM, Butters N, Schafer K, Wilson T, Hesselink J, Gillin JC.</t>
  </si>
  <si>
    <t>Current first episode (controls halfed as used twice)</t>
  </si>
  <si>
    <t>left putamen, right putamen, cerebrum</t>
  </si>
  <si>
    <t>hippocampal volumes, cm3</t>
  </si>
  <si>
    <t>Controls</t>
  </si>
  <si>
    <r>
      <t xml:space="preserve">LTm RTm Rcau Lcau </t>
    </r>
    <r>
      <rPr>
        <b/>
        <sz val="10"/>
        <rFont val="Arial"/>
        <family val="2"/>
      </rPr>
      <t>LV RV v3 LCa RCa hp hpsam am php Vth</t>
    </r>
  </si>
  <si>
    <t>total hippocampus, says mm2 on table but assume this is a mistake and is mm3 as the graph has this unit</t>
  </si>
  <si>
    <t>No hyp patients</t>
  </si>
  <si>
    <t>Tot patients</t>
  </si>
  <si>
    <t>Hyp controls</t>
  </si>
  <si>
    <t>No hyp controls</t>
  </si>
  <si>
    <t>Tot control</t>
  </si>
  <si>
    <t>Ddds ratio</t>
  </si>
  <si>
    <t>hippocampus volumes, ml</t>
  </si>
  <si>
    <t>hippocampal volume, ml</t>
  </si>
  <si>
    <t>hippocampus grey matter , relative volume (ROI/ total intracranial content)</t>
  </si>
  <si>
    <t>Fixed Effects</t>
  </si>
  <si>
    <t>Used Coffey method and Payne et al method of automatic labeling, reports means of white matter hyperintensity volume (WMH) and gray matter hyperintensity volume (GMH, in methods says "Gray-matter hyperintensities (GMHs) were those occurring in subcortical gray-matter structures"), also reported Coffee measures (Deep WMH, Subcortical GMH)</t>
  </si>
  <si>
    <t xml:space="preserve">"Deep white matter hyperintensities", Coffey classification scale 0= negative, 1-3 positive (we could change this) </t>
  </si>
  <si>
    <t xml:space="preserve">Subcortical gray matter hyperintensity. Coffey classification scale 0= negative, 1-3 positive (we could change this) </t>
  </si>
  <si>
    <t>Ballmaier M, Toga AW, Blanton RE, Sowell ER, Lavretsky H, Peterson J, Pham D, Kumar A.</t>
  </si>
  <si>
    <t>Rabins PV, Aylward E, Holroyd S, Pearlson G.</t>
  </si>
  <si>
    <t>Total</t>
  </si>
  <si>
    <t>Presents how many subjects have each of the 4 different Fazekas ratings and 5 Boyko ratings for periventricular, deep white and subcortical hyperintensities</t>
  </si>
  <si>
    <t>hippocampus, mm3</t>
  </si>
  <si>
    <t>orbitofrontal cortex volume, left orbitofrontal cortex volume, right orbitofrontal cortex volume, total brain volume, white matter hyperintensity volume, gray matter hyperintensity volume, rating of deep white matter hyperintensities and subcortical gray matter hyperintensity</t>
  </si>
  <si>
    <t>numbers of patients with a hyperintensity, also reports number of hyperintensities in the following regions (left frontal, right frontal, left parietal, right parietal, left temporal, right temporal, left occipital, right occipital)</t>
  </si>
  <si>
    <t>Torque, Occipital-parietal assymmetry, sensori-motor assymmetry, premotor assymmetry, prefrontal assymmetry, temporal assymmetry</t>
  </si>
  <si>
    <t>Kumar A, Miller D, Ewbank D, Yousem D, Newberg A, Samuels S, Cowell P, Gottlieb G.</t>
  </si>
  <si>
    <t>Greenwald BS, Kramer-Ginsberg E, Krishnan RR, Ashtari M, Aupperle PM, Patel M.</t>
  </si>
  <si>
    <t>caudate, putamen complex (lenticular nucleus), thalamus, cortical volume, hyperintensities</t>
  </si>
  <si>
    <t>pthypo</t>
  </si>
  <si>
    <t>hp Lhp Rhp amhp amhpa Lamhpa Ramhpa B</t>
  </si>
  <si>
    <t>amhp</t>
  </si>
  <si>
    <t>Lcau Rcau Lpt Rpt</t>
  </si>
  <si>
    <t>Krishnan KR, McDonald WM, Escalona PR, Doraiswamy PM, Na C, Husain MM, Figiel GS, Boyko OB, Ellinwood EH, Nemeroff CB.</t>
  </si>
  <si>
    <t>Siegle GJ, Konecky RO, Thase ME, Carter CS.</t>
  </si>
  <si>
    <t>hyperintensities, deep white matter hyperintensities, periventricular hyperintensities</t>
  </si>
  <si>
    <t>Lin HF, Kuo YT, Chiang IC, Chen HM, Chen CS.</t>
  </si>
  <si>
    <t>Caetano SC, Kaur S, Brambilla P, Nicoletti M, Hatch JP, Sassi RB, Mallinger AG, Keshavan MS, Kupfer DJ, Frank E, Soares JC.</t>
  </si>
  <si>
    <t>Yates WR, Jacoby CG, Andreasen NC.</t>
  </si>
  <si>
    <t>Following measured but not given as values in text: total white matter, total gray matter, white matter hyperintensities, SPM type analysis of regional white matter hyperintensities</t>
  </si>
  <si>
    <t>Corpus callosum area, mm2</t>
  </si>
  <si>
    <t>Corpus callosum area, cm3</t>
  </si>
  <si>
    <t>total brain, ml</t>
  </si>
  <si>
    <t>Caudate nucleus, cm3</t>
  </si>
  <si>
    <t>SD calculated from standard errors</t>
  </si>
  <si>
    <t>Putaminal nucleus</t>
  </si>
  <si>
    <t>Excluded as email from Kumar suggests this sample overlapped with Ballmaier M (C) 2004</t>
  </si>
  <si>
    <t>Kronmüller KT</t>
  </si>
  <si>
    <t>Furtado CP</t>
  </si>
  <si>
    <t>Greenberg DL</t>
  </si>
  <si>
    <t>Keller J</t>
  </si>
  <si>
    <t>Matsuo K</t>
  </si>
  <si>
    <t>MacMaster FP</t>
  </si>
  <si>
    <t>Lenze SN</t>
  </si>
  <si>
    <t>http://ajp.psychiatryonline.org/cgi/reprint/160/8/1516</t>
  </si>
  <si>
    <t>http://www3.interscience.wiley.com/cgi-bin/fulltext/120778855/PDFSTART</t>
  </si>
  <si>
    <t>http://www3.interscience.wiley.com/cgi-bin/fulltext/118852713/PDFSTART</t>
  </si>
  <si>
    <t>"Anterior cingulate", raw volume mm3, from figure 3 this appears to be a large part of the cingulate and stretches from near the precental gyris to under the corpus callosum.""The anterior cingulate gyrus was traced in both sagittal and coronal slices. The anterior cingulate gyrus was defined with boundaries encompassing the cingulate sulcus (anterior, superior, and inferior boundaries); the paracentral sulcus (posterior boundary); and the pericallosal sulcus (inferior and posterior boundaries). The posterior boundary of the anterior cingulate gyrus is similar to that described by Rademacher and colleagues (62). Tracing started on the most midsagittal image that best illustrated its course, and its most anterior point was identified on that image. Moving laterally, tracing continued in the coronal plane connecting the deepest point of the pericallosal sulcus to the deepest point of the cingulate sulcus. Tracing ended in the coronal plane where the paracentral sulcus appeared. The sagittal plane was used to identify the posterior boundary"</t>
  </si>
  <si>
    <t>deep white matter hyperintensities and periventricular hyperintensities</t>
  </si>
  <si>
    <t>amygdala</t>
  </si>
  <si>
    <t>hyperintensities</t>
  </si>
  <si>
    <t>Kumar A, Jin Z, Bilker W, Udupa J, Gottlieb G.</t>
  </si>
  <si>
    <t>hp</t>
  </si>
  <si>
    <t>csp</t>
  </si>
  <si>
    <t>30, 135</t>
  </si>
  <si>
    <t>Hickie IB (A)</t>
  </si>
  <si>
    <t>Krishnan KR (B)</t>
  </si>
  <si>
    <t>Husain MM (B)</t>
  </si>
  <si>
    <t>Frodl T, Meisenzahl EM, Zetzsche T, Hohne T, Banac S, Schorr C, Jager M, Leinsinger G, Bottlender R, Reiser M, Moller HJ.</t>
  </si>
  <si>
    <t>Hickie I (A)</t>
  </si>
  <si>
    <t>Hickie I (B)</t>
  </si>
  <si>
    <t>MacMaster FP (A)</t>
  </si>
  <si>
    <t>MacMaster FP (B)</t>
  </si>
  <si>
    <t>Frodl T (A)</t>
  </si>
  <si>
    <t>hippocampal gray matter volume, mm3</t>
  </si>
  <si>
    <t>hippocampal formation, mm3</t>
  </si>
  <si>
    <t>patients and controls seperated in groups of &lt;1cm2, 1-10cm2 and &gt;10cm2 of white matter hyperintensity. I have classified this as binary classifying &lt;1cm2 as negative and &gt;1cm2 as positive "White matter hyperintensities were defined as areas in the white matter, separate from the ventricles, that demonstrated prolonged T, relaxation times, appearing as areas of hyperintensity. All T, axial sections were examined for lesions: the areas of the white matter hyperintensities on each slice were summed to provide an overall estimate of white matter pathology."</t>
  </si>
  <si>
    <t>Modified Fazekas rating of hyperintensities (periventricular, deep white matter hyperintensities, subcortical hyperintensities)</t>
  </si>
  <si>
    <t>rg scPFC sgPFC cga B</t>
  </si>
  <si>
    <t>Butters MA, Aizenstein HJ, Hayashi KM, Meltzer CC, Seaman J, Reynolds CF 3rd, Toga AW, Thompson PM, Becker JT; IMAGe Research Group.</t>
  </si>
  <si>
    <t>http://ajws.elsevier.com/ajws_archive/20059219A1045.pdf</t>
  </si>
  <si>
    <t>http://dx.doi.org/10.1016/j.jpsychires.2004.06.004</t>
  </si>
  <si>
    <t>http://dx.doi.org/10.1016/j.biopsych.2005.01.016</t>
  </si>
  <si>
    <t>http://dx.doi.org/10.1016/j.biopsych.2004.10.027</t>
  </si>
  <si>
    <t>http://dx.doi.org/10.1016/j.pscychresns.2004.08.004</t>
  </si>
  <si>
    <t>http://dx.doi.org/10.1016/j.biopsych.2005.10.011</t>
  </si>
  <si>
    <t>http://www3.interscience.wiley.com/cgi-bin/fulltext/112161700/PDFSTART</t>
  </si>
  <si>
    <t>http://dx.doi.org/10.1017/S1041610205002796</t>
  </si>
  <si>
    <t>Abstract</t>
  </si>
  <si>
    <t>Bremner JD, Narayan M, Anderson ER, Staib LH, Miller HL, Charney DS.</t>
  </si>
  <si>
    <t>% Female patients</t>
  </si>
  <si>
    <t>%Female controls</t>
  </si>
  <si>
    <t>Borgwardt SJ</t>
  </si>
  <si>
    <t>Rosso IM</t>
  </si>
  <si>
    <t>Lin HF</t>
  </si>
  <si>
    <t>Deep white matter hyperinsities: "The senior author read the reports and abstracted, using verbatim quotes, any anomaly noted; this ranged from frank morphological abnormality to questionable deviations. These abstracted reports were then classified blind to diagnosis, sex and age by a senior neuroradiologist (P.H.) into one of the following categories: (1) deep white matter hyperintensity signals, (2) volume loss (3) ventricular anomaly (enlargement and/or asymmetry), (4) other abnormalities and (5) completely negative scans or incidental findings."</t>
  </si>
  <si>
    <t>Posener JA, Wang L, Price JL, Gado MH, Province MA, Miller MI, Babb CM, Csernansky JG.</t>
  </si>
  <si>
    <t>Has mean Fazekas scale and Boyko scale with SDs for periventricular, deep white and subcortical</t>
  </si>
  <si>
    <t>Lloyd AJ, Ferrier IN, Barber R, Gholkar A, Young AH, O'Brien JT.</t>
  </si>
  <si>
    <t>Cerebrum, assume ml</t>
  </si>
  <si>
    <t>Firbank MJ, Lloyd AJ, Ferrier N, O'Brien JT.</t>
  </si>
  <si>
    <t>DWMH (rating)</t>
  </si>
  <si>
    <t>PVH (rating)</t>
  </si>
  <si>
    <t>ScGMH (rating)</t>
  </si>
  <si>
    <t>N</t>
  </si>
  <si>
    <t>min</t>
  </si>
  <si>
    <t>max</t>
  </si>
  <si>
    <t>plus error</t>
  </si>
  <si>
    <t>minus error</t>
  </si>
  <si>
    <t>Bon p</t>
  </si>
  <si>
    <t>For chart</t>
  </si>
  <si>
    <t>Sun J, Maller JJ, Daskalakis ZJ, Furtado CC, Fitzgerald PB.</t>
  </si>
  <si>
    <t>Lorenzetti V, Allen NB, Whittle S, Yücel M.</t>
  </si>
  <si>
    <t>hyp</t>
  </si>
  <si>
    <t>Lenze E, Cross D, McKeel D, Neuman RJ, Sheline YI.</t>
  </si>
  <si>
    <t>"periventricular hyperintensities" Modified Fazekas scale 0= negative, 1-3 positive (we could change this)</t>
  </si>
  <si>
    <t>"subcortical gray matter lesions" Modified Fazekas scale 0= negative, 1-3 positive (we could change this)</t>
  </si>
  <si>
    <t>Grey cerebrum, cubic cm</t>
  </si>
  <si>
    <t>total gray matter, cm3</t>
  </si>
  <si>
    <t xml:space="preserve">Gray matter volume, cm3 </t>
  </si>
  <si>
    <t xml:space="preserve">Total gray matter volume, mm3 but this seems incorrect so assume cm3 </t>
  </si>
  <si>
    <t>http://www.springerlink.com/content/yq33844661g65135/fulltext.pdf</t>
  </si>
  <si>
    <t>http://dx.doi.org/10.1016/0165-0327(93)90073-S</t>
  </si>
  <si>
    <t>suicidal</t>
  </si>
  <si>
    <t>nonsuicidal</t>
  </si>
  <si>
    <t>CCSF V cCSF LsfCSF RsfCSF B</t>
  </si>
  <si>
    <t>Brambilla P, Nicoletti MA, Harenski K, Sassi RB, Mallinger AG, Frank E, Kupfer DJ, Keshavan MS, Soares JC.</t>
  </si>
  <si>
    <t>Vythilingam M</t>
  </si>
  <si>
    <t>Hastings RS</t>
  </si>
  <si>
    <t>hippocampus whole, mm3</t>
  </si>
  <si>
    <t>Frodl T, Schaub A, Banac S, Charypar M, Jager M, Kummler P, Bottlender R, Zetzsche T, Born C, Leinsinger G, Reiser M, Moller HJ, Meisenzahl EM.</t>
  </si>
  <si>
    <t>Hickie I, Naismith S, Ward PB, Turner K, Scott E, Mitchell P, Wilhelm K, Parker G.</t>
  </si>
  <si>
    <t>Taylor WD, Macfall JR, Payne ME, McQuoid DR, Steffens DC, Provenzale JM, Krishnan KR.</t>
  </si>
  <si>
    <t>No raw values given, but graph shown for left total hippocampus, left posterior hippocampus, left anterior hippocamous, right total hippocamous, right posterior hippocampus, right anterior hippocamous, Total brain volume also measured but not reported</t>
  </si>
  <si>
    <t>Lhp Lhpbdtl Lhphd Rhp Rhpbdtl Rhphd B</t>
  </si>
  <si>
    <t xml:space="preserve">non psychosis </t>
  </si>
  <si>
    <t>Difficulty working out how many in each group as there doesn't seem to be enough information in paper (ie how many males with re-occurance?)</t>
  </si>
  <si>
    <t>hippocampal gray matter, mm3</t>
  </si>
  <si>
    <t>Lisanby SH, McDonald WM, Massey EW, Doraiswamy PM, Rozear M, Boyko OB, Krishnan KR, Nemeroff C.</t>
  </si>
  <si>
    <t>Lateral Ventricle (Total), MRI only</t>
  </si>
  <si>
    <t>Lateral Ventricle (Total), CT only</t>
  </si>
  <si>
    <t>Tupler LA, Krishnan KR, McDonald WM, Dombeck CB, D'Souza S, Steffens DC.</t>
  </si>
  <si>
    <t>Final Effect size</t>
  </si>
  <si>
    <t>pat_ab</t>
  </si>
  <si>
    <t>pat_no_ab</t>
  </si>
  <si>
    <t>pat_tot</t>
  </si>
  <si>
    <t>con_ab</t>
  </si>
  <si>
    <t>con_no_ab</t>
  </si>
  <si>
    <t>con_tot</t>
  </si>
  <si>
    <t>ln_or</t>
  </si>
  <si>
    <t>se_ln_or</t>
  </si>
  <si>
    <t>Effect size LN(OR)</t>
  </si>
  <si>
    <t>Coffey scoring method, deep white matter and periventricular score only</t>
  </si>
  <si>
    <t>"Deep white matter score", Coffey scoring method, papers splits this as 0-1 and 2-3 (so we will use 0-1 negative, 2-3 positive)</t>
  </si>
  <si>
    <t>Kumar A</t>
  </si>
  <si>
    <t>Bremner JD</t>
  </si>
  <si>
    <t>Rusch BD</t>
  </si>
  <si>
    <t>Novaretti TM</t>
  </si>
  <si>
    <t>MacFall JR</t>
  </si>
  <si>
    <t>Vakili K</t>
  </si>
  <si>
    <t>Lai T</t>
  </si>
  <si>
    <t>Kramer-Ginsberg E</t>
  </si>
  <si>
    <t>Ashtari M</t>
  </si>
  <si>
    <t>Pillay SS</t>
  </si>
  <si>
    <t>Parashos IA</t>
  </si>
  <si>
    <t>Pantel J</t>
  </si>
  <si>
    <t>Rusch BD, Abercrombie HC, Oakes TR, Schaefer SM, Davidson RJ.</t>
  </si>
  <si>
    <t>"Frontal lobe measurements were performed by measuring the frontal lobe on all coronal slices anterior to the anterior commissure.", not using mean value as total as the mean of the SD was taken</t>
  </si>
  <si>
    <t>Link to paper</t>
  </si>
  <si>
    <t>Patients numbers included in meta-analysis</t>
  </si>
  <si>
    <t>Controls, numbers included in meta-analysis</t>
  </si>
  <si>
    <t>Measure</t>
  </si>
  <si>
    <t>Notes</t>
  </si>
  <si>
    <t>Patient</t>
  </si>
  <si>
    <t>Patient SD</t>
  </si>
  <si>
    <t>Control</t>
  </si>
  <si>
    <t>Pujol J</t>
  </si>
  <si>
    <t>Nolan CL</t>
  </si>
  <si>
    <t>Total intracranial volume (TIV), whole brain volume, total CSF volume, whole brain volume divided by TIV, total CSF volume divided by TIV, VBR, left amygdala-hippocampus complex, right amygdala-hippocampus complex, left amygdala-hippocampus complex divided by TIV, right amygdala-hippocampus complex divided by TIV, left temporal lobe, right temporal lobe, left temporal lobe divided by TIV, right temporal lobe divided by TIV, left frontal lobe, right frontal lobe, left frontal lobe divided by TIV, right frontal lobe divided by TIV</t>
  </si>
  <si>
    <t>has mean values as well as left and right. However these are probably not total measures because the mean standard deviations are exactly mid way between the left and right structures and this would not be expected if it was the sd of the total measure</t>
  </si>
  <si>
    <t>hippocampal volumes, mL</t>
  </si>
  <si>
    <t>absolute hippocampal volumes, mL</t>
  </si>
  <si>
    <t>Patients</t>
  </si>
  <si>
    <t>mean ratings (Scheltens rating) of deep white matter hyperintensities in (right frontal region, left frontal region, right parietal region, left parietal region, left parietal region, right occipital region, left occipital region, right temporal region, left temporal region) subcortical gray matter hyperintensities in (right caudate, left caudate, right putamen, left putamen, right globus pallidus, left globus pallidus, right thalamus, left thalamus, right internal capsule, left internal capsule)</t>
  </si>
  <si>
    <t>RGorb LGorb Ram Lam Rhp Lhp Rcgp Rcga Lcgp Lcga</t>
  </si>
  <si>
    <t>V&amp;v3 LV&amp;v3 RV&amp;v3 GF LGF RGF WF LWF RWF FCSF LFCSF RFCSF GT LGT RGT WT LWT RWT TCSF LTCSF RTCSF Gp LGp RGp Wp LWp RWp CSFp LCSFp RCSFp</t>
  </si>
  <si>
    <t>left caudate, right caudate, caudate (no means or SDs given for these measures)</t>
  </si>
  <si>
    <t>Lcau Rcau cau</t>
  </si>
  <si>
    <t>Lee SH, Payne ME, Steffens DC, McQuoid DR, Lai TJ, Provenzale JM, Krishnan KR.</t>
  </si>
  <si>
    <t>hippocampus volume, cm3</t>
  </si>
  <si>
    <t>Salokangas RK, Cannon T, Van Erp T, Ilonen T, Taiminen T, Karlsson H, Lauerma H, Leinonen KM, Wallenius E, Kaljonen A, Syvalahti E, Vilkman H, Alanen A, Hietala J.</t>
  </si>
  <si>
    <t>measured a number of regions (anterior hippocampus, posterior hippocampus, left caudate, right caudate, left putamen, right putamen, left prefrontal tissue, right prefrontal tissue, left posterior frontal tissue, right posterior frontal tissue, left temporal lobe, right temporal lobe, Cerebrum) but only reported raw volumes for right prefrontal lobe, right caudate (no SDs given for these values)</t>
  </si>
  <si>
    <t>right orbitofrontal cortex gray, left orbitofrontal cortex gray, right amygdala, left amygdala, right hippocampus, left hippocampus, right posterior cingulate, right anterior cingulate, left posterior cingulate, left anterior cingulate</t>
  </si>
  <si>
    <t>"Frontal Lobe" (actually PFC), not TIV corrected, cm3</t>
  </si>
  <si>
    <t>"Frontal Brain" (actually prefrontal volume), non-normalised, cm3</t>
  </si>
  <si>
    <t>not sure which one to put in</t>
  </si>
  <si>
    <t>30 &amp; 80</t>
  </si>
  <si>
    <t>Email from Kumar suggests that this is an independent sample to Ballmaier studies</t>
  </si>
  <si>
    <t>Excluded as email from Kumar suggests this sample overlapped with Elderkin-Thompson 2008</t>
  </si>
  <si>
    <t>email from Kumar suggests this sample is independent than that used by Elderkin-Thompson</t>
  </si>
  <si>
    <t>Late onset depression</t>
  </si>
  <si>
    <t>left hippocampus, right hippocampus, intracranial volume</t>
  </si>
  <si>
    <t>VBR (original number of controls was 43 but 42 had VBR measures)</t>
  </si>
  <si>
    <t>Lateral ventricles, cm3, unadjusted mean, see table 2</t>
  </si>
  <si>
    <t>Lateral ventricles, ml (non normalised)</t>
  </si>
  <si>
    <t>Exclude as same sample as Pujol 2002</t>
  </si>
  <si>
    <t>Dolan RJ</t>
  </si>
  <si>
    <t>Brown FW</t>
  </si>
  <si>
    <t>Risch SC</t>
  </si>
  <si>
    <t>"Frontal Lobe" (prefrontal lobe volume from AC forward), mm3</t>
  </si>
  <si>
    <t>Scheltens hyperintensity score of (total score, deep white matter, perviventricular score, basal ganglia score)</t>
  </si>
  <si>
    <t>Deep white matter hyperintensity signals, rating 0 vs rating 1-3</t>
  </si>
  <si>
    <t>% of patients with hyperintensities</t>
  </si>
  <si>
    <t>% of controls with hyperintensities</t>
  </si>
  <si>
    <t>SD Age Controls</t>
  </si>
  <si>
    <t>total amygdala volume, mm3</t>
  </si>
  <si>
    <t>http://archpsyc.ama-assn.org/cgi/reprint/62/5/537</t>
  </si>
  <si>
    <t>http://dx.doi.org/10.1016/j.biopsych.2006.03.052</t>
  </si>
  <si>
    <t>http://jnnp.bmj.com/cgi/reprint/77/2/229</t>
  </si>
  <si>
    <t>whole brain volume, mL, Standard errors reported and converted to SDs</t>
  </si>
  <si>
    <t>Total brain volume, ml, unadjusted</t>
  </si>
  <si>
    <t>total brain volume, mL</t>
  </si>
  <si>
    <t>Hannestad J, Taylor WD, McQuoid DR, Payne ME, Krishnan KR, Steffens DC, Macfall JR.</t>
  </si>
  <si>
    <t>brain volume, medial orbital frontal cortex, left medial orbital frontal cortex, right medial orbital frontal cortex</t>
  </si>
  <si>
    <t>Borgwardt SJ, Radue EW, Gotz K, Aston J, Drewe M, Gschwandtner U, Haller S, Pfluger M, Stieglitz RD, McGuire PK, Riecher-Rossler A.</t>
  </si>
  <si>
    <t>Exclude</t>
  </si>
  <si>
    <t>hippocampal formation, left hippocampal formation, right hippocampal formation, hippocampus-amygdala complex, anterior hippocampus-amygdala complex, left anterior hippocampus-amygdala complex, right anterior hippocampus-amygdala complex, whole brain</t>
  </si>
  <si>
    <t>total cerebral volume, left amygdala, right amygdala, left inferior anterior cingulate (appears to be the same as subgenual prefrontal cortex), right inferior anterior cingulate (appears to be the same as subgenual prefrontal cortex), for the following no values given would have to calculate from graph (left hippocampus, right hippocampus, left orbitofrontal cortex, right orbitofrontal cortex)</t>
  </si>
  <si>
    <t>MacFall JR, Payne ME, Provenzale JE, Krishnan KR.</t>
  </si>
  <si>
    <t xml:space="preserve">reports absolute measures, and relative to total cerebral volume for the following structures: left caudate nuclei, right caudate nuclei, left lenticular nuclei, right lenticular nuclei, </t>
  </si>
  <si>
    <t>CSF LCSF RCSF hyp</t>
  </si>
  <si>
    <t>mean gray matter lesion volume, mean white matter lesion volume, mean total brain volume</t>
  </si>
  <si>
    <t>Iosifescu DV</t>
  </si>
  <si>
    <t>Frodl T</t>
  </si>
  <si>
    <t>Lenze EJ, Sheline YI.</t>
  </si>
  <si>
    <t>Hickie IB, Naismith SL, Ward PB, Scott EM, Mitchell PB, Schofield PR, Scimone A, Wilhelm K, Parker G.</t>
  </si>
  <si>
    <t>B Lhp Rhp hp Lam Ram am</t>
  </si>
  <si>
    <t>hp Lhp Rhp</t>
  </si>
  <si>
    <t>Lcga Rcga Lcgp Rcgp</t>
  </si>
  <si>
    <t>Cn LGhp LWhp RGhp RWhp LGF LWF RGF RWF</t>
  </si>
  <si>
    <t>Sassi RB, Nicoletti M, Brambilla P, Harenski K, Mallinger AG, Frank E, Kupfer DJ, Keshavan MS, Soares JC.</t>
  </si>
  <si>
    <t>cca ccl ccga ccaa ccpa ccia ccsa ccgaa ccgam ccgap ccsaa ccsam ccsap ccsc</t>
  </si>
  <si>
    <t>Cn F LF RF GF LGF RGF orb Lorb Rorb Gorb LGorb RGorb</t>
  </si>
  <si>
    <t>Hedges Correction</t>
  </si>
  <si>
    <t>Volume effect size</t>
  </si>
  <si>
    <t>Number of studies</t>
  </si>
  <si>
    <t>orbitofrontal gray matter, unknown units</t>
  </si>
  <si>
    <t>Frodl T, Zill P, Baghai T, Schüle C, Rupprecht R, Zetzsche T, Bondy B, Reiser M, Möller HJ, Meisenzahl EM</t>
  </si>
  <si>
    <t>Yucel K, McKinnon MC, Chahal R, Taylor VH, Macdonald K, Joffe R, MacQueen GM</t>
  </si>
  <si>
    <t>Yucel K</t>
  </si>
  <si>
    <t>DSM-IV major depressive episode, excluded bipolar disorder</t>
  </si>
  <si>
    <t>Brain atrophy and hyperintensities</t>
  </si>
  <si>
    <t>hyp Ba</t>
  </si>
  <si>
    <t>Diagnostic Interview Shedule of the Duke Depression Evaluation Schedule: major depressive disorder</t>
  </si>
  <si>
    <t>MRI</t>
  </si>
  <si>
    <t>left hippocampus, right hippocampus</t>
  </si>
  <si>
    <t>Lenze EJ (A)</t>
  </si>
  <si>
    <t>Lenze EJ (B)</t>
  </si>
  <si>
    <t>grey matter lesion volume, white matter lesion volume, total lesion volume (ie hyperintensities)</t>
  </si>
  <si>
    <t>Total callosal area, Callosal length, Total genu area, Anterior body area, Posterior body area, Isthmus area, Total splenium area, Anterior genu area, Middle genu area, Posterior genu area, Anterior splenium area, Middle splenium area, Posterior splenium area, Splenium circularity</t>
  </si>
  <si>
    <t>amygdala volume mm3</t>
  </si>
  <si>
    <t>Vakili K, Pillay SS, Lafer B, Fava M, Renshaw PF, Bonello-Cintron CM, Yurgelun-Todd DA.</t>
  </si>
  <si>
    <t>left hippocampus, right hippocampus, total brain volume</t>
  </si>
  <si>
    <t>"Periventricular score", Coffey scoring method, (so we will use 0-1 negative, 2-3 positive)</t>
  </si>
  <si>
    <t>Ballmaier M, Sowell ER, Thompson PM, Kumar A, Narr KL, Lavretsky H, Welcome SE, DeLuca H, Toga AW.</t>
  </si>
  <si>
    <t>left amygdala hippocampal complex, right amygdala hippocampal complex, cerebral hemisphere volume</t>
  </si>
  <si>
    <t>total ventricles (this measure combined lateral and third ventricle), left ventricles, right ventricles, total frontal lobe grey matter, left frontal lobe grey matter, right frontal lobe grey matter, total frontal lobe white matter, left frontal lobe white matter, right frontal lobe white matter, total frontal lobe CSF (ie frontal sulci), left frontal lobe CSF, right frontal lobe CSF, total temporal lobe grey matter, left temporal lobe grey matter, right temporal lobe grey matter, total temporal lobe white matter, left temporal lobe white matter, right temporal lobe white matter, total temporal lobe CSF, left temporal lobe CSF, right temporal lobe CSF, total posterior region grey matter, left posterior region grey matter, right posterior region grey matter, total posterior region white matter, left posterior region white matter, right posterior region white matter, total posterior region CSF, left posterior region CSF, right posterior region CSF,</t>
  </si>
  <si>
    <t>Vab, hyp</t>
  </si>
  <si>
    <t>W G hyp</t>
  </si>
  <si>
    <t>CERADsf CERADTs CERADCs CERADv3 CERADVth CERADV CERADbg CERADctx CERADsubcrt hyp</t>
  </si>
  <si>
    <t>cau pt th ctx hyp</t>
  </si>
  <si>
    <t>V hyp</t>
  </si>
  <si>
    <t>C cCSF scCSF cau G ln ad th hyp</t>
  </si>
  <si>
    <t>Ba Vab hyp</t>
  </si>
  <si>
    <r>
      <t xml:space="preserve">B LB RB CSF LCSF </t>
    </r>
    <r>
      <rPr>
        <sz val="10"/>
        <rFont val="Arial"/>
        <family val="2"/>
      </rPr>
      <t>RCSF V&amp;v3 LV&amp;v3 RV&amp;v3 sCSF LsCSF RsCSF hyp</t>
    </r>
  </si>
  <si>
    <t>B F T hyp</t>
  </si>
  <si>
    <t>F hyp</t>
  </si>
  <si>
    <t>A. M. McINTOSH, A. FORRESTER, S.M. LAWRIE, M. BYRNE, A. HARPER, J. N. KESTELMAN, J. J. K. BEST, P. MILLER, E. C. JOHNSTONE and D. G. C. OWENS</t>
  </si>
  <si>
    <t>Lange, Irle</t>
  </si>
  <si>
    <t>http://dx.doi.org/10.1007/s001150050371</t>
  </si>
  <si>
    <t>Taylor WD (A)</t>
  </si>
  <si>
    <t>Taylor WD (B)</t>
  </si>
  <si>
    <t>Neumeister A (A)</t>
  </si>
  <si>
    <t>Supprian T, Reiche W, Schmitz B, Grunwald I, Backens M, Hofmann E, Georg T, Falkai P, Reith W.</t>
  </si>
  <si>
    <t>LGam RGam LGhp RGhp LGstg RGstg LGT RGT LT RT Cn</t>
  </si>
  <si>
    <t>LGhp RGhp LWhp RWhp Cn</t>
  </si>
  <si>
    <t>Lhp Rhp Lam Ram</t>
  </si>
  <si>
    <t>Cn WF LWF RWF GF LGF RGF Worb LWorb RWorb Gorb LGorb RGorb</t>
  </si>
  <si>
    <t>B Lhp Rhp</t>
  </si>
  <si>
    <t>hp Lhp Rhp hpbdtl Lhpbdtl Rhpbdtl hphd Lhphd Rhphd T LT RT B</t>
  </si>
  <si>
    <t>psychosis, control group halfed</t>
  </si>
  <si>
    <t>no psychosis control group halfed</t>
  </si>
  <si>
    <t>suicidal patients</t>
  </si>
  <si>
    <t>non-suicidal patients</t>
  </si>
  <si>
    <t>females only no values given for males</t>
  </si>
  <si>
    <t xml:space="preserve">first episode, </t>
  </si>
  <si>
    <t>recurrent episodes of major depression</t>
  </si>
  <si>
    <t>Pubmed ID</t>
  </si>
  <si>
    <t>Taylor WD, Steffens DC, Ashley-Koch A, Payne ME, Macfall JR, Potocky CF, Krishnan KR.</t>
  </si>
  <si>
    <t>Husain MM, McDonald WM, Doraiswamy PM, Figiel GS, Na C, Escalona PR, Boyko OB, Nemeroff CB, Krishnan KR.</t>
  </si>
  <si>
    <t>(-95% to +95%)</t>
  </si>
  <si>
    <t>FFX p</t>
  </si>
  <si>
    <t>Random Effects</t>
  </si>
  <si>
    <t>Potter GG, Blackwell AD, McQuoid DR, Payne ME, Steffens DC, Sahakian BJ, Welsh-Bohmer KA, Krishnan KR.</t>
  </si>
  <si>
    <t>Janssen J, Hulshoff Pol HE, de Leeuw FE, Schnack HG, Lampe IK, Kok RM, Kahn RS, Heeren TJ.</t>
  </si>
  <si>
    <t>Saylam C, Uçerler H, Kitiş O, Ozand E, Gönül AS.</t>
  </si>
  <si>
    <t xml:space="preserve">reports mean score rating of (total Fazekas score, deep white matter hyperintensities, periventricular hyperintensities, subcortical gray hyperintensities, fontal caps) mean score of hyperintensities in following brain regions (left anterior, right anterior, left middle, right middle, left posterior, right posterior, total score) </t>
  </si>
  <si>
    <t>pituitary gland volume, intracranial volume</t>
  </si>
  <si>
    <t xml:space="preserve">psychosis </t>
  </si>
  <si>
    <t>whole brain volume, cm3</t>
  </si>
  <si>
    <t>total brain volume, cm3</t>
  </si>
  <si>
    <t>whole brain, cm3</t>
  </si>
  <si>
    <t>whole brain, assume cm3</t>
  </si>
  <si>
    <t>whole brain, mm3</t>
  </si>
  <si>
    <t>http://dx.doi.org/10.1016/j.biopsych.2006.04.013</t>
  </si>
  <si>
    <t>http://www.ncbi.nlm.nih.gov/pubmed/12946881</t>
  </si>
  <si>
    <t>Krishnan</t>
  </si>
  <si>
    <t>http://www.ncbi.nlm.nih.gov/pubmed/14532909</t>
  </si>
  <si>
    <t>http://www.ncbi.nlm.nih.gov/pubmed/16955447</t>
  </si>
  <si>
    <t>http://www.ncbi.nlm.nih.gov/pubmed/19010425</t>
  </si>
  <si>
    <t>hyperintenisties, subcortical hyperintensities and periventricular hyperintensities</t>
  </si>
  <si>
    <t>Excluded as email from Steffens and Krishnan state there is an overlap between this sample and Krishnan 1992</t>
  </si>
  <si>
    <t>Excluded as email from Steffens and Krishnan state there is an overlap between this sample and Pan 2009</t>
  </si>
  <si>
    <t>Excluded as email from Steffens and Krishnan state there is an overlap between this sample and Taylor et al 2005</t>
  </si>
  <si>
    <t>Excluded as email from Krishnan and Steffens state that this has an overlapping sample with Greenwald et al 2001</t>
  </si>
  <si>
    <t>Email from Krishnan and Steffens states that this is an independent sample from Greenwald 1996</t>
  </si>
  <si>
    <t>Used Fazekas scale, has meean total hyperintensitity rating of controls and patients</t>
  </si>
  <si>
    <t>LGcga LWcga LCSFcga Lcga RGcga RWcga RCSFcga Rcga LGrg LWrg LCSFrg Lrg RGrg RWrg RCSFrg Rrg LGorb LWorb LCSForb Lorb RGorb RWorb RCSForb Rorb</t>
  </si>
  <si>
    <r>
      <t xml:space="preserve">B G W CSF </t>
    </r>
    <r>
      <rPr>
        <b/>
        <sz val="10"/>
        <rFont val="Arial"/>
        <family val="2"/>
      </rPr>
      <t>GF GT GP GO</t>
    </r>
  </si>
  <si>
    <t>T1ccga T1ccaa T1ccpa T1ccia T1ccsa</t>
  </si>
  <si>
    <t>Exclude: email from Krishnan and Steffans say there is overlap between this study and Taylor 2007</t>
  </si>
  <si>
    <t>email from Krishnan and Steffens saying this is an independent sample froim Parashos 1998</t>
  </si>
  <si>
    <t>email from Krishnan and Steffens saying this is an independent sample froim Lammers 1991</t>
  </si>
  <si>
    <t>Email from Steffens and Krishnan to say this is an independent sample</t>
  </si>
  <si>
    <t>Used Fazekas scale, Any WMH (all MDD patients)</t>
  </si>
  <si>
    <t>"PFC white" (actually prefrontal lobe white matter) , cm3</t>
  </si>
  <si>
    <t>"Frontal lobe grey" (similar to other definitions of PFC)</t>
  </si>
  <si>
    <t>"Frontal lobe white" (similar to other definitions of prefrontal lobe white)</t>
  </si>
  <si>
    <t>Putamen, mm3</t>
  </si>
  <si>
    <t>Intracranial volume, mm3, absolute, see supplementary data</t>
  </si>
  <si>
    <t>Gray matter, cm3</t>
  </si>
  <si>
    <t>White matter, cm3</t>
  </si>
  <si>
    <t>Andreasen NC, Swayze V 2nd, Flaum M, Alliger R, Cohen G.</t>
  </si>
  <si>
    <t>Hyp patients</t>
  </si>
  <si>
    <t>Zhao Z, Taylor WD, Styner M, Steffens DC, Krishnan KR, MacFall JR.</t>
  </si>
  <si>
    <t>left anterior cingulate cortex, right anterior cingulate cortex, left posterior cingulate cortex, right posterior cingulate cortex,</t>
  </si>
  <si>
    <t xml:space="preserve">Radiological findings (descriptive): possible frontal atrophy, Neuroepithelial cysts, periventricular hyperintensities, pronounced ventriclular asymmetry </t>
  </si>
  <si>
    <t>Total hippocampus volume, left hippocampus volume, right hippocampus volume</t>
  </si>
  <si>
    <t xml:space="preserve">Has mean Fazekas scale with SDs for periventricular, deep white and subcortical, used the Krishnan deep white matter hyperintensity scale to find mean rating values in the following regions: "left anterior, right anterior, left middle, right middle, left </t>
  </si>
  <si>
    <t>has seperate medial measure, medial orbitofrontal cortex gray matter volume, mL</t>
  </si>
  <si>
    <t>Qiu A, Taylor WD, Zhao Z, MacFall JR, Miller MI, Key CR, Payne ME, Steffens DC, Krishnan KR.</t>
  </si>
  <si>
    <t>Whole brain, Calcarine area, Frontal superior area, Frontal superior orbital area, Frontal middle area, Frontal orbital area, Frontal inferior area, Frontal superior medial area, Rectus, Insula, Cingulum area, Cingulum posterior, Hippocampus, Parahippocampal area, Amygdala, Parietal superior area, Parietal inferior area, Precuneus, Caudate, Putamen, Pallidum, Thalamus, Temporal superior area, Temporal pole, Temporal middle area, Temporal inferior area</t>
  </si>
  <si>
    <t>Zanetti MV</t>
  </si>
  <si>
    <t>Tamburo RJ</t>
  </si>
  <si>
    <t>Pan CC</t>
  </si>
  <si>
    <t>Lorenzetti V</t>
  </si>
  <si>
    <t>http://bjp.rcpsych.org/cgi/reprint/193/1/25</t>
  </si>
  <si>
    <t>http://www3.interscience.wiley.com/cgi-bin/fulltext/121421785/PDFSTART</t>
  </si>
  <si>
    <t>hippocampus</t>
  </si>
  <si>
    <t>hippocampus , cm3</t>
  </si>
  <si>
    <t>Early onset</t>
  </si>
  <si>
    <t>Excluded as email from Steffens and Krishnan state there is an overlap between this sample and Taylor et al 2007</t>
  </si>
  <si>
    <t>CERAD ratings of 'changes' in the following regions (sylvian fissure, temporal sulci, cerebral sulci, third ventricle, temporal horns, lateral ventricles, basal ganglia infarcts, cortical summary score, subcortical summary score), white matter hyperintensities, periventricular hyperintensities,</t>
  </si>
  <si>
    <t>http://www.psychiatrist.com/privatepdf/2005/v66n08/v66n0801.pdf</t>
  </si>
  <si>
    <t>http://dx.doi.org/10.1097/JGP.0b013e3181591c30</t>
  </si>
  <si>
    <t>Miller DS</t>
  </si>
  <si>
    <t>Colla M, Kronenberg G, Deuschle M, Meichel K, Hagen T, Bohrer M, Heuser I.</t>
  </si>
  <si>
    <t>total brain volume mL</t>
  </si>
  <si>
    <t>whole brain, cm3, raw</t>
  </si>
  <si>
    <t>left caudate, right caudate, left putamen, right putamen</t>
  </si>
  <si>
    <t>Cerebral CSF (this included lateral ventricles), ml</t>
  </si>
  <si>
    <t>caudate volume, caudate-cerebral hemisphere ratio, bicaudate index (ratio of bicaudate distance(width of both lateral ventricles between the caudate nuclei at the level where the caudate nuclei produced the maximum indentation into the ventricles) to brain width at same level), bifrontal index (ratio of bifrontal distance(maximum width between the frontal horns) to brain width at same level, cerebral volume, brain width mesaured for bicaudate index, brain width measured for bifrontal index</t>
  </si>
  <si>
    <t>Lauer CJ, Wiegand M, Krieg JC.</t>
  </si>
  <si>
    <t>http://dx.doi.org/10.1016/j.jad.2006.07.010</t>
  </si>
  <si>
    <t>http://jnnp.bmj.com/cgi/reprint/78/6/638</t>
  </si>
  <si>
    <t>http://dx.doi.org/10.1002/hipo.20339</t>
  </si>
  <si>
    <t>Thalamic nucleus,  cm3, SE converted to SDs</t>
  </si>
  <si>
    <t>Eligibility was limited to patients age 60 years or older with a Center for Epidemiologic Studies-Depression Scale (CES-D; Radloff, 1977) score &gt;= 16 or a diagnosis of major depression.</t>
  </si>
  <si>
    <t>http://dx.doi.org/10.1016/j.neuroimage.2008.10.010</t>
  </si>
  <si>
    <t>pituitary gland, intracranial volume</t>
  </si>
  <si>
    <t>Patients with antidepressant exposure Used automatic parcelation divided into gray and total (ie gm+wm), divided patients into with and without antidepressant exposure</t>
  </si>
  <si>
    <t>Total frontal, ICV corrected</t>
  </si>
  <si>
    <t>Total frontal gray, ICV corrected</t>
  </si>
  <si>
    <t>females, Used automatic parcelation to divide frontal lobe into gray and white matter</t>
  </si>
  <si>
    <t>http://www.nature.com/npp/journal/v28/n12/pdf/1300285a.pdf</t>
  </si>
  <si>
    <t>http://dx.doi.org/10.1016/S0006-3223(02)01782-1</t>
  </si>
  <si>
    <t>http://dx.doi.org/10.1016/S0006-3223(02)01490-7</t>
  </si>
  <si>
    <t>http://dx.doi.org/10.1017/S0033291703008870</t>
  </si>
  <si>
    <t>http://dx.doi.org/10.1016/j.biopsych.2003.09.004</t>
  </si>
  <si>
    <t>Grey matter, L</t>
  </si>
  <si>
    <t>http://dx.doi.org/10.1006/nimg.2001.0928</t>
  </si>
  <si>
    <t>http://bjp.rcpsych.org/cgi/reprint/181/43/s58</t>
  </si>
  <si>
    <t>http://bjp.rcpsych.org/cgi/reprint/180/5/434</t>
  </si>
  <si>
    <t>http://dx.doi.org/10.1016/S0006-3223(02)01393-8</t>
  </si>
  <si>
    <t>Total sample size</t>
  </si>
  <si>
    <t>http://dx.doi.org/10.1016/0925-4927(92)90024-X</t>
  </si>
  <si>
    <t>http://www3.interscience.wiley.com/cgi-bin/fulltext/119982938/PDFSTART</t>
  </si>
  <si>
    <t>http://dx.doi.org/10.1016/0165-1781(93)90046-J</t>
  </si>
  <si>
    <t>Hyperintensive depressed and hyperintensive controls</t>
  </si>
  <si>
    <t>periventricular hyperintensities, deep white matter hyperintensities, subcortical grey matter hyperintensities. Study also has detailed information on the anatomical location of hyperintensities</t>
  </si>
  <si>
    <t>Unipolar_papers\Kumar_1998.pdf</t>
  </si>
  <si>
    <t>total hippocampus, mm3, raw</t>
  </si>
  <si>
    <t>Normotensive depressed and normotensive controls</t>
  </si>
  <si>
    <t>Low folate patients</t>
  </si>
  <si>
    <t>Normal folate patients</t>
  </si>
  <si>
    <t>Cn LPFL RPFL LPFC RPFC LWPFL RWPFL</t>
  </si>
  <si>
    <t>Dupont RM (A)</t>
  </si>
  <si>
    <t>Temporal lobe (absolute volume)</t>
  </si>
  <si>
    <t>Major depressives used only</t>
  </si>
  <si>
    <t>Temporal brain' in table, in text refers to temporal lobe, cm3, absolute</t>
  </si>
  <si>
    <t>Temporal lobe, mm3</t>
  </si>
  <si>
    <t>Not using mean values for total as the mean was taken for the SD</t>
  </si>
  <si>
    <t>Pantel J, Schroder J, Essig M, Popp D, Dech H, Knopp MV, Schad LR, Eysenbach K, Backenstrass M, Friedlinger M.</t>
  </si>
  <si>
    <t>Pearlson GD, Rabins PV, Burns A.</t>
  </si>
  <si>
    <t>no raw volume measures given, left amygdala volume could be extracted from graph</t>
  </si>
  <si>
    <t>Taylor WD, MacFall JR, Payne ME, McQuoid DR, Steffens DC, Provenzale JM, Krishnan RR.</t>
  </si>
  <si>
    <t>total hippocampal grey matter volume, left hippocampal grey matter volume, right hippocampal grey matter volume, total cerebral cortical volume</t>
  </si>
  <si>
    <t>deep white matter hyperintensities, periventricular hyperintensities, subcortical gray hyperintenisties</t>
  </si>
  <si>
    <t>"periventricular white matter high intensity signal", Used Fazekas scale (reports DWM, PVH, SC subcortical), groups % of patients and controls with grades 0-1 (negative), grade 2, grade 3, also reports in text number of patients with hyperintensities in early &lt;60 and late onset &gt;60</t>
  </si>
  <si>
    <t>Coffey CE, Figiel GS, Djang WT, Weiner RD.</t>
  </si>
  <si>
    <t>Mean</t>
  </si>
  <si>
    <t>SD</t>
  </si>
  <si>
    <t xml:space="preserve">reports Fazekas ratings (deep white matter hyperintensities, periventricular hyperintensities, subcortical gray hyperintensities) and mean score rating fontal caps and Boyko ratings (frontal caps, subependymal hyperintensity, confluent periventricular changes, deep white matter lesions, subcortical gray matter hyperintensities) </t>
  </si>
  <si>
    <t>http://dx.doi.org/10.1016/j.pnpbp.2008.05.023</t>
  </si>
  <si>
    <t>Pantel J, Schroder J, Essig M, Schad LR, Popp D, Eysenbach K, Jauss M, Knopp MV.</t>
  </si>
  <si>
    <t>T1 values of (hippocampus, thalamus, frontal white matter, temporal white matter)</t>
  </si>
  <si>
    <t>putamen nuclei, left putamen nuclei, right putamen nuclei, cerebral hemispheres</t>
  </si>
  <si>
    <t>DSM-IV major depressive disorder</t>
  </si>
  <si>
    <t>rated hypointensity in the putamen using the Signal Hypointensity in the Putamen (SHIP) scale (related to iron content)</t>
  </si>
  <si>
    <t>Hyperintensities: Total hyperintensities, periventricular hyperintenisties, deep white matter hyperintensities, left right</t>
  </si>
  <si>
    <t>total brain volume, total frontal volume, left frontal volume, right frontal volume</t>
  </si>
  <si>
    <t>hyperintensities but no raw data shown</t>
  </si>
  <si>
    <t>caudate</t>
  </si>
  <si>
    <t>Control SD</t>
  </si>
  <si>
    <t>Controls SD</t>
  </si>
  <si>
    <t>Patients SD</t>
  </si>
  <si>
    <t>Diagnosis</t>
  </si>
  <si>
    <t>Zhao Z</t>
  </si>
  <si>
    <t>Naish JH</t>
  </si>
  <si>
    <t>Frodl T, Jäger M, Born C, Ritter S, Kraft E, Zetzsche T, Bottlender R, Leinsinger G, Reiser M, Möller HJ, Meisenzahl E.</t>
  </si>
  <si>
    <t>Keller J, Shen L, Gomez RG, Garrett A, Solvason HB, Reiss A, Schatzberg AF.</t>
  </si>
  <si>
    <t>Pillay SS, Yurgelun-Todd DA, Bonello CM, Lafer B, Fava M, Renshaw PF.</t>
  </si>
  <si>
    <t>left hippocampal gray matter, right hippocampal gray matter, total hippocampal gray matter, left amygdala gray matter core, right amygdala gray matter core, total amygdala gray matter core, left amygdala gray matter noncore, right amygdala gray matter noncore, total amygdala gray matter noncore, whole brain volume</t>
  </si>
  <si>
    <t>left hippocampal gray matter volume, right hippocampal gray matter volume, large low signal foci in left hippocampus, low signal foci in right hippocampus, total cerebral volume</t>
  </si>
  <si>
    <t>http://www.neuroreport.com/pt/re/neuroreport/abstract.00001756-199806220-00021.htm</t>
  </si>
  <si>
    <t>http://www.plosone.org/article/info:doi/10.1371/journal.pone.0001837</t>
  </si>
  <si>
    <t>ratings of (right medial temporal atrophy, left medial temporal atrophy, right caudate atrophy, left caudate atrophy) the following structures were also measured but the data is not reported (left lateral ventricle enlargement, right lateral ventricle enlargement, third ventricle enlargment, left global cortical atrophy, right global cortical atrophy, size of hippocampus, shape of hippocampus, amygdala, parahippocampal gyrus, temporal horn enlargement)</t>
  </si>
  <si>
    <t>Cortical surface mapping and whole brain volume, gray matter volume, white matter volume, CSF</t>
  </si>
  <si>
    <t>Unipolar_papers\Kumar_1997.pdf</t>
  </si>
  <si>
    <t>Almeida OP, Burton EJ, Ferrier N, McKeith IG, O'Brien JT.</t>
  </si>
  <si>
    <t>pty</t>
  </si>
  <si>
    <t>B Cn PFL T</t>
  </si>
  <si>
    <t>Intracranial volume, gray matter volume(combined orbitofrontal, gyrus rectus, anterior cingulate), white matter volume(combined orbitofrontal, gyrus rectus, anterior cingulate)</t>
  </si>
  <si>
    <t>Cn</t>
  </si>
  <si>
    <t>Hastings RS, Parsey RV, Oquendo MA, Arango V, Mann JJ.</t>
  </si>
  <si>
    <t>absolute volume and volume relative to intracranial volume of the following structures (brain volume, left brain volume, right brain volume, total CSF, left hemisphere CSF, right hemisphere CSF, total ventricular CSF (third ventricle plus lateral ventricle), left ventricular CSF(third ventricle plus lateral ventricle), right ventricular CSF (third ventricle plus lateral ventricle), total sulcal CSF, left sulcal CSF, right sulcal CSF), mean severity rating of (periventricular hyperintensities, deep white matter hyperintensities, subcortical nuclei hyperintensities)…</t>
  </si>
  <si>
    <t>Used Fazekas scale</t>
  </si>
  <si>
    <t>no raw values given, but has graph for left hippocampus and right hippocampus white matter volumes, and measured but did not report raw volumes for intracranial content, left hippocampus grey matter and right hippocampus grey matter</t>
  </si>
  <si>
    <r>
      <t xml:space="preserve">Lhp Rhp Lhpl </t>
    </r>
    <r>
      <rPr>
        <b/>
        <sz val="10"/>
        <rFont val="Arial"/>
        <family val="2"/>
      </rPr>
      <t>Rhpl</t>
    </r>
  </si>
  <si>
    <t>divided into 2 sub-groups</t>
  </si>
  <si>
    <t>http://ajp.psychiatryonline.org/cgi/reprint/153/9/1212</t>
  </si>
  <si>
    <t>http://dx.doi.org/10.1016/0165-1781(96)02867-3</t>
  </si>
  <si>
    <t>Age patients</t>
  </si>
  <si>
    <t>"anterior cingulate cortex volumes", cm3, Included gray and white matter and did not go anterior to the end of the corpus callosum"The anterior cingulate tracing started two slices before the slice in which we could no longer visualize the genu. We continued tracing posteriorly until the anterior commissure appeared... We did not include the subgenual area (BA 24 and 32) in our tracings"</t>
  </si>
  <si>
    <t>http://www3.interscience.wiley.com/cgi-bin/fulltext/118968191/PDFSTART</t>
  </si>
  <si>
    <t>http://dx.doi.org/10.1016/S0006-3223(00)01113-6</t>
  </si>
  <si>
    <t>http://www.scielo.br/pdf/anp/v59n3B/5967.pdf</t>
  </si>
  <si>
    <t>http://dx.doi.org/10.1016/S0006-3223(01)01248-3</t>
  </si>
  <si>
    <t>http://www3.interscience.wiley.com/cgi-bin/fulltext/73504977/PDFSTART</t>
  </si>
  <si>
    <t>http://dx.doi.org/10.1016/S0006-3223(00)00829-5</t>
  </si>
  <si>
    <t>http://dx.doi.org/10.1016/S0006-3223(99)00296-6</t>
  </si>
  <si>
    <t>http://dx.doi.org/10.1016/S0925-4927(01)00123-8</t>
  </si>
  <si>
    <t>CSF</t>
  </si>
  <si>
    <t>Bae JN, MacFall JR, Krishnan KR, Payne ME, Steffens DC, Taylor WD.</t>
  </si>
  <si>
    <t>http://dx.doi.org/10.1016/j.jpsychires.2004.10.004</t>
  </si>
  <si>
    <t>Cerebral hemispheres, cm3</t>
  </si>
  <si>
    <t>cerebral hemisphere volume , cm3</t>
  </si>
  <si>
    <t>total cerebral volume, mm3 x1000</t>
  </si>
  <si>
    <t>total cerebrum, cm3</t>
  </si>
  <si>
    <t>Referred to total cerebral volume in text and total brain volume in table</t>
  </si>
  <si>
    <t>Total cerebral volume, cm3</t>
  </si>
  <si>
    <t>total cerebral volume, ml</t>
  </si>
  <si>
    <t>Cross sectional areas of: anterior vermis, posterior vermis, total vermis, total brain stem, midbrain, pons, medulla, fourth ventricle</t>
  </si>
  <si>
    <t>hyperintensities, VBR</t>
  </si>
  <si>
    <t>t</t>
  </si>
  <si>
    <t>http://www.springerlink.com/content/b5pt42j150468506/fulltext.pdf</t>
  </si>
  <si>
    <t>Lavretsky H, Roybal DJ, Ballmaier M, Toga AW, Kumar A.</t>
  </si>
  <si>
    <t>Sheline YI, Gado MH, Kraemer HC.</t>
  </si>
  <si>
    <t>Lhp Rhp Lhpsf Rhpsf C</t>
  </si>
  <si>
    <t>LsgPFC</t>
  </si>
  <si>
    <t>Kado H, Kimura H, Murata T, Nagata K, Kanno I.</t>
  </si>
  <si>
    <t>http://dx.doi.org/10.1002/ajmg.b.30680</t>
  </si>
  <si>
    <t>http://ajp.psychiatryonline.org/cgi/reprint/161/1/99</t>
  </si>
  <si>
    <t>Appears to use Coffey scale, Has severity ratings and also reports Odds ratios for white matter hyperintensities but does not record number of subjects with hyperintensities</t>
  </si>
  <si>
    <t>Rosso IM, Cintron CM, Steingard RJ, Renshaw PF, Young AD, Yurgelun-Todd DA.</t>
  </si>
  <si>
    <t>Saylam C</t>
  </si>
  <si>
    <t>Unipolar_papers\Hannestad_2006.pdf</t>
  </si>
  <si>
    <t xml:space="preserve">B Gpvc sPFC Gorbs mPFC Gorb GFi GFsm Grg Gins Gcga Gcgp hp Gphp am GPsu GPin GPprec cau pt gp th stg GTpl GTm GTin </t>
  </si>
  <si>
    <t>Maller JJ, Daskalakis ZJ, Fitzgerald PB.</t>
  </si>
  <si>
    <t>Shah SA, Doraiswamy PM, Husain MM, Escalona PR, Na C, Figiel GS, Patterson LJ, Ellinwood EH Jr, McDonald WM, Boyko OB, et al.</t>
  </si>
  <si>
    <t>Brown FW, Lewine RJ, Hudgins PA, Risch SC.</t>
  </si>
  <si>
    <t>Late onset</t>
  </si>
  <si>
    <t>males</t>
  </si>
  <si>
    <t>females</t>
  </si>
  <si>
    <t>hippocampus, left hippocampus, right hippocampus, caudate, left caudate, right caudate, amygdala, left amygdala, right amygdala, frontal lobe, left frontal lobe, right frontal lobe, temporal lobe, left temporal lobe, right temporal lobe, whole brain</t>
  </si>
  <si>
    <t>"Cingulate, anterior", cm3, Not clear if gray or combined gray&amp;white, Traced above cc but not below similar to definition of Caetano 2006"All tracing of the cingulate were performed in the coronal view. The first slice traced was two slices anterior to the final slice where the genu was visible. Tracing was continued until the anterior commissure was apparent, and it marked the posterior limit of the anterior cingulate."</t>
  </si>
  <si>
    <t>left hippocampus, right hippocampus, total hippocampus, intracranial volume</t>
  </si>
  <si>
    <t>Exclude as no SD given</t>
  </si>
  <si>
    <t>White matter hyperintesity volume in whole brain and 20 subregions</t>
  </si>
  <si>
    <t xml:space="preserve">left amygdala, right amygdala, left hippocampus, right hippocampus, left amygdala:hippocampus ratio, right amygdala:hippocampus ratio </t>
  </si>
  <si>
    <t>total intracranial contents, left hippocampus grey, left hippocampus white, right hippocampus grey, right hippocampus white, left frontal lobe grey, left frontal lobe white, right frontal lobe grey, right frontal lobe white,</t>
  </si>
  <si>
    <t>Weniger G, Lange C, Irle E.</t>
  </si>
  <si>
    <t>left hippocampus volume, right hippocampus volume, left hippocampus gray matter volume, right hippocampus gray matter volume, left hippocampus white matter volume, right hippocampus white matter volume</t>
  </si>
  <si>
    <t>hippocampus, cm3</t>
  </si>
  <si>
    <t>hippocampus volume, mm3</t>
  </si>
  <si>
    <t>gray matter hippocampus, unadjusted, cm3</t>
  </si>
  <si>
    <t>hippocampal volume, baseline, remitted and nonremitted combined, mm3</t>
  </si>
  <si>
    <t>Frodl T, Meisenzahl EM, Zetzsche T, Born C, Groll C, Jager M, Leinsinger G, Bottlender R, Hahn K, Moller HJ.</t>
  </si>
  <si>
    <t>Unipolar_papers\Qiu_2009.pdf</t>
  </si>
  <si>
    <t>Used Fazekas scale, Any Periventriculra WMH (all MDD patients)</t>
  </si>
  <si>
    <t>http://dx.doi.org/10.1007/s00234-008-0383-9</t>
  </si>
  <si>
    <t>http://dx.doi.org/10.1097/JGP.0b013e3181794629</t>
  </si>
  <si>
    <t>http://dx.doi.org/10.1097/JGP.0b013e31816ff72b</t>
  </si>
  <si>
    <t>http://dx.doi.org/10.1089/cap.2008.053</t>
  </si>
  <si>
    <t>http://ajp.psychiatryonline.org/cgi/reprint/161/11/2091</t>
  </si>
  <si>
    <t>Harvey I, Williams M, Toone BK, Lewis SW, Turner SW, McGuffin P.</t>
  </si>
  <si>
    <t>males, Used automatic parcelation to divide frontal lobe into gray and white matter</t>
  </si>
  <si>
    <t>"Frontal white matter", ICV corrected</t>
  </si>
  <si>
    <t>Lacerda AL, Keshavan MS, Hardan AY, Yorbik O, Brambilla P, Sassi RB, Nicoletti M, Mallinger AG, Frank E, Kupfer DJ, Soares JC.</t>
  </si>
  <si>
    <t>Frodl T, Meisenzahl EM, Zill P, Baghai T, Rujescu D, Leinsinger G, Bottlender R, Schule C, Zwanzger P, Engel RR, Rupprecht R, Bondy B, Reiser M, Moller HJ.</t>
  </si>
  <si>
    <t>Age Controls</t>
  </si>
  <si>
    <t>Cn LV RV LVth RVth v3 B Lhp Rhp hyp</t>
  </si>
  <si>
    <t>v4 bs v3d hyp</t>
  </si>
  <si>
    <t>Ba sd Vab hyp</t>
  </si>
  <si>
    <t>cau Rcau Lcau B hyp</t>
  </si>
  <si>
    <t xml:space="preserve">total brain volume, total orbitofrontal cortex, total gray orbitofrontal cortex, right orbitofrontal cortex, right gray orbitofrontal cortex, left orbitofrontal cortex, left gray orbitofrontal cortex, total medial orbitofrontal cortex, total gray medial orbitofrontal cortex, right medial orbitofrontal cortex, right gray medial orbitofrontal cortex, left medial orbitofrontal cortex, left gray medial orbitofrontal cortex, right lateral orbitofrontal cortex, right gray lateral orbitofrontal cortex, left lateral orbitofrontal cortex, left gray lateral orbitofrontal cortex </t>
  </si>
  <si>
    <t>B orb Gorb Rorb RGorb Lorb LGorb medorb Gmedorb Rmedorb RGmedorb Lmedorb LGmedorb Rlatorb RGlatorb Llatorb LGlatorb</t>
  </si>
  <si>
    <t>total patient from hyp values</t>
  </si>
  <si>
    <t>total control values from hyp values</t>
  </si>
  <si>
    <t>.</t>
  </si>
  <si>
    <t>Looked at deep white matter lesions, periventricular hyperintensities, basal ganglia hyperintensities, infra-tentorial hyperintensities, Virchow-Robin space dilation in basal ganglia,  Virchow-Robin space dilation in centrum semiovale, Virchow-Robin space dilation in sub-insular, Virchow-Robin space dilation in mescenephalon.</t>
  </si>
  <si>
    <t>B Rhp Lhp</t>
  </si>
  <si>
    <t>LsgPFC RsgPFC Lcgapc Rcgapc Lcgara Rcgara Lcgaca Rcgaca Lcga Rcga</t>
  </si>
  <si>
    <r>
      <t xml:space="preserve">Cn B Lec Rec </t>
    </r>
    <r>
      <rPr>
        <b/>
        <sz val="10"/>
        <rFont val="Arial"/>
        <family val="2"/>
      </rPr>
      <t>CSF G W</t>
    </r>
  </si>
  <si>
    <r>
      <t xml:space="preserve">Lhp Rhp </t>
    </r>
    <r>
      <rPr>
        <b/>
        <sz val="10"/>
        <rFont val="Arial"/>
        <family val="2"/>
      </rPr>
      <t>Cn</t>
    </r>
  </si>
  <si>
    <t>Ram Lam Rhp Lhp</t>
  </si>
  <si>
    <r>
      <t xml:space="preserve">hp Lhp Rhp </t>
    </r>
    <r>
      <rPr>
        <b/>
        <sz val="10"/>
        <rFont val="Arial"/>
        <family val="2"/>
      </rPr>
      <t>Cn B</t>
    </r>
  </si>
  <si>
    <t>LGhp RGhp Ghp B</t>
  </si>
  <si>
    <t>Lhp Rhp Lam Ram Cn</t>
  </si>
  <si>
    <t>right striatum, left striatum, right caudate, left caudate, right putamen, left putamen, total brain volume</t>
  </si>
  <si>
    <t>Rstri Lstri Rcau Lcau Rpt Lpt B</t>
  </si>
  <si>
    <t>Lewine RR, Hudgins P, Brown F, Caudle J, Risch SC.</t>
  </si>
  <si>
    <t>"Periventricular score", Fazekas scoring method, (so we will use 0-1 negative, 2-3 positive)</t>
  </si>
  <si>
    <t>http://dx.doi.org/10.1016/j.jpsychires.2006.06.011</t>
  </si>
  <si>
    <t>http://archpsyc.ama-assn.org/cgi/reprint/64/4/410</t>
  </si>
  <si>
    <t>Kuhl DE</t>
  </si>
  <si>
    <t>http://bjp.rcpsych.org/cgi/reprint/174/3/249</t>
  </si>
  <si>
    <t>http://dx.doi.org/10.1016/S0165-0327(97)00073-6</t>
  </si>
  <si>
    <t>http://dx.doi.org/10.1016/0006-3223(95)00477-7</t>
  </si>
  <si>
    <t>Andreescu C, Butters MA, Begley A, Rajji T, Wu M, Meltzer CC, Reynolds CF 3rd, Aizenstein H.</t>
  </si>
  <si>
    <t>Iosifescu DV, Papakostas GI, Lyoo IK, Lee HK, Renshaw PF, Alpert JE, Nierenberg A, Fava M.</t>
  </si>
  <si>
    <t>G W C c Gc Wc</t>
  </si>
  <si>
    <t>"Total anterior cingulate cortex" Probably gray as uses the term "anterior cingulate cortex", Uses 3 regions which may be relevant and are best seen in figure 1 of the paper: "precallosal" which is in front of corpus callosum and "rostral-anterior" which us above but not infront of corpus callosum, or total anterior cingulate cortex which includes all regions in figure 1</t>
  </si>
  <si>
    <t>Reports mean Fazekas score (for DWMH and subcortical gray hyperintensities, and subcortical gray-matter lesions) and mean Boyko classification (for deep white-matter lesions and subcortical gray-matter hyperintensities), also gives chart showing % of subj</t>
  </si>
  <si>
    <t>expanded abbreviations</t>
  </si>
  <si>
    <t>pt Lpt Rpt C</t>
  </si>
  <si>
    <t>T1hp T1th T1WF T1WT</t>
  </si>
  <si>
    <t>V</t>
  </si>
  <si>
    <t>http://www.fm.viamedica.pl/en/darmowy_pdf.phtml?indeks=26&amp;indeks_art=390</t>
  </si>
  <si>
    <t>http://dx.doi.org/10.1016/S0165-0327(02)00170-2</t>
  </si>
  <si>
    <t>http://ajp.psychiatryonline.org/cgi/reprint/147/2/187</t>
  </si>
  <si>
    <t>Lammers C</t>
  </si>
  <si>
    <t>Lammers C, Doraiswamy P, Husain MM, Figiel GS, Lurie SN, Boyko OB, Ellinwood EH Jr, Nemeroff CB, Krishnan KR.</t>
  </si>
  <si>
    <t>http://dx.doi.org/10.1016/0006-3223(95)00100-U</t>
  </si>
  <si>
    <t>http://dx.doi.org/10.1016/0920-9964(94)00055-D</t>
  </si>
  <si>
    <t>RFX p</t>
  </si>
  <si>
    <t>Right</t>
  </si>
  <si>
    <t>Rated hyperintensities with the Fazekas scale and also had subcortical rating scales</t>
  </si>
  <si>
    <t>VBR, prefrontal sulcul prominence</t>
  </si>
  <si>
    <t>Taylor WD, Steffens DC, McQuoid DR, Payne ME, Lee SH, Lai TJ, Krishnan KR.</t>
  </si>
  <si>
    <t>Cerebrum, Cortical CSF, Subcortical CSF, Caudate Nucleus, Cortical grey matter, Lenticular Nucleus, Anterior diencephalon, Posterior diencephalon (Thalamus), and hyperintensities in the following brain regions (superior anterior right, superior anterior left, inferior anterior right, inferior anterior left, superior posterior right, superior posterior left, inferior posterior right, inferior posterior left)</t>
  </si>
  <si>
    <t xml:space="preserve">Ca cin lacin hyp </t>
  </si>
  <si>
    <t>Lstg Rstg LTbl RTbl Lphp Rphp Lhp Rhp Lam Ram LV RV</t>
  </si>
  <si>
    <t>hyp B</t>
  </si>
  <si>
    <t>left amygdala, right amygdala, left amygdala core, right amygdala core, left amygdala non-core, right amygdala non-core, total cerebral volume</t>
  </si>
  <si>
    <t>whole brain</t>
  </si>
  <si>
    <t>Lenze SN, Xiong C, Sheline YI.</t>
  </si>
  <si>
    <t>Total intracranial volume, cm3</t>
  </si>
  <si>
    <t>Intracranial volume, assume cm3</t>
  </si>
  <si>
    <t>major depression group used</t>
  </si>
  <si>
    <t>Intracranial volume, cm3</t>
  </si>
  <si>
    <t>Cranium, ml</t>
  </si>
  <si>
    <t>Women</t>
  </si>
  <si>
    <t>Men</t>
  </si>
  <si>
    <t>Total intracranial content, assume ml</t>
  </si>
  <si>
    <t>Intracranial Volume, cm3</t>
  </si>
  <si>
    <t>MacMaster FP, Russell A, Mirza Y, Keshavan MS, Taormina SP, Bhandari R, Boyd C, Lynch M, Rose M, Ivey J, Moore GJ, Rosenberg DR.</t>
  </si>
  <si>
    <t>http://www.nature.com/npp/journal/v22/n3/pdf/1395448a.pdf</t>
  </si>
  <si>
    <t>http://dx.doi.org/10.1016/S0925-4927(00)00067-6</t>
  </si>
  <si>
    <t>http://dx.doi.org/10.1016/S0006-3223(00)01042-8</t>
  </si>
  <si>
    <t>total cerebral cortical volume</t>
  </si>
  <si>
    <t>total cerebral volume, L</t>
  </si>
  <si>
    <t>White cerebrum, cm3</t>
  </si>
  <si>
    <t>Used Fazekas scale and reports  numbers of patients and controls in each category</t>
  </si>
  <si>
    <t xml:space="preserve">"Deep white matter hyperintensities", Fazekas classification scale 0= negative, 1-3 positive (we could change this) </t>
  </si>
  <si>
    <t>Lateral ventricles</t>
  </si>
  <si>
    <t>Total temporal lobe, cm3</t>
  </si>
  <si>
    <t>Temporal lobe, mm3, mean value used for total</t>
  </si>
  <si>
    <t>Temporal Lobe (left)</t>
  </si>
  <si>
    <t>NPD001</t>
  </si>
  <si>
    <t>LsgPFCa RsgPFCa LsgPFCp RsgPFCp</t>
  </si>
  <si>
    <t>Used Fazekas scale (reports DWM, PVH, SC subcortical), groups number of patients and controls with grades 0-1, grade 2, grade 3, also reports in text number of patients with hyperintensities in early &lt;60 and late onset &gt;60</t>
  </si>
  <si>
    <t>"Deep white matter high intensity signal", Used Fazekas scale (reports DWM, PVH, SC subcortical), groups % of patients and controls with grades 0-1 (negative), grade 2, grade 3, also reports in text number of patients with hyperintensities in early &lt;60 and late onset &gt;60</t>
  </si>
  <si>
    <t>Looked at hyperintensities in subcortical nucle/basal ganglia only, no rating scale used</t>
  </si>
  <si>
    <t>"Subcortical gray nuclei high intensity signal", Used Fazekas scale (reports DWM, PVH, SC subcortical), groups % of patients and controls with grades 0-1 (negative), grade 2, grade 3, also reports in text number of patients with hyperintensities in early &lt;60 and late onset &gt;60</t>
  </si>
  <si>
    <t>Harvey I</t>
  </si>
  <si>
    <t>http://ajp.psychiatryonline.org/cgi/reprint/147/7/893</t>
  </si>
  <si>
    <t>"A 4-point severity rating scale, modified by Coffey et al. (9), was used that allowed for severity and location of peniventnicular and deep white matter hypenintensity signals to be noted."</t>
  </si>
  <si>
    <t>Greenwald BS, Kramer-Ginsberg E, Krishnan KR, Hu J, Ashtari M, Wu H, Aupperle P, Patel M, Pollack S.</t>
  </si>
  <si>
    <t>http://dx.doi.org/10.1038/npp.2008.40</t>
  </si>
  <si>
    <t>The following all rated 0-9: Sulcal atrophy, ventricular atrophy, white matter hyperintensity burden</t>
  </si>
  <si>
    <t>Lesser IM, Boone KB, Mehringer CM, Wohl MA, Miller BL, Berman NG.</t>
  </si>
  <si>
    <t>ventricular brain ratio, (lateral ventricles)</t>
  </si>
  <si>
    <t>Ventricle-Brain Ratio, (lateral ventricles)</t>
  </si>
  <si>
    <t>VBR (original number of patients was 27 but 26 had VBR measures)</t>
  </si>
  <si>
    <t>statistical maps of callosal thickness and, total brain volume, corpus callosum splenium, corpus callosum isthmus, corpus callosum posterior midbody, corpus callosum anterior midbody, corpus callosum anterior third</t>
  </si>
  <si>
    <t>B ccsa ccia ccmbp ccmba ccaa</t>
  </si>
  <si>
    <t>Neu P</t>
  </si>
  <si>
    <t>Lloyd AJ</t>
  </si>
  <si>
    <t>Zubenko GS</t>
  </si>
  <si>
    <t>LGhp RGhp LWhp RWhp Lam Ram Cn</t>
  </si>
  <si>
    <t>Cn cau pt am hp</t>
  </si>
  <si>
    <t>white matter hyperintensity volume, gray matter hyperintensity volume</t>
  </si>
  <si>
    <t>deep white matter hyperintensities, periventricular hyperintensities, lesions of thalamus or basal ganglia</t>
  </si>
  <si>
    <t>Cn RGorb RWorb LGorb LWorb RGcga RWcga LGcga LWcga</t>
  </si>
  <si>
    <t>CSF W G B Cn Rhdbd Lhdbd Rhptl Lhptl Rhp Lhp</t>
  </si>
  <si>
    <t>C</t>
  </si>
  <si>
    <t>Lhp Rhp Cn</t>
  </si>
  <si>
    <t>Cn B Lam Ram Lhp Rhp</t>
  </si>
  <si>
    <t>No values given only graph for all regions: left hippocampus grey matter volume, left hippocampus white matter volume, left amygdala volume, right hippocampus grey matter volume, right hippocampus white matter volume, right amygdala volume, Intracranial volume</t>
  </si>
  <si>
    <t>LGhp RGhp LGam RGam B</t>
  </si>
  <si>
    <t>LGhp RGhp Ghp LGamc RGamc Gamc LGamnc RGamnc Gamnc B</t>
  </si>
  <si>
    <t>B G W CSF</t>
  </si>
  <si>
    <t>CSF, white matter, gray matter, total brain volume, intracranial volume, right head &amp; body of hippocampus, left head &amp; body of hippocampus, right hippocampus tail, left hippocampus tail, right hippocampus, left hippocampus</t>
  </si>
  <si>
    <t>SD for Effect size</t>
  </si>
  <si>
    <t>Excluded</t>
  </si>
  <si>
    <t xml:space="preserve">X axis for this above chart is </t>
  </si>
  <si>
    <t>Gray matter (cerebrum), white matter (cerebrum), total cerebrum, total cerebellum, cerebellar grey matter, cerebellar white matter</t>
  </si>
  <si>
    <t>Publication Bias</t>
  </si>
  <si>
    <t>Intercept</t>
  </si>
  <si>
    <t>p-value</t>
  </si>
  <si>
    <t>SE Intercept</t>
  </si>
  <si>
    <t>Effect size for chart</t>
  </si>
  <si>
    <t>Effect sizes for top chart</t>
  </si>
  <si>
    <t>total thalamus, left thalamus, right thalamus</t>
  </si>
  <si>
    <t>left subgenual prefrontal cortex, right subgenual prefrontal cortex</t>
  </si>
  <si>
    <t>rated Cerebellar atrophy</t>
  </si>
  <si>
    <t>Lateral ventricles, third ventricle width, rated sulcal dilation</t>
  </si>
  <si>
    <t>cva cvp cv bs mb pn md v4</t>
  </si>
  <si>
    <t>Lamhp Ramhp C</t>
  </si>
  <si>
    <t>Palsson S, Aevarsson O, Skoog I.</t>
  </si>
  <si>
    <t>intracranial volume, left prefrontal cortex, right prefrontal cortex, left prefrontal cortex gray matter, right prefrontal cortex gray matter, left prefrontal cortex white matter, right prefrontal cortex white matter</t>
  </si>
  <si>
    <t>measured on mid-sagittal slice (corpus callosum area, septum pellucidum area, cerebral cortex area, corpus callosum area divided by cerebral cortex area, septum pellucidum area divided by cerebral cortex area, septum pellucidum area divided by corpus callosum area)</t>
  </si>
  <si>
    <t>frontal brain divided by intracranial volume, whole-brain high-intensity lesion volume divided by intracranial volume</t>
  </si>
  <si>
    <t>Zubenko GS, Sullivan P, Nelson JP, Belle SH, Huff FJ, Wolf GL.</t>
  </si>
  <si>
    <t>caudate, cm3</t>
  </si>
  <si>
    <t>w bar</t>
  </si>
  <si>
    <t>sw squared</t>
  </si>
  <si>
    <t>Lewine RR, Risch SC, Risby E, Stipetic M, Jewart RD, Eccard M, Caudle J, Pollard W.</t>
  </si>
  <si>
    <t>Chen CS, Tsai JC, Tsang HY, Kuo YT, Lin HF, Chiang IC, Devanand DP.</t>
  </si>
  <si>
    <t>Fixed Effects T</t>
  </si>
  <si>
    <t>Butters MA, Whyte EM, Nebes RD, Begley AE, Dew MA, Mulsant BH, Zmuda MD, Bhalla R, Meltzer CC, Pollock BG, Reynolds CF 3rd, Becker JT</t>
  </si>
  <si>
    <t>Steffens DC, Tupler LA, Ranga K, Krishnan R.</t>
  </si>
  <si>
    <t xml:space="preserve">Patients demographic information split into those with and without apoE E4 genotype </t>
  </si>
  <si>
    <t>Munn MA, Alexopoulos J, Nishino T, Babb CM, Flake LA, Singer T, Ratnanather JT, Huang H, Todd RD, Miller MI, Botteron KN.</t>
  </si>
  <si>
    <t>Intracranial volume, left lateral ventricle, right lateral ventricle, left temporal horn, right temporal horn, third ventricle, whole brain, left hippocampus, right hippocampus, Hyperintensity ratings of (total hyperintensities, deep white matter lesion total, periventricular lesions, basal ganglia total, infratentorial total, frontal lobes, thalamus, pons)</t>
  </si>
  <si>
    <t>"Cingulate gyrus gray", ICV corrected, Reports gray and white (gray used in this meta-analysis, Not clear if the region runs under the corpus callosum but appears to include most of the cingulate and is similar to the region outlined by Ballmaier 2004. "The anterior cingulate was defined with boundaries encompassing the cingulate sulcus (anterior, superior, and inferior boundaries); the paracentral sulcus (posterior boundary); and the pericallosal sulcus (inferior and posterior boundaries). Tracing started on the most midsagittal image that best illustrated its course, and its most anterior point was identified on that image. Moving laterally, tracing continued in the coronal plane connecting the deepest point of the pericallosal sulcus to the deepest point of the cingulate sulcus, Tracing ended in the coronal plane where the paracentral sulcus appeared. The sagittal plane was used to identify the posterior boundary."</t>
  </si>
  <si>
    <t>Total intracranial volume, mm3</t>
  </si>
  <si>
    <t>Intracranial volume, ml</t>
  </si>
  <si>
    <t>Intracranial brain volume, cm3</t>
  </si>
  <si>
    <t>Cranial volume, cm3</t>
  </si>
  <si>
    <t>hyperintensities: periventricular hyperintenisties, deep white matter hyperintensities, subcortical hyperintensities</t>
  </si>
  <si>
    <t>http://www.springerlink.com/content/y2167l4m17576560/fulltext.pdf</t>
  </si>
  <si>
    <t>http://dx.doi.org/10.1016/j.jad.2006.04.017</t>
  </si>
  <si>
    <t>http://dx.doi.org/10.1016/j.pscychresns.2006.09.003</t>
  </si>
  <si>
    <t>http://dx.doi.org/10.1016/j.neulet.2007.06.014</t>
  </si>
  <si>
    <t>Reports mean Scheltens score for responders and non-responders (total score, deep white matter total, basal ganglia, infra-tentorial, periventricular hyperintensities) no other information</t>
  </si>
  <si>
    <t>http://journals.cambridge.org/action/displayFulltext?type=1&amp;fid=64012&amp;jid=&amp;volumeId=&amp;issueId=01&amp;aid=64011</t>
  </si>
  <si>
    <t>http://ajp.psychiatryonline.org/cgi/reprint/145/7/820</t>
  </si>
  <si>
    <t>http://ajp.psychiatryonline.org/cgi/reprint/144/4/465</t>
  </si>
  <si>
    <t>Agid R, Levin T, Gomori JM, Lerer B, Bonne O.</t>
  </si>
  <si>
    <t>Mean total Fazekas score of all hyperintensities, ultrasound measurements of arteries</t>
  </si>
  <si>
    <t>cau bcaur bfrntr C Bw</t>
  </si>
  <si>
    <t>Frodl T, Meisenzahl EM, Zetzsche T, Born C, Jager M, Groll C, Bottlender R, Leinsinger G, Moller HJ.</t>
  </si>
  <si>
    <t>Lavretsky H, Ballmaier M, Pham D, Toga A, Kumar A.</t>
  </si>
  <si>
    <t>Total white matter, cm3</t>
  </si>
  <si>
    <t>total white matter volume, cm3</t>
  </si>
  <si>
    <t>white matter volume, cm3</t>
  </si>
  <si>
    <t>white matter volume, says mm3 but assume cm3</t>
  </si>
  <si>
    <t>Used Fazekas scale but this was collapsed to indicate the number of subjects with a hyperintensity "A score of greater or equal to 2 in any area (PWM, SGM,or DWM) was counted as an MRI hyperintensity for statistical analyses"</t>
  </si>
  <si>
    <t>Number with MRI hyperintensities</t>
  </si>
  <si>
    <t>whole brain CSF, cm3</t>
  </si>
  <si>
    <t>total CSF volume, cm3</t>
  </si>
  <si>
    <t>Exclude, same sample as Pantel J 1997</t>
  </si>
  <si>
    <t>young female group only so no overlap with Drevets 1997 study</t>
  </si>
  <si>
    <t>sgPFC, ml, SEM converted to SDs</t>
  </si>
  <si>
    <t>sgPFC, mm3</t>
  </si>
  <si>
    <t>http://dx.doi.org/10.1016/S0006-3223(01)01086-1</t>
  </si>
  <si>
    <t>http://dx.doi.org/10.1016/S0006-3223(01)01280-X</t>
  </si>
  <si>
    <t>left hippocampus, right hippocampus, left hippocampus corrected for whole brain volume, right hippocampus corrected for whole brain volume</t>
  </si>
  <si>
    <t>http://dx.doi.org/10.1016/S0006-3223(01)01336-1</t>
  </si>
  <si>
    <t>Elderkin-Thompson V, Hellemann G, Pham D, Kumar A.</t>
  </si>
  <si>
    <t>rating 0 vs rating 1-3</t>
  </si>
  <si>
    <t>VBR, and for the following areas did not publish raw values: CT denisity of (left frontal region, right frontal region, left temporo-parietal, right temporo-parietal, left occiptal, right occipital, central occipital)</t>
  </si>
  <si>
    <t>Rated ( Brain Atrophy, Sulcal widening, ventricular dilation), Fazekas classification of ( Total hyperintensities, periventricular white matter, deep white matter hyperintensities ), Number with brain infarct</t>
  </si>
  <si>
    <t>MacMaster FP, Kusumakar V.</t>
  </si>
  <si>
    <t>Guze BH, Szuba MP.</t>
  </si>
  <si>
    <t>Steffens DC, Taylor WD, McQuoid DR, Krishnan KR.</t>
  </si>
  <si>
    <t>Sheline YI, Sanghavi M, Mintun MA, Gado MH.</t>
  </si>
  <si>
    <t>right amygdala, left amygdala, right hippocampus, left hippocampus</t>
  </si>
  <si>
    <t>total hippocampus, left hippocampus, right hippocampus. Following measured but not reported: intracranial volume, total brain volume</t>
  </si>
  <si>
    <t>Sassi RB, Brambilla P, Nicoletti M, Mallinger AG, Frank E, Kupfer DJ, Keshavan MS, Soares JC.</t>
  </si>
  <si>
    <t>Total CSF volume, assume cm3</t>
  </si>
  <si>
    <t>http://dx.doi.org/10.1016/j.pscychresns.2005.09.003</t>
  </si>
  <si>
    <t>left and right caudate, cm3</t>
  </si>
  <si>
    <t>Greenwald BS, Kramer-Ginsberg E, Krishnan KR, Ashtari M, Auerbach C, Patel M.</t>
  </si>
  <si>
    <t>http://dx.doi.org/10.1016/j.biopsych.2004.09.011</t>
  </si>
  <si>
    <t>http://dx.doi.org/10.1016/j.biopsych.2003.08.021</t>
  </si>
  <si>
    <t>http://bjp.rcpsych.org/cgi/reprint/184/6/488</t>
  </si>
  <si>
    <t>http://www.biomedcentral.com/content/pdf/1741-7015-2-2.pdf</t>
  </si>
  <si>
    <t>http://dx.doi.org/10.1016/j.jpsychires.2003.11.001</t>
  </si>
  <si>
    <t>http://dx.doi.org/10.1016/j.pscychresns.2004.02.005</t>
  </si>
  <si>
    <t>http://dx.doi.org/10.1016/j.biopsych.2004.04.002</t>
  </si>
  <si>
    <t>http://ajp.psychiatryonline.org/cgi/reprint/162/9/1706</t>
  </si>
  <si>
    <t>http://bjp.rcpsych.org/cgi/content/full/186/3/197</t>
  </si>
  <si>
    <t>Exclude same sample as Pujol 2002</t>
  </si>
  <si>
    <t>Responders</t>
  </si>
  <si>
    <t>non-responders</t>
  </si>
  <si>
    <t>Total CSF, says mm, assume this is mm3</t>
  </si>
  <si>
    <t>CSF, cm3</t>
  </si>
  <si>
    <t>CSF, mm3</t>
  </si>
  <si>
    <t>Males</t>
  </si>
  <si>
    <t>Females</t>
  </si>
  <si>
    <t>CSF, L</t>
  </si>
  <si>
    <t>http://dx.doi.org/10.1016/S0925-4927(98)00042-0</t>
  </si>
  <si>
    <t>Lesser IM, Mena I, Boone KB, Miller BL, Mehringer CM, Wohl M.</t>
  </si>
  <si>
    <t>Drevets WC, Price JL, Simpson JR Jr, Todd RD, Reich T, Vannier M, Raichle ME.</t>
  </si>
  <si>
    <t>hippocampus, cm3, raw</t>
  </si>
  <si>
    <t>hippocampal volume, mm3</t>
  </si>
  <si>
    <t>hippocampus, ml</t>
  </si>
  <si>
    <t>hippocampal volume, ml, absolute</t>
  </si>
  <si>
    <t>Following measured but no raw results presented: left superior temporal gyrus, right superior temporal gyrus, left basolateral temporal area (includes middle temporal gyrus, inferior temporal gyrus, and fusiform gyrus), right basolateral temporal area, left parahippocampal gyrus, right parahippocampal gyrus, left hippocampus, right hippocampus, left amygdaloid body, right amygdaloid body, left lateral ventricle, right lateral ventricle</t>
  </si>
  <si>
    <t>Greenwald BS, Kramer-Ginsberg E, Bogerts B, Ashtari M, Aupperle P, Wu H, Allen L, Zeman D, Patel M.</t>
  </si>
  <si>
    <t>sgPFC divided by whole brain volume</t>
  </si>
  <si>
    <t>Ballmaier M, Narr KL, Toga AW, Elderkin-Thompson V, Thompson PM, Hamilton L, Haroon E, Pham D, Heinz A, Kumar A.</t>
  </si>
  <si>
    <t>Caetano SC, Fonseca M, Hatch JP, Olvera RL, Nicoletti M, Hunter K, Lafer B, Pliszka SR, Soares JC.</t>
  </si>
  <si>
    <t>Caudate</t>
  </si>
  <si>
    <t>http://archpsyc.ama-assn.org/cgi/reprint/61/2/177</t>
  </si>
  <si>
    <t>http://www.psychiatrist.com/abstracts/abstracts.asp?abstract=200404/040405.htm</t>
  </si>
  <si>
    <t>http://www.nature.com/npp/journal/v29/n5/pdf/1300371a.pdf</t>
  </si>
  <si>
    <t>brain volume, intracranial volume, prefrontal lobe, temporal lobe, prefrontal lobe divided by intracranial volume, temporal lobe divided by intracranial volume</t>
  </si>
  <si>
    <t>Posterior diencephalon (thalamus), voxels</t>
  </si>
  <si>
    <t>LGhp RGhp LWhp RWhp</t>
  </si>
  <si>
    <t>left subgenual prefrontal cortex, right subgenual prefrontal cortex, total cerebral volume</t>
  </si>
  <si>
    <t>Used Fazekas scale, Any Deep (subcortical) WMH (DWMH) (all MDD patients)</t>
  </si>
  <si>
    <t>Butters MA</t>
  </si>
  <si>
    <t>Chen HH</t>
  </si>
  <si>
    <t>Qiu A</t>
  </si>
  <si>
    <t>http://jnnp.bmj.com/cgi/reprint/75/2/221</t>
  </si>
  <si>
    <t>http://dx.doi.org/10.1016/j.pscychresns.2004.08.002</t>
  </si>
  <si>
    <t>Wu M</t>
  </si>
  <si>
    <t>Hannestad J</t>
  </si>
  <si>
    <t>Bae JN</t>
  </si>
  <si>
    <t>Weniger G</t>
  </si>
  <si>
    <t>Corpus Callosum (cross-sectional area)</t>
  </si>
  <si>
    <t>Intracranial Volume</t>
  </si>
  <si>
    <t>http://dx.doi.org/10.1016/0925-4927(95)02592-L</t>
  </si>
  <si>
    <t>Measure (L,R,T)</t>
  </si>
  <si>
    <t>Left</t>
  </si>
  <si>
    <t>Continous variable comparisons count</t>
  </si>
  <si>
    <t>http://dx.doi.org/10.1016/0925-4927(96)02744-8</t>
  </si>
  <si>
    <t>Elkis H</t>
  </si>
  <si>
    <t>McGrath JJ</t>
  </si>
  <si>
    <t>http://dx.doi.org/10.1016/0920-9964(95)00016-X</t>
  </si>
  <si>
    <t>total orbitofrontal cortex, cm3, gray matter</t>
  </si>
  <si>
    <t>orbitofrontal cortex (ml)</t>
  </si>
  <si>
    <t>amygdala, ml</t>
  </si>
  <si>
    <t>Signal hyperintensities were all located in white matter regions</t>
  </si>
  <si>
    <t>amygdala, cm3, gray matter volumes</t>
  </si>
  <si>
    <t>amygdala, cm3</t>
  </si>
  <si>
    <t>amygdala, voxels, total</t>
  </si>
  <si>
    <t>Lhp Rhp hp Cn</t>
  </si>
  <si>
    <t>MacMaster FP, Mirza Y, Szeszko PR, Kmiecik LE, Easter PC, Taormina SP, Lynch M, Rose M, Moore GJ, Rosenberg DR.</t>
  </si>
  <si>
    <t>MacQueen GM</t>
  </si>
  <si>
    <t>MacMillan S</t>
  </si>
  <si>
    <t>Lee SH</t>
  </si>
  <si>
    <t>Furtado CP, Maller JJ, Fitzgerald PB.</t>
  </si>
  <si>
    <t>Greenberg DL, Payne ME, MacFall JR, Steffens DC, Krishnan RR.</t>
  </si>
  <si>
    <t>Tamburo RJ, Siegle GJ, Stetten GD, Cois CA, Butters MA, Reynolds Iii CF, Aizenstein HJ.</t>
  </si>
  <si>
    <t>http://dx.doi.org/10.1017/S0033291707000128</t>
  </si>
  <si>
    <t>http://ajp.psychiatryonline.org/cgi/reprint/165/2/229</t>
  </si>
  <si>
    <t>Atrophy measure (NOT volume) using CERAD rating. third ventricle, L&amp;R for (sylvian fissure, temporal sulci, temporal horns, lateral ventricles, cerebral sulci).</t>
  </si>
  <si>
    <t>left hippocampus, right hippocampus, cerebrum volume</t>
  </si>
  <si>
    <t>Taylor WD, Steffens DC, Payne ME, MacFall JR, Marchuk DA, Svenson IK, Krishnan KR.</t>
  </si>
  <si>
    <t>U</t>
  </si>
  <si>
    <t>Not available on internet</t>
  </si>
  <si>
    <t>Chen PS, McQuoid DR, Payne ME, Steffens DC.</t>
  </si>
  <si>
    <t>number of patients with deep white matter hyperintensities, volume loss, ventricular anomaly (enlargement or asymmetry), other abnormality</t>
  </si>
  <si>
    <t>Intracranial volume, total brain volume, left amygdala, right amygdala, left hippocampus, right hippocampus</t>
  </si>
  <si>
    <t>Brain volume, left brain volume, right brain volume, medial orbital frontal cortex, left medial orbital frontal cortex, right medial orbital frontal cortex</t>
  </si>
  <si>
    <t>Exclude as the measurement is the CSF on the slice both in the lateral ventricles and sulci</t>
  </si>
  <si>
    <t>Ventricular brain ratio (%)</t>
  </si>
  <si>
    <t>Tae WS</t>
  </si>
  <si>
    <t>Eker C</t>
  </si>
  <si>
    <t>Krishnan KR</t>
  </si>
  <si>
    <t>Shah SA</t>
  </si>
  <si>
    <t>Axelson DA</t>
  </si>
  <si>
    <t>Lisanby SH</t>
  </si>
  <si>
    <t>Wu JC</t>
  </si>
  <si>
    <t>Keshavan MS</t>
  </si>
  <si>
    <t>tau squared</t>
  </si>
  <si>
    <t>T (random)</t>
  </si>
  <si>
    <t>Random Effects T</t>
  </si>
  <si>
    <t>ns</t>
  </si>
  <si>
    <t>mm3</t>
  </si>
  <si>
    <t>MacMaster FP, Leslie R, Rosenberg DR, Kusumakar V.</t>
  </si>
  <si>
    <t>Kronmüller KT, Pantel J, Köhler S, Victor D, Giesel F, Magnotta VA, Mundt C, Essig M, Schröder J.</t>
  </si>
  <si>
    <t>Bergouignan L, Chupin M, Czechowska Y, Kinkingnéhun S, Lemogne C, Le Bastard G, Lepage M, Garnero L, Colliot O, Fossati P.</t>
  </si>
  <si>
    <t>http://www.nature.com/mp/journal/v12/n4/pdf/4001919a.pdf</t>
  </si>
  <si>
    <t>http://dx.doi.org/10.1016/j.biopsych.2006.11.031</t>
  </si>
  <si>
    <t>http://dx.doi.org/10.1016/j.jad.2006.06.024</t>
  </si>
  <si>
    <t>http://www.nature.com/npp/journal/v32/n10/pdf/1301339a.pdf</t>
  </si>
  <si>
    <t>http://ajp.psychiatryonline.org/cgi/content/full/165/7/872</t>
  </si>
  <si>
    <t>age of onset split into remitted and currently depressed</t>
  </si>
  <si>
    <t>Rhp Lhp Ram Lam Cn B</t>
  </si>
  <si>
    <t>Intracranial volume, left hippocampus, right hippocampus</t>
  </si>
  <si>
    <t>Neumeister A, Wood S, Bonne O, Nugent AC, Luckenbaugh DA, Young T, Bain EE, Charney DS, Drevets WC.</t>
  </si>
  <si>
    <t>Silverstone T</t>
  </si>
  <si>
    <t>Supprian T</t>
  </si>
  <si>
    <t>http://www3.interscience.wiley.com/cgi-bin/fulltext/121544225/PDFSTART</t>
  </si>
  <si>
    <t>http://www3.interscience.wiley.com/cgi-bin/fulltext/122211615/PDFSTART</t>
  </si>
  <si>
    <t>http://dx.doi.org/10.1016/j.pscychresns.2008.06.006</t>
  </si>
  <si>
    <t>Elderkin-Thompson V (B)</t>
  </si>
  <si>
    <t>Maller JJ</t>
  </si>
  <si>
    <t>Munn MA</t>
  </si>
  <si>
    <t>Monkul ES</t>
  </si>
  <si>
    <t>Taylor WD</t>
  </si>
  <si>
    <t>Potter GG</t>
  </si>
  <si>
    <t>Janssen J</t>
  </si>
  <si>
    <t>Colla M</t>
  </si>
  <si>
    <t>Patankar TF</t>
  </si>
  <si>
    <t>left hippocampal gray matter, right hippocampal gray matter, total hippocampal gray matter, whole brain volume</t>
  </si>
  <si>
    <t>has minor depression and major depression, but presents results of both seperately only included major depression is listed here</t>
  </si>
  <si>
    <t>Numbers of subjects who had cortical atrophy, cortical infarction, lacunar infarction, leukoencephalopathy, no abnormality</t>
  </si>
  <si>
    <t>Age of onset</t>
  </si>
  <si>
    <t>first episode patients compared to their control group</t>
  </si>
  <si>
    <t>Anterior cingulate (left)</t>
  </si>
  <si>
    <t>http://dx.doi.org/10.1016/j.jad.2004.11.003</t>
  </si>
  <si>
    <t>Steffens DC, McQuoid DR, Welsh-Bohmer KA, Krishnan KR.</t>
  </si>
  <si>
    <t>orbitofrontal cortex (gray matter), mm3, raw volume</t>
  </si>
  <si>
    <t>orbitofrontal cortex gray matter volume, ml</t>
  </si>
  <si>
    <t>left amgdala, right amygdala, left hippocampus, right hippocampus, total gray matter, total white matter, brain volume</t>
  </si>
  <si>
    <t>Lhp Rhp Lam Ram G W B</t>
  </si>
  <si>
    <t>Cn Lhp Rhp</t>
  </si>
  <si>
    <t xml:space="preserve">subcallosal gyris (BA25), subgenual prefrontal cortex (BA24sg), paracingulate gyrus </t>
  </si>
  <si>
    <t>Total hippocampus given for unipolar only, others for unipolar group plus bipolar (left hippocampus, right hippocampus, whole brain)</t>
  </si>
  <si>
    <r>
      <t>Lhp Rhp</t>
    </r>
    <r>
      <rPr>
        <sz val="10"/>
        <rFont val="Arial"/>
        <family val="2"/>
      </rPr>
      <t xml:space="preserve"> hp </t>
    </r>
    <r>
      <rPr>
        <b/>
        <sz val="10"/>
        <rFont val="Arial"/>
        <family val="2"/>
      </rPr>
      <t>B</t>
    </r>
  </si>
  <si>
    <t>MacFall JR, Taylor WD, Rex DE, Pieper S, Payne ME, McQuoid DR, Steffens DC, Kikinis R, Toga AW, Krishnan KR</t>
  </si>
  <si>
    <t>Miller DS, Kumar A, Yousem DM, Gottlieb GL</t>
  </si>
  <si>
    <t>http://www.nature.com/npp/journal/v33/n7/pdf/1301538a.pdf</t>
  </si>
  <si>
    <t>http://dx.doi.org/10.1016/j.pscychresns.2007.04.012</t>
  </si>
  <si>
    <t>http://dx.doi.org/10.1016/j.pscychresns.2007.11.005</t>
  </si>
  <si>
    <t>http://dx.doi.org/10.1016/j.pscychresns.2007.12.009</t>
  </si>
  <si>
    <t>Patankar TF, Baldwin R, Mitra D, Jeffries S, Sutcliffe C, Burns A, Jackson A.</t>
  </si>
  <si>
    <t>http://www.nature.com/npp/journal/v27/n5/pdf/1395942a.pdf</t>
  </si>
  <si>
    <t>http://dx.doi.org/10.1016/S0006-3223(01)01359-2</t>
  </si>
  <si>
    <t>http://ajp.psychiatryonline.org/cgi/reprint/159/7/1112</t>
  </si>
  <si>
    <t>http://www.nature.com/npp/journal/v26/n2/pdf/1395774a.pdf</t>
  </si>
  <si>
    <t>http://archpsyc.ama-assn.org/cgi/reprint/59/2/173</t>
  </si>
  <si>
    <t>sgPFC</t>
  </si>
  <si>
    <t>Lorenzetti V, Allen NB, Fornito A, Pantelis C, De Plato G, Ang A, Yücel M.</t>
  </si>
  <si>
    <t>Thalamus</t>
  </si>
  <si>
    <t>Thalamus, cm3</t>
  </si>
  <si>
    <t>Thalamus, cm3, unadjusted mean, table 2</t>
  </si>
  <si>
    <t>Thalamic gray matter volume, ml</t>
  </si>
  <si>
    <t>Pituitary</t>
  </si>
  <si>
    <t>Pituitary, cm3</t>
  </si>
  <si>
    <t>left hippocampus, right hippocampus, left hippocampus divided by whole brain volume, right hippocampus divided by whole brain volume</t>
  </si>
  <si>
    <t>Greenwald BS</t>
  </si>
  <si>
    <t>Firbank MJ</t>
  </si>
  <si>
    <t>Baldwin R</t>
  </si>
  <si>
    <t>Steffens DC</t>
  </si>
  <si>
    <t>Siegle GJ</t>
  </si>
  <si>
    <t>Sheline YI</t>
  </si>
  <si>
    <t>Posener JA</t>
  </si>
  <si>
    <t>left hippocampus, right hippocampus, left amygdala, right amygdala, Intracranial volume (reported in methods section)</t>
  </si>
  <si>
    <t>Caudate nucleus, Putameninal nucleus, thalamic nucleus, cerebral cortex, hyperintensities in subcortical nuclei</t>
  </si>
  <si>
    <t>Zanetti MV, Schaufelberger MS, de Castro CC, Menezes PR, Scazufca M, McGuire PK, Murray RM, Busatto GF.</t>
  </si>
  <si>
    <t>sulcal width cingulate</t>
  </si>
  <si>
    <t xml:space="preserve">swiP </t>
  </si>
  <si>
    <t>sulcal width intraparietal</t>
  </si>
  <si>
    <t xml:space="preserve">swO </t>
  </si>
  <si>
    <t>caps (grade 1) taken as negative</t>
  </si>
  <si>
    <t>"lesions of deep gray nuclei"</t>
  </si>
  <si>
    <t>none/grade 1-3</t>
  </si>
  <si>
    <t>Pituitary gland, cm3</t>
  </si>
  <si>
    <t>http://journals.lww.com/ajgponline/Abstract/1994/02040/MRI_High_Intensity_Signals_in_Late_Life_Depression.8.aspx</t>
  </si>
  <si>
    <t>Has mean Fazekas scale with SDs for periventricular, deep white and subcortical, used the Krishnan deep white matter hyperintensity scale to find mean rating values in the following regions: "left anterior, right anterior, left middle, right middle, left posterior, right posterior"</t>
  </si>
  <si>
    <t>Intracranial volume, total brain volume, left entorhinal cortex, right entorhinal cortex.The following measured but not reported total CSF, total gray matter volume, total white matter volume</t>
  </si>
  <si>
    <t>left hippocampus, right hippocampus (from cross-sectional data, table1), Intracranial volume measured but not reported</t>
  </si>
  <si>
    <t>Used Fazekas scale (total, PVH, DWMH), has mean values, no further information</t>
  </si>
  <si>
    <t>http://www.liebertonline.com/doi/pdf/10.1089/cap.2007.0026</t>
  </si>
  <si>
    <t>http://ajp.psychiatryonline.org/cgi/reprint/165/4/524</t>
  </si>
  <si>
    <t>aged 70 or 74</t>
  </si>
  <si>
    <t xml:space="preserve">bcaur Vbif Vcmi sf v3 </t>
  </si>
  <si>
    <t>Novaretti TM, Marcolin MA, Meira S Jr, Gelas PL, Baudelin CG, Bottino CM.</t>
  </si>
  <si>
    <t>total brain, total hippocampus, left hippocampus, right hippocampus, total amygdala, left amygdala, right amygdala</t>
  </si>
  <si>
    <t>B hp Lhp Rhp am Lam Ram</t>
  </si>
  <si>
    <t>split depending on current depression or previous depression</t>
  </si>
  <si>
    <t>Ventricular abnormaility</t>
  </si>
  <si>
    <t>VBMgrey</t>
  </si>
  <si>
    <t>voxel based morphometry: grey matter</t>
  </si>
  <si>
    <t>VBMwhite</t>
  </si>
  <si>
    <t>voxel based morphometry: white matter</t>
  </si>
  <si>
    <t>Vcau</t>
  </si>
  <si>
    <t>ventricles: min dist of caudate nuclei</t>
  </si>
  <si>
    <t>Ve</t>
  </si>
  <si>
    <t>ventricles: Evans ratio</t>
  </si>
  <si>
    <t>Vfh</t>
  </si>
  <si>
    <t>frontal horn</t>
  </si>
  <si>
    <t>Vh</t>
  </si>
  <si>
    <t>ventricles: Huckman number</t>
  </si>
  <si>
    <t>Vth</t>
  </si>
  <si>
    <t>temporal horn</t>
  </si>
  <si>
    <t>W</t>
  </si>
  <si>
    <t>white matter</t>
  </si>
  <si>
    <t>Wa</t>
  </si>
  <si>
    <t>anterior white matter</t>
  </si>
  <si>
    <t>Wp</t>
  </si>
  <si>
    <t>posterior white matter</t>
  </si>
  <si>
    <t>Bta</t>
  </si>
  <si>
    <t>Brain tissue abnormality</t>
  </si>
  <si>
    <t>cgra</t>
  </si>
  <si>
    <t>rostral anterior cingulate</t>
  </si>
  <si>
    <t>cgca</t>
  </si>
  <si>
    <t>caudal anterior cingulate</t>
  </si>
  <si>
    <t>ClmT</t>
  </si>
  <si>
    <t>Cerebrum boundaries limited by temporal lobe</t>
  </si>
  <si>
    <t>temporal lobe</t>
  </si>
  <si>
    <t>T1( )</t>
  </si>
  <si>
    <t>T1 intensity of …</t>
  </si>
  <si>
    <t>T2( )</t>
  </si>
  <si>
    <t>deep white matter hyperintensities, subcortical gray hyperintensities</t>
  </si>
  <si>
    <t>Botteron KN, Raichle ME, Drevets WC, Heath AC, Todd RD.</t>
  </si>
  <si>
    <t>http://dx.doi.org/10.1016/S0925-4927(98)00048-1</t>
  </si>
  <si>
    <t>http://dx.doi.org/10.1016/S0925-4927(98)00032-8</t>
  </si>
  <si>
    <t>http://dx.doi.org/10.1017/S0033291799008405</t>
  </si>
  <si>
    <t>http://ajp.psychiatryonline.org/cgi/reprint/156/3/438</t>
  </si>
  <si>
    <t>http://ajp.psychiatryonline.org/cgi/reprint/156/12/1989</t>
  </si>
  <si>
    <t>http://ajp.psychiatryonline.org/cgi/reprint/157/1/115</t>
  </si>
  <si>
    <t>Elkis H, Friedman L, Buckley PF, Lee HS, Lys C, Kaufman B, Meltzer HY.</t>
  </si>
  <si>
    <t>McGrath JJ, van Os J, Hoyos C, Jones PB, Harvey I, Murray RM.</t>
  </si>
  <si>
    <t>Area of white matter hyperintensity rated</t>
  </si>
  <si>
    <t>VBR</t>
  </si>
  <si>
    <t>Rabins PV</t>
  </si>
  <si>
    <t>Brambilla P</t>
  </si>
  <si>
    <t>Caetano SC</t>
  </si>
  <si>
    <t>Sassi RB</t>
  </si>
  <si>
    <t>Amygdala (left)</t>
  </si>
  <si>
    <t>input=</t>
  </si>
  <si>
    <t>left hippocampus grey matter volume, right hippocampus grey matter volume, left amygdala grey matter volume, right amygdala grey matter volume, total brain volume</t>
  </si>
  <si>
    <t/>
  </si>
  <si>
    <t>Frontal orbital area, gray matter, unknown units</t>
  </si>
  <si>
    <t>Anatomical Abbreviations</t>
  </si>
  <si>
    <t>All are volumes unless specified otherwise</t>
  </si>
  <si>
    <t>ad</t>
  </si>
  <si>
    <t>anterior diencephalon</t>
  </si>
  <si>
    <t>am</t>
  </si>
  <si>
    <t>amydala hippocampus complex</t>
  </si>
  <si>
    <t>cerebellar atrophy</t>
  </si>
  <si>
    <t>Car</t>
  </si>
  <si>
    <t>cerebrum area</t>
  </si>
  <si>
    <t>car</t>
  </si>
  <si>
    <t>cerebellum area</t>
  </si>
  <si>
    <t>cau</t>
  </si>
  <si>
    <t>caunacm</t>
  </si>
  <si>
    <t>nucleus accumbens</t>
  </si>
  <si>
    <t>caunuc</t>
  </si>
  <si>
    <t>caudate nucleus</t>
  </si>
  <si>
    <t>Cav</t>
  </si>
  <si>
    <t>Volume loss (coded like this because like cerebral atrophy)</t>
  </si>
  <si>
    <t>cc%</t>
  </si>
  <si>
    <t xml:space="preserve">corpus callosum % area of cerebrum </t>
  </si>
  <si>
    <t>cc14</t>
  </si>
  <si>
    <t>corpus callosum A1:A4 ratio</t>
  </si>
  <si>
    <t>cca</t>
  </si>
  <si>
    <t>corpus callosum area</t>
  </si>
  <si>
    <t>cca5</t>
  </si>
  <si>
    <t>corpus callosum area on 5 slices</t>
  </si>
  <si>
    <t>ccaa</t>
  </si>
  <si>
    <t>corpus callosum anterior body area</t>
  </si>
  <si>
    <t>ccaw</t>
  </si>
  <si>
    <t>corpus callosum anterior width</t>
  </si>
  <si>
    <t>ccga</t>
  </si>
  <si>
    <t>corpus callosum genu area</t>
  </si>
  <si>
    <t>ccia</t>
  </si>
  <si>
    <t>cingulate</t>
  </si>
  <si>
    <t>cga</t>
  </si>
  <si>
    <t>anterior cingulate</t>
  </si>
  <si>
    <t>cgda</t>
  </si>
  <si>
    <t>dorsal anterior cingulate</t>
  </si>
  <si>
    <t>cgp</t>
  </si>
  <si>
    <t>posterior cingulate</t>
  </si>
  <si>
    <t>ch</t>
  </si>
  <si>
    <t>cerebellar hemispheres</t>
  </si>
  <si>
    <t>CERAD()</t>
  </si>
  <si>
    <t>standardised atrophy rating scale</t>
  </si>
  <si>
    <t>cf</t>
  </si>
  <si>
    <t>cerebellar folia</t>
  </si>
  <si>
    <t>cG</t>
  </si>
  <si>
    <t>http://www.nature.com/npp/journal/v31/n7/pdf/1300986a.pdf</t>
  </si>
  <si>
    <t>Smaller sample used for hyperintensity measure, Used Coffey method and Payne et al method of automatic labeling, reports means of white matter hyperintensity volume (WMH) and gray matter hyperintensity volume (GMH, in methods says "Gray-matter hyperintensities (GMHs) were those occurring in subcortical gray-matter structures"), also reported Coffey measures (Deep WMH, Subcortical GMH)</t>
  </si>
  <si>
    <t>Deep white matter Hyperintensities</t>
  </si>
  <si>
    <t>All Hyperintensities</t>
  </si>
  <si>
    <t>Subcortical gray hyperintensities</t>
  </si>
  <si>
    <t>http://bjp.rcpsych.org/cgi/content/full/192/6/472</t>
  </si>
  <si>
    <t>http://dx.doi.org/10.1016/j.pscychresns.2007.04.004</t>
  </si>
  <si>
    <t xml:space="preserve">http://dx.doi.org/10.1111/j.1399-5618.2008.00476.x </t>
  </si>
  <si>
    <t>http://dx.doi.org/10.1016/j.biopsych.2007.05.005</t>
  </si>
  <si>
    <t>V&amp;v3</t>
  </si>
  <si>
    <t>lateral ventricle and third ventricle combined</t>
  </si>
  <si>
    <t>v3</t>
  </si>
  <si>
    <t>third ventricle</t>
  </si>
  <si>
    <t>v3d</t>
  </si>
  <si>
    <t>third ventricle diameter</t>
  </si>
  <si>
    <t>v3w</t>
  </si>
  <si>
    <t>third ventricle width</t>
  </si>
  <si>
    <t>v4</t>
  </si>
  <si>
    <t>forth ventricle</t>
  </si>
  <si>
    <t>v4a</t>
  </si>
  <si>
    <t>forth ventricle area</t>
  </si>
  <si>
    <t>Vab</t>
  </si>
  <si>
    <t>email from Krishnan and Steffens regarding studies which measured total caudate volume indicate that Krishnan 1993, Lisanby 1993 and Parashos 1998 are seperate samples</t>
  </si>
  <si>
    <t>email from Krishnan and Steffens regarding studies which measured cerebrum volume indicate that Husain 1991 and Pan 2009 are seperate samples</t>
  </si>
  <si>
    <t>Email from Kumar confirms that this sample is independent of Ballmaier studies of 2004</t>
  </si>
  <si>
    <t>Different sample than Ballmaier M (B) as different age of onset</t>
  </si>
  <si>
    <t>left amydala, right amygdala (volume and shape)</t>
  </si>
  <si>
    <t>Exclude: Difficulty working out how many in each group as there doesn't seem to be enough information in paper (ie how many males with re-occurance?)</t>
  </si>
  <si>
    <t>Exclude: Included 14 bipolar patients for left and right measures</t>
  </si>
  <si>
    <t>Exclude: looks at Amygdala core and non core and also overlaps with Sheline 1998</t>
  </si>
  <si>
    <t xml:space="preserve"> </t>
  </si>
  <si>
    <t>Frodl T, Jäger M, Smajstrlova I, Born C, Bottlender R, Palladino T, Reiser M, Möller HJ, Meisenzahl EM.</t>
  </si>
  <si>
    <t>Pan CC, McQuoid DR, Taylor WD, Payne ME, Ashley-Koch A, Steffens DC.</t>
  </si>
  <si>
    <t>pituitary gland (values not given in paper - graphical results only)</t>
  </si>
  <si>
    <t>Ballmaier M (C)</t>
  </si>
  <si>
    <t>Steffens DC (A)</t>
  </si>
  <si>
    <t>Steffens DC (B)</t>
  </si>
  <si>
    <t>Unipolar_papers\Steffens_B_2003.pdf</t>
  </si>
  <si>
    <t>split into groups of total WMH area &lt;1cm2 (negative) and total WMH &gt;1cm2 (postive)</t>
  </si>
  <si>
    <t>Total cerebral volume, lesions were reported in small ROIs however ROI placement avoided lesions when possible so shouldn't include this measure in meta-analysis</t>
  </si>
  <si>
    <t>basilar cistern</t>
  </si>
  <si>
    <t>Bc</t>
  </si>
  <si>
    <t>Brain circumference</t>
  </si>
  <si>
    <t>bcaur</t>
  </si>
  <si>
    <t>bicaudate ratio</t>
  </si>
  <si>
    <t xml:space="preserve">bg </t>
  </si>
  <si>
    <t>basal ganglia</t>
  </si>
  <si>
    <t>Bi</t>
  </si>
  <si>
    <t>bs</t>
  </si>
  <si>
    <t>brain stem</t>
  </si>
  <si>
    <t>bsa</t>
  </si>
  <si>
    <t>brain stem area</t>
  </si>
  <si>
    <t>c</t>
  </si>
  <si>
    <t>cerebellum</t>
  </si>
  <si>
    <t>cerebrum</t>
  </si>
  <si>
    <t>cerebral atrophy</t>
  </si>
  <si>
    <t>ca</t>
  </si>
  <si>
    <t>optimised voxel based morphometry: grey matter</t>
  </si>
  <si>
    <t>orb</t>
  </si>
  <si>
    <t>orbitofrontal cortex</t>
  </si>
  <si>
    <t>planum temporal</t>
  </si>
  <si>
    <t>pn</t>
  </si>
  <si>
    <t>pons</t>
  </si>
  <si>
    <t>PO</t>
  </si>
  <si>
    <t>parietal occipital region</t>
  </si>
  <si>
    <t>prm</t>
  </si>
  <si>
    <t>premotor area</t>
  </si>
  <si>
    <t>pstg</t>
  </si>
  <si>
    <t>posterior superior temporal gyrus</t>
  </si>
  <si>
    <t>pt</t>
  </si>
  <si>
    <t>RL( )</t>
  </si>
  <si>
    <t>right and left</t>
  </si>
  <si>
    <t>RLT( )</t>
  </si>
  <si>
    <t>right, left and total</t>
  </si>
  <si>
    <t>Sc</t>
  </si>
  <si>
    <t>anterior parahippocampal cortex</t>
  </si>
  <si>
    <t>phpp</t>
  </si>
  <si>
    <t>posterior parahippocampal cortex</t>
  </si>
  <si>
    <t>plt</t>
  </si>
  <si>
    <t>anterior corpus callosum quadrant, cm2</t>
  </si>
  <si>
    <t>anterior genu of corpus callosum, cm2</t>
  </si>
  <si>
    <t>anterior third of corpus callosum, mm2</t>
  </si>
  <si>
    <t>Anterior Corpus Callosum (cross-sectional area)</t>
  </si>
  <si>
    <t>corpus callosum ithmus area</t>
  </si>
  <si>
    <t>ccl</t>
  </si>
  <si>
    <t>corpus callosum length</t>
  </si>
  <si>
    <t>ccmb</t>
  </si>
  <si>
    <t>corpus callosum midbody area</t>
  </si>
  <si>
    <t>ccmw</t>
  </si>
  <si>
    <t>corpus callosum mid width</t>
  </si>
  <si>
    <t>ccpa</t>
  </si>
  <si>
    <t>corpus callosum posterior body area</t>
  </si>
  <si>
    <t>ccpw</t>
  </si>
  <si>
    <t>http://journals.lww.com/ajgponline/Abstract/2004/11000/Sex_Differences_in_Brain_Structure_in_Geriatric.12.aspx</t>
  </si>
  <si>
    <t>http://journals.lww.com/ajgponline/Abstract/2005/10000/Homocysteine_Levels,_MTHFR_C677T_Genotype,_and_MRI.6.aspx</t>
  </si>
  <si>
    <t>http://dx.doi.org/10.1097/JGP.0b013e3180325a16</t>
  </si>
  <si>
    <t>Walterfang M, Yücel M, Barton S, Reutens DC, Wood AG, Chen J, Lorenzetti V, Velakoulis D, Pantelis C, Allen NB.</t>
  </si>
  <si>
    <t>benzodiazepines</t>
  </si>
  <si>
    <t>Used Fazekas scale. Periventricular white matter hyperintensities</t>
  </si>
  <si>
    <t>Incidence all WMH</t>
  </si>
  <si>
    <t>sulcal width occipital</t>
  </si>
  <si>
    <t>swnonF</t>
  </si>
  <si>
    <t>sulcal width nonfrontal</t>
  </si>
  <si>
    <t>T</t>
  </si>
  <si>
    <t>T2 intensity of …</t>
  </si>
  <si>
    <t>TCSF</t>
  </si>
  <si>
    <t>CSF in the temporal lobe</t>
  </si>
  <si>
    <t>TG</t>
  </si>
  <si>
    <t>temporal grey matter</t>
  </si>
  <si>
    <t>th</t>
  </si>
  <si>
    <t>thalmus</t>
  </si>
  <si>
    <t>thar</t>
  </si>
  <si>
    <t>thalamus area (on one slice)</t>
  </si>
  <si>
    <t>TP</t>
  </si>
  <si>
    <t>temporal parietal region</t>
  </si>
  <si>
    <t>Tpl</t>
  </si>
  <si>
    <t>temporal pole</t>
  </si>
  <si>
    <t>Ts</t>
  </si>
  <si>
    <t>temporal sulci</t>
  </si>
  <si>
    <t>TW</t>
  </si>
  <si>
    <t>temporal white matter</t>
  </si>
  <si>
    <t>Email from MacMaster confirms that this is an independent sample from MacMaster 2004</t>
  </si>
  <si>
    <t>Intracranial volume, L</t>
  </si>
  <si>
    <t>White matter, L</t>
  </si>
  <si>
    <t>Exclude: Email from Krishnan and Steffens saying this is an overlapping sample with Husain 1991</t>
  </si>
  <si>
    <t>Excluded rated caudate atrophy but did not provide volumetric measures</t>
  </si>
  <si>
    <t>Excluded from combined</t>
  </si>
  <si>
    <t>Excluded overlap with Sheline 2003</t>
  </si>
  <si>
    <t>Email from Bremner stating that this is an independent sample from Vythilingham 2004</t>
  </si>
  <si>
    <t>Email from Bremner stating that this is an independent sample from Bremner 2000</t>
  </si>
  <si>
    <t>Excluded study states that sample overlapped with Hickie 2005</t>
  </si>
  <si>
    <t>Excluded as this paper states it overlapped with the sample of Janssen et al 2004</t>
  </si>
  <si>
    <t>Email from Renshaw saying this is an independent sample from Vakili 2000</t>
  </si>
  <si>
    <t>Email from Renshaw saying this is an independent sample from Rosso 2005</t>
  </si>
  <si>
    <t>sulcal width intermediate frontal</t>
  </si>
  <si>
    <t xml:space="preserve">swsF </t>
  </si>
  <si>
    <t>sulcal width superior frontal</t>
  </si>
  <si>
    <t xml:space="preserve">swF </t>
  </si>
  <si>
    <t>sulcal width all frontal sulci</t>
  </si>
  <si>
    <t xml:space="preserve">swcnt </t>
  </si>
  <si>
    <t>sulcal width central sulcus</t>
  </si>
  <si>
    <t xml:space="preserve">swcg </t>
  </si>
  <si>
    <t>Exclude Overlaps with same as Frod 2003</t>
  </si>
  <si>
    <t>medorb</t>
  </si>
  <si>
    <t>medial orbitofrontal cortex</t>
  </si>
  <si>
    <t>latorb</t>
  </si>
  <si>
    <t>lateral orbitofrontal cortex</t>
  </si>
  <si>
    <t>P</t>
  </si>
  <si>
    <t>parietal lobe</t>
  </si>
  <si>
    <t>PFC</t>
  </si>
  <si>
    <t>prefrontal cortex</t>
  </si>
  <si>
    <t>PFL</t>
  </si>
  <si>
    <t>prefrontal lobe</t>
  </si>
  <si>
    <t>php</t>
  </si>
  <si>
    <t>parahippocampal cortex</t>
  </si>
  <si>
    <t>phpa</t>
  </si>
  <si>
    <t>lenticular nucleus (putamen and globus pallidus combined)</t>
  </si>
  <si>
    <t>mb</t>
  </si>
  <si>
    <t>midbrain</t>
  </si>
  <si>
    <t>md</t>
  </si>
  <si>
    <t>medulla</t>
  </si>
  <si>
    <t>mPFC</t>
  </si>
  <si>
    <t>middle prefrontal cortex</t>
  </si>
  <si>
    <t>O</t>
  </si>
  <si>
    <t>occipital lobe</t>
  </si>
  <si>
    <t>OCSF</t>
  </si>
  <si>
    <t>CSF in the occipital lobe</t>
  </si>
  <si>
    <t>Op</t>
  </si>
  <si>
    <t>occipital petalia</t>
  </si>
  <si>
    <t>OptVBMgrey</t>
  </si>
  <si>
    <t>V v3</t>
  </si>
  <si>
    <t>Lateral Ventricles, third ventricle (no raw data given for both measures)</t>
  </si>
  <si>
    <t>amhpa</t>
  </si>
  <si>
    <t>anterior amydala hippocampus complex</t>
  </si>
  <si>
    <t>amhpp</t>
  </si>
  <si>
    <t>posterior amydala hippocampus complex</t>
  </si>
  <si>
    <t>astg</t>
  </si>
  <si>
    <t>anterior superior temporal gyrus</t>
  </si>
  <si>
    <t>asy( )</t>
  </si>
  <si>
    <t>asymmetry</t>
  </si>
  <si>
    <t>B</t>
  </si>
  <si>
    <t>Ba</t>
  </si>
  <si>
    <t>Whole brain atrophy (or global atropy)</t>
  </si>
  <si>
    <t>bac</t>
  </si>
  <si>
    <t>hippocampus, says mm3, but assume ml</t>
  </si>
  <si>
    <t xml:space="preserve">Excluded as email from Renshaw says this sample overlapped with Steingard 2002 </t>
  </si>
  <si>
    <t>Exclude same sample  as Pantel 1998</t>
  </si>
  <si>
    <t>Exclude same sample as Matsuo et al 2008</t>
  </si>
  <si>
    <t>cvG</t>
  </si>
  <si>
    <t>cerebellum vermis grey matter</t>
  </si>
  <si>
    <t>cW</t>
  </si>
  <si>
    <t>cerebellar white matter</t>
  </si>
  <si>
    <t>ec</t>
  </si>
  <si>
    <t xml:space="preserve">entorhinal cortex </t>
  </si>
  <si>
    <t>F</t>
  </si>
  <si>
    <t>frontal lobe</t>
  </si>
  <si>
    <t>Fa</t>
  </si>
  <si>
    <t>frontal lobe area</t>
  </si>
  <si>
    <t>FCSF</t>
  </si>
  <si>
    <t>Email from MacMaster states that this is an independent sample from MacMaster 2004 and the novel sample in MacMaster 2008</t>
  </si>
  <si>
    <t>has seperate lateral measure, lateral orbitofrontal cortex gray matter volume, mL</t>
  </si>
  <si>
    <t>Anterior Cingulate (total)</t>
  </si>
  <si>
    <t>Excluded as overlaps sample with Parashos 1998 "Three patients and 17 control subjects were included in previous studies of the caudate (Krishnan et al., 1992) and putamen (Husain et al., 1991)"</t>
  </si>
  <si>
    <t>Gorb LGorb RGorb Gmedorb LGmedorb RGmedorb Glatorb LGlatorb RGlatorb</t>
  </si>
  <si>
    <r>
      <t xml:space="preserve">C Lam Ram LsgPFC RsgPFC </t>
    </r>
    <r>
      <rPr>
        <b/>
        <sz val="10"/>
        <rFont val="Arial"/>
        <family val="2"/>
      </rPr>
      <t>Lhp Rhp LGorb RGorb</t>
    </r>
  </si>
  <si>
    <t>Seventeen patients additionally received benzodiazepines</t>
  </si>
  <si>
    <t>Dextroamphetamine, a psychostimulant</t>
  </si>
  <si>
    <t>Brain volume index, (Brain volume based on small number of slices)</t>
  </si>
  <si>
    <t>corpus callosum posterior width</t>
  </si>
  <si>
    <t>ccsa</t>
  </si>
  <si>
    <t>corpus callosum spenium area</t>
  </si>
  <si>
    <t>ccsc</t>
  </si>
  <si>
    <t>corpus callosum spenium circularity</t>
  </si>
  <si>
    <t>cCSF</t>
  </si>
  <si>
    <t>cortical CSF</t>
  </si>
  <si>
    <t>ccsm</t>
  </si>
  <si>
    <t>corpus callosum shape measure (see Frumin 2002)</t>
  </si>
  <si>
    <t>cerebellum grey matter</t>
  </si>
  <si>
    <t>cg</t>
  </si>
  <si>
    <t>http://archpsyc.ama-assn.org/cgi/reprint/61/6/587</t>
  </si>
  <si>
    <t>Gray matter volume, Intracranial volume (only correlations with clinical variables shown)</t>
  </si>
  <si>
    <t>G Cn</t>
  </si>
  <si>
    <t>max (maximum effect size -95% confidence interval)</t>
  </si>
  <si>
    <t>Gorb LGorb RGorb B hyp</t>
  </si>
  <si>
    <t>women</t>
  </si>
  <si>
    <t>men</t>
  </si>
  <si>
    <t>lorazepam and zolpidem</t>
  </si>
  <si>
    <t>Email from MacMaster states that this is an independent sample from MacMillan 2003 and MacMaster 2004 if we use the novel sample</t>
  </si>
  <si>
    <t>Email from MacMaster confirms that this is an independent sample from MacMaster 2006</t>
  </si>
  <si>
    <t>Other antidepressants %</t>
  </si>
  <si>
    <t>Mood stabilisers %</t>
  </si>
  <si>
    <t>Antipsychotics %</t>
  </si>
  <si>
    <t>Drug free %</t>
  </si>
  <si>
    <t>email from Krishnan and Steffens saying this is an seperate sample from Parashos 1998 and Hannestad 2006</t>
  </si>
  <si>
    <t>email from Krishnan and Steffens saying this is an seperate sample from Lisanby 1993 and Parashos 1998</t>
  </si>
  <si>
    <t>Excluded (combined)</t>
  </si>
  <si>
    <t>Excluded as Naismith 2002 states that that paper also used the sample</t>
  </si>
  <si>
    <t>fractal dimension</t>
  </si>
  <si>
    <t>Fp</t>
  </si>
  <si>
    <t>frontal petalia</t>
  </si>
  <si>
    <t>fsg</t>
  </si>
  <si>
    <t>fusiorm gyrus</t>
  </si>
  <si>
    <t>FT</t>
  </si>
  <si>
    <t>frontal temporal region</t>
  </si>
  <si>
    <t>grey matter</t>
  </si>
  <si>
    <t>Ga</t>
  </si>
  <si>
    <t>anterior grey matter</t>
  </si>
  <si>
    <t>Gc</t>
  </si>
  <si>
    <t>cortical grey matter</t>
  </si>
  <si>
    <t>GH</t>
  </si>
  <si>
    <t>grey matter hetromodal association cortex</t>
  </si>
  <si>
    <t>Gos</t>
  </si>
  <si>
    <t>grey matter occipital+sensorimotor cortex</t>
  </si>
  <si>
    <t>Gp</t>
  </si>
  <si>
    <t>posterior grey matter</t>
  </si>
  <si>
    <t>gp</t>
  </si>
  <si>
    <t>globus pallidus</t>
  </si>
  <si>
    <t>GW( )</t>
  </si>
  <si>
    <t>grey and white matter vol of...</t>
  </si>
  <si>
    <t>GWCSF( )</t>
  </si>
  <si>
    <t>grey and white CSF vol of...</t>
  </si>
  <si>
    <t>GWr</t>
  </si>
  <si>
    <t>grey to white matter ratio</t>
  </si>
  <si>
    <t>GWrT</t>
  </si>
  <si>
    <t>Grey to white matter ratio o temporal lobe</t>
  </si>
  <si>
    <t>GWtis()</t>
  </si>
  <si>
    <t>grey white and 'tissue' volume</t>
  </si>
  <si>
    <t>Hc</t>
  </si>
  <si>
    <t>Head circumference</t>
  </si>
  <si>
    <t>hg</t>
  </si>
  <si>
    <t>Heschl gyrus</t>
  </si>
  <si>
    <t>hm</t>
  </si>
  <si>
    <t>hemisphere</t>
  </si>
  <si>
    <t>hpsam</t>
  </si>
  <si>
    <t>hippocampas shape abnormality</t>
  </si>
  <si>
    <t>Weber K, Giannakopoulos P, Delaloye C, de Bilbao F, Moy G, Moussa A, Rubio MM, Ebbing K, Meuli R, Lazeyras F, Meiler-Mititelu C, Herrmann FR, Gold G, Canuto A.</t>
  </si>
  <si>
    <t>Rao U, Chen LA, Bidesi AS, Shad MU, Thomas MA, Hammen CL.</t>
  </si>
  <si>
    <t>Exclude same sample as Ballmaier M (B) 2008 and that one combines the sample</t>
  </si>
  <si>
    <t>Exclude as the area of the brain measured at the axial slice of the lateral ventricles</t>
  </si>
  <si>
    <t>Excluded as overlapped with Iosifescu 2006 (same control group)</t>
  </si>
  <si>
    <t>Excluded as email from O'Brien says this sample overlapped with Lloyd 2004</t>
  </si>
  <si>
    <t>cerebellopontine angle cistern</t>
  </si>
  <si>
    <t>Cs</t>
  </si>
  <si>
    <t xml:space="preserve">Cerebral sulci </t>
  </si>
  <si>
    <t>cavum septum pellucidum</t>
  </si>
  <si>
    <t>CT( )</t>
  </si>
  <si>
    <t>CT density of …</t>
  </si>
  <si>
    <t>ctx</t>
  </si>
  <si>
    <t>cortex</t>
  </si>
  <si>
    <t>cv</t>
  </si>
  <si>
    <t>cerebellar vermis</t>
  </si>
  <si>
    <t>cv1</t>
  </si>
  <si>
    <t>cerebellar vermis region 1</t>
  </si>
  <si>
    <t>cv2</t>
  </si>
  <si>
    <t>stgp</t>
  </si>
  <si>
    <t>stgW</t>
  </si>
  <si>
    <t>superior temporal gyrus white matter</t>
  </si>
  <si>
    <t>sw</t>
  </si>
  <si>
    <t>sulcal width</t>
  </si>
  <si>
    <t>sulcal widening</t>
  </si>
  <si>
    <t>swiF</t>
  </si>
  <si>
    <t>sulcal width inferior frontal</t>
  </si>
  <si>
    <t>swinmdF</t>
  </si>
  <si>
    <t>females, correction made to left hippocampus following email from Jerome Maller (11 Aug 2009)</t>
  </si>
  <si>
    <t>Excluded as email from Macmaster states that this sample overlapped with Macmaster 2006</t>
  </si>
  <si>
    <t>Excluded as email from MacMaster states there is an overlap between this study and MacMaster 2008 (and amygdala volumes are not given for new sample in that paper)</t>
  </si>
  <si>
    <t>Email from MacMaster states that this is an independent sample from MacMillan 2003 and MacMaster 2008</t>
  </si>
  <si>
    <t>Gyrus Rectus (total, gray)</t>
  </si>
  <si>
    <t>Corpus Callosum (length)</t>
  </si>
  <si>
    <t>http://dx.doi.org/10.1016/j.euroneuro.2008.04.015</t>
  </si>
  <si>
    <t>orbital frontal cortex, left orbital frontal cortex, right orbital frontal cortex, orbital frontal cortex divided by total cerebral hemispheres, left orbital frontal cortex divided by total cerebral hemispheres, right orbital frontal cortex divided by total cerebral hemispheres (paper says "Only OFG gray matter was included in the OFC volumes presented here")</t>
  </si>
  <si>
    <t>Gorb LGorb RGorb</t>
  </si>
  <si>
    <t>RGorb LGorb B Gorb hyp</t>
  </si>
  <si>
    <t>Lateral ventricles (frontal horn diameter, bifrontal diameter (maximum transverse dimension of the frontal horn), surface occupied by fluid (on one axial slice at the level of the main part of the lateral ventricles), surface occupied by brain parenchyma, (on one axial slice at the level of the main part of the lateral ventricles))</t>
  </si>
  <si>
    <t>LswF RswF LswPO RswPO V Lsf1l Rsf1l Lsf12 Rsf12 Lsf13 Rsf13 v3</t>
  </si>
  <si>
    <t>Cn Lcau Lpt Lgp Lcaunacm Rcau Rpt Rgp Rcaunacm</t>
  </si>
  <si>
    <t>caudate, mm3, absolute volumes</t>
  </si>
  <si>
    <t>Anterior cingulate white matter, Anterior cingulate gray matter, Gyrus rectus white matter, Gyrus rectus gray matter, Orbitofrontal white matter, Orbitofrontal gray matter</t>
  </si>
  <si>
    <t>pat_medfree</t>
  </si>
  <si>
    <t>pat_moodstable</t>
  </si>
  <si>
    <t>pat_female</t>
  </si>
  <si>
    <t>Antidepressants %</t>
  </si>
  <si>
    <t>SSRI %</t>
  </si>
  <si>
    <t>Tricyclic %</t>
  </si>
  <si>
    <t>MAOIs %</t>
  </si>
  <si>
    <t>Exclude Paper says it used 24 subjects from Sheline et al 1999 so should exlclude</t>
  </si>
  <si>
    <t>MRI scanner strength</t>
  </si>
  <si>
    <t>MRI slice thickness</t>
  </si>
  <si>
    <t>Number</t>
  </si>
  <si>
    <t>CT slice thickness</t>
  </si>
  <si>
    <t>si</t>
  </si>
  <si>
    <t>sulcal index (global, large number = extensive folding)</t>
  </si>
  <si>
    <t xml:space="preserve">Lsi LG Rsi RG </t>
  </si>
  <si>
    <t>See supplementary data p22 for this: Intracranial volume, left caudate, left putamen, left globus pallidus, left nucleus accumbens, right caudate, right putamen, right globus pallidus, right nucleus accumbens</t>
  </si>
  <si>
    <t>Mean but not total volume (SDs are mean SDs)</t>
  </si>
  <si>
    <t>Köhler S, Thomas AJ, Lloyd A, Barber R, Almeida OP, O'Brien JT.</t>
  </si>
  <si>
    <t>http://archneur.ama-assn.org/cgi/reprint/47/10/1107</t>
  </si>
  <si>
    <t>http://archpsyc.ama-assn.org/cgi/reprint/49/7/553</t>
  </si>
  <si>
    <t>Takahashi T, Walterfang M, Wood SJ, Kempton MJ, Jogia J, Lorenzetti V, Soulsby B, Suzuki M, Velakoulis D, Pantelis C, Frangou S.</t>
  </si>
  <si>
    <t>Frey BN</t>
  </si>
  <si>
    <t>Jessen F</t>
  </si>
  <si>
    <t>CSF in the frontal lobe</t>
  </si>
  <si>
    <t>fd</t>
  </si>
  <si>
    <t>Dalby RB, Chakravarty MM, Ahdidan J, Sørensen L, Frandsen J, Jonsdottir KY, Tehrani E, Rosenberg R, Ostergaard L, Videbech P.</t>
  </si>
  <si>
    <t>Antidepressants</t>
  </si>
  <si>
    <t>Tricyclic</t>
  </si>
  <si>
    <t>Other</t>
  </si>
  <si>
    <t>Mood stabilisers</t>
  </si>
  <si>
    <t>Antipsychotics</t>
  </si>
  <si>
    <t>Drug free</t>
  </si>
  <si>
    <t>MAOIs</t>
  </si>
  <si>
    <t>SSRI</t>
  </si>
  <si>
    <t>lorazepam</t>
  </si>
  <si>
    <t>Other antidepressnat</t>
  </si>
  <si>
    <t>21 on benzodiazapines</t>
  </si>
  <si>
    <t>Email from Bremner confirming this sample is seperate from Vythilingham 2004</t>
  </si>
  <si>
    <t>Email from Bremner confirming that this is an independent sample from Bremner 2000</t>
  </si>
  <si>
    <t>hphd</t>
  </si>
  <si>
    <t>hippocampus head</t>
  </si>
  <si>
    <t>hpbdtl</t>
  </si>
  <si>
    <t>Skull circumference</t>
  </si>
  <si>
    <t>scCSF</t>
  </si>
  <si>
    <t>subcortical CSF</t>
  </si>
  <si>
    <t>sCSF</t>
  </si>
  <si>
    <t>sulcal CSF</t>
  </si>
  <si>
    <t>sd</t>
  </si>
  <si>
    <t>sulcal dilation</t>
  </si>
  <si>
    <t>sf</t>
  </si>
  <si>
    <t>sylvian fissure</t>
  </si>
  <si>
    <t>Frodl T, Stauber J, Schaaff N, Koutsouleris N, Scheuerecker J, Ewers M, Omerovic M, Opgen-Rhein M, Hampel H, Reiser M, Möller HJ, Meisenzahl E.</t>
  </si>
  <si>
    <t>subgenual prefrontal cortex</t>
  </si>
  <si>
    <t>sm</t>
  </si>
  <si>
    <t>sensory-motor area</t>
  </si>
  <si>
    <t>sPFC</t>
  </si>
  <si>
    <t>superior prefrontal cortex</t>
  </si>
  <si>
    <t>stg</t>
  </si>
  <si>
    <t>superior temporal gyrus</t>
  </si>
  <si>
    <t>stga</t>
  </si>
  <si>
    <t>stgG</t>
  </si>
  <si>
    <t>superior temporal gyrus grey matter</t>
  </si>
  <si>
    <t>Email from M Nicoletti stating that this is an independent sample from Chen et al 2008</t>
  </si>
  <si>
    <t>Excluded as email from M Nicoletti states there was sample overlap with Lacerda 2004</t>
  </si>
  <si>
    <t>Email from M Nicoletti stating that this is an independent sample from Chen 2008</t>
  </si>
  <si>
    <t>Amygdala Hippocampal complex (total)</t>
  </si>
  <si>
    <t>anterior subgenual prefrontal cortex (agrees with region defined by Drevets et al, posterior region is subcallosal region), mm3, adjusted for age and total frontal volume</t>
  </si>
  <si>
    <t>http://dx.doi.org/10.1016/j.jad.2008.10.010</t>
  </si>
  <si>
    <t>Medial orbitofrontal cortex (total, gray)</t>
  </si>
  <si>
    <t>Fourth Ventricle</t>
  </si>
  <si>
    <t>Fourth ventricle (Total)</t>
  </si>
  <si>
    <t>Elderkin-Thompson V (A)</t>
  </si>
  <si>
    <t>Kado H</t>
  </si>
  <si>
    <t>http://radiology.rsnajnls.org/cgi/reprint/238/1/248</t>
  </si>
  <si>
    <t>Excluded sample overlap with Lavretsky 2007</t>
  </si>
  <si>
    <t>Lateral orbitofrontal cortex (total, gray)</t>
  </si>
  <si>
    <t>does have seperate lateral orbital frontal cortex. Lateral orbitofrontal cortex, gray matter, cm3</t>
  </si>
  <si>
    <t xml:space="preserve">anterior insular cortex </t>
  </si>
  <si>
    <t>insp</t>
  </si>
  <si>
    <t>posterior insular cortex</t>
  </si>
  <si>
    <t>iPFC</t>
  </si>
  <si>
    <t>inferior prefrontal cortex</t>
  </si>
  <si>
    <t>ir</t>
  </si>
  <si>
    <t>intermastoid ratio</t>
  </si>
  <si>
    <t>li</t>
  </si>
  <si>
    <t>laterality index</t>
  </si>
  <si>
    <t>ln</t>
  </si>
  <si>
    <t>Studies reporting total measures</t>
  </si>
  <si>
    <t>anterior cingulate (BA24), mm3 [agrees with Drevets definition]</t>
  </si>
  <si>
    <t>subgenual prefrontal cortex BA24sg, mm3 [agrees with Drevets definition]</t>
  </si>
  <si>
    <t>Subgenual Prefrontal Cortex (total)</t>
  </si>
  <si>
    <t>http://dx.doi.org/10.1016/j.pscychresns.2008.07.013</t>
  </si>
  <si>
    <t>Walterfang M</t>
  </si>
  <si>
    <t>(Gray matter volumes of) total orbitofrontal cortex, left orbitofrontal cortex, right orbitofrontal cortex, medial orbitofrontal cortex, left medial orbitofrontal cortex, right medial orbitofrontal cortex, lateral orbitofrontal cortex, left lateral orbitofrontal cortex, right lateral orbitofrontal cortex</t>
  </si>
  <si>
    <t>http://dx.doi.org/10.1017/S003329170002417X</t>
  </si>
  <si>
    <t>http://dx.doi.org/10.1017/S0033291700013222</t>
  </si>
  <si>
    <t>cerebellar vermis region 2</t>
  </si>
  <si>
    <t>cv3</t>
  </si>
  <si>
    <t>cerebellar vermis region 3</t>
  </si>
  <si>
    <t>cvCSF</t>
  </si>
  <si>
    <t>CSF in cerebellar vermis</t>
  </si>
  <si>
    <t>Amygdala-Hippocampal complex (left)</t>
  </si>
  <si>
    <t>Amygdala-Hippocampal complex (right)</t>
  </si>
  <si>
    <t>Corpus Callosum (area)</t>
  </si>
  <si>
    <t>Anterior Corpus Callosum (area)</t>
  </si>
  <si>
    <t>Exclude same as Pantal 1997</t>
  </si>
  <si>
    <t>Exclude Mean values not total given (SDs are mean SDs)</t>
  </si>
  <si>
    <t>Cn B CSF V Lamhp Ramhp LT RT LGF RGF</t>
  </si>
  <si>
    <t>V B CSF LGF RGF LT RT Lamhp Ramhp</t>
  </si>
  <si>
    <t>hyperintenisties ('white matter lesion measure' (combined periventricular and deep white matter score), baseline and measure after 2 years)</t>
  </si>
  <si>
    <t>cranial volume</t>
  </si>
  <si>
    <t>Cna</t>
  </si>
  <si>
    <t>cranial area</t>
  </si>
  <si>
    <t>cpc</t>
  </si>
  <si>
    <t>hyperintensites</t>
  </si>
  <si>
    <t>http://archpsyc.ama-assn.org/cgi/reprint/51/9/677</t>
  </si>
  <si>
    <t>http://bjp.rcpsych.org/cgi/reprint/157/1/107</t>
  </si>
  <si>
    <t>http://dx.doi.org/10.1017/S0033291700020420</t>
  </si>
  <si>
    <t>http://dx.doi.org/10.1017/S0033291700034838</t>
  </si>
  <si>
    <t>Email from Maller correcting left hippocampus volume in female patients</t>
  </si>
  <si>
    <t>Excluded as overlaps with Sheline 2003</t>
  </si>
  <si>
    <t>Exclude: only total Fazekas rather than deep white hyperintensity scale reported</t>
  </si>
  <si>
    <t>Exclude only total Fazekas scale reported</t>
  </si>
  <si>
    <t>Exclude: as likely overlap with Greewald 2001</t>
  </si>
  <si>
    <t>Exclude: only total Fazekas scale reported</t>
  </si>
  <si>
    <t>Exclude: does not report periventricular hyperintensities</t>
  </si>
  <si>
    <t>Exclude: only TOTAL Fazekas scale reported</t>
  </si>
  <si>
    <t>Exclude: likely overlap with Greenwald et al 1996 and has smaller sample</t>
  </si>
  <si>
    <t>Exclude only TOTAL Fazekas scale reported</t>
  </si>
  <si>
    <t>Exclude does not report rating of subcortical hyperintensities</t>
  </si>
  <si>
    <t>Excluded email from M Nicoletti states this sample overlaps with Caetano et al 2004</t>
  </si>
  <si>
    <t>Email from M Nicoletti states this sample is independent from Matsuo 2008</t>
  </si>
  <si>
    <t>Excluded as email from Frodl state this overlaps with Meisenzhahl 2009</t>
  </si>
  <si>
    <t>Excluded as email from M Nicoletti states that this study overlaps with Caetano 2004</t>
  </si>
  <si>
    <t>Email from M Nicoletti stating that this is an independent sample from Caetano et al 2007</t>
  </si>
  <si>
    <t>Excluded as email from M Nicoletti states there was sample overlap with Caetano 2006</t>
  </si>
  <si>
    <t>remitted patients (HAM-D&lt;7)</t>
  </si>
  <si>
    <t>depressed-remitted (MADRS mean=2)</t>
  </si>
  <si>
    <t>recovered first episode (mean HAMD17 =3.4</t>
  </si>
  <si>
    <t>Single ep Patient</t>
  </si>
  <si>
    <t>Single ep Patient SD</t>
  </si>
  <si>
    <t>Mult ep Patient</t>
  </si>
  <si>
    <t>Mult ep Patient SD</t>
  </si>
  <si>
    <t>hippocampus volume</t>
  </si>
  <si>
    <t>Hippocampus (single episode depressed versus multiple episode depressed, left and right converted to total)</t>
  </si>
  <si>
    <t>hippocampal volume</t>
  </si>
  <si>
    <t>http://dx.doi.org/10.1016/j.jad.2009.12.002</t>
  </si>
  <si>
    <t>Takahashi T, Yücel M, Lorenzetti V, Walterfang M, Kawasaki Y, Whittle S, Suzuki M, Pantelis C, Allen NB.</t>
  </si>
  <si>
    <t>Kaymak SU, Demir B, Sentürk S, Tatar I, Aldur MM, Uluğ B.</t>
  </si>
  <si>
    <t>Excluded as email from Bremner says this sample overlapped with Bremner 2002</t>
  </si>
  <si>
    <t>hippocampus body and tail</t>
  </si>
  <si>
    <t>if</t>
  </si>
  <si>
    <t>interhemispheric fissure</t>
  </si>
  <si>
    <t>ifw</t>
  </si>
  <si>
    <t>interhemispheric fissure width</t>
  </si>
  <si>
    <t>insa</t>
  </si>
  <si>
    <t>White matter hyperintensity (periventricular, subcortical white matter) total hippocampus, left hippocampus, right hippocampus, total parahippocampal, left parahippocampal, right parahippocampal, total orbitofrontal cortex gray matter, left orbitofrontal cortex gray matter, right orbitofrontal cortex gray matter, lateral orbitofrontal cortex gray matter, medial orbitofrontal cortex gray matter, total orbitofrontal cortex white matter, left orbitofrontal cortex white matter, right orbitofrontal cortex white matter, total brain volume, cranium</t>
  </si>
  <si>
    <t>Anterior cingulate gray matter, unknown volume units</t>
  </si>
  <si>
    <t>http://journals.lww.com/ajgponline/Abstract/2004/11000/A_Volumetric_Study_of_MRI_Signal_Hyperintensities.6.aspx</t>
  </si>
  <si>
    <t>http://dx.doi.org/10.1097/YPG.0b013e32832080ce</t>
  </si>
  <si>
    <t>Jessen F, Schuhmacher A, von Widdern O, Guttenthaler V, Hofels S, Suliman H, Scheef L, Block W, Urbach H, Maier W, Zobel A.</t>
  </si>
  <si>
    <t>Frey BN, Zunta-Soares GB, Caetano SC, Nicoletti MA, Hatch JP, Brambilla P, Mallinger AG, Soares JC.</t>
  </si>
  <si>
    <t>Diagnosis code</t>
  </si>
  <si>
    <t>Orbitofrontal (total GM)</t>
  </si>
  <si>
    <t>Orbitofrontal (left, GM)</t>
  </si>
  <si>
    <t>Orbitofrontal (right, GM)</t>
  </si>
  <si>
    <t>Medial orbitofrontal (total, GM)</t>
  </si>
  <si>
    <t>Lateral orbitofrontal (total, GM)</t>
  </si>
  <si>
    <t>Gyrus Rectus (total, GM)</t>
  </si>
  <si>
    <t>Deep WM hyperintensities</t>
  </si>
  <si>
    <t>Subcortical GM hyperintensities</t>
  </si>
  <si>
    <t>Periventricular WM hyperintensities</t>
  </si>
  <si>
    <t>CCMD</t>
  </si>
  <si>
    <t>Intracranial volume, pituitary gland volume (not shown for MDD relatives seperately except in graph)</t>
  </si>
  <si>
    <t>Cn pty</t>
  </si>
  <si>
    <t>normalised value of hippocampal volume</t>
  </si>
  <si>
    <t>Males, first episode, control males halfed as used twice</t>
  </si>
  <si>
    <t>Females, first episode, control females halfed as used twice</t>
  </si>
  <si>
    <t>Males, recurrent, control males halfed as used twice</t>
  </si>
  <si>
    <t>Females, recurrent, control females halfed as used twice</t>
  </si>
  <si>
    <t>hippocampal volume, cm3</t>
  </si>
  <si>
    <t>Exlcuded as outlier</t>
  </si>
  <si>
    <t>Excluded from sub-analysis as is an outlier</t>
  </si>
  <si>
    <t>Morys JM</t>
  </si>
  <si>
    <t>Exclude no rating score for subcortical gray hyperintensities</t>
  </si>
  <si>
    <t>hippocampal volume, assume in mm3, means only given for left</t>
  </si>
  <si>
    <t>hippocampus, corrected volumes</t>
  </si>
  <si>
    <t>hippocampal volume, raw, says mm3 although assume must be ml</t>
  </si>
  <si>
    <t>Exclude overlap with Takahashi T (A) 2009 and probably Lorenzetti 2009</t>
  </si>
  <si>
    <t>Intrcranial volume, assume ml</t>
  </si>
  <si>
    <t>amygdala, assume in ml</t>
  </si>
  <si>
    <t>email from Steffens and Krishnan state there is an overlap between this sample and Taylor et al 2005</t>
  </si>
  <si>
    <t>hippocampal volume, mm3, second scan</t>
  </si>
  <si>
    <t>remitted patients</t>
  </si>
  <si>
    <t>Excluded as overlapped with Frodl (B) 2004</t>
  </si>
  <si>
    <t>hippocampal volume, gray matter mm3</t>
  </si>
  <si>
    <t>all subjects remitted</t>
  </si>
  <si>
    <t>hippocampus volume, ml</t>
  </si>
  <si>
    <t>depressed-remitted</t>
  </si>
  <si>
    <t>Hippocampus (remitted depressed versus controls, left and right converted to total)</t>
  </si>
  <si>
    <t>Hippocampus (remitted depressed versus depressed, left and right converted to total)</t>
  </si>
  <si>
    <t>Remitted Patient</t>
  </si>
  <si>
    <t>Remitted Patient SD</t>
  </si>
  <si>
    <t>Depressed Patient</t>
  </si>
  <si>
    <t>Depressed Patient SD</t>
  </si>
  <si>
    <t>email from Frodl state this overlaps with Meisenzhahl 2009</t>
  </si>
  <si>
    <t>Subgenual Prefrontal Cortex (right)</t>
  </si>
  <si>
    <t>lateral ventricle, mm3</t>
  </si>
  <si>
    <t>All depression group used</t>
  </si>
  <si>
    <t>lateral ventricle, cm3</t>
  </si>
  <si>
    <t>hyp hp Lhp Rhp php Lphp Rphp Gorb LGorb RGorb Glatorb Gmedorb Worb LWorb RWorb B Cn</t>
  </si>
  <si>
    <t>Frontal volume (GM+WM)</t>
  </si>
  <si>
    <t>Frontal (total, GM+WM)</t>
  </si>
  <si>
    <t>Frontal (left, GM+WM)</t>
  </si>
  <si>
    <t>Frontal (right, GM+WM)</t>
  </si>
  <si>
    <t>Frontal (total, GM)</t>
  </si>
  <si>
    <t>Frontal (left, GM)</t>
  </si>
  <si>
    <t>Frontal (right, GM)</t>
  </si>
  <si>
    <t>Frontal (total, WM)</t>
  </si>
  <si>
    <t>Frontal (left, WM)</t>
  </si>
  <si>
    <t>Frontal (right, WM)</t>
  </si>
  <si>
    <t>Orbitofrontal (total GM+WM)</t>
  </si>
  <si>
    <t>hyperintensities - no raw values given</t>
  </si>
  <si>
    <t>total brain volume, left pre supplementary motor area, right pre supplementary motor area</t>
  </si>
  <si>
    <t>total hippocampus, right hippocampus, left hippocampus</t>
  </si>
  <si>
    <t>left hippocampus, right hippocampus, left amygdala, right amydala (no means or SDs reported for any measure)</t>
  </si>
  <si>
    <t>B F hp hyp</t>
  </si>
  <si>
    <t>left hippocampus, right hippocampus (no means and SDs given - results in graph)</t>
  </si>
  <si>
    <t>plpo</t>
  </si>
  <si>
    <t>planum polare</t>
  </si>
  <si>
    <t>hyperintensities (volume of white and gray matter hyperintensities)</t>
  </si>
  <si>
    <t>gray matter hippocampus</t>
  </si>
  <si>
    <t>remitted patients (mean HAMD=1.5)</t>
  </si>
  <si>
    <t>Meta-analysis of Binary data</t>
  </si>
  <si>
    <t>Click on the links below for a meta-analysis of each abnormality</t>
  </si>
  <si>
    <t>Figures showing effect sizes</t>
  </si>
  <si>
    <t>OR (Odds Ratio)</t>
  </si>
  <si>
    <t xml:space="preserve">"periventricular hyperintensity", Used Fazekas scale modified by Coffey, used 0 as negative, 1 as positive, table 2 splits up groups into many subgroups depending on clinical variables </t>
  </si>
  <si>
    <t>"subcortical gray matter lesions" Coffey scale Absent= negative, anything else= positive, table 2 splits up groups into many subgroups depending on clinical variables</t>
  </si>
  <si>
    <t>"Deep white matter", Used Fazekas scale modified by Coffey, used 0 as negative, 1 as positive, table 2 splits up groups into many subgroups depending on clinical variables - may be useful in a meta-regression</t>
  </si>
  <si>
    <t>Exclude as may overlap with Almeida OP 2003</t>
  </si>
  <si>
    <t>Imaging</t>
  </si>
  <si>
    <t>early onset</t>
  </si>
  <si>
    <t>late onset</t>
  </si>
  <si>
    <t>depressed</t>
  </si>
  <si>
    <t>remitted</t>
  </si>
  <si>
    <t>first episode</t>
  </si>
  <si>
    <t>multiple episode</t>
  </si>
  <si>
    <t>males, first episode</t>
  </si>
  <si>
    <t>females, first episode</t>
  </si>
  <si>
    <t>males, recurrent</t>
  </si>
  <si>
    <t>females, recurrent</t>
  </si>
  <si>
    <t>antidepressant exposure</t>
  </si>
  <si>
    <t>no antidepressant exposure</t>
  </si>
  <si>
    <t>depresssed</t>
  </si>
  <si>
    <t>remiitted</t>
  </si>
  <si>
    <t>Amygdala Hippocampal complex (right)</t>
  </si>
  <si>
    <t>hyperintensive</t>
  </si>
  <si>
    <t>normotensive</t>
  </si>
  <si>
    <t>normal folate</t>
  </si>
  <si>
    <t>treatment responsive</t>
  </si>
  <si>
    <t>treatment resistant</t>
  </si>
  <si>
    <t>low folate</t>
  </si>
  <si>
    <t>Locally stored copy (place html link to downloaded copies)</t>
  </si>
  <si>
    <t>Welcome to the Major Depressive Disorder Neuroimaging Database (MaND) version 1.0</t>
  </si>
  <si>
    <t>link to study</t>
  </si>
  <si>
    <t xml:space="preserve">Current medication (% of study sample) </t>
  </si>
  <si>
    <t>Current medication (numbers of subjects)</t>
  </si>
  <si>
    <t>For graphs (repeated information with #NA for missing data)</t>
  </si>
  <si>
    <t>For Pie Chart</t>
  </si>
  <si>
    <t>Brain Imaging Slice Thickness</t>
  </si>
  <si>
    <t>Gender Matching in Studies</t>
  </si>
</sst>
</file>

<file path=xl/styles.xml><?xml version="1.0" encoding="utf-8"?>
<styleSheet xmlns="http://schemas.openxmlformats.org/spreadsheetml/2006/main">
  <numFmts count="11">
    <numFmt numFmtId="44" formatCode="_-&quot;£&quot;* #,##0.00_-;\-&quot;£&quot;* #,##0.00_-;_-&quot;£&quot;* &quot;-&quot;??_-;_-@_-"/>
    <numFmt numFmtId="164" formatCode="0.0"/>
    <numFmt numFmtId="165" formatCode="0.000"/>
    <numFmt numFmtId="166" formatCode="0.0000"/>
    <numFmt numFmtId="167" formatCode="0.0000000"/>
    <numFmt numFmtId="168" formatCode="0.000000"/>
    <numFmt numFmtId="169" formatCode="0.00000"/>
    <numFmt numFmtId="170" formatCode="0.00000000"/>
    <numFmt numFmtId="171" formatCode="0.0E+00"/>
    <numFmt numFmtId="172" formatCode="0.00000000000"/>
    <numFmt numFmtId="173" formatCode="#,##0.0000_ ;\-#,##0.0000\ "/>
  </numFmts>
  <fonts count="61">
    <font>
      <sz val="10"/>
      <name val="Arial"/>
    </font>
    <font>
      <sz val="10"/>
      <name val="Arial"/>
      <family val="2"/>
    </font>
    <font>
      <u/>
      <sz val="10"/>
      <color indexed="12"/>
      <name val="Arial"/>
      <family val="2"/>
    </font>
    <font>
      <sz val="10"/>
      <name val="Arial"/>
      <family val="2"/>
    </font>
    <font>
      <b/>
      <sz val="10"/>
      <name val="Arial"/>
      <family val="2"/>
    </font>
    <font>
      <sz val="10"/>
      <color indexed="10"/>
      <name val="Arial"/>
      <family val="2"/>
    </font>
    <font>
      <sz val="10"/>
      <color indexed="14"/>
      <name val="Arial"/>
      <family val="2"/>
    </font>
    <font>
      <sz val="10"/>
      <color indexed="10"/>
      <name val="Arial"/>
      <family val="2"/>
    </font>
    <font>
      <sz val="10"/>
      <color indexed="14"/>
      <name val="Arial"/>
      <family val="2"/>
    </font>
    <font>
      <sz val="10"/>
      <name val="Arial"/>
      <family val="2"/>
    </font>
    <font>
      <sz val="8"/>
      <name val="Arial"/>
      <family val="2"/>
    </font>
    <font>
      <b/>
      <sz val="10"/>
      <color indexed="14"/>
      <name val="Arial"/>
      <family val="2"/>
    </font>
    <font>
      <b/>
      <sz val="10"/>
      <color indexed="57"/>
      <name val="Arial"/>
      <family val="2"/>
    </font>
    <font>
      <b/>
      <sz val="10"/>
      <color indexed="12"/>
      <name val="Arial"/>
      <family val="2"/>
    </font>
    <font>
      <b/>
      <sz val="10"/>
      <color indexed="10"/>
      <name val="Arial"/>
      <family val="2"/>
    </font>
    <font>
      <sz val="8"/>
      <name val="Arial"/>
      <family val="2"/>
    </font>
    <font>
      <sz val="10"/>
      <color indexed="12"/>
      <name val="Arial"/>
      <family val="2"/>
    </font>
    <font>
      <b/>
      <sz val="10"/>
      <color indexed="52"/>
      <name val="Arial"/>
      <family val="2"/>
    </font>
    <font>
      <sz val="10"/>
      <color indexed="8"/>
      <name val="Arial"/>
      <family val="2"/>
    </font>
    <font>
      <sz val="10"/>
      <color indexed="57"/>
      <name val="Arial"/>
      <family val="2"/>
    </font>
    <font>
      <b/>
      <sz val="14"/>
      <name val="Arial"/>
      <family val="2"/>
    </font>
    <font>
      <b/>
      <sz val="12"/>
      <name val="Arial"/>
      <family val="2"/>
    </font>
    <font>
      <sz val="10"/>
      <color indexed="8"/>
      <name val="Arial"/>
      <family val="2"/>
    </font>
    <font>
      <sz val="10"/>
      <color indexed="57"/>
      <name val="Arial"/>
      <family val="2"/>
    </font>
    <font>
      <sz val="10"/>
      <color indexed="52"/>
      <name val="Arial"/>
      <family val="2"/>
    </font>
    <font>
      <sz val="10"/>
      <color indexed="55"/>
      <name val="Arial"/>
      <family val="2"/>
    </font>
    <font>
      <sz val="10"/>
      <color indexed="22"/>
      <name val="Arial"/>
      <family val="2"/>
    </font>
    <font>
      <sz val="10"/>
      <color indexed="30"/>
      <name val="Arial"/>
      <family val="2"/>
    </font>
    <font>
      <sz val="10"/>
      <color indexed="10"/>
      <name val="Arial"/>
      <family val="2"/>
    </font>
    <font>
      <sz val="10"/>
      <color indexed="17"/>
      <name val="Arial"/>
      <family val="2"/>
    </font>
    <font>
      <sz val="10"/>
      <color indexed="10"/>
      <name val="Arial"/>
      <family val="2"/>
    </font>
    <font>
      <sz val="8"/>
      <name val="Arial"/>
      <family val="2"/>
    </font>
    <font>
      <u/>
      <sz val="10"/>
      <color indexed="12"/>
      <name val="Arial"/>
      <family val="2"/>
    </font>
    <font>
      <b/>
      <i/>
      <sz val="10"/>
      <name val="Arial"/>
      <family val="2"/>
    </font>
    <font>
      <b/>
      <sz val="10"/>
      <color indexed="17"/>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10"/>
      <name val="Arial"/>
      <family val="2"/>
    </font>
    <font>
      <u/>
      <sz val="10"/>
      <color indexed="30"/>
      <name val="Arial"/>
      <family val="2"/>
    </font>
    <font>
      <sz val="8"/>
      <name val="Verdana"/>
      <family val="2"/>
    </font>
    <font>
      <sz val="10"/>
      <name val="Arial"/>
      <family val="2"/>
    </font>
    <font>
      <sz val="10"/>
      <color rgb="FF0000FF"/>
      <name val="Arial"/>
      <family val="2"/>
    </font>
    <font>
      <sz val="10"/>
      <color theme="3"/>
      <name val="Arial"/>
      <family val="2"/>
    </font>
    <font>
      <sz val="8"/>
      <color theme="0" tint="-0.499984740745262"/>
      <name val="Arial"/>
      <family val="2"/>
    </font>
    <font>
      <sz val="10"/>
      <color theme="0" tint="-0.499984740745262"/>
      <name val="Arial"/>
      <family val="2"/>
    </font>
    <font>
      <b/>
      <sz val="10"/>
      <color theme="0" tint="-0.499984740745262"/>
      <name val="Arial"/>
      <family val="2"/>
    </font>
  </fonts>
  <fills count="33">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45"/>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indexed="4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6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top style="thin">
        <color indexed="57"/>
      </top>
      <bottom/>
      <diagonal/>
    </border>
    <border>
      <left/>
      <right style="thin">
        <color indexed="57"/>
      </right>
      <top style="thin">
        <color indexed="57"/>
      </top>
      <bottom/>
      <diagonal/>
    </border>
    <border>
      <left style="thin">
        <color indexed="12"/>
      </left>
      <right/>
      <top/>
      <bottom/>
      <diagonal/>
    </border>
    <border>
      <left/>
      <right style="thin">
        <color indexed="12"/>
      </right>
      <top/>
      <bottom/>
      <diagonal/>
    </border>
    <border>
      <left/>
      <right style="thin">
        <color indexed="57"/>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bottom style="thin">
        <color indexed="57"/>
      </bottom>
      <diagonal/>
    </border>
    <border>
      <left/>
      <right style="thin">
        <color indexed="57"/>
      </right>
      <top/>
      <bottom style="thin">
        <color indexed="57"/>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20"/>
      </left>
      <right/>
      <top style="thin">
        <color indexed="20"/>
      </top>
      <bottom/>
      <diagonal/>
    </border>
    <border>
      <left/>
      <right/>
      <top style="thin">
        <color indexed="20"/>
      </top>
      <bottom/>
      <diagonal/>
    </border>
    <border>
      <left/>
      <right style="thin">
        <color indexed="20"/>
      </right>
      <top style="thin">
        <color indexed="20"/>
      </top>
      <bottom/>
      <diagonal/>
    </border>
    <border>
      <left style="thin">
        <color indexed="20"/>
      </left>
      <right/>
      <top/>
      <bottom/>
      <diagonal/>
    </border>
    <border>
      <left/>
      <right style="thin">
        <color indexed="20"/>
      </right>
      <top/>
      <bottom/>
      <diagonal/>
    </border>
    <border>
      <left style="thin">
        <color indexed="20"/>
      </left>
      <right/>
      <top/>
      <bottom style="thin">
        <color indexed="20"/>
      </bottom>
      <diagonal/>
    </border>
    <border>
      <left/>
      <right/>
      <top/>
      <bottom style="thin">
        <color indexed="20"/>
      </bottom>
      <diagonal/>
    </border>
    <border>
      <left/>
      <right style="thin">
        <color indexed="20"/>
      </right>
      <top/>
      <bottom style="thin">
        <color indexed="20"/>
      </bottom>
      <diagonal/>
    </border>
    <border>
      <left style="thin">
        <color indexed="61"/>
      </left>
      <right/>
      <top style="thin">
        <color indexed="61"/>
      </top>
      <bottom/>
      <diagonal/>
    </border>
    <border>
      <left/>
      <right/>
      <top style="thin">
        <color indexed="61"/>
      </top>
      <bottom/>
      <diagonal/>
    </border>
    <border>
      <left/>
      <right style="thin">
        <color indexed="61"/>
      </right>
      <top style="thin">
        <color indexed="61"/>
      </top>
      <bottom/>
      <diagonal/>
    </border>
    <border>
      <left style="thin">
        <color indexed="61"/>
      </left>
      <right/>
      <top/>
      <bottom/>
      <diagonal/>
    </border>
    <border>
      <left style="thin">
        <color indexed="57"/>
      </left>
      <right/>
      <top style="thin">
        <color indexed="57"/>
      </top>
      <bottom/>
      <diagonal/>
    </border>
    <border>
      <left/>
      <right style="thin">
        <color indexed="61"/>
      </right>
      <top/>
      <bottom/>
      <diagonal/>
    </border>
    <border>
      <left style="thin">
        <color indexed="57"/>
      </left>
      <right/>
      <top/>
      <bottom/>
      <diagonal/>
    </border>
    <border>
      <left style="thin">
        <color indexed="57"/>
      </left>
      <right/>
      <top/>
      <bottom style="thin">
        <color indexed="57"/>
      </bottom>
      <diagonal/>
    </border>
    <border>
      <left style="thin">
        <color indexed="61"/>
      </left>
      <right/>
      <top/>
      <bottom style="thin">
        <color indexed="61"/>
      </bottom>
      <diagonal/>
    </border>
    <border>
      <left/>
      <right/>
      <top/>
      <bottom style="thin">
        <color indexed="61"/>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6">
    <xf numFmtId="0" fontId="0" fillId="0" borderId="0"/>
    <xf numFmtId="0" fontId="35"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14"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6" fillId="21"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8" borderId="0" applyNumberFormat="0" applyBorder="0" applyAlignment="0" applyProtection="0"/>
    <xf numFmtId="0" fontId="37" fillId="12" borderId="0" applyNumberFormat="0" applyBorder="0" applyAlignment="0" applyProtection="0"/>
    <xf numFmtId="0" fontId="38" fillId="29" borderId="54" applyNumberFormat="0" applyAlignment="0" applyProtection="0"/>
    <xf numFmtId="0" fontId="39" fillId="30" borderId="55" applyNumberFormat="0" applyAlignment="0" applyProtection="0"/>
    <xf numFmtId="44" fontId="1" fillId="0" borderId="0" applyFont="0" applyFill="0" applyBorder="0" applyAlignment="0" applyProtection="0"/>
    <xf numFmtId="0" fontId="40" fillId="0" borderId="0" applyNumberFormat="0" applyFill="0" applyBorder="0" applyAlignment="0" applyProtection="0"/>
    <xf numFmtId="0" fontId="41" fillId="13" borderId="0" applyNumberFormat="0" applyBorder="0" applyAlignment="0" applyProtection="0"/>
    <xf numFmtId="0" fontId="42" fillId="0" borderId="56" applyNumberFormat="0" applyFill="0" applyAlignment="0" applyProtection="0"/>
    <xf numFmtId="0" fontId="43" fillId="0" borderId="57" applyNumberFormat="0" applyFill="0" applyAlignment="0" applyProtection="0"/>
    <xf numFmtId="0" fontId="44" fillId="0" borderId="58" applyNumberFormat="0" applyFill="0" applyAlignment="0" applyProtection="0"/>
    <xf numFmtId="0" fontId="44" fillId="0" borderId="0" applyNumberFormat="0" applyFill="0" applyBorder="0" applyAlignment="0" applyProtection="0"/>
    <xf numFmtId="0" fontId="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45" fillId="16" borderId="54" applyNumberFormat="0" applyAlignment="0" applyProtection="0"/>
    <xf numFmtId="0" fontId="46" fillId="0" borderId="59" applyNumberFormat="0" applyFill="0" applyAlignment="0" applyProtection="0"/>
    <xf numFmtId="0" fontId="47" fillId="31" borderId="0" applyNumberFormat="0" applyBorder="0" applyAlignment="0" applyProtection="0"/>
    <xf numFmtId="0" fontId="35" fillId="0" borderId="0"/>
    <xf numFmtId="0" fontId="9" fillId="32" borderId="60" applyNumberFormat="0" applyFont="0" applyAlignment="0" applyProtection="0"/>
    <xf numFmtId="0" fontId="48" fillId="29" borderId="61" applyNumberFormat="0" applyAlignment="0" applyProtection="0"/>
    <xf numFmtId="0" fontId="49" fillId="0" borderId="0" applyNumberFormat="0" applyFill="0" applyBorder="0" applyAlignment="0" applyProtection="0"/>
    <xf numFmtId="0" fontId="50" fillId="0" borderId="62" applyNumberFormat="0" applyFill="0" applyAlignment="0" applyProtection="0"/>
    <xf numFmtId="0" fontId="51" fillId="0" borderId="0" applyNumberFormat="0" applyFill="0" applyBorder="0" applyAlignment="0" applyProtection="0"/>
  </cellStyleXfs>
  <cellXfs count="245">
    <xf numFmtId="0" fontId="0" fillId="0" borderId="0" xfId="0"/>
    <xf numFmtId="0" fontId="2" fillId="0" borderId="0" xfId="35" applyAlignment="1" applyProtection="1"/>
    <xf numFmtId="0" fontId="3" fillId="0" borderId="0" xfId="0" applyFont="1"/>
    <xf numFmtId="0" fontId="2" fillId="0" borderId="0" xfId="35" applyFont="1" applyAlignment="1" applyProtection="1"/>
    <xf numFmtId="0" fontId="4" fillId="0" borderId="0" xfId="0" applyFont="1"/>
    <xf numFmtId="0" fontId="0" fillId="0" borderId="0" xfId="0" applyFill="1"/>
    <xf numFmtId="0" fontId="0" fillId="0" borderId="0" xfId="0" applyAlignment="1"/>
    <xf numFmtId="0" fontId="5" fillId="0" borderId="0" xfId="0" applyFont="1"/>
    <xf numFmtId="0" fontId="6" fillId="0" borderId="0" xfId="0" applyFont="1"/>
    <xf numFmtId="0" fontId="2" fillId="0" borderId="0" xfId="35" applyFill="1" applyAlignment="1" applyProtection="1"/>
    <xf numFmtId="0" fontId="7" fillId="0" borderId="0" xfId="0" applyFont="1"/>
    <xf numFmtId="0" fontId="1" fillId="0" borderId="0" xfId="0" applyFont="1" applyAlignment="1"/>
    <xf numFmtId="0" fontId="8" fillId="0" borderId="0" xfId="0" applyFont="1"/>
    <xf numFmtId="0" fontId="1" fillId="0" borderId="0" xfId="0" applyFont="1"/>
    <xf numFmtId="0" fontId="1" fillId="0" borderId="0" xfId="0" applyNumberFormat="1" applyFont="1" applyFill="1"/>
    <xf numFmtId="0" fontId="1" fillId="0" borderId="0" xfId="35" applyNumberFormat="1" applyFont="1" applyFill="1" applyAlignment="1" applyProtection="1">
      <alignment wrapText="1"/>
    </xf>
    <xf numFmtId="0" fontId="9" fillId="0" borderId="0" xfId="35" applyNumberFormat="1" applyFont="1" applyFill="1" applyAlignment="1" applyProtection="1">
      <alignment wrapText="1"/>
    </xf>
    <xf numFmtId="0" fontId="2" fillId="0" borderId="0" xfId="35" applyFont="1" applyFill="1" applyAlignment="1" applyProtection="1"/>
    <xf numFmtId="0" fontId="1" fillId="0" borderId="0" xfId="35" applyFont="1" applyFill="1" applyAlignment="1" applyProtection="1"/>
    <xf numFmtId="0" fontId="0" fillId="0" borderId="0" xfId="0" applyNumberFormat="1"/>
    <xf numFmtId="0" fontId="11" fillId="0" borderId="0" xfId="0" applyFont="1"/>
    <xf numFmtId="0" fontId="2" fillId="0" borderId="0" xfId="35" applyFill="1" applyAlignment="1" applyProtection="1">
      <alignment vertical="top"/>
    </xf>
    <xf numFmtId="0" fontId="1" fillId="0" borderId="0" xfId="35" applyFont="1" applyAlignment="1" applyProtection="1"/>
    <xf numFmtId="164" fontId="0" fillId="0" borderId="0" xfId="0" applyNumberFormat="1"/>
    <xf numFmtId="0" fontId="12" fillId="0" borderId="0" xfId="0" applyFont="1"/>
    <xf numFmtId="0" fontId="0" fillId="0" borderId="0" xfId="0" applyAlignment="1">
      <alignment horizontal="right"/>
    </xf>
    <xf numFmtId="0" fontId="13" fillId="0" borderId="0" xfId="0" applyFont="1"/>
    <xf numFmtId="0" fontId="4" fillId="0" borderId="14" xfId="0" applyFont="1" applyBorder="1"/>
    <xf numFmtId="0" fontId="0" fillId="0" borderId="15" xfId="0" applyBorder="1"/>
    <xf numFmtId="0" fontId="0" fillId="0" borderId="16" xfId="0" applyBorder="1"/>
    <xf numFmtId="0" fontId="0" fillId="0" borderId="19" xfId="0" applyBorder="1"/>
    <xf numFmtId="0" fontId="0" fillId="0" borderId="0" xfId="0" applyBorder="1"/>
    <xf numFmtId="2" fontId="0" fillId="0" borderId="0" xfId="0" applyNumberFormat="1" applyBorder="1"/>
    <xf numFmtId="165" fontId="0" fillId="0" borderId="0" xfId="0" applyNumberFormat="1" applyBorder="1"/>
    <xf numFmtId="0" fontId="0" fillId="0" borderId="20" xfId="0" applyBorder="1"/>
    <xf numFmtId="0" fontId="0" fillId="0" borderId="22" xfId="0" applyBorder="1"/>
    <xf numFmtId="0" fontId="0" fillId="0" borderId="23" xfId="0" applyBorder="1"/>
    <xf numFmtId="164" fontId="0" fillId="0" borderId="23" xfId="0" applyNumberFormat="1" applyBorder="1"/>
    <xf numFmtId="0" fontId="0" fillId="0" borderId="24" xfId="0" applyBorder="1"/>
    <xf numFmtId="0" fontId="4" fillId="0" borderId="27" xfId="0" applyFont="1" applyBorder="1"/>
    <xf numFmtId="0" fontId="0" fillId="0" borderId="28" xfId="0" applyBorder="1"/>
    <xf numFmtId="165" fontId="0" fillId="0" borderId="28" xfId="0" applyNumberForma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11" fontId="0" fillId="0" borderId="0" xfId="0" applyNumberFormat="1"/>
    <xf numFmtId="165" fontId="0" fillId="0" borderId="0" xfId="0" applyNumberFormat="1"/>
    <xf numFmtId="0" fontId="4" fillId="0" borderId="35" xfId="0" applyFont="1" applyBorder="1"/>
    <xf numFmtId="0" fontId="0" fillId="0" borderId="36" xfId="0" applyBorder="1"/>
    <xf numFmtId="165" fontId="0" fillId="0" borderId="36" xfId="0" applyNumberFormat="1" applyBorder="1"/>
    <xf numFmtId="0" fontId="0" fillId="0" borderId="38" xfId="0" applyBorder="1"/>
    <xf numFmtId="0" fontId="0" fillId="0" borderId="40" xfId="0" applyBorder="1"/>
    <xf numFmtId="0" fontId="0" fillId="0" borderId="41" xfId="0" applyBorder="1"/>
    <xf numFmtId="0" fontId="0" fillId="0" borderId="42" xfId="0" applyBorder="1"/>
    <xf numFmtId="0" fontId="15" fillId="8" borderId="11" xfId="0" applyFont="1" applyFill="1" applyBorder="1" applyAlignment="1">
      <alignment horizontal="left" vertical="top" wrapText="1"/>
    </xf>
    <xf numFmtId="0" fontId="15" fillId="7" borderId="11" xfId="0" applyFont="1" applyFill="1" applyBorder="1" applyAlignment="1">
      <alignment horizontal="left" vertical="top" wrapText="1"/>
    </xf>
    <xf numFmtId="2" fontId="0" fillId="0" borderId="0" xfId="0" applyNumberFormat="1"/>
    <xf numFmtId="0" fontId="15" fillId="10" borderId="11" xfId="0" applyFont="1" applyFill="1" applyBorder="1" applyAlignment="1">
      <alignment horizontal="left" vertical="top" wrapText="1"/>
    </xf>
    <xf numFmtId="0" fontId="15" fillId="10" borderId="11" xfId="0" applyFont="1" applyFill="1" applyBorder="1" applyAlignment="1">
      <alignment vertical="top" wrapText="1"/>
    </xf>
    <xf numFmtId="0" fontId="15" fillId="10" borderId="11" xfId="0" quotePrefix="1" applyFont="1" applyFill="1" applyBorder="1" applyAlignment="1">
      <alignment vertical="top" wrapText="1"/>
    </xf>
    <xf numFmtId="2" fontId="0" fillId="0" borderId="0" xfId="0" applyNumberFormat="1" applyFill="1"/>
    <xf numFmtId="165" fontId="3" fillId="0" borderId="0" xfId="0" applyNumberFormat="1" applyFont="1"/>
    <xf numFmtId="166" fontId="0" fillId="0" borderId="0" xfId="0" applyNumberFormat="1"/>
    <xf numFmtId="0" fontId="0" fillId="0" borderId="0" xfId="0" applyNumberFormat="1" applyFont="1"/>
    <xf numFmtId="0" fontId="0" fillId="0" borderId="27" xfId="0" applyBorder="1"/>
    <xf numFmtId="0" fontId="4" fillId="0" borderId="28" xfId="0" applyFont="1" applyBorder="1"/>
    <xf numFmtId="0" fontId="0" fillId="0" borderId="14" xfId="0" applyBorder="1"/>
    <xf numFmtId="164" fontId="0" fillId="0" borderId="15" xfId="0" applyNumberFormat="1" applyBorder="1"/>
    <xf numFmtId="0" fontId="4" fillId="0" borderId="15" xfId="0" applyFont="1" applyBorder="1"/>
    <xf numFmtId="9" fontId="0" fillId="0" borderId="30" xfId="0" applyNumberFormat="1" applyBorder="1"/>
    <xf numFmtId="0" fontId="0" fillId="0" borderId="43" xfId="0" applyBorder="1"/>
    <xf numFmtId="0" fontId="0" fillId="0" borderId="44" xfId="0" applyBorder="1"/>
    <xf numFmtId="0" fontId="4" fillId="0" borderId="44" xfId="0" applyFont="1" applyBorder="1"/>
    <xf numFmtId="0" fontId="0" fillId="0" borderId="45" xfId="0" applyBorder="1"/>
    <xf numFmtId="0" fontId="0" fillId="0" borderId="46" xfId="0" applyBorder="1"/>
    <xf numFmtId="0" fontId="0" fillId="0" borderId="48" xfId="0" applyBorder="1"/>
    <xf numFmtId="0" fontId="3" fillId="0" borderId="0" xfId="0" quotePrefix="1" applyFont="1"/>
    <xf numFmtId="9" fontId="0" fillId="0" borderId="46" xfId="0" applyNumberFormat="1" applyBorder="1"/>
    <xf numFmtId="0" fontId="0" fillId="0" borderId="51" xfId="0" applyBorder="1"/>
    <xf numFmtId="0" fontId="0" fillId="0" borderId="52" xfId="0" applyBorder="1"/>
    <xf numFmtId="0" fontId="16" fillId="0" borderId="0" xfId="35" applyFont="1" applyAlignment="1" applyProtection="1"/>
    <xf numFmtId="0" fontId="2" fillId="0" borderId="0" xfId="35" applyNumberFormat="1" applyFill="1" applyAlignment="1" applyProtection="1"/>
    <xf numFmtId="0" fontId="9" fillId="0" borderId="0" xfId="35" applyNumberFormat="1" applyFont="1" applyFill="1" applyAlignment="1" applyProtection="1"/>
    <xf numFmtId="0" fontId="1" fillId="0" borderId="0" xfId="35" applyNumberFormat="1" applyFont="1" applyFill="1" applyAlignment="1" applyProtection="1"/>
    <xf numFmtId="0" fontId="7" fillId="0" borderId="0" xfId="35" applyNumberFormat="1" applyFont="1" applyFill="1" applyAlignment="1" applyProtection="1"/>
    <xf numFmtId="1" fontId="9" fillId="0" borderId="0" xfId="35" applyNumberFormat="1" applyFont="1" applyFill="1" applyAlignment="1" applyProtection="1">
      <alignment wrapText="1"/>
    </xf>
    <xf numFmtId="0" fontId="16" fillId="0" borderId="0" xfId="0" applyFont="1"/>
    <xf numFmtId="0" fontId="2" fillId="0" borderId="0" xfId="35" applyFont="1" applyFill="1" applyAlignment="1" applyProtection="1">
      <alignment vertical="top"/>
    </xf>
    <xf numFmtId="0" fontId="14" fillId="0" borderId="0" xfId="0" applyFont="1"/>
    <xf numFmtId="0" fontId="18" fillId="0" borderId="0" xfId="0" applyFont="1"/>
    <xf numFmtId="0" fontId="8" fillId="0" borderId="0" xfId="0" applyFont="1" applyAlignment="1"/>
    <xf numFmtId="0" fontId="18" fillId="0" borderId="0" xfId="35" applyFont="1" applyAlignment="1" applyProtection="1"/>
    <xf numFmtId="0" fontId="7" fillId="0" borderId="0" xfId="0" applyFont="1" applyAlignment="1"/>
    <xf numFmtId="0" fontId="19" fillId="0" borderId="0" xfId="0" applyFont="1"/>
    <xf numFmtId="1" fontId="9" fillId="0" borderId="0" xfId="35" applyNumberFormat="1" applyFont="1" applyFill="1" applyAlignment="1" applyProtection="1"/>
    <xf numFmtId="0" fontId="11" fillId="0" borderId="0" xfId="0" applyFont="1" applyAlignment="1"/>
    <xf numFmtId="0" fontId="17" fillId="0" borderId="0" xfId="0" applyFont="1" applyAlignment="1"/>
    <xf numFmtId="0" fontId="10" fillId="7" borderId="11" xfId="0" applyFont="1" applyFill="1" applyBorder="1" applyAlignment="1">
      <alignment vertical="top" wrapText="1"/>
    </xf>
    <xf numFmtId="0" fontId="4" fillId="0" borderId="47" xfId="0" applyFont="1" applyBorder="1"/>
    <xf numFmtId="0" fontId="0" fillId="0" borderId="17" xfId="0" applyBorder="1"/>
    <xf numFmtId="0" fontId="0" fillId="0" borderId="18" xfId="0" applyBorder="1"/>
    <xf numFmtId="0" fontId="0" fillId="0" borderId="49" xfId="0" applyBorder="1"/>
    <xf numFmtId="0" fontId="0" fillId="0" borderId="21" xfId="0" applyBorder="1"/>
    <xf numFmtId="0" fontId="0" fillId="0" borderId="50" xfId="0" applyBorder="1"/>
    <xf numFmtId="0" fontId="0" fillId="0" borderId="25" xfId="0" applyBorder="1"/>
    <xf numFmtId="0" fontId="0" fillId="0" borderId="26" xfId="0" applyBorder="1"/>
    <xf numFmtId="2" fontId="0" fillId="0" borderId="16" xfId="0" applyNumberFormat="1" applyBorder="1"/>
    <xf numFmtId="0" fontId="4" fillId="0" borderId="17" xfId="0" applyFont="1" applyBorder="1"/>
    <xf numFmtId="0" fontId="3" fillId="0" borderId="25" xfId="0" applyFont="1" applyBorder="1"/>
    <xf numFmtId="164" fontId="0" fillId="0" borderId="20" xfId="0" applyNumberFormat="1" applyBorder="1"/>
    <xf numFmtId="165" fontId="0" fillId="0" borderId="24" xfId="0" applyNumberFormat="1" applyBorder="1"/>
    <xf numFmtId="165" fontId="0" fillId="0" borderId="41" xfId="0" applyNumberFormat="1" applyBorder="1"/>
    <xf numFmtId="165" fontId="0" fillId="0" borderId="26" xfId="0" applyNumberFormat="1" applyBorder="1"/>
    <xf numFmtId="9" fontId="0" fillId="0" borderId="29" xfId="0" applyNumberFormat="1" applyBorder="1"/>
    <xf numFmtId="165" fontId="0" fillId="0" borderId="31" xfId="0" applyNumberFormat="1" applyBorder="1"/>
    <xf numFmtId="0" fontId="14" fillId="0" borderId="34" xfId="0" applyFont="1" applyBorder="1"/>
    <xf numFmtId="0" fontId="14" fillId="0" borderId="0" xfId="0" applyFont="1" applyBorder="1"/>
    <xf numFmtId="9" fontId="0" fillId="0" borderId="37" xfId="0" applyNumberFormat="1" applyBorder="1"/>
    <xf numFmtId="165" fontId="0" fillId="0" borderId="39" xfId="0" applyNumberFormat="1" applyBorder="1"/>
    <xf numFmtId="0" fontId="10" fillId="8" borderId="11" xfId="35" applyFont="1" applyFill="1" applyBorder="1" applyAlignment="1" applyProtection="1">
      <alignment vertical="top" wrapText="1"/>
    </xf>
    <xf numFmtId="165" fontId="3" fillId="0" borderId="33" xfId="0" applyNumberFormat="1" applyFont="1" applyBorder="1"/>
    <xf numFmtId="11" fontId="3" fillId="0" borderId="33" xfId="0" applyNumberFormat="1" applyFont="1" applyBorder="1"/>
    <xf numFmtId="11" fontId="0" fillId="0" borderId="41" xfId="0" applyNumberFormat="1" applyBorder="1"/>
    <xf numFmtId="171" fontId="0" fillId="0" borderId="0" xfId="0" applyNumberFormat="1"/>
    <xf numFmtId="0" fontId="0" fillId="0" borderId="0" xfId="0" quotePrefix="1"/>
    <xf numFmtId="0" fontId="20" fillId="0" borderId="0" xfId="0" applyFont="1"/>
    <xf numFmtId="0" fontId="21" fillId="0" borderId="0" xfId="0" applyFont="1"/>
    <xf numFmtId="9" fontId="4" fillId="0" borderId="0" xfId="0" applyNumberFormat="1" applyFont="1"/>
    <xf numFmtId="169" fontId="0" fillId="0" borderId="0" xfId="0" applyNumberFormat="1"/>
    <xf numFmtId="167" fontId="0" fillId="0" borderId="0" xfId="0" applyNumberFormat="1"/>
    <xf numFmtId="170" fontId="0" fillId="0" borderId="0" xfId="0" applyNumberFormat="1"/>
    <xf numFmtId="0" fontId="0" fillId="0" borderId="0" xfId="0" applyNumberFormat="1" applyAlignment="1"/>
    <xf numFmtId="0" fontId="7" fillId="0" borderId="0" xfId="35" applyFont="1" applyAlignment="1" applyProtection="1"/>
    <xf numFmtId="1" fontId="0" fillId="0" borderId="0" xfId="0" applyNumberFormat="1"/>
    <xf numFmtId="0" fontId="0" fillId="0" borderId="0" xfId="0" applyFill="1" applyBorder="1"/>
    <xf numFmtId="0" fontId="1" fillId="0" borderId="0" xfId="35" applyFont="1" applyFill="1" applyBorder="1" applyAlignment="1" applyProtection="1"/>
    <xf numFmtId="166" fontId="14" fillId="0" borderId="0" xfId="0" applyNumberFormat="1" applyFont="1"/>
    <xf numFmtId="0" fontId="16" fillId="0" borderId="0" xfId="35" applyNumberFormat="1" applyFont="1" applyFill="1" applyAlignment="1" applyProtection="1"/>
    <xf numFmtId="0" fontId="2" fillId="0" borderId="0" xfId="35" applyAlignment="1" applyProtection="1">
      <alignment horizontal="left"/>
    </xf>
    <xf numFmtId="0" fontId="22" fillId="0" borderId="0" xfId="0" applyFont="1"/>
    <xf numFmtId="0" fontId="2" fillId="0" borderId="0" xfId="35" applyFont="1" applyAlignment="1" applyProtection="1">
      <alignment horizontal="left"/>
    </xf>
    <xf numFmtId="169" fontId="0" fillId="0" borderId="41" xfId="0" applyNumberFormat="1" applyBorder="1"/>
    <xf numFmtId="168" fontId="0" fillId="0" borderId="0" xfId="0" applyNumberFormat="1"/>
    <xf numFmtId="0" fontId="3" fillId="0" borderId="0" xfId="0" applyFont="1" applyAlignment="1">
      <alignment horizontal="left"/>
    </xf>
    <xf numFmtId="0" fontId="3" fillId="0" borderId="0" xfId="0" applyFont="1" applyAlignment="1">
      <alignment horizontal="right"/>
    </xf>
    <xf numFmtId="0" fontId="0" fillId="0" borderId="6" xfId="0" applyBorder="1"/>
    <xf numFmtId="1" fontId="1" fillId="0" borderId="0" xfId="0" applyNumberFormat="1" applyFont="1"/>
    <xf numFmtId="2" fontId="1" fillId="0" borderId="0" xfId="0" applyNumberFormat="1" applyFont="1"/>
    <xf numFmtId="0" fontId="23" fillId="0" borderId="0" xfId="0" applyFont="1"/>
    <xf numFmtId="0" fontId="24" fillId="0" borderId="0" xfId="0" applyFont="1"/>
    <xf numFmtId="165" fontId="25" fillId="0" borderId="0" xfId="0" applyNumberFormat="1" applyFont="1"/>
    <xf numFmtId="172" fontId="0" fillId="0" borderId="0" xfId="0" applyNumberFormat="1"/>
    <xf numFmtId="0" fontId="1" fillId="0" borderId="0" xfId="35" applyFont="1" applyBorder="1" applyAlignment="1" applyProtection="1"/>
    <xf numFmtId="0" fontId="15" fillId="9" borderId="11" xfId="0" applyFont="1" applyFill="1" applyBorder="1" applyAlignment="1">
      <alignment horizontal="left" vertical="top" wrapText="1"/>
    </xf>
    <xf numFmtId="0" fontId="15" fillId="8" borderId="12" xfId="0" applyFont="1" applyFill="1" applyBorder="1" applyAlignment="1">
      <alignment horizontal="left" vertical="top" wrapText="1"/>
    </xf>
    <xf numFmtId="1" fontId="0" fillId="0" borderId="4" xfId="0" applyNumberFormat="1" applyBorder="1"/>
    <xf numFmtId="2" fontId="26" fillId="0" borderId="0" xfId="0" applyNumberFormat="1" applyFont="1"/>
    <xf numFmtId="0" fontId="0" fillId="0" borderId="0" xfId="0" applyFill="1" applyBorder="1" applyAlignment="1"/>
    <xf numFmtId="0" fontId="7" fillId="0" borderId="0" xfId="0" applyFont="1" applyFill="1" applyBorder="1" applyAlignment="1"/>
    <xf numFmtId="1" fontId="0" fillId="0" borderId="0" xfId="0" applyNumberFormat="1" applyBorder="1"/>
    <xf numFmtId="0" fontId="1" fillId="0" borderId="0" xfId="0" applyFont="1" applyFill="1" applyBorder="1"/>
    <xf numFmtId="166" fontId="0" fillId="0" borderId="0" xfId="0" applyNumberFormat="1" applyBorder="1"/>
    <xf numFmtId="164" fontId="0" fillId="0" borderId="0" xfId="0" applyNumberFormat="1" applyBorder="1"/>
    <xf numFmtId="173" fontId="0" fillId="0" borderId="0" xfId="28" applyNumberFormat="1" applyFont="1"/>
    <xf numFmtId="0" fontId="27" fillId="0" borderId="0" xfId="35" applyFont="1" applyAlignment="1" applyProtection="1"/>
    <xf numFmtId="0" fontId="28" fillId="0" borderId="0" xfId="0" applyFont="1"/>
    <xf numFmtId="166" fontId="0" fillId="0" borderId="41" xfId="0" applyNumberFormat="1" applyBorder="1"/>
    <xf numFmtId="0" fontId="29" fillId="0" borderId="0" xfId="0" applyFont="1"/>
    <xf numFmtId="0" fontId="30" fillId="0" borderId="0" xfId="0" applyFont="1"/>
    <xf numFmtId="0" fontId="52" fillId="0" borderId="0" xfId="0" applyFont="1"/>
    <xf numFmtId="0" fontId="10" fillId="7" borderId="11" xfId="0" applyFont="1" applyFill="1" applyBorder="1" applyAlignment="1">
      <alignment horizontal="left" vertical="top" wrapText="1"/>
    </xf>
    <xf numFmtId="0" fontId="4" fillId="2" borderId="1" xfId="0" applyFont="1" applyFill="1" applyBorder="1"/>
    <xf numFmtId="0" fontId="0" fillId="2" borderId="2" xfId="0" applyFill="1" applyBorder="1"/>
    <xf numFmtId="0" fontId="0" fillId="2" borderId="3" xfId="0" applyFill="1" applyBorder="1"/>
    <xf numFmtId="0" fontId="0" fillId="2" borderId="0" xfId="0" applyFill="1" applyBorder="1"/>
    <xf numFmtId="0" fontId="0" fillId="2" borderId="5" xfId="0" applyFill="1" applyBorder="1"/>
    <xf numFmtId="0" fontId="0" fillId="2" borderId="4" xfId="0" applyFill="1" applyBorder="1"/>
    <xf numFmtId="0" fontId="4" fillId="2" borderId="4" xfId="0" applyFont="1" applyFill="1" applyBorder="1"/>
    <xf numFmtId="0" fontId="0" fillId="2" borderId="7" xfId="0" applyFill="1" applyBorder="1"/>
    <xf numFmtId="0" fontId="0" fillId="2" borderId="8" xfId="0" applyFill="1" applyBorder="1"/>
    <xf numFmtId="0" fontId="4" fillId="4" borderId="0" xfId="0" applyFont="1" applyFill="1"/>
    <xf numFmtId="0" fontId="4" fillId="5" borderId="0" xfId="0" applyFont="1" applyFill="1"/>
    <xf numFmtId="0" fontId="0" fillId="6" borderId="0" xfId="0" applyFill="1"/>
    <xf numFmtId="0" fontId="33" fillId="0" borderId="0" xfId="0" applyFont="1"/>
    <xf numFmtId="0" fontId="2" fillId="4" borderId="0" xfId="35" applyFill="1" applyAlignment="1" applyProtection="1"/>
    <xf numFmtId="0" fontId="2" fillId="5" borderId="0" xfId="35" applyFill="1" applyAlignment="1" applyProtection="1"/>
    <xf numFmtId="0" fontId="2" fillId="2" borderId="4" xfId="35" applyFill="1" applyBorder="1" applyAlignment="1" applyProtection="1"/>
    <xf numFmtId="0" fontId="53" fillId="0" borderId="0" xfId="0" applyFont="1"/>
    <xf numFmtId="0" fontId="2" fillId="6" borderId="0" xfId="35" applyFill="1" applyAlignment="1" applyProtection="1"/>
    <xf numFmtId="0" fontId="0" fillId="0" borderId="0" xfId="0" applyAlignment="1">
      <alignment vertical="center"/>
    </xf>
    <xf numFmtId="0" fontId="2" fillId="0" borderId="0" xfId="35" applyAlignment="1" applyProtection="1">
      <alignment vertical="center"/>
    </xf>
    <xf numFmtId="0" fontId="4" fillId="4" borderId="9" xfId="0" applyFont="1" applyFill="1" applyBorder="1" applyAlignment="1">
      <alignment vertical="center"/>
    </xf>
    <xf numFmtId="0" fontId="2" fillId="6" borderId="0" xfId="35" applyFill="1" applyAlignment="1" applyProtection="1">
      <alignment vertical="center"/>
    </xf>
    <xf numFmtId="0" fontId="21" fillId="0" borderId="0" xfId="0" applyFont="1" applyAlignment="1">
      <alignment vertical="top"/>
    </xf>
    <xf numFmtId="0" fontId="34" fillId="0" borderId="0" xfId="0" applyFont="1"/>
    <xf numFmtId="0" fontId="3" fillId="0" borderId="0" xfId="0" applyFont="1" applyAlignment="1">
      <alignment vertical="top"/>
    </xf>
    <xf numFmtId="0" fontId="2" fillId="7" borderId="0" xfId="35" applyFill="1" applyBorder="1" applyAlignment="1" applyProtection="1">
      <alignment vertical="center"/>
    </xf>
    <xf numFmtId="0" fontId="4" fillId="7" borderId="9" xfId="0" applyFont="1" applyFill="1" applyBorder="1" applyAlignment="1">
      <alignment vertical="center"/>
    </xf>
    <xf numFmtId="0" fontId="4" fillId="6" borderId="53" xfId="0" applyFont="1" applyFill="1" applyBorder="1" applyAlignment="1">
      <alignment vertical="center"/>
    </xf>
    <xf numFmtId="0" fontId="0" fillId="3" borderId="0" xfId="0" applyFill="1"/>
    <xf numFmtId="0" fontId="0" fillId="3" borderId="0" xfId="0" applyFill="1" applyBorder="1"/>
    <xf numFmtId="0" fontId="0" fillId="3" borderId="5" xfId="0" applyFill="1" applyBorder="1"/>
    <xf numFmtId="0" fontId="3" fillId="0" borderId="0" xfId="35" applyNumberFormat="1" applyFont="1" applyFill="1" applyAlignment="1" applyProtection="1"/>
    <xf numFmtId="166" fontId="3" fillId="0" borderId="0" xfId="0" applyNumberFormat="1" applyFont="1"/>
    <xf numFmtId="0" fontId="3" fillId="0" borderId="0" xfId="0" applyFont="1" applyBorder="1"/>
    <xf numFmtId="166" fontId="3" fillId="0" borderId="0" xfId="0" applyNumberFormat="1" applyFont="1" applyBorder="1"/>
    <xf numFmtId="164" fontId="3" fillId="0" borderId="0" xfId="0" applyNumberFormat="1" applyFont="1" applyBorder="1"/>
    <xf numFmtId="2" fontId="3" fillId="0" borderId="0" xfId="0" applyNumberFormat="1" applyFont="1" applyBorder="1"/>
    <xf numFmtId="0" fontId="3" fillId="0" borderId="0" xfId="35" applyFont="1" applyAlignment="1" applyProtection="1"/>
    <xf numFmtId="0" fontId="2" fillId="4" borderId="0" xfId="35" applyFill="1" applyBorder="1" applyAlignment="1" applyProtection="1">
      <alignment vertical="center"/>
    </xf>
    <xf numFmtId="0" fontId="55" fillId="0" borderId="0" xfId="0" applyFont="1"/>
    <xf numFmtId="0" fontId="56" fillId="0" borderId="0" xfId="35" applyFont="1" applyAlignment="1" applyProtection="1"/>
    <xf numFmtId="0" fontId="2" fillId="0" borderId="0" xfId="35" applyAlignment="1" applyProtection="1"/>
    <xf numFmtId="0" fontId="56" fillId="0" borderId="0" xfId="35" applyNumberFormat="1" applyFont="1" applyFill="1" applyAlignment="1" applyProtection="1"/>
    <xf numFmtId="0" fontId="56" fillId="0" borderId="0" xfId="0" applyFont="1"/>
    <xf numFmtId="0" fontId="2" fillId="0" borderId="0" xfId="35" applyAlignment="1" applyProtection="1"/>
    <xf numFmtId="0" fontId="2" fillId="0" borderId="0" xfId="35" applyAlignment="1" applyProtection="1"/>
    <xf numFmtId="0" fontId="57" fillId="0" borderId="0" xfId="35" applyFont="1" applyAlignment="1" applyProtection="1"/>
    <xf numFmtId="0" fontId="0" fillId="4" borderId="0" xfId="0" applyFill="1" applyAlignment="1">
      <alignment vertical="top" wrapText="1"/>
    </xf>
    <xf numFmtId="0" fontId="0" fillId="5" borderId="0" xfId="0" applyFill="1" applyAlignment="1">
      <alignment vertical="top" wrapText="1"/>
    </xf>
    <xf numFmtId="0" fontId="0" fillId="0" borderId="0" xfId="0" applyAlignment="1">
      <alignment vertical="top" wrapText="1"/>
    </xf>
    <xf numFmtId="0" fontId="2" fillId="7" borderId="10" xfId="35" applyFill="1" applyBorder="1" applyAlignment="1" applyProtection="1">
      <alignment vertical="center"/>
    </xf>
    <xf numFmtId="0" fontId="2" fillId="0" borderId="0" xfId="35" applyAlignment="1" applyProtection="1"/>
    <xf numFmtId="0" fontId="2" fillId="4" borderId="0" xfId="35" applyFill="1" applyBorder="1" applyAlignment="1" applyProtection="1">
      <alignment vertical="center"/>
    </xf>
    <xf numFmtId="0" fontId="2" fillId="0" borderId="13" xfId="35" applyBorder="1" applyAlignment="1" applyProtection="1"/>
    <xf numFmtId="0" fontId="2" fillId="0" borderId="0" xfId="35" applyAlignment="1" applyProtection="1">
      <alignment vertical="center"/>
    </xf>
    <xf numFmtId="0" fontId="2" fillId="3" borderId="0" xfId="35" applyFill="1" applyAlignment="1" applyProtection="1"/>
    <xf numFmtId="0" fontId="58" fillId="7" borderId="11" xfId="0" applyFont="1" applyFill="1" applyBorder="1" applyAlignment="1">
      <alignment horizontal="left" vertical="top" wrapText="1"/>
    </xf>
    <xf numFmtId="0" fontId="59" fillId="0" borderId="0" xfId="0" applyFont="1"/>
    <xf numFmtId="164" fontId="59" fillId="0" borderId="0" xfId="0" applyNumberFormat="1" applyFont="1"/>
    <xf numFmtId="0" fontId="60" fillId="0" borderId="0" xfId="0" applyFont="1"/>
    <xf numFmtId="0" fontId="59" fillId="0" borderId="1" xfId="0" applyFont="1" applyBorder="1"/>
    <xf numFmtId="0" fontId="59" fillId="0" borderId="3" xfId="0" applyFont="1" applyBorder="1"/>
    <xf numFmtId="0" fontId="59" fillId="0" borderId="4" xfId="0" applyFont="1" applyBorder="1"/>
    <xf numFmtId="0" fontId="59" fillId="0" borderId="5" xfId="0" applyFont="1" applyBorder="1"/>
    <xf numFmtId="0" fontId="59" fillId="0" borderId="4" xfId="0" applyFont="1" applyFill="1" applyBorder="1"/>
    <xf numFmtId="0" fontId="59" fillId="0" borderId="6" xfId="0" applyFont="1" applyFill="1" applyBorder="1"/>
    <xf numFmtId="0" fontId="59" fillId="0" borderId="8" xfId="0" applyFont="1" applyBorder="1"/>
    <xf numFmtId="164" fontId="59" fillId="0" borderId="1" xfId="0" applyNumberFormat="1" applyFont="1" applyBorder="1"/>
    <xf numFmtId="164" fontId="59" fillId="0" borderId="3" xfId="0" applyNumberFormat="1" applyFont="1" applyBorder="1"/>
    <xf numFmtId="164" fontId="59" fillId="0" borderId="6" xfId="0" applyNumberFormat="1" applyFont="1" applyBorder="1"/>
    <xf numFmtId="164" fontId="59" fillId="0" borderId="8" xfId="0" applyNumberFormat="1" applyFont="1" applyBorder="1"/>
  </cellXfs>
  <cellStyles count="4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urrency" xfId="28" builtinId="4"/>
    <cellStyle name="Explanatory Text" xfId="29"/>
    <cellStyle name="Good" xfId="30"/>
    <cellStyle name="Heading 1" xfId="31"/>
    <cellStyle name="Heading 2" xfId="32"/>
    <cellStyle name="Heading 3" xfId="33"/>
    <cellStyle name="Heading 4" xfId="34"/>
    <cellStyle name="Hyperlink" xfId="35" builtinId="8"/>
    <cellStyle name="Hyperlink 2" xfId="36"/>
    <cellStyle name="Input" xfId="37"/>
    <cellStyle name="Linked Cell" xfId="38"/>
    <cellStyle name="Neutral" xfId="39"/>
    <cellStyle name="Normal" xfId="0" builtinId="0"/>
    <cellStyle name="Normal 2" xfId="40"/>
    <cellStyle name="Note" xfId="41"/>
    <cellStyle name="Output" xfId="42"/>
    <cellStyle name="Title" xfId="43"/>
    <cellStyle name="Total" xfId="44"/>
    <cellStyle name="Warning Text" xfId="45"/>
  </cellStyles>
  <dxfs count="153">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condense val="0"/>
        <extend val="0"/>
        <color indexed="10"/>
      </font>
    </dxf>
    <dxf>
      <font>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b/>
        <i val="0"/>
        <condense val="0"/>
        <extend val="0"/>
        <color indexed="10"/>
      </font>
      <fill>
        <patternFill patternType="none">
          <bgColor indexed="65"/>
        </patternFill>
      </fill>
    </dxf>
    <dxf>
      <font>
        <b/>
        <i val="0"/>
        <condense val="0"/>
        <extend val="0"/>
        <color indexed="10"/>
      </font>
    </dxf>
    <dxf>
      <font>
        <condense val="0"/>
        <extend val="0"/>
        <color indexed="10"/>
      </font>
    </dxf>
    <dxf>
      <font>
        <condense val="0"/>
        <extend val="0"/>
        <color indexed="60"/>
      </font>
    </dxf>
    <dxf>
      <font>
        <condense val="0"/>
        <extend val="0"/>
        <color indexed="10"/>
      </font>
    </dxf>
    <dxf>
      <font>
        <b val="0"/>
        <i val="0"/>
        <condense val="0"/>
        <extend val="0"/>
        <color indexed="60"/>
      </font>
      <fill>
        <patternFill patternType="none">
          <bgColor indexed="65"/>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30628272251308902"/>
          <c:y val="1.6412656498245901E-2"/>
          <c:w val="0.64397905759162544"/>
          <c:h val="0.90973010304563151"/>
        </c:manualLayout>
      </c:layout>
      <c:barChart>
        <c:barDir val="bar"/>
        <c:grouping val="clustered"/>
        <c:ser>
          <c:idx val="0"/>
          <c:order val="0"/>
          <c:spPr>
            <a:solidFill>
              <a:srgbClr val="99CCFF"/>
            </a:solidFill>
            <a:ln w="12700">
              <a:solidFill>
                <a:srgbClr val="666699"/>
              </a:solidFill>
              <a:prstDash val="solid"/>
            </a:ln>
          </c:spPr>
          <c:dPt>
            <c:idx val="0"/>
            <c:spPr>
              <a:solidFill>
                <a:srgbClr val="DD0806"/>
              </a:solidFill>
              <a:ln w="12700">
                <a:solidFill>
                  <a:srgbClr val="666699"/>
                </a:solidFill>
                <a:prstDash val="solid"/>
              </a:ln>
            </c:spPr>
          </c:dPt>
          <c:dPt>
            <c:idx val="1"/>
            <c:spPr>
              <a:solidFill>
                <a:srgbClr val="DD0806"/>
              </a:solidFill>
              <a:ln w="12700">
                <a:solidFill>
                  <a:srgbClr val="666699"/>
                </a:solidFill>
                <a:prstDash val="solid"/>
              </a:ln>
            </c:spPr>
          </c:dPt>
          <c:dPt>
            <c:idx val="2"/>
            <c:spPr>
              <a:solidFill>
                <a:srgbClr val="DD0806"/>
              </a:solidFill>
              <a:ln w="12700">
                <a:solidFill>
                  <a:srgbClr val="666699"/>
                </a:solidFill>
                <a:prstDash val="solid"/>
              </a:ln>
            </c:spPr>
          </c:dPt>
          <c:dPt>
            <c:idx val="4"/>
            <c:spPr>
              <a:solidFill>
                <a:srgbClr val="DD0806"/>
              </a:solidFill>
              <a:ln w="12700">
                <a:solidFill>
                  <a:srgbClr val="666699"/>
                </a:solidFill>
                <a:prstDash val="solid"/>
              </a:ln>
            </c:spPr>
          </c:dPt>
          <c:dPt>
            <c:idx val="10"/>
            <c:spPr>
              <a:solidFill>
                <a:srgbClr val="DD0806"/>
              </a:solidFill>
              <a:ln w="12700">
                <a:solidFill>
                  <a:srgbClr val="666699"/>
                </a:solidFill>
                <a:prstDash val="solid"/>
              </a:ln>
            </c:spPr>
          </c:dPt>
          <c:dPt>
            <c:idx val="13"/>
            <c:spPr>
              <a:solidFill>
                <a:srgbClr val="DD0806"/>
              </a:solidFill>
              <a:ln w="12700">
                <a:solidFill>
                  <a:srgbClr val="666699"/>
                </a:solidFill>
                <a:prstDash val="solid"/>
              </a:ln>
            </c:spPr>
          </c:dPt>
          <c:dPt>
            <c:idx val="16"/>
            <c:spPr>
              <a:solidFill>
                <a:srgbClr val="DD0806"/>
              </a:solidFill>
              <a:ln w="12700">
                <a:solidFill>
                  <a:srgbClr val="666699"/>
                </a:solidFill>
                <a:prstDash val="solid"/>
              </a:ln>
            </c:spPr>
          </c:dPt>
          <c:dPt>
            <c:idx val="17"/>
            <c:spPr>
              <a:solidFill>
                <a:srgbClr val="DD0806"/>
              </a:solidFill>
              <a:ln w="12700">
                <a:solidFill>
                  <a:srgbClr val="666699"/>
                </a:solidFill>
                <a:prstDash val="solid"/>
              </a:ln>
            </c:spPr>
          </c:dPt>
          <c:dPt>
            <c:idx val="21"/>
            <c:spPr>
              <a:solidFill>
                <a:srgbClr val="DD0806"/>
              </a:solidFill>
              <a:ln w="12700">
                <a:solidFill>
                  <a:srgbClr val="666699"/>
                </a:solidFill>
                <a:prstDash val="solid"/>
              </a:ln>
            </c:spPr>
          </c:dPt>
          <c:dPt>
            <c:idx val="22"/>
            <c:spPr>
              <a:solidFill>
                <a:srgbClr val="DD0806"/>
              </a:solidFill>
              <a:ln w="12700">
                <a:solidFill>
                  <a:srgbClr val="666699"/>
                </a:solidFill>
                <a:prstDash val="solid"/>
              </a:ln>
            </c:spPr>
          </c:dPt>
          <c:dPt>
            <c:idx val="23"/>
            <c:spPr>
              <a:solidFill>
                <a:srgbClr val="DD0806"/>
              </a:solidFill>
              <a:ln w="12700">
                <a:solidFill>
                  <a:srgbClr val="666699"/>
                </a:solidFill>
                <a:prstDash val="solid"/>
              </a:ln>
            </c:spPr>
          </c:dPt>
          <c:errBars>
            <c:errBarType val="both"/>
            <c:errValType val="cust"/>
            <c:plus>
              <c:numRef>
                <c:f>Summary!$I$10:$I$69</c:f>
                <c:numCache>
                  <c:formatCode>General</c:formatCode>
                  <c:ptCount val="60"/>
                  <c:pt idx="0">
                    <c:v>0.19580159124227237</c:v>
                  </c:pt>
                  <c:pt idx="1">
                    <c:v>0.27565527686679581</c:v>
                  </c:pt>
                  <c:pt idx="2">
                    <c:v>0.29211322825320846</c:v>
                  </c:pt>
                  <c:pt idx="3">
                    <c:v>0.38115837041871686</c:v>
                  </c:pt>
                  <c:pt idx="4">
                    <c:v>0.27818765499143183</c:v>
                  </c:pt>
                  <c:pt idx="5">
                    <c:v>0.13322984290811124</c:v>
                  </c:pt>
                  <c:pt idx="6">
                    <c:v>9.7021391606949642E-2</c:v>
                  </c:pt>
                  <c:pt idx="7">
                    <c:v>0.15548856405556993</c:v>
                  </c:pt>
                  <c:pt idx="8">
                    <c:v>0.17955310830093463</c:v>
                  </c:pt>
                  <c:pt idx="9">
                    <c:v>0.23129131619552157</c:v>
                  </c:pt>
                  <c:pt idx="10">
                    <c:v>0.1574824922438714</c:v>
                  </c:pt>
                  <c:pt idx="11">
                    <c:v>0.17156000311908171</c:v>
                  </c:pt>
                  <c:pt idx="12">
                    <c:v>0.17168963426622952</c:v>
                  </c:pt>
                  <c:pt idx="13">
                    <c:v>0.18568716887248882</c:v>
                  </c:pt>
                  <c:pt idx="14">
                    <c:v>0.28007763203158531</c:v>
                  </c:pt>
                  <c:pt idx="15">
                    <c:v>0.28625128692283536</c:v>
                  </c:pt>
                  <c:pt idx="16">
                    <c:v>0.29336437818251215</c:v>
                  </c:pt>
                  <c:pt idx="17">
                    <c:v>0.26233347566168408</c:v>
                  </c:pt>
                  <c:pt idx="18">
                    <c:v>0.40025963069127679</c:v>
                  </c:pt>
                  <c:pt idx="19">
                    <c:v>0.41991267358211792</c:v>
                  </c:pt>
                  <c:pt idx="20">
                    <c:v>0.44438706365708558</c:v>
                  </c:pt>
                  <c:pt idx="21">
                    <c:v>0.14826028769563138</c:v>
                  </c:pt>
                  <c:pt idx="22">
                    <c:v>0.15630624429729734</c:v>
                  </c:pt>
                  <c:pt idx="23">
                    <c:v>0.15325269868460395</c:v>
                  </c:pt>
                  <c:pt idx="24">
                    <c:v>0.28488313562081347</c:v>
                  </c:pt>
                  <c:pt idx="25">
                    <c:v>0.38316527663962513</c:v>
                  </c:pt>
                  <c:pt idx="26">
                    <c:v>0.38325711335622054</c:v>
                  </c:pt>
                  <c:pt idx="27">
                    <c:v>0.23472932758459925</c:v>
                  </c:pt>
                  <c:pt idx="28">
                    <c:v>0.21191732530841506</c:v>
                  </c:pt>
                  <c:pt idx="29">
                    <c:v>0.24620318129891247</c:v>
                  </c:pt>
                  <c:pt idx="30">
                    <c:v>0.32791363236535015</c:v>
                  </c:pt>
                  <c:pt idx="31">
                    <c:v>0.60462897556643946</c:v>
                  </c:pt>
                  <c:pt idx="32">
                    <c:v>0.26227929819273088</c:v>
                  </c:pt>
                  <c:pt idx="33">
                    <c:v>0.23892462996318237</c:v>
                  </c:pt>
                  <c:pt idx="34">
                    <c:v>0.24105355025858288</c:v>
                  </c:pt>
                  <c:pt idx="35">
                    <c:v>0.24136439103815885</c:v>
                  </c:pt>
                  <c:pt idx="36">
                    <c:v>0.22086679643398927</c:v>
                  </c:pt>
                  <c:pt idx="37">
                    <c:v>0.23988127023759714</c:v>
                  </c:pt>
                  <c:pt idx="38">
                    <c:v>0.23951173536287812</c:v>
                  </c:pt>
                  <c:pt idx="39">
                    <c:v>0.3152116389224528</c:v>
                  </c:pt>
                  <c:pt idx="40">
                    <c:v>0.25589338690370922</c:v>
                  </c:pt>
                  <c:pt idx="41">
                    <c:v>0.29313623520648852</c:v>
                  </c:pt>
                  <c:pt idx="42">
                    <c:v>0.42746601025961334</c:v>
                  </c:pt>
                  <c:pt idx="43">
                    <c:v>0.26618938788289659</c:v>
                  </c:pt>
                  <c:pt idx="44">
                    <c:v>0.27482102743292597</c:v>
                  </c:pt>
                  <c:pt idx="45">
                    <c:v>0.27590295789915487</c:v>
                  </c:pt>
                  <c:pt idx="46">
                    <c:v>0.42014501581700092</c:v>
                  </c:pt>
                  <c:pt idx="47">
                    <c:v>0.4998246004215815</c:v>
                  </c:pt>
                  <c:pt idx="48">
                    <c:v>0.21484800957247935</c:v>
                  </c:pt>
                  <c:pt idx="49">
                    <c:v>0.42969557537672387</c:v>
                  </c:pt>
                  <c:pt idx="50">
                    <c:v>0.23894849769574567</c:v>
                  </c:pt>
                  <c:pt idx="51">
                    <c:v>0.30997625416932195</c:v>
                  </c:pt>
                  <c:pt idx="52">
                    <c:v>0.35112971644414637</c:v>
                  </c:pt>
                  <c:pt idx="53">
                    <c:v>0.68117126499966096</c:v>
                  </c:pt>
                  <c:pt idx="54">
                    <c:v>0.51474522324963279</c:v>
                  </c:pt>
                  <c:pt idx="55">
                    <c:v>0.25407762889538055</c:v>
                  </c:pt>
                  <c:pt idx="57">
                    <c:v>0.18616661222707337</c:v>
                  </c:pt>
                  <c:pt idx="58">
                    <c:v>0.20744317938922102</c:v>
                  </c:pt>
                  <c:pt idx="59">
                    <c:v>0.2894861954340906</c:v>
                  </c:pt>
                </c:numCache>
              </c:numRef>
            </c:plus>
            <c:minus>
              <c:numRef>
                <c:f>Summary!$I$10:$I$69</c:f>
                <c:numCache>
                  <c:formatCode>General</c:formatCode>
                  <c:ptCount val="60"/>
                  <c:pt idx="0">
                    <c:v>0.19580159124227237</c:v>
                  </c:pt>
                  <c:pt idx="1">
                    <c:v>0.27565527686679581</c:v>
                  </c:pt>
                  <c:pt idx="2">
                    <c:v>0.29211322825320846</c:v>
                  </c:pt>
                  <c:pt idx="3">
                    <c:v>0.38115837041871686</c:v>
                  </c:pt>
                  <c:pt idx="4">
                    <c:v>0.27818765499143183</c:v>
                  </c:pt>
                  <c:pt idx="5">
                    <c:v>0.13322984290811124</c:v>
                  </c:pt>
                  <c:pt idx="6">
                    <c:v>9.7021391606949642E-2</c:v>
                  </c:pt>
                  <c:pt idx="7">
                    <c:v>0.15548856405556993</c:v>
                  </c:pt>
                  <c:pt idx="8">
                    <c:v>0.17955310830093463</c:v>
                  </c:pt>
                  <c:pt idx="9">
                    <c:v>0.23129131619552157</c:v>
                  </c:pt>
                  <c:pt idx="10">
                    <c:v>0.1574824922438714</c:v>
                  </c:pt>
                  <c:pt idx="11">
                    <c:v>0.17156000311908171</c:v>
                  </c:pt>
                  <c:pt idx="12">
                    <c:v>0.17168963426622952</c:v>
                  </c:pt>
                  <c:pt idx="13">
                    <c:v>0.18568716887248882</c:v>
                  </c:pt>
                  <c:pt idx="14">
                    <c:v>0.28007763203158531</c:v>
                  </c:pt>
                  <c:pt idx="15">
                    <c:v>0.28625128692283536</c:v>
                  </c:pt>
                  <c:pt idx="16">
                    <c:v>0.29336437818251215</c:v>
                  </c:pt>
                  <c:pt idx="17">
                    <c:v>0.26233347566168408</c:v>
                  </c:pt>
                  <c:pt idx="18">
                    <c:v>0.40025963069127679</c:v>
                  </c:pt>
                  <c:pt idx="19">
                    <c:v>0.41991267358211792</c:v>
                  </c:pt>
                  <c:pt idx="20">
                    <c:v>0.44438706365708558</c:v>
                  </c:pt>
                  <c:pt idx="21">
                    <c:v>0.14826028769563138</c:v>
                  </c:pt>
                  <c:pt idx="22">
                    <c:v>0.15630624429729734</c:v>
                  </c:pt>
                  <c:pt idx="23">
                    <c:v>0.15325269868460395</c:v>
                  </c:pt>
                  <c:pt idx="24">
                    <c:v>0.28488313562081347</c:v>
                  </c:pt>
                  <c:pt idx="25">
                    <c:v>0.38316527663962513</c:v>
                  </c:pt>
                  <c:pt idx="26">
                    <c:v>0.38325711335622054</c:v>
                  </c:pt>
                  <c:pt idx="27">
                    <c:v>0.23472932758459925</c:v>
                  </c:pt>
                  <c:pt idx="28">
                    <c:v>0.21191732530841506</c:v>
                  </c:pt>
                  <c:pt idx="29">
                    <c:v>0.24620318129891247</c:v>
                  </c:pt>
                  <c:pt idx="30">
                    <c:v>0.32791363236535015</c:v>
                  </c:pt>
                  <c:pt idx="31">
                    <c:v>0.60462897556643946</c:v>
                  </c:pt>
                  <c:pt idx="32">
                    <c:v>0.26227929819273088</c:v>
                  </c:pt>
                  <c:pt idx="33">
                    <c:v>0.23892462996318237</c:v>
                  </c:pt>
                  <c:pt idx="34">
                    <c:v>0.24105355025858288</c:v>
                  </c:pt>
                  <c:pt idx="35">
                    <c:v>0.24136439103815885</c:v>
                  </c:pt>
                  <c:pt idx="36">
                    <c:v>0.22086679643398927</c:v>
                  </c:pt>
                  <c:pt idx="37">
                    <c:v>0.23988127023759714</c:v>
                  </c:pt>
                  <c:pt idx="38">
                    <c:v>0.23951173536287812</c:v>
                  </c:pt>
                  <c:pt idx="39">
                    <c:v>0.3152116389224528</c:v>
                  </c:pt>
                  <c:pt idx="40">
                    <c:v>0.25589338690370922</c:v>
                  </c:pt>
                  <c:pt idx="41">
                    <c:v>0.29313623520648852</c:v>
                  </c:pt>
                  <c:pt idx="42">
                    <c:v>0.42746601025961334</c:v>
                  </c:pt>
                  <c:pt idx="43">
                    <c:v>0.26618938788289659</c:v>
                  </c:pt>
                  <c:pt idx="44">
                    <c:v>0.27482102743292597</c:v>
                  </c:pt>
                  <c:pt idx="45">
                    <c:v>0.27590295789915487</c:v>
                  </c:pt>
                  <c:pt idx="46">
                    <c:v>0.42014501581700092</c:v>
                  </c:pt>
                  <c:pt idx="47">
                    <c:v>0.4998246004215815</c:v>
                  </c:pt>
                  <c:pt idx="48">
                    <c:v>0.21484800957247935</c:v>
                  </c:pt>
                  <c:pt idx="49">
                    <c:v>0.42969557537672387</c:v>
                  </c:pt>
                  <c:pt idx="50">
                    <c:v>0.23894849769574567</c:v>
                  </c:pt>
                  <c:pt idx="51">
                    <c:v>0.30997625416932195</c:v>
                  </c:pt>
                  <c:pt idx="52">
                    <c:v>0.35112971644414637</c:v>
                  </c:pt>
                  <c:pt idx="53">
                    <c:v>0.68117126499966096</c:v>
                  </c:pt>
                  <c:pt idx="54">
                    <c:v>0.51474522324963279</c:v>
                  </c:pt>
                  <c:pt idx="55">
                    <c:v>0.25407762889538055</c:v>
                  </c:pt>
                  <c:pt idx="57">
                    <c:v>0.18616661222707337</c:v>
                  </c:pt>
                  <c:pt idx="58">
                    <c:v>0.20744317938922102</c:v>
                  </c:pt>
                  <c:pt idx="59">
                    <c:v>0.2894861954340906</c:v>
                  </c:pt>
                </c:numCache>
              </c:numRef>
            </c:minus>
            <c:spPr>
              <a:ln w="12700">
                <a:solidFill>
                  <a:srgbClr val="808080"/>
                </a:solidFill>
                <a:prstDash val="solid"/>
              </a:ln>
            </c:spPr>
          </c:errBars>
          <c:cat>
            <c:strRef>
              <c:f>Summary!$L$10:$L$69</c:f>
              <c:strCache>
                <c:ptCount val="60"/>
                <c:pt idx="0">
                  <c:v>Lateral Ventricles (total), n=15</c:v>
                </c:pt>
                <c:pt idx="1">
                  <c:v>Lateral Ventricles (MRI), n=6</c:v>
                </c:pt>
                <c:pt idx="2">
                  <c:v>Lateral Ventricles (CT), n=9</c:v>
                </c:pt>
                <c:pt idx="3">
                  <c:v>Fourth Ventricle, n=3</c:v>
                </c:pt>
                <c:pt idx="4">
                  <c:v>CSF (total), n=8</c:v>
                </c:pt>
                <c:pt idx="5">
                  <c:v>Intracranial Volume, n=21</c:v>
                </c:pt>
                <c:pt idx="6">
                  <c:v>Brain, n=28</c:v>
                </c:pt>
                <c:pt idx="7">
                  <c:v>Cerebrum, n=7</c:v>
                </c:pt>
                <c:pt idx="8">
                  <c:v>Gray Matter (total), n=8</c:v>
                </c:pt>
                <c:pt idx="9">
                  <c:v>White matter (total), n=6</c:v>
                </c:pt>
                <c:pt idx="10">
                  <c:v>Caudate (total), n=13</c:v>
                </c:pt>
                <c:pt idx="11">
                  <c:v>Caudate (left), n=8</c:v>
                </c:pt>
                <c:pt idx="12">
                  <c:v>Caudate (right), n=8</c:v>
                </c:pt>
                <c:pt idx="13">
                  <c:v>Putamen (total), n=8</c:v>
                </c:pt>
                <c:pt idx="14">
                  <c:v>Putamen (left), n=6</c:v>
                </c:pt>
                <c:pt idx="15">
                  <c:v>Putamen (right), n=6</c:v>
                </c:pt>
                <c:pt idx="16">
                  <c:v>Globus Pallidus (total), n=3</c:v>
                </c:pt>
                <c:pt idx="17">
                  <c:v>Thalamus (total), n=7</c:v>
                </c:pt>
                <c:pt idx="18">
                  <c:v>Temporal Lobe (total), n=6</c:v>
                </c:pt>
                <c:pt idx="19">
                  <c:v>Temporal Lobe (left), n=5</c:v>
                </c:pt>
                <c:pt idx="20">
                  <c:v>Temporal Lobe (right), n=5</c:v>
                </c:pt>
                <c:pt idx="21">
                  <c:v>Hippocampus (total), n=37</c:v>
                </c:pt>
                <c:pt idx="22">
                  <c:v>Hippocampus (left), n=35</c:v>
                </c:pt>
                <c:pt idx="23">
                  <c:v>Hippocampus (right), n=34</c:v>
                </c:pt>
                <c:pt idx="24">
                  <c:v>Amygdala-Hippocampal complex (total), n=4</c:v>
                </c:pt>
                <c:pt idx="25">
                  <c:v>Amygdala-Hippocampal complex (left), n=3</c:v>
                </c:pt>
                <c:pt idx="26">
                  <c:v>Amygdala-Hippocampal complex (right), n=3</c:v>
                </c:pt>
                <c:pt idx="27">
                  <c:v>Amygdala (total), n=21</c:v>
                </c:pt>
                <c:pt idx="28">
                  <c:v>Amygdala (left), n=19</c:v>
                </c:pt>
                <c:pt idx="29">
                  <c:v>Amygdala (right), n=19</c:v>
                </c:pt>
                <c:pt idx="30">
                  <c:v>Anterior Cingulate (total), n=6</c:v>
                </c:pt>
                <c:pt idx="31">
                  <c:v>Anterior Cingulate (left), n=4</c:v>
                </c:pt>
                <c:pt idx="32">
                  <c:v>Anterior Cingulate (right), n=4</c:v>
                </c:pt>
                <c:pt idx="33">
                  <c:v>Frontal (total, GM+WM), n=7</c:v>
                </c:pt>
                <c:pt idx="34">
                  <c:v>Frontal (left, GM+WM), n=5</c:v>
                </c:pt>
                <c:pt idx="35">
                  <c:v>Frontal (right, GM+WM), n=5</c:v>
                </c:pt>
                <c:pt idx="36">
                  <c:v>Frontal (total, GM), n=6</c:v>
                </c:pt>
                <c:pt idx="37">
                  <c:v>Frontal (left, GM), n=5</c:v>
                </c:pt>
                <c:pt idx="38">
                  <c:v>Frontal (right, GM), n=5</c:v>
                </c:pt>
                <c:pt idx="39">
                  <c:v>Frontal (total, WM), n=5</c:v>
                </c:pt>
                <c:pt idx="40">
                  <c:v>Frontal (left, WM), n=4</c:v>
                </c:pt>
                <c:pt idx="41">
                  <c:v>Frontal (right, WM), n=4</c:v>
                </c:pt>
                <c:pt idx="42">
                  <c:v>Orbitofrontal (total GM+WM), n=3</c:v>
                </c:pt>
                <c:pt idx="43">
                  <c:v>Orbitofrontal (total GM), n=6</c:v>
                </c:pt>
                <c:pt idx="44">
                  <c:v>Orbitofrontal (left, GM), n=5</c:v>
                </c:pt>
                <c:pt idx="45">
                  <c:v>Orbitofrontal (right, GM), n=5</c:v>
                </c:pt>
                <c:pt idx="46">
                  <c:v>Medial orbitofrontal (total, GM), n=3</c:v>
                </c:pt>
                <c:pt idx="47">
                  <c:v>Lateral orbitofrontal (total, GM), n=3</c:v>
                </c:pt>
                <c:pt idx="48">
                  <c:v>Subgenual PFC (total), n=7</c:v>
                </c:pt>
                <c:pt idx="49">
                  <c:v>Subgenual PFC (left), n=6</c:v>
                </c:pt>
                <c:pt idx="50">
                  <c:v>Subgenual PFC (right), n=5</c:v>
                </c:pt>
                <c:pt idx="51">
                  <c:v>Gyrus Rectus (total, GM), n=3</c:v>
                </c:pt>
                <c:pt idx="52">
                  <c:v>Corpus Callosum (area), n=6</c:v>
                </c:pt>
                <c:pt idx="53">
                  <c:v>Anterior Corpus Callosum (area), n=4</c:v>
                </c:pt>
                <c:pt idx="54">
                  <c:v>Corpus Callosum (length), n=4</c:v>
                </c:pt>
                <c:pt idx="55">
                  <c:v>Pituitary, n=5</c:v>
                </c:pt>
                <c:pt idx="57">
                  <c:v>DWMH (rating), n=9</c:v>
                </c:pt>
                <c:pt idx="58">
                  <c:v>PVH (rating), n=9</c:v>
                </c:pt>
                <c:pt idx="59">
                  <c:v>ScGMH (rating), n=6</c:v>
                </c:pt>
              </c:strCache>
            </c:strRef>
          </c:cat>
          <c:val>
            <c:numRef>
              <c:f>Summary!$F$10:$F$39</c:f>
              <c:numCache>
                <c:formatCode>0.00</c:formatCode>
                <c:ptCount val="30"/>
                <c:pt idx="0">
                  <c:v>0.43635842628460597</c:v>
                </c:pt>
                <c:pt idx="1">
                  <c:v>0.40717511984122656</c:v>
                </c:pt>
                <c:pt idx="2">
                  <c:v>0.47046499659908286</c:v>
                </c:pt>
                <c:pt idx="3">
                  <c:v>3.3772723339605182E-2</c:v>
                </c:pt>
                <c:pt idx="4">
                  <c:v>0.53992471257039887</c:v>
                </c:pt>
                <c:pt idx="5">
                  <c:v>-6.9966716336546983E-2</c:v>
                </c:pt>
                <c:pt idx="6">
                  <c:v>-5.8573305003196678E-2</c:v>
                </c:pt>
                <c:pt idx="7">
                  <c:v>-0.11484379453279246</c:v>
                </c:pt>
                <c:pt idx="8">
                  <c:v>-0.10089517875896792</c:v>
                </c:pt>
                <c:pt idx="9">
                  <c:v>-0.18562401895735811</c:v>
                </c:pt>
                <c:pt idx="10">
                  <c:v>-0.21962274645211641</c:v>
                </c:pt>
                <c:pt idx="11">
                  <c:v>-7.4176348937761941E-2</c:v>
                </c:pt>
                <c:pt idx="12">
                  <c:v>-4.7656255192206627E-2</c:v>
                </c:pt>
                <c:pt idx="13">
                  <c:v>-0.24851119091648399</c:v>
                </c:pt>
                <c:pt idx="14">
                  <c:v>-0.20565904309306324</c:v>
                </c:pt>
                <c:pt idx="15">
                  <c:v>-0.2323499840249757</c:v>
                </c:pt>
                <c:pt idx="16">
                  <c:v>-0.3138798638350726</c:v>
                </c:pt>
                <c:pt idx="17">
                  <c:v>-0.33582496543497509</c:v>
                </c:pt>
                <c:pt idx="18">
                  <c:v>-0.35990529487249584</c:v>
                </c:pt>
                <c:pt idx="19">
                  <c:v>-0.3198207285188393</c:v>
                </c:pt>
                <c:pt idx="20">
                  <c:v>-0.14066573329847765</c:v>
                </c:pt>
                <c:pt idx="21">
                  <c:v>-0.47022469581966542</c:v>
                </c:pt>
                <c:pt idx="22">
                  <c:v>-0.4392100194909947</c:v>
                </c:pt>
                <c:pt idx="23">
                  <c:v>-0.44849787563323235</c:v>
                </c:pt>
                <c:pt idx="24">
                  <c:v>-0.14810938242951482</c:v>
                </c:pt>
                <c:pt idx="25">
                  <c:v>-4.8468431775493072E-2</c:v>
                </c:pt>
                <c:pt idx="26">
                  <c:v>-3.351408104707209E-2</c:v>
                </c:pt>
                <c:pt idx="27">
                  <c:v>-7.3685794860872067E-2</c:v>
                </c:pt>
                <c:pt idx="28">
                  <c:v>8.0700775114389514E-2</c:v>
                </c:pt>
                <c:pt idx="29">
                  <c:v>-8.3288226589092046E-2</c:v>
                </c:pt>
              </c:numCache>
            </c:numRef>
          </c:val>
        </c:ser>
        <c:gapWidth val="0"/>
        <c:axId val="94845184"/>
        <c:axId val="94846976"/>
      </c:barChart>
      <c:catAx>
        <c:axId val="94845184"/>
        <c:scaling>
          <c:orientation val="maxMin"/>
        </c:scaling>
        <c:axPos val="l"/>
        <c:numFmt formatCode="General" sourceLinked="1"/>
        <c:majorTickMark val="none"/>
        <c:tickLblPos val="low"/>
        <c:spPr>
          <a:ln w="3175">
            <a:solidFill>
              <a:srgbClr val="80808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4846976"/>
        <c:crosses val="autoZero"/>
        <c:auto val="1"/>
        <c:lblAlgn val="ctr"/>
        <c:lblOffset val="0"/>
        <c:tickLblSkip val="1"/>
        <c:tickMarkSkip val="1"/>
      </c:catAx>
      <c:valAx>
        <c:axId val="94846976"/>
        <c:scaling>
          <c:orientation val="minMax"/>
          <c:min val="-1"/>
        </c:scaling>
        <c:axPos val="b"/>
        <c:majorGridlines>
          <c:spPr>
            <a:ln w="12700">
              <a:solidFill>
                <a:srgbClr val="666699"/>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Hedges g (Cohens effect size with small sample correction)</a:t>
                </a:r>
              </a:p>
            </c:rich>
          </c:tx>
          <c:layout>
            <c:manualLayout>
              <c:xMode val="edge"/>
              <c:yMode val="edge"/>
              <c:x val="0.3830156243558574"/>
              <c:y val="0.9551657420313665"/>
            </c:manualLayout>
          </c:layout>
          <c:spPr>
            <a:noFill/>
            <a:ln w="25400">
              <a:noFill/>
            </a:ln>
          </c:spPr>
        </c:title>
        <c:numFmt formatCode="0.00" sourceLinked="1"/>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94845184"/>
        <c:crosses val="max"/>
        <c:crossBetween val="between"/>
        <c:majorUnit val="0.25"/>
      </c:valAx>
      <c:spPr>
        <a:noFill/>
        <a:ln w="25400">
          <a:noFill/>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'4v'!$AG$33:$AG$35</c:f>
                <c:numCache>
                  <c:formatCode>General</c:formatCode>
                  <c:ptCount val="3"/>
                  <c:pt idx="0">
                    <c:v>0.49936694234880757</c:v>
                  </c:pt>
                  <c:pt idx="1">
                    <c:v>0.74802182148791396</c:v>
                  </c:pt>
                  <c:pt idx="2">
                    <c:v>0.90294803215748487</c:v>
                  </c:pt>
                </c:numCache>
              </c:numRef>
            </c:plus>
            <c:minus>
              <c:numRef>
                <c:f>'4v'!$AH$33:$AH$35</c:f>
                <c:numCache>
                  <c:formatCode>General</c:formatCode>
                  <c:ptCount val="3"/>
                  <c:pt idx="0">
                    <c:v>0.49936694234880757</c:v>
                  </c:pt>
                  <c:pt idx="1">
                    <c:v>0.74802182148791396</c:v>
                  </c:pt>
                  <c:pt idx="2">
                    <c:v>0.90294803215748487</c:v>
                  </c:pt>
                </c:numCache>
              </c:numRef>
            </c:minus>
            <c:spPr>
              <a:ln w="12700">
                <a:solidFill>
                  <a:srgbClr val="000000"/>
                </a:solidFill>
                <a:prstDash val="solid"/>
              </a:ln>
            </c:spPr>
          </c:errBars>
          <c:xVal>
            <c:numRef>
              <c:f>'4v'!$AF$33:$AF$35</c:f>
              <c:numCache>
                <c:formatCode>0.00</c:formatCode>
                <c:ptCount val="3"/>
                <c:pt idx="0">
                  <c:v>-0.10734375142018382</c:v>
                </c:pt>
                <c:pt idx="1">
                  <c:v>-6.2916251452142968E-2</c:v>
                </c:pt>
                <c:pt idx="2">
                  <c:v>0.62684217862993585</c:v>
                </c:pt>
              </c:numCache>
            </c:numRef>
          </c:xVal>
          <c:yVal>
            <c:numRef>
              <c:f>'4v'!$G$33:$G$35</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'4v'!$AH$43</c:f>
                <c:numCache>
                  <c:formatCode>General</c:formatCode>
                  <c:ptCount val="1"/>
                  <c:pt idx="0">
                    <c:v>0.37732193356067495</c:v>
                  </c:pt>
                </c:numCache>
              </c:numRef>
            </c:plus>
            <c:minus>
              <c:numRef>
                <c:f>'4v'!$AH$44</c:f>
                <c:numCache>
                  <c:formatCode>General</c:formatCode>
                  <c:ptCount val="1"/>
                  <c:pt idx="0">
                    <c:v>0.37732193356067495</c:v>
                  </c:pt>
                </c:numCache>
              </c:numRef>
            </c:minus>
            <c:spPr>
              <a:ln w="12700">
                <a:solidFill>
                  <a:srgbClr val="000000"/>
                </a:solidFill>
                <a:prstDash val="solid"/>
              </a:ln>
            </c:spPr>
          </c:errBars>
          <c:xVal>
            <c:numRef>
              <c:f>'4v'!$AH$42</c:f>
              <c:numCache>
                <c:formatCode>General</c:formatCode>
                <c:ptCount val="1"/>
                <c:pt idx="0">
                  <c:v>3.2165553760122895E-2</c:v>
                </c:pt>
              </c:numCache>
            </c:numRef>
          </c:xVal>
          <c:yVal>
            <c:numRef>
              <c:f>'4v'!$I$43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'4v'!$AH$47</c:f>
                <c:numCache>
                  <c:formatCode>General</c:formatCode>
                  <c:ptCount val="1"/>
                  <c:pt idx="0">
                    <c:v>0.38115837041871686</c:v>
                  </c:pt>
                </c:numCache>
              </c:numRef>
            </c:plus>
            <c:minus>
              <c:numRef>
                <c:f>'4v'!$AH$48</c:f>
                <c:numCache>
                  <c:formatCode>General</c:formatCode>
                  <c:ptCount val="1"/>
                  <c:pt idx="0">
                    <c:v>0.38115837041871686</c:v>
                  </c:pt>
                </c:numCache>
              </c:numRef>
            </c:minus>
            <c:spPr>
              <a:ln w="12700">
                <a:solidFill>
                  <a:srgbClr val="000000"/>
                </a:solidFill>
                <a:prstDash val="solid"/>
              </a:ln>
            </c:spPr>
          </c:errBars>
          <c:xVal>
            <c:numRef>
              <c:f>'4v'!$AH$46</c:f>
              <c:numCache>
                <c:formatCode>General</c:formatCode>
                <c:ptCount val="1"/>
                <c:pt idx="0">
                  <c:v>3.3772723339605182E-2</c:v>
                </c:pt>
              </c:numCache>
            </c:numRef>
          </c:xVal>
          <c:yVal>
            <c:numRef>
              <c:f>'4v'!$I$54</c:f>
              <c:numCache>
                <c:formatCode>General</c:formatCode>
                <c:ptCount val="1"/>
                <c:pt idx="0">
                  <c:v>-3</c:v>
                </c:pt>
              </c:numCache>
            </c:numRef>
          </c:yVal>
        </c:ser>
        <c:axId val="104477056"/>
        <c:axId val="104478592"/>
      </c:scatterChart>
      <c:valAx>
        <c:axId val="104477056"/>
        <c:scaling>
          <c:orientation val="minMax"/>
          <c:max val="2"/>
          <c:min val="-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4478592"/>
        <c:crosses val="autoZero"/>
        <c:crossBetween val="midCat"/>
      </c:valAx>
      <c:valAx>
        <c:axId val="104478592"/>
        <c:scaling>
          <c:orientation val="minMax"/>
        </c:scaling>
        <c:axPos val="l"/>
        <c:numFmt formatCode="General" sourceLinked="1"/>
        <c:majorTickMark val="none"/>
        <c:tickLblPos val="none"/>
        <c:spPr>
          <a:ln w="3175">
            <a:solidFill>
              <a:srgbClr val="000000"/>
            </a:solidFill>
            <a:prstDash val="solid"/>
          </a:ln>
        </c:spPr>
        <c:crossAx val="10447705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16651223795566"/>
                  <c:y val="-3.434783856846349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Frontal_TLR!$AK$46:$AK$54</c:f>
              <c:numCache>
                <c:formatCode>General</c:formatCode>
                <c:ptCount val="9"/>
                <c:pt idx="0">
                  <c:v>4.9622390198990445</c:v>
                </c:pt>
                <c:pt idx="1">
                  <c:v>4.1263000918906609</c:v>
                </c:pt>
                <c:pt idx="2">
                  <c:v>3.2299520138459616</c:v>
                </c:pt>
                <c:pt idx="3">
                  <c:v>3.2940934746621773</c:v>
                </c:pt>
                <c:pt idx="4">
                  <c:v>2.6755803405485996</c:v>
                </c:pt>
                <c:pt idx="5">
                  <c:v>3.4825340961608839</c:v>
                </c:pt>
                <c:pt idx="6">
                  <c:v>2.779150531543273</c:v>
                </c:pt>
                <c:pt idx="7">
                  <c:v>2.5935958622954494</c:v>
                </c:pt>
                <c:pt idx="8">
                  <c:v>3.3121512740563661</c:v>
                </c:pt>
              </c:numCache>
            </c:numRef>
          </c:xVal>
          <c:yVal>
            <c:numRef>
              <c:f>Frontal_TLR!$AL$46:$AL$54</c:f>
              <c:numCache>
                <c:formatCode>General</c:formatCode>
                <c:ptCount val="9"/>
                <c:pt idx="0">
                  <c:v>-1.4569723467117899</c:v>
                </c:pt>
                <c:pt idx="1">
                  <c:v>-3.8983307483202769</c:v>
                </c:pt>
                <c:pt idx="2">
                  <c:v>0.32681570934420318</c:v>
                </c:pt>
                <c:pt idx="3">
                  <c:v>-0.98048634491289743</c:v>
                </c:pt>
                <c:pt idx="4">
                  <c:v>0</c:v>
                </c:pt>
                <c:pt idx="5">
                  <c:v>-0.61939738969271596</c:v>
                </c:pt>
                <c:pt idx="6">
                  <c:v>-1.3922647363215566</c:v>
                </c:pt>
                <c:pt idx="7">
                  <c:v>-1.1854016372607181</c:v>
                </c:pt>
                <c:pt idx="8">
                  <c:v>0.46474562875104264</c:v>
                </c:pt>
              </c:numCache>
            </c:numRef>
          </c:yVal>
        </c:ser>
        <c:axId val="135413120"/>
        <c:axId val="135448064"/>
      </c:scatterChart>
      <c:valAx>
        <c:axId val="13541312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5448064"/>
        <c:crosses val="autoZero"/>
        <c:crossBetween val="midCat"/>
      </c:valAx>
      <c:valAx>
        <c:axId val="13544806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541312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L_Frontal_G!$AG$37:$AG$43</c:f>
                <c:numCache>
                  <c:formatCode>General</c:formatCode>
                  <c:ptCount val="7"/>
                  <c:pt idx="0">
                    <c:v>0.70797712190473738</c:v>
                  </c:pt>
                  <c:pt idx="1">
                    <c:v>0.59096416641665162</c:v>
                  </c:pt>
                  <c:pt idx="2">
                    <c:v>0.7828957683961425</c:v>
                  </c:pt>
                  <c:pt idx="3">
                    <c:v>0.79714056537962774</c:v>
                  </c:pt>
                  <c:pt idx="4">
                    <c:v>0.73870774876175793</c:v>
                  </c:pt>
                  <c:pt idx="5">
                    <c:v>0.5628564029437011</c:v>
                  </c:pt>
                  <c:pt idx="6">
                    <c:v>0.48081605203322658</c:v>
                  </c:pt>
                </c:numCache>
              </c:numRef>
            </c:plus>
            <c:minus>
              <c:numRef>
                <c:f>L_Frontal_G!$AH$37:$AH$43</c:f>
                <c:numCache>
                  <c:formatCode>General</c:formatCode>
                  <c:ptCount val="7"/>
                  <c:pt idx="0">
                    <c:v>0.70797712190473738</c:v>
                  </c:pt>
                  <c:pt idx="1">
                    <c:v>0.59096416641665162</c:v>
                  </c:pt>
                  <c:pt idx="2">
                    <c:v>0.7828957683961425</c:v>
                  </c:pt>
                  <c:pt idx="3">
                    <c:v>0.79714056537962774</c:v>
                  </c:pt>
                  <c:pt idx="4">
                    <c:v>0.73870774876175793</c:v>
                  </c:pt>
                  <c:pt idx="5">
                    <c:v>0.5628564029437011</c:v>
                  </c:pt>
                  <c:pt idx="6">
                    <c:v>0.48081605203322658</c:v>
                  </c:pt>
                </c:numCache>
              </c:numRef>
            </c:minus>
            <c:spPr>
              <a:ln w="12700">
                <a:solidFill>
                  <a:srgbClr val="000000"/>
                </a:solidFill>
                <a:prstDash val="solid"/>
              </a:ln>
            </c:spPr>
          </c:errBars>
          <c:xVal>
            <c:numRef>
              <c:f>L_Frontal_G!$AF$37:$AF$43</c:f>
              <c:numCache>
                <c:formatCode>0.00</c:formatCode>
                <c:ptCount val="7"/>
                <c:pt idx="0">
                  <c:v>-0.22722861129249267</c:v>
                </c:pt>
                <c:pt idx="1">
                  <c:v>6.8993110808066565E-3</c:v>
                </c:pt>
                <c:pt idx="2">
                  <c:v>-0.46810625237473752</c:v>
                </c:pt>
                <c:pt idx="3">
                  <c:v>-0.24420829513510378</c:v>
                </c:pt>
                <c:pt idx="4">
                  <c:v>0.36050090584926486</c:v>
                </c:pt>
                <c:pt idx="5">
                  <c:v>-0.18149103389752333</c:v>
                </c:pt>
                <c:pt idx="6">
                  <c:v>-0.41674598455816575</c:v>
                </c:pt>
              </c:numCache>
            </c:numRef>
          </c:xVal>
          <c:yVal>
            <c:numRef>
              <c:f>L_Frontal_G!$G$37:$G$43</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L_Frontal_G!$AH$51</c:f>
                <c:numCache>
                  <c:formatCode>General</c:formatCode>
                  <c:ptCount val="1"/>
                  <c:pt idx="0">
                    <c:v>0.23988127023759714</c:v>
                  </c:pt>
                </c:numCache>
              </c:numRef>
            </c:plus>
            <c:minus>
              <c:numRef>
                <c:f>L_Frontal_G!$AH$52</c:f>
                <c:numCache>
                  <c:formatCode>General</c:formatCode>
                  <c:ptCount val="1"/>
                  <c:pt idx="0">
                    <c:v>0.23988127023759714</c:v>
                  </c:pt>
                </c:numCache>
              </c:numRef>
            </c:minus>
            <c:spPr>
              <a:ln w="12700">
                <a:solidFill>
                  <a:srgbClr val="000000"/>
                </a:solidFill>
                <a:prstDash val="solid"/>
              </a:ln>
            </c:spPr>
          </c:errBars>
          <c:xVal>
            <c:numRef>
              <c:f>L_Frontal_G!$AH$50</c:f>
              <c:numCache>
                <c:formatCode>General</c:formatCode>
                <c:ptCount val="1"/>
                <c:pt idx="0">
                  <c:v>-0.18969212836877866</c:v>
                </c:pt>
              </c:numCache>
            </c:numRef>
          </c:xVal>
          <c:yVal>
            <c:numRef>
              <c:f>L_Frontal_G!$I$51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L_Frontal_G!$AH$55</c:f>
                <c:numCache>
                  <c:formatCode>General</c:formatCode>
                  <c:ptCount val="1"/>
                  <c:pt idx="0">
                    <c:v>0.23988127023759714</c:v>
                  </c:pt>
                </c:numCache>
              </c:numRef>
            </c:plus>
            <c:minus>
              <c:numRef>
                <c:f>L_Frontal_G!$AH$56</c:f>
                <c:numCache>
                  <c:formatCode>General</c:formatCode>
                  <c:ptCount val="1"/>
                  <c:pt idx="0">
                    <c:v>0.23988127023759714</c:v>
                  </c:pt>
                </c:numCache>
              </c:numRef>
            </c:minus>
            <c:spPr>
              <a:ln w="12700">
                <a:solidFill>
                  <a:srgbClr val="000000"/>
                </a:solidFill>
                <a:prstDash val="solid"/>
              </a:ln>
            </c:spPr>
          </c:errBars>
          <c:xVal>
            <c:numRef>
              <c:f>L_Frontal_G!$AH$54</c:f>
              <c:numCache>
                <c:formatCode>General</c:formatCode>
                <c:ptCount val="1"/>
                <c:pt idx="0">
                  <c:v>-0.18969212836877866</c:v>
                </c:pt>
              </c:numCache>
            </c:numRef>
          </c:xVal>
          <c:yVal>
            <c:numRef>
              <c:f>L_Frontal_G!$I$62</c:f>
              <c:numCache>
                <c:formatCode>General</c:formatCode>
                <c:ptCount val="1"/>
                <c:pt idx="0">
                  <c:v>-3</c:v>
                </c:pt>
              </c:numCache>
            </c:numRef>
          </c:yVal>
        </c:ser>
        <c:axId val="135877760"/>
        <c:axId val="135879296"/>
      </c:scatterChart>
      <c:valAx>
        <c:axId val="13587776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5879296"/>
        <c:crosses val="autoZero"/>
        <c:crossBetween val="midCat"/>
      </c:valAx>
      <c:valAx>
        <c:axId val="135879296"/>
        <c:scaling>
          <c:orientation val="minMax"/>
        </c:scaling>
        <c:axPos val="l"/>
        <c:numFmt formatCode="General" sourceLinked="1"/>
        <c:majorTickMark val="none"/>
        <c:tickLblPos val="none"/>
        <c:spPr>
          <a:ln w="3175">
            <a:solidFill>
              <a:srgbClr val="000000"/>
            </a:solidFill>
            <a:prstDash val="solid"/>
          </a:ln>
        </c:spPr>
        <c:crossAx val="1358777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83720875138149"/>
                  <c:y val="-3.309485662668879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L_Frontal_G!$AK$37:$AK$43</c:f>
              <c:numCache>
                <c:formatCode>General</c:formatCode>
                <c:ptCount val="7"/>
                <c:pt idx="0">
                  <c:v>2.7684510408003407</c:v>
                </c:pt>
                <c:pt idx="1">
                  <c:v>3.316613952897657</c:v>
                </c:pt>
                <c:pt idx="2">
                  <c:v>2.5035261130805435</c:v>
                </c:pt>
                <c:pt idx="3">
                  <c:v>2.4587884309545527</c:v>
                </c:pt>
                <c:pt idx="4">
                  <c:v>2.6532820364824996</c:v>
                </c:pt>
                <c:pt idx="5">
                  <c:v>3.4822380801734365</c:v>
                </c:pt>
                <c:pt idx="6">
                  <c:v>4.0764030063300698</c:v>
                </c:pt>
              </c:numCache>
            </c:numRef>
          </c:xVal>
          <c:yVal>
            <c:numRef>
              <c:f>L_Frontal_G!$AL$37:$AL$43</c:f>
              <c:numCache>
                <c:formatCode>General</c:formatCode>
                <c:ptCount val="7"/>
                <c:pt idx="0">
                  <c:v>-0.62907128543231738</c:v>
                </c:pt>
                <c:pt idx="1">
                  <c:v>2.2882351395984771E-2</c:v>
                </c:pt>
                <c:pt idx="2">
                  <c:v>-1.1719162265164265</c:v>
                </c:pt>
                <c:pt idx="3">
                  <c:v>-0.6004565308213281</c:v>
                </c:pt>
                <c:pt idx="4">
                  <c:v>0.95651057762552338</c:v>
                </c:pt>
                <c:pt idx="5">
                  <c:v>-0.6319949894480037</c:v>
                </c:pt>
                <c:pt idx="6">
                  <c:v>-1.6988245843288916</c:v>
                </c:pt>
              </c:numCache>
            </c:numRef>
          </c:yVal>
        </c:ser>
        <c:axId val="136063232"/>
        <c:axId val="136073600"/>
      </c:scatterChart>
      <c:valAx>
        <c:axId val="13606323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073600"/>
        <c:crosses val="autoZero"/>
        <c:crossBetween val="midCat"/>
      </c:valAx>
      <c:valAx>
        <c:axId val="13607360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06323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R_Frontal_G!$AG$37:$AG$43</c:f>
                <c:numCache>
                  <c:formatCode>General</c:formatCode>
                  <c:ptCount val="7"/>
                  <c:pt idx="0">
                    <c:v>0.70647526766649849</c:v>
                  </c:pt>
                  <c:pt idx="1">
                    <c:v>0.59132496710927962</c:v>
                  </c:pt>
                  <c:pt idx="2">
                    <c:v>0.78208772255109238</c:v>
                  </c:pt>
                  <c:pt idx="3">
                    <c:v>0.79422630833584917</c:v>
                  </c:pt>
                  <c:pt idx="4">
                    <c:v>0.73870774876175793</c:v>
                  </c:pt>
                  <c:pt idx="5">
                    <c:v>0.5616479816437987</c:v>
                  </c:pt>
                  <c:pt idx="6">
                    <c:v>0.4797013009871538</c:v>
                  </c:pt>
                </c:numCache>
              </c:numRef>
            </c:plus>
            <c:minus>
              <c:numRef>
                <c:f>R_Frontal_G!$AH$37:$AH$43</c:f>
                <c:numCache>
                  <c:formatCode>General</c:formatCode>
                  <c:ptCount val="7"/>
                  <c:pt idx="0">
                    <c:v>0.70647526766649849</c:v>
                  </c:pt>
                  <c:pt idx="1">
                    <c:v>0.59132496710927962</c:v>
                  </c:pt>
                  <c:pt idx="2">
                    <c:v>0.78208772255109238</c:v>
                  </c:pt>
                  <c:pt idx="3">
                    <c:v>0.79422630833584917</c:v>
                  </c:pt>
                  <c:pt idx="4">
                    <c:v>0.73870774876175793</c:v>
                  </c:pt>
                  <c:pt idx="5">
                    <c:v>0.5616479816437987</c:v>
                  </c:pt>
                  <c:pt idx="6">
                    <c:v>0.4797013009871538</c:v>
                  </c:pt>
                </c:numCache>
              </c:numRef>
            </c:minus>
            <c:spPr>
              <a:ln w="12700">
                <a:solidFill>
                  <a:srgbClr val="000000"/>
                </a:solidFill>
                <a:prstDash val="solid"/>
              </a:ln>
            </c:spPr>
          </c:errBars>
          <c:xVal>
            <c:numRef>
              <c:f>R_Frontal_G!$AF$37:$AF$43</c:f>
              <c:numCache>
                <c:formatCode>0.00</c:formatCode>
                <c:ptCount val="7"/>
                <c:pt idx="0">
                  <c:v>-0.14352697842084786</c:v>
                </c:pt>
                <c:pt idx="1">
                  <c:v>9.4573327786796918E-2</c:v>
                </c:pt>
                <c:pt idx="2">
                  <c:v>-0.44977302609234299</c:v>
                </c:pt>
                <c:pt idx="3">
                  <c:v>-7.188862710326871E-2</c:v>
                </c:pt>
                <c:pt idx="4">
                  <c:v>0.36050090584926486</c:v>
                </c:pt>
                <c:pt idx="5">
                  <c:v>0</c:v>
                </c:pt>
                <c:pt idx="6">
                  <c:v>-0.37143960036953161</c:v>
                </c:pt>
              </c:numCache>
            </c:numRef>
          </c:xVal>
          <c:yVal>
            <c:numRef>
              <c:f>R_Frontal_G!$G$37:$G$43</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R_Frontal_G!$AH$51</c:f>
                <c:numCache>
                  <c:formatCode>General</c:formatCode>
                  <c:ptCount val="1"/>
                  <c:pt idx="0">
                    <c:v>0.23951173536287812</c:v>
                  </c:pt>
                </c:numCache>
              </c:numRef>
            </c:plus>
            <c:minus>
              <c:numRef>
                <c:f>R_Frontal_G!$AH$52</c:f>
                <c:numCache>
                  <c:formatCode>General</c:formatCode>
                  <c:ptCount val="1"/>
                  <c:pt idx="0">
                    <c:v>0.23951173536287812</c:v>
                  </c:pt>
                </c:numCache>
              </c:numRef>
            </c:minus>
            <c:spPr>
              <a:ln w="12700">
                <a:solidFill>
                  <a:srgbClr val="000000"/>
                </a:solidFill>
                <a:prstDash val="solid"/>
              </a:ln>
            </c:spPr>
          </c:errBars>
          <c:xVal>
            <c:numRef>
              <c:f>R_Frontal_G!$AH$50</c:f>
              <c:numCache>
                <c:formatCode>General</c:formatCode>
                <c:ptCount val="1"/>
                <c:pt idx="0">
                  <c:v>-0.10440127854955372</c:v>
                </c:pt>
              </c:numCache>
            </c:numRef>
          </c:xVal>
          <c:yVal>
            <c:numRef>
              <c:f>R_Frontal_G!$I$51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R_Frontal_G!$AH$55</c:f>
                <c:numCache>
                  <c:formatCode>General</c:formatCode>
                  <c:ptCount val="1"/>
                  <c:pt idx="0">
                    <c:v>0.23951173536287812</c:v>
                  </c:pt>
                </c:numCache>
              </c:numRef>
            </c:plus>
            <c:minus>
              <c:numRef>
                <c:f>R_Frontal_G!$AH$56</c:f>
                <c:numCache>
                  <c:formatCode>General</c:formatCode>
                  <c:ptCount val="1"/>
                  <c:pt idx="0">
                    <c:v>0.23951173536287812</c:v>
                  </c:pt>
                </c:numCache>
              </c:numRef>
            </c:minus>
            <c:spPr>
              <a:ln w="12700">
                <a:solidFill>
                  <a:srgbClr val="000000"/>
                </a:solidFill>
                <a:prstDash val="solid"/>
              </a:ln>
            </c:spPr>
          </c:errBars>
          <c:xVal>
            <c:numRef>
              <c:f>R_Frontal_G!$AH$54</c:f>
              <c:numCache>
                <c:formatCode>General</c:formatCode>
                <c:ptCount val="1"/>
                <c:pt idx="0">
                  <c:v>-0.10440127854955372</c:v>
                </c:pt>
              </c:numCache>
            </c:numRef>
          </c:xVal>
          <c:yVal>
            <c:numRef>
              <c:f>R_Frontal_G!$I$62</c:f>
              <c:numCache>
                <c:formatCode>General</c:formatCode>
                <c:ptCount val="1"/>
                <c:pt idx="0">
                  <c:v>-3</c:v>
                </c:pt>
              </c:numCache>
            </c:numRef>
          </c:yVal>
        </c:ser>
        <c:axId val="136212480"/>
        <c:axId val="136214016"/>
      </c:scatterChart>
      <c:valAx>
        <c:axId val="13621248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6214016"/>
        <c:crosses val="autoZero"/>
        <c:crossBetween val="midCat"/>
      </c:valAx>
      <c:valAx>
        <c:axId val="136214016"/>
        <c:scaling>
          <c:orientation val="minMax"/>
        </c:scaling>
        <c:axPos val="l"/>
        <c:numFmt formatCode="General" sourceLinked="1"/>
        <c:majorTickMark val="none"/>
        <c:tickLblPos val="none"/>
        <c:spPr>
          <a:ln w="3175">
            <a:solidFill>
              <a:srgbClr val="000000"/>
            </a:solidFill>
            <a:prstDash val="solid"/>
          </a:ln>
        </c:spPr>
        <c:crossAx val="1362124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59144039032388"/>
                  <c:y val="-3.430802024970421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R_Frontal_G!$AK$37:$AK$43</c:f>
              <c:numCache>
                <c:formatCode>General</c:formatCode>
                <c:ptCount val="7"/>
                <c:pt idx="0">
                  <c:v>2.7743363281122608</c:v>
                </c:pt>
                <c:pt idx="1">
                  <c:v>3.3145902997831356</c:v>
                </c:pt>
                <c:pt idx="2">
                  <c:v>2.5061127332451592</c:v>
                </c:pt>
                <c:pt idx="3">
                  <c:v>2.467810470930897</c:v>
                </c:pt>
                <c:pt idx="4">
                  <c:v>2.6532820364824996</c:v>
                </c:pt>
                <c:pt idx="5">
                  <c:v>3.4897303365420913</c:v>
                </c:pt>
                <c:pt idx="6">
                  <c:v>4.0858759314736321</c:v>
                </c:pt>
              </c:numCache>
            </c:numRef>
          </c:xVal>
          <c:yVal>
            <c:numRef>
              <c:f>R_Frontal_G!$AL$37:$AL$43</c:f>
              <c:numCache>
                <c:formatCode>General</c:formatCode>
                <c:ptCount val="7"/>
                <c:pt idx="0">
                  <c:v>-0.39819211029714274</c:v>
                </c:pt>
                <c:pt idx="1">
                  <c:v>0.31347183490032793</c:v>
                </c:pt>
                <c:pt idx="2">
                  <c:v>-1.1271819077602281</c:v>
                </c:pt>
                <c:pt idx="3">
                  <c:v>-0.17740750670629321</c:v>
                </c:pt>
                <c:pt idx="4">
                  <c:v>0.95651057762552338</c:v>
                </c:pt>
                <c:pt idx="5">
                  <c:v>0</c:v>
                </c:pt>
                <c:pt idx="6">
                  <c:v>-1.5176561231460535</c:v>
                </c:pt>
              </c:numCache>
            </c:numRef>
          </c:yVal>
        </c:ser>
        <c:axId val="136270976"/>
        <c:axId val="136272896"/>
      </c:scatterChart>
      <c:valAx>
        <c:axId val="13627097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272896"/>
        <c:crosses val="autoZero"/>
        <c:crossBetween val="midCat"/>
      </c:valAx>
      <c:valAx>
        <c:axId val="13627289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2709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Frontal_G_TLR!$AG$44:$AG$51</c:f>
                <c:numCache>
                  <c:formatCode>General</c:formatCode>
                  <c:ptCount val="8"/>
                  <c:pt idx="0">
                    <c:v>0.78297998248262657</c:v>
                  </c:pt>
                  <c:pt idx="1">
                    <c:v>0.79526327288639431</c:v>
                  </c:pt>
                  <c:pt idx="2">
                    <c:v>0.56696507479059288</c:v>
                  </c:pt>
                  <c:pt idx="3">
                    <c:v>0.74040169809826262</c:v>
                  </c:pt>
                  <c:pt idx="4">
                    <c:v>0.56208921085058206</c:v>
                  </c:pt>
                  <c:pt idx="5">
                    <c:v>0.70737309698000095</c:v>
                  </c:pt>
                  <c:pt idx="6">
                    <c:v>0.59108060463351875</c:v>
                  </c:pt>
                  <c:pt idx="7">
                    <c:v>0.48078942710148853</c:v>
                  </c:pt>
                </c:numCache>
              </c:numRef>
            </c:plus>
            <c:minus>
              <c:numRef>
                <c:f>Frontal_G_TLR!$AH$44:$AH$51</c:f>
                <c:numCache>
                  <c:formatCode>General</c:formatCode>
                  <c:ptCount val="8"/>
                  <c:pt idx="0">
                    <c:v>0.78297998248262657</c:v>
                  </c:pt>
                  <c:pt idx="1">
                    <c:v>0.79526327288639431</c:v>
                  </c:pt>
                  <c:pt idx="2">
                    <c:v>0.56696507479059288</c:v>
                  </c:pt>
                  <c:pt idx="3">
                    <c:v>0.74040169809826262</c:v>
                  </c:pt>
                  <c:pt idx="4">
                    <c:v>0.56208921085058206</c:v>
                  </c:pt>
                  <c:pt idx="5">
                    <c:v>0.70737309698000095</c:v>
                  </c:pt>
                  <c:pt idx="6">
                    <c:v>0.59108060463351875</c:v>
                  </c:pt>
                  <c:pt idx="7">
                    <c:v>0.48078942710148853</c:v>
                  </c:pt>
                </c:numCache>
              </c:numRef>
            </c:minus>
            <c:spPr>
              <a:ln w="12700">
                <a:solidFill>
                  <a:srgbClr val="000000"/>
                </a:solidFill>
                <a:prstDash val="solid"/>
              </a:ln>
            </c:spPr>
          </c:errBars>
          <c:xVal>
            <c:numRef>
              <c:f>Frontal_G_TLR!$AF$44:$AF$51</c:f>
              <c:numCache>
                <c:formatCode>0.00</c:formatCode>
                <c:ptCount val="8"/>
                <c:pt idx="0">
                  <c:v>-0.46997684592197347</c:v>
                </c:pt>
                <c:pt idx="1">
                  <c:v>-0.15661027948711792</c:v>
                </c:pt>
                <c:pt idx="2">
                  <c:v>0.33414238313440503</c:v>
                </c:pt>
                <c:pt idx="3">
                  <c:v>0.40732150939229933</c:v>
                </c:pt>
                <c:pt idx="4">
                  <c:v>-0.10963012670226392</c:v>
                </c:pt>
                <c:pt idx="5">
                  <c:v>-0.19784827189233115</c:v>
                </c:pt>
                <c:pt idx="6">
                  <c:v>5.4019489492977683E-2</c:v>
                </c:pt>
                <c:pt idx="7">
                  <c:v>-0.41572027694690167</c:v>
                </c:pt>
              </c:numCache>
            </c:numRef>
          </c:xVal>
          <c:yVal>
            <c:numRef>
              <c:f>Frontal_G_TLR!$G$44:$G$51</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Frontal_G_TLR!$AH$59</c:f>
                <c:numCache>
                  <c:formatCode>General</c:formatCode>
                  <c:ptCount val="1"/>
                  <c:pt idx="0">
                    <c:v>0.22086679643398927</c:v>
                  </c:pt>
                </c:numCache>
              </c:numRef>
            </c:plus>
            <c:minus>
              <c:numRef>
                <c:f>Frontal_G_TLR!$AH$60</c:f>
                <c:numCache>
                  <c:formatCode>General</c:formatCode>
                  <c:ptCount val="1"/>
                  <c:pt idx="0">
                    <c:v>0.22086679643398927</c:v>
                  </c:pt>
                </c:numCache>
              </c:numRef>
            </c:minus>
            <c:spPr>
              <a:ln w="12700">
                <a:solidFill>
                  <a:srgbClr val="000000"/>
                </a:solidFill>
                <a:prstDash val="solid"/>
              </a:ln>
            </c:spPr>
          </c:errBars>
          <c:xVal>
            <c:numRef>
              <c:f>Frontal_G_TLR!$AH$58</c:f>
              <c:numCache>
                <c:formatCode>General</c:formatCode>
                <c:ptCount val="1"/>
                <c:pt idx="0">
                  <c:v>-7.8925748750629993E-2</c:v>
                </c:pt>
              </c:numCache>
            </c:numRef>
          </c:xVal>
          <c:yVal>
            <c:numRef>
              <c:f>Frontal_G_TLR!$I$59</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Frontal_G_TLR!$AH$63</c:f>
                <c:numCache>
                  <c:formatCode>General</c:formatCode>
                  <c:ptCount val="1"/>
                  <c:pt idx="0">
                    <c:v>0.22086679643398927</c:v>
                  </c:pt>
                </c:numCache>
              </c:numRef>
            </c:plus>
            <c:minus>
              <c:numRef>
                <c:f>Frontal_G_TLR!$AH$64</c:f>
                <c:numCache>
                  <c:formatCode>General</c:formatCode>
                  <c:ptCount val="1"/>
                  <c:pt idx="0">
                    <c:v>0.22086679643398927</c:v>
                  </c:pt>
                </c:numCache>
              </c:numRef>
            </c:minus>
            <c:spPr>
              <a:ln w="12700">
                <a:solidFill>
                  <a:srgbClr val="000000"/>
                </a:solidFill>
                <a:prstDash val="solid"/>
              </a:ln>
            </c:spPr>
          </c:errBars>
          <c:xVal>
            <c:numRef>
              <c:f>Frontal_G_TLR!$AH$62</c:f>
              <c:numCache>
                <c:formatCode>General</c:formatCode>
                <c:ptCount val="1"/>
                <c:pt idx="0">
                  <c:v>-7.8925748750629993E-2</c:v>
                </c:pt>
              </c:numCache>
            </c:numRef>
          </c:xVal>
          <c:yVal>
            <c:numRef>
              <c:f>Frontal_G_TLR!$I$70</c:f>
              <c:numCache>
                <c:formatCode>General</c:formatCode>
                <c:ptCount val="1"/>
                <c:pt idx="0">
                  <c:v>-3</c:v>
                </c:pt>
              </c:numCache>
            </c:numRef>
          </c:yVal>
        </c:ser>
        <c:axId val="136465024"/>
        <c:axId val="136479104"/>
      </c:scatterChart>
      <c:valAx>
        <c:axId val="13646502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6479104"/>
        <c:crosses val="autoZero"/>
        <c:crossBetween val="midCat"/>
      </c:valAx>
      <c:valAx>
        <c:axId val="136479104"/>
        <c:scaling>
          <c:orientation val="minMax"/>
        </c:scaling>
        <c:axPos val="l"/>
        <c:numFmt formatCode="General" sourceLinked="1"/>
        <c:majorTickMark val="none"/>
        <c:tickLblPos val="none"/>
        <c:spPr>
          <a:ln w="3175">
            <a:solidFill>
              <a:srgbClr val="000000"/>
            </a:solidFill>
            <a:prstDash val="solid"/>
          </a:ln>
        </c:spPr>
        <c:crossAx val="1364650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87308418023258"/>
                  <c:y val="-3.4186829238201003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Frontal_G_TLR!$AK$44:$AK$51</c:f>
              <c:numCache>
                <c:formatCode>General</c:formatCode>
                <c:ptCount val="8"/>
                <c:pt idx="0">
                  <c:v>2.503256844172884</c:v>
                </c:pt>
                <c:pt idx="1">
                  <c:v>2.4645926284087203</c:v>
                </c:pt>
                <c:pt idx="2">
                  <c:v>3.457003062708794</c:v>
                </c:pt>
                <c:pt idx="3">
                  <c:v>2.6472116488040225</c:v>
                </c:pt>
                <c:pt idx="4">
                  <c:v>3.4869909654270508</c:v>
                </c:pt>
                <c:pt idx="5">
                  <c:v>2.7708150173760617</c:v>
                </c:pt>
                <c:pt idx="6">
                  <c:v>3.3159606061092757</c:v>
                </c:pt>
                <c:pt idx="7">
                  <c:v>4.0766287474667555</c:v>
                </c:pt>
              </c:numCache>
            </c:numRef>
          </c:xVal>
          <c:yVal>
            <c:numRef>
              <c:f>Frontal_G_TLR!$AL$44:$AL$51</c:f>
              <c:numCache>
                <c:formatCode>General</c:formatCode>
                <c:ptCount val="8"/>
                <c:pt idx="0">
                  <c:v>-1.176472756156965</c:v>
                </c:pt>
                <c:pt idx="1">
                  <c:v>-0.38598054035698026</c:v>
                </c:pt>
                <c:pt idx="2">
                  <c:v>1.1551312418764534</c:v>
                </c:pt>
                <c:pt idx="3">
                  <c:v>1.0782662444717319</c:v>
                </c:pt>
                <c:pt idx="4">
                  <c:v>-0.38227926134941714</c:v>
                </c:pt>
                <c:pt idx="5">
                  <c:v>-0.54820096292117326</c:v>
                </c:pt>
                <c:pt idx="6">
                  <c:v>0.17912649912084794</c:v>
                </c:pt>
                <c:pt idx="7">
                  <c:v>-1.6947372319065803</c:v>
                </c:pt>
              </c:numCache>
            </c:numRef>
          </c:yVal>
        </c:ser>
        <c:axId val="136585216"/>
        <c:axId val="136587136"/>
      </c:scatterChart>
      <c:valAx>
        <c:axId val="136585216"/>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587136"/>
        <c:crosses val="autoZero"/>
        <c:crossBetween val="midCat"/>
      </c:valAx>
      <c:valAx>
        <c:axId val="13658713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58521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L_Frontal_W!$AG$37:$AG$42</c:f>
                <c:numCache>
                  <c:formatCode>General</c:formatCode>
                  <c:ptCount val="6"/>
                  <c:pt idx="0">
                    <c:v>0.59498683306381828</c:v>
                  </c:pt>
                  <c:pt idx="1">
                    <c:v>0.77691253089351642</c:v>
                  </c:pt>
                  <c:pt idx="2">
                    <c:v>0.80295612655309156</c:v>
                  </c:pt>
                  <c:pt idx="3">
                    <c:v>0.55900912301317185</c:v>
                  </c:pt>
                  <c:pt idx="4">
                    <c:v>0.78722326082270944</c:v>
                  </c:pt>
                  <c:pt idx="5">
                    <c:v>0.47536982507121261</c:v>
                  </c:pt>
                </c:numCache>
              </c:numRef>
            </c:plus>
            <c:minus>
              <c:numRef>
                <c:f>L_Frontal_W!$AH$37:$AH$42</c:f>
                <c:numCache>
                  <c:formatCode>General</c:formatCode>
                  <c:ptCount val="6"/>
                  <c:pt idx="0">
                    <c:v>0.59498683306381828</c:v>
                  </c:pt>
                  <c:pt idx="1">
                    <c:v>0.77691253089351642</c:v>
                  </c:pt>
                  <c:pt idx="2">
                    <c:v>0.80295612655309156</c:v>
                  </c:pt>
                  <c:pt idx="3">
                    <c:v>0.55900912301317185</c:v>
                  </c:pt>
                  <c:pt idx="4">
                    <c:v>0.78722326082270944</c:v>
                  </c:pt>
                  <c:pt idx="5">
                    <c:v>0.47536982507121261</c:v>
                  </c:pt>
                </c:numCache>
              </c:numRef>
            </c:minus>
            <c:spPr>
              <a:ln w="12700">
                <a:solidFill>
                  <a:srgbClr val="000000"/>
                </a:solidFill>
                <a:prstDash val="solid"/>
              </a:ln>
            </c:spPr>
          </c:errBars>
          <c:xVal>
            <c:numRef>
              <c:f>L_Frontal_W!$AF$37:$AF$42</c:f>
              <c:numCache>
                <c:formatCode>0.00</c:formatCode>
                <c:ptCount val="6"/>
                <c:pt idx="0">
                  <c:v>0.31550674994719197</c:v>
                </c:pt>
                <c:pt idx="1">
                  <c:v>-0.30811295618924195</c:v>
                </c:pt>
                <c:pt idx="2">
                  <c:v>0.41101254202399518</c:v>
                </c:pt>
                <c:pt idx="3">
                  <c:v>-9.5065830647473606E-2</c:v>
                </c:pt>
                <c:pt idx="4">
                  <c:v>-0.36728057843264117</c:v>
                </c:pt>
                <c:pt idx="5">
                  <c:v>0</c:v>
                </c:pt>
              </c:numCache>
            </c:numRef>
          </c:xVal>
          <c:yVal>
            <c:numRef>
              <c:f>L_Frontal_W!$G$37:$G$42</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L_Frontal_W!$AH$50</c:f>
                <c:numCache>
                  <c:formatCode>General</c:formatCode>
                  <c:ptCount val="1"/>
                  <c:pt idx="0">
                    <c:v>0.25589338690370922</c:v>
                  </c:pt>
                </c:numCache>
              </c:numRef>
            </c:plus>
            <c:minus>
              <c:numRef>
                <c:f>L_Frontal_W!$AH$51</c:f>
                <c:numCache>
                  <c:formatCode>General</c:formatCode>
                  <c:ptCount val="1"/>
                  <c:pt idx="0">
                    <c:v>0.25589338690370922</c:v>
                  </c:pt>
                </c:numCache>
              </c:numRef>
            </c:minus>
            <c:spPr>
              <a:ln w="12700">
                <a:solidFill>
                  <a:srgbClr val="000000"/>
                </a:solidFill>
                <a:prstDash val="solid"/>
              </a:ln>
            </c:spPr>
          </c:errBars>
          <c:xVal>
            <c:numRef>
              <c:f>L_Frontal_W!$AH$49</c:f>
              <c:numCache>
                <c:formatCode>General</c:formatCode>
                <c:ptCount val="1"/>
                <c:pt idx="0">
                  <c:v>7.9485621605181467E-3</c:v>
                </c:pt>
              </c:numCache>
            </c:numRef>
          </c:xVal>
          <c:yVal>
            <c:numRef>
              <c:f>L_Frontal_W!$I$50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L_Frontal_W!$AH$54</c:f>
                <c:numCache>
                  <c:formatCode>General</c:formatCode>
                  <c:ptCount val="1"/>
                  <c:pt idx="0">
                    <c:v>0.25589338690370922</c:v>
                  </c:pt>
                </c:numCache>
              </c:numRef>
            </c:plus>
            <c:minus>
              <c:numRef>
                <c:f>L_Frontal_W!$AH$55</c:f>
                <c:numCache>
                  <c:formatCode>General</c:formatCode>
                  <c:ptCount val="1"/>
                  <c:pt idx="0">
                    <c:v>0.25589338690370922</c:v>
                  </c:pt>
                </c:numCache>
              </c:numRef>
            </c:minus>
            <c:spPr>
              <a:ln w="12700">
                <a:solidFill>
                  <a:srgbClr val="000000"/>
                </a:solidFill>
                <a:prstDash val="solid"/>
              </a:ln>
            </c:spPr>
          </c:errBars>
          <c:xVal>
            <c:numRef>
              <c:f>L_Frontal_W!$AH$53</c:f>
              <c:numCache>
                <c:formatCode>General</c:formatCode>
                <c:ptCount val="1"/>
                <c:pt idx="0">
                  <c:v>7.9485621605181467E-3</c:v>
                </c:pt>
              </c:numCache>
            </c:numRef>
          </c:xVal>
          <c:yVal>
            <c:numRef>
              <c:f>L_Frontal_W!$I$61</c:f>
              <c:numCache>
                <c:formatCode>General</c:formatCode>
                <c:ptCount val="1"/>
                <c:pt idx="0">
                  <c:v>-3</c:v>
                </c:pt>
              </c:numCache>
            </c:numRef>
          </c:yVal>
        </c:ser>
        <c:axId val="136513024"/>
        <c:axId val="136514560"/>
      </c:scatterChart>
      <c:valAx>
        <c:axId val="13651302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6514560"/>
        <c:crosses val="autoZero"/>
        <c:crossBetween val="midCat"/>
      </c:valAx>
      <c:valAx>
        <c:axId val="136514560"/>
        <c:scaling>
          <c:orientation val="minMax"/>
        </c:scaling>
        <c:axPos val="l"/>
        <c:numFmt formatCode="General" sourceLinked="1"/>
        <c:majorTickMark val="none"/>
        <c:tickLblPos val="none"/>
        <c:spPr>
          <a:ln w="3175">
            <a:solidFill>
              <a:srgbClr val="000000"/>
            </a:solidFill>
            <a:prstDash val="solid"/>
          </a:ln>
        </c:spPr>
        <c:crossAx val="1365130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39608519440937"/>
                  <c:y val="-3.572233100557450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L_Frontal_W!$AK$37:$AK$42</c:f>
              <c:numCache>
                <c:formatCode>General</c:formatCode>
                <c:ptCount val="6"/>
                <c:pt idx="0">
                  <c:v>3.2941905452045028</c:v>
                </c:pt>
                <c:pt idx="1">
                  <c:v>2.5228065220493106</c:v>
                </c:pt>
                <c:pt idx="2">
                  <c:v>2.4409801920483938</c:v>
                </c:pt>
                <c:pt idx="3">
                  <c:v>3.50620395859589</c:v>
                </c:pt>
                <c:pt idx="4">
                  <c:v>2.4897638288173138</c:v>
                </c:pt>
                <c:pt idx="5">
                  <c:v>4.1231056256176606</c:v>
                </c:pt>
              </c:numCache>
            </c:numRef>
          </c:xVal>
          <c:yVal>
            <c:numRef>
              <c:f>L_Frontal_W!$AL$37:$AL$42</c:f>
              <c:numCache>
                <c:formatCode>General</c:formatCode>
                <c:ptCount val="6"/>
                <c:pt idx="0">
                  <c:v>1.0393393526242412</c:v>
                </c:pt>
                <c:pt idx="1">
                  <c:v>-0.77730937540211309</c:v>
                </c:pt>
                <c:pt idx="2">
                  <c:v>1.0032734737640303</c:v>
                </c:pt>
                <c:pt idx="3">
                  <c:v>-0.33332019174337846</c:v>
                </c:pt>
                <c:pt idx="4">
                  <c:v>-0.91444189920869046</c:v>
                </c:pt>
                <c:pt idx="5">
                  <c:v>0</c:v>
                </c:pt>
              </c:numCache>
            </c:numRef>
          </c:yVal>
        </c:ser>
        <c:axId val="136567424"/>
        <c:axId val="136708864"/>
      </c:scatterChart>
      <c:valAx>
        <c:axId val="136567424"/>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708864"/>
        <c:crosses val="autoZero"/>
        <c:crossBetween val="midCat"/>
      </c:valAx>
      <c:valAx>
        <c:axId val="13670886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5674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R_Frontal_W!$AG$37:$AG$42</c:f>
                <c:numCache>
                  <c:formatCode>General</c:formatCode>
                  <c:ptCount val="6"/>
                  <c:pt idx="0">
                    <c:v>0.59180362704122413</c:v>
                  </c:pt>
                  <c:pt idx="1">
                    <c:v>0.77506935911819563</c:v>
                  </c:pt>
                  <c:pt idx="2">
                    <c:v>0.80783973958643385</c:v>
                  </c:pt>
                  <c:pt idx="3">
                    <c:v>0.57244599688212827</c:v>
                  </c:pt>
                  <c:pt idx="4">
                    <c:v>0.78089885216972987</c:v>
                  </c:pt>
                  <c:pt idx="5">
                    <c:v>0.47540820181567567</c:v>
                  </c:pt>
                </c:numCache>
              </c:numRef>
            </c:plus>
            <c:minus>
              <c:numRef>
                <c:f>R_Frontal_W!$AH$37:$AH$42</c:f>
                <c:numCache>
                  <c:formatCode>General</c:formatCode>
                  <c:ptCount val="6"/>
                  <c:pt idx="0">
                    <c:v>0.59180362704122413</c:v>
                  </c:pt>
                  <c:pt idx="1">
                    <c:v>0.77506935911819563</c:v>
                  </c:pt>
                  <c:pt idx="2">
                    <c:v>0.80783973958643385</c:v>
                  </c:pt>
                  <c:pt idx="3">
                    <c:v>0.57244599688212827</c:v>
                  </c:pt>
                  <c:pt idx="4">
                    <c:v>0.78089885216972987</c:v>
                  </c:pt>
                  <c:pt idx="5">
                    <c:v>0.47540820181567567</c:v>
                  </c:pt>
                </c:numCache>
              </c:numRef>
            </c:minus>
            <c:spPr>
              <a:ln w="12700">
                <a:solidFill>
                  <a:srgbClr val="000000"/>
                </a:solidFill>
                <a:prstDash val="solid"/>
              </a:ln>
            </c:spPr>
          </c:errBars>
          <c:xVal>
            <c:numRef>
              <c:f>R_Frontal_W!$AF$37:$AF$42</c:f>
              <c:numCache>
                <c:formatCode>0.00</c:formatCode>
                <c:ptCount val="6"/>
                <c:pt idx="0">
                  <c:v>0.14406646280773411</c:v>
                </c:pt>
                <c:pt idx="1">
                  <c:v>-0.23847038957047784</c:v>
                </c:pt>
                <c:pt idx="2">
                  <c:v>0.51119881744797924</c:v>
                </c:pt>
                <c:pt idx="3">
                  <c:v>-0.62404695924600673</c:v>
                </c:pt>
                <c:pt idx="4">
                  <c:v>-1.8504905390443704E-2</c:v>
                </c:pt>
                <c:pt idx="5">
                  <c:v>-3.4883979851474269E-2</c:v>
                </c:pt>
              </c:numCache>
            </c:numRef>
          </c:xVal>
          <c:yVal>
            <c:numRef>
              <c:f>R_Frontal_W!$G$37:$G$42</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R_Frontal_W!$AH$50</c:f>
                <c:numCache>
                  <c:formatCode>General</c:formatCode>
                  <c:ptCount val="1"/>
                  <c:pt idx="0">
                    <c:v>0.25676305243416192</c:v>
                  </c:pt>
                </c:numCache>
              </c:numRef>
            </c:plus>
            <c:minus>
              <c:numRef>
                <c:f>R_Frontal_W!$AH$51</c:f>
                <c:numCache>
                  <c:formatCode>General</c:formatCode>
                  <c:ptCount val="1"/>
                  <c:pt idx="0">
                    <c:v>0.25676305243416192</c:v>
                  </c:pt>
                </c:numCache>
              </c:numRef>
            </c:minus>
            <c:spPr>
              <a:ln w="12700">
                <a:solidFill>
                  <a:srgbClr val="000000"/>
                </a:solidFill>
                <a:prstDash val="solid"/>
              </a:ln>
            </c:spPr>
          </c:errBars>
          <c:xVal>
            <c:numRef>
              <c:f>R_Frontal_W!$AH$49</c:f>
              <c:numCache>
                <c:formatCode>General</c:formatCode>
                <c:ptCount val="1"/>
                <c:pt idx="0">
                  <c:v>-8.5134939110848559E-2</c:v>
                </c:pt>
              </c:numCache>
            </c:numRef>
          </c:xVal>
          <c:yVal>
            <c:numRef>
              <c:f>R_Frontal_W!$I$50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R_Frontal_W!$AH$54</c:f>
                <c:numCache>
                  <c:formatCode>General</c:formatCode>
                  <c:ptCount val="1"/>
                  <c:pt idx="0">
                    <c:v>0.29313623520648852</c:v>
                  </c:pt>
                </c:numCache>
              </c:numRef>
            </c:plus>
            <c:minus>
              <c:numRef>
                <c:f>R_Frontal_W!$AH$55</c:f>
                <c:numCache>
                  <c:formatCode>General</c:formatCode>
                  <c:ptCount val="1"/>
                  <c:pt idx="0">
                    <c:v>0.29313623520648852</c:v>
                  </c:pt>
                </c:numCache>
              </c:numRef>
            </c:minus>
            <c:spPr>
              <a:ln w="12700">
                <a:solidFill>
                  <a:srgbClr val="000000"/>
                </a:solidFill>
                <a:prstDash val="solid"/>
              </a:ln>
            </c:spPr>
          </c:errBars>
          <c:xVal>
            <c:numRef>
              <c:f>R_Frontal_W!$AH$53</c:f>
              <c:numCache>
                <c:formatCode>General</c:formatCode>
                <c:ptCount val="1"/>
                <c:pt idx="0">
                  <c:v>-7.8829684152245824E-2</c:v>
                </c:pt>
              </c:numCache>
            </c:numRef>
          </c:xVal>
          <c:yVal>
            <c:numRef>
              <c:f>R_Frontal_W!$I$61</c:f>
              <c:numCache>
                <c:formatCode>General</c:formatCode>
                <c:ptCount val="1"/>
                <c:pt idx="0">
                  <c:v>-3</c:v>
                </c:pt>
              </c:numCache>
            </c:numRef>
          </c:yVal>
        </c:ser>
        <c:axId val="136814976"/>
        <c:axId val="136816512"/>
      </c:scatterChart>
      <c:valAx>
        <c:axId val="13681497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6816512"/>
        <c:crosses val="autoZero"/>
        <c:crossBetween val="midCat"/>
      </c:valAx>
      <c:valAx>
        <c:axId val="136816512"/>
        <c:scaling>
          <c:orientation val="minMax"/>
        </c:scaling>
        <c:axPos val="l"/>
        <c:numFmt formatCode="General" sourceLinked="1"/>
        <c:majorTickMark val="none"/>
        <c:tickLblPos val="none"/>
        <c:spPr>
          <a:ln w="3175">
            <a:solidFill>
              <a:srgbClr val="000000"/>
            </a:solidFill>
            <a:prstDash val="solid"/>
          </a:ln>
        </c:spPr>
        <c:crossAx val="1368149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32717721082001"/>
                  <c:y val="-3.4845281476169818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'4v'!$AK$33:$AK$35</c:f>
              <c:numCache>
                <c:formatCode>General</c:formatCode>
                <c:ptCount val="3"/>
                <c:pt idx="0">
                  <c:v>3.9249694638996364</c:v>
                </c:pt>
                <c:pt idx="1">
                  <c:v>2.6202444149307058</c:v>
                </c:pt>
                <c:pt idx="2">
                  <c:v>2.1706675580396553</c:v>
                </c:pt>
              </c:numCache>
            </c:numRef>
          </c:xVal>
          <c:yVal>
            <c:numRef>
              <c:f>'4v'!$AL$33:$AL$35</c:f>
              <c:numCache>
                <c:formatCode>General</c:formatCode>
                <c:ptCount val="3"/>
                <c:pt idx="0">
                  <c:v>-0.42132094646465473</c:v>
                </c:pt>
                <c:pt idx="1">
                  <c:v>-0.16485595647585352</c:v>
                </c:pt>
                <c:pt idx="2">
                  <c:v>1.3606659811629003</c:v>
                </c:pt>
              </c:numCache>
            </c:numRef>
          </c:yVal>
        </c:ser>
        <c:axId val="104535552"/>
        <c:axId val="104537472"/>
      </c:scatterChart>
      <c:valAx>
        <c:axId val="10453555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4537472"/>
        <c:crosses val="autoZero"/>
        <c:crossBetween val="midCat"/>
      </c:valAx>
      <c:valAx>
        <c:axId val="10453747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45355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92844789111776"/>
                  <c:y val="-3.47542812857734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R_Frontal_W!$AK$37:$AK$42</c:f>
              <c:numCache>
                <c:formatCode>General</c:formatCode>
                <c:ptCount val="6"/>
                <c:pt idx="0">
                  <c:v>3.3119094078540843</c:v>
                </c:pt>
                <c:pt idx="1">
                  <c:v>2.5288059409675436</c:v>
                </c:pt>
                <c:pt idx="2">
                  <c:v>2.4262237965705968</c:v>
                </c:pt>
                <c:pt idx="3">
                  <c:v>3.4239037580405709</c:v>
                </c:pt>
                <c:pt idx="4">
                  <c:v>2.5099281354481873</c:v>
                </c:pt>
                <c:pt idx="5">
                  <c:v>4.1227727929690356</c:v>
                </c:pt>
              </c:numCache>
            </c:numRef>
          </c:xVal>
          <c:yVal>
            <c:numRef>
              <c:f>R_Frontal_W!$AL$37:$AL$42</c:f>
              <c:numCache>
                <c:formatCode>General</c:formatCode>
                <c:ptCount val="6"/>
                <c:pt idx="0">
                  <c:v>0.4771350735291951</c:v>
                </c:pt>
                <c:pt idx="1">
                  <c:v>-0.60304533789066894</c:v>
                </c:pt>
                <c:pt idx="2">
                  <c:v>1.2402827356710358</c:v>
                </c:pt>
                <c:pt idx="3">
                  <c:v>-2.1366767289561932</c:v>
                </c:pt>
                <c:pt idx="4">
                  <c:v>-4.6445982683281477E-2</c:v>
                </c:pt>
                <c:pt idx="5">
                  <c:v>-0.14381872304213814</c:v>
                </c:pt>
              </c:numCache>
            </c:numRef>
          </c:yVal>
        </c:ser>
        <c:axId val="136865280"/>
        <c:axId val="136867200"/>
      </c:scatterChart>
      <c:valAx>
        <c:axId val="13686528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867200"/>
        <c:crosses val="autoZero"/>
        <c:crossBetween val="midCat"/>
      </c:valAx>
      <c:valAx>
        <c:axId val="13686720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68652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Frontal_W_TLR!$AG$39:$AG$45</c:f>
                <c:numCache>
                  <c:formatCode>General</c:formatCode>
                  <c:ptCount val="7"/>
                  <c:pt idx="0">
                    <c:v>0.77626928943895279</c:v>
                  </c:pt>
                  <c:pt idx="1">
                    <c:v>0.80587717848942897</c:v>
                  </c:pt>
                  <c:pt idx="2">
                    <c:v>0.5888456958154118</c:v>
                  </c:pt>
                  <c:pt idx="3">
                    <c:v>0.55868595829857759</c:v>
                  </c:pt>
                  <c:pt idx="4">
                    <c:v>0.78127302836534485</c:v>
                  </c:pt>
                  <c:pt idx="5">
                    <c:v>0.59297367510668508</c:v>
                  </c:pt>
                  <c:pt idx="6">
                    <c:v>0.47538065908086979</c:v>
                  </c:pt>
                </c:numCache>
              </c:numRef>
            </c:plus>
            <c:minus>
              <c:numRef>
                <c:f>Frontal_W_TLR!$AH$39:$AH$45</c:f>
                <c:numCache>
                  <c:formatCode>General</c:formatCode>
                  <c:ptCount val="7"/>
                  <c:pt idx="0">
                    <c:v>0.77626928943895279</c:v>
                  </c:pt>
                  <c:pt idx="1">
                    <c:v>0.80587717848942897</c:v>
                  </c:pt>
                  <c:pt idx="2">
                    <c:v>0.5888456958154118</c:v>
                  </c:pt>
                  <c:pt idx="3">
                    <c:v>0.55868595829857759</c:v>
                  </c:pt>
                  <c:pt idx="4">
                    <c:v>0.78127302836534485</c:v>
                  </c:pt>
                  <c:pt idx="5">
                    <c:v>0.59297367510668508</c:v>
                  </c:pt>
                  <c:pt idx="6">
                    <c:v>0.47538065908086979</c:v>
                  </c:pt>
                </c:numCache>
              </c:numRef>
            </c:minus>
            <c:spPr>
              <a:ln w="12700">
                <a:solidFill>
                  <a:srgbClr val="000000"/>
                </a:solidFill>
                <a:prstDash val="solid"/>
              </a:ln>
            </c:spPr>
          </c:errBars>
          <c:xVal>
            <c:numRef>
              <c:f>Frontal_W_TLR!$AF$39:$AF$45</c:f>
              <c:numCache>
                <c:formatCode>0.00</c:formatCode>
                <c:ptCount val="7"/>
                <c:pt idx="0">
                  <c:v>-0.28572539506569256</c:v>
                </c:pt>
                <c:pt idx="1">
                  <c:v>0.47342081456800494</c:v>
                </c:pt>
                <c:pt idx="2">
                  <c:v>-0.88539435584841863</c:v>
                </c:pt>
                <c:pt idx="3">
                  <c:v>0</c:v>
                </c:pt>
                <c:pt idx="4">
                  <c:v>-9.0955322239098385E-2</c:v>
                </c:pt>
                <c:pt idx="5">
                  <c:v>0.22285993946648477</c:v>
                </c:pt>
                <c:pt idx="6">
                  <c:v>-1.8534474639552739E-2</c:v>
                </c:pt>
              </c:numCache>
            </c:numRef>
          </c:xVal>
          <c:yVal>
            <c:numRef>
              <c:f>Frontal_W_TLR!$G$39:$G$45</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Frontal_W_TLR!$AH$53</c:f>
                <c:numCache>
                  <c:formatCode>General</c:formatCode>
                  <c:ptCount val="1"/>
                  <c:pt idx="0">
                    <c:v>0.23443950441348937</c:v>
                  </c:pt>
                </c:numCache>
              </c:numRef>
            </c:plus>
            <c:minus>
              <c:numRef>
                <c:f>Frontal_W_TLR!$AH$54</c:f>
                <c:numCache>
                  <c:formatCode>General</c:formatCode>
                  <c:ptCount val="1"/>
                  <c:pt idx="0">
                    <c:v>0.23443950441348937</c:v>
                  </c:pt>
                </c:numCache>
              </c:numRef>
            </c:minus>
            <c:spPr>
              <a:ln w="12700">
                <a:solidFill>
                  <a:srgbClr val="000000"/>
                </a:solidFill>
                <a:prstDash val="solid"/>
              </a:ln>
            </c:spPr>
          </c:errBars>
          <c:xVal>
            <c:numRef>
              <c:f>Frontal_W_TLR!$AH$52</c:f>
              <c:numCache>
                <c:formatCode>General</c:formatCode>
                <c:ptCount val="1"/>
                <c:pt idx="0">
                  <c:v>-0.1042017744759938</c:v>
                </c:pt>
              </c:numCache>
            </c:numRef>
          </c:xVal>
          <c:yVal>
            <c:numRef>
              <c:f>Frontal_W_TLR!$I$53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Frontal_W_TLR!$AH$57</c:f>
                <c:numCache>
                  <c:formatCode>General</c:formatCode>
                  <c:ptCount val="1"/>
                  <c:pt idx="0">
                    <c:v>0.3152116389224528</c:v>
                  </c:pt>
                </c:numCache>
              </c:numRef>
            </c:plus>
            <c:minus>
              <c:numRef>
                <c:f>Frontal_W_TLR!$AH$58</c:f>
                <c:numCache>
                  <c:formatCode>General</c:formatCode>
                  <c:ptCount val="1"/>
                  <c:pt idx="0">
                    <c:v>0.3152116389224528</c:v>
                  </c:pt>
                </c:numCache>
              </c:numRef>
            </c:minus>
            <c:spPr>
              <a:ln w="12700">
                <a:solidFill>
                  <a:srgbClr val="000000"/>
                </a:solidFill>
                <a:prstDash val="solid"/>
              </a:ln>
            </c:spPr>
          </c:errBars>
          <c:xVal>
            <c:numRef>
              <c:f>Frontal_W_TLR!$AH$56</c:f>
              <c:numCache>
                <c:formatCode>General</c:formatCode>
                <c:ptCount val="1"/>
                <c:pt idx="0">
                  <c:v>-9.9437835390116913E-2</c:v>
                </c:pt>
              </c:numCache>
            </c:numRef>
          </c:xVal>
          <c:yVal>
            <c:numRef>
              <c:f>Frontal_W_TLR!$I$64</c:f>
              <c:numCache>
                <c:formatCode>General</c:formatCode>
                <c:ptCount val="1"/>
                <c:pt idx="0">
                  <c:v>-3</c:v>
                </c:pt>
              </c:numCache>
            </c:numRef>
          </c:yVal>
        </c:ser>
        <c:axId val="137145344"/>
        <c:axId val="137155328"/>
      </c:scatterChart>
      <c:valAx>
        <c:axId val="13714534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7155328"/>
        <c:crosses val="autoZero"/>
        <c:crossBetween val="midCat"/>
      </c:valAx>
      <c:valAx>
        <c:axId val="137155328"/>
        <c:scaling>
          <c:orientation val="minMax"/>
        </c:scaling>
        <c:axPos val="l"/>
        <c:numFmt formatCode="General" sourceLinked="1"/>
        <c:majorTickMark val="none"/>
        <c:tickLblPos val="none"/>
        <c:spPr>
          <a:ln w="3175">
            <a:solidFill>
              <a:srgbClr val="000000"/>
            </a:solidFill>
            <a:prstDash val="solid"/>
          </a:ln>
        </c:spPr>
        <c:crossAx val="13714534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86181557562537"/>
                  <c:y val="-3.258228854368230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Frontal_W_TLR!$AK$39:$AK$45</c:f>
              <c:numCache>
                <c:formatCode>General</c:formatCode>
                <c:ptCount val="7"/>
                <c:pt idx="0">
                  <c:v>2.5248969998756317</c:v>
                </c:pt>
                <c:pt idx="1">
                  <c:v>2.4321324046846802</c:v>
                </c:pt>
                <c:pt idx="2">
                  <c:v>3.3285460247541834</c:v>
                </c:pt>
                <c:pt idx="3">
                  <c:v>3.5082320772281168</c:v>
                </c:pt>
                <c:pt idx="4">
                  <c:v>2.5087260520191026</c:v>
                </c:pt>
                <c:pt idx="5">
                  <c:v>3.3053743906040447</c:v>
                </c:pt>
                <c:pt idx="6">
                  <c:v>4.1230116593081103</c:v>
                </c:pt>
              </c:numCache>
            </c:numRef>
          </c:xVal>
          <c:yVal>
            <c:numRef>
              <c:f>Frontal_W_TLR!$AL$39:$AL$45</c:f>
              <c:numCache>
                <c:formatCode>General</c:formatCode>
                <c:ptCount val="7"/>
                <c:pt idx="0">
                  <c:v>-0.72142719278964673</c:v>
                </c:pt>
                <c:pt idx="1">
                  <c:v>1.1514221041630619</c:v>
                </c:pt>
                <c:pt idx="2">
                  <c:v>-2.947075863499045</c:v>
                </c:pt>
                <c:pt idx="3">
                  <c:v>0</c:v>
                </c:pt>
                <c:pt idx="4">
                  <c:v>-0.22818198647101856</c:v>
                </c:pt>
                <c:pt idx="5">
                  <c:v>0.73663553660408643</c:v>
                </c:pt>
                <c:pt idx="6">
                  <c:v>-7.6417855038026422E-2</c:v>
                </c:pt>
              </c:numCache>
            </c:numRef>
          </c:yVal>
        </c:ser>
        <c:axId val="137404800"/>
        <c:axId val="137406720"/>
      </c:scatterChart>
      <c:valAx>
        <c:axId val="13740480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406720"/>
        <c:crosses val="autoZero"/>
        <c:crossBetween val="midCat"/>
      </c:valAx>
      <c:valAx>
        <c:axId val="13740672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4048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orb_TLR!$AG$33:$AG$36</c:f>
                <c:numCache>
                  <c:formatCode>General</c:formatCode>
                  <c:ptCount val="4"/>
                  <c:pt idx="0">
                    <c:v>0.39301459638056152</c:v>
                  </c:pt>
                  <c:pt idx="1">
                    <c:v>0.75235563742796552</c:v>
                  </c:pt>
                  <c:pt idx="2">
                    <c:v>0.57864396253019024</c:v>
                  </c:pt>
                  <c:pt idx="3">
                    <c:v>0.53992315931471668</c:v>
                  </c:pt>
                </c:numCache>
              </c:numRef>
            </c:plus>
            <c:minus>
              <c:numRef>
                <c:f>orb_TLR!$AH$33:$AH$36</c:f>
                <c:numCache>
                  <c:formatCode>General</c:formatCode>
                  <c:ptCount val="4"/>
                  <c:pt idx="0">
                    <c:v>0.39301459638056152</c:v>
                  </c:pt>
                  <c:pt idx="1">
                    <c:v>0.75235563742796552</c:v>
                  </c:pt>
                  <c:pt idx="2">
                    <c:v>0.57864396253019024</c:v>
                  </c:pt>
                  <c:pt idx="3">
                    <c:v>0.53992315931471668</c:v>
                  </c:pt>
                </c:numCache>
              </c:numRef>
            </c:minus>
            <c:spPr>
              <a:ln w="12700">
                <a:solidFill>
                  <a:srgbClr val="000000"/>
                </a:solidFill>
                <a:prstDash val="solid"/>
              </a:ln>
            </c:spPr>
          </c:errBars>
          <c:xVal>
            <c:numRef>
              <c:f>orb_TLR!$AF$33:$AF$36</c:f>
              <c:numCache>
                <c:formatCode>0.00</c:formatCode>
                <c:ptCount val="4"/>
                <c:pt idx="0">
                  <c:v>2.3709412685723016E-2</c:v>
                </c:pt>
                <c:pt idx="1">
                  <c:v>-0.64957264957265015</c:v>
                </c:pt>
                <c:pt idx="2">
                  <c:v>-0.68540387809262426</c:v>
                </c:pt>
                <c:pt idx="3">
                  <c:v>0.19453664492327916</c:v>
                </c:pt>
              </c:numCache>
            </c:numRef>
          </c:xVal>
          <c:yVal>
            <c:numRef>
              <c:f>orb_TLR!$G$33:$G$36</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orb_TLR!$AH$44</c:f>
                <c:numCache>
                  <c:formatCode>General</c:formatCode>
                  <c:ptCount val="1"/>
                  <c:pt idx="0">
                    <c:v>0.26119595585008526</c:v>
                  </c:pt>
                </c:numCache>
              </c:numRef>
            </c:plus>
            <c:minus>
              <c:numRef>
                <c:f>orb_TLR!$AH$45</c:f>
                <c:numCache>
                  <c:formatCode>General</c:formatCode>
                  <c:ptCount val="1"/>
                  <c:pt idx="0">
                    <c:v>0.26119595585008526</c:v>
                  </c:pt>
                </c:numCache>
              </c:numRef>
            </c:minus>
            <c:spPr>
              <a:ln w="12700">
                <a:solidFill>
                  <a:srgbClr val="000000"/>
                </a:solidFill>
                <a:prstDash val="solid"/>
              </a:ln>
            </c:spPr>
          </c:errBars>
          <c:xVal>
            <c:numRef>
              <c:f>orb_TLR!$AH$43</c:f>
              <c:numCache>
                <c:formatCode>General</c:formatCode>
                <c:ptCount val="1"/>
                <c:pt idx="0">
                  <c:v>-0.16194716858980585</c:v>
                </c:pt>
              </c:numCache>
            </c:numRef>
          </c:xVal>
          <c:yVal>
            <c:numRef>
              <c:f>orb_TLR!$I$44</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orb_TLR!$AH$48</c:f>
                <c:numCache>
                  <c:formatCode>General</c:formatCode>
                  <c:ptCount val="1"/>
                  <c:pt idx="0">
                    <c:v>0.42746601025961334</c:v>
                  </c:pt>
                </c:numCache>
              </c:numRef>
            </c:plus>
            <c:minus>
              <c:numRef>
                <c:f>orb_TLR!$AH$49</c:f>
                <c:numCache>
                  <c:formatCode>General</c:formatCode>
                  <c:ptCount val="1"/>
                  <c:pt idx="0">
                    <c:v>0.42746601025961334</c:v>
                  </c:pt>
                </c:numCache>
              </c:numRef>
            </c:minus>
            <c:spPr>
              <a:ln w="12700">
                <a:solidFill>
                  <a:srgbClr val="000000"/>
                </a:solidFill>
                <a:prstDash val="solid"/>
              </a:ln>
            </c:spPr>
          </c:errBars>
          <c:xVal>
            <c:numRef>
              <c:f>orb_TLR!$AH$47</c:f>
              <c:numCache>
                <c:formatCode>General</c:formatCode>
                <c:ptCount val="1"/>
                <c:pt idx="0">
                  <c:v>-0.22837856834143849</c:v>
                </c:pt>
              </c:numCache>
            </c:numRef>
          </c:xVal>
          <c:yVal>
            <c:numRef>
              <c:f>orb_TLR!$I$55</c:f>
              <c:numCache>
                <c:formatCode>General</c:formatCode>
                <c:ptCount val="1"/>
                <c:pt idx="0">
                  <c:v>-3</c:v>
                </c:pt>
              </c:numCache>
            </c:numRef>
          </c:yVal>
        </c:ser>
        <c:axId val="137324800"/>
        <c:axId val="137326592"/>
      </c:scatterChart>
      <c:valAx>
        <c:axId val="1373248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7326592"/>
        <c:crosses val="autoZero"/>
        <c:crossBetween val="midCat"/>
      </c:valAx>
      <c:valAx>
        <c:axId val="137326592"/>
        <c:scaling>
          <c:orientation val="minMax"/>
        </c:scaling>
        <c:axPos val="l"/>
        <c:numFmt formatCode="General" sourceLinked="1"/>
        <c:majorTickMark val="none"/>
        <c:tickLblPos val="none"/>
        <c:spPr>
          <a:ln w="3175">
            <a:solidFill>
              <a:srgbClr val="000000"/>
            </a:solidFill>
            <a:prstDash val="solid"/>
          </a:ln>
        </c:spPr>
        <c:crossAx val="1373248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622533868433"/>
                  <c:y val="-3.22665691699986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orb_TLR!$AK$33:$AK$36</c:f>
              <c:numCache>
                <c:formatCode>General</c:formatCode>
                <c:ptCount val="4"/>
                <c:pt idx="0">
                  <c:v>4.9870921285124599</c:v>
                </c:pt>
                <c:pt idx="1">
                  <c:v>2.6051509452371993</c:v>
                </c:pt>
                <c:pt idx="2">
                  <c:v>3.3872296730266824</c:v>
                </c:pt>
                <c:pt idx="3">
                  <c:v>3.6301461905943779</c:v>
                </c:pt>
              </c:numCache>
            </c:numRef>
          </c:xVal>
          <c:yVal>
            <c:numRef>
              <c:f>orb_TLR!$AL$33:$AL$36</c:f>
              <c:numCache>
                <c:formatCode>General</c:formatCode>
                <c:ptCount val="4"/>
                <c:pt idx="0">
                  <c:v>0.11824102537662272</c:v>
                </c:pt>
                <c:pt idx="1">
                  <c:v>-1.6922348020344216</c:v>
                </c:pt>
                <c:pt idx="2">
                  <c:v>-2.3216203538828997</c:v>
                </c:pt>
                <c:pt idx="3">
                  <c:v>0.70619646049925289</c:v>
                </c:pt>
              </c:numCache>
            </c:numRef>
          </c:yVal>
        </c:ser>
        <c:axId val="137342336"/>
        <c:axId val="137561600"/>
      </c:scatterChart>
      <c:valAx>
        <c:axId val="137342336"/>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561600"/>
        <c:crosses val="autoZero"/>
        <c:crossBetween val="midCat"/>
      </c:valAx>
      <c:valAx>
        <c:axId val="13756160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3423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4257782886282694E-2"/>
          <c:y val="3.4091044204688906E-2"/>
          <c:w val="0.9347480758971430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L_orb_G!$AG$45:$AG$49</c:f>
                <c:numCache>
                  <c:formatCode>General</c:formatCode>
                  <c:ptCount val="5"/>
                  <c:pt idx="0">
                    <c:v>0.48088723958223728</c:v>
                  </c:pt>
                  <c:pt idx="1">
                    <c:v>0.49057120118604225</c:v>
                  </c:pt>
                  <c:pt idx="2">
                    <c:v>0.44692231791814108</c:v>
                  </c:pt>
                  <c:pt idx="3">
                    <c:v>0.20980646130789074</c:v>
                  </c:pt>
                  <c:pt idx="4">
                    <c:v>0.53936621641596827</c:v>
                  </c:pt>
                </c:numCache>
              </c:numRef>
            </c:plus>
            <c:minus>
              <c:numRef>
                <c:f>L_orb_G!$AH$45:$AH$49</c:f>
                <c:numCache>
                  <c:formatCode>General</c:formatCode>
                  <c:ptCount val="5"/>
                  <c:pt idx="0">
                    <c:v>0.48088723958223728</c:v>
                  </c:pt>
                  <c:pt idx="1">
                    <c:v>0.49057120118604225</c:v>
                  </c:pt>
                  <c:pt idx="2">
                    <c:v>0.44692231791814108</c:v>
                  </c:pt>
                  <c:pt idx="3">
                    <c:v>0.20980646130789074</c:v>
                  </c:pt>
                  <c:pt idx="4">
                    <c:v>0.53936621641596827</c:v>
                  </c:pt>
                </c:numCache>
              </c:numRef>
            </c:minus>
            <c:spPr>
              <a:ln w="12700">
                <a:solidFill>
                  <a:srgbClr val="000000"/>
                </a:solidFill>
                <a:prstDash val="solid"/>
              </a:ln>
            </c:spPr>
          </c:errBars>
          <c:xVal>
            <c:numRef>
              <c:f>L_orb_G!$AF$45:$AF$49</c:f>
              <c:numCache>
                <c:formatCode>0.00</c:formatCode>
                <c:ptCount val="5"/>
                <c:pt idx="0">
                  <c:v>-0.10965175438248749</c:v>
                </c:pt>
                <c:pt idx="1">
                  <c:v>-0.34523251975687808</c:v>
                </c:pt>
                <c:pt idx="2">
                  <c:v>-0.83436671500599979</c:v>
                </c:pt>
                <c:pt idx="3">
                  <c:v>-0.25557571038941063</c:v>
                </c:pt>
                <c:pt idx="4">
                  <c:v>0.14997159988755379</c:v>
                </c:pt>
              </c:numCache>
            </c:numRef>
          </c:xVal>
          <c:yVal>
            <c:numRef>
              <c:f>L_orb_G!$G$45:$G$49</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L_orb_G!$AH$57</c:f>
                <c:numCache>
                  <c:formatCode>General</c:formatCode>
                  <c:ptCount val="1"/>
                  <c:pt idx="0">
                    <c:v>0.15882814086027605</c:v>
                  </c:pt>
                </c:numCache>
              </c:numRef>
            </c:plus>
            <c:minus>
              <c:numRef>
                <c:f>L_orb_G!$AH$58</c:f>
                <c:numCache>
                  <c:formatCode>General</c:formatCode>
                  <c:ptCount val="1"/>
                  <c:pt idx="0">
                    <c:v>0.15882814086027605</c:v>
                  </c:pt>
                </c:numCache>
              </c:numRef>
            </c:minus>
            <c:spPr>
              <a:ln w="12700">
                <a:solidFill>
                  <a:srgbClr val="000000"/>
                </a:solidFill>
                <a:prstDash val="solid"/>
              </a:ln>
            </c:spPr>
          </c:errBars>
          <c:xVal>
            <c:numRef>
              <c:f>L_orb_G!$AH$56</c:f>
              <c:numCache>
                <c:formatCode>General</c:formatCode>
                <c:ptCount val="1"/>
                <c:pt idx="0">
                  <c:v>-0.28698815378003489</c:v>
                </c:pt>
              </c:numCache>
            </c:numRef>
          </c:xVal>
          <c:yVal>
            <c:numRef>
              <c:f>L_orb_G!$I$57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L_orb_G!$AH$61</c:f>
                <c:numCache>
                  <c:formatCode>General</c:formatCode>
                  <c:ptCount val="1"/>
                  <c:pt idx="0">
                    <c:v>0.27482102743292597</c:v>
                  </c:pt>
                </c:numCache>
              </c:numRef>
            </c:plus>
            <c:minus>
              <c:numRef>
                <c:f>L_orb_G!$AH$62</c:f>
                <c:numCache>
                  <c:formatCode>General</c:formatCode>
                  <c:ptCount val="1"/>
                  <c:pt idx="0">
                    <c:v>0.27482102743292597</c:v>
                  </c:pt>
                </c:numCache>
              </c:numRef>
            </c:minus>
            <c:spPr>
              <a:ln w="12700">
                <a:solidFill>
                  <a:srgbClr val="000000"/>
                </a:solidFill>
                <a:prstDash val="solid"/>
              </a:ln>
            </c:spPr>
          </c:errBars>
          <c:xVal>
            <c:numRef>
              <c:f>L_orb_G!$AH$60</c:f>
              <c:numCache>
                <c:formatCode>General</c:formatCode>
                <c:ptCount val="1"/>
                <c:pt idx="0">
                  <c:v>-0.29240023570104073</c:v>
                </c:pt>
              </c:numCache>
            </c:numRef>
          </c:xVal>
          <c:yVal>
            <c:numRef>
              <c:f>L_orb_G!$I$68</c:f>
              <c:numCache>
                <c:formatCode>General</c:formatCode>
                <c:ptCount val="1"/>
                <c:pt idx="0">
                  <c:v>-3</c:v>
                </c:pt>
              </c:numCache>
            </c:numRef>
          </c:yVal>
        </c:ser>
        <c:axId val="137987968"/>
        <c:axId val="137989504"/>
      </c:scatterChart>
      <c:valAx>
        <c:axId val="13798796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7989504"/>
        <c:crosses val="autoZero"/>
        <c:crossBetween val="midCat"/>
      </c:valAx>
      <c:valAx>
        <c:axId val="137989504"/>
        <c:scaling>
          <c:orientation val="minMax"/>
        </c:scaling>
        <c:axPos val="l"/>
        <c:numFmt formatCode="General" sourceLinked="1"/>
        <c:majorTickMark val="none"/>
        <c:tickLblPos val="none"/>
        <c:spPr>
          <a:ln w="3175">
            <a:solidFill>
              <a:srgbClr val="000000"/>
            </a:solidFill>
            <a:prstDash val="solid"/>
          </a:ln>
        </c:spPr>
        <c:crossAx val="1379879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578009666348304"/>
          <c:y val="8.3700305497941455E-2"/>
          <c:w val="0.8081843955379057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03141724248637"/>
                  <c:y val="-3.598105045063199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L_orb_G!$AK$45:$AK$49</c:f>
              <c:numCache>
                <c:formatCode>General</c:formatCode>
                <c:ptCount val="5"/>
                <c:pt idx="0">
                  <c:v>4.0757995610420377</c:v>
                </c:pt>
                <c:pt idx="1">
                  <c:v>3.9953425624279513</c:v>
                </c:pt>
                <c:pt idx="2">
                  <c:v>4.3855496166092029</c:v>
                </c:pt>
                <c:pt idx="3">
                  <c:v>9.3419429877505173</c:v>
                </c:pt>
                <c:pt idx="4">
                  <c:v>3.633894634751123</c:v>
                </c:pt>
              </c:numCache>
            </c:numRef>
          </c:xVal>
          <c:yVal>
            <c:numRef>
              <c:f>L_orb_G!$AL$45:$AL$49</c:f>
              <c:numCache>
                <c:formatCode>General</c:formatCode>
                <c:ptCount val="5"/>
                <c:pt idx="0">
                  <c:v>-0.4469185723796319</c:v>
                </c:pt>
                <c:pt idx="1">
                  <c:v>-1.3793221801189035</c:v>
                </c:pt>
                <c:pt idx="2">
                  <c:v>-3.6591566271060425</c:v>
                </c:pt>
                <c:pt idx="3">
                  <c:v>-2.3875737155117114</c:v>
                </c:pt>
                <c:pt idx="4">
                  <c:v>0.54498099219642382</c:v>
                </c:pt>
              </c:numCache>
            </c:numRef>
          </c:yVal>
        </c:ser>
        <c:axId val="138050560"/>
        <c:axId val="138060928"/>
      </c:scatterChart>
      <c:valAx>
        <c:axId val="13805056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506172342268068"/>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060928"/>
        <c:crosses val="autoZero"/>
        <c:crossBetween val="midCat"/>
      </c:valAx>
      <c:valAx>
        <c:axId val="13806092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197333709245415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0505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4257782886282694E-2"/>
          <c:y val="3.4091044204688906E-2"/>
          <c:w val="0.9347480758971430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R_orb_G!$AG$45:$AG$49</c:f>
                <c:numCache>
                  <c:formatCode>General</c:formatCode>
                  <c:ptCount val="5"/>
                  <c:pt idx="0">
                    <c:v>0.4810416783867712</c:v>
                  </c:pt>
                  <c:pt idx="1">
                    <c:v>0.48936736145237042</c:v>
                  </c:pt>
                  <c:pt idx="2">
                    <c:v>0.44286526093729456</c:v>
                  </c:pt>
                  <c:pt idx="3">
                    <c:v>0.20965922332628109</c:v>
                  </c:pt>
                  <c:pt idx="4">
                    <c:v>0.5420040292845667</c:v>
                  </c:pt>
                </c:numCache>
              </c:numRef>
            </c:plus>
            <c:minus>
              <c:numRef>
                <c:f>R_orb_G!$AH$45:$AH$49</c:f>
                <c:numCache>
                  <c:formatCode>General</c:formatCode>
                  <c:ptCount val="5"/>
                  <c:pt idx="0">
                    <c:v>0.4810416783867712</c:v>
                  </c:pt>
                  <c:pt idx="1">
                    <c:v>0.48936736145237042</c:v>
                  </c:pt>
                  <c:pt idx="2">
                    <c:v>0.44286526093729456</c:v>
                  </c:pt>
                  <c:pt idx="3">
                    <c:v>0.20965922332628109</c:v>
                  </c:pt>
                  <c:pt idx="4">
                    <c:v>0.5420040292845667</c:v>
                  </c:pt>
                </c:numCache>
              </c:numRef>
            </c:minus>
            <c:spPr>
              <a:ln w="12700">
                <a:solidFill>
                  <a:srgbClr val="000000"/>
                </a:solidFill>
                <a:prstDash val="solid"/>
              </a:ln>
            </c:spPr>
          </c:errBars>
          <c:xVal>
            <c:numRef>
              <c:f>R_orb_G!$AF$45:$AF$49</c:f>
              <c:numCache>
                <c:formatCode>0.00</c:formatCode>
                <c:ptCount val="5"/>
                <c:pt idx="0">
                  <c:v>-0.13059632225780424</c:v>
                </c:pt>
                <c:pt idx="1">
                  <c:v>-0.28580509249490016</c:v>
                </c:pt>
                <c:pt idx="2">
                  <c:v>-0.73871808586557974</c:v>
                </c:pt>
                <c:pt idx="3">
                  <c:v>-0.23140586387399834</c:v>
                </c:pt>
                <c:pt idx="4">
                  <c:v>0.30878345868938845</c:v>
                </c:pt>
              </c:numCache>
            </c:numRef>
          </c:xVal>
          <c:yVal>
            <c:numRef>
              <c:f>R_orb_G!$G$45:$G$49</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R_orb_G!$AH$57</c:f>
                <c:numCache>
                  <c:formatCode>General</c:formatCode>
                  <c:ptCount val="1"/>
                  <c:pt idx="0">
                    <c:v>0.1586114566943734</c:v>
                  </c:pt>
                </c:numCache>
              </c:numRef>
            </c:plus>
            <c:minus>
              <c:numRef>
                <c:f>R_orb_G!$AH$58</c:f>
                <c:numCache>
                  <c:formatCode>General</c:formatCode>
                  <c:ptCount val="1"/>
                  <c:pt idx="0">
                    <c:v>0.1586114566943734</c:v>
                  </c:pt>
                </c:numCache>
              </c:numRef>
            </c:minus>
            <c:spPr>
              <a:ln w="12700">
                <a:solidFill>
                  <a:srgbClr val="000000"/>
                </a:solidFill>
                <a:prstDash val="solid"/>
              </a:ln>
            </c:spPr>
          </c:errBars>
          <c:xVal>
            <c:numRef>
              <c:f>R_orb_G!$AH$56</c:f>
              <c:numCache>
                <c:formatCode>General</c:formatCode>
                <c:ptCount val="1"/>
                <c:pt idx="0">
                  <c:v>-0.24497325729910246</c:v>
                </c:pt>
              </c:numCache>
            </c:numRef>
          </c:xVal>
          <c:yVal>
            <c:numRef>
              <c:f>R_orb_G!$I$57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R_orb_G!$AH$61</c:f>
                <c:numCache>
                  <c:formatCode>General</c:formatCode>
                  <c:ptCount val="1"/>
                  <c:pt idx="0">
                    <c:v>0.27590295789915492</c:v>
                  </c:pt>
                </c:numCache>
              </c:numRef>
            </c:plus>
            <c:minus>
              <c:numRef>
                <c:f>R_orb_G!$AH$62</c:f>
                <c:numCache>
                  <c:formatCode>General</c:formatCode>
                  <c:ptCount val="1"/>
                  <c:pt idx="0">
                    <c:v>0.27590295789915492</c:v>
                  </c:pt>
                </c:numCache>
              </c:numRef>
            </c:minus>
            <c:spPr>
              <a:ln w="12700">
                <a:solidFill>
                  <a:srgbClr val="000000"/>
                </a:solidFill>
                <a:prstDash val="solid"/>
              </a:ln>
            </c:spPr>
          </c:errBars>
          <c:xVal>
            <c:numRef>
              <c:f>R_orb_G!$AH$60</c:f>
              <c:numCache>
                <c:formatCode>General</c:formatCode>
                <c:ptCount val="1"/>
                <c:pt idx="0">
                  <c:v>-0.23708872345555207</c:v>
                </c:pt>
              </c:numCache>
            </c:numRef>
          </c:xVal>
          <c:yVal>
            <c:numRef>
              <c:f>R_orb_G!$I$68</c:f>
              <c:numCache>
                <c:formatCode>General</c:formatCode>
                <c:ptCount val="1"/>
                <c:pt idx="0">
                  <c:v>-3</c:v>
                </c:pt>
              </c:numCache>
            </c:numRef>
          </c:yVal>
        </c:ser>
        <c:axId val="138139136"/>
        <c:axId val="138140672"/>
      </c:scatterChart>
      <c:valAx>
        <c:axId val="13813913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140672"/>
        <c:crosses val="autoZero"/>
        <c:crossBetween val="midCat"/>
      </c:valAx>
      <c:valAx>
        <c:axId val="138140672"/>
        <c:scaling>
          <c:orientation val="minMax"/>
        </c:scaling>
        <c:axPos val="l"/>
        <c:numFmt formatCode="General" sourceLinked="1"/>
        <c:majorTickMark val="none"/>
        <c:tickLblPos val="none"/>
        <c:spPr>
          <a:ln w="3175">
            <a:solidFill>
              <a:srgbClr val="000000"/>
            </a:solidFill>
            <a:prstDash val="solid"/>
          </a:ln>
        </c:spPr>
        <c:crossAx val="1381391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578009666348304"/>
          <c:y val="8.3700305497941455E-2"/>
          <c:w val="0.8081843955379057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58523795013573"/>
                  <c:y val="-3.626604105316030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R_orb_G!$AK$45:$AK$49</c:f>
              <c:numCache>
                <c:formatCode>General</c:formatCode>
                <c:ptCount val="5"/>
                <c:pt idx="0">
                  <c:v>4.0744910224267601</c:v>
                </c:pt>
                <c:pt idx="1">
                  <c:v>4.0051710726743357</c:v>
                </c:pt>
                <c:pt idx="2">
                  <c:v>4.4257253229837712</c:v>
                </c:pt>
                <c:pt idx="3">
                  <c:v>9.3485035807356773</c:v>
                </c:pt>
                <c:pt idx="4">
                  <c:v>3.6162092790844316</c:v>
                </c:pt>
              </c:numCache>
            </c:numRef>
          </c:xVal>
          <c:yVal>
            <c:numRef>
              <c:f>R_orb_G!$AL$45:$AL$49</c:f>
              <c:numCache>
                <c:formatCode>General</c:formatCode>
                <c:ptCount val="5"/>
                <c:pt idx="0">
                  <c:v>-0.53211354260137533</c:v>
                </c:pt>
                <c:pt idx="1">
                  <c:v>-1.144698288883587</c:v>
                </c:pt>
                <c:pt idx="2">
                  <c:v>-3.2693633391613961</c:v>
                </c:pt>
                <c:pt idx="3">
                  <c:v>-2.1632985470293065</c:v>
                </c:pt>
                <c:pt idx="4">
                  <c:v>1.1166256085403508</c:v>
                </c:pt>
              </c:numCache>
            </c:numRef>
          </c:yVal>
        </c:ser>
        <c:axId val="138349184"/>
        <c:axId val="138380032"/>
      </c:scatterChart>
      <c:valAx>
        <c:axId val="138349184"/>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506172342268068"/>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380032"/>
        <c:crosses val="autoZero"/>
        <c:crossBetween val="midCat"/>
      </c:valAx>
      <c:valAx>
        <c:axId val="1383800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197333709245415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3491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4257782886282694E-2"/>
          <c:y val="3.4091044204688906E-2"/>
          <c:w val="0.9347480758971430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orb_G_TLR!$AG$40:$AG$46</c:f>
                <c:numCache>
                  <c:formatCode>General</c:formatCode>
                  <c:ptCount val="7"/>
                  <c:pt idx="0">
                    <c:v>0.48096011846829373</c:v>
                  </c:pt>
                  <c:pt idx="1">
                    <c:v>0.4901077105364029</c:v>
                  </c:pt>
                  <c:pt idx="2">
                    <c:v>0.58070905281472607</c:v>
                  </c:pt>
                  <c:pt idx="3">
                    <c:v>0.85266302450890519</c:v>
                  </c:pt>
                  <c:pt idx="4">
                    <c:v>0.20986134366653694</c:v>
                  </c:pt>
                  <c:pt idx="5">
                    <c:v>0.54053980906418841</c:v>
                  </c:pt>
                  <c:pt idx="6">
                    <c:v>0.42594350810875659</c:v>
                  </c:pt>
                </c:numCache>
              </c:numRef>
            </c:plus>
            <c:minus>
              <c:numRef>
                <c:f>orb_G_TLR!$AH$40:$AH$46</c:f>
                <c:numCache>
                  <c:formatCode>General</c:formatCode>
                  <c:ptCount val="7"/>
                  <c:pt idx="0">
                    <c:v>0.48096011846829373</c:v>
                  </c:pt>
                  <c:pt idx="1">
                    <c:v>0.4901077105364029</c:v>
                  </c:pt>
                  <c:pt idx="2">
                    <c:v>0.58070905281472607</c:v>
                  </c:pt>
                  <c:pt idx="3">
                    <c:v>0.85266302450890519</c:v>
                  </c:pt>
                  <c:pt idx="4">
                    <c:v>0.20986134366653694</c:v>
                  </c:pt>
                  <c:pt idx="5">
                    <c:v>0.54053980906418841</c:v>
                  </c:pt>
                  <c:pt idx="6">
                    <c:v>0.42594350810875659</c:v>
                  </c:pt>
                </c:numCache>
              </c:numRef>
            </c:minus>
            <c:spPr>
              <a:ln w="12700">
                <a:solidFill>
                  <a:srgbClr val="000000"/>
                </a:solidFill>
                <a:prstDash val="solid"/>
              </a:ln>
            </c:spPr>
          </c:errBars>
          <c:xVal>
            <c:numRef>
              <c:f>orb_G_TLR!$AF$40:$AF$46</c:f>
              <c:numCache>
                <c:formatCode>0.00</c:formatCode>
                <c:ptCount val="7"/>
                <c:pt idx="0">
                  <c:v>-0.11999095886810902</c:v>
                </c:pt>
                <c:pt idx="1">
                  <c:v>-0.32362993857669159</c:v>
                </c:pt>
                <c:pt idx="2">
                  <c:v>-0.79236838257909825</c:v>
                </c:pt>
                <c:pt idx="3">
                  <c:v>-1.2612887244627822</c:v>
                </c:pt>
                <c:pt idx="4">
                  <c:v>-0.26402344214636803</c:v>
                </c:pt>
                <c:pt idx="5">
                  <c:v>0.23422623918005681</c:v>
                </c:pt>
                <c:pt idx="6">
                  <c:v>-0.61235050304848948</c:v>
                </c:pt>
              </c:numCache>
            </c:numRef>
          </c:xVal>
          <c:yVal>
            <c:numRef>
              <c:f>orb_G_TLR!$G$40:$G$46</c:f>
              <c:numCache>
                <c:formatCode>General</c:formatCode>
                <c:ptCount val="7"/>
                <c:pt idx="0">
                  <c:v>8</c:v>
                </c:pt>
                <c:pt idx="1">
                  <c:v>7</c:v>
                </c:pt>
                <c:pt idx="2">
                  <c:v>6</c:v>
                </c:pt>
                <c:pt idx="3">
                  <c:v>5</c:v>
                </c:pt>
                <c:pt idx="4">
                  <c:v>4</c:v>
                </c:pt>
                <c:pt idx="5">
                  <c:v>3</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orb_G_TLR!$AH$54</c:f>
                <c:numCache>
                  <c:formatCode>General</c:formatCode>
                  <c:ptCount val="1"/>
                  <c:pt idx="0">
                    <c:v>0.14996200690112504</c:v>
                  </c:pt>
                </c:numCache>
              </c:numRef>
            </c:plus>
            <c:minus>
              <c:numRef>
                <c:f>orb_G_TLR!$AH$55</c:f>
                <c:numCache>
                  <c:formatCode>General</c:formatCode>
                  <c:ptCount val="1"/>
                  <c:pt idx="0">
                    <c:v>0.14996200690112504</c:v>
                  </c:pt>
                </c:numCache>
              </c:numRef>
            </c:minus>
            <c:spPr>
              <a:ln w="12700">
                <a:solidFill>
                  <a:srgbClr val="000000"/>
                </a:solidFill>
                <a:prstDash val="solid"/>
              </a:ln>
            </c:spPr>
          </c:errBars>
          <c:xVal>
            <c:numRef>
              <c:f>orb_G_TLR!$AH$53</c:f>
              <c:numCache>
                <c:formatCode>General</c:formatCode>
                <c:ptCount val="1"/>
                <c:pt idx="0">
                  <c:v>-0.32651023969923376</c:v>
                </c:pt>
              </c:numCache>
            </c:numRef>
          </c:xVal>
          <c:yVal>
            <c:numRef>
              <c:f>orb_G_TLR!$I$54</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orb_G_TLR!$AH$58</c:f>
                <c:numCache>
                  <c:formatCode>General</c:formatCode>
                  <c:ptCount val="1"/>
                  <c:pt idx="0">
                    <c:v>0.26618938788289664</c:v>
                  </c:pt>
                </c:numCache>
              </c:numRef>
            </c:plus>
            <c:minus>
              <c:numRef>
                <c:f>orb_G_TLR!$AH$59</c:f>
                <c:numCache>
                  <c:formatCode>General</c:formatCode>
                  <c:ptCount val="1"/>
                  <c:pt idx="0">
                    <c:v>0.26618938788289664</c:v>
                  </c:pt>
                </c:numCache>
              </c:numRef>
            </c:minus>
            <c:spPr>
              <a:ln w="12700">
                <a:solidFill>
                  <a:srgbClr val="000000"/>
                </a:solidFill>
                <a:prstDash val="solid"/>
              </a:ln>
            </c:spPr>
          </c:errBars>
          <c:xVal>
            <c:numRef>
              <c:f>orb_G_TLR!$AH$57</c:f>
              <c:numCache>
                <c:formatCode>General</c:formatCode>
                <c:ptCount val="1"/>
                <c:pt idx="0">
                  <c:v>-0.37808107676834923</c:v>
                </c:pt>
              </c:numCache>
            </c:numRef>
          </c:xVal>
          <c:yVal>
            <c:numRef>
              <c:f>orb_G_TLR!$I$65</c:f>
              <c:numCache>
                <c:formatCode>General</c:formatCode>
                <c:ptCount val="1"/>
                <c:pt idx="0">
                  <c:v>-3</c:v>
                </c:pt>
              </c:numCache>
            </c:numRef>
          </c:yVal>
        </c:ser>
        <c:axId val="138281344"/>
        <c:axId val="138282112"/>
      </c:scatterChart>
      <c:valAx>
        <c:axId val="13828134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282112"/>
        <c:crosses val="autoZero"/>
        <c:crossBetween val="midCat"/>
      </c:valAx>
      <c:valAx>
        <c:axId val="138282112"/>
        <c:scaling>
          <c:orientation val="minMax"/>
        </c:scaling>
        <c:axPos val="l"/>
        <c:numFmt formatCode="General" sourceLinked="1"/>
        <c:majorTickMark val="none"/>
        <c:tickLblPos val="none"/>
        <c:spPr>
          <a:ln w="3175">
            <a:solidFill>
              <a:srgbClr val="000000"/>
            </a:solidFill>
            <a:prstDash val="solid"/>
          </a:ln>
        </c:spPr>
        <c:crossAx val="13828134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CSF!$AG$41:$AG$50</c:f>
                <c:numCache>
                  <c:formatCode>General</c:formatCode>
                  <c:ptCount val="10"/>
                  <c:pt idx="0">
                    <c:v>0.55565715405937888</c:v>
                  </c:pt>
                  <c:pt idx="1">
                    <c:v>0.75023386650394197</c:v>
                  </c:pt>
                  <c:pt idx="2">
                    <c:v>0.43307292571870593</c:v>
                  </c:pt>
                  <c:pt idx="3">
                    <c:v>0.56231949590144426</c:v>
                  </c:pt>
                  <c:pt idx="4">
                    <c:v>0.5956168108295451</c:v>
                  </c:pt>
                  <c:pt idx="5">
                    <c:v>0.64348616275945403</c:v>
                  </c:pt>
                  <c:pt idx="6">
                    <c:v>0.67409487424538395</c:v>
                  </c:pt>
                  <c:pt idx="7">
                    <c:v>0.60448132284670775</c:v>
                  </c:pt>
                  <c:pt idx="8">
                    <c:v>0.7384935920417498</c:v>
                  </c:pt>
                  <c:pt idx="9">
                    <c:v>0.62800855946808321</c:v>
                  </c:pt>
                </c:numCache>
              </c:numRef>
            </c:plus>
            <c:minus>
              <c:numRef>
                <c:f>CSF!$AH$41:$AH$50</c:f>
                <c:numCache>
                  <c:formatCode>General</c:formatCode>
                  <c:ptCount val="10"/>
                  <c:pt idx="0">
                    <c:v>0.55565715405937888</c:v>
                  </c:pt>
                  <c:pt idx="1">
                    <c:v>0.75023386650394197</c:v>
                  </c:pt>
                  <c:pt idx="2">
                    <c:v>0.43307292571870593</c:v>
                  </c:pt>
                  <c:pt idx="3">
                    <c:v>0.56231949590144426</c:v>
                  </c:pt>
                  <c:pt idx="4">
                    <c:v>0.5956168108295451</c:v>
                  </c:pt>
                  <c:pt idx="5">
                    <c:v>0.64348616275945403</c:v>
                  </c:pt>
                  <c:pt idx="6">
                    <c:v>0.67409487424538395</c:v>
                  </c:pt>
                  <c:pt idx="7">
                    <c:v>0.60448132284670775</c:v>
                  </c:pt>
                  <c:pt idx="8">
                    <c:v>0.7384935920417498</c:v>
                  </c:pt>
                  <c:pt idx="9">
                    <c:v>0.62800855946808321</c:v>
                  </c:pt>
                </c:numCache>
              </c:numRef>
            </c:minus>
            <c:spPr>
              <a:ln w="12700">
                <a:solidFill>
                  <a:srgbClr val="000000"/>
                </a:solidFill>
                <a:prstDash val="solid"/>
              </a:ln>
            </c:spPr>
          </c:errBars>
          <c:xVal>
            <c:numRef>
              <c:f>CSF!$AF$41:$AF$50</c:f>
              <c:numCache>
                <c:formatCode>0.00</c:formatCode>
                <c:ptCount val="10"/>
                <c:pt idx="0">
                  <c:v>1.0390887632271966</c:v>
                </c:pt>
                <c:pt idx="1">
                  <c:v>0.97560105943751696</c:v>
                </c:pt>
                <c:pt idx="2">
                  <c:v>0.87498360329605307</c:v>
                </c:pt>
                <c:pt idx="3">
                  <c:v>0.59738880749168277</c:v>
                </c:pt>
                <c:pt idx="4">
                  <c:v>0.24776076273454989</c:v>
                </c:pt>
                <c:pt idx="5">
                  <c:v>0.45726669233645717</c:v>
                </c:pt>
                <c:pt idx="6">
                  <c:v>0.19584900813262079</c:v>
                </c:pt>
                <c:pt idx="7">
                  <c:v>-0.25275258419553515</c:v>
                </c:pt>
                <c:pt idx="8">
                  <c:v>1.1030723316069562</c:v>
                </c:pt>
                <c:pt idx="9">
                  <c:v>0.16166706164677622</c:v>
                </c:pt>
              </c:numCache>
            </c:numRef>
          </c:xVal>
          <c:yVal>
            <c:numRef>
              <c:f>CSF!$G$41:$G$50</c:f>
              <c:numCache>
                <c:formatCode>General</c:formatCode>
                <c:ptCount val="10"/>
                <c:pt idx="0">
                  <c:v>10</c:v>
                </c:pt>
                <c:pt idx="1">
                  <c:v>9</c:v>
                </c:pt>
                <c:pt idx="2">
                  <c:v>8</c:v>
                </c:pt>
                <c:pt idx="3">
                  <c:v>7</c:v>
                </c:pt>
                <c:pt idx="4">
                  <c:v>6</c:v>
                </c:pt>
                <c:pt idx="5">
                  <c:v>5</c:v>
                </c:pt>
                <c:pt idx="6">
                  <c:v>4</c:v>
                </c:pt>
                <c:pt idx="7">
                  <c:v>3</c:v>
                </c:pt>
                <c:pt idx="8">
                  <c:v>2</c:v>
                </c:pt>
                <c:pt idx="9">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CSF!$AH$58</c:f>
                <c:numCache>
                  <c:formatCode>General</c:formatCode>
                  <c:ptCount val="1"/>
                  <c:pt idx="0">
                    <c:v>0.18881284157649747</c:v>
                  </c:pt>
                </c:numCache>
              </c:numRef>
            </c:plus>
            <c:minus>
              <c:numRef>
                <c:f>CSF!$AH$59</c:f>
                <c:numCache>
                  <c:formatCode>General</c:formatCode>
                  <c:ptCount val="1"/>
                  <c:pt idx="0">
                    <c:v>0.18881284157649747</c:v>
                  </c:pt>
                </c:numCache>
              </c:numRef>
            </c:minus>
            <c:spPr>
              <a:ln w="12700">
                <a:solidFill>
                  <a:srgbClr val="000000"/>
                </a:solidFill>
                <a:prstDash val="solid"/>
              </a:ln>
            </c:spPr>
          </c:errBars>
          <c:xVal>
            <c:numRef>
              <c:f>CSF!$AH$57</c:f>
              <c:numCache>
                <c:formatCode>General</c:formatCode>
                <c:ptCount val="1"/>
                <c:pt idx="0">
                  <c:v>0.55713463050574152</c:v>
                </c:pt>
              </c:numCache>
            </c:numRef>
          </c:xVal>
          <c:yVal>
            <c:numRef>
              <c:f>CSF!$I$58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CSF!$AH$62</c:f>
                <c:numCache>
                  <c:formatCode>General</c:formatCode>
                  <c:ptCount val="1"/>
                  <c:pt idx="0">
                    <c:v>0.27818765499143183</c:v>
                  </c:pt>
                </c:numCache>
              </c:numRef>
            </c:plus>
            <c:minus>
              <c:numRef>
                <c:f>CSF!$AH$63</c:f>
                <c:numCache>
                  <c:formatCode>General</c:formatCode>
                  <c:ptCount val="1"/>
                  <c:pt idx="0">
                    <c:v>0.27818765499143183</c:v>
                  </c:pt>
                </c:numCache>
              </c:numRef>
            </c:minus>
            <c:spPr>
              <a:ln w="12700">
                <a:solidFill>
                  <a:srgbClr val="000000"/>
                </a:solidFill>
                <a:prstDash val="solid"/>
              </a:ln>
            </c:spPr>
          </c:errBars>
          <c:xVal>
            <c:numRef>
              <c:f>CSF!$AH$61</c:f>
              <c:numCache>
                <c:formatCode>General</c:formatCode>
                <c:ptCount val="1"/>
                <c:pt idx="0">
                  <c:v>0.53992471257039887</c:v>
                </c:pt>
              </c:numCache>
            </c:numRef>
          </c:xVal>
          <c:yVal>
            <c:numRef>
              <c:f>CSF!$I$69</c:f>
              <c:numCache>
                <c:formatCode>General</c:formatCode>
                <c:ptCount val="1"/>
                <c:pt idx="0">
                  <c:v>-3</c:v>
                </c:pt>
              </c:numCache>
            </c:numRef>
          </c:yVal>
        </c:ser>
        <c:axId val="104619392"/>
        <c:axId val="104629376"/>
      </c:scatterChart>
      <c:valAx>
        <c:axId val="10461939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4629376"/>
        <c:crosses val="autoZero"/>
        <c:crossBetween val="midCat"/>
      </c:valAx>
      <c:valAx>
        <c:axId val="104629376"/>
        <c:scaling>
          <c:orientation val="minMax"/>
        </c:scaling>
        <c:axPos val="l"/>
        <c:numFmt formatCode="General" sourceLinked="1"/>
        <c:majorTickMark val="none"/>
        <c:tickLblPos val="none"/>
        <c:spPr>
          <a:ln w="3175">
            <a:solidFill>
              <a:srgbClr val="000000"/>
            </a:solidFill>
            <a:prstDash val="solid"/>
          </a:ln>
        </c:spPr>
        <c:crossAx val="1046193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578009666348304"/>
          <c:y val="8.3700305497941455E-2"/>
          <c:w val="0.8081843955379057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83852504135201"/>
                  <c:y val="-3.665878263551734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orb_G_TLR!$AK$40:$AK$46</c:f>
              <c:numCache>
                <c:formatCode>General</c:formatCode>
                <c:ptCount val="7"/>
                <c:pt idx="0">
                  <c:v>4.0751819636147415</c:v>
                </c:pt>
                <c:pt idx="1">
                  <c:v>3.9991209235513963</c:v>
                </c:pt>
                <c:pt idx="2">
                  <c:v>3.3751841658052015</c:v>
                </c:pt>
                <c:pt idx="3">
                  <c:v>2.298680655384195</c:v>
                </c:pt>
                <c:pt idx="4">
                  <c:v>9.3394999086367143</c:v>
                </c:pt>
                <c:pt idx="5">
                  <c:v>3.6260049068231579</c:v>
                </c:pt>
                <c:pt idx="6">
                  <c:v>4.6015491789102496</c:v>
                </c:pt>
              </c:numCache>
            </c:numRef>
          </c:xVal>
          <c:yVal>
            <c:numRef>
              <c:f>orb_G_TLR!$AL$40:$AL$46</c:f>
              <c:numCache>
                <c:formatCode>General</c:formatCode>
                <c:ptCount val="7"/>
                <c:pt idx="0">
                  <c:v>-0.48898499137615625</c:v>
                </c:pt>
                <c:pt idx="1">
                  <c:v>-1.2942352588497006</c:v>
                </c:pt>
                <c:pt idx="2">
                  <c:v>-2.6743892183656506</c:v>
                </c:pt>
                <c:pt idx="3">
                  <c:v>-2.8992999917768034</c:v>
                </c:pt>
                <c:pt idx="4">
                  <c:v>-2.4658469138039552</c:v>
                </c:pt>
                <c:pt idx="5">
                  <c:v>0.84930549257362054</c:v>
                </c:pt>
                <c:pt idx="6">
                  <c:v>-2.8177609545080546</c:v>
                </c:pt>
              </c:numCache>
            </c:numRef>
          </c:yVal>
        </c:ser>
        <c:axId val="138343168"/>
        <c:axId val="138345088"/>
      </c:scatterChart>
      <c:valAx>
        <c:axId val="13834316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506172342268068"/>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345088"/>
        <c:crosses val="autoZero"/>
        <c:crossBetween val="midCat"/>
      </c:valAx>
      <c:valAx>
        <c:axId val="1383450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197333709245415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3431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Gmedorb!$AG$33:$AG$35</c:f>
                <c:numCache>
                  <c:formatCode>General</c:formatCode>
                  <c:ptCount val="3"/>
                  <c:pt idx="0">
                    <c:v>0.49095744928352131</c:v>
                  </c:pt>
                  <c:pt idx="1">
                    <c:v>0.48308233938469997</c:v>
                  </c:pt>
                  <c:pt idx="2">
                    <c:v>0.54272912272655116</c:v>
                  </c:pt>
                </c:numCache>
              </c:numRef>
            </c:plus>
            <c:minus>
              <c:numRef>
                <c:f>Gmedorb!$AH$33:$AH$35</c:f>
                <c:numCache>
                  <c:formatCode>General</c:formatCode>
                  <c:ptCount val="3"/>
                  <c:pt idx="0">
                    <c:v>0.49095744928352131</c:v>
                  </c:pt>
                  <c:pt idx="1">
                    <c:v>0.48308233938469997</c:v>
                  </c:pt>
                  <c:pt idx="2">
                    <c:v>0.54272912272655116</c:v>
                  </c:pt>
                </c:numCache>
              </c:numRef>
            </c:minus>
            <c:spPr>
              <a:ln w="12700">
                <a:solidFill>
                  <a:srgbClr val="000000"/>
                </a:solidFill>
                <a:prstDash val="solid"/>
              </a:ln>
            </c:spPr>
          </c:errBars>
          <c:xVal>
            <c:numRef>
              <c:f>Gmedorb!$AF$33:$AF$35</c:f>
              <c:numCache>
                <c:formatCode>0.00</c:formatCode>
                <c:ptCount val="3"/>
                <c:pt idx="0">
                  <c:v>-0.36226657681172131</c:v>
                </c:pt>
                <c:pt idx="1">
                  <c:v>-0.28930175456285118</c:v>
                </c:pt>
                <c:pt idx="2">
                  <c:v>0.33975933826759486</c:v>
                </c:pt>
              </c:numCache>
            </c:numRef>
          </c:xVal>
          <c:yVal>
            <c:numRef>
              <c:f>Gmedorb!$G$33:$G$35</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Gmedorb!$AH$43</c:f>
                <c:numCache>
                  <c:formatCode>General</c:formatCode>
                  <c:ptCount val="1"/>
                  <c:pt idx="0">
                    <c:v>0.29075759638236964</c:v>
                  </c:pt>
                </c:numCache>
              </c:numRef>
            </c:plus>
            <c:minus>
              <c:numRef>
                <c:f>Gmedorb!$AH$44</c:f>
                <c:numCache>
                  <c:formatCode>General</c:formatCode>
                  <c:ptCount val="1"/>
                  <c:pt idx="0">
                    <c:v>0.29075759638236964</c:v>
                  </c:pt>
                </c:numCache>
              </c:numRef>
            </c:minus>
            <c:spPr>
              <a:ln w="12700">
                <a:solidFill>
                  <a:srgbClr val="000000"/>
                </a:solidFill>
                <a:prstDash val="solid"/>
              </a:ln>
            </c:spPr>
          </c:errBars>
          <c:xVal>
            <c:numRef>
              <c:f>Gmedorb!$AH$42</c:f>
              <c:numCache>
                <c:formatCode>General</c:formatCode>
                <c:ptCount val="1"/>
                <c:pt idx="0">
                  <c:v>-0.13434644630037115</c:v>
                </c:pt>
              </c:numCache>
            </c:numRef>
          </c:xVal>
          <c:yVal>
            <c:numRef>
              <c:f>Gmedorb!$I$43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Gmedorb!$AH$47</c:f>
                <c:numCache>
                  <c:formatCode>General</c:formatCode>
                  <c:ptCount val="1"/>
                  <c:pt idx="0">
                    <c:v>0.42014501581700092</c:v>
                  </c:pt>
                </c:numCache>
              </c:numRef>
            </c:plus>
            <c:minus>
              <c:numRef>
                <c:f>Gmedorb!$AH$48</c:f>
                <c:numCache>
                  <c:formatCode>General</c:formatCode>
                  <c:ptCount val="1"/>
                  <c:pt idx="0">
                    <c:v>0.42014501581700092</c:v>
                  </c:pt>
                </c:numCache>
              </c:numRef>
            </c:minus>
            <c:spPr>
              <a:ln w="12700">
                <a:solidFill>
                  <a:srgbClr val="000000"/>
                </a:solidFill>
                <a:prstDash val="solid"/>
              </a:ln>
            </c:spPr>
          </c:errBars>
          <c:xVal>
            <c:numRef>
              <c:f>Gmedorb!$AH$46</c:f>
              <c:numCache>
                <c:formatCode>General</c:formatCode>
                <c:ptCount val="1"/>
                <c:pt idx="0">
                  <c:v>-0.11917689320257341</c:v>
                </c:pt>
              </c:numCache>
            </c:numRef>
          </c:xVal>
          <c:yVal>
            <c:numRef>
              <c:f>Gmedorb!$I$54</c:f>
              <c:numCache>
                <c:formatCode>General</c:formatCode>
                <c:ptCount val="1"/>
                <c:pt idx="0">
                  <c:v>-3</c:v>
                </c:pt>
              </c:numCache>
            </c:numRef>
          </c:yVal>
        </c:ser>
        <c:axId val="138721536"/>
        <c:axId val="138608640"/>
      </c:scatterChart>
      <c:valAx>
        <c:axId val="13872153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608640"/>
        <c:crosses val="autoZero"/>
        <c:crossBetween val="midCat"/>
      </c:valAx>
      <c:valAx>
        <c:axId val="138608640"/>
        <c:scaling>
          <c:orientation val="minMax"/>
        </c:scaling>
        <c:axPos val="l"/>
        <c:numFmt formatCode="General" sourceLinked="1"/>
        <c:majorTickMark val="none"/>
        <c:tickLblPos val="none"/>
        <c:spPr>
          <a:ln w="3175">
            <a:solidFill>
              <a:srgbClr val="000000"/>
            </a:solidFill>
            <a:prstDash val="solid"/>
          </a:ln>
        </c:spPr>
        <c:crossAx val="1387215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0412472329645601"/>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38497384490321"/>
                  <c:y val="-3.372886811734660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Gmedorb!$AK$33:$AK$35</c:f>
              <c:numCache>
                <c:formatCode>General</c:formatCode>
                <c:ptCount val="3"/>
                <c:pt idx="0">
                  <c:v>3.9921993298203859</c:v>
                </c:pt>
                <c:pt idx="1">
                  <c:v>4.057279350134066</c:v>
                </c:pt>
                <c:pt idx="2">
                  <c:v>3.6113779746209178</c:v>
                </c:pt>
              </c:numCache>
            </c:numRef>
          </c:xVal>
          <c:yVal>
            <c:numRef>
              <c:f>Gmedorb!$AL$33:$AL$35</c:f>
              <c:numCache>
                <c:formatCode>General</c:formatCode>
                <c:ptCount val="3"/>
                <c:pt idx="0">
                  <c:v>-1.4462403851640793</c:v>
                </c:pt>
                <c:pt idx="1">
                  <c:v>-1.1737780347454099</c:v>
                </c:pt>
                <c:pt idx="2">
                  <c:v>1.2269993908913701</c:v>
                </c:pt>
              </c:numCache>
            </c:numRef>
          </c:yVal>
        </c:ser>
        <c:axId val="138624384"/>
        <c:axId val="138647040"/>
      </c:scatterChart>
      <c:valAx>
        <c:axId val="138624384"/>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2337446221284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647040"/>
        <c:crosses val="autoZero"/>
        <c:crossBetween val="midCat"/>
      </c:valAx>
      <c:valAx>
        <c:axId val="13864704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6243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Glatorb!$AG$33:$AG$35</c:f>
                <c:numCache>
                  <c:formatCode>General</c:formatCode>
                  <c:ptCount val="3"/>
                  <c:pt idx="0">
                    <c:v>0.49424737165525945</c:v>
                  </c:pt>
                  <c:pt idx="1">
                    <c:v>0.48058959886191394</c:v>
                  </c:pt>
                  <c:pt idx="2">
                    <c:v>0.54464333462980019</c:v>
                  </c:pt>
                </c:numCache>
              </c:numRef>
            </c:plus>
            <c:minus>
              <c:numRef>
                <c:f>Glatorb!$AH$33:$AH$35</c:f>
                <c:numCache>
                  <c:formatCode>General</c:formatCode>
                  <c:ptCount val="3"/>
                  <c:pt idx="0">
                    <c:v>0.49424737165525945</c:v>
                  </c:pt>
                  <c:pt idx="1">
                    <c:v>0.48058959886191394</c:v>
                  </c:pt>
                  <c:pt idx="2">
                    <c:v>0.54464333462980019</c:v>
                  </c:pt>
                </c:numCache>
              </c:numRef>
            </c:minus>
            <c:spPr>
              <a:ln w="12700">
                <a:solidFill>
                  <a:srgbClr val="000000"/>
                </a:solidFill>
                <a:prstDash val="solid"/>
              </a:ln>
            </c:spPr>
          </c:errBars>
          <c:xVal>
            <c:numRef>
              <c:f>Glatorb!$AF$33:$AF$35</c:f>
              <c:numCache>
                <c:formatCode>0.00</c:formatCode>
                <c:ptCount val="3"/>
                <c:pt idx="0">
                  <c:v>-0.48401710769445716</c:v>
                </c:pt>
                <c:pt idx="1">
                  <c:v>4.8274201004820987E-2</c:v>
                </c:pt>
                <c:pt idx="2">
                  <c:v>0.41060921701130737</c:v>
                </c:pt>
              </c:numCache>
            </c:numRef>
          </c:xVal>
          <c:yVal>
            <c:numRef>
              <c:f>Glatorb!$G$33:$G$35</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Glatorb!$AH$43</c:f>
                <c:numCache>
                  <c:formatCode>General</c:formatCode>
                  <c:ptCount val="1"/>
                  <c:pt idx="0">
                    <c:v>0.29118009867480737</c:v>
                  </c:pt>
                </c:numCache>
              </c:numRef>
            </c:plus>
            <c:minus>
              <c:numRef>
                <c:f>Glatorb!$AH$44</c:f>
                <c:numCache>
                  <c:formatCode>General</c:formatCode>
                  <c:ptCount val="1"/>
                  <c:pt idx="0">
                    <c:v>0.29118009867480737</c:v>
                  </c:pt>
                </c:numCache>
              </c:numRef>
            </c:minus>
            <c:spPr>
              <a:ln w="12700">
                <a:solidFill>
                  <a:srgbClr val="000000"/>
                </a:solidFill>
                <a:prstDash val="solid"/>
              </a:ln>
            </c:spPr>
          </c:errBars>
          <c:xVal>
            <c:numRef>
              <c:f>Glatorb!$AH$42</c:f>
              <c:numCache>
                <c:formatCode>General</c:formatCode>
                <c:ptCount val="1"/>
                <c:pt idx="0">
                  <c:v>-3.2911500667733982E-2</c:v>
                </c:pt>
              </c:numCache>
            </c:numRef>
          </c:xVal>
          <c:yVal>
            <c:numRef>
              <c:f>Glatorb!$I$43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Glatorb!$AH$47</c:f>
                <c:numCache>
                  <c:formatCode>General</c:formatCode>
                  <c:ptCount val="1"/>
                  <c:pt idx="0">
                    <c:v>0.4998246004215815</c:v>
                  </c:pt>
                </c:numCache>
              </c:numRef>
            </c:plus>
            <c:minus>
              <c:numRef>
                <c:f>Glatorb!$AH$48</c:f>
                <c:numCache>
                  <c:formatCode>General</c:formatCode>
                  <c:ptCount val="1"/>
                  <c:pt idx="0">
                    <c:v>0.4998246004215815</c:v>
                  </c:pt>
                </c:numCache>
              </c:numRef>
            </c:minus>
            <c:spPr>
              <a:ln w="12700">
                <a:solidFill>
                  <a:srgbClr val="000000"/>
                </a:solidFill>
                <a:prstDash val="solid"/>
              </a:ln>
            </c:spPr>
          </c:errBars>
          <c:xVal>
            <c:numRef>
              <c:f>Glatorb!$AH$46</c:f>
              <c:numCache>
                <c:formatCode>General</c:formatCode>
                <c:ptCount val="1"/>
                <c:pt idx="0">
                  <c:v>-1.7432782827394844E-2</c:v>
                </c:pt>
              </c:numCache>
            </c:numRef>
          </c:xVal>
          <c:yVal>
            <c:numRef>
              <c:f>Glatorb!$I$54</c:f>
              <c:numCache>
                <c:formatCode>General</c:formatCode>
                <c:ptCount val="1"/>
                <c:pt idx="0">
                  <c:v>-3</c:v>
                </c:pt>
              </c:numCache>
            </c:numRef>
          </c:yVal>
        </c:ser>
        <c:axId val="138843264"/>
        <c:axId val="138844800"/>
      </c:scatterChart>
      <c:valAx>
        <c:axId val="13884326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844800"/>
        <c:crosses val="autoZero"/>
        <c:crossBetween val="midCat"/>
      </c:valAx>
      <c:valAx>
        <c:axId val="138844800"/>
        <c:scaling>
          <c:orientation val="minMax"/>
        </c:scaling>
        <c:axPos val="l"/>
        <c:numFmt formatCode="General" sourceLinked="1"/>
        <c:majorTickMark val="none"/>
        <c:tickLblPos val="none"/>
        <c:spPr>
          <a:ln w="3175">
            <a:solidFill>
              <a:srgbClr val="000000"/>
            </a:solidFill>
            <a:prstDash val="solid"/>
          </a:ln>
        </c:spPr>
        <c:crossAx val="13884326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0412472329645601"/>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60974380990233"/>
                  <c:y val="-3.407778677594501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Glatorb!$AK$33:$AK$35</c:f>
              <c:numCache>
                <c:formatCode>General</c:formatCode>
                <c:ptCount val="3"/>
                <c:pt idx="0">
                  <c:v>3.9656255397694089</c:v>
                </c:pt>
                <c:pt idx="1">
                  <c:v>4.0783238019330499</c:v>
                </c:pt>
                <c:pt idx="2">
                  <c:v>3.59868536963228</c:v>
                </c:pt>
              </c:numCache>
            </c:numRef>
          </c:xVal>
          <c:yVal>
            <c:numRef>
              <c:f>Glatorb!$AL$33:$AL$35</c:f>
              <c:numCache>
                <c:formatCode>General</c:formatCode>
                <c:ptCount val="3"/>
                <c:pt idx="0">
                  <c:v>-1.9194306039584599</c:v>
                </c:pt>
                <c:pt idx="1">
                  <c:v>0.19687782297726178</c:v>
                </c:pt>
                <c:pt idx="2">
                  <c:v>1.4776533818947577</c:v>
                </c:pt>
              </c:numCache>
            </c:numRef>
          </c:yVal>
        </c:ser>
        <c:axId val="138860800"/>
        <c:axId val="139039104"/>
      </c:scatterChart>
      <c:valAx>
        <c:axId val="13886080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2337446221284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039104"/>
        <c:crosses val="autoZero"/>
        <c:crossBetween val="midCat"/>
      </c:valAx>
      <c:valAx>
        <c:axId val="13903910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88608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L_sgPFC!$AG$39:$AG$45</c:f>
                <c:numCache>
                  <c:formatCode>General</c:formatCode>
                  <c:ptCount val="7"/>
                  <c:pt idx="0">
                    <c:v>0.68702153381608788</c:v>
                  </c:pt>
                  <c:pt idx="1">
                    <c:v>0.79233088855509415</c:v>
                  </c:pt>
                  <c:pt idx="2">
                    <c:v>0.56135500709994568</c:v>
                  </c:pt>
                  <c:pt idx="3">
                    <c:v>1.0711135881555762</c:v>
                  </c:pt>
                  <c:pt idx="4">
                    <c:v>0.89204404064920706</c:v>
                  </c:pt>
                  <c:pt idx="5">
                    <c:v>0.8778191763087172</c:v>
                  </c:pt>
                  <c:pt idx="6">
                    <c:v>0.3146797341378722</c:v>
                  </c:pt>
                </c:numCache>
              </c:numRef>
            </c:plus>
            <c:minus>
              <c:numRef>
                <c:f>L_sgPFC!$AH$39:$AH$45</c:f>
                <c:numCache>
                  <c:formatCode>General</c:formatCode>
                  <c:ptCount val="7"/>
                  <c:pt idx="0">
                    <c:v>0.68702153381608788</c:v>
                  </c:pt>
                  <c:pt idx="1">
                    <c:v>0.79233088855509415</c:v>
                  </c:pt>
                  <c:pt idx="2">
                    <c:v>0.56135500709994568</c:v>
                  </c:pt>
                  <c:pt idx="3">
                    <c:v>1.0711135881555762</c:v>
                  </c:pt>
                  <c:pt idx="4">
                    <c:v>0.89204404064920706</c:v>
                  </c:pt>
                  <c:pt idx="5">
                    <c:v>0.8778191763087172</c:v>
                  </c:pt>
                  <c:pt idx="6">
                    <c:v>0.3146797341378722</c:v>
                  </c:pt>
                </c:numCache>
              </c:numRef>
            </c:minus>
            <c:spPr>
              <a:ln w="12700">
                <a:solidFill>
                  <a:srgbClr val="000000"/>
                </a:solidFill>
                <a:prstDash val="solid"/>
              </a:ln>
            </c:spPr>
          </c:errBars>
          <c:xVal>
            <c:numRef>
              <c:f>L_sgPFC!$AF$39:$AF$45</c:f>
              <c:numCache>
                <c:formatCode>0.00</c:formatCode>
                <c:ptCount val="7"/>
                <c:pt idx="0">
                  <c:v>-1.0576873900985764</c:v>
                </c:pt>
                <c:pt idx="1">
                  <c:v>-0.58855477128403644</c:v>
                </c:pt>
                <c:pt idx="2">
                  <c:v>0.12778624341763811</c:v>
                </c:pt>
                <c:pt idx="3">
                  <c:v>-1.0832258395371137</c:v>
                </c:pt>
                <c:pt idx="4">
                  <c:v>-0.4788348789415498</c:v>
                </c:pt>
                <c:pt idx="5">
                  <c:v>-0.13705204397065959</c:v>
                </c:pt>
                <c:pt idx="6">
                  <c:v>0.20304383371482604</c:v>
                </c:pt>
              </c:numCache>
            </c:numRef>
          </c:xVal>
          <c:yVal>
            <c:numRef>
              <c:f>L_sgPFC!$G$39:$G$45</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L_sgPFC!$AH$53</c:f>
                <c:numCache>
                  <c:formatCode>General</c:formatCode>
                  <c:ptCount val="1"/>
                  <c:pt idx="0">
                    <c:v>0.22135147274389377</c:v>
                  </c:pt>
                </c:numCache>
              </c:numRef>
            </c:plus>
            <c:minus>
              <c:numRef>
                <c:f>L_sgPFC!$AH$54</c:f>
                <c:numCache>
                  <c:formatCode>General</c:formatCode>
                  <c:ptCount val="1"/>
                  <c:pt idx="0">
                    <c:v>0.22135147274389377</c:v>
                  </c:pt>
                </c:numCache>
              </c:numRef>
            </c:minus>
            <c:spPr>
              <a:ln w="12700">
                <a:solidFill>
                  <a:srgbClr val="000000"/>
                </a:solidFill>
                <a:prstDash val="solid"/>
              </a:ln>
            </c:spPr>
          </c:errBars>
          <c:xVal>
            <c:numRef>
              <c:f>L_sgPFC!$AH$52</c:f>
              <c:numCache>
                <c:formatCode>General</c:formatCode>
                <c:ptCount val="1"/>
                <c:pt idx="0">
                  <c:v>-0.1198533933838586</c:v>
                </c:pt>
              </c:numCache>
            </c:numRef>
          </c:xVal>
          <c:yVal>
            <c:numRef>
              <c:f>L_sgPFC!$I$53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L_sgPFC!$AH$57</c:f>
                <c:numCache>
                  <c:formatCode>General</c:formatCode>
                  <c:ptCount val="1"/>
                  <c:pt idx="0">
                    <c:v>0.42969557537672387</c:v>
                  </c:pt>
                </c:numCache>
              </c:numRef>
            </c:plus>
            <c:minus>
              <c:numRef>
                <c:f>L_sgPFC!$AH$58</c:f>
                <c:numCache>
                  <c:formatCode>General</c:formatCode>
                  <c:ptCount val="1"/>
                  <c:pt idx="0">
                    <c:v>0.42969557537672387</c:v>
                  </c:pt>
                </c:numCache>
              </c:numRef>
            </c:minus>
            <c:spPr>
              <a:ln w="12700">
                <a:solidFill>
                  <a:srgbClr val="000000"/>
                </a:solidFill>
                <a:prstDash val="solid"/>
              </a:ln>
            </c:spPr>
          </c:errBars>
          <c:xVal>
            <c:numRef>
              <c:f>L_sgPFC!$AH$56</c:f>
              <c:numCache>
                <c:formatCode>General</c:formatCode>
                <c:ptCount val="1"/>
                <c:pt idx="0">
                  <c:v>-0.34797138663360683</c:v>
                </c:pt>
              </c:numCache>
            </c:numRef>
          </c:xVal>
          <c:yVal>
            <c:numRef>
              <c:f>L_sgPFC!$I$64</c:f>
              <c:numCache>
                <c:formatCode>General</c:formatCode>
                <c:ptCount val="1"/>
                <c:pt idx="0">
                  <c:v>-3</c:v>
                </c:pt>
              </c:numCache>
            </c:numRef>
          </c:yVal>
        </c:ser>
        <c:axId val="135085056"/>
        <c:axId val="135090944"/>
      </c:scatterChart>
      <c:valAx>
        <c:axId val="13508505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5090944"/>
        <c:crosses val="autoZero"/>
        <c:crossBetween val="midCat"/>
      </c:valAx>
      <c:valAx>
        <c:axId val="135090944"/>
        <c:scaling>
          <c:orientation val="minMax"/>
        </c:scaling>
        <c:axPos val="l"/>
        <c:numFmt formatCode="General" sourceLinked="1"/>
        <c:majorTickMark val="none"/>
        <c:tickLblPos val="none"/>
        <c:spPr>
          <a:ln w="3175">
            <a:solidFill>
              <a:srgbClr val="000000"/>
            </a:solidFill>
            <a:prstDash val="solid"/>
          </a:ln>
        </c:spPr>
        <c:crossAx val="13508505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0119167964491417"/>
                  <c:y val="-3.2162123691360213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L_sgPFC!$AK$39:$AK$45</c:f>
              <c:numCache>
                <c:formatCode>General</c:formatCode>
                <c:ptCount val="7"/>
                <c:pt idx="0">
                  <c:v>2.8528945652010407</c:v>
                </c:pt>
                <c:pt idx="1">
                  <c:v>2.4737139852950625</c:v>
                </c:pt>
                <c:pt idx="2">
                  <c:v>3.491551647727682</c:v>
                </c:pt>
                <c:pt idx="3">
                  <c:v>1.8298712869239742</c:v>
                </c:pt>
                <c:pt idx="4">
                  <c:v>2.1972009348031309</c:v>
                </c:pt>
                <c:pt idx="5">
                  <c:v>2.2328060868320496</c:v>
                </c:pt>
                <c:pt idx="6">
                  <c:v>6.2285549000154399</c:v>
                </c:pt>
              </c:numCache>
            </c:numRef>
          </c:xVal>
          <c:yVal>
            <c:numRef>
              <c:f>L_sgPFC!$AL$39:$AL$45</c:f>
              <c:numCache>
                <c:formatCode>General</c:formatCode>
                <c:ptCount val="7"/>
                <c:pt idx="0">
                  <c:v>-3.0174706068939012</c:v>
                </c:pt>
                <c:pt idx="1">
                  <c:v>-1.4559161688374578</c:v>
                </c:pt>
                <c:pt idx="2">
                  <c:v>0.44617226876178501</c:v>
                </c:pt>
                <c:pt idx="3">
                  <c:v>-1.9821638610230805</c:v>
                </c:pt>
                <c:pt idx="4">
                  <c:v>-1.0520964436267173</c:v>
                </c:pt>
                <c:pt idx="5">
                  <c:v>-0.30601063799046246</c:v>
                </c:pt>
                <c:pt idx="6">
                  <c:v>1.2646696654023999</c:v>
                </c:pt>
              </c:numCache>
            </c:numRef>
          </c:yVal>
        </c:ser>
        <c:axId val="137044352"/>
        <c:axId val="137046272"/>
      </c:scatterChart>
      <c:valAx>
        <c:axId val="13704435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046272"/>
        <c:crosses val="autoZero"/>
        <c:crossBetween val="midCat"/>
      </c:valAx>
      <c:valAx>
        <c:axId val="13704627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70443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R_sgPFC!$AG$37:$AG$42</c:f>
                <c:numCache>
                  <c:formatCode>General</c:formatCode>
                  <c:ptCount val="6"/>
                  <c:pt idx="0">
                    <c:v>0.78220290005619642</c:v>
                  </c:pt>
                  <c:pt idx="1">
                    <c:v>0.56287706895196132</c:v>
                  </c:pt>
                  <c:pt idx="2">
                    <c:v>1.0210198478163464</c:v>
                  </c:pt>
                  <c:pt idx="3">
                    <c:v>0.89282618458033436</c:v>
                  </c:pt>
                  <c:pt idx="4">
                    <c:v>0.87807617086669543</c:v>
                  </c:pt>
                  <c:pt idx="5">
                    <c:v>0.31437136850709468</c:v>
                  </c:pt>
                </c:numCache>
              </c:numRef>
            </c:plus>
            <c:minus>
              <c:numRef>
                <c:f>R_sgPFC!$AH$37:$AH$42</c:f>
                <c:numCache>
                  <c:formatCode>General</c:formatCode>
                  <c:ptCount val="6"/>
                  <c:pt idx="0">
                    <c:v>0.78220290005619642</c:v>
                  </c:pt>
                  <c:pt idx="1">
                    <c:v>0.56287706895196132</c:v>
                  </c:pt>
                  <c:pt idx="2">
                    <c:v>1.0210198478163464</c:v>
                  </c:pt>
                  <c:pt idx="3">
                    <c:v>0.89282618458033436</c:v>
                  </c:pt>
                  <c:pt idx="4">
                    <c:v>0.87807617086669543</c:v>
                  </c:pt>
                  <c:pt idx="5">
                    <c:v>0.31437136850709468</c:v>
                  </c:pt>
                </c:numCache>
              </c:numRef>
            </c:minus>
            <c:spPr>
              <a:ln w="12700">
                <a:solidFill>
                  <a:srgbClr val="000000"/>
                </a:solidFill>
                <a:prstDash val="solid"/>
              </a:ln>
            </c:spPr>
          </c:errBars>
          <c:xVal>
            <c:numRef>
              <c:f>R_sgPFC!$AF$37:$AF$42</c:f>
              <c:numCache>
                <c:formatCode>0.00</c:formatCode>
                <c:ptCount val="6"/>
                <c:pt idx="0">
                  <c:v>-0.25223775912172963</c:v>
                </c:pt>
                <c:pt idx="1">
                  <c:v>-0.25041393667321449</c:v>
                </c:pt>
                <c:pt idx="2">
                  <c:v>-0.71788569754395415</c:v>
                </c:pt>
                <c:pt idx="3">
                  <c:v>-0.49087182516892996</c:v>
                </c:pt>
                <c:pt idx="4">
                  <c:v>-0.1501874006607235</c:v>
                </c:pt>
                <c:pt idx="5">
                  <c:v>0.1608432900319525</c:v>
                </c:pt>
              </c:numCache>
            </c:numRef>
          </c:xVal>
          <c:yVal>
            <c:numRef>
              <c:f>R_sgPFC!$G$37:$G$42</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R_sgPFC!$AH$50</c:f>
                <c:numCache>
                  <c:formatCode>General</c:formatCode>
                  <c:ptCount val="1"/>
                  <c:pt idx="0">
                    <c:v>0.2330005810033127</c:v>
                  </c:pt>
                </c:numCache>
              </c:numRef>
            </c:plus>
            <c:minus>
              <c:numRef>
                <c:f>R_sgPFC!$AH$51</c:f>
                <c:numCache>
                  <c:formatCode>General</c:formatCode>
                  <c:ptCount val="1"/>
                  <c:pt idx="0">
                    <c:v>0.2330005810033127</c:v>
                  </c:pt>
                </c:numCache>
              </c:numRef>
            </c:minus>
            <c:spPr>
              <a:ln w="12700">
                <a:solidFill>
                  <a:srgbClr val="000000"/>
                </a:solidFill>
                <a:prstDash val="solid"/>
              </a:ln>
            </c:spPr>
          </c:errBars>
          <c:xVal>
            <c:numRef>
              <c:f>R_sgPFC!$AH$49</c:f>
              <c:numCache>
                <c:formatCode>General</c:formatCode>
                <c:ptCount val="1"/>
                <c:pt idx="0">
                  <c:v>-5.832631982696318E-2</c:v>
                </c:pt>
              </c:numCache>
            </c:numRef>
          </c:xVal>
          <c:yVal>
            <c:numRef>
              <c:f>R_sgPFC!$I$50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R_sgPFC!$AH$54</c:f>
                <c:numCache>
                  <c:formatCode>General</c:formatCode>
                  <c:ptCount val="1"/>
                  <c:pt idx="0">
                    <c:v>0.23894849769574567</c:v>
                  </c:pt>
                </c:numCache>
              </c:numRef>
            </c:plus>
            <c:minus>
              <c:numRef>
                <c:f>R_sgPFC!$AH$55</c:f>
                <c:numCache>
                  <c:formatCode>General</c:formatCode>
                  <c:ptCount val="1"/>
                  <c:pt idx="0">
                    <c:v>0.23894849769574567</c:v>
                  </c:pt>
                </c:numCache>
              </c:numRef>
            </c:minus>
            <c:spPr>
              <a:ln w="12700">
                <a:solidFill>
                  <a:srgbClr val="000000"/>
                </a:solidFill>
                <a:prstDash val="solid"/>
              </a:ln>
            </c:spPr>
          </c:errBars>
          <c:xVal>
            <c:numRef>
              <c:f>R_sgPFC!$AH$53</c:f>
              <c:numCache>
                <c:formatCode>General</c:formatCode>
                <c:ptCount val="1"/>
                <c:pt idx="0">
                  <c:v>-6.6205143843077408E-2</c:v>
                </c:pt>
              </c:numCache>
            </c:numRef>
          </c:xVal>
          <c:yVal>
            <c:numRef>
              <c:f>R_sgPFC!$I$61</c:f>
              <c:numCache>
                <c:formatCode>General</c:formatCode>
                <c:ptCount val="1"/>
                <c:pt idx="0">
                  <c:v>-3</c:v>
                </c:pt>
              </c:numCache>
            </c:numRef>
          </c:yVal>
        </c:ser>
        <c:axId val="139474048"/>
        <c:axId val="139475584"/>
      </c:scatterChart>
      <c:valAx>
        <c:axId val="13947404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75584"/>
        <c:crosses val="autoZero"/>
        <c:crossBetween val="midCat"/>
      </c:valAx>
      <c:valAx>
        <c:axId val="139475584"/>
        <c:scaling>
          <c:orientation val="minMax"/>
        </c:scaling>
        <c:axPos val="l"/>
        <c:numFmt formatCode="General" sourceLinked="1"/>
        <c:majorTickMark val="none"/>
        <c:tickLblPos val="none"/>
        <c:spPr>
          <a:ln w="3175">
            <a:solidFill>
              <a:srgbClr val="000000"/>
            </a:solidFill>
            <a:prstDash val="solid"/>
          </a:ln>
        </c:spPr>
        <c:crossAx val="1394740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0153704205158127"/>
                  <c:y val="-3.495226684580490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R_sgPFC!$AK$37:$AK$42</c:f>
              <c:numCache>
                <c:formatCode>General</c:formatCode>
                <c:ptCount val="6"/>
                <c:pt idx="0">
                  <c:v>2.5057437141426937</c:v>
                </c:pt>
                <c:pt idx="1">
                  <c:v>3.4821102299466316</c:v>
                </c:pt>
                <c:pt idx="2">
                  <c:v>1.9196492645974013</c:v>
                </c:pt>
                <c:pt idx="3">
                  <c:v>2.1952761174015989</c:v>
                </c:pt>
                <c:pt idx="4">
                  <c:v>2.2321525911190636</c:v>
                </c:pt>
                <c:pt idx="5">
                  <c:v>6.2346644648581186</c:v>
                </c:pt>
              </c:numCache>
            </c:numRef>
          </c:xVal>
          <c:yVal>
            <c:numRef>
              <c:f>R_sgPFC!$AL$37:$AL$42</c:f>
              <c:numCache>
                <c:formatCode>General</c:formatCode>
                <c:ptCount val="6"/>
                <c:pt idx="0">
                  <c:v>-0.63204317938871291</c:v>
                </c:pt>
                <c:pt idx="1">
                  <c:v>-0.87196893061100811</c:v>
                </c:pt>
                <c:pt idx="2">
                  <c:v>-1.378088751355244</c:v>
                </c:pt>
                <c:pt idx="3">
                  <c:v>-1.0775991944986851</c:v>
                </c:pt>
                <c:pt idx="4">
                  <c:v>-0.33524119553827098</c:v>
                </c:pt>
                <c:pt idx="5">
                  <c:v>1.0028039447730823</c:v>
                </c:pt>
              </c:numCache>
            </c:numRef>
          </c:yVal>
        </c:ser>
        <c:axId val="139499776"/>
        <c:axId val="139522432"/>
      </c:scatterChart>
      <c:valAx>
        <c:axId val="13949977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522432"/>
        <c:crosses val="autoZero"/>
        <c:crossBetween val="midCat"/>
      </c:valAx>
      <c:valAx>
        <c:axId val="1395224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4997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sgPFC_TLR!$AG$40:$AG$47</c:f>
                <c:numCache>
                  <c:formatCode>General</c:formatCode>
                  <c:ptCount val="8"/>
                  <c:pt idx="0">
                    <c:v>0.78697366012950254</c:v>
                  </c:pt>
                  <c:pt idx="1">
                    <c:v>0.56092099956372088</c:v>
                  </c:pt>
                  <c:pt idx="2">
                    <c:v>1.05337305532637</c:v>
                  </c:pt>
                  <c:pt idx="3">
                    <c:v>0.89423562986899496</c:v>
                  </c:pt>
                  <c:pt idx="4">
                    <c:v>0.87814498665249152</c:v>
                  </c:pt>
                  <c:pt idx="5">
                    <c:v>0.31461332819099908</c:v>
                  </c:pt>
                  <c:pt idx="6">
                    <c:v>0.67068298086192979</c:v>
                  </c:pt>
                  <c:pt idx="7">
                    <c:v>0.31810287637219653</c:v>
                  </c:pt>
                </c:numCache>
              </c:numRef>
            </c:plus>
            <c:minus>
              <c:numRef>
                <c:f>sgPFC_TLR!$AH$40:$AH$47</c:f>
                <c:numCache>
                  <c:formatCode>General</c:formatCode>
                  <c:ptCount val="8"/>
                  <c:pt idx="0">
                    <c:v>0.78697366012950254</c:v>
                  </c:pt>
                  <c:pt idx="1">
                    <c:v>0.56092099956372088</c:v>
                  </c:pt>
                  <c:pt idx="2">
                    <c:v>1.05337305532637</c:v>
                  </c:pt>
                  <c:pt idx="3">
                    <c:v>0.89423562986899496</c:v>
                  </c:pt>
                  <c:pt idx="4">
                    <c:v>0.87814498665249152</c:v>
                  </c:pt>
                  <c:pt idx="5">
                    <c:v>0.31461332819099908</c:v>
                  </c:pt>
                  <c:pt idx="6">
                    <c:v>0.67068298086192979</c:v>
                  </c:pt>
                  <c:pt idx="7">
                    <c:v>0.31810287637219653</c:v>
                  </c:pt>
                </c:numCache>
              </c:numRef>
            </c:minus>
            <c:spPr>
              <a:ln w="12700">
                <a:solidFill>
                  <a:srgbClr val="000000"/>
                </a:solidFill>
                <a:prstDash val="solid"/>
              </a:ln>
            </c:spPr>
          </c:errBars>
          <c:xVal>
            <c:numRef>
              <c:f>sgPFC_TLR!$AF$40:$AF$47</c:f>
              <c:numCache>
                <c:formatCode>0.00</c:formatCode>
                <c:ptCount val="8"/>
                <c:pt idx="0">
                  <c:v>-0.44313657262309947</c:v>
                </c:pt>
                <c:pt idx="1">
                  <c:v>-5.5928124881942112E-2</c:v>
                </c:pt>
                <c:pt idx="2">
                  <c:v>-0.96785303105874154</c:v>
                </c:pt>
                <c:pt idx="3">
                  <c:v>-0.51187381333713655</c:v>
                </c:pt>
                <c:pt idx="4">
                  <c:v>-0.15351463181434649</c:v>
                </c:pt>
                <c:pt idx="5">
                  <c:v>0.19472696474195225</c:v>
                </c:pt>
                <c:pt idx="6">
                  <c:v>-0.16230033441239403</c:v>
                </c:pt>
                <c:pt idx="7">
                  <c:v>-0.2501816425497812</c:v>
                </c:pt>
              </c:numCache>
            </c:numRef>
          </c:xVal>
          <c:yVal>
            <c:numRef>
              <c:f>sgPFC_TLR!$G$40:$G$47</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sgPFC_TLR!$AH$55</c:f>
                <c:numCache>
                  <c:formatCode>General</c:formatCode>
                  <c:ptCount val="1"/>
                  <c:pt idx="0">
                    <c:v>0.18122010420766452</c:v>
                  </c:pt>
                </c:numCache>
              </c:numRef>
            </c:plus>
            <c:minus>
              <c:numRef>
                <c:f>sgPFC_TLR!$AH$56</c:f>
                <c:numCache>
                  <c:formatCode>General</c:formatCode>
                  <c:ptCount val="1"/>
                  <c:pt idx="0">
                    <c:v>0.18122010420766452</c:v>
                  </c:pt>
                </c:numCache>
              </c:numRef>
            </c:minus>
            <c:spPr>
              <a:ln w="12700">
                <a:solidFill>
                  <a:srgbClr val="000000"/>
                </a:solidFill>
                <a:prstDash val="solid"/>
              </a:ln>
            </c:spPr>
          </c:errBars>
          <c:xVal>
            <c:numRef>
              <c:f>sgPFC_TLR!$AH$54</c:f>
              <c:numCache>
                <c:formatCode>General</c:formatCode>
                <c:ptCount val="1"/>
                <c:pt idx="0">
                  <c:v>-0.11397825203657724</c:v>
                </c:pt>
              </c:numCache>
            </c:numRef>
          </c:xVal>
          <c:yVal>
            <c:numRef>
              <c:f>sgPFC_TLR!$I$55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sgPFC_TLR!$AH$59</c:f>
                <c:numCache>
                  <c:formatCode>General</c:formatCode>
                  <c:ptCount val="1"/>
                  <c:pt idx="0">
                    <c:v>0.21484800957247935</c:v>
                  </c:pt>
                </c:numCache>
              </c:numRef>
            </c:plus>
            <c:minus>
              <c:numRef>
                <c:f>sgPFC_TLR!$AH$60</c:f>
                <c:numCache>
                  <c:formatCode>General</c:formatCode>
                  <c:ptCount val="1"/>
                  <c:pt idx="0">
                    <c:v>0.21484800957247935</c:v>
                  </c:pt>
                </c:numCache>
              </c:numRef>
            </c:minus>
            <c:spPr>
              <a:ln w="12700">
                <a:solidFill>
                  <a:srgbClr val="000000"/>
                </a:solidFill>
                <a:prstDash val="solid"/>
              </a:ln>
            </c:spPr>
          </c:errBars>
          <c:xVal>
            <c:numRef>
              <c:f>sgPFC_TLR!$AH$58</c:f>
              <c:numCache>
                <c:formatCode>General</c:formatCode>
                <c:ptCount val="1"/>
                <c:pt idx="0">
                  <c:v>-0.14059433045145497</c:v>
                </c:pt>
              </c:numCache>
            </c:numRef>
          </c:xVal>
          <c:yVal>
            <c:numRef>
              <c:f>sgPFC_TLR!$I$66</c:f>
              <c:numCache>
                <c:formatCode>General</c:formatCode>
                <c:ptCount val="1"/>
                <c:pt idx="0">
                  <c:v>-3</c:v>
                </c:pt>
              </c:numCache>
            </c:numRef>
          </c:yVal>
        </c:ser>
        <c:axId val="139570560"/>
        <c:axId val="139584640"/>
      </c:scatterChart>
      <c:valAx>
        <c:axId val="13957056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584640"/>
        <c:crosses val="autoZero"/>
        <c:crossBetween val="midCat"/>
      </c:valAx>
      <c:valAx>
        <c:axId val="139584640"/>
        <c:scaling>
          <c:orientation val="minMax"/>
        </c:scaling>
        <c:axPos val="l"/>
        <c:numFmt formatCode="General" sourceLinked="1"/>
        <c:majorTickMark val="none"/>
        <c:tickLblPos val="none"/>
        <c:spPr>
          <a:ln w="3175">
            <a:solidFill>
              <a:srgbClr val="000000"/>
            </a:solidFill>
            <a:prstDash val="solid"/>
          </a:ln>
        </c:spPr>
        <c:crossAx val="1395705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412454393256087"/>
                  <c:y val="-3.581394592565384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CSF!$AK$41:$AK$50</c:f>
              <c:numCache>
                <c:formatCode>General</c:formatCode>
                <c:ptCount val="10"/>
                <c:pt idx="0">
                  <c:v>3.5273549268305642</c:v>
                </c:pt>
                <c:pt idx="1">
                  <c:v>2.6125186925158643</c:v>
                </c:pt>
                <c:pt idx="2">
                  <c:v>4.5257966582586135</c:v>
                </c:pt>
                <c:pt idx="3">
                  <c:v>3.4855629482629964</c:v>
                </c:pt>
                <c:pt idx="4">
                  <c:v>3.2907063137962993</c:v>
                </c:pt>
                <c:pt idx="5">
                  <c:v>3.0459085422986489</c:v>
                </c:pt>
                <c:pt idx="6">
                  <c:v>2.9076025866449786</c:v>
                </c:pt>
                <c:pt idx="7">
                  <c:v>3.2424492303082162</c:v>
                </c:pt>
                <c:pt idx="8">
                  <c:v>2.6540514652010603</c:v>
                </c:pt>
                <c:pt idx="9">
                  <c:v>3.1209765702239789</c:v>
                </c:pt>
              </c:numCache>
            </c:numRef>
          </c:xVal>
          <c:yVal>
            <c:numRef>
              <c:f>CSF!$AL$41:$AL$50</c:f>
              <c:numCache>
                <c:formatCode>General</c:formatCode>
                <c:ptCount val="10"/>
                <c:pt idx="0">
                  <c:v>3.6652348683837292</c:v>
                </c:pt>
                <c:pt idx="1">
                  <c:v>2.5487760042187939</c:v>
                </c:pt>
                <c:pt idx="2">
                  <c:v>3.9599978678283572</c:v>
                </c:pt>
                <c:pt idx="3">
                  <c:v>2.0822362931000256</c:v>
                </c:pt>
                <c:pt idx="4">
                  <c:v>0.81530790624157023</c:v>
                </c:pt>
                <c:pt idx="5">
                  <c:v>1.3927925242962631</c:v>
                </c:pt>
                <c:pt idx="6">
                  <c:v>0.56945108263826172</c:v>
                </c:pt>
                <c:pt idx="7">
                  <c:v>-0.81953742208322555</c:v>
                </c:pt>
                <c:pt idx="8">
                  <c:v>2.9276107379241916</c:v>
                </c:pt>
                <c:pt idx="9">
                  <c:v>0.50455911157654421</c:v>
                </c:pt>
              </c:numCache>
            </c:numRef>
          </c:yVal>
        </c:ser>
        <c:axId val="104866560"/>
        <c:axId val="104868480"/>
      </c:scatterChart>
      <c:valAx>
        <c:axId val="10486656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4868480"/>
        <c:crosses val="autoZero"/>
        <c:crossBetween val="midCat"/>
      </c:valAx>
      <c:valAx>
        <c:axId val="10486848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48665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0132284918165217"/>
                  <c:y val="-3.3381047705122076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sgPFC_TLR!$AK$40:$AK$47</c:f>
              <c:numCache>
                <c:formatCode>General</c:formatCode>
                <c:ptCount val="8"/>
                <c:pt idx="0">
                  <c:v>2.4905534953704387</c:v>
                </c:pt>
                <c:pt idx="1">
                  <c:v>3.4942532041490155</c:v>
                </c:pt>
                <c:pt idx="2">
                  <c:v>1.8606893256755335</c:v>
                </c:pt>
                <c:pt idx="3">
                  <c:v>2.1918160432582394</c:v>
                </c:pt>
                <c:pt idx="4">
                  <c:v>2.231977668598399</c:v>
                </c:pt>
                <c:pt idx="5">
                  <c:v>6.2298695712284022</c:v>
                </c:pt>
                <c:pt idx="6">
                  <c:v>2.9223941205144364</c:v>
                </c:pt>
                <c:pt idx="7">
                  <c:v>6.1615286927072619</c:v>
                </c:pt>
              </c:numCache>
            </c:numRef>
          </c:xVal>
          <c:yVal>
            <c:numRef>
              <c:f>sgPFC_TLR!$AL$40:$AL$47</c:f>
              <c:numCache>
                <c:formatCode>General</c:formatCode>
                <c:ptCount val="8"/>
                <c:pt idx="0">
                  <c:v>-1.1036553398729365</c:v>
                </c:pt>
                <c:pt idx="1">
                  <c:v>-0.19542702957077249</c:v>
                </c:pt>
                <c:pt idx="2">
                  <c:v>-1.8008738037137109</c:v>
                </c:pt>
                <c:pt idx="3">
                  <c:v>-1.1219332361961092</c:v>
                </c:pt>
                <c:pt idx="4">
                  <c:v>-0.34264123001272667</c:v>
                </c:pt>
                <c:pt idx="5">
                  <c:v>1.2131235923435544</c:v>
                </c:pt>
                <c:pt idx="6">
                  <c:v>-0.47430554304430717</c:v>
                </c:pt>
                <c:pt idx="7">
                  <c:v>-1.5415013689591088</c:v>
                </c:pt>
              </c:numCache>
            </c:numRef>
          </c:yVal>
        </c:ser>
        <c:axId val="139760384"/>
        <c:axId val="139762304"/>
      </c:scatterChart>
      <c:valAx>
        <c:axId val="139760384"/>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762304"/>
        <c:crosses val="autoZero"/>
        <c:crossBetween val="midCat"/>
      </c:valAx>
      <c:valAx>
        <c:axId val="13976230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7603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gyrus_rectus!$AG$32:$AG$34</c:f>
                <c:numCache>
                  <c:formatCode>General</c:formatCode>
                  <c:ptCount val="3"/>
                  <c:pt idx="0">
                    <c:v>0.69816039735857538</c:v>
                  </c:pt>
                  <c:pt idx="1">
                    <c:v>0.42428423029915346</c:v>
                  </c:pt>
                  <c:pt idx="2">
                    <c:v>0.59752801889245433</c:v>
                  </c:pt>
                </c:numCache>
              </c:numRef>
            </c:plus>
            <c:minus>
              <c:numRef>
                <c:f>gyrus_rectus!$AH$32:$AH$34</c:f>
                <c:numCache>
                  <c:formatCode>General</c:formatCode>
                  <c:ptCount val="3"/>
                  <c:pt idx="0">
                    <c:v>0.69816039735857538</c:v>
                  </c:pt>
                  <c:pt idx="1">
                    <c:v>0.42428423029915346</c:v>
                  </c:pt>
                  <c:pt idx="2">
                    <c:v>0.59752801889245433</c:v>
                  </c:pt>
                </c:numCache>
              </c:numRef>
            </c:minus>
            <c:spPr>
              <a:ln w="12700">
                <a:solidFill>
                  <a:srgbClr val="000000"/>
                </a:solidFill>
                <a:prstDash val="solid"/>
              </a:ln>
            </c:spPr>
          </c:errBars>
          <c:xVal>
            <c:numRef>
              <c:f>gyrus_rectus!$AF$32:$AF$34</c:f>
              <c:numCache>
                <c:formatCode>0.00</c:formatCode>
                <c:ptCount val="3"/>
                <c:pt idx="0">
                  <c:v>-0.79658330524888077</c:v>
                </c:pt>
                <c:pt idx="1">
                  <c:v>-0.54974252844083893</c:v>
                </c:pt>
                <c:pt idx="2">
                  <c:v>-0.99567646132576992</c:v>
                </c:pt>
              </c:numCache>
            </c:numRef>
          </c:xVal>
          <c:yVal>
            <c:numRef>
              <c:f>gyrus_rectus!$G$32:$G$34</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gyrus_rectus!$AH$42</c:f>
                <c:numCache>
                  <c:formatCode>General</c:formatCode>
                  <c:ptCount val="1"/>
                  <c:pt idx="0">
                    <c:v>0.30997625416932201</c:v>
                  </c:pt>
                </c:numCache>
              </c:numRef>
            </c:plus>
            <c:minus>
              <c:numRef>
                <c:f>gyrus_rectus!$AH$43</c:f>
                <c:numCache>
                  <c:formatCode>General</c:formatCode>
                  <c:ptCount val="1"/>
                  <c:pt idx="0">
                    <c:v>0.30997625416932201</c:v>
                  </c:pt>
                </c:numCache>
              </c:numRef>
            </c:minus>
            <c:spPr>
              <a:ln w="12700">
                <a:solidFill>
                  <a:srgbClr val="000000"/>
                </a:solidFill>
                <a:prstDash val="solid"/>
              </a:ln>
            </c:spPr>
          </c:errBars>
          <c:xVal>
            <c:numRef>
              <c:f>gyrus_rectus!$AH$41</c:f>
              <c:numCache>
                <c:formatCode>General</c:formatCode>
                <c:ptCount val="1"/>
                <c:pt idx="0">
                  <c:v>-0.71840971865669701</c:v>
                </c:pt>
              </c:numCache>
            </c:numRef>
          </c:xVal>
          <c:yVal>
            <c:numRef>
              <c:f>gyrus_rectus!$I$42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gyrus_rectus!$AH$46</c:f>
                <c:numCache>
                  <c:formatCode>General</c:formatCode>
                  <c:ptCount val="1"/>
                  <c:pt idx="0">
                    <c:v>0.30997625416932201</c:v>
                  </c:pt>
                </c:numCache>
              </c:numRef>
            </c:plus>
            <c:minus>
              <c:numRef>
                <c:f>gyrus_rectus!$AH$47</c:f>
                <c:numCache>
                  <c:formatCode>General</c:formatCode>
                  <c:ptCount val="1"/>
                  <c:pt idx="0">
                    <c:v>0.30997625416932201</c:v>
                  </c:pt>
                </c:numCache>
              </c:numRef>
            </c:minus>
            <c:spPr>
              <a:ln w="12700">
                <a:solidFill>
                  <a:srgbClr val="000000"/>
                </a:solidFill>
                <a:prstDash val="solid"/>
              </a:ln>
            </c:spPr>
          </c:errBars>
          <c:xVal>
            <c:numRef>
              <c:f>gyrus_rectus!$AH$45</c:f>
              <c:numCache>
                <c:formatCode>General</c:formatCode>
                <c:ptCount val="1"/>
                <c:pt idx="0">
                  <c:v>-0.71840971865669701</c:v>
                </c:pt>
              </c:numCache>
            </c:numRef>
          </c:xVal>
          <c:yVal>
            <c:numRef>
              <c:f>gyrus_rectus!$I$53</c:f>
              <c:numCache>
                <c:formatCode>General</c:formatCode>
                <c:ptCount val="1"/>
                <c:pt idx="0">
                  <c:v>-3</c:v>
                </c:pt>
              </c:numCache>
            </c:numRef>
          </c:yVal>
        </c:ser>
        <c:axId val="139999488"/>
        <c:axId val="140017664"/>
      </c:scatterChart>
      <c:valAx>
        <c:axId val="13999948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017664"/>
        <c:crosses val="autoZero"/>
        <c:crossBetween val="midCat"/>
      </c:valAx>
      <c:valAx>
        <c:axId val="140017664"/>
        <c:scaling>
          <c:orientation val="minMax"/>
        </c:scaling>
        <c:axPos val="l"/>
        <c:numFmt formatCode="General" sourceLinked="1"/>
        <c:majorTickMark val="none"/>
        <c:tickLblPos val="none"/>
        <c:spPr>
          <a:ln w="3175">
            <a:solidFill>
              <a:srgbClr val="000000"/>
            </a:solidFill>
            <a:prstDash val="solid"/>
          </a:ln>
        </c:spPr>
        <c:crossAx val="1399994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95851412143458"/>
                  <c:y val="-3.371435437361159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gyrus_rectus!$AK$32:$AK$34</c:f>
              <c:numCache>
                <c:formatCode>General</c:formatCode>
                <c:ptCount val="3"/>
                <c:pt idx="0">
                  <c:v>2.807377799450494</c:v>
                </c:pt>
                <c:pt idx="1">
                  <c:v>4.6195447769011997</c:v>
                </c:pt>
                <c:pt idx="2">
                  <c:v>3.2801809087261717</c:v>
                </c:pt>
              </c:numCache>
            </c:numRef>
          </c:xVal>
          <c:yVal>
            <c:numRef>
              <c:f>gyrus_rectus!$AL$32:$AL$34</c:f>
              <c:numCache>
                <c:formatCode>General</c:formatCode>
                <c:ptCount val="3"/>
                <c:pt idx="0">
                  <c:v>-2.236310286568604</c:v>
                </c:pt>
                <c:pt idx="1">
                  <c:v>-2.5395602258993364</c:v>
                </c:pt>
                <c:pt idx="2">
                  <c:v>-3.2659989197088231</c:v>
                </c:pt>
              </c:numCache>
            </c:numRef>
          </c:yVal>
        </c:ser>
        <c:axId val="140037504"/>
        <c:axId val="140064256"/>
      </c:scatterChart>
      <c:valAx>
        <c:axId val="140037504"/>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064256"/>
        <c:crosses val="autoZero"/>
        <c:crossBetween val="midCat"/>
      </c:valAx>
      <c:valAx>
        <c:axId val="14006425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0375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cc!$AG$36:$AG$42</c:f>
                <c:numCache>
                  <c:formatCode>General</c:formatCode>
                  <c:ptCount val="7"/>
                  <c:pt idx="0">
                    <c:v>0.62114032212689063</c:v>
                  </c:pt>
                  <c:pt idx="1">
                    <c:v>0.68191295063955848</c:v>
                  </c:pt>
                  <c:pt idx="2">
                    <c:v>0.39922734351604927</c:v>
                  </c:pt>
                  <c:pt idx="3">
                    <c:v>0.52440528268647946</c:v>
                  </c:pt>
                  <c:pt idx="4">
                    <c:v>0.4693849297599908</c:v>
                  </c:pt>
                  <c:pt idx="5">
                    <c:v>0.62302913880317401</c:v>
                  </c:pt>
                  <c:pt idx="6">
                    <c:v>0.61776921524616002</c:v>
                  </c:pt>
                </c:numCache>
              </c:numRef>
            </c:plus>
            <c:minus>
              <c:numRef>
                <c:f>cc!$AH$36:$AH$42</c:f>
                <c:numCache>
                  <c:formatCode>General</c:formatCode>
                  <c:ptCount val="7"/>
                  <c:pt idx="0">
                    <c:v>0.62114032212689063</c:v>
                  </c:pt>
                  <c:pt idx="1">
                    <c:v>0.68191295063955848</c:v>
                  </c:pt>
                  <c:pt idx="2">
                    <c:v>0.39922734351604927</c:v>
                  </c:pt>
                  <c:pt idx="3">
                    <c:v>0.52440528268647946</c:v>
                  </c:pt>
                  <c:pt idx="4">
                    <c:v>0.4693849297599908</c:v>
                  </c:pt>
                  <c:pt idx="5">
                    <c:v>0.62302913880317401</c:v>
                  </c:pt>
                  <c:pt idx="6">
                    <c:v>0.61776921524616002</c:v>
                  </c:pt>
                </c:numCache>
              </c:numRef>
            </c:minus>
            <c:spPr>
              <a:ln w="12700">
                <a:solidFill>
                  <a:srgbClr val="000000"/>
                </a:solidFill>
                <a:prstDash val="solid"/>
              </a:ln>
            </c:spPr>
          </c:errBars>
          <c:xVal>
            <c:numRef>
              <c:f>cc!$AF$36:$AF$42</c:f>
              <c:numCache>
                <c:formatCode>0.00</c:formatCode>
                <c:ptCount val="7"/>
                <c:pt idx="0">
                  <c:v>0.17628287112813557</c:v>
                </c:pt>
                <c:pt idx="1">
                  <c:v>0.74019279584265718</c:v>
                </c:pt>
                <c:pt idx="2">
                  <c:v>0.52186019346110568</c:v>
                </c:pt>
                <c:pt idx="3">
                  <c:v>-0.23633148812424259</c:v>
                </c:pt>
                <c:pt idx="4">
                  <c:v>-0.50523771313188681</c:v>
                </c:pt>
                <c:pt idx="5">
                  <c:v>7.8558938080292448E-2</c:v>
                </c:pt>
                <c:pt idx="6">
                  <c:v>-0.30081492505194779</c:v>
                </c:pt>
              </c:numCache>
            </c:numRef>
          </c:xVal>
          <c:yVal>
            <c:numRef>
              <c:f>cc!$G$36:$G$42</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cc!$AH$50</c:f>
                <c:numCache>
                  <c:formatCode>General</c:formatCode>
                  <c:ptCount val="1"/>
                  <c:pt idx="0">
                    <c:v>0.20249262827783157</c:v>
                  </c:pt>
                </c:numCache>
              </c:numRef>
            </c:plus>
            <c:minus>
              <c:numRef>
                <c:f>cc!$AH$51</c:f>
                <c:numCache>
                  <c:formatCode>General</c:formatCode>
                  <c:ptCount val="1"/>
                  <c:pt idx="0">
                    <c:v>0.20249262827783157</c:v>
                  </c:pt>
                </c:numCache>
              </c:numRef>
            </c:minus>
            <c:spPr>
              <a:ln w="12700">
                <a:solidFill>
                  <a:srgbClr val="000000"/>
                </a:solidFill>
                <a:prstDash val="solid"/>
              </a:ln>
            </c:spPr>
          </c:errBars>
          <c:xVal>
            <c:numRef>
              <c:f>cc!$AH$49</c:f>
              <c:numCache>
                <c:formatCode>General</c:formatCode>
                <c:ptCount val="1"/>
                <c:pt idx="0">
                  <c:v>6.497267722171346E-2</c:v>
                </c:pt>
              </c:numCache>
            </c:numRef>
          </c:xVal>
          <c:yVal>
            <c:numRef>
              <c:f>cc!$I$50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cc!$AH$54</c:f>
                <c:numCache>
                  <c:formatCode>General</c:formatCode>
                  <c:ptCount val="1"/>
                  <c:pt idx="0">
                    <c:v>0.35112971644414637</c:v>
                  </c:pt>
                </c:numCache>
              </c:numRef>
            </c:plus>
            <c:minus>
              <c:numRef>
                <c:f>cc!$AH$55</c:f>
                <c:numCache>
                  <c:formatCode>General</c:formatCode>
                  <c:ptCount val="1"/>
                  <c:pt idx="0">
                    <c:v>0.35112971644414637</c:v>
                  </c:pt>
                </c:numCache>
              </c:numRef>
            </c:minus>
            <c:spPr>
              <a:ln w="12700">
                <a:solidFill>
                  <a:srgbClr val="000000"/>
                </a:solidFill>
                <a:prstDash val="solid"/>
              </a:ln>
            </c:spPr>
          </c:errBars>
          <c:xVal>
            <c:numRef>
              <c:f>cc!$AH$53</c:f>
              <c:numCache>
                <c:formatCode>General</c:formatCode>
                <c:ptCount val="1"/>
                <c:pt idx="0">
                  <c:v>5.8153118337531909E-2</c:v>
                </c:pt>
              </c:numCache>
            </c:numRef>
          </c:xVal>
          <c:yVal>
            <c:numRef>
              <c:f>cc!$I$61</c:f>
              <c:numCache>
                <c:formatCode>General</c:formatCode>
                <c:ptCount val="1"/>
                <c:pt idx="0">
                  <c:v>-3</c:v>
                </c:pt>
              </c:numCache>
            </c:numRef>
          </c:yVal>
        </c:ser>
        <c:axId val="140235136"/>
        <c:axId val="140236672"/>
      </c:scatterChart>
      <c:valAx>
        <c:axId val="14023513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236672"/>
        <c:crosses val="autoZero"/>
        <c:crossBetween val="midCat"/>
      </c:valAx>
      <c:valAx>
        <c:axId val="140236672"/>
        <c:scaling>
          <c:orientation val="minMax"/>
        </c:scaling>
        <c:axPos val="l"/>
        <c:numFmt formatCode="General" sourceLinked="1"/>
        <c:majorTickMark val="none"/>
        <c:tickLblPos val="none"/>
        <c:spPr>
          <a:ln w="3175">
            <a:solidFill>
              <a:srgbClr val="000000"/>
            </a:solidFill>
            <a:prstDash val="solid"/>
          </a:ln>
        </c:spPr>
        <c:crossAx val="1402351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548165067118201"/>
                  <c:y val="-3.204311070760208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cc!$AK$36:$AK$42</c:f>
              <c:numCache>
                <c:formatCode>General</c:formatCode>
                <c:ptCount val="7"/>
                <c:pt idx="0">
                  <c:v>3.1554866592602213</c:v>
                </c:pt>
                <c:pt idx="1">
                  <c:v>2.8742671599970904</c:v>
                </c:pt>
                <c:pt idx="2">
                  <c:v>4.9094833603781112</c:v>
                </c:pt>
                <c:pt idx="3">
                  <c:v>3.737567230366373</c:v>
                </c:pt>
                <c:pt idx="4">
                  <c:v>4.1756773081790266</c:v>
                </c:pt>
                <c:pt idx="5">
                  <c:v>3.1459202755189253</c:v>
                </c:pt>
                <c:pt idx="6">
                  <c:v>3.1727058448825534</c:v>
                </c:pt>
              </c:numCache>
            </c:numRef>
          </c:xVal>
          <c:yVal>
            <c:numRef>
              <c:f>cc!$AL$36:$AL$42</c:f>
              <c:numCache>
                <c:formatCode>General</c:formatCode>
                <c:ptCount val="7"/>
                <c:pt idx="0">
                  <c:v>0.55625824810092062</c:v>
                </c:pt>
                <c:pt idx="1">
                  <c:v>2.1275118451569806</c:v>
                </c:pt>
                <c:pt idx="2">
                  <c:v>2.562063936241</c:v>
                </c:pt>
                <c:pt idx="3">
                  <c:v>-0.88330482551688871</c:v>
                </c:pt>
                <c:pt idx="4">
                  <c:v>-2.1097096539610845</c:v>
                </c:pt>
                <c:pt idx="5">
                  <c:v>0.24714015613002782</c:v>
                </c:pt>
                <c:pt idx="6">
                  <c:v>-0.95439727094022198</c:v>
                </c:pt>
              </c:numCache>
            </c:numRef>
          </c:yVal>
        </c:ser>
        <c:axId val="139924992"/>
        <c:axId val="139926912"/>
      </c:scatterChart>
      <c:valAx>
        <c:axId val="13992499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926912"/>
        <c:crosses val="autoZero"/>
        <c:crossBetween val="midCat"/>
      </c:valAx>
      <c:valAx>
        <c:axId val="13992691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9249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cca!$AG$33:$AG$36</c:f>
                <c:numCache>
                  <c:formatCode>General</c:formatCode>
                  <c:ptCount val="4"/>
                  <c:pt idx="0">
                    <c:v>0.68629704487744592</c:v>
                  </c:pt>
                  <c:pt idx="1">
                    <c:v>0.52260955398915732</c:v>
                  </c:pt>
                  <c:pt idx="2">
                    <c:v>0.47129339693781513</c:v>
                  </c:pt>
                  <c:pt idx="3">
                    <c:v>0.46673870941957224</c:v>
                  </c:pt>
                </c:numCache>
              </c:numRef>
            </c:plus>
            <c:minus>
              <c:numRef>
                <c:f>cca!$AH$33:$AH$36</c:f>
                <c:numCache>
                  <c:formatCode>General</c:formatCode>
                  <c:ptCount val="4"/>
                  <c:pt idx="0">
                    <c:v>0.68629704487744592</c:v>
                  </c:pt>
                  <c:pt idx="1">
                    <c:v>0.52260955398915732</c:v>
                  </c:pt>
                  <c:pt idx="2">
                    <c:v>0.47129339693781513</c:v>
                  </c:pt>
                  <c:pt idx="3">
                    <c:v>0.46673870941957224</c:v>
                  </c:pt>
                </c:numCache>
              </c:numRef>
            </c:minus>
            <c:spPr>
              <a:ln w="12700">
                <a:solidFill>
                  <a:srgbClr val="000000"/>
                </a:solidFill>
                <a:prstDash val="solid"/>
              </a:ln>
            </c:spPr>
          </c:errBars>
          <c:xVal>
            <c:numRef>
              <c:f>cca!$AF$33:$AF$36</c:f>
              <c:numCache>
                <c:formatCode>0.00</c:formatCode>
                <c:ptCount val="4"/>
                <c:pt idx="0">
                  <c:v>0.80498683245849112</c:v>
                </c:pt>
                <c:pt idx="1">
                  <c:v>0</c:v>
                </c:pt>
                <c:pt idx="2">
                  <c:v>-1.0071504042887562</c:v>
                </c:pt>
                <c:pt idx="3">
                  <c:v>-0.40450156884595556</c:v>
                </c:pt>
              </c:numCache>
            </c:numRef>
          </c:xVal>
          <c:yVal>
            <c:numRef>
              <c:f>cca!$G$33:$G$36</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cca!$AH$44</c:f>
                <c:numCache>
                  <c:formatCode>General</c:formatCode>
                  <c:ptCount val="1"/>
                  <c:pt idx="0">
                    <c:v>0.25926360951344041</c:v>
                  </c:pt>
                </c:numCache>
              </c:numRef>
            </c:plus>
            <c:minus>
              <c:numRef>
                <c:f>cca!$AH$45</c:f>
                <c:numCache>
                  <c:formatCode>General</c:formatCode>
                  <c:ptCount val="1"/>
                  <c:pt idx="0">
                    <c:v>0.25926360951344041</c:v>
                  </c:pt>
                </c:numCache>
              </c:numRef>
            </c:minus>
            <c:spPr>
              <a:ln w="12700">
                <a:solidFill>
                  <a:srgbClr val="000000"/>
                </a:solidFill>
                <a:prstDash val="solid"/>
              </a:ln>
            </c:spPr>
          </c:errBars>
          <c:xVal>
            <c:numRef>
              <c:f>cca!$AH$43</c:f>
              <c:numCache>
                <c:formatCode>General</c:formatCode>
                <c:ptCount val="1"/>
                <c:pt idx="0">
                  <c:v>-0.31471677517949048</c:v>
                </c:pt>
              </c:numCache>
            </c:numRef>
          </c:xVal>
          <c:yVal>
            <c:numRef>
              <c:f>cca!$I$44</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cca!$AH$48</c:f>
                <c:numCache>
                  <c:formatCode>General</c:formatCode>
                  <c:ptCount val="1"/>
                  <c:pt idx="0">
                    <c:v>0.68117126499966096</c:v>
                  </c:pt>
                </c:numCache>
              </c:numRef>
            </c:plus>
            <c:minus>
              <c:numRef>
                <c:f>cca!$AH$49</c:f>
                <c:numCache>
                  <c:formatCode>General</c:formatCode>
                  <c:ptCount val="1"/>
                  <c:pt idx="0">
                    <c:v>0.68117126499966096</c:v>
                  </c:pt>
                </c:numCache>
              </c:numRef>
            </c:minus>
            <c:spPr>
              <a:ln w="12700">
                <a:solidFill>
                  <a:srgbClr val="000000"/>
                </a:solidFill>
                <a:prstDash val="solid"/>
              </a:ln>
            </c:spPr>
          </c:errBars>
          <c:xVal>
            <c:numRef>
              <c:f>cca!$AH$47</c:f>
              <c:numCache>
                <c:formatCode>General</c:formatCode>
                <c:ptCount val="1"/>
                <c:pt idx="0">
                  <c:v>-0.18326564231070905</c:v>
                </c:pt>
              </c:numCache>
            </c:numRef>
          </c:xVal>
          <c:yVal>
            <c:numRef>
              <c:f>cca!$I$55</c:f>
              <c:numCache>
                <c:formatCode>General</c:formatCode>
                <c:ptCount val="1"/>
                <c:pt idx="0">
                  <c:v>-3</c:v>
                </c:pt>
              </c:numCache>
            </c:numRef>
          </c:yVal>
        </c:ser>
        <c:axId val="140397952"/>
        <c:axId val="140403840"/>
      </c:scatterChart>
      <c:valAx>
        <c:axId val="14039795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403840"/>
        <c:crosses val="autoZero"/>
        <c:crossBetween val="midCat"/>
      </c:valAx>
      <c:valAx>
        <c:axId val="140403840"/>
        <c:scaling>
          <c:orientation val="minMax"/>
        </c:scaling>
        <c:axPos val="l"/>
        <c:numFmt formatCode="General" sourceLinked="1"/>
        <c:majorTickMark val="none"/>
        <c:tickLblPos val="none"/>
        <c:spPr>
          <a:ln w="3175">
            <a:solidFill>
              <a:srgbClr val="000000"/>
            </a:solidFill>
            <a:prstDash val="solid"/>
          </a:ln>
        </c:spPr>
        <c:crossAx val="1403979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525404424598"/>
                  <c:y val="-3.431540229015921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cca!$AK$33:$AK$36</c:f>
              <c:numCache>
                <c:formatCode>General</c:formatCode>
                <c:ptCount val="4"/>
                <c:pt idx="0">
                  <c:v>2.8559062211174213</c:v>
                </c:pt>
                <c:pt idx="1">
                  <c:v>3.7504098136726078</c:v>
                </c:pt>
                <c:pt idx="2">
                  <c:v>4.1587682168579425</c:v>
                </c:pt>
                <c:pt idx="3">
                  <c:v>4.1993517153043083</c:v>
                </c:pt>
              </c:numCache>
            </c:numRef>
          </c:xVal>
          <c:yVal>
            <c:numRef>
              <c:f>cca!$AL$33:$AL$36</c:f>
              <c:numCache>
                <c:formatCode>General</c:formatCode>
                <c:ptCount val="4"/>
                <c:pt idx="0">
                  <c:v>2.2989669027358124</c:v>
                </c:pt>
                <c:pt idx="1">
                  <c:v>0</c:v>
                </c:pt>
                <c:pt idx="2">
                  <c:v>-4.1885050909517068</c:v>
                </c:pt>
                <c:pt idx="3">
                  <c:v>-1.6986443569765475</c:v>
                </c:pt>
              </c:numCache>
            </c:numRef>
          </c:yVal>
        </c:ser>
        <c:axId val="140432128"/>
        <c:axId val="140434048"/>
      </c:scatterChart>
      <c:valAx>
        <c:axId val="14043212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434048"/>
        <c:crosses val="autoZero"/>
        <c:crossBetween val="midCat"/>
      </c:valAx>
      <c:valAx>
        <c:axId val="14043404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43212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ccl!$AG$32:$AG$35</c:f>
                <c:numCache>
                  <c:formatCode>General</c:formatCode>
                  <c:ptCount val="4"/>
                  <c:pt idx="0">
                    <c:v>0.67961681635184756</c:v>
                  </c:pt>
                  <c:pt idx="1">
                    <c:v>0.52266785956188522</c:v>
                  </c:pt>
                  <c:pt idx="2">
                    <c:v>0.63252640174200447</c:v>
                  </c:pt>
                  <c:pt idx="3">
                    <c:v>0.62304441386415943</c:v>
                  </c:pt>
                </c:numCache>
              </c:numRef>
            </c:plus>
            <c:minus>
              <c:numRef>
                <c:f>ccl!$AH$32:$AH$35</c:f>
                <c:numCache>
                  <c:formatCode>General</c:formatCode>
                  <c:ptCount val="4"/>
                  <c:pt idx="0">
                    <c:v>0.67961681635184756</c:v>
                  </c:pt>
                  <c:pt idx="1">
                    <c:v>0.52266785956188522</c:v>
                  </c:pt>
                  <c:pt idx="2">
                    <c:v>0.63252640174200447</c:v>
                  </c:pt>
                  <c:pt idx="3">
                    <c:v>0.62304441386415943</c:v>
                  </c:pt>
                </c:numCache>
              </c:numRef>
            </c:minus>
            <c:spPr>
              <a:ln w="12700">
                <a:solidFill>
                  <a:srgbClr val="000000"/>
                </a:solidFill>
                <a:prstDash val="solid"/>
              </a:ln>
            </c:spPr>
          </c:errBars>
          <c:xVal>
            <c:numRef>
              <c:f>ccl!$AF$32:$AF$35</c:f>
              <c:numCache>
                <c:formatCode>0.00</c:formatCode>
                <c:ptCount val="4"/>
                <c:pt idx="0">
                  <c:v>0.70406332688683171</c:v>
                </c:pt>
                <c:pt idx="1">
                  <c:v>4.2549614145810558E-2</c:v>
                </c:pt>
                <c:pt idx="2">
                  <c:v>-0.49239037164077631</c:v>
                </c:pt>
                <c:pt idx="3">
                  <c:v>-0.47644797080468493</c:v>
                </c:pt>
              </c:numCache>
            </c:numRef>
          </c:xVal>
          <c:yVal>
            <c:numRef>
              <c:f>ccl!$G$32:$G$35</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ccl!$AH$43</c:f>
                <c:numCache>
                  <c:formatCode>General</c:formatCode>
                  <c:ptCount val="1"/>
                  <c:pt idx="0">
                    <c:v>0.30287498336368707</c:v>
                  </c:pt>
                </c:numCache>
              </c:numRef>
            </c:plus>
            <c:minus>
              <c:numRef>
                <c:f>ccl!$AH$44</c:f>
                <c:numCache>
                  <c:formatCode>General</c:formatCode>
                  <c:ptCount val="1"/>
                  <c:pt idx="0">
                    <c:v>0.30287498336368707</c:v>
                  </c:pt>
                </c:numCache>
              </c:numRef>
            </c:minus>
            <c:spPr>
              <a:ln w="12700">
                <a:solidFill>
                  <a:srgbClr val="000000"/>
                </a:solidFill>
                <a:prstDash val="solid"/>
              </a:ln>
            </c:spPr>
          </c:errBars>
          <c:xVal>
            <c:numRef>
              <c:f>ccl!$AH$42</c:f>
              <c:numCache>
                <c:formatCode>General</c:formatCode>
                <c:ptCount val="1"/>
                <c:pt idx="0">
                  <c:v>-7.1366101590391584E-2</c:v>
                </c:pt>
              </c:numCache>
            </c:numRef>
          </c:xVal>
          <c:yVal>
            <c:numRef>
              <c:f>ccl!$I$43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ccl!$AH$47</c:f>
                <c:numCache>
                  <c:formatCode>General</c:formatCode>
                  <c:ptCount val="1"/>
                  <c:pt idx="0">
                    <c:v>0.51474522324963279</c:v>
                  </c:pt>
                </c:numCache>
              </c:numRef>
            </c:plus>
            <c:minus>
              <c:numRef>
                <c:f>ccl!$AH$48</c:f>
                <c:numCache>
                  <c:formatCode>General</c:formatCode>
                  <c:ptCount val="1"/>
                  <c:pt idx="0">
                    <c:v>0.51474522324963279</c:v>
                  </c:pt>
                </c:numCache>
              </c:numRef>
            </c:minus>
            <c:spPr>
              <a:ln w="12700">
                <a:solidFill>
                  <a:srgbClr val="000000"/>
                </a:solidFill>
                <a:prstDash val="solid"/>
              </a:ln>
            </c:spPr>
          </c:errBars>
          <c:xVal>
            <c:numRef>
              <c:f>ccl!$AH$46</c:f>
              <c:numCache>
                <c:formatCode>General</c:formatCode>
                <c:ptCount val="1"/>
                <c:pt idx="0">
                  <c:v>-6.3536893030502362E-2</c:v>
                </c:pt>
              </c:numCache>
            </c:numRef>
          </c:xVal>
          <c:yVal>
            <c:numRef>
              <c:f>ccl!$I$54</c:f>
              <c:numCache>
                <c:formatCode>General</c:formatCode>
                <c:ptCount val="1"/>
                <c:pt idx="0">
                  <c:v>-3</c:v>
                </c:pt>
              </c:numCache>
            </c:numRef>
          </c:yVal>
        </c:ser>
        <c:axId val="140585600"/>
        <c:axId val="140587392"/>
      </c:scatterChart>
      <c:valAx>
        <c:axId val="1405856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587392"/>
        <c:crosses val="autoZero"/>
        <c:crossBetween val="midCat"/>
      </c:valAx>
      <c:valAx>
        <c:axId val="140587392"/>
        <c:scaling>
          <c:orientation val="minMax"/>
        </c:scaling>
        <c:axPos val="l"/>
        <c:numFmt formatCode="General" sourceLinked="1"/>
        <c:majorTickMark val="none"/>
        <c:tickLblPos val="none"/>
        <c:spPr>
          <a:ln w="3175">
            <a:solidFill>
              <a:srgbClr val="000000"/>
            </a:solidFill>
            <a:prstDash val="solid"/>
          </a:ln>
        </c:spPr>
        <c:crossAx val="1405856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9348491111327"/>
                  <c:y val="-3.340137294682786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ccl!$AK$32:$AK$35</c:f>
              <c:numCache>
                <c:formatCode>General</c:formatCode>
                <c:ptCount val="4"/>
                <c:pt idx="0">
                  <c:v>2.883978078295931</c:v>
                </c:pt>
                <c:pt idx="1">
                  <c:v>3.7499914413006503</c:v>
                </c:pt>
                <c:pt idx="2">
                  <c:v>3.0986848843021844</c:v>
                </c:pt>
                <c:pt idx="3">
                  <c:v>3.1458431475919357</c:v>
                </c:pt>
              </c:numCache>
            </c:numRef>
          </c:xVal>
          <c:yVal>
            <c:numRef>
              <c:f>ccl!$AL$32:$AL$35</c:f>
              <c:numCache>
                <c:formatCode>General</c:formatCode>
                <c:ptCount val="4"/>
                <c:pt idx="0">
                  <c:v>2.0305032004737247</c:v>
                </c:pt>
                <c:pt idx="1">
                  <c:v>0.15956068887743466</c:v>
                </c:pt>
                <c:pt idx="2">
                  <c:v>-1.5257626017792085</c:v>
                </c:pt>
                <c:pt idx="3">
                  <c:v>-1.4988305841400007</c:v>
                </c:pt>
              </c:numCache>
            </c:numRef>
          </c:yVal>
        </c:ser>
        <c:axId val="140619776"/>
        <c:axId val="140621696"/>
      </c:scatterChart>
      <c:valAx>
        <c:axId val="140619776"/>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621696"/>
        <c:crosses val="autoZero"/>
        <c:crossBetween val="midCat"/>
      </c:valAx>
      <c:valAx>
        <c:axId val="14062169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6197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pty!$AG$34:$AG$40</c:f>
                <c:numCache>
                  <c:formatCode>General</c:formatCode>
                  <c:ptCount val="7"/>
                  <c:pt idx="0">
                    <c:v>0.63954352590864727</c:v>
                  </c:pt>
                  <c:pt idx="1">
                    <c:v>0.71928764271920187</c:v>
                  </c:pt>
                  <c:pt idx="2">
                    <c:v>0.73555757778630459</c:v>
                  </c:pt>
                  <c:pt idx="3">
                    <c:v>0.62000249498513871</c:v>
                  </c:pt>
                  <c:pt idx="4">
                    <c:v>0.46000501335934707</c:v>
                  </c:pt>
                  <c:pt idx="5">
                    <c:v>0.59790677724662589</c:v>
                  </c:pt>
                  <c:pt idx="6">
                    <c:v>0.59960254143858149</c:v>
                  </c:pt>
                </c:numCache>
              </c:numRef>
            </c:plus>
            <c:minus>
              <c:numRef>
                <c:f>pty!$AH$34:$AH$40</c:f>
                <c:numCache>
                  <c:formatCode>General</c:formatCode>
                  <c:ptCount val="7"/>
                  <c:pt idx="0">
                    <c:v>0.63954352590864727</c:v>
                  </c:pt>
                  <c:pt idx="1">
                    <c:v>0.71928764271920187</c:v>
                  </c:pt>
                  <c:pt idx="2">
                    <c:v>0.73555757778630459</c:v>
                  </c:pt>
                  <c:pt idx="3">
                    <c:v>0.62000249498513871</c:v>
                  </c:pt>
                  <c:pt idx="4">
                    <c:v>0.46000501335934707</c:v>
                  </c:pt>
                  <c:pt idx="5">
                    <c:v>0.59790677724662589</c:v>
                  </c:pt>
                  <c:pt idx="6">
                    <c:v>0.59960254143858149</c:v>
                  </c:pt>
                </c:numCache>
              </c:numRef>
            </c:minus>
            <c:spPr>
              <a:ln w="12700">
                <a:solidFill>
                  <a:srgbClr val="000000"/>
                </a:solidFill>
                <a:prstDash val="solid"/>
              </a:ln>
            </c:spPr>
          </c:errBars>
          <c:xVal>
            <c:numRef>
              <c:f>pty!$AF$34:$AF$40</c:f>
              <c:numCache>
                <c:formatCode>0.00</c:formatCode>
                <c:ptCount val="7"/>
                <c:pt idx="0">
                  <c:v>0.10796800487557247</c:v>
                </c:pt>
                <c:pt idx="1">
                  <c:v>1.0118463408685376</c:v>
                </c:pt>
                <c:pt idx="2">
                  <c:v>0.6254327683524612</c:v>
                </c:pt>
                <c:pt idx="3">
                  <c:v>-6.7555189725659312E-2</c:v>
                </c:pt>
                <c:pt idx="4">
                  <c:v>6.3968769182305707E-2</c:v>
                </c:pt>
                <c:pt idx="5">
                  <c:v>0.13004162066881769</c:v>
                </c:pt>
                <c:pt idx="6">
                  <c:v>0.25092427486759261</c:v>
                </c:pt>
              </c:numCache>
            </c:numRef>
          </c:xVal>
          <c:yVal>
            <c:numRef>
              <c:f>pty!$G$34:$G$40</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pty!$AH$48</c:f>
                <c:numCache>
                  <c:formatCode>General</c:formatCode>
                  <c:ptCount val="1"/>
                  <c:pt idx="0">
                    <c:v>0.22862320308089837</c:v>
                  </c:pt>
                </c:numCache>
              </c:numRef>
            </c:plus>
            <c:minus>
              <c:numRef>
                <c:f>pty!$AH$49</c:f>
                <c:numCache>
                  <c:formatCode>General</c:formatCode>
                  <c:ptCount val="1"/>
                  <c:pt idx="0">
                    <c:v>0.22862320308089837</c:v>
                  </c:pt>
                </c:numCache>
              </c:numRef>
            </c:minus>
            <c:spPr>
              <a:ln w="12700">
                <a:solidFill>
                  <a:srgbClr val="000000"/>
                </a:solidFill>
                <a:prstDash val="solid"/>
              </a:ln>
            </c:spPr>
          </c:errBars>
          <c:xVal>
            <c:numRef>
              <c:f>pty!$AH$47</c:f>
              <c:numCache>
                <c:formatCode>General</c:formatCode>
                <c:ptCount val="1"/>
                <c:pt idx="0">
                  <c:v>0.23855028008855877</c:v>
                </c:pt>
              </c:numCache>
            </c:numRef>
          </c:xVal>
          <c:yVal>
            <c:numRef>
              <c:f>pty!$I$48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pty!$AH$52</c:f>
                <c:numCache>
                  <c:formatCode>General</c:formatCode>
                  <c:ptCount val="1"/>
                  <c:pt idx="0">
                    <c:v>0.25407762889538049</c:v>
                  </c:pt>
                </c:numCache>
              </c:numRef>
            </c:plus>
            <c:minus>
              <c:numRef>
                <c:f>pty!$AH$53</c:f>
                <c:numCache>
                  <c:formatCode>General</c:formatCode>
                  <c:ptCount val="1"/>
                  <c:pt idx="0">
                    <c:v>0.25407762889538049</c:v>
                  </c:pt>
                </c:numCache>
              </c:numRef>
            </c:minus>
            <c:spPr>
              <a:ln w="12700">
                <a:solidFill>
                  <a:srgbClr val="000000"/>
                </a:solidFill>
                <a:prstDash val="solid"/>
              </a:ln>
            </c:spPr>
          </c:errBars>
          <c:xVal>
            <c:numRef>
              <c:f>pty!$AH$51</c:f>
              <c:numCache>
                <c:formatCode>General</c:formatCode>
                <c:ptCount val="1"/>
                <c:pt idx="0">
                  <c:v>0.24965685923011929</c:v>
                </c:pt>
              </c:numCache>
            </c:numRef>
          </c:xVal>
          <c:yVal>
            <c:numRef>
              <c:f>pty!$I$59</c:f>
              <c:numCache>
                <c:formatCode>General</c:formatCode>
                <c:ptCount val="1"/>
                <c:pt idx="0">
                  <c:v>-3</c:v>
                </c:pt>
              </c:numCache>
            </c:numRef>
          </c:yVal>
        </c:ser>
        <c:axId val="140804864"/>
        <c:axId val="140806400"/>
      </c:scatterChart>
      <c:valAx>
        <c:axId val="14080486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806400"/>
        <c:crosses val="autoZero"/>
        <c:crossBetween val="midCat"/>
      </c:valAx>
      <c:valAx>
        <c:axId val="140806400"/>
        <c:scaling>
          <c:orientation val="minMax"/>
        </c:scaling>
        <c:axPos val="l"/>
        <c:numFmt formatCode="General" sourceLinked="1"/>
        <c:majorTickMark val="none"/>
        <c:tickLblPos val="none"/>
        <c:spPr>
          <a:ln w="3175">
            <a:solidFill>
              <a:srgbClr val="000000"/>
            </a:solidFill>
            <a:prstDash val="solid"/>
          </a:ln>
        </c:spPr>
        <c:crossAx val="14080486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ICV!$AG$66:$AG$90</c:f>
                <c:numCache>
                  <c:formatCode>General</c:formatCode>
                  <c:ptCount val="25"/>
                  <c:pt idx="0">
                    <c:v>0.70547707247404645</c:v>
                  </c:pt>
                  <c:pt idx="1">
                    <c:v>0.49039542461575275</c:v>
                  </c:pt>
                  <c:pt idx="2">
                    <c:v>0.49790106693819297</c:v>
                  </c:pt>
                  <c:pt idx="3">
                    <c:v>0.48588098060259288</c:v>
                  </c:pt>
                  <c:pt idx="4">
                    <c:v>0.4170790150086181</c:v>
                  </c:pt>
                  <c:pt idx="5">
                    <c:v>0.47698692000754256</c:v>
                  </c:pt>
                  <c:pt idx="6">
                    <c:v>0.78075641265257034</c:v>
                  </c:pt>
                  <c:pt idx="7">
                    <c:v>0.62068297135054129</c:v>
                  </c:pt>
                  <c:pt idx="8">
                    <c:v>0.56580529985600136</c:v>
                  </c:pt>
                  <c:pt idx="9">
                    <c:v>0.60047706922929123</c:v>
                  </c:pt>
                  <c:pt idx="10">
                    <c:v>0.60551756984916416</c:v>
                  </c:pt>
                  <c:pt idx="11">
                    <c:v>0.66508499040193558</c:v>
                  </c:pt>
                  <c:pt idx="12">
                    <c:v>0.57676976744069341</c:v>
                  </c:pt>
                  <c:pt idx="13">
                    <c:v>0.70781887051193471</c:v>
                  </c:pt>
                  <c:pt idx="14">
                    <c:v>0.63882826874381426</c:v>
                  </c:pt>
                  <c:pt idx="15">
                    <c:v>0.61240432337616202</c:v>
                  </c:pt>
                  <c:pt idx="16">
                    <c:v>0.46419724735288614</c:v>
                  </c:pt>
                  <c:pt idx="17">
                    <c:v>0.63439988121401336</c:v>
                  </c:pt>
                  <c:pt idx="18">
                    <c:v>0.58462011309424866</c:v>
                  </c:pt>
                  <c:pt idx="19">
                    <c:v>0.59771467174578796</c:v>
                  </c:pt>
                  <c:pt idx="20">
                    <c:v>0.59813793876577204</c:v>
                  </c:pt>
                  <c:pt idx="21">
                    <c:v>0.52322174585084535</c:v>
                  </c:pt>
                  <c:pt idx="22">
                    <c:v>0.26568475715346601</c:v>
                  </c:pt>
                  <c:pt idx="23">
                    <c:v>0.46219362345533421</c:v>
                  </c:pt>
                  <c:pt idx="24">
                    <c:v>0.40666706106712414</c:v>
                  </c:pt>
                </c:numCache>
              </c:numRef>
            </c:plus>
            <c:minus>
              <c:numRef>
                <c:f>ICV!$AH$66:$AH$90</c:f>
                <c:numCache>
                  <c:formatCode>General</c:formatCode>
                  <c:ptCount val="25"/>
                  <c:pt idx="0">
                    <c:v>0.70547707247404645</c:v>
                  </c:pt>
                  <c:pt idx="1">
                    <c:v>0.49039542461575275</c:v>
                  </c:pt>
                  <c:pt idx="2">
                    <c:v>0.49790106693819297</c:v>
                  </c:pt>
                  <c:pt idx="3">
                    <c:v>0.48588098060259288</c:v>
                  </c:pt>
                  <c:pt idx="4">
                    <c:v>0.4170790150086181</c:v>
                  </c:pt>
                  <c:pt idx="5">
                    <c:v>0.47698692000754256</c:v>
                  </c:pt>
                  <c:pt idx="6">
                    <c:v>0.78075641265257034</c:v>
                  </c:pt>
                  <c:pt idx="7">
                    <c:v>0.62068297135054129</c:v>
                  </c:pt>
                  <c:pt idx="8">
                    <c:v>0.56580529985600136</c:v>
                  </c:pt>
                  <c:pt idx="9">
                    <c:v>0.60047706922929123</c:v>
                  </c:pt>
                  <c:pt idx="10">
                    <c:v>0.60551756984916416</c:v>
                  </c:pt>
                  <c:pt idx="11">
                    <c:v>0.66508499040193558</c:v>
                  </c:pt>
                  <c:pt idx="12">
                    <c:v>0.57676976744069341</c:v>
                  </c:pt>
                  <c:pt idx="13">
                    <c:v>0.70781887051193471</c:v>
                  </c:pt>
                  <c:pt idx="14">
                    <c:v>0.63882826874381426</c:v>
                  </c:pt>
                  <c:pt idx="15">
                    <c:v>0.61240432337616202</c:v>
                  </c:pt>
                  <c:pt idx="16">
                    <c:v>0.46419724735288614</c:v>
                  </c:pt>
                  <c:pt idx="17">
                    <c:v>0.63439988121401336</c:v>
                  </c:pt>
                  <c:pt idx="18">
                    <c:v>0.58462011309424866</c:v>
                  </c:pt>
                  <c:pt idx="19">
                    <c:v>0.59771467174578796</c:v>
                  </c:pt>
                  <c:pt idx="20">
                    <c:v>0.59813793876577204</c:v>
                  </c:pt>
                  <c:pt idx="21">
                    <c:v>0.52322174585084535</c:v>
                  </c:pt>
                  <c:pt idx="22">
                    <c:v>0.26568475715346601</c:v>
                  </c:pt>
                  <c:pt idx="23">
                    <c:v>0.46219362345533421</c:v>
                  </c:pt>
                  <c:pt idx="24">
                    <c:v>0.40666706106712414</c:v>
                  </c:pt>
                </c:numCache>
              </c:numRef>
            </c:minus>
            <c:spPr>
              <a:ln w="12700">
                <a:solidFill>
                  <a:srgbClr val="000000"/>
                </a:solidFill>
                <a:prstDash val="solid"/>
              </a:ln>
            </c:spPr>
          </c:errBars>
          <c:xVal>
            <c:numRef>
              <c:f>ICV!$AF$66:$AF$90</c:f>
              <c:numCache>
                <c:formatCode>0.00</c:formatCode>
                <c:ptCount val="25"/>
                <c:pt idx="0">
                  <c:v>-3.2740856006708073E-3</c:v>
                </c:pt>
                <c:pt idx="1">
                  <c:v>-0.29157183330583109</c:v>
                </c:pt>
                <c:pt idx="2">
                  <c:v>-4.2696896760057002E-2</c:v>
                </c:pt>
                <c:pt idx="3">
                  <c:v>0.41898335547731497</c:v>
                </c:pt>
                <c:pt idx="4">
                  <c:v>-7.5388590541192638E-2</c:v>
                </c:pt>
                <c:pt idx="5">
                  <c:v>0.22663134867075035</c:v>
                </c:pt>
                <c:pt idx="6">
                  <c:v>1.1493507079176328</c:v>
                </c:pt>
                <c:pt idx="7">
                  <c:v>0.14287513432406335</c:v>
                </c:pt>
                <c:pt idx="8">
                  <c:v>-7.2698177413421123E-3</c:v>
                </c:pt>
                <c:pt idx="9">
                  <c:v>0.47047811060627465</c:v>
                </c:pt>
                <c:pt idx="10">
                  <c:v>-0.34188971077292701</c:v>
                </c:pt>
                <c:pt idx="11">
                  <c:v>-0.37359979292592471</c:v>
                </c:pt>
                <c:pt idx="12">
                  <c:v>-0.46230052487334922</c:v>
                </c:pt>
                <c:pt idx="13">
                  <c:v>0.70665934521679874</c:v>
                </c:pt>
                <c:pt idx="14">
                  <c:v>-0.53240959250010722</c:v>
                </c:pt>
                <c:pt idx="15">
                  <c:v>-2.2277355407103523E-2</c:v>
                </c:pt>
                <c:pt idx="16">
                  <c:v>-0.3786738445696835</c:v>
                </c:pt>
                <c:pt idx="17">
                  <c:v>-0.17208495910241917</c:v>
                </c:pt>
                <c:pt idx="18">
                  <c:v>-0.1249485788240316</c:v>
                </c:pt>
                <c:pt idx="19">
                  <c:v>-0.10817580429726996</c:v>
                </c:pt>
                <c:pt idx="20">
                  <c:v>-0.15225255190736303</c:v>
                </c:pt>
                <c:pt idx="21">
                  <c:v>-0.23996651152770046</c:v>
                </c:pt>
                <c:pt idx="22">
                  <c:v>-0.34206204703725263</c:v>
                </c:pt>
                <c:pt idx="23">
                  <c:v>8.6172851882790044E-2</c:v>
                </c:pt>
                <c:pt idx="24">
                  <c:v>-0.34077521591767729</c:v>
                </c:pt>
              </c:numCache>
            </c:numRef>
          </c:xVal>
          <c:yVal>
            <c:numRef>
              <c:f>ICV!$G$66:$G$90</c:f>
              <c:numCache>
                <c:formatCode>General</c:formatCode>
                <c:ptCount val="25"/>
                <c:pt idx="0">
                  <c:v>25</c:v>
                </c:pt>
                <c:pt idx="1">
                  <c:v>24</c:v>
                </c:pt>
                <c:pt idx="2">
                  <c:v>23</c:v>
                </c:pt>
                <c:pt idx="3">
                  <c:v>22</c:v>
                </c:pt>
                <c:pt idx="4">
                  <c:v>21</c:v>
                </c:pt>
                <c:pt idx="5">
                  <c:v>20</c:v>
                </c:pt>
                <c:pt idx="6">
                  <c:v>19</c:v>
                </c:pt>
                <c:pt idx="7">
                  <c:v>18</c:v>
                </c:pt>
                <c:pt idx="8">
                  <c:v>17</c:v>
                </c:pt>
                <c:pt idx="9">
                  <c:v>16</c:v>
                </c:pt>
                <c:pt idx="10">
                  <c:v>15</c:v>
                </c:pt>
                <c:pt idx="11">
                  <c:v>14</c:v>
                </c:pt>
                <c:pt idx="12">
                  <c:v>13</c:v>
                </c:pt>
                <c:pt idx="13">
                  <c:v>12</c:v>
                </c:pt>
                <c:pt idx="14">
                  <c:v>11</c:v>
                </c:pt>
                <c:pt idx="15">
                  <c:v>10</c:v>
                </c:pt>
                <c:pt idx="16">
                  <c:v>9</c:v>
                </c:pt>
                <c:pt idx="17">
                  <c:v>8</c:v>
                </c:pt>
                <c:pt idx="18">
                  <c:v>7</c:v>
                </c:pt>
                <c:pt idx="19">
                  <c:v>6</c:v>
                </c:pt>
                <c:pt idx="20">
                  <c:v>5</c:v>
                </c:pt>
                <c:pt idx="21">
                  <c:v>4</c:v>
                </c:pt>
                <c:pt idx="22">
                  <c:v>3</c:v>
                </c:pt>
                <c:pt idx="23">
                  <c:v>2</c:v>
                </c:pt>
                <c:pt idx="2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ICV!$AH$98</c:f>
                <c:numCache>
                  <c:formatCode>General</c:formatCode>
                  <c:ptCount val="1"/>
                  <c:pt idx="0">
                    <c:v>0.10313443119767152</c:v>
                  </c:pt>
                </c:numCache>
              </c:numRef>
            </c:plus>
            <c:minus>
              <c:numRef>
                <c:f>ICV!$AH$99</c:f>
                <c:numCache>
                  <c:formatCode>General</c:formatCode>
                  <c:ptCount val="1"/>
                  <c:pt idx="0">
                    <c:v>0.10313443119767152</c:v>
                  </c:pt>
                </c:numCache>
              </c:numRef>
            </c:minus>
            <c:spPr>
              <a:ln w="12700">
                <a:solidFill>
                  <a:srgbClr val="000000"/>
                </a:solidFill>
                <a:prstDash val="solid"/>
              </a:ln>
            </c:spPr>
          </c:errBars>
          <c:xVal>
            <c:numRef>
              <c:f>ICV!$AH$97</c:f>
              <c:numCache>
                <c:formatCode>General</c:formatCode>
                <c:ptCount val="1"/>
                <c:pt idx="0">
                  <c:v>-9.8858451480418608E-2</c:v>
                </c:pt>
              </c:numCache>
            </c:numRef>
          </c:xVal>
          <c:yVal>
            <c:numRef>
              <c:f>ICV!$I$98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ICV!$AH$102</c:f>
                <c:numCache>
                  <c:formatCode>General</c:formatCode>
                  <c:ptCount val="1"/>
                  <c:pt idx="0">
                    <c:v>0.13322984290811127</c:v>
                  </c:pt>
                </c:numCache>
              </c:numRef>
            </c:plus>
            <c:minus>
              <c:numRef>
                <c:f>ICV!$AH$103</c:f>
                <c:numCache>
                  <c:formatCode>General</c:formatCode>
                  <c:ptCount val="1"/>
                  <c:pt idx="0">
                    <c:v>0.13322984290811127</c:v>
                  </c:pt>
                </c:numCache>
              </c:numRef>
            </c:minus>
            <c:spPr>
              <a:ln w="12700">
                <a:solidFill>
                  <a:srgbClr val="000000"/>
                </a:solidFill>
                <a:prstDash val="solid"/>
              </a:ln>
            </c:spPr>
          </c:errBars>
          <c:xVal>
            <c:numRef>
              <c:f>ICV!$AH$101</c:f>
              <c:numCache>
                <c:formatCode>General</c:formatCode>
                <c:ptCount val="1"/>
                <c:pt idx="0">
                  <c:v>-6.9966716336546983E-2</c:v>
                </c:pt>
              </c:numCache>
            </c:numRef>
          </c:xVal>
          <c:yVal>
            <c:numRef>
              <c:f>ICV!$I$109</c:f>
              <c:numCache>
                <c:formatCode>General</c:formatCode>
                <c:ptCount val="1"/>
                <c:pt idx="0">
                  <c:v>-3</c:v>
                </c:pt>
              </c:numCache>
            </c:numRef>
          </c:yVal>
        </c:ser>
        <c:axId val="105267584"/>
        <c:axId val="105269120"/>
      </c:scatterChart>
      <c:valAx>
        <c:axId val="10526758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5269120"/>
        <c:crosses val="autoZero"/>
        <c:crossBetween val="midCat"/>
      </c:valAx>
      <c:valAx>
        <c:axId val="105269120"/>
        <c:scaling>
          <c:orientation val="minMax"/>
        </c:scaling>
        <c:axPos val="l"/>
        <c:numFmt formatCode="General" sourceLinked="1"/>
        <c:majorTickMark val="none"/>
        <c:tickLblPos val="none"/>
        <c:spPr>
          <a:ln w="3175">
            <a:solidFill>
              <a:srgbClr val="000000"/>
            </a:solidFill>
            <a:prstDash val="solid"/>
          </a:ln>
        </c:spPr>
        <c:crossAx val="1052675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38951854966801"/>
                  <c:y val="-2.002059336756120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pty!$AK$34:$AK$40</c:f>
              <c:numCache>
                <c:formatCode>General</c:formatCode>
                <c:ptCount val="7"/>
                <c:pt idx="0">
                  <c:v>3.064685858894876</c:v>
                </c:pt>
                <c:pt idx="1">
                  <c:v>2.7249182157368881</c:v>
                </c:pt>
                <c:pt idx="2">
                  <c:v>2.6646452421830973</c:v>
                </c:pt>
                <c:pt idx="3">
                  <c:v>3.1612776010634938</c:v>
                </c:pt>
                <c:pt idx="4">
                  <c:v>4.2608231281794433</c:v>
                </c:pt>
                <c:pt idx="5">
                  <c:v>3.2781029996445996</c:v>
                </c:pt>
                <c:pt idx="6">
                  <c:v>3.2688320421349761</c:v>
                </c:pt>
              </c:numCache>
            </c:numRef>
          </c:xVal>
          <c:yVal>
            <c:numRef>
              <c:f>pty!$AL$34:$AL$40</c:f>
              <c:numCache>
                <c:formatCode>General</c:formatCode>
                <c:ptCount val="7"/>
                <c:pt idx="0">
                  <c:v>0.33088801775525994</c:v>
                </c:pt>
                <c:pt idx="1">
                  <c:v>2.7571985257593949</c:v>
                </c:pt>
                <c:pt idx="2">
                  <c:v>1.6665564504957888</c:v>
                </c:pt>
                <c:pt idx="3">
                  <c:v>-0.21356070811532143</c:v>
                </c:pt>
                <c:pt idx="4">
                  <c:v>0.2725596112131406</c:v>
                </c:pt>
                <c:pt idx="5">
                  <c:v>0.42628982679309646</c:v>
                </c:pt>
                <c:pt idx="6">
                  <c:v>0.82022930983667075</c:v>
                </c:pt>
              </c:numCache>
            </c:numRef>
          </c:yVal>
        </c:ser>
        <c:axId val="140867456"/>
        <c:axId val="140877824"/>
      </c:scatterChart>
      <c:valAx>
        <c:axId val="14086745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877824"/>
        <c:crosses val="autoZero"/>
        <c:crossBetween val="midCat"/>
      </c:valAx>
      <c:valAx>
        <c:axId val="14087782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86745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3092983278248798E-2"/>
          <c:y val="3.1527952281762098E-2"/>
          <c:w val="0.93678598818427405"/>
          <c:h val="0.95311424974865377"/>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All_hyperintensities!$AG$41:$AG$50</c:f>
                <c:numCache>
                  <c:formatCode>General</c:formatCode>
                  <c:ptCount val="10"/>
                  <c:pt idx="0">
                    <c:v>4.7713050021797034</c:v>
                  </c:pt>
                  <c:pt idx="1">
                    <c:v>4.6513076809261058</c:v>
                  </c:pt>
                  <c:pt idx="2">
                    <c:v>2.9515705257926457</c:v>
                  </c:pt>
                  <c:pt idx="3">
                    <c:v>1.5828609520958772</c:v>
                  </c:pt>
                  <c:pt idx="4">
                    <c:v>2.829575742748875</c:v>
                  </c:pt>
                  <c:pt idx="5">
                    <c:v>13.79179320546632</c:v>
                  </c:pt>
                  <c:pt idx="6">
                    <c:v>0.99264157459577107</c:v>
                  </c:pt>
                  <c:pt idx="7">
                    <c:v>8.927676567531913</c:v>
                  </c:pt>
                  <c:pt idx="8">
                    <c:v>1.2756691467968291</c:v>
                  </c:pt>
                  <c:pt idx="9">
                    <c:v>0.97933166397141125</c:v>
                  </c:pt>
                </c:numCache>
              </c:numRef>
            </c:plus>
            <c:minus>
              <c:numRef>
                <c:f>All_hyperintensities!$AH$41:$AH$50</c:f>
                <c:numCache>
                  <c:formatCode>General</c:formatCode>
                  <c:ptCount val="10"/>
                  <c:pt idx="0">
                    <c:v>1.9263737054807046</c:v>
                  </c:pt>
                  <c:pt idx="1">
                    <c:v>1.3849733457616047</c:v>
                  </c:pt>
                  <c:pt idx="2">
                    <c:v>1.3117642727296233</c:v>
                  </c:pt>
                  <c:pt idx="3">
                    <c:v>0.49940151639561547</c:v>
                  </c:pt>
                  <c:pt idx="4">
                    <c:v>0.9090276587048296</c:v>
                  </c:pt>
                  <c:pt idx="5">
                    <c:v>4.5334242655861079</c:v>
                  </c:pt>
                  <c:pt idx="6">
                    <c:v>0.31564388620489758</c:v>
                  </c:pt>
                  <c:pt idx="7">
                    <c:v>2.8463473482042105</c:v>
                  </c:pt>
                  <c:pt idx="8">
                    <c:v>0.56996602155965115</c:v>
                  </c:pt>
                  <c:pt idx="9">
                    <c:v>0.34039410577555135</c:v>
                  </c:pt>
                </c:numCache>
              </c:numRef>
            </c:minus>
            <c:spPr>
              <a:ln w="12700">
                <a:solidFill>
                  <a:srgbClr val="000000"/>
                </a:solidFill>
                <a:prstDash val="solid"/>
              </a:ln>
            </c:spPr>
          </c:errBars>
          <c:xVal>
            <c:numRef>
              <c:f>All_hyperintensities!$AF$41:$AF$50</c:f>
              <c:numCache>
                <c:formatCode>0.00</c:formatCode>
                <c:ptCount val="10"/>
                <c:pt idx="0">
                  <c:v>3.2307692307692313</c:v>
                </c:pt>
                <c:pt idx="1">
                  <c:v>1.9722222222222223</c:v>
                </c:pt>
                <c:pt idx="2">
                  <c:v>2.3611111111111112</c:v>
                </c:pt>
                <c:pt idx="3">
                  <c:v>0.72959183673469385</c:v>
                </c:pt>
                <c:pt idx="4">
                  <c:v>1.3392857142857142</c:v>
                </c:pt>
                <c:pt idx="5">
                  <c:v>6.7532467532467528</c:v>
                </c:pt>
                <c:pt idx="6">
                  <c:v>0.46280991735537191</c:v>
                </c:pt>
                <c:pt idx="7">
                  <c:v>4.1785714285714288</c:v>
                </c:pt>
                <c:pt idx="8">
                  <c:v>1.0303030303030303</c:v>
                </c:pt>
                <c:pt idx="9">
                  <c:v>0.52173913043478259</c:v>
                </c:pt>
              </c:numCache>
            </c:numRef>
          </c:xVal>
          <c:yVal>
            <c:numRef>
              <c:f>All_hyperintensities!$G$41:$G$50</c:f>
              <c:numCache>
                <c:formatCode>General</c:formatCode>
                <c:ptCount val="10"/>
                <c:pt idx="0">
                  <c:v>10</c:v>
                </c:pt>
                <c:pt idx="1">
                  <c:v>9</c:v>
                </c:pt>
                <c:pt idx="2">
                  <c:v>8</c:v>
                </c:pt>
                <c:pt idx="3">
                  <c:v>7</c:v>
                </c:pt>
                <c:pt idx="4">
                  <c:v>6</c:v>
                </c:pt>
                <c:pt idx="5">
                  <c:v>5</c:v>
                </c:pt>
                <c:pt idx="6">
                  <c:v>4</c:v>
                </c:pt>
                <c:pt idx="7">
                  <c:v>3</c:v>
                </c:pt>
                <c:pt idx="8">
                  <c:v>2</c:v>
                </c:pt>
                <c:pt idx="9">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All_hyperintensities!$AH$58</c:f>
                <c:numCache>
                  <c:formatCode>General</c:formatCode>
                  <c:ptCount val="1"/>
                  <c:pt idx="0">
                    <c:v>0.61349011036915968</c:v>
                  </c:pt>
                </c:numCache>
              </c:numRef>
            </c:plus>
            <c:minus>
              <c:numRef>
                <c:f>All_hyperintensities!$AH$59</c:f>
                <c:numCache>
                  <c:formatCode>General</c:formatCode>
                  <c:ptCount val="1"/>
                  <c:pt idx="0">
                    <c:v>0.44511847211208733</c:v>
                  </c:pt>
                </c:numCache>
              </c:numRef>
            </c:minus>
            <c:spPr>
              <a:ln w="12700">
                <a:solidFill>
                  <a:srgbClr val="000000"/>
                </a:solidFill>
                <a:prstDash val="solid"/>
              </a:ln>
            </c:spPr>
          </c:errBars>
          <c:xVal>
            <c:numRef>
              <c:f>All_hyperintensities!$AH$57</c:f>
              <c:numCache>
                <c:formatCode>General</c:formatCode>
                <c:ptCount val="1"/>
                <c:pt idx="0">
                  <c:v>1.6218632984164474</c:v>
                </c:pt>
              </c:numCache>
            </c:numRef>
          </c:xVal>
          <c:yVal>
            <c:numRef>
              <c:f>All_hyperintensities!$I$58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All_hyperintensities!$AH$62</c:f>
                <c:numCache>
                  <c:formatCode>General</c:formatCode>
                  <c:ptCount val="1"/>
                  <c:pt idx="0">
                    <c:v>1.1316499919754794</c:v>
                  </c:pt>
                </c:numCache>
              </c:numRef>
            </c:plus>
            <c:minus>
              <c:numRef>
                <c:f>All_hyperintensities!$AH$63</c:f>
                <c:numCache>
                  <c:formatCode>General</c:formatCode>
                  <c:ptCount val="1"/>
                  <c:pt idx="0">
                    <c:v>0.66305755479280037</c:v>
                  </c:pt>
                </c:numCache>
              </c:numRef>
            </c:minus>
            <c:spPr>
              <a:ln w="12700">
                <a:solidFill>
                  <a:srgbClr val="000000"/>
                </a:solidFill>
                <a:prstDash val="solid"/>
              </a:ln>
            </c:spPr>
          </c:errBars>
          <c:xVal>
            <c:numRef>
              <c:f>All_hyperintensities!$AH$61</c:f>
              <c:numCache>
                <c:formatCode>General</c:formatCode>
                <c:ptCount val="1"/>
                <c:pt idx="0">
                  <c:v>1.6012829423195156</c:v>
                </c:pt>
              </c:numCache>
            </c:numRef>
          </c:xVal>
          <c:yVal>
            <c:numRef>
              <c:f>All_hyperintensities!$I$69</c:f>
              <c:numCache>
                <c:formatCode>General</c:formatCode>
                <c:ptCount val="1"/>
                <c:pt idx="0">
                  <c:v>-3</c:v>
                </c:pt>
              </c:numCache>
            </c:numRef>
          </c:yVal>
        </c:ser>
        <c:axId val="140740864"/>
        <c:axId val="140754944"/>
      </c:scatterChart>
      <c:valAx>
        <c:axId val="140740864"/>
        <c:scaling>
          <c:orientation val="minMax"/>
          <c:max val="5"/>
          <c:min val="0"/>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754944"/>
        <c:crosses val="autoZero"/>
        <c:crossBetween val="midCat"/>
      </c:valAx>
      <c:valAx>
        <c:axId val="140754944"/>
        <c:scaling>
          <c:orientation val="minMax"/>
        </c:scaling>
        <c:axPos val="l"/>
        <c:numFmt formatCode="General" sourceLinked="1"/>
        <c:majorTickMark val="none"/>
        <c:tickLblPos val="none"/>
        <c:spPr>
          <a:ln w="3175">
            <a:solidFill>
              <a:srgbClr val="000000"/>
            </a:solidFill>
            <a:prstDash val="solid"/>
          </a:ln>
        </c:spPr>
        <c:crossAx val="140740864"/>
        <c:crossesAt val="1"/>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628881872284101"/>
          <c:y val="8.2250908391444583E-2"/>
          <c:w val="0.82474330594508305"/>
          <c:h val="0.75757415623698765"/>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Eq val="1"/>
            <c:trendlineLbl>
              <c:layout>
                <c:manualLayout>
                  <c:x val="-0.14948287092361187"/>
                  <c:y val="-2.5558552744127997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All_hyperintensities!$AK$41:$AK$50</c:f>
              <c:numCache>
                <c:formatCode>General</c:formatCode>
                <c:ptCount val="10"/>
                <c:pt idx="0">
                  <c:v>2.1610166293705957</c:v>
                </c:pt>
                <c:pt idx="1">
                  <c:v>1.6178725291991725</c:v>
                </c:pt>
                <c:pt idx="2">
                  <c:v>2.4168754944583135</c:v>
                </c:pt>
                <c:pt idx="3">
                  <c:v>1.6990603450838591</c:v>
                </c:pt>
                <c:pt idx="4">
                  <c:v>1.7261018975425322</c:v>
                </c:pt>
                <c:pt idx="5">
                  <c:v>1.761645487181839</c:v>
                </c:pt>
                <c:pt idx="6">
                  <c:v>1.7106623850790856</c:v>
                </c:pt>
                <c:pt idx="7">
                  <c:v>1.7146061834553741</c:v>
                </c:pt>
                <c:pt idx="8">
                  <c:v>2.4328200537062226</c:v>
                </c:pt>
                <c:pt idx="9">
                  <c:v>1.8547147391461976</c:v>
                </c:pt>
              </c:numCache>
            </c:numRef>
          </c:xVal>
          <c:yVal>
            <c:numRef>
              <c:f>All_hyperintensities!$AL$41:$AL$50</c:f>
              <c:numCache>
                <c:formatCode>General</c:formatCode>
                <c:ptCount val="10"/>
                <c:pt idx="0">
                  <c:v>2.5342679852358003</c:v>
                </c:pt>
                <c:pt idx="1">
                  <c:v>1.0987958254421302</c:v>
                </c:pt>
                <c:pt idx="2">
                  <c:v>2.0764158459540396</c:v>
                </c:pt>
                <c:pt idx="3">
                  <c:v>-0.53566280421740275</c:v>
                </c:pt>
                <c:pt idx="4">
                  <c:v>0.50425723373837172</c:v>
                </c:pt>
                <c:pt idx="5">
                  <c:v>3.3647840849151485</c:v>
                </c:pt>
                <c:pt idx="6">
                  <c:v>-1.31796076901513</c:v>
                </c:pt>
                <c:pt idx="7">
                  <c:v>2.4518344176099518</c:v>
                </c:pt>
                <c:pt idx="8">
                  <c:v>7.2626887413097127E-2</c:v>
                </c:pt>
                <c:pt idx="9">
                  <c:v>-1.2066543480272416</c:v>
                </c:pt>
              </c:numCache>
            </c:numRef>
          </c:yVal>
        </c:ser>
        <c:axId val="136994816"/>
        <c:axId val="136996352"/>
      </c:scatterChart>
      <c:valAx>
        <c:axId val="136994816"/>
        <c:scaling>
          <c:orientation val="minMax"/>
        </c:scaling>
        <c:axPos val="b"/>
        <c:title>
          <c:tx>
            <c:rich>
              <a:bodyPr/>
              <a:lstStyle/>
              <a:p>
                <a:pPr>
                  <a:defRPr sz="1000" b="1" i="0" u="none" strike="noStrike" baseline="0">
                    <a:solidFill>
                      <a:srgbClr val="000000"/>
                    </a:solidFill>
                    <a:latin typeface="Arial"/>
                    <a:ea typeface="Arial"/>
                    <a:cs typeface="Arial"/>
                  </a:defRPr>
                </a:pPr>
                <a:r>
                  <a:rPr lang="en-GB"/>
                  <a:t>1 / standard error</a:t>
                </a:r>
              </a:p>
            </c:rich>
          </c:tx>
          <c:layout>
            <c:manualLayout>
              <c:xMode val="edge"/>
              <c:yMode val="edge"/>
              <c:x val="0.42179275915252901"/>
              <c:y val="0.88418720387224126"/>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996352"/>
        <c:crosses val="autoZero"/>
        <c:crossBetween val="midCat"/>
      </c:valAx>
      <c:valAx>
        <c:axId val="136996352"/>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677322152912703"/>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99481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3092983278248798E-2"/>
          <c:y val="3.1527952281762098E-2"/>
          <c:w val="0.93678598818427405"/>
          <c:h val="0.95311424974865377"/>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DWMH!$AG$44:$AG$57</c:f>
                <c:numCache>
                  <c:formatCode>General</c:formatCode>
                  <c:ptCount val="14"/>
                  <c:pt idx="0">
                    <c:v>3.9496699347481705</c:v>
                  </c:pt>
                  <c:pt idx="1">
                    <c:v>6.7294320617384091</c:v>
                  </c:pt>
                  <c:pt idx="2">
                    <c:v>14.518442781031641</c:v>
                  </c:pt>
                  <c:pt idx="3">
                    <c:v>8.0103564740023696</c:v>
                  </c:pt>
                  <c:pt idx="4">
                    <c:v>0.64185387414427764</c:v>
                  </c:pt>
                  <c:pt idx="5">
                    <c:v>1.3685247142009846</c:v>
                  </c:pt>
                  <c:pt idx="6">
                    <c:v>34.929350883048478</c:v>
                  </c:pt>
                  <c:pt idx="7">
                    <c:v>1.2596154395266912</c:v>
                  </c:pt>
                  <c:pt idx="8">
                    <c:v>7.3935570559486621</c:v>
                  </c:pt>
                  <c:pt idx="9">
                    <c:v>4.5521014146628183</c:v>
                  </c:pt>
                  <c:pt idx="10">
                    <c:v>11.215855204607621</c:v>
                  </c:pt>
                  <c:pt idx="11">
                    <c:v>1.0266701490564307</c:v>
                  </c:pt>
                  <c:pt idx="12">
                    <c:v>0.85269155949220132</c:v>
                  </c:pt>
                  <c:pt idx="13">
                    <c:v>1.2073910461093673</c:v>
                  </c:pt>
                </c:numCache>
              </c:numRef>
            </c:plus>
            <c:minus>
              <c:numRef>
                <c:f>DWMH!$AH$44:$AH$57</c:f>
                <c:numCache>
                  <c:formatCode>General</c:formatCode>
                  <c:ptCount val="14"/>
                  <c:pt idx="0">
                    <c:v>1.0453318732738466</c:v>
                  </c:pt>
                  <c:pt idx="1">
                    <c:v>1.9193314824131393</c:v>
                  </c:pt>
                  <c:pt idx="2">
                    <c:v>2.3473034094851233</c:v>
                  </c:pt>
                  <c:pt idx="3">
                    <c:v>1.9363079352047596</c:v>
                  </c:pt>
                  <c:pt idx="4">
                    <c:v>0.35684906909439101</c:v>
                  </c:pt>
                  <c:pt idx="5">
                    <c:v>0.54342470611311278</c:v>
                  </c:pt>
                  <c:pt idx="6">
                    <c:v>2.95007837062444</c:v>
                  </c:pt>
                  <c:pt idx="7">
                    <c:v>0.55989889221247013</c:v>
                  </c:pt>
                  <c:pt idx="8">
                    <c:v>1.4614060846913262</c:v>
                  </c:pt>
                  <c:pt idx="9">
                    <c:v>0.85319885014677888</c:v>
                  </c:pt>
                  <c:pt idx="10">
                    <c:v>1.8740491284751257</c:v>
                  </c:pt>
                  <c:pt idx="11">
                    <c:v>0.45014682080795798</c:v>
                  </c:pt>
                  <c:pt idx="12">
                    <c:v>0.48975815093003716</c:v>
                  </c:pt>
                  <c:pt idx="13">
                    <c:v>0.41633424240453021</c:v>
                  </c:pt>
                </c:numCache>
              </c:numRef>
            </c:minus>
            <c:spPr>
              <a:ln w="12700">
                <a:solidFill>
                  <a:srgbClr val="000000"/>
                </a:solidFill>
                <a:prstDash val="solid"/>
              </a:ln>
            </c:spPr>
          </c:errBars>
          <c:xVal>
            <c:numRef>
              <c:f>DWMH!$AF$44:$AF$57</c:f>
              <c:numCache>
                <c:formatCode>0.00</c:formatCode>
                <c:ptCount val="14"/>
                <c:pt idx="0">
                  <c:v>1.4215686274509804</c:v>
                </c:pt>
                <c:pt idx="1">
                  <c:v>2.6851851851851851</c:v>
                </c:pt>
                <c:pt idx="2">
                  <c:v>2.8</c:v>
                </c:pt>
                <c:pt idx="3">
                  <c:v>2.5535714285714284</c:v>
                </c:pt>
                <c:pt idx="4">
                  <c:v>0.80365296803652964</c:v>
                </c:pt>
                <c:pt idx="5">
                  <c:v>0.90133333333333332</c:v>
                </c:pt>
                <c:pt idx="6">
                  <c:v>3.2222222222222219</c:v>
                </c:pt>
                <c:pt idx="7">
                  <c:v>1.0079185520361991</c:v>
                </c:pt>
                <c:pt idx="8">
                  <c:v>1.8214285714285714</c:v>
                </c:pt>
                <c:pt idx="9">
                  <c:v>1.05</c:v>
                </c:pt>
                <c:pt idx="10">
                  <c:v>2.25</c:v>
                </c:pt>
                <c:pt idx="11">
                  <c:v>0.80161943319838058</c:v>
                </c:pt>
                <c:pt idx="12">
                  <c:v>1.1506591337099812</c:v>
                </c:pt>
                <c:pt idx="13">
                  <c:v>0.63545150501672243</c:v>
                </c:pt>
              </c:numCache>
            </c:numRef>
          </c:xVal>
          <c:yVal>
            <c:numRef>
              <c:f>DWMH!$G$44:$G$57</c:f>
              <c:numCache>
                <c:formatCode>General</c:formatCode>
                <c:ptCount val="14"/>
                <c:pt idx="0">
                  <c:v>14</c:v>
                </c:pt>
                <c:pt idx="1">
                  <c:v>13</c:v>
                </c:pt>
                <c:pt idx="2">
                  <c:v>12</c:v>
                </c:pt>
                <c:pt idx="3">
                  <c:v>11</c:v>
                </c:pt>
                <c:pt idx="4">
                  <c:v>10</c:v>
                </c:pt>
                <c:pt idx="5">
                  <c:v>9</c:v>
                </c:pt>
                <c:pt idx="6">
                  <c:v>8</c:v>
                </c:pt>
                <c:pt idx="7">
                  <c:v>7</c:v>
                </c:pt>
                <c:pt idx="8">
                  <c:v>6</c:v>
                </c:pt>
                <c:pt idx="9">
                  <c:v>5</c:v>
                </c:pt>
                <c:pt idx="10">
                  <c:v>4</c:v>
                </c:pt>
                <c:pt idx="11">
                  <c:v>3</c:v>
                </c:pt>
                <c:pt idx="12">
                  <c:v>2</c:v>
                </c:pt>
                <c:pt idx="1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DWMH!$AH$65</c:f>
                <c:numCache>
                  <c:formatCode>General</c:formatCode>
                  <c:ptCount val="1"/>
                  <c:pt idx="0">
                    <c:v>0.32933181439704762</c:v>
                  </c:pt>
                </c:numCache>
              </c:numRef>
            </c:plus>
            <c:minus>
              <c:numRef>
                <c:f>DWMH!$AH$66</c:f>
                <c:numCache>
                  <c:formatCode>General</c:formatCode>
                  <c:ptCount val="1"/>
                  <c:pt idx="0">
                    <c:v>0.25306764017218486</c:v>
                  </c:pt>
                </c:numCache>
              </c:numRef>
            </c:minus>
            <c:spPr>
              <a:ln w="12700">
                <a:solidFill>
                  <a:srgbClr val="000000"/>
                </a:solidFill>
                <a:prstDash val="solid"/>
              </a:ln>
            </c:spPr>
          </c:errBars>
          <c:xVal>
            <c:numRef>
              <c:f>DWMH!$AH$64</c:f>
              <c:numCache>
                <c:formatCode>General</c:formatCode>
                <c:ptCount val="1"/>
                <c:pt idx="0">
                  <c:v>1.0928227565586646</c:v>
                </c:pt>
              </c:numCache>
            </c:numRef>
          </c:xVal>
          <c:yVal>
            <c:numRef>
              <c:f>DWMH!$I$65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DWMH!$AH$69</c:f>
                <c:numCache>
                  <c:formatCode>General</c:formatCode>
                  <c:ptCount val="1"/>
                  <c:pt idx="0">
                    <c:v>0.32933181439704762</c:v>
                  </c:pt>
                </c:numCache>
              </c:numRef>
            </c:plus>
            <c:minus>
              <c:numRef>
                <c:f>DWMH!$AH$70</c:f>
                <c:numCache>
                  <c:formatCode>General</c:formatCode>
                  <c:ptCount val="1"/>
                  <c:pt idx="0">
                    <c:v>0.25306764017218486</c:v>
                  </c:pt>
                </c:numCache>
              </c:numRef>
            </c:minus>
            <c:spPr>
              <a:ln w="12700">
                <a:solidFill>
                  <a:srgbClr val="000000"/>
                </a:solidFill>
                <a:prstDash val="solid"/>
              </a:ln>
            </c:spPr>
          </c:errBars>
          <c:xVal>
            <c:numRef>
              <c:f>DWMH!$AH$68</c:f>
              <c:numCache>
                <c:formatCode>General</c:formatCode>
                <c:ptCount val="1"/>
                <c:pt idx="0">
                  <c:v>1.0928227565586646</c:v>
                </c:pt>
              </c:numCache>
            </c:numRef>
          </c:xVal>
          <c:yVal>
            <c:numRef>
              <c:f>DWMH!$I$76</c:f>
              <c:numCache>
                <c:formatCode>General</c:formatCode>
                <c:ptCount val="1"/>
                <c:pt idx="0">
                  <c:v>-3</c:v>
                </c:pt>
              </c:numCache>
            </c:numRef>
          </c:yVal>
        </c:ser>
        <c:axId val="136962048"/>
        <c:axId val="136963584"/>
      </c:scatterChart>
      <c:valAx>
        <c:axId val="136962048"/>
        <c:scaling>
          <c:orientation val="minMax"/>
          <c:max val="5"/>
          <c:min val="0"/>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6963584"/>
        <c:crosses val="autoZero"/>
        <c:crossBetween val="midCat"/>
      </c:valAx>
      <c:valAx>
        <c:axId val="136963584"/>
        <c:scaling>
          <c:orientation val="minMax"/>
        </c:scaling>
        <c:axPos val="l"/>
        <c:numFmt formatCode="General" sourceLinked="1"/>
        <c:majorTickMark val="none"/>
        <c:tickLblPos val="none"/>
        <c:spPr>
          <a:ln w="3175">
            <a:solidFill>
              <a:srgbClr val="000000"/>
            </a:solidFill>
            <a:prstDash val="solid"/>
          </a:ln>
        </c:spPr>
        <c:crossAx val="136962048"/>
        <c:crossesAt val="1"/>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948472420254597"/>
          <c:y val="8.2250908391444583E-2"/>
          <c:w val="0.811856691789691"/>
          <c:h val="0.7619031514154857"/>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Eq val="1"/>
            <c:trendlineLbl>
              <c:layout>
                <c:manualLayout>
                  <c:x val="-0.14317667984359767"/>
                  <c:y val="-2.6841214084770443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DWMH!$AK$44:$AK$57</c:f>
              <c:numCache>
                <c:formatCode>General</c:formatCode>
                <c:ptCount val="14"/>
                <c:pt idx="0">
                  <c:v>1.4744629070697448</c:v>
                </c:pt>
                <c:pt idx="1">
                  <c:v>1.5623582470186284</c:v>
                </c:pt>
                <c:pt idx="2">
                  <c:v>1.0756508696544755</c:v>
                </c:pt>
                <c:pt idx="3">
                  <c:v>1.3803281254830404</c:v>
                </c:pt>
                <c:pt idx="4">
                  <c:v>3.338740328602662</c:v>
                </c:pt>
                <c:pt idx="5">
                  <c:v>2.1221367070085884</c:v>
                </c:pt>
                <c:pt idx="6">
                  <c:v>0.79304203082220193</c:v>
                </c:pt>
                <c:pt idx="7">
                  <c:v>2.417349081021908</c:v>
                </c:pt>
                <c:pt idx="8">
                  <c:v>1.2089736124069945</c:v>
                </c:pt>
                <c:pt idx="9">
                  <c:v>1.1706023881149221</c:v>
                </c:pt>
                <c:pt idx="10">
                  <c:v>1.0954451150103324</c:v>
                </c:pt>
                <c:pt idx="11">
                  <c:v>2.3771920131265496</c:v>
                </c:pt>
                <c:pt idx="12">
                  <c:v>3.5348040123005773</c:v>
                </c:pt>
                <c:pt idx="13">
                  <c:v>1.8408444481765467</c:v>
                </c:pt>
              </c:numCache>
            </c:numRef>
          </c:xVal>
          <c:yVal>
            <c:numRef>
              <c:f>DWMH!$AL$44:$AL$57</c:f>
              <c:numCache>
                <c:formatCode>General</c:formatCode>
                <c:ptCount val="14"/>
                <c:pt idx="0">
                  <c:v>0.51865844216786838</c:v>
                </c:pt>
                <c:pt idx="1">
                  <c:v>1.5432188833112324</c:v>
                </c:pt>
                <c:pt idx="2">
                  <c:v>1.1075110215040471</c:v>
                </c:pt>
                <c:pt idx="3">
                  <c:v>1.2940478718677946</c:v>
                </c:pt>
                <c:pt idx="4">
                  <c:v>-0.72980768544237684</c:v>
                </c:pt>
                <c:pt idx="5">
                  <c:v>-0.22044783803613663</c:v>
                </c:pt>
                <c:pt idx="6">
                  <c:v>0.92791568240843558</c:v>
                </c:pt>
                <c:pt idx="7">
                  <c:v>1.9066514131137975E-2</c:v>
                </c:pt>
                <c:pt idx="8">
                  <c:v>0.72492611460374889</c:v>
                </c:pt>
                <c:pt idx="9">
                  <c:v>5.711388269325627E-2</c:v>
                </c:pt>
                <c:pt idx="10">
                  <c:v>0.88832954396844988</c:v>
                </c:pt>
                <c:pt idx="11">
                  <c:v>-0.52564780239709052</c:v>
                </c:pt>
                <c:pt idx="12">
                  <c:v>0.49605650165970233</c:v>
                </c:pt>
                <c:pt idx="13">
                  <c:v>-0.83467477153459302</c:v>
                </c:pt>
              </c:numCache>
            </c:numRef>
          </c:yVal>
        </c:ser>
        <c:axId val="141337728"/>
        <c:axId val="141339648"/>
      </c:scatterChart>
      <c:valAx>
        <c:axId val="141337728"/>
        <c:scaling>
          <c:orientation val="minMax"/>
        </c:scaling>
        <c:axPos val="b"/>
        <c:title>
          <c:tx>
            <c:rich>
              <a:bodyPr/>
              <a:lstStyle/>
              <a:p>
                <a:pPr>
                  <a:defRPr sz="1000" b="1" i="0" u="none" strike="noStrike" baseline="0">
                    <a:solidFill>
                      <a:srgbClr val="000000"/>
                    </a:solidFill>
                    <a:latin typeface="Arial"/>
                    <a:ea typeface="Arial"/>
                    <a:cs typeface="Arial"/>
                  </a:defRPr>
                </a:pPr>
                <a:r>
                  <a:t>1 / standard error</a:t>
                </a:r>
              </a:p>
            </c:rich>
          </c:tx>
          <c:layout>
            <c:manualLayout>
              <c:xMode val="edge"/>
              <c:yMode val="edge"/>
              <c:x val="0.43409489406607732"/>
              <c:y val="0.88418720387224126"/>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339648"/>
        <c:crosses val="autoZero"/>
        <c:crossBetween val="midCat"/>
      </c:valAx>
      <c:valAx>
        <c:axId val="141339648"/>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677322152912703"/>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33772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DWMH_rating!$AG$45:$AG$56</c:f>
                <c:numCache>
                  <c:formatCode>General</c:formatCode>
                  <c:ptCount val="12"/>
                  <c:pt idx="0">
                    <c:v>0.64004631861100569</c:v>
                  </c:pt>
                  <c:pt idx="1">
                    <c:v>0.54922308812107934</c:v>
                  </c:pt>
                  <c:pt idx="2">
                    <c:v>0.56835912395730459</c:v>
                  </c:pt>
                  <c:pt idx="3">
                    <c:v>0.52823115049388725</c:v>
                  </c:pt>
                  <c:pt idx="4">
                    <c:v>0.41567104036663699</c:v>
                  </c:pt>
                  <c:pt idx="5">
                    <c:v>0.70409051689683866</c:v>
                  </c:pt>
                  <c:pt idx="6">
                    <c:v>0.57501864161320748</c:v>
                  </c:pt>
                  <c:pt idx="7">
                    <c:v>0.56324883421916572</c:v>
                  </c:pt>
                  <c:pt idx="8">
                    <c:v>0.41701583672958131</c:v>
                  </c:pt>
                  <c:pt idx="9">
                    <c:v>0.73245757365485298</c:v>
                  </c:pt>
                  <c:pt idx="10">
                    <c:v>0.9413363324230859</c:v>
                  </c:pt>
                  <c:pt idx="11">
                    <c:v>0.40395756147577461</c:v>
                  </c:pt>
                </c:numCache>
              </c:numRef>
            </c:plus>
            <c:minus>
              <c:numRef>
                <c:f>DWMH_rating!$AH$45:$AH$56</c:f>
                <c:numCache>
                  <c:formatCode>General</c:formatCode>
                  <c:ptCount val="12"/>
                  <c:pt idx="0">
                    <c:v>0.64004631861100569</c:v>
                  </c:pt>
                  <c:pt idx="1">
                    <c:v>0.54922308812107934</c:v>
                  </c:pt>
                  <c:pt idx="2">
                    <c:v>0.56835912395730459</c:v>
                  </c:pt>
                  <c:pt idx="3">
                    <c:v>0.52823115049388725</c:v>
                  </c:pt>
                  <c:pt idx="4">
                    <c:v>0.41567104036663699</c:v>
                  </c:pt>
                  <c:pt idx="5">
                    <c:v>0.70409051689683866</c:v>
                  </c:pt>
                  <c:pt idx="6">
                    <c:v>0.57501864161320748</c:v>
                  </c:pt>
                  <c:pt idx="7">
                    <c:v>0.56324883421916572</c:v>
                  </c:pt>
                  <c:pt idx="8">
                    <c:v>0.41701583672958131</c:v>
                  </c:pt>
                  <c:pt idx="9">
                    <c:v>0.73245757365485298</c:v>
                  </c:pt>
                  <c:pt idx="10">
                    <c:v>0.9413363324230859</c:v>
                  </c:pt>
                  <c:pt idx="11">
                    <c:v>0.40395756147577461</c:v>
                  </c:pt>
                </c:numCache>
              </c:numRef>
            </c:minus>
            <c:spPr>
              <a:ln w="12700">
                <a:solidFill>
                  <a:srgbClr val="000000"/>
                </a:solidFill>
                <a:prstDash val="solid"/>
              </a:ln>
            </c:spPr>
          </c:errBars>
          <c:xVal>
            <c:numRef>
              <c:f>DWMH_rating!$AF$45:$AF$56</c:f>
              <c:numCache>
                <c:formatCode>0.00</c:formatCode>
                <c:ptCount val="12"/>
                <c:pt idx="0">
                  <c:v>0.30599356889458296</c:v>
                </c:pt>
                <c:pt idx="1">
                  <c:v>0.93985670811093824</c:v>
                </c:pt>
                <c:pt idx="2">
                  <c:v>0.25786199401354276</c:v>
                </c:pt>
                <c:pt idx="3">
                  <c:v>-4.0352885367039654E-2</c:v>
                </c:pt>
                <c:pt idx="4">
                  <c:v>0.17516939208017893</c:v>
                </c:pt>
                <c:pt idx="5">
                  <c:v>0.54691188581129846</c:v>
                </c:pt>
                <c:pt idx="6">
                  <c:v>-0.18586313714446634</c:v>
                </c:pt>
                <c:pt idx="7">
                  <c:v>0</c:v>
                </c:pt>
                <c:pt idx="8">
                  <c:v>-5.7640303380212012E-2</c:v>
                </c:pt>
                <c:pt idx="9">
                  <c:v>0.2513423671385096</c:v>
                </c:pt>
                <c:pt idx="10">
                  <c:v>0.66661890410922087</c:v>
                </c:pt>
                <c:pt idx="11">
                  <c:v>-7.9281297319665531E-2</c:v>
                </c:pt>
              </c:numCache>
            </c:numRef>
          </c:xVal>
          <c:yVal>
            <c:numRef>
              <c:f>DWMH_rating!$G$45:$G$56</c:f>
              <c:numCache>
                <c:formatCode>General</c:formatCode>
                <c:ptCount val="12"/>
                <c:pt idx="0">
                  <c:v>12</c:v>
                </c:pt>
                <c:pt idx="1">
                  <c:v>11</c:v>
                </c:pt>
                <c:pt idx="2">
                  <c:v>10</c:v>
                </c:pt>
                <c:pt idx="3">
                  <c:v>9</c:v>
                </c:pt>
                <c:pt idx="4">
                  <c:v>8</c:v>
                </c:pt>
                <c:pt idx="5">
                  <c:v>7</c:v>
                </c:pt>
                <c:pt idx="6">
                  <c:v>6</c:v>
                </c:pt>
                <c:pt idx="7">
                  <c:v>5</c:v>
                </c:pt>
                <c:pt idx="8">
                  <c:v>4</c:v>
                </c:pt>
                <c:pt idx="9">
                  <c:v>3</c:v>
                </c:pt>
                <c:pt idx="10">
                  <c:v>2</c:v>
                </c:pt>
                <c:pt idx="11">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DWMH_rating!$AH$64</c:f>
                <c:numCache>
                  <c:formatCode>General</c:formatCode>
                  <c:ptCount val="1"/>
                  <c:pt idx="0">
                    <c:v>0.15562816441232522</c:v>
                  </c:pt>
                </c:numCache>
              </c:numRef>
            </c:plus>
            <c:minus>
              <c:numRef>
                <c:f>DWMH_rating!$AH$65</c:f>
                <c:numCache>
                  <c:formatCode>General</c:formatCode>
                  <c:ptCount val="1"/>
                  <c:pt idx="0">
                    <c:v>0.15562816441232522</c:v>
                  </c:pt>
                </c:numCache>
              </c:numRef>
            </c:minus>
            <c:spPr>
              <a:ln w="12700">
                <a:solidFill>
                  <a:srgbClr val="000000"/>
                </a:solidFill>
                <a:prstDash val="solid"/>
              </a:ln>
            </c:spPr>
          </c:errBars>
          <c:xVal>
            <c:numRef>
              <c:f>DWMH_rating!$AH$63</c:f>
              <c:numCache>
                <c:formatCode>General</c:formatCode>
                <c:ptCount val="1"/>
                <c:pt idx="0">
                  <c:v>0.15681898378734113</c:v>
                </c:pt>
              </c:numCache>
            </c:numRef>
          </c:xVal>
          <c:yVal>
            <c:numRef>
              <c:f>DWMH_rating!$I$64</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DWMH_rating!$AH$68</c:f>
                <c:numCache>
                  <c:formatCode>General</c:formatCode>
                  <c:ptCount val="1"/>
                  <c:pt idx="0">
                    <c:v>0.18616661222707334</c:v>
                  </c:pt>
                </c:numCache>
              </c:numRef>
            </c:plus>
            <c:minus>
              <c:numRef>
                <c:f>DWMH_rating!$AH$69</c:f>
                <c:numCache>
                  <c:formatCode>General</c:formatCode>
                  <c:ptCount val="1"/>
                  <c:pt idx="0">
                    <c:v>0.18616661222707334</c:v>
                  </c:pt>
                </c:numCache>
              </c:numRef>
            </c:minus>
            <c:spPr>
              <a:ln w="12700">
                <a:solidFill>
                  <a:srgbClr val="000000"/>
                </a:solidFill>
                <a:prstDash val="solid"/>
              </a:ln>
            </c:spPr>
          </c:errBars>
          <c:xVal>
            <c:numRef>
              <c:f>DWMH_rating!$AH$67</c:f>
              <c:numCache>
                <c:formatCode>General</c:formatCode>
                <c:ptCount val="1"/>
                <c:pt idx="0">
                  <c:v>0.17470009970475658</c:v>
                </c:pt>
              </c:numCache>
            </c:numRef>
          </c:xVal>
          <c:yVal>
            <c:numRef>
              <c:f>DWMH_rating!$I$75</c:f>
              <c:numCache>
                <c:formatCode>General</c:formatCode>
                <c:ptCount val="1"/>
                <c:pt idx="0">
                  <c:v>-3</c:v>
                </c:pt>
              </c:numCache>
            </c:numRef>
          </c:yVal>
        </c:ser>
        <c:axId val="141638272"/>
        <c:axId val="141644160"/>
      </c:scatterChart>
      <c:valAx>
        <c:axId val="14163827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1644160"/>
        <c:crosses val="autoZero"/>
        <c:crossBetween val="midCat"/>
      </c:valAx>
      <c:valAx>
        <c:axId val="141644160"/>
        <c:scaling>
          <c:orientation val="minMax"/>
        </c:scaling>
        <c:axPos val="l"/>
        <c:numFmt formatCode="General" sourceLinked="1"/>
        <c:majorTickMark val="none"/>
        <c:tickLblPos val="none"/>
        <c:spPr>
          <a:ln w="3175">
            <a:solidFill>
              <a:srgbClr val="000000"/>
            </a:solidFill>
            <a:prstDash val="solid"/>
          </a:ln>
        </c:spPr>
        <c:crossAx val="1416382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466996111722158"/>
          <c:y val="8.3700305497941455E-2"/>
          <c:w val="0.817258376837636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63729632703849"/>
                  <c:y val="-3.415032646824871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DWMH_rating!$AK$45:$AK$56</c:f>
              <c:numCache>
                <c:formatCode>General</c:formatCode>
                <c:ptCount val="12"/>
                <c:pt idx="0">
                  <c:v>3.0622783742487374</c:v>
                </c:pt>
                <c:pt idx="1">
                  <c:v>3.5686773596959691</c:v>
                </c:pt>
                <c:pt idx="2">
                  <c:v>3.4485238599727945</c:v>
                </c:pt>
                <c:pt idx="3">
                  <c:v>3.710496812176701</c:v>
                </c:pt>
                <c:pt idx="4">
                  <c:v>4.7152671455562754</c:v>
                </c:pt>
                <c:pt idx="5">
                  <c:v>2.7837329902387729</c:v>
                </c:pt>
                <c:pt idx="6">
                  <c:v>3.4085851451724158</c:v>
                </c:pt>
                <c:pt idx="7">
                  <c:v>3.4798119071425266</c:v>
                </c:pt>
                <c:pt idx="8">
                  <c:v>4.7000613103117823</c:v>
                </c:pt>
                <c:pt idx="9">
                  <c:v>2.675922907343145</c:v>
                </c:pt>
                <c:pt idx="10">
                  <c:v>2.0821463407821308</c:v>
                </c:pt>
                <c:pt idx="11">
                  <c:v>4.8519948304459239</c:v>
                </c:pt>
              </c:numCache>
            </c:numRef>
          </c:xVal>
          <c:yVal>
            <c:numRef>
              <c:f>DWMH_rating!$AL$45:$AL$56</c:f>
              <c:numCache>
                <c:formatCode>General</c:formatCode>
                <c:ptCount val="12"/>
                <c:pt idx="0">
                  <c:v>0.93703748868507253</c:v>
                </c:pt>
                <c:pt idx="1">
                  <c:v>3.3540453555938883</c:v>
                </c:pt>
                <c:pt idx="2">
                  <c:v>0.8892432389358641</c:v>
                </c:pt>
                <c:pt idx="3">
                  <c:v>-0.14972925251653249</c:v>
                </c:pt>
                <c:pt idx="4">
                  <c:v>0.82597047938273338</c:v>
                </c:pt>
                <c:pt idx="5">
                  <c:v>1.5224566592866122</c:v>
                </c:pt>
                <c:pt idx="6">
                  <c:v>-0.63353032830577138</c:v>
                </c:pt>
                <c:pt idx="7">
                  <c:v>0</c:v>
                </c:pt>
                <c:pt idx="8">
                  <c:v>-0.27091295983196789</c:v>
                </c:pt>
                <c:pt idx="9">
                  <c:v>0.67257279781178869</c:v>
                </c:pt>
                <c:pt idx="10">
                  <c:v>1.3879981118872085</c:v>
                </c:pt>
                <c:pt idx="11">
                  <c:v>-0.38467244474606344</c:v>
                </c:pt>
              </c:numCache>
            </c:numRef>
          </c:yVal>
        </c:ser>
        <c:axId val="141697024"/>
        <c:axId val="141698944"/>
      </c:scatterChart>
      <c:valAx>
        <c:axId val="141697024"/>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95443462968192"/>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1698944"/>
        <c:crosses val="autoZero"/>
        <c:crossBetween val="midCat"/>
      </c:valAx>
      <c:valAx>
        <c:axId val="14169894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2909788560693896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16970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3092983278248798E-2"/>
          <c:y val="3.1527952281762098E-2"/>
          <c:w val="0.93678598818427405"/>
          <c:h val="0.95311424974865377"/>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PVH!$AG$39:$AG$49</c:f>
                <c:numCache>
                  <c:formatCode>General</c:formatCode>
                  <c:ptCount val="11"/>
                  <c:pt idx="0">
                    <c:v>10.533437305400355</c:v>
                  </c:pt>
                  <c:pt idx="1">
                    <c:v>6.9798131278722932</c:v>
                  </c:pt>
                  <c:pt idx="2">
                    <c:v>3.691774478147595</c:v>
                  </c:pt>
                  <c:pt idx="3">
                    <c:v>8.9215120894045796</c:v>
                  </c:pt>
                  <c:pt idx="4">
                    <c:v>48.06639406683751</c:v>
                  </c:pt>
                  <c:pt idx="5">
                    <c:v>12.289194927617704</c:v>
                  </c:pt>
                  <c:pt idx="6">
                    <c:v>0.99909986899572001</c:v>
                  </c:pt>
                  <c:pt idx="7">
                    <c:v>3.9689473637960502</c:v>
                  </c:pt>
                  <c:pt idx="8">
                    <c:v>7.317245254162744</c:v>
                  </c:pt>
                  <c:pt idx="9">
                    <c:v>1.1623407787914986</c:v>
                  </c:pt>
                  <c:pt idx="10">
                    <c:v>4.5049082095161417</c:v>
                  </c:pt>
                </c:numCache>
              </c:numRef>
            </c:plus>
            <c:minus>
              <c:numRef>
                <c:f>PVH!$AH$39:$AH$49</c:f>
                <c:numCache>
                  <c:formatCode>General</c:formatCode>
                  <c:ptCount val="11"/>
                  <c:pt idx="0">
                    <c:v>3.169330946632213</c:v>
                  </c:pt>
                  <c:pt idx="1">
                    <c:v>0.80784259671401448</c:v>
                  </c:pt>
                  <c:pt idx="2">
                    <c:v>0.71752510017510496</c:v>
                  </c:pt>
                  <c:pt idx="3">
                    <c:v>1.4076988330267302</c:v>
                  </c:pt>
                  <c:pt idx="4">
                    <c:v>4.6252002483827104</c:v>
                  </c:pt>
                  <c:pt idx="5">
                    <c:v>0.57691597388993954</c:v>
                  </c:pt>
                  <c:pt idx="6">
                    <c:v>0.30622180005007349</c:v>
                  </c:pt>
                  <c:pt idx="7">
                    <c:v>0.88913923332731581</c:v>
                  </c:pt>
                  <c:pt idx="8">
                    <c:v>1.2448182584081187</c:v>
                  </c:pt>
                  <c:pt idx="9">
                    <c:v>0.52346897541121096</c:v>
                  </c:pt>
                  <c:pt idx="10">
                    <c:v>0.24622304049955909</c:v>
                  </c:pt>
                </c:numCache>
              </c:numRef>
            </c:minus>
            <c:spPr>
              <a:ln w="12700">
                <a:solidFill>
                  <a:srgbClr val="000000"/>
                </a:solidFill>
                <a:prstDash val="solid"/>
              </a:ln>
            </c:spPr>
          </c:errBars>
          <c:xVal>
            <c:numRef>
              <c:f>PVH!$AF$39:$AF$49</c:f>
              <c:numCache>
                <c:formatCode>0.00</c:formatCode>
                <c:ptCount val="11"/>
                <c:pt idx="0">
                  <c:v>4.5333333333333332</c:v>
                </c:pt>
                <c:pt idx="1">
                  <c:v>0.9135802469135802</c:v>
                </c:pt>
                <c:pt idx="2">
                  <c:v>0.890625</c:v>
                </c:pt>
                <c:pt idx="3">
                  <c:v>1.6714285714285715</c:v>
                </c:pt>
                <c:pt idx="4">
                  <c:v>5.117647058823529</c:v>
                </c:pt>
                <c:pt idx="5">
                  <c:v>0.60533333333333328</c:v>
                </c:pt>
                <c:pt idx="6">
                  <c:v>0.44155844155844154</c:v>
                </c:pt>
                <c:pt idx="7">
                  <c:v>1.1458333333333333</c:v>
                </c:pt>
                <c:pt idx="8">
                  <c:v>1.5</c:v>
                </c:pt>
                <c:pt idx="9">
                  <c:v>0.95238095238095233</c:v>
                </c:pt>
                <c:pt idx="10">
                  <c:v>0.26045883940620784</c:v>
                </c:pt>
              </c:numCache>
            </c:numRef>
          </c:xVal>
          <c:yVal>
            <c:numRef>
              <c:f>PVH!$G$39:$G$49</c:f>
              <c:numCache>
                <c:formatCode>General</c:formatCode>
                <c:ptCount val="11"/>
                <c:pt idx="0">
                  <c:v>11</c:v>
                </c:pt>
                <c:pt idx="1">
                  <c:v>10</c:v>
                </c:pt>
                <c:pt idx="2">
                  <c:v>9</c:v>
                </c:pt>
                <c:pt idx="3">
                  <c:v>8</c:v>
                </c:pt>
                <c:pt idx="4">
                  <c:v>7</c:v>
                </c:pt>
                <c:pt idx="5">
                  <c:v>6</c:v>
                </c:pt>
                <c:pt idx="6">
                  <c:v>5</c:v>
                </c:pt>
                <c:pt idx="7">
                  <c:v>4</c:v>
                </c:pt>
                <c:pt idx="8">
                  <c:v>3</c:v>
                </c:pt>
                <c:pt idx="9">
                  <c:v>2</c:v>
                </c:pt>
                <c:pt idx="10">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PVH!$AH$57</c:f>
                <c:numCache>
                  <c:formatCode>General</c:formatCode>
                  <c:ptCount val="1"/>
                  <c:pt idx="0">
                    <c:v>0.65176118876084499</c:v>
                  </c:pt>
                </c:numCache>
              </c:numRef>
            </c:plus>
            <c:minus>
              <c:numRef>
                <c:f>PVH!$AH$58</c:f>
                <c:numCache>
                  <c:formatCode>General</c:formatCode>
                  <c:ptCount val="1"/>
                  <c:pt idx="0">
                    <c:v>0.41737388325253999</c:v>
                  </c:pt>
                </c:numCache>
              </c:numRef>
            </c:minus>
            <c:spPr>
              <a:ln w="12700">
                <a:solidFill>
                  <a:srgbClr val="000000"/>
                </a:solidFill>
                <a:prstDash val="solid"/>
              </a:ln>
            </c:spPr>
          </c:errBars>
          <c:xVal>
            <c:numRef>
              <c:f>PVH!$AH$56</c:f>
              <c:numCache>
                <c:formatCode>General</c:formatCode>
                <c:ptCount val="1"/>
                <c:pt idx="0">
                  <c:v>1.1605922842812268</c:v>
                </c:pt>
              </c:numCache>
            </c:numRef>
          </c:xVal>
          <c:yVal>
            <c:numRef>
              <c:f>PVH!$I$57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PVH!$AH$61</c:f>
                <c:numCache>
                  <c:formatCode>General</c:formatCode>
                  <c:ptCount val="1"/>
                  <c:pt idx="0">
                    <c:v>0.7198379447152552</c:v>
                  </c:pt>
                </c:numCache>
              </c:numRef>
            </c:plus>
            <c:minus>
              <c:numRef>
                <c:f>PVH!$AH$62</c:f>
                <c:numCache>
                  <c:formatCode>General</c:formatCode>
                  <c:ptCount val="1"/>
                  <c:pt idx="0">
                    <c:v>0.44586875534900683</c:v>
                  </c:pt>
                </c:numCache>
              </c:numRef>
            </c:minus>
            <c:spPr>
              <a:ln w="12700">
                <a:solidFill>
                  <a:srgbClr val="000000"/>
                </a:solidFill>
                <a:prstDash val="solid"/>
              </a:ln>
            </c:spPr>
          </c:errBars>
          <c:xVal>
            <c:numRef>
              <c:f>PVH!$AH$60</c:f>
              <c:numCache>
                <c:formatCode>General</c:formatCode>
                <c:ptCount val="1"/>
                <c:pt idx="0">
                  <c:v>1.1714939523149086</c:v>
                </c:pt>
              </c:numCache>
            </c:numRef>
          </c:xVal>
          <c:yVal>
            <c:numRef>
              <c:f>PVH!$I$68</c:f>
              <c:numCache>
                <c:formatCode>General</c:formatCode>
                <c:ptCount val="1"/>
                <c:pt idx="0">
                  <c:v>-3</c:v>
                </c:pt>
              </c:numCache>
            </c:numRef>
          </c:yVal>
        </c:ser>
        <c:axId val="141930880"/>
        <c:axId val="141932416"/>
      </c:scatterChart>
      <c:valAx>
        <c:axId val="141930880"/>
        <c:scaling>
          <c:orientation val="minMax"/>
          <c:max val="5"/>
          <c:min val="0"/>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1932416"/>
        <c:crosses val="autoZero"/>
        <c:crossBetween val="midCat"/>
      </c:valAx>
      <c:valAx>
        <c:axId val="141932416"/>
        <c:scaling>
          <c:orientation val="minMax"/>
        </c:scaling>
        <c:axPos val="l"/>
        <c:numFmt formatCode="General" sourceLinked="1"/>
        <c:majorTickMark val="none"/>
        <c:tickLblPos val="none"/>
        <c:spPr>
          <a:ln w="3175">
            <a:solidFill>
              <a:srgbClr val="000000"/>
            </a:solidFill>
            <a:prstDash val="solid"/>
          </a:ln>
        </c:spPr>
        <c:crossAx val="141930880"/>
        <c:crossesAt val="1"/>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948472420254597"/>
          <c:y val="8.2250908391444583E-2"/>
          <c:w val="0.80154740046537865"/>
          <c:h val="0.7619031514154857"/>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Eq val="1"/>
            <c:trendlineLbl>
              <c:layout>
                <c:manualLayout>
                  <c:x val="-0.13775970293865467"/>
                  <c:y val="-2.788240616580891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PVH!$AK$39:$AK$49</c:f>
              <c:numCache>
                <c:formatCode>General</c:formatCode>
                <c:ptCount val="11"/>
                <c:pt idx="0">
                  <c:v>1.6319268913128673</c:v>
                </c:pt>
                <c:pt idx="1">
                  <c:v>0.90891798306446669</c:v>
                </c:pt>
                <c:pt idx="2">
                  <c:v>1.1965413264893363</c:v>
                </c:pt>
                <c:pt idx="3">
                  <c:v>1.0614624039493517</c:v>
                </c:pt>
                <c:pt idx="4">
                  <c:v>0.83722629396034753</c:v>
                </c:pt>
                <c:pt idx="5">
                  <c:v>0.64077854560752967</c:v>
                </c:pt>
                <c:pt idx="6">
                  <c:v>1.6574421183425452</c:v>
                </c:pt>
                <c:pt idx="7">
                  <c:v>1.3101583700020185</c:v>
                </c:pt>
                <c:pt idx="8">
                  <c:v>1.1065666703449764</c:v>
                </c:pt>
                <c:pt idx="9">
                  <c:v>2.4570227889920524</c:v>
                </c:pt>
                <c:pt idx="10">
                  <c:v>0.6743076733476624</c:v>
                </c:pt>
              </c:numCache>
            </c:numRef>
          </c:xVal>
          <c:yVal>
            <c:numRef>
              <c:f>PVH!$AL$39:$AL$49</c:f>
              <c:numCache>
                <c:formatCode>General</c:formatCode>
                <c:ptCount val="11"/>
                <c:pt idx="0">
                  <c:v>2.4665881459748196</c:v>
                </c:pt>
                <c:pt idx="1">
                  <c:v>-8.215169885091389E-2</c:v>
                </c:pt>
                <c:pt idx="2">
                  <c:v>-0.13859755419809722</c:v>
                </c:pt>
                <c:pt idx="3">
                  <c:v>0.54525062006227398</c:v>
                </c:pt>
                <c:pt idx="4">
                  <c:v>1.3669349953054162</c:v>
                </c:pt>
                <c:pt idx="5">
                  <c:v>-0.32165545664945966</c:v>
                </c:pt>
                <c:pt idx="6">
                  <c:v>-1.3548676021056634</c:v>
                </c:pt>
                <c:pt idx="7">
                  <c:v>0.17835470761792224</c:v>
                </c:pt>
                <c:pt idx="8">
                  <c:v>0.44867417462031733</c:v>
                </c:pt>
                <c:pt idx="9">
                  <c:v>-0.11987854524295805</c:v>
                </c:pt>
                <c:pt idx="10">
                  <c:v>-0.90715315029327914</c:v>
                </c:pt>
              </c:numCache>
            </c:numRef>
          </c:yVal>
        </c:ser>
        <c:axId val="141981184"/>
        <c:axId val="141983104"/>
      </c:scatterChart>
      <c:valAx>
        <c:axId val="141981184"/>
        <c:scaling>
          <c:orientation val="minMax"/>
        </c:scaling>
        <c:axPos val="b"/>
        <c:title>
          <c:tx>
            <c:rich>
              <a:bodyPr/>
              <a:lstStyle/>
              <a:p>
                <a:pPr>
                  <a:defRPr sz="1000" b="1" i="0" u="none" strike="noStrike" baseline="0">
                    <a:solidFill>
                      <a:srgbClr val="000000"/>
                    </a:solidFill>
                    <a:latin typeface="Arial"/>
                    <a:ea typeface="Arial"/>
                    <a:cs typeface="Arial"/>
                  </a:defRPr>
                </a:pPr>
                <a:r>
                  <a:rPr lang="en-GB"/>
                  <a:t>1 / standard error</a:t>
                </a:r>
              </a:p>
            </c:rich>
          </c:tx>
          <c:layout>
            <c:manualLayout>
              <c:xMode val="edge"/>
              <c:yMode val="edge"/>
              <c:x val="0.42882255053169932"/>
              <c:y val="0.88418720387224126"/>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983104"/>
        <c:crosses val="autoZero"/>
        <c:crossBetween val="midCat"/>
      </c:valAx>
      <c:valAx>
        <c:axId val="14198310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677322152912703"/>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9811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PVH_rating!$AG$46:$AG$57</c:f>
                <c:numCache>
                  <c:formatCode>General</c:formatCode>
                  <c:ptCount val="12"/>
                  <c:pt idx="0">
                    <c:v>0.42347033339350887</c:v>
                  </c:pt>
                  <c:pt idx="1">
                    <c:v>0.63639392197394473</c:v>
                  </c:pt>
                  <c:pt idx="2">
                    <c:v>0.55485043587679339</c:v>
                  </c:pt>
                  <c:pt idx="3">
                    <c:v>0.56646578745324927</c:v>
                  </c:pt>
                  <c:pt idx="4">
                    <c:v>0.60454656526384709</c:v>
                  </c:pt>
                  <c:pt idx="5">
                    <c:v>0.58465085915188009</c:v>
                  </c:pt>
                  <c:pt idx="6">
                    <c:v>0.69381838377714988</c:v>
                  </c:pt>
                  <c:pt idx="7">
                    <c:v>0.57461429768140493</c:v>
                  </c:pt>
                  <c:pt idx="8">
                    <c:v>0.58269458607422286</c:v>
                  </c:pt>
                  <c:pt idx="9">
                    <c:v>0.72987545147580402</c:v>
                  </c:pt>
                  <c:pt idx="10">
                    <c:v>0.9436185599989857</c:v>
                  </c:pt>
                  <c:pt idx="11">
                    <c:v>0.40457631608889033</c:v>
                  </c:pt>
                </c:numCache>
              </c:numRef>
            </c:plus>
            <c:minus>
              <c:numRef>
                <c:f>PVH_rating!$AH$46:$AH$57</c:f>
                <c:numCache>
                  <c:formatCode>General</c:formatCode>
                  <c:ptCount val="12"/>
                  <c:pt idx="0">
                    <c:v>0.42347033339350887</c:v>
                  </c:pt>
                  <c:pt idx="1">
                    <c:v>0.63639392197394473</c:v>
                  </c:pt>
                  <c:pt idx="2">
                    <c:v>0.55485043587679339</c:v>
                  </c:pt>
                  <c:pt idx="3">
                    <c:v>0.56646578745324927</c:v>
                  </c:pt>
                  <c:pt idx="4">
                    <c:v>0.60454656526384709</c:v>
                  </c:pt>
                  <c:pt idx="5">
                    <c:v>0.58465085915188009</c:v>
                  </c:pt>
                  <c:pt idx="6">
                    <c:v>0.69381838377714988</c:v>
                  </c:pt>
                  <c:pt idx="7">
                    <c:v>0.57461429768140493</c:v>
                  </c:pt>
                  <c:pt idx="8">
                    <c:v>0.58269458607422286</c:v>
                  </c:pt>
                  <c:pt idx="9">
                    <c:v>0.72987545147580402</c:v>
                  </c:pt>
                  <c:pt idx="10">
                    <c:v>0.9436185599989857</c:v>
                  </c:pt>
                  <c:pt idx="11">
                    <c:v>0.40457631608889033</c:v>
                  </c:pt>
                </c:numCache>
              </c:numRef>
            </c:minus>
            <c:spPr>
              <a:ln w="12700">
                <a:solidFill>
                  <a:srgbClr val="000000"/>
                </a:solidFill>
                <a:prstDash val="solid"/>
              </a:ln>
            </c:spPr>
          </c:errBars>
          <c:xVal>
            <c:numRef>
              <c:f>PVH_rating!$AF$46:$AF$57</c:f>
              <c:numCache>
                <c:formatCode>0.00</c:formatCode>
                <c:ptCount val="12"/>
                <c:pt idx="0">
                  <c:v>0.18497162748906965</c:v>
                </c:pt>
                <c:pt idx="1">
                  <c:v>0.10470625779627186</c:v>
                </c:pt>
                <c:pt idx="2">
                  <c:v>1.0271115424815018</c:v>
                </c:pt>
                <c:pt idx="3">
                  <c:v>0.13117669459983494</c:v>
                </c:pt>
                <c:pt idx="4">
                  <c:v>0.1703380261310192</c:v>
                </c:pt>
                <c:pt idx="5">
                  <c:v>0.41546836083398486</c:v>
                </c:pt>
                <c:pt idx="6">
                  <c:v>0.29258146956619829</c:v>
                </c:pt>
                <c:pt idx="7">
                  <c:v>0.15097431696483579</c:v>
                </c:pt>
                <c:pt idx="8">
                  <c:v>0.76965002730232868</c:v>
                </c:pt>
                <c:pt idx="9">
                  <c:v>8.9512203075691715E-2</c:v>
                </c:pt>
                <c:pt idx="10">
                  <c:v>0.69145477553667056</c:v>
                </c:pt>
                <c:pt idx="11">
                  <c:v>-0.17693201111374401</c:v>
                </c:pt>
              </c:numCache>
            </c:numRef>
          </c:xVal>
          <c:yVal>
            <c:numRef>
              <c:f>PVH_rating!$G$46:$G$57</c:f>
              <c:numCache>
                <c:formatCode>General</c:formatCode>
                <c:ptCount val="12"/>
                <c:pt idx="0">
                  <c:v>12</c:v>
                </c:pt>
                <c:pt idx="1">
                  <c:v>11</c:v>
                </c:pt>
                <c:pt idx="2">
                  <c:v>10</c:v>
                </c:pt>
                <c:pt idx="3">
                  <c:v>9</c:v>
                </c:pt>
                <c:pt idx="4">
                  <c:v>8</c:v>
                </c:pt>
                <c:pt idx="5">
                  <c:v>7</c:v>
                </c:pt>
                <c:pt idx="6">
                  <c:v>6</c:v>
                </c:pt>
                <c:pt idx="7">
                  <c:v>5</c:v>
                </c:pt>
                <c:pt idx="8">
                  <c:v>4</c:v>
                </c:pt>
                <c:pt idx="9">
                  <c:v>3</c:v>
                </c:pt>
                <c:pt idx="10">
                  <c:v>2</c:v>
                </c:pt>
                <c:pt idx="11">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PVH_rating!$AH$65</c:f>
                <c:numCache>
                  <c:formatCode>General</c:formatCode>
                  <c:ptCount val="1"/>
                  <c:pt idx="0">
                    <c:v>0.16388436894221325</c:v>
                  </c:pt>
                </c:numCache>
              </c:numRef>
            </c:plus>
            <c:minus>
              <c:numRef>
                <c:f>PVH_rating!$AH$66</c:f>
                <c:numCache>
                  <c:formatCode>General</c:formatCode>
                  <c:ptCount val="1"/>
                  <c:pt idx="0">
                    <c:v>0.16388436894221325</c:v>
                  </c:pt>
                </c:numCache>
              </c:numRef>
            </c:minus>
            <c:spPr>
              <a:ln w="12700">
                <a:solidFill>
                  <a:srgbClr val="000000"/>
                </a:solidFill>
                <a:prstDash val="solid"/>
              </a:ln>
            </c:spPr>
          </c:errBars>
          <c:xVal>
            <c:numRef>
              <c:f>PVH_rating!$AH$64</c:f>
              <c:numCache>
                <c:formatCode>General</c:formatCode>
                <c:ptCount val="1"/>
                <c:pt idx="0">
                  <c:v>0.26622053662706019</c:v>
                </c:pt>
              </c:numCache>
            </c:numRef>
          </c:xVal>
          <c:yVal>
            <c:numRef>
              <c:f>PVH_rating!$I$65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PVH_rating!$AH$69</c:f>
                <c:numCache>
                  <c:formatCode>General</c:formatCode>
                  <c:ptCount val="1"/>
                  <c:pt idx="0">
                    <c:v>0.20744317938922102</c:v>
                  </c:pt>
                </c:numCache>
              </c:numRef>
            </c:plus>
            <c:minus>
              <c:numRef>
                <c:f>PVH_rating!$AH$70</c:f>
                <c:numCache>
                  <c:formatCode>General</c:formatCode>
                  <c:ptCount val="1"/>
                  <c:pt idx="0">
                    <c:v>0.20744317938922102</c:v>
                  </c:pt>
                </c:numCache>
              </c:numRef>
            </c:minus>
            <c:spPr>
              <a:ln w="12700">
                <a:solidFill>
                  <a:srgbClr val="000000"/>
                </a:solidFill>
                <a:prstDash val="solid"/>
              </a:ln>
            </c:spPr>
          </c:errBars>
          <c:xVal>
            <c:numRef>
              <c:f>PVH_rating!$AH$68</c:f>
              <c:numCache>
                <c:formatCode>General</c:formatCode>
                <c:ptCount val="1"/>
                <c:pt idx="0">
                  <c:v>0.28936202888451656</c:v>
                </c:pt>
              </c:numCache>
            </c:numRef>
          </c:xVal>
          <c:yVal>
            <c:numRef>
              <c:f>PVH_rating!$I$76</c:f>
              <c:numCache>
                <c:formatCode>General</c:formatCode>
                <c:ptCount val="1"/>
                <c:pt idx="0">
                  <c:v>-3</c:v>
                </c:pt>
              </c:numCache>
            </c:numRef>
          </c:yVal>
        </c:ser>
        <c:axId val="141787904"/>
        <c:axId val="141789440"/>
      </c:scatterChart>
      <c:valAx>
        <c:axId val="14178790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1789440"/>
        <c:crosses val="autoZero"/>
        <c:crossBetween val="midCat"/>
      </c:valAx>
      <c:valAx>
        <c:axId val="141789440"/>
        <c:scaling>
          <c:orientation val="minMax"/>
        </c:scaling>
        <c:axPos val="l"/>
        <c:numFmt formatCode="General" sourceLinked="1"/>
        <c:majorTickMark val="none"/>
        <c:tickLblPos val="none"/>
        <c:spPr>
          <a:ln w="3175">
            <a:solidFill>
              <a:srgbClr val="000000"/>
            </a:solidFill>
            <a:prstDash val="solid"/>
          </a:ln>
        </c:spPr>
        <c:crossAx val="1417879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128954609184801"/>
                  <c:y val="-3.480648259487571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ICV!$AK$66:$AK$90</c:f>
              <c:numCache>
                <c:formatCode>General</c:formatCode>
                <c:ptCount val="25"/>
                <c:pt idx="0">
                  <c:v>2.778261798255826</c:v>
                </c:pt>
                <c:pt idx="1">
                  <c:v>3.9967746467776482</c:v>
                </c:pt>
                <c:pt idx="2">
                  <c:v>3.9365250049630944</c:v>
                </c:pt>
                <c:pt idx="3">
                  <c:v>4.0339096985627938</c:v>
                </c:pt>
                <c:pt idx="4">
                  <c:v>4.699349354604907</c:v>
                </c:pt>
                <c:pt idx="5">
                  <c:v>4.1091273529450376</c:v>
                </c:pt>
                <c:pt idx="6">
                  <c:v>2.5103860413275689</c:v>
                </c:pt>
                <c:pt idx="7">
                  <c:v>3.1578117822940186</c:v>
                </c:pt>
                <c:pt idx="8">
                  <c:v>3.4640891495693382</c:v>
                </c:pt>
                <c:pt idx="9">
                  <c:v>3.2640713533251962</c:v>
                </c:pt>
                <c:pt idx="10">
                  <c:v>3.2369002942197702</c:v>
                </c:pt>
                <c:pt idx="11">
                  <c:v>2.9469917804271888</c:v>
                </c:pt>
                <c:pt idx="12">
                  <c:v>3.398236368555045</c:v>
                </c:pt>
                <c:pt idx="13">
                  <c:v>2.7690700003270852</c:v>
                </c:pt>
                <c:pt idx="14">
                  <c:v>3.0681172012849793</c:v>
                </c:pt>
                <c:pt idx="15">
                  <c:v>3.2004999396388869</c:v>
                </c:pt>
                <c:pt idx="16">
                  <c:v>4.2223430043521857</c:v>
                </c:pt>
                <c:pt idx="17">
                  <c:v>3.0895339958911476</c:v>
                </c:pt>
                <c:pt idx="18">
                  <c:v>3.3526044624537601</c:v>
                </c:pt>
                <c:pt idx="19">
                  <c:v>3.2791565819779658</c:v>
                </c:pt>
                <c:pt idx="20">
                  <c:v>3.2768361158370301</c:v>
                </c:pt>
                <c:pt idx="21">
                  <c:v>3.746021673492784</c:v>
                </c:pt>
                <c:pt idx="22">
                  <c:v>7.3771639028122946</c:v>
                </c:pt>
                <c:pt idx="23">
                  <c:v>4.2406469941042184</c:v>
                </c:pt>
                <c:pt idx="24">
                  <c:v>4.8196674568547957</c:v>
                </c:pt>
              </c:numCache>
            </c:numRef>
          </c:xVal>
          <c:yVal>
            <c:numRef>
              <c:f>ICV!$AL$66:$AL$90</c:f>
              <c:numCache>
                <c:formatCode>General</c:formatCode>
                <c:ptCount val="25"/>
                <c:pt idx="0">
                  <c:v>-9.0962669485631833E-3</c:v>
                </c:pt>
                <c:pt idx="1">
                  <c:v>-1.1653469110712242</c:v>
                </c:pt>
                <c:pt idx="2">
                  <c:v>-0.16807740173029212</c:v>
                </c:pt>
                <c:pt idx="3">
                  <c:v>1.6901410211963233</c:v>
                </c:pt>
                <c:pt idx="4">
                  <c:v>-0.35427732430432723</c:v>
                </c:pt>
                <c:pt idx="5">
                  <c:v>0.93125707385780432</c:v>
                </c:pt>
                <c:pt idx="6">
                  <c:v>2.8853139737463853</c:v>
                </c:pt>
                <c:pt idx="7">
                  <c:v>0.4511727825653678</c:v>
                </c:pt>
                <c:pt idx="8">
                  <c:v>-2.5183296757129884E-2</c:v>
                </c:pt>
                <c:pt idx="9">
                  <c:v>1.5356741231965041</c:v>
                </c:pt>
                <c:pt idx="10">
                  <c:v>-1.1066629053915997</c:v>
                </c:pt>
                <c:pt idx="11">
                  <c:v>-1.100995518922</c:v>
                </c:pt>
                <c:pt idx="12">
                  <c:v>-1.5710064568267015</c:v>
                </c:pt>
                <c:pt idx="13">
                  <c:v>1.9567891932906185</c:v>
                </c:pt>
                <c:pt idx="14">
                  <c:v>-1.6334950288787053</c:v>
                </c:pt>
                <c:pt idx="15">
                  <c:v>-7.1298674635748863E-2</c:v>
                </c:pt>
                <c:pt idx="16">
                  <c:v>-1.5988908585499499</c:v>
                </c:pt>
                <c:pt idx="17">
                  <c:v>-0.53166233132846175</c:v>
                </c:pt>
                <c:pt idx="18">
                  <c:v>-0.41890316294270374</c:v>
                </c:pt>
                <c:pt idx="19">
                  <c:v>-0.35472540067215313</c:v>
                </c:pt>
                <c:pt idx="20">
                  <c:v>-0.49890666081839929</c:v>
                </c:pt>
                <c:pt idx="21">
                  <c:v>-0.89891975309522199</c:v>
                </c:pt>
                <c:pt idx="22">
                  <c:v>-2.5234477859253013</c:v>
                </c:pt>
                <c:pt idx="23">
                  <c:v>0.36542864531014163</c:v>
                </c:pt>
                <c:pt idx="24">
                  <c:v>-1.6424232182610956</c:v>
                </c:pt>
              </c:numCache>
            </c:numRef>
          </c:yVal>
        </c:ser>
        <c:axId val="105338368"/>
        <c:axId val="105340288"/>
      </c:scatterChart>
      <c:valAx>
        <c:axId val="10533836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5340288"/>
        <c:crosses val="autoZero"/>
        <c:crossBetween val="midCat"/>
      </c:valAx>
      <c:valAx>
        <c:axId val="1053402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53383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8448697210503"/>
                  <c:y val="-3.4265451281947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PVH_rating!$AK$46:$AK$57</c:f>
              <c:numCache>
                <c:formatCode>General</c:formatCode>
                <c:ptCount val="12"/>
                <c:pt idx="0">
                  <c:v>4.6284233993286001</c:v>
                </c:pt>
                <c:pt idx="1">
                  <c:v>3.0798534246218749</c:v>
                </c:pt>
                <c:pt idx="2">
                  <c:v>3.5324834825131601</c:v>
                </c:pt>
                <c:pt idx="3">
                  <c:v>3.4600500920132968</c:v>
                </c:pt>
                <c:pt idx="4">
                  <c:v>3.2420993065184009</c:v>
                </c:pt>
                <c:pt idx="5">
                  <c:v>3.3524281531771987</c:v>
                </c:pt>
                <c:pt idx="6">
                  <c:v>2.8249467668033712</c:v>
                </c:pt>
                <c:pt idx="7">
                  <c:v>3.4109836944689507</c:v>
                </c:pt>
                <c:pt idx="8">
                  <c:v>3.3636832173181332</c:v>
                </c:pt>
                <c:pt idx="9">
                  <c:v>2.6853896730420117</c:v>
                </c:pt>
                <c:pt idx="10">
                  <c:v>2.0771104798978377</c:v>
                </c:pt>
                <c:pt idx="11">
                  <c:v>4.8445742423769671</c:v>
                </c:pt>
              </c:numCache>
            </c:numRef>
          </c:xVal>
          <c:yVal>
            <c:numRef>
              <c:f>PVH_rating!$AL$46:$AL$57</c:f>
              <c:numCache>
                <c:formatCode>General</c:formatCode>
                <c:ptCount val="12"/>
                <c:pt idx="0">
                  <c:v>0.85612700888230331</c:v>
                </c:pt>
                <c:pt idx="1">
                  <c:v>0.32247992665318881</c:v>
                </c:pt>
                <c:pt idx="2">
                  <c:v>3.6282545585145192</c:v>
                </c:pt>
                <c:pt idx="3">
                  <c:v>0.45387793422015904</c:v>
                </c:pt>
                <c:pt idx="4">
                  <c:v>0.55225279639309055</c:v>
                </c:pt>
                <c:pt idx="5">
                  <c:v>1.3928278296142338</c:v>
                </c:pt>
                <c:pt idx="6">
                  <c:v>0.82652707647761081</c:v>
                </c:pt>
                <c:pt idx="7">
                  <c:v>0.51497093345064193</c:v>
                </c:pt>
                <c:pt idx="8">
                  <c:v>2.5888588800452861</c:v>
                </c:pt>
                <c:pt idx="9">
                  <c:v>0.24037514575070193</c:v>
                </c:pt>
                <c:pt idx="10">
                  <c:v>1.4362279606426256</c:v>
                </c:pt>
                <c:pt idx="11">
                  <c:v>-0.85716026369359943</c:v>
                </c:pt>
              </c:numCache>
            </c:numRef>
          </c:yVal>
        </c:ser>
        <c:axId val="142284672"/>
        <c:axId val="142299136"/>
      </c:scatterChart>
      <c:valAx>
        <c:axId val="142284672"/>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2299136"/>
        <c:crosses val="autoZero"/>
        <c:crossBetween val="midCat"/>
      </c:valAx>
      <c:valAx>
        <c:axId val="14229913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22846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3092983278248798E-2"/>
          <c:y val="3.1527952281762098E-2"/>
          <c:w val="0.93678598818427405"/>
          <c:h val="0.95311424974865377"/>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ScGMH!$AG$37:$AG$44</c:f>
                <c:numCache>
                  <c:formatCode>General</c:formatCode>
                  <c:ptCount val="8"/>
                  <c:pt idx="0">
                    <c:v>102.29142104808567</c:v>
                  </c:pt>
                  <c:pt idx="1">
                    <c:v>3.1377614172598891</c:v>
                  </c:pt>
                  <c:pt idx="2">
                    <c:v>4.6630003382781426</c:v>
                  </c:pt>
                  <c:pt idx="3">
                    <c:v>4.4317841660199067</c:v>
                  </c:pt>
                  <c:pt idx="4">
                    <c:v>5.8266491363576787</c:v>
                  </c:pt>
                  <c:pt idx="5">
                    <c:v>5.940510142335123</c:v>
                  </c:pt>
                  <c:pt idx="6">
                    <c:v>8.7278965452896724</c:v>
                  </c:pt>
                  <c:pt idx="7">
                    <c:v>0.78432881500247675</c:v>
                  </c:pt>
                </c:numCache>
              </c:numRef>
            </c:plus>
            <c:minus>
              <c:numRef>
                <c:f>ScGMH!$AH$37:$AH$44</c:f>
                <c:numCache>
                  <c:formatCode>General</c:formatCode>
                  <c:ptCount val="8"/>
                  <c:pt idx="0">
                    <c:v>12.314579027123973</c:v>
                  </c:pt>
                  <c:pt idx="1">
                    <c:v>0.7583234268102822</c:v>
                  </c:pt>
                  <c:pt idx="2">
                    <c:v>0.21055566417282245</c:v>
                  </c:pt>
                  <c:pt idx="3">
                    <c:v>1.4732579573880411</c:v>
                  </c:pt>
                  <c:pt idx="4">
                    <c:v>0.26538457901807766</c:v>
                  </c:pt>
                  <c:pt idx="5">
                    <c:v>2.4144730589538508</c:v>
                  </c:pt>
                  <c:pt idx="6">
                    <c:v>1.3202500314289962</c:v>
                  </c:pt>
                  <c:pt idx="7">
                    <c:v>0.51124484223167987</c:v>
                  </c:pt>
                </c:numCache>
              </c:numRef>
            </c:minus>
            <c:spPr>
              <a:ln w="12700">
                <a:solidFill>
                  <a:srgbClr val="000000"/>
                </a:solidFill>
                <a:prstDash val="solid"/>
              </a:ln>
            </c:spPr>
          </c:errBars>
          <c:xVal>
            <c:numRef>
              <c:f>ScGMH!$AF$37:$AF$44</c:f>
              <c:numCache>
                <c:formatCode>0.00</c:formatCode>
                <c:ptCount val="8"/>
                <c:pt idx="0">
                  <c:v>13.999999999999996</c:v>
                </c:pt>
                <c:pt idx="1">
                  <c:v>1</c:v>
                </c:pt>
                <c:pt idx="2">
                  <c:v>0.22051282051282051</c:v>
                </c:pt>
                <c:pt idx="3">
                  <c:v>2.2068965517241379</c:v>
                </c:pt>
                <c:pt idx="4">
                  <c:v>0.2780487804878049</c:v>
                </c:pt>
                <c:pt idx="5">
                  <c:v>4.0677966101694913</c:v>
                </c:pt>
                <c:pt idx="6">
                  <c:v>1.5555555555555556</c:v>
                </c:pt>
                <c:pt idx="7">
                  <c:v>1.4683544303797469</c:v>
                </c:pt>
              </c:numCache>
            </c:numRef>
          </c:xVal>
          <c:yVal>
            <c:numRef>
              <c:f>ScGMH!$G$37:$G$44</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ScGMH!$AH$52</c:f>
                <c:numCache>
                  <c:formatCode>General</c:formatCode>
                  <c:ptCount val="1"/>
                  <c:pt idx="0">
                    <c:v>0.70655041472414415</c:v>
                  </c:pt>
                </c:numCache>
              </c:numRef>
            </c:plus>
            <c:minus>
              <c:numRef>
                <c:f>ScGMH!$AH$53</c:f>
                <c:numCache>
                  <c:formatCode>General</c:formatCode>
                  <c:ptCount val="1"/>
                  <c:pt idx="0">
                    <c:v>0.50364297425441307</c:v>
                  </c:pt>
                </c:numCache>
              </c:numRef>
            </c:minus>
            <c:spPr>
              <a:ln w="12700">
                <a:solidFill>
                  <a:srgbClr val="000000"/>
                </a:solidFill>
                <a:prstDash val="solid"/>
              </a:ln>
            </c:spPr>
          </c:errBars>
          <c:xVal>
            <c:numRef>
              <c:f>ScGMH!$AH$51</c:f>
              <c:numCache>
                <c:formatCode>General</c:formatCode>
                <c:ptCount val="1"/>
                <c:pt idx="0">
                  <c:v>1.7537511266642849</c:v>
                </c:pt>
              </c:numCache>
            </c:numRef>
          </c:xVal>
          <c:yVal>
            <c:numRef>
              <c:f>ScGMH!$I$52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ScGMH!$AH$56</c:f>
                <c:numCache>
                  <c:formatCode>General</c:formatCode>
                  <c:ptCount val="1"/>
                  <c:pt idx="0">
                    <c:v>1.5151311300391843</c:v>
                  </c:pt>
                </c:numCache>
              </c:numRef>
            </c:plus>
            <c:minus>
              <c:numRef>
                <c:f>ScGMH!$AH$57</c:f>
                <c:numCache>
                  <c:formatCode>General</c:formatCode>
                  <c:ptCount val="1"/>
                  <c:pt idx="0">
                    <c:v>0.84225375999096741</c:v>
                  </c:pt>
                </c:numCache>
              </c:numRef>
            </c:minus>
            <c:spPr>
              <a:ln w="12700">
                <a:solidFill>
                  <a:srgbClr val="000000"/>
                </a:solidFill>
                <a:prstDash val="solid"/>
              </a:ln>
            </c:spPr>
          </c:errBars>
          <c:xVal>
            <c:numRef>
              <c:f>ScGMH!$AH$55</c:f>
              <c:numCache>
                <c:formatCode>General</c:formatCode>
                <c:ptCount val="1"/>
                <c:pt idx="0">
                  <c:v>1.8965192588709316</c:v>
                </c:pt>
              </c:numCache>
            </c:numRef>
          </c:xVal>
          <c:yVal>
            <c:numRef>
              <c:f>ScGMH!$I$63</c:f>
              <c:numCache>
                <c:formatCode>General</c:formatCode>
                <c:ptCount val="1"/>
                <c:pt idx="0">
                  <c:v>-3</c:v>
                </c:pt>
              </c:numCache>
            </c:numRef>
          </c:yVal>
        </c:ser>
        <c:axId val="142502144"/>
        <c:axId val="142512128"/>
      </c:scatterChart>
      <c:valAx>
        <c:axId val="142502144"/>
        <c:scaling>
          <c:orientation val="minMax"/>
          <c:max val="5"/>
          <c:min val="0"/>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2512128"/>
        <c:crosses val="autoZero"/>
        <c:crossBetween val="midCat"/>
      </c:valAx>
      <c:valAx>
        <c:axId val="142512128"/>
        <c:scaling>
          <c:orientation val="minMax"/>
        </c:scaling>
        <c:axPos val="l"/>
        <c:numFmt formatCode="General" sourceLinked="1"/>
        <c:majorTickMark val="none"/>
        <c:tickLblPos val="none"/>
        <c:spPr>
          <a:ln w="3175">
            <a:solidFill>
              <a:srgbClr val="000000"/>
            </a:solidFill>
            <a:prstDash val="solid"/>
          </a:ln>
        </c:spPr>
        <c:crossAx val="142502144"/>
        <c:crossesAt val="1"/>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948472420254597"/>
          <c:y val="8.2250908391444583E-2"/>
          <c:w val="0.811856691789691"/>
          <c:h val="0.7619031514154857"/>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Eq val="1"/>
            <c:trendlineLbl>
              <c:layout>
                <c:manualLayout>
                  <c:x val="-0.14290400496227146"/>
                  <c:y val="-2.71691830064303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ScGMH!$AK$37:$AK$44</c:f>
              <c:numCache>
                <c:formatCode>General</c:formatCode>
                <c:ptCount val="8"/>
                <c:pt idx="0">
                  <c:v>0.92582009977255142</c:v>
                </c:pt>
                <c:pt idx="1">
                  <c:v>1.3801311186847083</c:v>
                </c:pt>
                <c:pt idx="2">
                  <c:v>0.63273479685207834</c:v>
                </c:pt>
                <c:pt idx="3">
                  <c:v>1.779672861758741</c:v>
                </c:pt>
                <c:pt idx="4">
                  <c:v>0.63450598898286747</c:v>
                </c:pt>
                <c:pt idx="5">
                  <c:v>2.1770183757423331</c:v>
                </c:pt>
                <c:pt idx="6">
                  <c:v>1.0377490433255416</c:v>
                </c:pt>
                <c:pt idx="7">
                  <c:v>4.5796562450832203</c:v>
                </c:pt>
              </c:numCache>
            </c:numRef>
          </c:xVal>
          <c:yVal>
            <c:numRef>
              <c:f>ScGMH!$AL$37:$AL$44</c:f>
              <c:numCache>
                <c:formatCode>General</c:formatCode>
                <c:ptCount val="8"/>
                <c:pt idx="0">
                  <c:v>2.4432923202098817</c:v>
                </c:pt>
                <c:pt idx="1">
                  <c:v>0</c:v>
                </c:pt>
                <c:pt idx="2">
                  <c:v>-0.95656811336555136</c:v>
                </c:pt>
                <c:pt idx="3">
                  <c:v>1.4087663525424206</c:v>
                </c:pt>
                <c:pt idx="4">
                  <c:v>-0.81214146797309095</c:v>
                </c:pt>
                <c:pt idx="5">
                  <c:v>3.0545777037640165</c:v>
                </c:pt>
                <c:pt idx="6">
                  <c:v>0.45851151598746398</c:v>
                </c:pt>
                <c:pt idx="7">
                  <c:v>1.7592398601505412</c:v>
                </c:pt>
              </c:numCache>
            </c:numRef>
          </c:yVal>
        </c:ser>
        <c:axId val="142527872"/>
        <c:axId val="142558720"/>
      </c:scatterChart>
      <c:valAx>
        <c:axId val="142527872"/>
        <c:scaling>
          <c:orientation val="minMax"/>
        </c:scaling>
        <c:axPos val="b"/>
        <c:title>
          <c:tx>
            <c:rich>
              <a:bodyPr/>
              <a:lstStyle/>
              <a:p>
                <a:pPr>
                  <a:defRPr sz="1000" b="1" i="0" u="none" strike="noStrike" baseline="0">
                    <a:solidFill>
                      <a:srgbClr val="000000"/>
                    </a:solidFill>
                    <a:latin typeface="Arial"/>
                    <a:ea typeface="Arial"/>
                    <a:cs typeface="Arial"/>
                  </a:defRPr>
                </a:pPr>
                <a:r>
                  <a:t>1 / standard error</a:t>
                </a:r>
              </a:p>
            </c:rich>
          </c:tx>
          <c:layout>
            <c:manualLayout>
              <c:xMode val="edge"/>
              <c:yMode val="edge"/>
              <c:x val="0.43409489406607732"/>
              <c:y val="0.88418720387224126"/>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558720"/>
        <c:crosses val="autoZero"/>
        <c:crossBetween val="midCat"/>
      </c:valAx>
      <c:valAx>
        <c:axId val="142558720"/>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677322152912703"/>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5278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ScGMH_rating!$AG$44:$AG$51</c:f>
                <c:numCache>
                  <c:formatCode>General</c:formatCode>
                  <c:ptCount val="8"/>
                  <c:pt idx="0">
                    <c:v>0.64618162253215983</c:v>
                  </c:pt>
                  <c:pt idx="1">
                    <c:v>0.52841442542444517</c:v>
                  </c:pt>
                  <c:pt idx="2">
                    <c:v>0.54122298304594851</c:v>
                  </c:pt>
                  <c:pt idx="3">
                    <c:v>0.4164533149765034</c:v>
                  </c:pt>
                  <c:pt idx="4">
                    <c:v>0.41781414346460283</c:v>
                  </c:pt>
                  <c:pt idx="5">
                    <c:v>0.73002061505366789</c:v>
                  </c:pt>
                  <c:pt idx="6">
                    <c:v>0.91592404110448133</c:v>
                  </c:pt>
                  <c:pt idx="7">
                    <c:v>0.40743529675365736</c:v>
                  </c:pt>
                </c:numCache>
              </c:numRef>
            </c:plus>
            <c:minus>
              <c:numRef>
                <c:f>ScGMH_rating!$AH$44:$AH$51</c:f>
                <c:numCache>
                  <c:formatCode>General</c:formatCode>
                  <c:ptCount val="8"/>
                  <c:pt idx="0">
                    <c:v>0.64618162253215983</c:v>
                  </c:pt>
                  <c:pt idx="1">
                    <c:v>0.52841442542444517</c:v>
                  </c:pt>
                  <c:pt idx="2">
                    <c:v>0.54122298304594851</c:v>
                  </c:pt>
                  <c:pt idx="3">
                    <c:v>0.4164533149765034</c:v>
                  </c:pt>
                  <c:pt idx="4">
                    <c:v>0.41781414346460283</c:v>
                  </c:pt>
                  <c:pt idx="5">
                    <c:v>0.73002061505366789</c:v>
                  </c:pt>
                  <c:pt idx="6">
                    <c:v>0.91592404110448133</c:v>
                  </c:pt>
                  <c:pt idx="7">
                    <c:v>0.40743529675365736</c:v>
                  </c:pt>
                </c:numCache>
              </c:numRef>
            </c:minus>
            <c:spPr>
              <a:ln w="12700">
                <a:solidFill>
                  <a:srgbClr val="000000"/>
                </a:solidFill>
                <a:prstDash val="solid"/>
              </a:ln>
            </c:spPr>
          </c:errBars>
          <c:xVal>
            <c:numRef>
              <c:f>ScGMH_rating!$AF$44:$AF$51</c:f>
              <c:numCache>
                <c:formatCode>0.00</c:formatCode>
                <c:ptCount val="8"/>
                <c:pt idx="0">
                  <c:v>0.48328448694370185</c:v>
                </c:pt>
                <c:pt idx="1">
                  <c:v>0.51369908171232004</c:v>
                </c:pt>
                <c:pt idx="2">
                  <c:v>0.6437186604707269</c:v>
                </c:pt>
                <c:pt idx="3">
                  <c:v>-0.24464184096247166</c:v>
                </c:pt>
                <c:pt idx="4">
                  <c:v>0.18215985710225926</c:v>
                </c:pt>
                <c:pt idx="5">
                  <c:v>-0.1053960229389253</c:v>
                </c:pt>
                <c:pt idx="6">
                  <c:v>0.27263819642645498</c:v>
                </c:pt>
                <c:pt idx="7">
                  <c:v>-0.38393408819267805</c:v>
                </c:pt>
              </c:numCache>
            </c:numRef>
          </c:xVal>
          <c:yVal>
            <c:numRef>
              <c:f>ScGMH_rating!$G$44:$G$51</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ScGMH_rating!$AH$60</c:f>
                <c:numCache>
                  <c:formatCode>General</c:formatCode>
                  <c:ptCount val="1"/>
                  <c:pt idx="0">
                    <c:v>0.1826445651159409</c:v>
                  </c:pt>
                </c:numCache>
              </c:numRef>
            </c:plus>
            <c:minus>
              <c:numRef>
                <c:f>ScGMH_rating!$AH$61</c:f>
                <c:numCache>
                  <c:formatCode>General</c:formatCode>
                  <c:ptCount val="1"/>
                  <c:pt idx="0">
                    <c:v>0.1826445651159409</c:v>
                  </c:pt>
                </c:numCache>
              </c:numRef>
            </c:minus>
            <c:spPr>
              <a:ln w="12700">
                <a:solidFill>
                  <a:srgbClr val="000000"/>
                </a:solidFill>
                <a:prstDash val="solid"/>
              </a:ln>
            </c:spPr>
          </c:errBars>
          <c:xVal>
            <c:numRef>
              <c:f>ScGMH_rating!$AH$59</c:f>
              <c:numCache>
                <c:formatCode>General</c:formatCode>
                <c:ptCount val="1"/>
                <c:pt idx="0">
                  <c:v>8.8137016508869154E-2</c:v>
                </c:pt>
              </c:numCache>
            </c:numRef>
          </c:xVal>
          <c:yVal>
            <c:numRef>
              <c:f>ScGMH_rating!$I$60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ScGMH_rating!$AH$64</c:f>
                <c:numCache>
                  <c:formatCode>General</c:formatCode>
                  <c:ptCount val="1"/>
                  <c:pt idx="0">
                    <c:v>0.2894861954340906</c:v>
                  </c:pt>
                </c:numCache>
              </c:numRef>
            </c:plus>
            <c:minus>
              <c:numRef>
                <c:f>ScGMH_rating!$AH$65</c:f>
                <c:numCache>
                  <c:formatCode>General</c:formatCode>
                  <c:ptCount val="1"/>
                  <c:pt idx="0">
                    <c:v>0.2894861954340906</c:v>
                  </c:pt>
                </c:numCache>
              </c:numRef>
            </c:minus>
            <c:spPr>
              <a:ln w="12700">
                <a:solidFill>
                  <a:srgbClr val="000000"/>
                </a:solidFill>
                <a:prstDash val="solid"/>
              </a:ln>
            </c:spPr>
          </c:errBars>
          <c:xVal>
            <c:numRef>
              <c:f>ScGMH_rating!$AH$63</c:f>
              <c:numCache>
                <c:formatCode>General</c:formatCode>
                <c:ptCount val="1"/>
                <c:pt idx="0">
                  <c:v>0.13973391566740345</c:v>
                </c:pt>
              </c:numCache>
            </c:numRef>
          </c:xVal>
          <c:yVal>
            <c:numRef>
              <c:f>ScGMH_rating!$I$71</c:f>
              <c:numCache>
                <c:formatCode>General</c:formatCode>
                <c:ptCount val="1"/>
                <c:pt idx="0">
                  <c:v>-3</c:v>
                </c:pt>
              </c:numCache>
            </c:numRef>
          </c:yVal>
        </c:ser>
        <c:axId val="142782848"/>
        <c:axId val="142784384"/>
      </c:scatterChart>
      <c:valAx>
        <c:axId val="14278284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2784384"/>
        <c:crosses val="autoZero"/>
        <c:crossBetween val="midCat"/>
      </c:valAx>
      <c:valAx>
        <c:axId val="142784384"/>
        <c:scaling>
          <c:orientation val="minMax"/>
        </c:scaling>
        <c:axPos val="l"/>
        <c:numFmt formatCode="General" sourceLinked="1"/>
        <c:majorTickMark val="none"/>
        <c:tickLblPos val="none"/>
        <c:spPr>
          <a:ln w="3175">
            <a:solidFill>
              <a:srgbClr val="000000"/>
            </a:solidFill>
            <a:prstDash val="solid"/>
          </a:ln>
        </c:spPr>
        <c:crossAx val="1427828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59652497576301"/>
                  <c:y val="-3.265793032559920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ScGMH_rating!$AK$44:$AK$51</c:f>
              <c:numCache>
                <c:formatCode>General</c:formatCode>
                <c:ptCount val="8"/>
                <c:pt idx="0">
                  <c:v>3.0332029442735391</c:v>
                </c:pt>
                <c:pt idx="1">
                  <c:v>3.7092098657708741</c:v>
                </c:pt>
                <c:pt idx="2">
                  <c:v>3.6214278798164061</c:v>
                </c:pt>
                <c:pt idx="3">
                  <c:v>4.7064098892107138</c:v>
                </c:pt>
                <c:pt idx="4">
                  <c:v>4.6910810240823047</c:v>
                </c:pt>
                <c:pt idx="5">
                  <c:v>2.6848556870629046</c:v>
                </c:pt>
                <c:pt idx="6">
                  <c:v>2.1399154428095404</c:v>
                </c:pt>
                <c:pt idx="7">
                  <c:v>4.8105797794564928</c:v>
                </c:pt>
              </c:numCache>
            </c:numRef>
          </c:xVal>
          <c:yVal>
            <c:numRef>
              <c:f>ScGMH_rating!$AL$44:$AL$51</c:f>
              <c:numCache>
                <c:formatCode>General</c:formatCode>
                <c:ptCount val="8"/>
                <c:pt idx="0">
                  <c:v>1.4658999287193633</c:v>
                </c:pt>
                <c:pt idx="1">
                  <c:v>1.905417701924776</c:v>
                </c:pt>
                <c:pt idx="2">
                  <c:v>2.3311807037867616</c:v>
                </c:pt>
                <c:pt idx="3">
                  <c:v>-1.1513847796204912</c:v>
                </c:pt>
                <c:pt idx="4">
                  <c:v>0.85452664900195263</c:v>
                </c:pt>
                <c:pt idx="5">
                  <c:v>-0.28297311158138599</c:v>
                </c:pt>
                <c:pt idx="6">
                  <c:v>0.58342268683271192</c:v>
                </c:pt>
                <c:pt idx="7">
                  <c:v>-1.8469455613037629</c:v>
                </c:pt>
              </c:numCache>
            </c:numRef>
          </c:yVal>
        </c:ser>
        <c:axId val="142816768"/>
        <c:axId val="142818688"/>
      </c:scatterChart>
      <c:valAx>
        <c:axId val="14281676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2818688"/>
        <c:crosses val="autoZero"/>
        <c:crossBetween val="midCat"/>
      </c:valAx>
      <c:valAx>
        <c:axId val="1428186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28167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400"/>
            </a:pPr>
            <a:r>
              <a:rPr lang="en-GB" sz="1400"/>
              <a:t>Number of structural imaging studies in MDD per year</a:t>
            </a:r>
          </a:p>
        </c:rich>
      </c:tx>
      <c:layout>
        <c:manualLayout>
          <c:xMode val="edge"/>
          <c:yMode val="edge"/>
          <c:x val="0.23652108941793257"/>
          <c:y val="2.568242389463055E-2"/>
        </c:manualLayout>
      </c:layout>
      <c:spPr>
        <a:noFill/>
        <a:ln w="25400">
          <a:noFill/>
        </a:ln>
      </c:spPr>
    </c:title>
    <c:plotArea>
      <c:layout>
        <c:manualLayout>
          <c:layoutTarget val="inner"/>
          <c:xMode val="edge"/>
          <c:yMode val="edge"/>
          <c:x val="9.5714252331803765E-2"/>
          <c:y val="0.12355200708855515"/>
          <c:w val="0.85714255819525698"/>
          <c:h val="0.66023103787946735"/>
        </c:manualLayout>
      </c:layout>
      <c:scatterChart>
        <c:scatterStyle val="lineMarker"/>
        <c:ser>
          <c:idx val="0"/>
          <c:order val="0"/>
          <c:spPr>
            <a:ln w="28575">
              <a:noFill/>
            </a:ln>
          </c:spPr>
          <c:marker>
            <c:symbol val="diamond"/>
            <c:size val="8"/>
            <c:spPr>
              <a:solidFill>
                <a:srgbClr val="000080"/>
              </a:solidFill>
              <a:ln>
                <a:solidFill>
                  <a:srgbClr val="000080"/>
                </a:solidFill>
                <a:prstDash val="solid"/>
              </a:ln>
            </c:spPr>
          </c:marker>
          <c:trendline>
            <c:spPr>
              <a:ln w="25400">
                <a:solidFill>
                  <a:srgbClr val="000000"/>
                </a:solidFill>
                <a:prstDash val="solid"/>
              </a:ln>
            </c:spPr>
            <c:trendlineType val="linear"/>
            <c:dispRSqr val="1"/>
            <c:trendlineLbl>
              <c:layout>
                <c:manualLayout>
                  <c:x val="-0.24996556204481121"/>
                  <c:y val="5.4982597284035407E-2"/>
                </c:manualLayout>
              </c:layout>
              <c:numFmt formatCode="General" sourceLinked="0"/>
              <c:spPr>
                <a:noFill/>
                <a:ln w="25400">
                  <a:noFill/>
                </a:ln>
              </c:spPr>
            </c:trendlineLbl>
          </c:trendline>
          <c:xVal>
            <c:numRef>
              <c:f>Database!$BG$10:$BG$35</c:f>
              <c:numCache>
                <c:formatCode>General</c:formatCode>
                <c:ptCount val="26"/>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numCache>
            </c:numRef>
          </c:xVal>
          <c:yVal>
            <c:numRef>
              <c:f>Database!$BH$10:$BH$35</c:f>
              <c:numCache>
                <c:formatCode>General</c:formatCode>
                <c:ptCount val="26"/>
                <c:pt idx="0">
                  <c:v>1</c:v>
                </c:pt>
                <c:pt idx="1">
                  <c:v>0</c:v>
                </c:pt>
                <c:pt idx="2">
                  <c:v>1</c:v>
                </c:pt>
                <c:pt idx="3">
                  <c:v>0</c:v>
                </c:pt>
                <c:pt idx="4">
                  <c:v>1</c:v>
                </c:pt>
                <c:pt idx="5">
                  <c:v>1</c:v>
                </c:pt>
                <c:pt idx="6">
                  <c:v>1</c:v>
                </c:pt>
                <c:pt idx="7">
                  <c:v>5</c:v>
                </c:pt>
                <c:pt idx="8">
                  <c:v>7</c:v>
                </c:pt>
                <c:pt idx="9">
                  <c:v>6</c:v>
                </c:pt>
                <c:pt idx="10">
                  <c:v>4</c:v>
                </c:pt>
                <c:pt idx="11">
                  <c:v>2</c:v>
                </c:pt>
                <c:pt idx="12">
                  <c:v>5</c:v>
                </c:pt>
                <c:pt idx="13">
                  <c:v>7</c:v>
                </c:pt>
                <c:pt idx="14">
                  <c:v>6</c:v>
                </c:pt>
                <c:pt idx="15">
                  <c:v>7</c:v>
                </c:pt>
                <c:pt idx="16">
                  <c:v>7</c:v>
                </c:pt>
                <c:pt idx="17">
                  <c:v>7</c:v>
                </c:pt>
                <c:pt idx="18">
                  <c:v>8</c:v>
                </c:pt>
                <c:pt idx="19">
                  <c:v>12</c:v>
                </c:pt>
                <c:pt idx="20">
                  <c:v>17</c:v>
                </c:pt>
                <c:pt idx="21">
                  <c:v>21</c:v>
                </c:pt>
                <c:pt idx="22">
                  <c:v>14</c:v>
                </c:pt>
                <c:pt idx="23">
                  <c:v>16</c:v>
                </c:pt>
                <c:pt idx="24">
                  <c:v>12</c:v>
                </c:pt>
                <c:pt idx="25">
                  <c:v>27</c:v>
                </c:pt>
              </c:numCache>
            </c:numRef>
          </c:yVal>
        </c:ser>
        <c:axId val="142950400"/>
        <c:axId val="142952320"/>
      </c:scatterChart>
      <c:valAx>
        <c:axId val="142950400"/>
        <c:scaling>
          <c:orientation val="minMax"/>
        </c:scaling>
        <c:axPos val="b"/>
        <c:title>
          <c:tx>
            <c:rich>
              <a:bodyPr/>
              <a:lstStyle/>
              <a:p>
                <a:pPr>
                  <a:defRPr/>
                </a:pPr>
                <a:r>
                  <a:rPr lang="en-GB"/>
                  <a:t>Year</a:t>
                </a:r>
              </a:p>
            </c:rich>
          </c:tx>
          <c:layout>
            <c:manualLayout>
              <c:xMode val="edge"/>
              <c:yMode val="edge"/>
              <c:x val="0.50165556805399303"/>
              <c:y val="0.91428571428571404"/>
            </c:manualLayout>
          </c:layout>
          <c:spPr>
            <a:noFill/>
            <a:ln w="25400">
              <a:noFill/>
            </a:ln>
          </c:spPr>
        </c:title>
        <c:numFmt formatCode="General" sourceLinked="1"/>
        <c:tickLblPos val="nextTo"/>
        <c:spPr>
          <a:ln w="3175">
            <a:solidFill>
              <a:srgbClr val="000000"/>
            </a:solidFill>
            <a:prstDash val="solid"/>
          </a:ln>
        </c:spPr>
        <c:txPr>
          <a:bodyPr rot="0" vert="horz"/>
          <a:lstStyle/>
          <a:p>
            <a:pPr>
              <a:defRPr/>
            </a:pPr>
            <a:endParaRPr lang="en-US"/>
          </a:p>
        </c:txPr>
        <c:crossAx val="142952320"/>
        <c:crosses val="autoZero"/>
        <c:crossBetween val="midCat"/>
      </c:valAx>
      <c:valAx>
        <c:axId val="142952320"/>
        <c:scaling>
          <c:orientation val="minMax"/>
          <c:min val="0"/>
        </c:scaling>
        <c:axPos val="l"/>
        <c:majorGridlines>
          <c:spPr>
            <a:ln w="3175">
              <a:solidFill>
                <a:srgbClr val="000000"/>
              </a:solidFill>
              <a:prstDash val="solid"/>
            </a:ln>
          </c:spPr>
        </c:majorGridlines>
        <c:title>
          <c:tx>
            <c:rich>
              <a:bodyPr/>
              <a:lstStyle/>
              <a:p>
                <a:pPr>
                  <a:defRPr/>
                </a:pPr>
                <a:r>
                  <a:rPr lang="en-GB"/>
                  <a:t>Number of studies</a:t>
                </a:r>
              </a:p>
            </c:rich>
          </c:tx>
          <c:layout>
            <c:manualLayout>
              <c:xMode val="edge"/>
              <c:yMode val="edge"/>
              <c:x val="1.8852643419572501E-2"/>
              <c:y val="0.23882376189462801"/>
            </c:manualLayout>
          </c:layout>
          <c:spPr>
            <a:noFill/>
            <a:ln w="25400">
              <a:noFill/>
            </a:ln>
          </c:spPr>
        </c:title>
        <c:numFmt formatCode="General" sourceLinked="1"/>
        <c:tickLblPos val="nextTo"/>
        <c:spPr>
          <a:ln w="3175">
            <a:solidFill>
              <a:srgbClr val="000000"/>
            </a:solidFill>
            <a:prstDash val="solid"/>
          </a:ln>
        </c:spPr>
        <c:txPr>
          <a:bodyPr rot="0" vert="horz"/>
          <a:lstStyle/>
          <a:p>
            <a:pPr>
              <a:defRPr/>
            </a:pPr>
            <a:endParaRPr lang="en-US"/>
          </a:p>
        </c:txPr>
        <c:crossAx val="142950400"/>
        <c:crosses val="autoZero"/>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rPr lang="en-GB"/>
              <a:t>Total sample size over time</a:t>
            </a:r>
          </a:p>
        </c:rich>
      </c:tx>
      <c:layout>
        <c:manualLayout>
          <c:xMode val="edge"/>
          <c:yMode val="edge"/>
          <c:x val="0.39072860045720192"/>
          <c:y val="2.0380577427821608E-2"/>
        </c:manualLayout>
      </c:layout>
      <c:spPr>
        <a:noFill/>
        <a:ln w="25400">
          <a:noFill/>
        </a:ln>
      </c:spPr>
    </c:title>
    <c:plotArea>
      <c:layout>
        <c:manualLayout>
          <c:layoutTarget val="inner"/>
          <c:xMode val="edge"/>
          <c:yMode val="edge"/>
          <c:x val="8.8709677419354829E-2"/>
          <c:y val="0.10457524683354931"/>
          <c:w val="0.88225806451612898"/>
          <c:h val="0.73529470429839572"/>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67932505953317"/>
                  <c:y val="-0.15100921488074937"/>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Database!$F$8:$F$232</c:f>
              <c:numCache>
                <c:formatCode>General</c:formatCode>
                <c:ptCount val="225"/>
                <c:pt idx="0">
                  <c:v>1983</c:v>
                </c:pt>
                <c:pt idx="1">
                  <c:v>1985</c:v>
                </c:pt>
                <c:pt idx="2">
                  <c:v>1987</c:v>
                </c:pt>
                <c:pt idx="3">
                  <c:v>1988</c:v>
                </c:pt>
                <c:pt idx="4">
                  <c:v>1989</c:v>
                </c:pt>
                <c:pt idx="5">
                  <c:v>1990</c:v>
                </c:pt>
                <c:pt idx="6">
                  <c:v>1990</c:v>
                </c:pt>
                <c:pt idx="7">
                  <c:v>1990</c:v>
                </c:pt>
                <c:pt idx="8">
                  <c:v>1990</c:v>
                </c:pt>
                <c:pt idx="9">
                  <c:v>1990</c:v>
                </c:pt>
                <c:pt idx="10">
                  <c:v>1991</c:v>
                </c:pt>
                <c:pt idx="11">
                  <c:v>1991</c:v>
                </c:pt>
                <c:pt idx="12">
                  <c:v>1991</c:v>
                </c:pt>
                <c:pt idx="13">
                  <c:v>1991</c:v>
                </c:pt>
                <c:pt idx="14">
                  <c:v>1991</c:v>
                </c:pt>
                <c:pt idx="15">
                  <c:v>1991</c:v>
                </c:pt>
                <c:pt idx="16">
                  <c:v>1991</c:v>
                </c:pt>
                <c:pt idx="17">
                  <c:v>1992</c:v>
                </c:pt>
                <c:pt idx="18">
                  <c:v>1992</c:v>
                </c:pt>
                <c:pt idx="19">
                  <c:v>1992</c:v>
                </c:pt>
                <c:pt idx="20">
                  <c:v>1992</c:v>
                </c:pt>
                <c:pt idx="21">
                  <c:v>1992</c:v>
                </c:pt>
                <c:pt idx="22">
                  <c:v>1992</c:v>
                </c:pt>
                <c:pt idx="23">
                  <c:v>1993</c:v>
                </c:pt>
                <c:pt idx="24">
                  <c:v>1993</c:v>
                </c:pt>
                <c:pt idx="25">
                  <c:v>1993</c:v>
                </c:pt>
                <c:pt idx="26">
                  <c:v>1993</c:v>
                </c:pt>
                <c:pt idx="27">
                  <c:v>1994</c:v>
                </c:pt>
                <c:pt idx="28">
                  <c:v>1994</c:v>
                </c:pt>
                <c:pt idx="29">
                  <c:v>1995</c:v>
                </c:pt>
                <c:pt idx="30">
                  <c:v>1995</c:v>
                </c:pt>
                <c:pt idx="31">
                  <c:v>1995</c:v>
                </c:pt>
                <c:pt idx="32">
                  <c:v>1995</c:v>
                </c:pt>
                <c:pt idx="33">
                  <c:v>1995</c:v>
                </c:pt>
                <c:pt idx="34">
                  <c:v>1996</c:v>
                </c:pt>
                <c:pt idx="35">
                  <c:v>1996</c:v>
                </c:pt>
                <c:pt idx="36">
                  <c:v>1996</c:v>
                </c:pt>
                <c:pt idx="37">
                  <c:v>1996</c:v>
                </c:pt>
                <c:pt idx="38">
                  <c:v>1996</c:v>
                </c:pt>
                <c:pt idx="39">
                  <c:v>1996</c:v>
                </c:pt>
                <c:pt idx="40">
                  <c:v>1996</c:v>
                </c:pt>
                <c:pt idx="41">
                  <c:v>1997</c:v>
                </c:pt>
                <c:pt idx="42">
                  <c:v>1997</c:v>
                </c:pt>
                <c:pt idx="43">
                  <c:v>1997</c:v>
                </c:pt>
                <c:pt idx="44">
                  <c:v>1997</c:v>
                </c:pt>
                <c:pt idx="45">
                  <c:v>1997</c:v>
                </c:pt>
                <c:pt idx="46">
                  <c:v>1997</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2000</c:v>
                </c:pt>
                <c:pt idx="62">
                  <c:v>2000</c:v>
                </c:pt>
                <c:pt idx="63">
                  <c:v>2000</c:v>
                </c:pt>
                <c:pt idx="64">
                  <c:v>2000</c:v>
                </c:pt>
                <c:pt idx="65">
                  <c:v>2000</c:v>
                </c:pt>
                <c:pt idx="66">
                  <c:v>2000</c:v>
                </c:pt>
                <c:pt idx="67">
                  <c:v>2000</c:v>
                </c:pt>
                <c:pt idx="68">
                  <c:v>2001</c:v>
                </c:pt>
                <c:pt idx="69">
                  <c:v>2001</c:v>
                </c:pt>
                <c:pt idx="70">
                  <c:v>2001</c:v>
                </c:pt>
                <c:pt idx="71">
                  <c:v>2001</c:v>
                </c:pt>
                <c:pt idx="72">
                  <c:v>2001</c:v>
                </c:pt>
                <c:pt idx="73">
                  <c:v>2001</c:v>
                </c:pt>
                <c:pt idx="74">
                  <c:v>2001</c:v>
                </c:pt>
                <c:pt idx="75">
                  <c:v>2001</c:v>
                </c:pt>
                <c:pt idx="76">
                  <c:v>2002</c:v>
                </c:pt>
                <c:pt idx="77">
                  <c:v>2002</c:v>
                </c:pt>
                <c:pt idx="78">
                  <c:v>2002</c:v>
                </c:pt>
                <c:pt idx="79">
                  <c:v>2002</c:v>
                </c:pt>
                <c:pt idx="80">
                  <c:v>2002</c:v>
                </c:pt>
                <c:pt idx="81">
                  <c:v>2002</c:v>
                </c:pt>
                <c:pt idx="82">
                  <c:v>2002</c:v>
                </c:pt>
                <c:pt idx="83">
                  <c:v>2002</c:v>
                </c:pt>
                <c:pt idx="84">
                  <c:v>2002</c:v>
                </c:pt>
                <c:pt idx="85">
                  <c:v>2002</c:v>
                </c:pt>
                <c:pt idx="86">
                  <c:v>2002</c:v>
                </c:pt>
                <c:pt idx="87">
                  <c:v>2002</c:v>
                </c:pt>
                <c:pt idx="88">
                  <c:v>2003</c:v>
                </c:pt>
                <c:pt idx="89">
                  <c:v>2003</c:v>
                </c:pt>
                <c:pt idx="90">
                  <c:v>2003</c:v>
                </c:pt>
                <c:pt idx="91">
                  <c:v>2003</c:v>
                </c:pt>
                <c:pt idx="92">
                  <c:v>2003</c:v>
                </c:pt>
                <c:pt idx="93">
                  <c:v>2003</c:v>
                </c:pt>
                <c:pt idx="94">
                  <c:v>2003</c:v>
                </c:pt>
                <c:pt idx="95">
                  <c:v>2003</c:v>
                </c:pt>
                <c:pt idx="96">
                  <c:v>2003</c:v>
                </c:pt>
                <c:pt idx="97">
                  <c:v>2003</c:v>
                </c:pt>
                <c:pt idx="98">
                  <c:v>2003</c:v>
                </c:pt>
                <c:pt idx="99">
                  <c:v>2003</c:v>
                </c:pt>
                <c:pt idx="100">
                  <c:v>2003</c:v>
                </c:pt>
                <c:pt idx="101">
                  <c:v>2003</c:v>
                </c:pt>
                <c:pt idx="102">
                  <c:v>2003</c:v>
                </c:pt>
                <c:pt idx="103">
                  <c:v>2003</c:v>
                </c:pt>
                <c:pt idx="104">
                  <c:v>2003</c:v>
                </c:pt>
                <c:pt idx="105">
                  <c:v>2004</c:v>
                </c:pt>
                <c:pt idx="106">
                  <c:v>2004</c:v>
                </c:pt>
                <c:pt idx="107">
                  <c:v>2004</c:v>
                </c:pt>
                <c:pt idx="108">
                  <c:v>2004</c:v>
                </c:pt>
                <c:pt idx="109">
                  <c:v>2004</c:v>
                </c:pt>
                <c:pt idx="110">
                  <c:v>2004</c:v>
                </c:pt>
                <c:pt idx="111">
                  <c:v>2004</c:v>
                </c:pt>
                <c:pt idx="112">
                  <c:v>2004</c:v>
                </c:pt>
                <c:pt idx="113">
                  <c:v>2004</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2005</c:v>
                </c:pt>
                <c:pt idx="139">
                  <c:v>2005</c:v>
                </c:pt>
                <c:pt idx="140">
                  <c:v>2006</c:v>
                </c:pt>
                <c:pt idx="141">
                  <c:v>2006</c:v>
                </c:pt>
                <c:pt idx="142">
                  <c:v>2006</c:v>
                </c:pt>
                <c:pt idx="143">
                  <c:v>2006</c:v>
                </c:pt>
                <c:pt idx="144">
                  <c:v>2006</c:v>
                </c:pt>
                <c:pt idx="145">
                  <c:v>2006</c:v>
                </c:pt>
                <c:pt idx="146">
                  <c:v>2006</c:v>
                </c:pt>
                <c:pt idx="147">
                  <c:v>2006</c:v>
                </c:pt>
                <c:pt idx="148">
                  <c:v>2006</c:v>
                </c:pt>
                <c:pt idx="149">
                  <c:v>2006</c:v>
                </c:pt>
                <c:pt idx="150">
                  <c:v>2006</c:v>
                </c:pt>
                <c:pt idx="151">
                  <c:v>2006</c:v>
                </c:pt>
                <c:pt idx="152">
                  <c:v>2006</c:v>
                </c:pt>
                <c:pt idx="153">
                  <c:v>2006</c:v>
                </c:pt>
                <c:pt idx="154">
                  <c:v>2006</c:v>
                </c:pt>
                <c:pt idx="155">
                  <c:v>2006</c:v>
                </c:pt>
                <c:pt idx="156">
                  <c:v>2007</c:v>
                </c:pt>
                <c:pt idx="157">
                  <c:v>2007</c:v>
                </c:pt>
                <c:pt idx="158">
                  <c:v>2007</c:v>
                </c:pt>
                <c:pt idx="159">
                  <c:v>2007</c:v>
                </c:pt>
                <c:pt idx="160">
                  <c:v>2007</c:v>
                </c:pt>
                <c:pt idx="161">
                  <c:v>2007</c:v>
                </c:pt>
                <c:pt idx="162">
                  <c:v>2007</c:v>
                </c:pt>
                <c:pt idx="163">
                  <c:v>2007</c:v>
                </c:pt>
                <c:pt idx="164">
                  <c:v>2007</c:v>
                </c:pt>
                <c:pt idx="165">
                  <c:v>2007</c:v>
                </c:pt>
                <c:pt idx="166">
                  <c:v>2007</c:v>
                </c:pt>
                <c:pt idx="167">
                  <c:v>2007</c:v>
                </c:pt>
                <c:pt idx="168">
                  <c:v>2008</c:v>
                </c:pt>
                <c:pt idx="169">
                  <c:v>2008</c:v>
                </c:pt>
                <c:pt idx="170">
                  <c:v>2008</c:v>
                </c:pt>
                <c:pt idx="171">
                  <c:v>2008</c:v>
                </c:pt>
                <c:pt idx="172">
                  <c:v>2008</c:v>
                </c:pt>
                <c:pt idx="173">
                  <c:v>2008</c:v>
                </c:pt>
                <c:pt idx="174">
                  <c:v>2008</c:v>
                </c:pt>
                <c:pt idx="175">
                  <c:v>2008</c:v>
                </c:pt>
                <c:pt idx="176">
                  <c:v>2008</c:v>
                </c:pt>
                <c:pt idx="177">
                  <c:v>2008</c:v>
                </c:pt>
                <c:pt idx="178">
                  <c:v>2008</c:v>
                </c:pt>
                <c:pt idx="179">
                  <c:v>2008</c:v>
                </c:pt>
                <c:pt idx="180">
                  <c:v>2008</c:v>
                </c:pt>
                <c:pt idx="181">
                  <c:v>2008</c:v>
                </c:pt>
                <c:pt idx="182">
                  <c:v>2008</c:v>
                </c:pt>
                <c:pt idx="183">
                  <c:v>2008</c:v>
                </c:pt>
                <c:pt idx="184">
                  <c:v>2008</c:v>
                </c:pt>
                <c:pt idx="185">
                  <c:v>2008</c:v>
                </c:pt>
                <c:pt idx="186">
                  <c:v>2008</c:v>
                </c:pt>
                <c:pt idx="187">
                  <c:v>2008</c:v>
                </c:pt>
                <c:pt idx="188">
                  <c:v>2008</c:v>
                </c:pt>
                <c:pt idx="189">
                  <c:v>2008</c:v>
                </c:pt>
                <c:pt idx="190">
                  <c:v>2008</c:v>
                </c:pt>
                <c:pt idx="191">
                  <c:v>2008</c:v>
                </c:pt>
                <c:pt idx="192">
                  <c:v>2008</c:v>
                </c:pt>
                <c:pt idx="193">
                  <c:v>2008</c:v>
                </c:pt>
                <c:pt idx="194">
                  <c:v>2008</c:v>
                </c:pt>
                <c:pt idx="195">
                  <c:v>2009</c:v>
                </c:pt>
                <c:pt idx="196">
                  <c:v>2009</c:v>
                </c:pt>
                <c:pt idx="197">
                  <c:v>2009</c:v>
                </c:pt>
                <c:pt idx="198">
                  <c:v>2009</c:v>
                </c:pt>
                <c:pt idx="199">
                  <c:v>2009</c:v>
                </c:pt>
                <c:pt idx="200">
                  <c:v>2009</c:v>
                </c:pt>
                <c:pt idx="201">
                  <c:v>2009</c:v>
                </c:pt>
                <c:pt idx="202">
                  <c:v>2009</c:v>
                </c:pt>
                <c:pt idx="203">
                  <c:v>2009</c:v>
                </c:pt>
                <c:pt idx="204">
                  <c:v>2009</c:v>
                </c:pt>
                <c:pt idx="205">
                  <c:v>2009</c:v>
                </c:pt>
                <c:pt idx="206">
                  <c:v>2009</c:v>
                </c:pt>
                <c:pt idx="207">
                  <c:v>2009</c:v>
                </c:pt>
                <c:pt idx="208">
                  <c:v>2009</c:v>
                </c:pt>
                <c:pt idx="209">
                  <c:v>2009</c:v>
                </c:pt>
                <c:pt idx="210">
                  <c:v>2009</c:v>
                </c:pt>
                <c:pt idx="211">
                  <c:v>2009</c:v>
                </c:pt>
                <c:pt idx="212">
                  <c:v>2009</c:v>
                </c:pt>
                <c:pt idx="213">
                  <c:v>2009</c:v>
                </c:pt>
                <c:pt idx="214">
                  <c:v>2009</c:v>
                </c:pt>
                <c:pt idx="215">
                  <c:v>2009</c:v>
                </c:pt>
                <c:pt idx="216">
                  <c:v>2009</c:v>
                </c:pt>
                <c:pt idx="217">
                  <c:v>2009</c:v>
                </c:pt>
                <c:pt idx="218">
                  <c:v>2009</c:v>
                </c:pt>
                <c:pt idx="219">
                  <c:v>2009</c:v>
                </c:pt>
                <c:pt idx="220">
                  <c:v>2010</c:v>
                </c:pt>
                <c:pt idx="221">
                  <c:v>2010</c:v>
                </c:pt>
                <c:pt idx="222">
                  <c:v>2010</c:v>
                </c:pt>
                <c:pt idx="223">
                  <c:v>2010</c:v>
                </c:pt>
                <c:pt idx="224">
                  <c:v>2010</c:v>
                </c:pt>
              </c:numCache>
            </c:numRef>
          </c:xVal>
          <c:yVal>
            <c:numRef>
              <c:f>Database!$X$8:$X$232</c:f>
              <c:numCache>
                <c:formatCode>General</c:formatCode>
                <c:ptCount val="225"/>
                <c:pt idx="0">
                  <c:v>20</c:v>
                </c:pt>
                <c:pt idx="1">
                  <c:v>19</c:v>
                </c:pt>
                <c:pt idx="2">
                  <c:v>100</c:v>
                </c:pt>
                <c:pt idx="3">
                  <c:v>60</c:v>
                </c:pt>
                <c:pt idx="4">
                  <c:v>42</c:v>
                </c:pt>
                <c:pt idx="5">
                  <c:v>102</c:v>
                </c:pt>
                <c:pt idx="6">
                  <c:v>57</c:v>
                </c:pt>
                <c:pt idx="7">
                  <c:v>23</c:v>
                </c:pt>
                <c:pt idx="8">
                  <c:v>55</c:v>
                </c:pt>
                <c:pt idx="9">
                  <c:v>111</c:v>
                </c:pt>
                <c:pt idx="10">
                  <c:v>85</c:v>
                </c:pt>
                <c:pt idx="11">
                  <c:v>49</c:v>
                </c:pt>
                <c:pt idx="12">
                  <c:v>40</c:v>
                </c:pt>
                <c:pt idx="13">
                  <c:v>80</c:v>
                </c:pt>
                <c:pt idx="14">
                  <c:v>47</c:v>
                </c:pt>
                <c:pt idx="15">
                  <c:v>35</c:v>
                </c:pt>
                <c:pt idx="16">
                  <c:v>32</c:v>
                </c:pt>
                <c:pt idx="17">
                  <c:v>182</c:v>
                </c:pt>
                <c:pt idx="18">
                  <c:v>179</c:v>
                </c:pt>
                <c:pt idx="19">
                  <c:v>100</c:v>
                </c:pt>
                <c:pt idx="20">
                  <c:v>26</c:v>
                </c:pt>
                <c:pt idx="21">
                  <c:v>80</c:v>
                </c:pt>
                <c:pt idx="22">
                  <c:v>63</c:v>
                </c:pt>
                <c:pt idx="23">
                  <c:v>49</c:v>
                </c:pt>
                <c:pt idx="24">
                  <c:v>45</c:v>
                </c:pt>
                <c:pt idx="25">
                  <c:v>42</c:v>
                </c:pt>
                <c:pt idx="26">
                  <c:v>36</c:v>
                </c:pt>
                <c:pt idx="27">
                  <c:v>59</c:v>
                </c:pt>
                <c:pt idx="28">
                  <c:v>42</c:v>
                </c:pt>
                <c:pt idx="29">
                  <c:v>56</c:v>
                </c:pt>
                <c:pt idx="30">
                  <c:v>65</c:v>
                </c:pt>
                <c:pt idx="31">
                  <c:v>177</c:v>
                </c:pt>
                <c:pt idx="32">
                  <c:v>80</c:v>
                </c:pt>
                <c:pt idx="33">
                  <c:v>77</c:v>
                </c:pt>
                <c:pt idx="34">
                  <c:v>64</c:v>
                </c:pt>
                <c:pt idx="35">
                  <c:v>87</c:v>
                </c:pt>
                <c:pt idx="36">
                  <c:v>38</c:v>
                </c:pt>
                <c:pt idx="37">
                  <c:v>260</c:v>
                </c:pt>
                <c:pt idx="38">
                  <c:v>22</c:v>
                </c:pt>
                <c:pt idx="39">
                  <c:v>20</c:v>
                </c:pt>
                <c:pt idx="40">
                  <c:v>136</c:v>
                </c:pt>
                <c:pt idx="41">
                  <c:v>79</c:v>
                </c:pt>
                <c:pt idx="42">
                  <c:v>38</c:v>
                </c:pt>
                <c:pt idx="43">
                  <c:v>66</c:v>
                </c:pt>
                <c:pt idx="44">
                  <c:v>57</c:v>
                </c:pt>
                <c:pt idx="45">
                  <c:v>32</c:v>
                </c:pt>
                <c:pt idx="46">
                  <c:v>58</c:v>
                </c:pt>
                <c:pt idx="47">
                  <c:v>66</c:v>
                </c:pt>
                <c:pt idx="48">
                  <c:v>65</c:v>
                </c:pt>
                <c:pt idx="49">
                  <c:v>32</c:v>
                </c:pt>
                <c:pt idx="50">
                  <c:v>110</c:v>
                </c:pt>
                <c:pt idx="51">
                  <c:v>58</c:v>
                </c:pt>
                <c:pt idx="52">
                  <c:v>40</c:v>
                </c:pt>
                <c:pt idx="53">
                  <c:v>96</c:v>
                </c:pt>
                <c:pt idx="54">
                  <c:v>86</c:v>
                </c:pt>
                <c:pt idx="55">
                  <c:v>92</c:v>
                </c:pt>
                <c:pt idx="56">
                  <c:v>79</c:v>
                </c:pt>
                <c:pt idx="57">
                  <c:v>48</c:v>
                </c:pt>
                <c:pt idx="58">
                  <c:v>48</c:v>
                </c:pt>
                <c:pt idx="59">
                  <c:v>99</c:v>
                </c:pt>
                <c:pt idx="60">
                  <c:v>48</c:v>
                </c:pt>
                <c:pt idx="61">
                  <c:v>32</c:v>
                </c:pt>
                <c:pt idx="62">
                  <c:v>81</c:v>
                </c:pt>
                <c:pt idx="63">
                  <c:v>64</c:v>
                </c:pt>
                <c:pt idx="64">
                  <c:v>40</c:v>
                </c:pt>
                <c:pt idx="65">
                  <c:v>35</c:v>
                </c:pt>
                <c:pt idx="66">
                  <c:v>84</c:v>
                </c:pt>
                <c:pt idx="67">
                  <c:v>58</c:v>
                </c:pt>
                <c:pt idx="68">
                  <c:v>56</c:v>
                </c:pt>
                <c:pt idx="69">
                  <c:v>151</c:v>
                </c:pt>
                <c:pt idx="70">
                  <c:v>135</c:v>
                </c:pt>
                <c:pt idx="71">
                  <c:v>38</c:v>
                </c:pt>
                <c:pt idx="72">
                  <c:v>50</c:v>
                </c:pt>
                <c:pt idx="73">
                  <c:v>109</c:v>
                </c:pt>
                <c:pt idx="74">
                  <c:v>40</c:v>
                </c:pt>
                <c:pt idx="75">
                  <c:v>47</c:v>
                </c:pt>
                <c:pt idx="76">
                  <c:v>96</c:v>
                </c:pt>
                <c:pt idx="77">
                  <c:v>56</c:v>
                </c:pt>
                <c:pt idx="78">
                  <c:v>35</c:v>
                </c:pt>
                <c:pt idx="79">
                  <c:v>60</c:v>
                </c:pt>
                <c:pt idx="80">
                  <c:v>60</c:v>
                </c:pt>
                <c:pt idx="81">
                  <c:v>81</c:v>
                </c:pt>
                <c:pt idx="82">
                  <c:v>44</c:v>
                </c:pt>
                <c:pt idx="83">
                  <c:v>94</c:v>
                </c:pt>
                <c:pt idx="84">
                  <c:v>56</c:v>
                </c:pt>
                <c:pt idx="85">
                  <c:v>60</c:v>
                </c:pt>
                <c:pt idx="86">
                  <c:v>57</c:v>
                </c:pt>
                <c:pt idx="87">
                  <c:v>152</c:v>
                </c:pt>
                <c:pt idx="88">
                  <c:v>64</c:v>
                </c:pt>
                <c:pt idx="89">
                  <c:v>88</c:v>
                </c:pt>
                <c:pt idx="90">
                  <c:v>92</c:v>
                </c:pt>
                <c:pt idx="91">
                  <c:v>114</c:v>
                </c:pt>
                <c:pt idx="92">
                  <c:v>73</c:v>
                </c:pt>
                <c:pt idx="93">
                  <c:v>82</c:v>
                </c:pt>
                <c:pt idx="94">
                  <c:v>46</c:v>
                </c:pt>
                <c:pt idx="95">
                  <c:v>74</c:v>
                </c:pt>
                <c:pt idx="96">
                  <c:v>26</c:v>
                </c:pt>
                <c:pt idx="97">
                  <c:v>69</c:v>
                </c:pt>
                <c:pt idx="98">
                  <c:v>56</c:v>
                </c:pt>
                <c:pt idx="99">
                  <c:v>76</c:v>
                </c:pt>
                <c:pt idx="100">
                  <c:v>15</c:v>
                </c:pt>
                <c:pt idx="101">
                  <c:v>30</c:v>
                </c:pt>
                <c:pt idx="102">
                  <c:v>245</c:v>
                </c:pt>
                <c:pt idx="103">
                  <c:v>70</c:v>
                </c:pt>
                <c:pt idx="104">
                  <c:v>81</c:v>
                </c:pt>
                <c:pt idx="105">
                  <c:v>85</c:v>
                </c:pt>
                <c:pt idx="106">
                  <c:v>43</c:v>
                </c:pt>
                <c:pt idx="107">
                  <c:v>34</c:v>
                </c:pt>
                <c:pt idx="108">
                  <c:v>43</c:v>
                </c:pt>
                <c:pt idx="109">
                  <c:v>59</c:v>
                </c:pt>
                <c:pt idx="110">
                  <c:v>140</c:v>
                </c:pt>
                <c:pt idx="111">
                  <c:v>62</c:v>
                </c:pt>
                <c:pt idx="112">
                  <c:v>61</c:v>
                </c:pt>
                <c:pt idx="113">
                  <c:v>80</c:v>
                </c:pt>
                <c:pt idx="114">
                  <c:v>60</c:v>
                </c:pt>
                <c:pt idx="115">
                  <c:v>36</c:v>
                </c:pt>
                <c:pt idx="116">
                  <c:v>69</c:v>
                </c:pt>
                <c:pt idx="117">
                  <c:v>65</c:v>
                </c:pt>
                <c:pt idx="118">
                  <c:v>34</c:v>
                </c:pt>
                <c:pt idx="119">
                  <c:v>82</c:v>
                </c:pt>
                <c:pt idx="120">
                  <c:v>90</c:v>
                </c:pt>
                <c:pt idx="121">
                  <c:v>34</c:v>
                </c:pt>
                <c:pt idx="122">
                  <c:v>34</c:v>
                </c:pt>
                <c:pt idx="123">
                  <c:v>20</c:v>
                </c:pt>
                <c:pt idx="124">
                  <c:v>71</c:v>
                </c:pt>
                <c:pt idx="125">
                  <c:v>35</c:v>
                </c:pt>
                <c:pt idx="126">
                  <c:v>59</c:v>
                </c:pt>
                <c:pt idx="127">
                  <c:v>20</c:v>
                </c:pt>
                <c:pt idx="128">
                  <c:v>71</c:v>
                </c:pt>
                <c:pt idx="129">
                  <c:v>68</c:v>
                </c:pt>
                <c:pt idx="130">
                  <c:v>85</c:v>
                </c:pt>
                <c:pt idx="131">
                  <c:v>61</c:v>
                </c:pt>
                <c:pt idx="132">
                  <c:v>82</c:v>
                </c:pt>
                <c:pt idx="133">
                  <c:v>55</c:v>
                </c:pt>
                <c:pt idx="134">
                  <c:v>57</c:v>
                </c:pt>
                <c:pt idx="135">
                  <c:v>88</c:v>
                </c:pt>
                <c:pt idx="136">
                  <c:v>91</c:v>
                </c:pt>
                <c:pt idx="137">
                  <c:v>44</c:v>
                </c:pt>
                <c:pt idx="138">
                  <c:v>399</c:v>
                </c:pt>
                <c:pt idx="139">
                  <c:v>218</c:v>
                </c:pt>
                <c:pt idx="140">
                  <c:v>190</c:v>
                </c:pt>
                <c:pt idx="141">
                  <c:v>43</c:v>
                </c:pt>
                <c:pt idx="142">
                  <c:v>62</c:v>
                </c:pt>
                <c:pt idx="143">
                  <c:v>25</c:v>
                </c:pt>
                <c:pt idx="144">
                  <c:v>290</c:v>
                </c:pt>
                <c:pt idx="145">
                  <c:v>68</c:v>
                </c:pt>
                <c:pt idx="146">
                  <c:v>246</c:v>
                </c:pt>
                <c:pt idx="147">
                  <c:v>119</c:v>
                </c:pt>
                <c:pt idx="148">
                  <c:v>67</c:v>
                </c:pt>
                <c:pt idx="149">
                  <c:v>99</c:v>
                </c:pt>
                <c:pt idx="150">
                  <c:v>70</c:v>
                </c:pt>
                <c:pt idx="151">
                  <c:v>51</c:v>
                </c:pt>
                <c:pt idx="152">
                  <c:v>48</c:v>
                </c:pt>
                <c:pt idx="153">
                  <c:v>99</c:v>
                </c:pt>
                <c:pt idx="154">
                  <c:v>44</c:v>
                </c:pt>
                <c:pt idx="155">
                  <c:v>19</c:v>
                </c:pt>
                <c:pt idx="156">
                  <c:v>43</c:v>
                </c:pt>
                <c:pt idx="157">
                  <c:v>38</c:v>
                </c:pt>
                <c:pt idx="158">
                  <c:v>120</c:v>
                </c:pt>
                <c:pt idx="159">
                  <c:v>61</c:v>
                </c:pt>
                <c:pt idx="160">
                  <c:v>50</c:v>
                </c:pt>
                <c:pt idx="161">
                  <c:v>84</c:v>
                </c:pt>
                <c:pt idx="162">
                  <c:v>75</c:v>
                </c:pt>
                <c:pt idx="163">
                  <c:v>34</c:v>
                </c:pt>
                <c:pt idx="164">
                  <c:v>44</c:v>
                </c:pt>
                <c:pt idx="165">
                  <c:v>85</c:v>
                </c:pt>
                <c:pt idx="166">
                  <c:v>130</c:v>
                </c:pt>
                <c:pt idx="167">
                  <c:v>370</c:v>
                </c:pt>
                <c:pt idx="168">
                  <c:v>103</c:v>
                </c:pt>
                <c:pt idx="169">
                  <c:v>80</c:v>
                </c:pt>
                <c:pt idx="170">
                  <c:v>80</c:v>
                </c:pt>
                <c:pt idx="171">
                  <c:v>53</c:v>
                </c:pt>
                <c:pt idx="172">
                  <c:v>73</c:v>
                </c:pt>
                <c:pt idx="173">
                  <c:v>84</c:v>
                </c:pt>
                <c:pt idx="174">
                  <c:v>49</c:v>
                </c:pt>
                <c:pt idx="175">
                  <c:v>86</c:v>
                </c:pt>
                <c:pt idx="176">
                  <c:v>156</c:v>
                </c:pt>
                <c:pt idx="177">
                  <c:v>120</c:v>
                </c:pt>
                <c:pt idx="178">
                  <c:v>60</c:v>
                </c:pt>
                <c:pt idx="179">
                  <c:v>75</c:v>
                </c:pt>
                <c:pt idx="180">
                  <c:v>207</c:v>
                </c:pt>
                <c:pt idx="181">
                  <c:v>64</c:v>
                </c:pt>
                <c:pt idx="182">
                  <c:v>79</c:v>
                </c:pt>
                <c:pt idx="183">
                  <c:v>55</c:v>
                </c:pt>
                <c:pt idx="184">
                  <c:v>20</c:v>
                </c:pt>
                <c:pt idx="185">
                  <c:v>67</c:v>
                </c:pt>
                <c:pt idx="186">
                  <c:v>53</c:v>
                </c:pt>
                <c:pt idx="187">
                  <c:v>115</c:v>
                </c:pt>
                <c:pt idx="188">
                  <c:v>358</c:v>
                </c:pt>
                <c:pt idx="189">
                  <c:v>41</c:v>
                </c:pt>
                <c:pt idx="190">
                  <c:v>25</c:v>
                </c:pt>
                <c:pt idx="191">
                  <c:v>312</c:v>
                </c:pt>
                <c:pt idx="192">
                  <c:v>158</c:v>
                </c:pt>
                <c:pt idx="193">
                  <c:v>130</c:v>
                </c:pt>
                <c:pt idx="194">
                  <c:v>104</c:v>
                </c:pt>
                <c:pt idx="195">
                  <c:v>42</c:v>
                </c:pt>
                <c:pt idx="196">
                  <c:v>38</c:v>
                </c:pt>
                <c:pt idx="197">
                  <c:v>44</c:v>
                </c:pt>
                <c:pt idx="198">
                  <c:v>61</c:v>
                </c:pt>
                <c:pt idx="199">
                  <c:v>263</c:v>
                </c:pt>
                <c:pt idx="200">
                  <c:v>163</c:v>
                </c:pt>
                <c:pt idx="201">
                  <c:v>35</c:v>
                </c:pt>
                <c:pt idx="202">
                  <c:v>38</c:v>
                </c:pt>
                <c:pt idx="203">
                  <c:v>87</c:v>
                </c:pt>
                <c:pt idx="204">
                  <c:v>89</c:v>
                </c:pt>
                <c:pt idx="205">
                  <c:v>87</c:v>
                </c:pt>
                <c:pt idx="206">
                  <c:v>230</c:v>
                </c:pt>
                <c:pt idx="207">
                  <c:v>42</c:v>
                </c:pt>
                <c:pt idx="208">
                  <c:v>253</c:v>
                </c:pt>
                <c:pt idx="209">
                  <c:v>105</c:v>
                </c:pt>
                <c:pt idx="210">
                  <c:v>61</c:v>
                </c:pt>
                <c:pt idx="211">
                  <c:v>83</c:v>
                </c:pt>
                <c:pt idx="212">
                  <c:v>75</c:v>
                </c:pt>
                <c:pt idx="213">
                  <c:v>89</c:v>
                </c:pt>
                <c:pt idx="214">
                  <c:v>89</c:v>
                </c:pt>
                <c:pt idx="215">
                  <c:v>231</c:v>
                </c:pt>
                <c:pt idx="216">
                  <c:v>60</c:v>
                </c:pt>
                <c:pt idx="217">
                  <c:v>86</c:v>
                </c:pt>
                <c:pt idx="218">
                  <c:v>100</c:v>
                </c:pt>
                <c:pt idx="219">
                  <c:v>80</c:v>
                </c:pt>
                <c:pt idx="220">
                  <c:v>40</c:v>
                </c:pt>
                <c:pt idx="221">
                  <c:v>64</c:v>
                </c:pt>
                <c:pt idx="222">
                  <c:v>61</c:v>
                </c:pt>
                <c:pt idx="223">
                  <c:v>89</c:v>
                </c:pt>
                <c:pt idx="224">
                  <c:v>67</c:v>
                </c:pt>
              </c:numCache>
            </c:numRef>
          </c:yVal>
        </c:ser>
        <c:axId val="143062528"/>
        <c:axId val="143064448"/>
      </c:scatterChart>
      <c:valAx>
        <c:axId val="143062528"/>
        <c:scaling>
          <c:orientation val="minMax"/>
        </c:scaling>
        <c:axPos val="b"/>
        <c:title>
          <c:tx>
            <c:rich>
              <a:bodyPr/>
              <a:lstStyle/>
              <a:p>
                <a:pPr>
                  <a:defRPr sz="1000" b="1" i="0" u="none" strike="noStrike" baseline="0">
                    <a:solidFill>
                      <a:srgbClr val="000000"/>
                    </a:solidFill>
                    <a:latin typeface="Arial"/>
                    <a:ea typeface="Arial"/>
                    <a:cs typeface="Arial"/>
                  </a:defRPr>
                </a:pPr>
                <a:r>
                  <a:rPr lang="en-GB"/>
                  <a:t>Year of publication</a:t>
                </a:r>
              </a:p>
            </c:rich>
          </c:tx>
          <c:layout>
            <c:manualLayout>
              <c:xMode val="edge"/>
              <c:yMode val="edge"/>
              <c:x val="0.45860922021844008"/>
              <c:y val="0.9429347434511872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064448"/>
        <c:crosses val="autoZero"/>
        <c:crossBetween val="midCat"/>
      </c:valAx>
      <c:valAx>
        <c:axId val="143064448"/>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Total number of subjects</a:t>
                </a:r>
              </a:p>
            </c:rich>
          </c:tx>
          <c:layout>
            <c:manualLayout>
              <c:xMode val="edge"/>
              <c:yMode val="edge"/>
              <c:x val="9.9337058674117511E-3"/>
              <c:y val="0.36956512788842638"/>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062528"/>
        <c:crosses val="autoZero"/>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6743044189852764E-2"/>
          <c:y val="5.5350653235004321E-2"/>
          <c:w val="0.88707037643207864"/>
          <c:h val="0.8154996243290626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xVal>
            <c:numRef>
              <c:f>Database!$H$8:$H$232</c:f>
              <c:numCache>
                <c:formatCode>General</c:formatCode>
                <c:ptCount val="225"/>
                <c:pt idx="0">
                  <c:v>10</c:v>
                </c:pt>
                <c:pt idx="1">
                  <c:v>7</c:v>
                </c:pt>
                <c:pt idx="2">
                  <c:v>26</c:v>
                </c:pt>
                <c:pt idx="3">
                  <c:v>16</c:v>
                </c:pt>
                <c:pt idx="4">
                  <c:v>11</c:v>
                </c:pt>
                <c:pt idx="5">
                  <c:v>27</c:v>
                </c:pt>
                <c:pt idx="6">
                  <c:v>35</c:v>
                </c:pt>
                <c:pt idx="7">
                  <c:v>10</c:v>
                </c:pt>
                <c:pt idx="8">
                  <c:v>5</c:v>
                </c:pt>
                <c:pt idx="9">
                  <c:v>67</c:v>
                </c:pt>
                <c:pt idx="10">
                  <c:v>41</c:v>
                </c:pt>
                <c:pt idx="11">
                  <c:v>20</c:v>
                </c:pt>
                <c:pt idx="12">
                  <c:v>20</c:v>
                </c:pt>
                <c:pt idx="13">
                  <c:v>12</c:v>
                </c:pt>
                <c:pt idx="14">
                  <c:v>11</c:v>
                </c:pt>
                <c:pt idx="15">
                  <c:v>21</c:v>
                </c:pt>
                <c:pt idx="16">
                  <c:v>22</c:v>
                </c:pt>
                <c:pt idx="17">
                  <c:v>28</c:v>
                </c:pt>
                <c:pt idx="18">
                  <c:v>119</c:v>
                </c:pt>
                <c:pt idx="19">
                  <c:v>50</c:v>
                </c:pt>
                <c:pt idx="20">
                  <c:v>14</c:v>
                </c:pt>
                <c:pt idx="21">
                  <c:v>12</c:v>
                </c:pt>
                <c:pt idx="22">
                  <c:v>27</c:v>
                </c:pt>
                <c:pt idx="23">
                  <c:v>19</c:v>
                </c:pt>
                <c:pt idx="24">
                  <c:v>25</c:v>
                </c:pt>
                <c:pt idx="25">
                  <c:v>21</c:v>
                </c:pt>
                <c:pt idx="26">
                  <c:v>20</c:v>
                </c:pt>
                <c:pt idx="27">
                  <c:v>39</c:v>
                </c:pt>
                <c:pt idx="28">
                  <c:v>19</c:v>
                </c:pt>
                <c:pt idx="29">
                  <c:v>30</c:v>
                </c:pt>
                <c:pt idx="30">
                  <c:v>33</c:v>
                </c:pt>
                <c:pt idx="31">
                  <c:v>27</c:v>
                </c:pt>
                <c:pt idx="32">
                  <c:v>13</c:v>
                </c:pt>
                <c:pt idx="33">
                  <c:v>34</c:v>
                </c:pt>
                <c:pt idx="34">
                  <c:v>24</c:v>
                </c:pt>
                <c:pt idx="35">
                  <c:v>48</c:v>
                </c:pt>
                <c:pt idx="36">
                  <c:v>19</c:v>
                </c:pt>
                <c:pt idx="37">
                  <c:v>95</c:v>
                </c:pt>
                <c:pt idx="38">
                  <c:v>11</c:v>
                </c:pt>
                <c:pt idx="39">
                  <c:v>10</c:v>
                </c:pt>
                <c:pt idx="40">
                  <c:v>44</c:v>
                </c:pt>
                <c:pt idx="41">
                  <c:v>23</c:v>
                </c:pt>
                <c:pt idx="42">
                  <c:v>17</c:v>
                </c:pt>
                <c:pt idx="43">
                  <c:v>30</c:v>
                </c:pt>
                <c:pt idx="44">
                  <c:v>28</c:v>
                </c:pt>
                <c:pt idx="45">
                  <c:v>19</c:v>
                </c:pt>
                <c:pt idx="46">
                  <c:v>38</c:v>
                </c:pt>
                <c:pt idx="47">
                  <c:v>35</c:v>
                </c:pt>
                <c:pt idx="48">
                  <c:v>35</c:v>
                </c:pt>
                <c:pt idx="49">
                  <c:v>19</c:v>
                </c:pt>
                <c:pt idx="50">
                  <c:v>72</c:v>
                </c:pt>
                <c:pt idx="51">
                  <c:v>38</c:v>
                </c:pt>
                <c:pt idx="52">
                  <c:v>20</c:v>
                </c:pt>
                <c:pt idx="53">
                  <c:v>68</c:v>
                </c:pt>
                <c:pt idx="54">
                  <c:v>40</c:v>
                </c:pt>
                <c:pt idx="55">
                  <c:v>25</c:v>
                </c:pt>
                <c:pt idx="56">
                  <c:v>41</c:v>
                </c:pt>
                <c:pt idx="57">
                  <c:v>24</c:v>
                </c:pt>
                <c:pt idx="58">
                  <c:v>24</c:v>
                </c:pt>
                <c:pt idx="59">
                  <c:v>10</c:v>
                </c:pt>
                <c:pt idx="60">
                  <c:v>24</c:v>
                </c:pt>
                <c:pt idx="61">
                  <c:v>16</c:v>
                </c:pt>
                <c:pt idx="62">
                  <c:v>51</c:v>
                </c:pt>
                <c:pt idx="63">
                  <c:v>34</c:v>
                </c:pt>
                <c:pt idx="64">
                  <c:v>20</c:v>
                </c:pt>
                <c:pt idx="65">
                  <c:v>14</c:v>
                </c:pt>
                <c:pt idx="66">
                  <c:v>66</c:v>
                </c:pt>
                <c:pt idx="67">
                  <c:v>38</c:v>
                </c:pt>
                <c:pt idx="68">
                  <c:v>17</c:v>
                </c:pt>
                <c:pt idx="69">
                  <c:v>81</c:v>
                </c:pt>
                <c:pt idx="70">
                  <c:v>88</c:v>
                </c:pt>
                <c:pt idx="71">
                  <c:v>9</c:v>
                </c:pt>
                <c:pt idx="72">
                  <c:v>30</c:v>
                </c:pt>
                <c:pt idx="73">
                  <c:v>20</c:v>
                </c:pt>
                <c:pt idx="74">
                  <c:v>25</c:v>
                </c:pt>
                <c:pt idx="75">
                  <c:v>13</c:v>
                </c:pt>
                <c:pt idx="76">
                  <c:v>48</c:v>
                </c:pt>
                <c:pt idx="77">
                  <c:v>18</c:v>
                </c:pt>
                <c:pt idx="78">
                  <c:v>15</c:v>
                </c:pt>
                <c:pt idx="79">
                  <c:v>30</c:v>
                </c:pt>
                <c:pt idx="80">
                  <c:v>30</c:v>
                </c:pt>
                <c:pt idx="81">
                  <c:v>51</c:v>
                </c:pt>
                <c:pt idx="82">
                  <c:v>22</c:v>
                </c:pt>
                <c:pt idx="83">
                  <c:v>57</c:v>
                </c:pt>
                <c:pt idx="84">
                  <c:v>37</c:v>
                </c:pt>
                <c:pt idx="85">
                  <c:v>40</c:v>
                </c:pt>
                <c:pt idx="86">
                  <c:v>19</c:v>
                </c:pt>
                <c:pt idx="87">
                  <c:v>115</c:v>
                </c:pt>
                <c:pt idx="88">
                  <c:v>37</c:v>
                </c:pt>
                <c:pt idx="89">
                  <c:v>51</c:v>
                </c:pt>
                <c:pt idx="90">
                  <c:v>55</c:v>
                </c:pt>
                <c:pt idx="91">
                  <c:v>57</c:v>
                </c:pt>
                <c:pt idx="92">
                  <c:v>25</c:v>
                </c:pt>
                <c:pt idx="93">
                  <c:v>41</c:v>
                </c:pt>
                <c:pt idx="94">
                  <c:v>23</c:v>
                </c:pt>
                <c:pt idx="95">
                  <c:v>37</c:v>
                </c:pt>
                <c:pt idx="96">
                  <c:v>10</c:v>
                </c:pt>
                <c:pt idx="97">
                  <c:v>27</c:v>
                </c:pt>
                <c:pt idx="98">
                  <c:v>18</c:v>
                </c:pt>
                <c:pt idx="99">
                  <c:v>38</c:v>
                </c:pt>
                <c:pt idx="100">
                  <c:v>7</c:v>
                </c:pt>
                <c:pt idx="101">
                  <c:v>11</c:v>
                </c:pt>
                <c:pt idx="102">
                  <c:v>145</c:v>
                </c:pt>
                <c:pt idx="103">
                  <c:v>30</c:v>
                </c:pt>
                <c:pt idx="104">
                  <c:v>41</c:v>
                </c:pt>
                <c:pt idx="105">
                  <c:v>50</c:v>
                </c:pt>
                <c:pt idx="106">
                  <c:v>24</c:v>
                </c:pt>
                <c:pt idx="107">
                  <c:v>17</c:v>
                </c:pt>
                <c:pt idx="108">
                  <c:v>24</c:v>
                </c:pt>
                <c:pt idx="109">
                  <c:v>23</c:v>
                </c:pt>
                <c:pt idx="110">
                  <c:v>100</c:v>
                </c:pt>
                <c:pt idx="111">
                  <c:v>31</c:v>
                </c:pt>
                <c:pt idx="112">
                  <c:v>29</c:v>
                </c:pt>
                <c:pt idx="113">
                  <c:v>40</c:v>
                </c:pt>
                <c:pt idx="114">
                  <c:v>30</c:v>
                </c:pt>
                <c:pt idx="115">
                  <c:v>18</c:v>
                </c:pt>
                <c:pt idx="116">
                  <c:v>28</c:v>
                </c:pt>
                <c:pt idx="117">
                  <c:v>31</c:v>
                </c:pt>
                <c:pt idx="118">
                  <c:v>17</c:v>
                </c:pt>
                <c:pt idx="119">
                  <c:v>41</c:v>
                </c:pt>
                <c:pt idx="120">
                  <c:v>51</c:v>
                </c:pt>
                <c:pt idx="121">
                  <c:v>17</c:v>
                </c:pt>
                <c:pt idx="122">
                  <c:v>17</c:v>
                </c:pt>
                <c:pt idx="123">
                  <c:v>10</c:v>
                </c:pt>
                <c:pt idx="124">
                  <c:v>38</c:v>
                </c:pt>
                <c:pt idx="125">
                  <c:v>22</c:v>
                </c:pt>
                <c:pt idx="126">
                  <c:v>39</c:v>
                </c:pt>
                <c:pt idx="127">
                  <c:v>10</c:v>
                </c:pt>
                <c:pt idx="128">
                  <c:v>51</c:v>
                </c:pt>
                <c:pt idx="129">
                  <c:v>47</c:v>
                </c:pt>
                <c:pt idx="130">
                  <c:v>50</c:v>
                </c:pt>
                <c:pt idx="131">
                  <c:v>22</c:v>
                </c:pt>
                <c:pt idx="132">
                  <c:v>41</c:v>
                </c:pt>
                <c:pt idx="133">
                  <c:v>37</c:v>
                </c:pt>
                <c:pt idx="134">
                  <c:v>27</c:v>
                </c:pt>
                <c:pt idx="135">
                  <c:v>31</c:v>
                </c:pt>
                <c:pt idx="136">
                  <c:v>13</c:v>
                </c:pt>
                <c:pt idx="137">
                  <c:v>20</c:v>
                </c:pt>
                <c:pt idx="138">
                  <c:v>253</c:v>
                </c:pt>
                <c:pt idx="139">
                  <c:v>135</c:v>
                </c:pt>
                <c:pt idx="140">
                  <c:v>106</c:v>
                </c:pt>
                <c:pt idx="141">
                  <c:v>17</c:v>
                </c:pt>
                <c:pt idx="142">
                  <c:v>31</c:v>
                </c:pt>
                <c:pt idx="143">
                  <c:v>14</c:v>
                </c:pt>
                <c:pt idx="144">
                  <c:v>164</c:v>
                </c:pt>
                <c:pt idx="145">
                  <c:v>34</c:v>
                </c:pt>
                <c:pt idx="146">
                  <c:v>182</c:v>
                </c:pt>
                <c:pt idx="147">
                  <c:v>84</c:v>
                </c:pt>
                <c:pt idx="148">
                  <c:v>52</c:v>
                </c:pt>
                <c:pt idx="149">
                  <c:v>49</c:v>
                </c:pt>
                <c:pt idx="150">
                  <c:v>35</c:v>
                </c:pt>
                <c:pt idx="151">
                  <c:v>29</c:v>
                </c:pt>
                <c:pt idx="152">
                  <c:v>24</c:v>
                </c:pt>
                <c:pt idx="153">
                  <c:v>12</c:v>
                </c:pt>
                <c:pt idx="154">
                  <c:v>21</c:v>
                </c:pt>
                <c:pt idx="155">
                  <c:v>11</c:v>
                </c:pt>
                <c:pt idx="156">
                  <c:v>19</c:v>
                </c:pt>
                <c:pt idx="157">
                  <c:v>24</c:v>
                </c:pt>
                <c:pt idx="158">
                  <c:v>60</c:v>
                </c:pt>
                <c:pt idx="159">
                  <c:v>45</c:v>
                </c:pt>
                <c:pt idx="160">
                  <c:v>28</c:v>
                </c:pt>
                <c:pt idx="161">
                  <c:v>43</c:v>
                </c:pt>
                <c:pt idx="162">
                  <c:v>45</c:v>
                </c:pt>
                <c:pt idx="163">
                  <c:v>17</c:v>
                </c:pt>
                <c:pt idx="164">
                  <c:v>26</c:v>
                </c:pt>
                <c:pt idx="165">
                  <c:v>50</c:v>
                </c:pt>
                <c:pt idx="166">
                  <c:v>83</c:v>
                </c:pt>
                <c:pt idx="167">
                  <c:v>226</c:v>
                </c:pt>
                <c:pt idx="168">
                  <c:v>71</c:v>
                </c:pt>
                <c:pt idx="169">
                  <c:v>46</c:v>
                </c:pt>
                <c:pt idx="170">
                  <c:v>46</c:v>
                </c:pt>
                <c:pt idx="171">
                  <c:v>27</c:v>
                </c:pt>
                <c:pt idx="172">
                  <c:v>34</c:v>
                </c:pt>
                <c:pt idx="173">
                  <c:v>43</c:v>
                </c:pt>
                <c:pt idx="174">
                  <c:v>26</c:v>
                </c:pt>
                <c:pt idx="175">
                  <c:v>31</c:v>
                </c:pt>
                <c:pt idx="176">
                  <c:v>78</c:v>
                </c:pt>
                <c:pt idx="177">
                  <c:v>60</c:v>
                </c:pt>
                <c:pt idx="178">
                  <c:v>30</c:v>
                </c:pt>
                <c:pt idx="179">
                  <c:v>45</c:v>
                </c:pt>
                <c:pt idx="180">
                  <c:v>124</c:v>
                </c:pt>
                <c:pt idx="181">
                  <c:v>42</c:v>
                </c:pt>
                <c:pt idx="182">
                  <c:v>49</c:v>
                </c:pt>
                <c:pt idx="183">
                  <c:v>31</c:v>
                </c:pt>
                <c:pt idx="184">
                  <c:v>10</c:v>
                </c:pt>
                <c:pt idx="185">
                  <c:v>32</c:v>
                </c:pt>
                <c:pt idx="186">
                  <c:v>27</c:v>
                </c:pt>
                <c:pt idx="187">
                  <c:v>83</c:v>
                </c:pt>
                <c:pt idx="188">
                  <c:v>217</c:v>
                </c:pt>
                <c:pt idx="189">
                  <c:v>21</c:v>
                </c:pt>
                <c:pt idx="190">
                  <c:v>14</c:v>
                </c:pt>
                <c:pt idx="191">
                  <c:v>199</c:v>
                </c:pt>
                <c:pt idx="192">
                  <c:v>65</c:v>
                </c:pt>
                <c:pt idx="193">
                  <c:v>28</c:v>
                </c:pt>
                <c:pt idx="194">
                  <c:v>61</c:v>
                </c:pt>
                <c:pt idx="195">
                  <c:v>21</c:v>
                </c:pt>
                <c:pt idx="196">
                  <c:v>23</c:v>
                </c:pt>
                <c:pt idx="197">
                  <c:v>22</c:v>
                </c:pt>
                <c:pt idx="198">
                  <c:v>35</c:v>
                </c:pt>
                <c:pt idx="199">
                  <c:v>178</c:v>
                </c:pt>
                <c:pt idx="200">
                  <c:v>79</c:v>
                </c:pt>
                <c:pt idx="201">
                  <c:v>20</c:v>
                </c:pt>
                <c:pt idx="202">
                  <c:v>24</c:v>
                </c:pt>
                <c:pt idx="203">
                  <c:v>57</c:v>
                </c:pt>
                <c:pt idx="204">
                  <c:v>56</c:v>
                </c:pt>
                <c:pt idx="205">
                  <c:v>56</c:v>
                </c:pt>
                <c:pt idx="206">
                  <c:v>92</c:v>
                </c:pt>
                <c:pt idx="207">
                  <c:v>28</c:v>
                </c:pt>
                <c:pt idx="208">
                  <c:v>170</c:v>
                </c:pt>
                <c:pt idx="209">
                  <c:v>35</c:v>
                </c:pt>
                <c:pt idx="210">
                  <c:v>30</c:v>
                </c:pt>
                <c:pt idx="211">
                  <c:v>52</c:v>
                </c:pt>
                <c:pt idx="212">
                  <c:v>45</c:v>
                </c:pt>
                <c:pt idx="213">
                  <c:v>56</c:v>
                </c:pt>
                <c:pt idx="214">
                  <c:v>56</c:v>
                </c:pt>
                <c:pt idx="215">
                  <c:v>137</c:v>
                </c:pt>
                <c:pt idx="216">
                  <c:v>40</c:v>
                </c:pt>
                <c:pt idx="217">
                  <c:v>54</c:v>
                </c:pt>
                <c:pt idx="218">
                  <c:v>38</c:v>
                </c:pt>
                <c:pt idx="219">
                  <c:v>40</c:v>
                </c:pt>
                <c:pt idx="220">
                  <c:v>20</c:v>
                </c:pt>
                <c:pt idx="221">
                  <c:v>35</c:v>
                </c:pt>
                <c:pt idx="222">
                  <c:v>29</c:v>
                </c:pt>
                <c:pt idx="223">
                  <c:v>56</c:v>
                </c:pt>
                <c:pt idx="224">
                  <c:v>15</c:v>
                </c:pt>
              </c:numCache>
            </c:numRef>
          </c:xVal>
          <c:yVal>
            <c:numRef>
              <c:f>Database!$I$8:$I$232</c:f>
              <c:numCache>
                <c:formatCode>General</c:formatCode>
                <c:ptCount val="225"/>
                <c:pt idx="0">
                  <c:v>10</c:v>
                </c:pt>
                <c:pt idx="1">
                  <c:v>12</c:v>
                </c:pt>
                <c:pt idx="2">
                  <c:v>74</c:v>
                </c:pt>
                <c:pt idx="3">
                  <c:v>44</c:v>
                </c:pt>
                <c:pt idx="4">
                  <c:v>31</c:v>
                </c:pt>
                <c:pt idx="5">
                  <c:v>75</c:v>
                </c:pt>
                <c:pt idx="6">
                  <c:v>22</c:v>
                </c:pt>
                <c:pt idx="7">
                  <c:v>13</c:v>
                </c:pt>
                <c:pt idx="8">
                  <c:v>50</c:v>
                </c:pt>
                <c:pt idx="9">
                  <c:v>44</c:v>
                </c:pt>
                <c:pt idx="10">
                  <c:v>44</c:v>
                </c:pt>
                <c:pt idx="11">
                  <c:v>29</c:v>
                </c:pt>
                <c:pt idx="12">
                  <c:v>20</c:v>
                </c:pt>
                <c:pt idx="13">
                  <c:v>68</c:v>
                </c:pt>
                <c:pt idx="14">
                  <c:v>36</c:v>
                </c:pt>
                <c:pt idx="15">
                  <c:v>14</c:v>
                </c:pt>
                <c:pt idx="16">
                  <c:v>10</c:v>
                </c:pt>
                <c:pt idx="17">
                  <c:v>154</c:v>
                </c:pt>
                <c:pt idx="18">
                  <c:v>60</c:v>
                </c:pt>
                <c:pt idx="19">
                  <c:v>50</c:v>
                </c:pt>
                <c:pt idx="20">
                  <c:v>12</c:v>
                </c:pt>
                <c:pt idx="21">
                  <c:v>68</c:v>
                </c:pt>
                <c:pt idx="22">
                  <c:v>36</c:v>
                </c:pt>
                <c:pt idx="23">
                  <c:v>30</c:v>
                </c:pt>
                <c:pt idx="24">
                  <c:v>20</c:v>
                </c:pt>
                <c:pt idx="25">
                  <c:v>21</c:v>
                </c:pt>
                <c:pt idx="26">
                  <c:v>16</c:v>
                </c:pt>
                <c:pt idx="27">
                  <c:v>20</c:v>
                </c:pt>
                <c:pt idx="28">
                  <c:v>23</c:v>
                </c:pt>
                <c:pt idx="29">
                  <c:v>26</c:v>
                </c:pt>
                <c:pt idx="30">
                  <c:v>32</c:v>
                </c:pt>
                <c:pt idx="31">
                  <c:v>150</c:v>
                </c:pt>
                <c:pt idx="32">
                  <c:v>67</c:v>
                </c:pt>
                <c:pt idx="33">
                  <c:v>43</c:v>
                </c:pt>
                <c:pt idx="34">
                  <c:v>40</c:v>
                </c:pt>
                <c:pt idx="35">
                  <c:v>39</c:v>
                </c:pt>
                <c:pt idx="36">
                  <c:v>19</c:v>
                </c:pt>
                <c:pt idx="37">
                  <c:v>165</c:v>
                </c:pt>
                <c:pt idx="38">
                  <c:v>11</c:v>
                </c:pt>
                <c:pt idx="39">
                  <c:v>10</c:v>
                </c:pt>
                <c:pt idx="40">
                  <c:v>92</c:v>
                </c:pt>
                <c:pt idx="41">
                  <c:v>56</c:v>
                </c:pt>
                <c:pt idx="42">
                  <c:v>21</c:v>
                </c:pt>
                <c:pt idx="43">
                  <c:v>36</c:v>
                </c:pt>
                <c:pt idx="44">
                  <c:v>29</c:v>
                </c:pt>
                <c:pt idx="45">
                  <c:v>13</c:v>
                </c:pt>
                <c:pt idx="46">
                  <c:v>20</c:v>
                </c:pt>
                <c:pt idx="47">
                  <c:v>31</c:v>
                </c:pt>
                <c:pt idx="48">
                  <c:v>30</c:v>
                </c:pt>
                <c:pt idx="49">
                  <c:v>13</c:v>
                </c:pt>
                <c:pt idx="50">
                  <c:v>38</c:v>
                </c:pt>
                <c:pt idx="51">
                  <c:v>20</c:v>
                </c:pt>
                <c:pt idx="52">
                  <c:v>20</c:v>
                </c:pt>
                <c:pt idx="53">
                  <c:v>28</c:v>
                </c:pt>
                <c:pt idx="54">
                  <c:v>46</c:v>
                </c:pt>
                <c:pt idx="55">
                  <c:v>67</c:v>
                </c:pt>
                <c:pt idx="56">
                  <c:v>38</c:v>
                </c:pt>
                <c:pt idx="57">
                  <c:v>24</c:v>
                </c:pt>
                <c:pt idx="58">
                  <c:v>24</c:v>
                </c:pt>
                <c:pt idx="59">
                  <c:v>89</c:v>
                </c:pt>
                <c:pt idx="60">
                  <c:v>24</c:v>
                </c:pt>
                <c:pt idx="61">
                  <c:v>16</c:v>
                </c:pt>
                <c:pt idx="62">
                  <c:v>30</c:v>
                </c:pt>
                <c:pt idx="63">
                  <c:v>30</c:v>
                </c:pt>
                <c:pt idx="64">
                  <c:v>20</c:v>
                </c:pt>
                <c:pt idx="65">
                  <c:v>21</c:v>
                </c:pt>
                <c:pt idx="66">
                  <c:v>18</c:v>
                </c:pt>
                <c:pt idx="67">
                  <c:v>20</c:v>
                </c:pt>
                <c:pt idx="68">
                  <c:v>39</c:v>
                </c:pt>
                <c:pt idx="69">
                  <c:v>70</c:v>
                </c:pt>
                <c:pt idx="70">
                  <c:v>47</c:v>
                </c:pt>
                <c:pt idx="71">
                  <c:v>29</c:v>
                </c:pt>
                <c:pt idx="72">
                  <c:v>20</c:v>
                </c:pt>
                <c:pt idx="73">
                  <c:v>89</c:v>
                </c:pt>
                <c:pt idx="74">
                  <c:v>15</c:v>
                </c:pt>
                <c:pt idx="75">
                  <c:v>34</c:v>
                </c:pt>
                <c:pt idx="76">
                  <c:v>48</c:v>
                </c:pt>
                <c:pt idx="77">
                  <c:v>38</c:v>
                </c:pt>
                <c:pt idx="78">
                  <c:v>20</c:v>
                </c:pt>
                <c:pt idx="79">
                  <c:v>30</c:v>
                </c:pt>
                <c:pt idx="80">
                  <c:v>30</c:v>
                </c:pt>
                <c:pt idx="81">
                  <c:v>30</c:v>
                </c:pt>
                <c:pt idx="82">
                  <c:v>22</c:v>
                </c:pt>
                <c:pt idx="83">
                  <c:v>37</c:v>
                </c:pt>
                <c:pt idx="84">
                  <c:v>19</c:v>
                </c:pt>
                <c:pt idx="85">
                  <c:v>20</c:v>
                </c:pt>
                <c:pt idx="86">
                  <c:v>38</c:v>
                </c:pt>
                <c:pt idx="87">
                  <c:v>37</c:v>
                </c:pt>
                <c:pt idx="88">
                  <c:v>27</c:v>
                </c:pt>
                <c:pt idx="89">
                  <c:v>37</c:v>
                </c:pt>
                <c:pt idx="90">
                  <c:v>37</c:v>
                </c:pt>
                <c:pt idx="91">
                  <c:v>57</c:v>
                </c:pt>
                <c:pt idx="92">
                  <c:v>48</c:v>
                </c:pt>
                <c:pt idx="93">
                  <c:v>41</c:v>
                </c:pt>
                <c:pt idx="94">
                  <c:v>23</c:v>
                </c:pt>
                <c:pt idx="95">
                  <c:v>37</c:v>
                </c:pt>
                <c:pt idx="96">
                  <c:v>16</c:v>
                </c:pt>
                <c:pt idx="97">
                  <c:v>42</c:v>
                </c:pt>
                <c:pt idx="98">
                  <c:v>38</c:v>
                </c:pt>
                <c:pt idx="99">
                  <c:v>38</c:v>
                </c:pt>
                <c:pt idx="100">
                  <c:v>8</c:v>
                </c:pt>
                <c:pt idx="101">
                  <c:v>19</c:v>
                </c:pt>
                <c:pt idx="102">
                  <c:v>100</c:v>
                </c:pt>
                <c:pt idx="103">
                  <c:v>40</c:v>
                </c:pt>
                <c:pt idx="104">
                  <c:v>40</c:v>
                </c:pt>
                <c:pt idx="105">
                  <c:v>35</c:v>
                </c:pt>
                <c:pt idx="106">
                  <c:v>19</c:v>
                </c:pt>
                <c:pt idx="107">
                  <c:v>17</c:v>
                </c:pt>
                <c:pt idx="108">
                  <c:v>19</c:v>
                </c:pt>
                <c:pt idx="109">
                  <c:v>36</c:v>
                </c:pt>
                <c:pt idx="110">
                  <c:v>40</c:v>
                </c:pt>
                <c:pt idx="111">
                  <c:v>31</c:v>
                </c:pt>
                <c:pt idx="112">
                  <c:v>32</c:v>
                </c:pt>
                <c:pt idx="113">
                  <c:v>40</c:v>
                </c:pt>
                <c:pt idx="114">
                  <c:v>30</c:v>
                </c:pt>
                <c:pt idx="115">
                  <c:v>18</c:v>
                </c:pt>
                <c:pt idx="116">
                  <c:v>41</c:v>
                </c:pt>
                <c:pt idx="117">
                  <c:v>34</c:v>
                </c:pt>
                <c:pt idx="118">
                  <c:v>17</c:v>
                </c:pt>
                <c:pt idx="119">
                  <c:v>41</c:v>
                </c:pt>
                <c:pt idx="120">
                  <c:v>39</c:v>
                </c:pt>
                <c:pt idx="121">
                  <c:v>17</c:v>
                </c:pt>
                <c:pt idx="122">
                  <c:v>17</c:v>
                </c:pt>
                <c:pt idx="123">
                  <c:v>10</c:v>
                </c:pt>
                <c:pt idx="124">
                  <c:v>33</c:v>
                </c:pt>
                <c:pt idx="125">
                  <c:v>13</c:v>
                </c:pt>
                <c:pt idx="126">
                  <c:v>20</c:v>
                </c:pt>
                <c:pt idx="127">
                  <c:v>10</c:v>
                </c:pt>
                <c:pt idx="128">
                  <c:v>20</c:v>
                </c:pt>
                <c:pt idx="129">
                  <c:v>21</c:v>
                </c:pt>
                <c:pt idx="130">
                  <c:v>35</c:v>
                </c:pt>
                <c:pt idx="131">
                  <c:v>39</c:v>
                </c:pt>
                <c:pt idx="132">
                  <c:v>41</c:v>
                </c:pt>
                <c:pt idx="133">
                  <c:v>18</c:v>
                </c:pt>
                <c:pt idx="134">
                  <c:v>30</c:v>
                </c:pt>
                <c:pt idx="135">
                  <c:v>57</c:v>
                </c:pt>
                <c:pt idx="136" formatCode="0">
                  <c:v>78</c:v>
                </c:pt>
                <c:pt idx="137">
                  <c:v>24</c:v>
                </c:pt>
                <c:pt idx="138">
                  <c:v>146</c:v>
                </c:pt>
                <c:pt idx="139">
                  <c:v>83</c:v>
                </c:pt>
                <c:pt idx="140">
                  <c:v>84</c:v>
                </c:pt>
                <c:pt idx="141">
                  <c:v>26</c:v>
                </c:pt>
                <c:pt idx="142">
                  <c:v>31</c:v>
                </c:pt>
                <c:pt idx="143">
                  <c:v>11</c:v>
                </c:pt>
                <c:pt idx="144">
                  <c:v>126</c:v>
                </c:pt>
                <c:pt idx="145">
                  <c:v>34</c:v>
                </c:pt>
                <c:pt idx="146">
                  <c:v>64</c:v>
                </c:pt>
                <c:pt idx="147">
                  <c:v>35</c:v>
                </c:pt>
                <c:pt idx="148">
                  <c:v>15</c:v>
                </c:pt>
                <c:pt idx="149">
                  <c:v>50</c:v>
                </c:pt>
                <c:pt idx="150">
                  <c:v>35</c:v>
                </c:pt>
                <c:pt idx="151">
                  <c:v>22</c:v>
                </c:pt>
                <c:pt idx="152">
                  <c:v>24</c:v>
                </c:pt>
                <c:pt idx="153">
                  <c:v>87</c:v>
                </c:pt>
                <c:pt idx="154">
                  <c:v>23</c:v>
                </c:pt>
                <c:pt idx="155">
                  <c:v>8</c:v>
                </c:pt>
                <c:pt idx="156">
                  <c:v>24</c:v>
                </c:pt>
                <c:pt idx="157">
                  <c:v>14</c:v>
                </c:pt>
                <c:pt idx="158">
                  <c:v>60</c:v>
                </c:pt>
                <c:pt idx="159">
                  <c:v>16</c:v>
                </c:pt>
                <c:pt idx="160">
                  <c:v>22</c:v>
                </c:pt>
                <c:pt idx="161">
                  <c:v>41</c:v>
                </c:pt>
                <c:pt idx="162">
                  <c:v>30</c:v>
                </c:pt>
                <c:pt idx="163">
                  <c:v>17</c:v>
                </c:pt>
                <c:pt idx="164">
                  <c:v>18</c:v>
                </c:pt>
                <c:pt idx="165">
                  <c:v>35</c:v>
                </c:pt>
                <c:pt idx="166">
                  <c:v>47</c:v>
                </c:pt>
                <c:pt idx="167">
                  <c:v>144</c:v>
                </c:pt>
                <c:pt idx="168">
                  <c:v>32</c:v>
                </c:pt>
                <c:pt idx="169">
                  <c:v>34</c:v>
                </c:pt>
                <c:pt idx="170">
                  <c:v>34</c:v>
                </c:pt>
                <c:pt idx="171">
                  <c:v>26</c:v>
                </c:pt>
                <c:pt idx="172">
                  <c:v>39</c:v>
                </c:pt>
                <c:pt idx="173">
                  <c:v>41</c:v>
                </c:pt>
                <c:pt idx="174">
                  <c:v>23</c:v>
                </c:pt>
                <c:pt idx="175">
                  <c:v>55</c:v>
                </c:pt>
                <c:pt idx="176">
                  <c:v>78</c:v>
                </c:pt>
                <c:pt idx="177">
                  <c:v>60</c:v>
                </c:pt>
                <c:pt idx="178">
                  <c:v>30</c:v>
                </c:pt>
                <c:pt idx="179">
                  <c:v>30</c:v>
                </c:pt>
                <c:pt idx="180">
                  <c:v>83</c:v>
                </c:pt>
                <c:pt idx="181">
                  <c:v>22</c:v>
                </c:pt>
                <c:pt idx="182">
                  <c:v>30</c:v>
                </c:pt>
                <c:pt idx="183">
                  <c:v>24</c:v>
                </c:pt>
                <c:pt idx="184">
                  <c:v>10</c:v>
                </c:pt>
                <c:pt idx="185">
                  <c:v>35</c:v>
                </c:pt>
                <c:pt idx="186">
                  <c:v>26</c:v>
                </c:pt>
                <c:pt idx="187">
                  <c:v>32</c:v>
                </c:pt>
                <c:pt idx="188">
                  <c:v>141</c:v>
                </c:pt>
                <c:pt idx="189">
                  <c:v>20</c:v>
                </c:pt>
                <c:pt idx="190">
                  <c:v>11</c:v>
                </c:pt>
                <c:pt idx="191">
                  <c:v>113</c:v>
                </c:pt>
                <c:pt idx="192">
                  <c:v>93</c:v>
                </c:pt>
                <c:pt idx="193">
                  <c:v>102</c:v>
                </c:pt>
                <c:pt idx="194">
                  <c:v>43</c:v>
                </c:pt>
                <c:pt idx="195">
                  <c:v>21</c:v>
                </c:pt>
                <c:pt idx="196">
                  <c:v>15</c:v>
                </c:pt>
                <c:pt idx="197">
                  <c:v>22</c:v>
                </c:pt>
                <c:pt idx="198">
                  <c:v>26</c:v>
                </c:pt>
                <c:pt idx="199">
                  <c:v>85</c:v>
                </c:pt>
                <c:pt idx="200">
                  <c:v>84</c:v>
                </c:pt>
                <c:pt idx="201">
                  <c:v>15</c:v>
                </c:pt>
                <c:pt idx="202">
                  <c:v>14</c:v>
                </c:pt>
                <c:pt idx="203">
                  <c:v>30</c:v>
                </c:pt>
                <c:pt idx="204">
                  <c:v>33</c:v>
                </c:pt>
                <c:pt idx="205">
                  <c:v>31</c:v>
                </c:pt>
                <c:pt idx="206">
                  <c:v>138</c:v>
                </c:pt>
                <c:pt idx="207">
                  <c:v>14</c:v>
                </c:pt>
                <c:pt idx="208">
                  <c:v>83</c:v>
                </c:pt>
                <c:pt idx="209">
                  <c:v>70</c:v>
                </c:pt>
                <c:pt idx="210">
                  <c:v>31</c:v>
                </c:pt>
                <c:pt idx="211">
                  <c:v>31</c:v>
                </c:pt>
                <c:pt idx="212">
                  <c:v>30</c:v>
                </c:pt>
                <c:pt idx="213">
                  <c:v>33</c:v>
                </c:pt>
                <c:pt idx="214">
                  <c:v>33</c:v>
                </c:pt>
                <c:pt idx="215">
                  <c:v>94</c:v>
                </c:pt>
                <c:pt idx="216">
                  <c:v>20</c:v>
                </c:pt>
                <c:pt idx="217">
                  <c:v>32</c:v>
                </c:pt>
                <c:pt idx="218">
                  <c:v>62</c:v>
                </c:pt>
                <c:pt idx="219">
                  <c:v>40</c:v>
                </c:pt>
                <c:pt idx="220">
                  <c:v>20</c:v>
                </c:pt>
                <c:pt idx="221">
                  <c:v>29</c:v>
                </c:pt>
                <c:pt idx="222">
                  <c:v>32</c:v>
                </c:pt>
                <c:pt idx="223">
                  <c:v>33</c:v>
                </c:pt>
                <c:pt idx="224">
                  <c:v>52</c:v>
                </c:pt>
              </c:numCache>
            </c:numRef>
          </c:yVal>
        </c:ser>
        <c:axId val="143198848"/>
        <c:axId val="143225984"/>
      </c:scatterChart>
      <c:valAx>
        <c:axId val="143198848"/>
        <c:scaling>
          <c:orientation val="minMax"/>
        </c:scaling>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Number of Patients</a:t>
                </a:r>
              </a:p>
            </c:rich>
          </c:tx>
          <c:layout>
            <c:manualLayout>
              <c:xMode val="edge"/>
              <c:yMode val="edge"/>
              <c:x val="0.45943709164014102"/>
              <c:y val="0.94293488682918458"/>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225984"/>
        <c:crosses val="autoZero"/>
        <c:crossBetween val="midCat"/>
      </c:valAx>
      <c:valAx>
        <c:axId val="14322598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Number of Controls</a:t>
                </a:r>
              </a:p>
            </c:rich>
          </c:tx>
          <c:layout>
            <c:manualLayout>
              <c:xMode val="edge"/>
              <c:yMode val="edge"/>
              <c:x val="9.9337603257858027E-3"/>
              <c:y val="0.3532608885143970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198848"/>
        <c:crosses val="autoZero"/>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800" b="1" i="0" u="none" strike="noStrike" baseline="0">
                <a:solidFill>
                  <a:srgbClr val="000000"/>
                </a:solidFill>
                <a:latin typeface="Calibri"/>
                <a:ea typeface="Calibri"/>
                <a:cs typeface="Calibri"/>
              </a:defRPr>
            </a:pPr>
            <a:r>
              <a:rPr lang="en-GB"/>
              <a:t>MDD Diagnostic Criteria</a:t>
            </a:r>
          </a:p>
        </c:rich>
      </c:tx>
      <c:layout/>
      <c:spPr>
        <a:noFill/>
        <a:ln w="25400">
          <a:noFill/>
        </a:ln>
      </c:spPr>
    </c:title>
    <c:plotArea>
      <c:layout>
        <c:manualLayout>
          <c:layoutTarget val="inner"/>
          <c:xMode val="edge"/>
          <c:yMode val="edge"/>
          <c:x val="0.30185497470489153"/>
          <c:y val="0.12350597609561816"/>
          <c:w val="0.35244519392917467"/>
          <c:h val="0.83266932270916305"/>
        </c:manualLayout>
      </c:layout>
      <c:pieChart>
        <c:varyColors val="1"/>
        <c:ser>
          <c:idx val="0"/>
          <c:order val="0"/>
          <c:tx>
            <c:v>Diagnostic</c:v>
          </c:tx>
          <c:spPr>
            <a:solidFill>
              <a:srgbClr val="4F81BD"/>
            </a:solidFill>
            <a:ln w="25400">
              <a:noFill/>
            </a:ln>
          </c:spPr>
          <c:dPt>
            <c:idx val="0"/>
            <c:spPr>
              <a:solidFill>
                <a:srgbClr val="4572A7"/>
              </a:solidFill>
              <a:ln w="25400">
                <a:noFill/>
              </a:ln>
            </c:spPr>
          </c:dPt>
          <c:dPt>
            <c:idx val="1"/>
            <c:spPr>
              <a:solidFill>
                <a:srgbClr val="AA4643"/>
              </a:solidFill>
              <a:ln w="25400">
                <a:noFill/>
              </a:ln>
            </c:spPr>
          </c:dPt>
          <c:dPt>
            <c:idx val="2"/>
            <c:spPr>
              <a:solidFill>
                <a:srgbClr val="89A54E"/>
              </a:solidFill>
              <a:ln w="25400">
                <a:noFill/>
              </a:ln>
            </c:spPr>
          </c:dPt>
          <c:dPt>
            <c:idx val="3"/>
            <c:spPr>
              <a:solidFill>
                <a:srgbClr val="71588F"/>
              </a:solidFill>
              <a:ln w="25400">
                <a:noFill/>
              </a:ln>
            </c:spPr>
          </c:dPt>
          <c:dPt>
            <c:idx val="4"/>
            <c:spPr>
              <a:solidFill>
                <a:srgbClr val="4198AF"/>
              </a:solidFill>
              <a:ln w="25400">
                <a:noFill/>
              </a:ln>
            </c:spPr>
          </c:dPt>
          <c:dPt>
            <c:idx val="5"/>
            <c:spPr>
              <a:solidFill>
                <a:srgbClr val="DB843D"/>
              </a:solidFill>
              <a:ln w="25400">
                <a:noFill/>
              </a:ln>
            </c:spPr>
          </c:dPt>
          <c:cat>
            <c:strRef>
              <c:f>Database!$BK$11:$BK$16</c:f>
              <c:strCache>
                <c:ptCount val="6"/>
                <c:pt idx="0">
                  <c:v>DSM-III</c:v>
                </c:pt>
                <c:pt idx="1">
                  <c:v>DSM-III-R</c:v>
                </c:pt>
                <c:pt idx="2">
                  <c:v>DSM-IV</c:v>
                </c:pt>
                <c:pt idx="3">
                  <c:v>RDC</c:v>
                </c:pt>
                <c:pt idx="4">
                  <c:v>ICD</c:v>
                </c:pt>
                <c:pt idx="5">
                  <c:v>CCMD</c:v>
                </c:pt>
              </c:strCache>
            </c:strRef>
          </c:cat>
          <c:val>
            <c:numRef>
              <c:f>Database!$BL$11:$BL$16</c:f>
              <c:numCache>
                <c:formatCode>General</c:formatCode>
                <c:ptCount val="6"/>
                <c:pt idx="0">
                  <c:v>13</c:v>
                </c:pt>
                <c:pt idx="1">
                  <c:v>46</c:v>
                </c:pt>
                <c:pt idx="2">
                  <c:v>156</c:v>
                </c:pt>
                <c:pt idx="3">
                  <c:v>4</c:v>
                </c:pt>
                <c:pt idx="4">
                  <c:v>5</c:v>
                </c:pt>
                <c:pt idx="5">
                  <c:v>1</c:v>
                </c:pt>
              </c:numCache>
            </c:numRef>
          </c:val>
        </c:ser>
        <c:firstSliceAng val="0"/>
      </c:pieChart>
      <c:spPr>
        <a:noFill/>
        <a:ln w="25400">
          <a:noFill/>
        </a:ln>
      </c:spPr>
    </c:plotArea>
    <c:legend>
      <c:legendPos val="r"/>
      <c:layout>
        <c:manualLayout>
          <c:xMode val="edge"/>
          <c:yMode val="edge"/>
          <c:x val="0.76907363243635507"/>
          <c:y val="0.30487501789549032"/>
          <c:w val="0.1783329663547866"/>
          <c:h val="0.43027888446215312"/>
        </c:manualLayout>
      </c:layout>
      <c:spPr>
        <a:noFill/>
        <a:ln w="25400">
          <a:noFill/>
        </a:ln>
      </c:spPr>
      <c:txPr>
        <a:bodyPr/>
        <a:lstStyle/>
        <a:p>
          <a:pPr>
            <a:defRPr sz="1400" b="0" i="0" u="none" strike="noStrike" baseline="0">
              <a:solidFill>
                <a:srgbClr val="000000"/>
              </a:solidFill>
              <a:latin typeface="Calibri"/>
              <a:ea typeface="Calibri"/>
              <a:cs typeface="Calibri"/>
            </a:defRPr>
          </a:pPr>
          <a:endParaRPr lang="en-US"/>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320" b="1" i="0" u="none" strike="noStrike" baseline="0">
                <a:solidFill>
                  <a:srgbClr val="000000"/>
                </a:solidFill>
                <a:latin typeface="Calibri"/>
                <a:ea typeface="Calibri"/>
                <a:cs typeface="Calibri"/>
              </a:defRPr>
            </a:pPr>
            <a:r>
              <a:rPr lang="en-GB"/>
              <a:t>Medication used in studies</a:t>
            </a:r>
          </a:p>
        </c:rich>
      </c:tx>
      <c:layout/>
      <c:spPr>
        <a:noFill/>
        <a:ln w="25400">
          <a:noFill/>
        </a:ln>
      </c:spPr>
    </c:title>
    <c:plotArea>
      <c:layout>
        <c:manualLayout>
          <c:layoutTarget val="inner"/>
          <c:xMode val="edge"/>
          <c:yMode val="edge"/>
          <c:x val="8.1290373796858703E-2"/>
          <c:y val="9.062510371220088E-2"/>
          <c:w val="0.90451669891424891"/>
          <c:h val="0.70263508383766082"/>
        </c:manualLayout>
      </c:layout>
      <c:barChart>
        <c:barDir val="col"/>
        <c:grouping val="clustered"/>
        <c:ser>
          <c:idx val="0"/>
          <c:order val="0"/>
          <c:tx>
            <c:v>Medication</c:v>
          </c:tx>
          <c:spPr>
            <a:solidFill>
              <a:srgbClr val="4F81BD"/>
            </a:solidFill>
            <a:ln w="25400">
              <a:noFill/>
            </a:ln>
          </c:spPr>
          <c:cat>
            <c:strRef>
              <c:f>Database!$AL$7:$AS$7</c:f>
              <c:strCache>
                <c:ptCount val="8"/>
                <c:pt idx="0">
                  <c:v>Antidepressants %</c:v>
                </c:pt>
                <c:pt idx="1">
                  <c:v>SSRI %</c:v>
                </c:pt>
                <c:pt idx="2">
                  <c:v>Tricyclic %</c:v>
                </c:pt>
                <c:pt idx="3">
                  <c:v>MAOIs %</c:v>
                </c:pt>
                <c:pt idx="4">
                  <c:v>Other antidepressants %</c:v>
                </c:pt>
                <c:pt idx="5">
                  <c:v>Mood stabilisers %</c:v>
                </c:pt>
                <c:pt idx="6">
                  <c:v>Antipsychotics %</c:v>
                </c:pt>
                <c:pt idx="7">
                  <c:v>Drug free %</c:v>
                </c:pt>
              </c:strCache>
            </c:strRef>
          </c:cat>
          <c:val>
            <c:numRef>
              <c:f>Database!$AL$234:$AS$234</c:f>
              <c:numCache>
                <c:formatCode>0.0</c:formatCode>
                <c:ptCount val="8"/>
                <c:pt idx="0">
                  <c:v>32.880526861950734</c:v>
                </c:pt>
                <c:pt idx="1">
                  <c:v>10.857671769201625</c:v>
                </c:pt>
                <c:pt idx="2">
                  <c:v>6.9389675049770947</c:v>
                </c:pt>
                <c:pt idx="3">
                  <c:v>0.22473399081854961</c:v>
                </c:pt>
                <c:pt idx="4">
                  <c:v>8.8196397790478596</c:v>
                </c:pt>
                <c:pt idx="5">
                  <c:v>3.2226227878401779</c:v>
                </c:pt>
                <c:pt idx="6">
                  <c:v>4.2227225737622733</c:v>
                </c:pt>
                <c:pt idx="7">
                  <c:v>68.496641520942362</c:v>
                </c:pt>
              </c:numCache>
            </c:numRef>
          </c:val>
        </c:ser>
        <c:axId val="143274752"/>
        <c:axId val="143276288"/>
      </c:barChart>
      <c:catAx>
        <c:axId val="143274752"/>
        <c:scaling>
          <c:orientation val="minMax"/>
        </c:scaling>
        <c:axPos val="b"/>
        <c:numFmt formatCode="General" sourceLinked="1"/>
        <c:majorTickMark val="none"/>
        <c:tickLblPos val="nextTo"/>
        <c:spPr>
          <a:ln w="3175">
            <a:solidFill>
              <a:srgbClr val="808080"/>
            </a:solidFill>
            <a:prstDash val="solid"/>
          </a:ln>
        </c:spPr>
        <c:txPr>
          <a:bodyPr rot="-5400000" vert="horz"/>
          <a:lstStyle/>
          <a:p>
            <a:pPr>
              <a:defRPr sz="1100" b="0" i="0" u="none" strike="noStrike" baseline="0">
                <a:solidFill>
                  <a:srgbClr val="000000"/>
                </a:solidFill>
                <a:latin typeface="Calibri"/>
                <a:ea typeface="Calibri"/>
                <a:cs typeface="Calibri"/>
              </a:defRPr>
            </a:pPr>
            <a:endParaRPr lang="en-US"/>
          </a:p>
        </c:txPr>
        <c:crossAx val="143276288"/>
        <c:crosses val="autoZero"/>
        <c:auto val="1"/>
        <c:lblAlgn val="ctr"/>
        <c:lblOffset val="100"/>
        <c:tickMarkSkip val="1"/>
      </c:catAx>
      <c:valAx>
        <c:axId val="143276288"/>
        <c:scaling>
          <c:orientation val="minMax"/>
        </c:scaling>
        <c:axPos val="l"/>
        <c:majorGridlines>
          <c:spPr>
            <a:ln w="3175">
              <a:solidFill>
                <a:srgbClr val="808080"/>
              </a:solidFill>
              <a:prstDash val="solid"/>
            </a:ln>
          </c:spPr>
        </c:majorGridlines>
        <c:title>
          <c:tx>
            <c:rich>
              <a:bodyPr/>
              <a:lstStyle/>
              <a:p>
                <a:pPr>
                  <a:defRPr sz="1100" b="1" i="0" u="none" strike="noStrike" baseline="0">
                    <a:solidFill>
                      <a:srgbClr val="000000"/>
                    </a:solidFill>
                    <a:latin typeface="Calibri"/>
                    <a:ea typeface="Calibri"/>
                    <a:cs typeface="Calibri"/>
                  </a:defRPr>
                </a:pPr>
                <a:r>
                  <a:rPr lang="en-GB"/>
                  <a:t>Mean % per subjects per study</a:t>
                </a:r>
              </a:p>
            </c:rich>
          </c:tx>
          <c:layout/>
          <c:spPr>
            <a:noFill/>
            <a:ln w="25400">
              <a:noFill/>
            </a:ln>
          </c:spPr>
        </c:title>
        <c:numFmt formatCode="0.0" sourceLinked="1"/>
        <c:majorTickMark val="none"/>
        <c:tickLblPos val="nextTo"/>
        <c:spPr>
          <a:ln w="3175">
            <a:solidFill>
              <a:srgbClr val="808080"/>
            </a:solidFill>
            <a:prstDash val="solid"/>
          </a:ln>
        </c:spPr>
        <c:txPr>
          <a:bodyPr rot="0" vert="horz"/>
          <a:lstStyle/>
          <a:p>
            <a:pPr>
              <a:defRPr sz="1100" b="0" i="0" u="none" strike="noStrike" baseline="0">
                <a:solidFill>
                  <a:srgbClr val="000000"/>
                </a:solidFill>
                <a:latin typeface="Calibri"/>
                <a:ea typeface="Calibri"/>
                <a:cs typeface="Calibri"/>
              </a:defRPr>
            </a:pPr>
            <a:endParaRPr lang="en-US"/>
          </a:p>
        </c:txPr>
        <c:crossAx val="143274752"/>
        <c:crosses val="autoZero"/>
        <c:crossBetween val="between"/>
      </c:valAx>
      <c:spPr>
        <a:solidFill>
          <a:srgbClr val="FFFFFF"/>
        </a:solidFill>
        <a:ln w="25400">
          <a:noFill/>
        </a:ln>
      </c:spPr>
    </c:plotArea>
    <c:plotVisOnly val="1"/>
    <c:dispBlanksAs val="gap"/>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Brain!$AG$87:$AG$119</c:f>
                <c:numCache>
                  <c:formatCode>General</c:formatCode>
                  <c:ptCount val="33"/>
                  <c:pt idx="0">
                    <c:v>0.71787748080522995</c:v>
                  </c:pt>
                  <c:pt idx="1">
                    <c:v>0.39473345098668394</c:v>
                  </c:pt>
                  <c:pt idx="2">
                    <c:v>0.42423686020304036</c:v>
                  </c:pt>
                  <c:pt idx="3">
                    <c:v>0.45828147381779921</c:v>
                  </c:pt>
                  <c:pt idx="4">
                    <c:v>0.7604680496375259</c:v>
                  </c:pt>
                  <c:pt idx="5">
                    <c:v>0.67158523483907884</c:v>
                  </c:pt>
                  <c:pt idx="6">
                    <c:v>0.50627110302647038</c:v>
                  </c:pt>
                  <c:pt idx="7">
                    <c:v>0.41836631648766304</c:v>
                  </c:pt>
                  <c:pt idx="8">
                    <c:v>0.56172905787748939</c:v>
                  </c:pt>
                  <c:pt idx="9">
                    <c:v>0.48369505343452779</c:v>
                  </c:pt>
                  <c:pt idx="10">
                    <c:v>0.48126130929164812</c:v>
                  </c:pt>
                  <c:pt idx="11">
                    <c:v>0.672354733671924</c:v>
                  </c:pt>
                  <c:pt idx="12">
                    <c:v>0.41704903843927693</c:v>
                  </c:pt>
                  <c:pt idx="13">
                    <c:v>0.47016587047214409</c:v>
                  </c:pt>
                  <c:pt idx="14">
                    <c:v>0.59655999850253372</c:v>
                  </c:pt>
                  <c:pt idx="15">
                    <c:v>0.6108823956913948</c:v>
                  </c:pt>
                  <c:pt idx="16">
                    <c:v>0.60468337689151663</c:v>
                  </c:pt>
                  <c:pt idx="17">
                    <c:v>0.68924458023088875</c:v>
                  </c:pt>
                  <c:pt idx="18">
                    <c:v>0.64318655023946536</c:v>
                  </c:pt>
                  <c:pt idx="19">
                    <c:v>0.20906935515169181</c:v>
                  </c:pt>
                  <c:pt idx="20">
                    <c:v>0.44340457755451768</c:v>
                  </c:pt>
                  <c:pt idx="21">
                    <c:v>0.53323651739363964</c:v>
                  </c:pt>
                  <c:pt idx="22">
                    <c:v>0.53959033650103116</c:v>
                  </c:pt>
                  <c:pt idx="23">
                    <c:v>0.41736716199578305</c:v>
                  </c:pt>
                  <c:pt idx="24">
                    <c:v>0.59766043076127839</c:v>
                  </c:pt>
                  <c:pt idx="25">
                    <c:v>0.59792583434731783</c:v>
                  </c:pt>
                  <c:pt idx="26">
                    <c:v>0.76695110205656303</c:v>
                  </c:pt>
                  <c:pt idx="27">
                    <c:v>0.75958143197439754</c:v>
                  </c:pt>
                  <c:pt idx="28">
                    <c:v>0.66508499040193558</c:v>
                  </c:pt>
                  <c:pt idx="29">
                    <c:v>0.66583700796935652</c:v>
                  </c:pt>
                  <c:pt idx="30">
                    <c:v>0.85143641850643736</c:v>
                  </c:pt>
                  <c:pt idx="31">
                    <c:v>0.67188903608024231</c:v>
                  </c:pt>
                  <c:pt idx="32">
                    <c:v>0.49223911171396245</c:v>
                  </c:pt>
                </c:numCache>
              </c:numRef>
            </c:plus>
            <c:minus>
              <c:numRef>
                <c:f>Brain!$AH$87:$AH$119</c:f>
                <c:numCache>
                  <c:formatCode>General</c:formatCode>
                  <c:ptCount val="33"/>
                  <c:pt idx="0">
                    <c:v>0.71787748080522995</c:v>
                  </c:pt>
                  <c:pt idx="1">
                    <c:v>0.39473345098668394</c:v>
                  </c:pt>
                  <c:pt idx="2">
                    <c:v>0.42423686020304036</c:v>
                  </c:pt>
                  <c:pt idx="3">
                    <c:v>0.45828147381779921</c:v>
                  </c:pt>
                  <c:pt idx="4">
                    <c:v>0.7604680496375259</c:v>
                  </c:pt>
                  <c:pt idx="5">
                    <c:v>0.67158523483907884</c:v>
                  </c:pt>
                  <c:pt idx="6">
                    <c:v>0.50627110302647038</c:v>
                  </c:pt>
                  <c:pt idx="7">
                    <c:v>0.41836631648766304</c:v>
                  </c:pt>
                  <c:pt idx="8">
                    <c:v>0.56172905787748939</c:v>
                  </c:pt>
                  <c:pt idx="9">
                    <c:v>0.48369505343452779</c:v>
                  </c:pt>
                  <c:pt idx="10">
                    <c:v>0.48126130929164812</c:v>
                  </c:pt>
                  <c:pt idx="11">
                    <c:v>0.672354733671924</c:v>
                  </c:pt>
                  <c:pt idx="12">
                    <c:v>0.41704903843927693</c:v>
                  </c:pt>
                  <c:pt idx="13">
                    <c:v>0.47016587047214409</c:v>
                  </c:pt>
                  <c:pt idx="14">
                    <c:v>0.59655999850253372</c:v>
                  </c:pt>
                  <c:pt idx="15">
                    <c:v>0.6108823956913948</c:v>
                  </c:pt>
                  <c:pt idx="16">
                    <c:v>0.60468337689151663</c:v>
                  </c:pt>
                  <c:pt idx="17">
                    <c:v>0.68924458023088875</c:v>
                  </c:pt>
                  <c:pt idx="18">
                    <c:v>0.64318655023946536</c:v>
                  </c:pt>
                  <c:pt idx="19">
                    <c:v>0.20906935515169181</c:v>
                  </c:pt>
                  <c:pt idx="20">
                    <c:v>0.44340457755451768</c:v>
                  </c:pt>
                  <c:pt idx="21">
                    <c:v>0.53323651739363964</c:v>
                  </c:pt>
                  <c:pt idx="22">
                    <c:v>0.53959033650103116</c:v>
                  </c:pt>
                  <c:pt idx="23">
                    <c:v>0.41736716199578305</c:v>
                  </c:pt>
                  <c:pt idx="24">
                    <c:v>0.59766043076127839</c:v>
                  </c:pt>
                  <c:pt idx="25">
                    <c:v>0.59792583434731783</c:v>
                  </c:pt>
                  <c:pt idx="26">
                    <c:v>0.76695110205656303</c:v>
                  </c:pt>
                  <c:pt idx="27">
                    <c:v>0.75958143197439754</c:v>
                  </c:pt>
                  <c:pt idx="28">
                    <c:v>0.66508499040193558</c:v>
                  </c:pt>
                  <c:pt idx="29">
                    <c:v>0.66583700796935652</c:v>
                  </c:pt>
                  <c:pt idx="30">
                    <c:v>0.85143641850643736</c:v>
                  </c:pt>
                  <c:pt idx="31">
                    <c:v>0.67188903608024231</c:v>
                  </c:pt>
                  <c:pt idx="32">
                    <c:v>0.49223911171396245</c:v>
                  </c:pt>
                </c:numCache>
              </c:numRef>
            </c:minus>
            <c:spPr>
              <a:ln w="12700">
                <a:solidFill>
                  <a:srgbClr val="000000"/>
                </a:solidFill>
                <a:prstDash val="solid"/>
              </a:ln>
            </c:spPr>
          </c:errBars>
          <c:xVal>
            <c:numRef>
              <c:f>Brain!$AF$87:$AF$119</c:f>
              <c:numCache>
                <c:formatCode>0.00</c:formatCode>
                <c:ptCount val="33"/>
                <c:pt idx="0">
                  <c:v>-0.50779255361616604</c:v>
                </c:pt>
                <c:pt idx="1">
                  <c:v>-0.2744571474557766</c:v>
                </c:pt>
                <c:pt idx="2">
                  <c:v>0.13456777200461797</c:v>
                </c:pt>
                <c:pt idx="3">
                  <c:v>-0.51624796995177846</c:v>
                </c:pt>
                <c:pt idx="4">
                  <c:v>-0.58041414146618597</c:v>
                </c:pt>
                <c:pt idx="5">
                  <c:v>0.21430064848621075</c:v>
                </c:pt>
                <c:pt idx="6">
                  <c:v>-7.7116664217648956E-2</c:v>
                </c:pt>
                <c:pt idx="7">
                  <c:v>0.42248194307410064</c:v>
                </c:pt>
                <c:pt idx="8">
                  <c:v>-0.58184183855999072</c:v>
                </c:pt>
                <c:pt idx="9">
                  <c:v>8.4890178127468421E-2</c:v>
                </c:pt>
                <c:pt idx="10">
                  <c:v>0.15560896311081962</c:v>
                </c:pt>
                <c:pt idx="11">
                  <c:v>4.1101543276127334E-2</c:v>
                </c:pt>
                <c:pt idx="12">
                  <c:v>-6.7551023935668933E-2</c:v>
                </c:pt>
                <c:pt idx="13">
                  <c:v>-0.35200518995753749</c:v>
                </c:pt>
                <c:pt idx="14">
                  <c:v>0.35150945230510405</c:v>
                </c:pt>
                <c:pt idx="15">
                  <c:v>-0.66321022029089971</c:v>
                </c:pt>
                <c:pt idx="16">
                  <c:v>0.26239686530331308</c:v>
                </c:pt>
                <c:pt idx="17">
                  <c:v>0.28241044239898438</c:v>
                </c:pt>
                <c:pt idx="18">
                  <c:v>-0.62318077339060907</c:v>
                </c:pt>
                <c:pt idx="19">
                  <c:v>8.0481121221466417E-2</c:v>
                </c:pt>
                <c:pt idx="20">
                  <c:v>6.489133203026777E-2</c:v>
                </c:pt>
                <c:pt idx="21">
                  <c:v>9.6723339701006245E-2</c:v>
                </c:pt>
                <c:pt idx="22">
                  <c:v>0.16931569819873457</c:v>
                </c:pt>
                <c:pt idx="23">
                  <c:v>4.4446703585008476E-2</c:v>
                </c:pt>
                <c:pt idx="24">
                  <c:v>-0.10115136116229448</c:v>
                </c:pt>
                <c:pt idx="25">
                  <c:v>-0.13201377023022842</c:v>
                </c:pt>
                <c:pt idx="26">
                  <c:v>-0.40305622327492879</c:v>
                </c:pt>
                <c:pt idx="27">
                  <c:v>-9.9106230566544926E-2</c:v>
                </c:pt>
                <c:pt idx="28">
                  <c:v>-0.37359979292592471</c:v>
                </c:pt>
                <c:pt idx="29">
                  <c:v>-3.7582604873839291E-2</c:v>
                </c:pt>
                <c:pt idx="30">
                  <c:v>0.15610676592764441</c:v>
                </c:pt>
                <c:pt idx="31">
                  <c:v>-0.22918263635296146</c:v>
                </c:pt>
                <c:pt idx="32">
                  <c:v>-4.6910360063579744E-2</c:v>
                </c:pt>
              </c:numCache>
            </c:numRef>
          </c:xVal>
          <c:yVal>
            <c:numRef>
              <c:f>Brain!$G$87:$G$119</c:f>
              <c:numCache>
                <c:formatCode>General</c:formatCode>
                <c:ptCount val="33"/>
                <c:pt idx="0">
                  <c:v>33</c:v>
                </c:pt>
                <c:pt idx="1">
                  <c:v>32</c:v>
                </c:pt>
                <c:pt idx="2">
                  <c:v>31</c:v>
                </c:pt>
                <c:pt idx="3">
                  <c:v>30</c:v>
                </c:pt>
                <c:pt idx="4">
                  <c:v>29</c:v>
                </c:pt>
                <c:pt idx="5">
                  <c:v>28</c:v>
                </c:pt>
                <c:pt idx="6">
                  <c:v>27</c:v>
                </c:pt>
                <c:pt idx="7">
                  <c:v>26</c:v>
                </c:pt>
                <c:pt idx="8">
                  <c:v>25</c:v>
                </c:pt>
                <c:pt idx="9">
                  <c:v>24</c:v>
                </c:pt>
                <c:pt idx="10">
                  <c:v>23</c:v>
                </c:pt>
                <c:pt idx="11">
                  <c:v>22</c:v>
                </c:pt>
                <c:pt idx="12">
                  <c:v>21</c:v>
                </c:pt>
                <c:pt idx="13">
                  <c:v>20</c:v>
                </c:pt>
                <c:pt idx="14">
                  <c:v>19</c:v>
                </c:pt>
                <c:pt idx="15">
                  <c:v>18</c:v>
                </c:pt>
                <c:pt idx="16">
                  <c:v>17</c:v>
                </c:pt>
                <c:pt idx="17">
                  <c:v>16</c:v>
                </c:pt>
                <c:pt idx="18">
                  <c:v>15</c:v>
                </c:pt>
                <c:pt idx="19">
                  <c:v>14</c:v>
                </c:pt>
                <c:pt idx="20">
                  <c:v>13</c:v>
                </c:pt>
                <c:pt idx="21">
                  <c:v>12</c:v>
                </c:pt>
                <c:pt idx="22">
                  <c:v>11</c:v>
                </c:pt>
                <c:pt idx="23">
                  <c:v>10</c:v>
                </c:pt>
                <c:pt idx="24">
                  <c:v>9</c:v>
                </c:pt>
                <c:pt idx="25">
                  <c:v>8</c:v>
                </c:pt>
                <c:pt idx="26">
                  <c:v>7</c:v>
                </c:pt>
                <c:pt idx="27">
                  <c:v>6</c:v>
                </c:pt>
                <c:pt idx="28">
                  <c:v>5</c:v>
                </c:pt>
                <c:pt idx="29">
                  <c:v>4</c:v>
                </c:pt>
                <c:pt idx="30">
                  <c:v>3</c:v>
                </c:pt>
                <c:pt idx="31">
                  <c:v>2</c:v>
                </c:pt>
                <c:pt idx="3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Brain!$AH$127</c:f>
                <c:numCache>
                  <c:formatCode>General</c:formatCode>
                  <c:ptCount val="1"/>
                  <c:pt idx="0">
                    <c:v>8.7318895527982263E-2</c:v>
                  </c:pt>
                </c:numCache>
              </c:numRef>
            </c:plus>
            <c:minus>
              <c:numRef>
                <c:f>Brain!$AH$128</c:f>
                <c:numCache>
                  <c:formatCode>General</c:formatCode>
                  <c:ptCount val="1"/>
                  <c:pt idx="0">
                    <c:v>8.7318895527982263E-2</c:v>
                  </c:pt>
                </c:numCache>
              </c:numRef>
            </c:minus>
            <c:spPr>
              <a:ln w="12700">
                <a:solidFill>
                  <a:srgbClr val="000000"/>
                </a:solidFill>
                <a:prstDash val="solid"/>
              </a:ln>
            </c:spPr>
          </c:errBars>
          <c:xVal>
            <c:numRef>
              <c:f>Brain!$AH$126</c:f>
              <c:numCache>
                <c:formatCode>General</c:formatCode>
                <c:ptCount val="1"/>
                <c:pt idx="0">
                  <c:v>-4.6755759515829796E-2</c:v>
                </c:pt>
              </c:numCache>
            </c:numRef>
          </c:xVal>
          <c:yVal>
            <c:numRef>
              <c:f>Brain!$I$127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Brain!$AH$131</c:f>
                <c:numCache>
                  <c:formatCode>General</c:formatCode>
                  <c:ptCount val="1"/>
                  <c:pt idx="0">
                    <c:v>9.7021391606949656E-2</c:v>
                  </c:pt>
                </c:numCache>
              </c:numRef>
            </c:plus>
            <c:minus>
              <c:numRef>
                <c:f>Brain!$AH$132</c:f>
                <c:numCache>
                  <c:formatCode>General</c:formatCode>
                  <c:ptCount val="1"/>
                  <c:pt idx="0">
                    <c:v>9.7021391606949656E-2</c:v>
                  </c:pt>
                </c:numCache>
              </c:numRef>
            </c:minus>
            <c:spPr>
              <a:ln w="12700">
                <a:solidFill>
                  <a:srgbClr val="000000"/>
                </a:solidFill>
                <a:prstDash val="solid"/>
              </a:ln>
            </c:spPr>
          </c:errBars>
          <c:xVal>
            <c:numRef>
              <c:f>Brain!$AH$130</c:f>
              <c:numCache>
                <c:formatCode>General</c:formatCode>
                <c:ptCount val="1"/>
                <c:pt idx="0">
                  <c:v>-5.8573305003196678E-2</c:v>
                </c:pt>
              </c:numCache>
            </c:numRef>
          </c:xVal>
          <c:yVal>
            <c:numRef>
              <c:f>Brain!$I$138</c:f>
              <c:numCache>
                <c:formatCode>General</c:formatCode>
                <c:ptCount val="1"/>
                <c:pt idx="0">
                  <c:v>-3</c:v>
                </c:pt>
              </c:numCache>
            </c:numRef>
          </c:yVal>
        </c:ser>
        <c:axId val="104979840"/>
        <c:axId val="104985728"/>
      </c:scatterChart>
      <c:valAx>
        <c:axId val="104979840"/>
        <c:scaling>
          <c:orientation val="minMax"/>
          <c:max val="2"/>
          <c:min val="-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4985728"/>
        <c:crosses val="autoZero"/>
        <c:crossBetween val="midCat"/>
      </c:valAx>
      <c:valAx>
        <c:axId val="104985728"/>
        <c:scaling>
          <c:orientation val="minMax"/>
        </c:scaling>
        <c:axPos val="l"/>
        <c:numFmt formatCode="General" sourceLinked="1"/>
        <c:majorTickMark val="none"/>
        <c:tickLblPos val="none"/>
        <c:spPr>
          <a:ln w="3175">
            <a:solidFill>
              <a:srgbClr val="000000"/>
            </a:solidFill>
            <a:prstDash val="solid"/>
          </a:ln>
        </c:spPr>
        <c:crossAx val="1049798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Diagnostic System</a:t>
            </a:r>
          </a:p>
        </c:rich>
      </c:tx>
      <c:layout/>
      <c:spPr>
        <a:noFill/>
        <a:ln w="25400">
          <a:noFill/>
        </a:ln>
      </c:spPr>
    </c:title>
    <c:plotArea>
      <c:layout>
        <c:manualLayout>
          <c:layoutTarget val="inner"/>
          <c:xMode val="edge"/>
          <c:yMode val="edge"/>
          <c:x val="7.8571401167898597E-2"/>
          <c:y val="0.12274357412746202"/>
          <c:w val="0.89285683145339434"/>
          <c:h val="0.68230986794383564"/>
        </c:manualLayout>
      </c:layout>
      <c:scatterChart>
        <c:scatterStyle val="lineMarker"/>
        <c:ser>
          <c:idx val="0"/>
          <c:order val="0"/>
          <c:spPr>
            <a:ln w="28575">
              <a:noFill/>
            </a:ln>
          </c:spPr>
          <c:marker>
            <c:symbol val="diamond"/>
            <c:size val="7"/>
            <c:spPr>
              <a:solidFill>
                <a:srgbClr val="4F81BD"/>
              </a:solidFill>
              <a:ln>
                <a:solidFill>
                  <a:srgbClr val="666699"/>
                </a:solidFill>
                <a:prstDash val="solid"/>
              </a:ln>
            </c:spPr>
          </c:marker>
          <c:xVal>
            <c:numRef>
              <c:f>Database!$F$8:$F$232</c:f>
              <c:numCache>
                <c:formatCode>General</c:formatCode>
                <c:ptCount val="225"/>
                <c:pt idx="0">
                  <c:v>1983</c:v>
                </c:pt>
                <c:pt idx="1">
                  <c:v>1985</c:v>
                </c:pt>
                <c:pt idx="2">
                  <c:v>1987</c:v>
                </c:pt>
                <c:pt idx="3">
                  <c:v>1988</c:v>
                </c:pt>
                <c:pt idx="4">
                  <c:v>1989</c:v>
                </c:pt>
                <c:pt idx="5">
                  <c:v>1990</c:v>
                </c:pt>
                <c:pt idx="6">
                  <c:v>1990</c:v>
                </c:pt>
                <c:pt idx="7">
                  <c:v>1990</c:v>
                </c:pt>
                <c:pt idx="8">
                  <c:v>1990</c:v>
                </c:pt>
                <c:pt idx="9">
                  <c:v>1990</c:v>
                </c:pt>
                <c:pt idx="10">
                  <c:v>1991</c:v>
                </c:pt>
                <c:pt idx="11">
                  <c:v>1991</c:v>
                </c:pt>
                <c:pt idx="12">
                  <c:v>1991</c:v>
                </c:pt>
                <c:pt idx="13">
                  <c:v>1991</c:v>
                </c:pt>
                <c:pt idx="14">
                  <c:v>1991</c:v>
                </c:pt>
                <c:pt idx="15">
                  <c:v>1991</c:v>
                </c:pt>
                <c:pt idx="16">
                  <c:v>1991</c:v>
                </c:pt>
                <c:pt idx="17">
                  <c:v>1992</c:v>
                </c:pt>
                <c:pt idx="18">
                  <c:v>1992</c:v>
                </c:pt>
                <c:pt idx="19">
                  <c:v>1992</c:v>
                </c:pt>
                <c:pt idx="20">
                  <c:v>1992</c:v>
                </c:pt>
                <c:pt idx="21">
                  <c:v>1992</c:v>
                </c:pt>
                <c:pt idx="22">
                  <c:v>1992</c:v>
                </c:pt>
                <c:pt idx="23">
                  <c:v>1993</c:v>
                </c:pt>
                <c:pt idx="24">
                  <c:v>1993</c:v>
                </c:pt>
                <c:pt idx="25">
                  <c:v>1993</c:v>
                </c:pt>
                <c:pt idx="26">
                  <c:v>1993</c:v>
                </c:pt>
                <c:pt idx="27">
                  <c:v>1994</c:v>
                </c:pt>
                <c:pt idx="28">
                  <c:v>1994</c:v>
                </c:pt>
                <c:pt idx="29">
                  <c:v>1995</c:v>
                </c:pt>
                <c:pt idx="30">
                  <c:v>1995</c:v>
                </c:pt>
                <c:pt idx="31">
                  <c:v>1995</c:v>
                </c:pt>
                <c:pt idx="32">
                  <c:v>1995</c:v>
                </c:pt>
                <c:pt idx="33">
                  <c:v>1995</c:v>
                </c:pt>
                <c:pt idx="34">
                  <c:v>1996</c:v>
                </c:pt>
                <c:pt idx="35">
                  <c:v>1996</c:v>
                </c:pt>
                <c:pt idx="36">
                  <c:v>1996</c:v>
                </c:pt>
                <c:pt idx="37">
                  <c:v>1996</c:v>
                </c:pt>
                <c:pt idx="38">
                  <c:v>1996</c:v>
                </c:pt>
                <c:pt idx="39">
                  <c:v>1996</c:v>
                </c:pt>
                <c:pt idx="40">
                  <c:v>1996</c:v>
                </c:pt>
                <c:pt idx="41">
                  <c:v>1997</c:v>
                </c:pt>
                <c:pt idx="42">
                  <c:v>1997</c:v>
                </c:pt>
                <c:pt idx="43">
                  <c:v>1997</c:v>
                </c:pt>
                <c:pt idx="44">
                  <c:v>1997</c:v>
                </c:pt>
                <c:pt idx="45">
                  <c:v>1997</c:v>
                </c:pt>
                <c:pt idx="46">
                  <c:v>1997</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2000</c:v>
                </c:pt>
                <c:pt idx="62">
                  <c:v>2000</c:v>
                </c:pt>
                <c:pt idx="63">
                  <c:v>2000</c:v>
                </c:pt>
                <c:pt idx="64">
                  <c:v>2000</c:v>
                </c:pt>
                <c:pt idx="65">
                  <c:v>2000</c:v>
                </c:pt>
                <c:pt idx="66">
                  <c:v>2000</c:v>
                </c:pt>
                <c:pt idx="67">
                  <c:v>2000</c:v>
                </c:pt>
                <c:pt idx="68">
                  <c:v>2001</c:v>
                </c:pt>
                <c:pt idx="69">
                  <c:v>2001</c:v>
                </c:pt>
                <c:pt idx="70">
                  <c:v>2001</c:v>
                </c:pt>
                <c:pt idx="71">
                  <c:v>2001</c:v>
                </c:pt>
                <c:pt idx="72">
                  <c:v>2001</c:v>
                </c:pt>
                <c:pt idx="73">
                  <c:v>2001</c:v>
                </c:pt>
                <c:pt idx="74">
                  <c:v>2001</c:v>
                </c:pt>
                <c:pt idx="75">
                  <c:v>2001</c:v>
                </c:pt>
                <c:pt idx="76">
                  <c:v>2002</c:v>
                </c:pt>
                <c:pt idx="77">
                  <c:v>2002</c:v>
                </c:pt>
                <c:pt idx="78">
                  <c:v>2002</c:v>
                </c:pt>
                <c:pt idx="79">
                  <c:v>2002</c:v>
                </c:pt>
                <c:pt idx="80">
                  <c:v>2002</c:v>
                </c:pt>
                <c:pt idx="81">
                  <c:v>2002</c:v>
                </c:pt>
                <c:pt idx="82">
                  <c:v>2002</c:v>
                </c:pt>
                <c:pt idx="83">
                  <c:v>2002</c:v>
                </c:pt>
                <c:pt idx="84">
                  <c:v>2002</c:v>
                </c:pt>
                <c:pt idx="85">
                  <c:v>2002</c:v>
                </c:pt>
                <c:pt idx="86">
                  <c:v>2002</c:v>
                </c:pt>
                <c:pt idx="87">
                  <c:v>2002</c:v>
                </c:pt>
                <c:pt idx="88">
                  <c:v>2003</c:v>
                </c:pt>
                <c:pt idx="89">
                  <c:v>2003</c:v>
                </c:pt>
                <c:pt idx="90">
                  <c:v>2003</c:v>
                </c:pt>
                <c:pt idx="91">
                  <c:v>2003</c:v>
                </c:pt>
                <c:pt idx="92">
                  <c:v>2003</c:v>
                </c:pt>
                <c:pt idx="93">
                  <c:v>2003</c:v>
                </c:pt>
                <c:pt idx="94">
                  <c:v>2003</c:v>
                </c:pt>
                <c:pt idx="95">
                  <c:v>2003</c:v>
                </c:pt>
                <c:pt idx="96">
                  <c:v>2003</c:v>
                </c:pt>
                <c:pt idx="97">
                  <c:v>2003</c:v>
                </c:pt>
                <c:pt idx="98">
                  <c:v>2003</c:v>
                </c:pt>
                <c:pt idx="99">
                  <c:v>2003</c:v>
                </c:pt>
                <c:pt idx="100">
                  <c:v>2003</c:v>
                </c:pt>
                <c:pt idx="101">
                  <c:v>2003</c:v>
                </c:pt>
                <c:pt idx="102">
                  <c:v>2003</c:v>
                </c:pt>
                <c:pt idx="103">
                  <c:v>2003</c:v>
                </c:pt>
                <c:pt idx="104">
                  <c:v>2003</c:v>
                </c:pt>
                <c:pt idx="105">
                  <c:v>2004</c:v>
                </c:pt>
                <c:pt idx="106">
                  <c:v>2004</c:v>
                </c:pt>
                <c:pt idx="107">
                  <c:v>2004</c:v>
                </c:pt>
                <c:pt idx="108">
                  <c:v>2004</c:v>
                </c:pt>
                <c:pt idx="109">
                  <c:v>2004</c:v>
                </c:pt>
                <c:pt idx="110">
                  <c:v>2004</c:v>
                </c:pt>
                <c:pt idx="111">
                  <c:v>2004</c:v>
                </c:pt>
                <c:pt idx="112">
                  <c:v>2004</c:v>
                </c:pt>
                <c:pt idx="113">
                  <c:v>2004</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2005</c:v>
                </c:pt>
                <c:pt idx="139">
                  <c:v>2005</c:v>
                </c:pt>
                <c:pt idx="140">
                  <c:v>2006</c:v>
                </c:pt>
                <c:pt idx="141">
                  <c:v>2006</c:v>
                </c:pt>
                <c:pt idx="142">
                  <c:v>2006</c:v>
                </c:pt>
                <c:pt idx="143">
                  <c:v>2006</c:v>
                </c:pt>
                <c:pt idx="144">
                  <c:v>2006</c:v>
                </c:pt>
                <c:pt idx="145">
                  <c:v>2006</c:v>
                </c:pt>
                <c:pt idx="146">
                  <c:v>2006</c:v>
                </c:pt>
                <c:pt idx="147">
                  <c:v>2006</c:v>
                </c:pt>
                <c:pt idx="148">
                  <c:v>2006</c:v>
                </c:pt>
                <c:pt idx="149">
                  <c:v>2006</c:v>
                </c:pt>
                <c:pt idx="150">
                  <c:v>2006</c:v>
                </c:pt>
                <c:pt idx="151">
                  <c:v>2006</c:v>
                </c:pt>
                <c:pt idx="152">
                  <c:v>2006</c:v>
                </c:pt>
                <c:pt idx="153">
                  <c:v>2006</c:v>
                </c:pt>
                <c:pt idx="154">
                  <c:v>2006</c:v>
                </c:pt>
                <c:pt idx="155">
                  <c:v>2006</c:v>
                </c:pt>
                <c:pt idx="156">
                  <c:v>2007</c:v>
                </c:pt>
                <c:pt idx="157">
                  <c:v>2007</c:v>
                </c:pt>
                <c:pt idx="158">
                  <c:v>2007</c:v>
                </c:pt>
                <c:pt idx="159">
                  <c:v>2007</c:v>
                </c:pt>
                <c:pt idx="160">
                  <c:v>2007</c:v>
                </c:pt>
                <c:pt idx="161">
                  <c:v>2007</c:v>
                </c:pt>
                <c:pt idx="162">
                  <c:v>2007</c:v>
                </c:pt>
                <c:pt idx="163">
                  <c:v>2007</c:v>
                </c:pt>
                <c:pt idx="164">
                  <c:v>2007</c:v>
                </c:pt>
                <c:pt idx="165">
                  <c:v>2007</c:v>
                </c:pt>
                <c:pt idx="166">
                  <c:v>2007</c:v>
                </c:pt>
                <c:pt idx="167">
                  <c:v>2007</c:v>
                </c:pt>
                <c:pt idx="168">
                  <c:v>2008</c:v>
                </c:pt>
                <c:pt idx="169">
                  <c:v>2008</c:v>
                </c:pt>
                <c:pt idx="170">
                  <c:v>2008</c:v>
                </c:pt>
                <c:pt idx="171">
                  <c:v>2008</c:v>
                </c:pt>
                <c:pt idx="172">
                  <c:v>2008</c:v>
                </c:pt>
                <c:pt idx="173">
                  <c:v>2008</c:v>
                </c:pt>
                <c:pt idx="174">
                  <c:v>2008</c:v>
                </c:pt>
                <c:pt idx="175">
                  <c:v>2008</c:v>
                </c:pt>
                <c:pt idx="176">
                  <c:v>2008</c:v>
                </c:pt>
                <c:pt idx="177">
                  <c:v>2008</c:v>
                </c:pt>
                <c:pt idx="178">
                  <c:v>2008</c:v>
                </c:pt>
                <c:pt idx="179">
                  <c:v>2008</c:v>
                </c:pt>
                <c:pt idx="180">
                  <c:v>2008</c:v>
                </c:pt>
                <c:pt idx="181">
                  <c:v>2008</c:v>
                </c:pt>
                <c:pt idx="182">
                  <c:v>2008</c:v>
                </c:pt>
                <c:pt idx="183">
                  <c:v>2008</c:v>
                </c:pt>
                <c:pt idx="184">
                  <c:v>2008</c:v>
                </c:pt>
                <c:pt idx="185">
                  <c:v>2008</c:v>
                </c:pt>
                <c:pt idx="186">
                  <c:v>2008</c:v>
                </c:pt>
                <c:pt idx="187">
                  <c:v>2008</c:v>
                </c:pt>
                <c:pt idx="188">
                  <c:v>2008</c:v>
                </c:pt>
                <c:pt idx="189">
                  <c:v>2008</c:v>
                </c:pt>
                <c:pt idx="190">
                  <c:v>2008</c:v>
                </c:pt>
                <c:pt idx="191">
                  <c:v>2008</c:v>
                </c:pt>
                <c:pt idx="192">
                  <c:v>2008</c:v>
                </c:pt>
                <c:pt idx="193">
                  <c:v>2008</c:v>
                </c:pt>
                <c:pt idx="194">
                  <c:v>2008</c:v>
                </c:pt>
                <c:pt idx="195">
                  <c:v>2009</c:v>
                </c:pt>
                <c:pt idx="196">
                  <c:v>2009</c:v>
                </c:pt>
                <c:pt idx="197">
                  <c:v>2009</c:v>
                </c:pt>
                <c:pt idx="198">
                  <c:v>2009</c:v>
                </c:pt>
                <c:pt idx="199">
                  <c:v>2009</c:v>
                </c:pt>
                <c:pt idx="200">
                  <c:v>2009</c:v>
                </c:pt>
                <c:pt idx="201">
                  <c:v>2009</c:v>
                </c:pt>
                <c:pt idx="202">
                  <c:v>2009</c:v>
                </c:pt>
                <c:pt idx="203">
                  <c:v>2009</c:v>
                </c:pt>
                <c:pt idx="204">
                  <c:v>2009</c:v>
                </c:pt>
                <c:pt idx="205">
                  <c:v>2009</c:v>
                </c:pt>
                <c:pt idx="206">
                  <c:v>2009</c:v>
                </c:pt>
                <c:pt idx="207">
                  <c:v>2009</c:v>
                </c:pt>
                <c:pt idx="208">
                  <c:v>2009</c:v>
                </c:pt>
                <c:pt idx="209">
                  <c:v>2009</c:v>
                </c:pt>
                <c:pt idx="210">
                  <c:v>2009</c:v>
                </c:pt>
                <c:pt idx="211">
                  <c:v>2009</c:v>
                </c:pt>
                <c:pt idx="212">
                  <c:v>2009</c:v>
                </c:pt>
                <c:pt idx="213">
                  <c:v>2009</c:v>
                </c:pt>
                <c:pt idx="214">
                  <c:v>2009</c:v>
                </c:pt>
                <c:pt idx="215">
                  <c:v>2009</c:v>
                </c:pt>
                <c:pt idx="216">
                  <c:v>2009</c:v>
                </c:pt>
                <c:pt idx="217">
                  <c:v>2009</c:v>
                </c:pt>
                <c:pt idx="218">
                  <c:v>2009</c:v>
                </c:pt>
                <c:pt idx="219">
                  <c:v>2009</c:v>
                </c:pt>
                <c:pt idx="220">
                  <c:v>2010</c:v>
                </c:pt>
                <c:pt idx="221">
                  <c:v>2010</c:v>
                </c:pt>
                <c:pt idx="222">
                  <c:v>2010</c:v>
                </c:pt>
                <c:pt idx="223">
                  <c:v>2010</c:v>
                </c:pt>
                <c:pt idx="224">
                  <c:v>2010</c:v>
                </c:pt>
              </c:numCache>
            </c:numRef>
          </c:xVal>
          <c:yVal>
            <c:numRef>
              <c:f>Database!$K$8:$K$232</c:f>
              <c:numCache>
                <c:formatCode>General</c:formatCode>
                <c:ptCount val="225"/>
                <c:pt idx="0">
                  <c:v>2</c:v>
                </c:pt>
                <c:pt idx="1">
                  <c:v>2</c:v>
                </c:pt>
                <c:pt idx="2">
                  <c:v>2</c:v>
                </c:pt>
                <c:pt idx="3">
                  <c:v>2</c:v>
                </c:pt>
                <c:pt idx="4">
                  <c:v>2</c:v>
                </c:pt>
                <c:pt idx="5">
                  <c:v>2</c:v>
                </c:pt>
                <c:pt idx="6">
                  <c:v>2</c:v>
                </c:pt>
                <c:pt idx="7">
                  <c:v>1</c:v>
                </c:pt>
                <c:pt idx="8">
                  <c:v>1</c:v>
                </c:pt>
                <c:pt idx="9">
                  <c:v>3</c:v>
                </c:pt>
                <c:pt idx="10">
                  <c:v>3</c:v>
                </c:pt>
                <c:pt idx="11">
                  <c:v>3</c:v>
                </c:pt>
                <c:pt idx="12">
                  <c:v>3</c:v>
                </c:pt>
                <c:pt idx="13">
                  <c:v>2</c:v>
                </c:pt>
                <c:pt idx="14">
                  <c:v>2</c:v>
                </c:pt>
                <c:pt idx="15">
                  <c:v>3</c:v>
                </c:pt>
                <c:pt idx="16">
                  <c:v>3</c:v>
                </c:pt>
                <c:pt idx="17">
                  <c:v>3</c:v>
                </c:pt>
                <c:pt idx="18">
                  <c:v>3</c:v>
                </c:pt>
                <c:pt idx="19">
                  <c:v>2</c:v>
                </c:pt>
                <c:pt idx="20">
                  <c:v>3</c:v>
                </c:pt>
                <c:pt idx="21">
                  <c:v>1</c:v>
                </c:pt>
                <c:pt idx="22">
                  <c:v>2</c:v>
                </c:pt>
                <c:pt idx="23">
                  <c:v>2</c:v>
                </c:pt>
                <c:pt idx="24">
                  <c:v>2</c:v>
                </c:pt>
                <c:pt idx="25">
                  <c:v>3</c:v>
                </c:pt>
                <c:pt idx="26">
                  <c:v>3</c:v>
                </c:pt>
                <c:pt idx="27">
                  <c:v>3</c:v>
                </c:pt>
                <c:pt idx="28">
                  <c:v>3</c:v>
                </c:pt>
                <c:pt idx="29">
                  <c:v>3</c:v>
                </c:pt>
                <c:pt idx="30">
                  <c:v>3</c:v>
                </c:pt>
                <c:pt idx="31">
                  <c:v>3</c:v>
                </c:pt>
                <c:pt idx="32">
                  <c:v>1</c:v>
                </c:pt>
                <c:pt idx="33">
                  <c:v>3</c:v>
                </c:pt>
                <c:pt idx="34">
                  <c:v>3</c:v>
                </c:pt>
                <c:pt idx="35">
                  <c:v>3</c:v>
                </c:pt>
                <c:pt idx="36">
                  <c:v>3</c:v>
                </c:pt>
                <c:pt idx="37">
                  <c:v>3</c:v>
                </c:pt>
                <c:pt idx="38">
                  <c:v>3</c:v>
                </c:pt>
                <c:pt idx="39">
                  <c:v>4</c:v>
                </c:pt>
                <c:pt idx="40">
                  <c:v>3</c:v>
                </c:pt>
                <c:pt idx="42">
                  <c:v>3</c:v>
                </c:pt>
                <c:pt idx="43">
                  <c:v>3</c:v>
                </c:pt>
                <c:pt idx="44">
                  <c:v>3</c:v>
                </c:pt>
                <c:pt idx="45">
                  <c:v>3</c:v>
                </c:pt>
                <c:pt idx="46">
                  <c:v>3</c:v>
                </c:pt>
                <c:pt idx="47">
                  <c:v>3</c:v>
                </c:pt>
                <c:pt idx="48">
                  <c:v>4</c:v>
                </c:pt>
                <c:pt idx="49">
                  <c:v>3</c:v>
                </c:pt>
                <c:pt idx="50">
                  <c:v>3</c:v>
                </c:pt>
                <c:pt idx="51">
                  <c:v>3</c:v>
                </c:pt>
                <c:pt idx="52">
                  <c:v>4</c:v>
                </c:pt>
                <c:pt idx="53">
                  <c:v>4</c:v>
                </c:pt>
                <c:pt idx="54">
                  <c:v>3</c:v>
                </c:pt>
                <c:pt idx="55">
                  <c:v>3</c:v>
                </c:pt>
                <c:pt idx="56">
                  <c:v>3</c:v>
                </c:pt>
                <c:pt idx="57">
                  <c:v>4</c:v>
                </c:pt>
                <c:pt idx="58">
                  <c:v>4</c:v>
                </c:pt>
                <c:pt idx="59">
                  <c:v>3</c:v>
                </c:pt>
                <c:pt idx="60">
                  <c:v>4</c:v>
                </c:pt>
                <c:pt idx="61">
                  <c:v>4</c:v>
                </c:pt>
                <c:pt idx="62">
                  <c:v>4</c:v>
                </c:pt>
                <c:pt idx="63">
                  <c:v>4</c:v>
                </c:pt>
                <c:pt idx="64">
                  <c:v>4</c:v>
                </c:pt>
                <c:pt idx="65">
                  <c:v>3</c:v>
                </c:pt>
                <c:pt idx="66">
                  <c:v>4</c:v>
                </c:pt>
                <c:pt idx="67">
                  <c:v>3</c:v>
                </c:pt>
                <c:pt idx="68">
                  <c:v>4</c:v>
                </c:pt>
                <c:pt idx="69">
                  <c:v>3</c:v>
                </c:pt>
                <c:pt idx="70">
                  <c:v>4</c:v>
                </c:pt>
                <c:pt idx="71">
                  <c:v>3</c:v>
                </c:pt>
                <c:pt idx="73">
                  <c:v>3</c:v>
                </c:pt>
                <c:pt idx="74">
                  <c:v>4</c:v>
                </c:pt>
                <c:pt idx="75">
                  <c:v>4</c:v>
                </c:pt>
                <c:pt idx="76">
                  <c:v>4</c:v>
                </c:pt>
                <c:pt idx="77">
                  <c:v>4</c:v>
                </c:pt>
                <c:pt idx="78">
                  <c:v>4</c:v>
                </c:pt>
                <c:pt idx="79">
                  <c:v>4</c:v>
                </c:pt>
                <c:pt idx="80">
                  <c:v>4</c:v>
                </c:pt>
                <c:pt idx="81">
                  <c:v>4</c:v>
                </c:pt>
                <c:pt idx="82">
                  <c:v>4</c:v>
                </c:pt>
                <c:pt idx="83">
                  <c:v>4</c:v>
                </c:pt>
                <c:pt idx="84">
                  <c:v>4</c:v>
                </c:pt>
                <c:pt idx="85">
                  <c:v>4</c:v>
                </c:pt>
                <c:pt idx="86">
                  <c:v>3</c:v>
                </c:pt>
                <c:pt idx="87">
                  <c:v>3</c:v>
                </c:pt>
                <c:pt idx="88">
                  <c:v>4</c:v>
                </c:pt>
                <c:pt idx="89">
                  <c:v>4</c:v>
                </c:pt>
                <c:pt idx="90">
                  <c:v>4</c:v>
                </c:pt>
                <c:pt idx="91">
                  <c:v>4</c:v>
                </c:pt>
                <c:pt idx="92">
                  <c:v>4</c:v>
                </c:pt>
                <c:pt idx="93">
                  <c:v>4</c:v>
                </c:pt>
                <c:pt idx="94">
                  <c:v>4</c:v>
                </c:pt>
                <c:pt idx="95">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3</c:v>
                </c:pt>
                <c:pt idx="116">
                  <c:v>4</c:v>
                </c:pt>
                <c:pt idx="117">
                  <c:v>4</c:v>
                </c:pt>
                <c:pt idx="118">
                  <c:v>4</c:v>
                </c:pt>
                <c:pt idx="119">
                  <c:v>4</c:v>
                </c:pt>
                <c:pt idx="120">
                  <c:v>4</c:v>
                </c:pt>
                <c:pt idx="121">
                  <c:v>4</c:v>
                </c:pt>
                <c:pt idx="122">
                  <c:v>4</c:v>
                </c:pt>
                <c:pt idx="123">
                  <c:v>4</c:v>
                </c:pt>
                <c:pt idx="124">
                  <c:v>4</c:v>
                </c:pt>
                <c:pt idx="126">
                  <c:v>4</c:v>
                </c:pt>
                <c:pt idx="127">
                  <c:v>4</c:v>
                </c:pt>
                <c:pt idx="128">
                  <c:v>4</c:v>
                </c:pt>
                <c:pt idx="129">
                  <c:v>4</c:v>
                </c:pt>
                <c:pt idx="130">
                  <c:v>4</c:v>
                </c:pt>
                <c:pt idx="131">
                  <c:v>4</c:v>
                </c:pt>
                <c:pt idx="132">
                  <c:v>4</c:v>
                </c:pt>
                <c:pt idx="133">
                  <c:v>4</c:v>
                </c:pt>
                <c:pt idx="134">
                  <c:v>4</c:v>
                </c:pt>
                <c:pt idx="135">
                  <c:v>4</c:v>
                </c:pt>
                <c:pt idx="137">
                  <c:v>4</c:v>
                </c:pt>
                <c:pt idx="138">
                  <c:v>4</c:v>
                </c:pt>
                <c:pt idx="139">
                  <c:v>4</c:v>
                </c:pt>
                <c:pt idx="140">
                  <c:v>4</c:v>
                </c:pt>
                <c:pt idx="142">
                  <c:v>4</c:v>
                </c:pt>
                <c:pt idx="143">
                  <c:v>4</c:v>
                </c:pt>
                <c:pt idx="144">
                  <c:v>4</c:v>
                </c:pt>
                <c:pt idx="145">
                  <c:v>4</c:v>
                </c:pt>
                <c:pt idx="146">
                  <c:v>4</c:v>
                </c:pt>
                <c:pt idx="147">
                  <c:v>3</c:v>
                </c:pt>
                <c:pt idx="148">
                  <c:v>4</c:v>
                </c:pt>
                <c:pt idx="149">
                  <c:v>4</c:v>
                </c:pt>
                <c:pt idx="150">
                  <c:v>4</c:v>
                </c:pt>
                <c:pt idx="151">
                  <c:v>4</c:v>
                </c:pt>
                <c:pt idx="152">
                  <c:v>4</c:v>
                </c:pt>
                <c:pt idx="153">
                  <c:v>3</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numCache>
            </c:numRef>
          </c:yVal>
        </c:ser>
        <c:axId val="143308672"/>
        <c:axId val="143319424"/>
      </c:scatterChart>
      <c:valAx>
        <c:axId val="143308672"/>
        <c:scaling>
          <c:orientation val="minMax"/>
        </c:scaling>
        <c:axPos val="b"/>
        <c:title>
          <c:tx>
            <c:rich>
              <a:bodyPr/>
              <a:lstStyle/>
              <a:p>
                <a:pPr>
                  <a:defRPr/>
                </a:pPr>
                <a:r>
                  <a:rPr lang="en-GB"/>
                  <a:t>Year</a:t>
                </a:r>
              </a:p>
            </c:rich>
          </c:tx>
          <c:layout/>
          <c:spPr>
            <a:noFill/>
            <a:ln w="25400">
              <a:noFill/>
            </a:ln>
          </c:spPr>
        </c:title>
        <c:numFmt formatCode="General" sourceLinked="1"/>
        <c:majorTickMark val="none"/>
        <c:tickLblPos val="nextTo"/>
        <c:spPr>
          <a:ln w="3175">
            <a:solidFill>
              <a:srgbClr val="808080"/>
            </a:solidFill>
            <a:prstDash val="solid"/>
          </a:ln>
        </c:spPr>
        <c:txPr>
          <a:bodyPr rot="0" vert="horz"/>
          <a:lstStyle/>
          <a:p>
            <a:pPr>
              <a:defRPr/>
            </a:pPr>
            <a:endParaRPr lang="en-US"/>
          </a:p>
        </c:txPr>
        <c:crossAx val="143319424"/>
        <c:crosses val="autoZero"/>
        <c:crossBetween val="midCat"/>
      </c:valAx>
      <c:valAx>
        <c:axId val="143319424"/>
        <c:scaling>
          <c:orientation val="minMax"/>
        </c:scaling>
        <c:axPos val="l"/>
        <c:majorGridlines>
          <c:spPr>
            <a:ln w="3175">
              <a:solidFill>
                <a:srgbClr val="808080"/>
              </a:solidFill>
              <a:prstDash val="solid"/>
            </a:ln>
          </c:spPr>
        </c:majorGridlines>
        <c:title>
          <c:layout/>
          <c:spPr>
            <a:noFill/>
            <a:ln w="25400">
              <a:noFill/>
            </a:ln>
          </c:spPr>
        </c:title>
        <c:numFmt formatCode="General" sourceLinked="1"/>
        <c:majorTickMark val="none"/>
        <c:tickLblPos val="nextTo"/>
        <c:spPr>
          <a:ln w="3175">
            <a:solidFill>
              <a:srgbClr val="808080"/>
            </a:solidFill>
            <a:prstDash val="solid"/>
          </a:ln>
        </c:spPr>
        <c:txPr>
          <a:bodyPr rot="0" vert="horz"/>
          <a:lstStyle/>
          <a:p>
            <a:pPr>
              <a:defRPr/>
            </a:pPr>
            <a:endParaRPr lang="en-US"/>
          </a:p>
        </c:txPr>
        <c:crossAx val="143308672"/>
        <c:crosses val="autoZero"/>
        <c:crossBetween val="midCat"/>
      </c:valAx>
      <c:spPr>
        <a:solidFill>
          <a:srgbClr val="FFFFFF"/>
        </a:solidFill>
        <a:ln w="25400">
          <a:noFill/>
        </a:ln>
      </c:spPr>
    </c:plotArea>
    <c:plotVisOnly val="1"/>
    <c:dispBlanksAs val="gap"/>
  </c:chart>
  <c:spPr>
    <a:solidFill>
      <a:srgbClr val="FFFFFF"/>
    </a:solidFill>
    <a:ln w="3175">
      <a:solidFill>
        <a:srgbClr val="808080"/>
      </a:solidFill>
      <a:prstDash val="solid"/>
    </a:ln>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Brain</a:t>
            </a:r>
            <a:r>
              <a:rPr lang="en-US" baseline="0"/>
              <a:t> Imaging Slice Thickness</a:t>
            </a:r>
            <a:endParaRPr lang="en-US"/>
          </a:p>
        </c:rich>
      </c:tx>
      <c:layout/>
    </c:title>
    <c:plotArea>
      <c:layout/>
      <c:scatterChart>
        <c:scatterStyle val="lineMarker"/>
        <c:ser>
          <c:idx val="0"/>
          <c:order val="0"/>
          <c:tx>
            <c:v>MRI slice thickness</c:v>
          </c:tx>
          <c:spPr>
            <a:ln w="28575">
              <a:noFill/>
            </a:ln>
          </c:spPr>
          <c:xVal>
            <c:numRef>
              <c:f>Database!$F$8:$F$232</c:f>
              <c:numCache>
                <c:formatCode>General</c:formatCode>
                <c:ptCount val="225"/>
                <c:pt idx="0">
                  <c:v>1983</c:v>
                </c:pt>
                <c:pt idx="1">
                  <c:v>1985</c:v>
                </c:pt>
                <c:pt idx="2">
                  <c:v>1987</c:v>
                </c:pt>
                <c:pt idx="3">
                  <c:v>1988</c:v>
                </c:pt>
                <c:pt idx="4">
                  <c:v>1989</c:v>
                </c:pt>
                <c:pt idx="5">
                  <c:v>1990</c:v>
                </c:pt>
                <c:pt idx="6">
                  <c:v>1990</c:v>
                </c:pt>
                <c:pt idx="7">
                  <c:v>1990</c:v>
                </c:pt>
                <c:pt idx="8">
                  <c:v>1990</c:v>
                </c:pt>
                <c:pt idx="9">
                  <c:v>1990</c:v>
                </c:pt>
                <c:pt idx="10">
                  <c:v>1991</c:v>
                </c:pt>
                <c:pt idx="11">
                  <c:v>1991</c:v>
                </c:pt>
                <c:pt idx="12">
                  <c:v>1991</c:v>
                </c:pt>
                <c:pt idx="13">
                  <c:v>1991</c:v>
                </c:pt>
                <c:pt idx="14">
                  <c:v>1991</c:v>
                </c:pt>
                <c:pt idx="15">
                  <c:v>1991</c:v>
                </c:pt>
                <c:pt idx="16">
                  <c:v>1991</c:v>
                </c:pt>
                <c:pt idx="17">
                  <c:v>1992</c:v>
                </c:pt>
                <c:pt idx="18">
                  <c:v>1992</c:v>
                </c:pt>
                <c:pt idx="19">
                  <c:v>1992</c:v>
                </c:pt>
                <c:pt idx="20">
                  <c:v>1992</c:v>
                </c:pt>
                <c:pt idx="21">
                  <c:v>1992</c:v>
                </c:pt>
                <c:pt idx="22">
                  <c:v>1992</c:v>
                </c:pt>
                <c:pt idx="23">
                  <c:v>1993</c:v>
                </c:pt>
                <c:pt idx="24">
                  <c:v>1993</c:v>
                </c:pt>
                <c:pt idx="25">
                  <c:v>1993</c:v>
                </c:pt>
                <c:pt idx="26">
                  <c:v>1993</c:v>
                </c:pt>
                <c:pt idx="27">
                  <c:v>1994</c:v>
                </c:pt>
                <c:pt idx="28">
                  <c:v>1994</c:v>
                </c:pt>
                <c:pt idx="29">
                  <c:v>1995</c:v>
                </c:pt>
                <c:pt idx="30">
                  <c:v>1995</c:v>
                </c:pt>
                <c:pt idx="31">
                  <c:v>1995</c:v>
                </c:pt>
                <c:pt idx="32">
                  <c:v>1995</c:v>
                </c:pt>
                <c:pt idx="33">
                  <c:v>1995</c:v>
                </c:pt>
                <c:pt idx="34">
                  <c:v>1996</c:v>
                </c:pt>
                <c:pt idx="35">
                  <c:v>1996</c:v>
                </c:pt>
                <c:pt idx="36">
                  <c:v>1996</c:v>
                </c:pt>
                <c:pt idx="37">
                  <c:v>1996</c:v>
                </c:pt>
                <c:pt idx="38">
                  <c:v>1996</c:v>
                </c:pt>
                <c:pt idx="39">
                  <c:v>1996</c:v>
                </c:pt>
                <c:pt idx="40">
                  <c:v>1996</c:v>
                </c:pt>
                <c:pt idx="41">
                  <c:v>1997</c:v>
                </c:pt>
                <c:pt idx="42">
                  <c:v>1997</c:v>
                </c:pt>
                <c:pt idx="43">
                  <c:v>1997</c:v>
                </c:pt>
                <c:pt idx="44">
                  <c:v>1997</c:v>
                </c:pt>
                <c:pt idx="45">
                  <c:v>1997</c:v>
                </c:pt>
                <c:pt idx="46">
                  <c:v>1997</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2000</c:v>
                </c:pt>
                <c:pt idx="62">
                  <c:v>2000</c:v>
                </c:pt>
                <c:pt idx="63">
                  <c:v>2000</c:v>
                </c:pt>
                <c:pt idx="64">
                  <c:v>2000</c:v>
                </c:pt>
                <c:pt idx="65">
                  <c:v>2000</c:v>
                </c:pt>
                <c:pt idx="66">
                  <c:v>2000</c:v>
                </c:pt>
                <c:pt idx="67">
                  <c:v>2000</c:v>
                </c:pt>
                <c:pt idx="68">
                  <c:v>2001</c:v>
                </c:pt>
                <c:pt idx="69">
                  <c:v>2001</c:v>
                </c:pt>
                <c:pt idx="70">
                  <c:v>2001</c:v>
                </c:pt>
                <c:pt idx="71">
                  <c:v>2001</c:v>
                </c:pt>
                <c:pt idx="72">
                  <c:v>2001</c:v>
                </c:pt>
                <c:pt idx="73">
                  <c:v>2001</c:v>
                </c:pt>
                <c:pt idx="74">
                  <c:v>2001</c:v>
                </c:pt>
                <c:pt idx="75">
                  <c:v>2001</c:v>
                </c:pt>
                <c:pt idx="76">
                  <c:v>2002</c:v>
                </c:pt>
                <c:pt idx="77">
                  <c:v>2002</c:v>
                </c:pt>
                <c:pt idx="78">
                  <c:v>2002</c:v>
                </c:pt>
                <c:pt idx="79">
                  <c:v>2002</c:v>
                </c:pt>
                <c:pt idx="80">
                  <c:v>2002</c:v>
                </c:pt>
                <c:pt idx="81">
                  <c:v>2002</c:v>
                </c:pt>
                <c:pt idx="82">
                  <c:v>2002</c:v>
                </c:pt>
                <c:pt idx="83">
                  <c:v>2002</c:v>
                </c:pt>
                <c:pt idx="84">
                  <c:v>2002</c:v>
                </c:pt>
                <c:pt idx="85">
                  <c:v>2002</c:v>
                </c:pt>
                <c:pt idx="86">
                  <c:v>2002</c:v>
                </c:pt>
                <c:pt idx="87">
                  <c:v>2002</c:v>
                </c:pt>
                <c:pt idx="88">
                  <c:v>2003</c:v>
                </c:pt>
                <c:pt idx="89">
                  <c:v>2003</c:v>
                </c:pt>
                <c:pt idx="90">
                  <c:v>2003</c:v>
                </c:pt>
                <c:pt idx="91">
                  <c:v>2003</c:v>
                </c:pt>
                <c:pt idx="92">
                  <c:v>2003</c:v>
                </c:pt>
                <c:pt idx="93">
                  <c:v>2003</c:v>
                </c:pt>
                <c:pt idx="94">
                  <c:v>2003</c:v>
                </c:pt>
                <c:pt idx="95">
                  <c:v>2003</c:v>
                </c:pt>
                <c:pt idx="96">
                  <c:v>2003</c:v>
                </c:pt>
                <c:pt idx="97">
                  <c:v>2003</c:v>
                </c:pt>
                <c:pt idx="98">
                  <c:v>2003</c:v>
                </c:pt>
                <c:pt idx="99">
                  <c:v>2003</c:v>
                </c:pt>
                <c:pt idx="100">
                  <c:v>2003</c:v>
                </c:pt>
                <c:pt idx="101">
                  <c:v>2003</c:v>
                </c:pt>
                <c:pt idx="102">
                  <c:v>2003</c:v>
                </c:pt>
                <c:pt idx="103">
                  <c:v>2003</c:v>
                </c:pt>
                <c:pt idx="104">
                  <c:v>2003</c:v>
                </c:pt>
                <c:pt idx="105">
                  <c:v>2004</c:v>
                </c:pt>
                <c:pt idx="106">
                  <c:v>2004</c:v>
                </c:pt>
                <c:pt idx="107">
                  <c:v>2004</c:v>
                </c:pt>
                <c:pt idx="108">
                  <c:v>2004</c:v>
                </c:pt>
                <c:pt idx="109">
                  <c:v>2004</c:v>
                </c:pt>
                <c:pt idx="110">
                  <c:v>2004</c:v>
                </c:pt>
                <c:pt idx="111">
                  <c:v>2004</c:v>
                </c:pt>
                <c:pt idx="112">
                  <c:v>2004</c:v>
                </c:pt>
                <c:pt idx="113">
                  <c:v>2004</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2005</c:v>
                </c:pt>
                <c:pt idx="139">
                  <c:v>2005</c:v>
                </c:pt>
                <c:pt idx="140">
                  <c:v>2006</c:v>
                </c:pt>
                <c:pt idx="141">
                  <c:v>2006</c:v>
                </c:pt>
                <c:pt idx="142">
                  <c:v>2006</c:v>
                </c:pt>
                <c:pt idx="143">
                  <c:v>2006</c:v>
                </c:pt>
                <c:pt idx="144">
                  <c:v>2006</c:v>
                </c:pt>
                <c:pt idx="145">
                  <c:v>2006</c:v>
                </c:pt>
                <c:pt idx="146">
                  <c:v>2006</c:v>
                </c:pt>
                <c:pt idx="147">
                  <c:v>2006</c:v>
                </c:pt>
                <c:pt idx="148">
                  <c:v>2006</c:v>
                </c:pt>
                <c:pt idx="149">
                  <c:v>2006</c:v>
                </c:pt>
                <c:pt idx="150">
                  <c:v>2006</c:v>
                </c:pt>
                <c:pt idx="151">
                  <c:v>2006</c:v>
                </c:pt>
                <c:pt idx="152">
                  <c:v>2006</c:v>
                </c:pt>
                <c:pt idx="153">
                  <c:v>2006</c:v>
                </c:pt>
                <c:pt idx="154">
                  <c:v>2006</c:v>
                </c:pt>
                <c:pt idx="155">
                  <c:v>2006</c:v>
                </c:pt>
                <c:pt idx="156">
                  <c:v>2007</c:v>
                </c:pt>
                <c:pt idx="157">
                  <c:v>2007</c:v>
                </c:pt>
                <c:pt idx="158">
                  <c:v>2007</c:v>
                </c:pt>
                <c:pt idx="159">
                  <c:v>2007</c:v>
                </c:pt>
                <c:pt idx="160">
                  <c:v>2007</c:v>
                </c:pt>
                <c:pt idx="161">
                  <c:v>2007</c:v>
                </c:pt>
                <c:pt idx="162">
                  <c:v>2007</c:v>
                </c:pt>
                <c:pt idx="163">
                  <c:v>2007</c:v>
                </c:pt>
                <c:pt idx="164">
                  <c:v>2007</c:v>
                </c:pt>
                <c:pt idx="165">
                  <c:v>2007</c:v>
                </c:pt>
                <c:pt idx="166">
                  <c:v>2007</c:v>
                </c:pt>
                <c:pt idx="167">
                  <c:v>2007</c:v>
                </c:pt>
                <c:pt idx="168">
                  <c:v>2008</c:v>
                </c:pt>
                <c:pt idx="169">
                  <c:v>2008</c:v>
                </c:pt>
                <c:pt idx="170">
                  <c:v>2008</c:v>
                </c:pt>
                <c:pt idx="171">
                  <c:v>2008</c:v>
                </c:pt>
                <c:pt idx="172">
                  <c:v>2008</c:v>
                </c:pt>
                <c:pt idx="173">
                  <c:v>2008</c:v>
                </c:pt>
                <c:pt idx="174">
                  <c:v>2008</c:v>
                </c:pt>
                <c:pt idx="175">
                  <c:v>2008</c:v>
                </c:pt>
                <c:pt idx="176">
                  <c:v>2008</c:v>
                </c:pt>
                <c:pt idx="177">
                  <c:v>2008</c:v>
                </c:pt>
                <c:pt idx="178">
                  <c:v>2008</c:v>
                </c:pt>
                <c:pt idx="179">
                  <c:v>2008</c:v>
                </c:pt>
                <c:pt idx="180">
                  <c:v>2008</c:v>
                </c:pt>
                <c:pt idx="181">
                  <c:v>2008</c:v>
                </c:pt>
                <c:pt idx="182">
                  <c:v>2008</c:v>
                </c:pt>
                <c:pt idx="183">
                  <c:v>2008</c:v>
                </c:pt>
                <c:pt idx="184">
                  <c:v>2008</c:v>
                </c:pt>
                <c:pt idx="185">
                  <c:v>2008</c:v>
                </c:pt>
                <c:pt idx="186">
                  <c:v>2008</c:v>
                </c:pt>
                <c:pt idx="187">
                  <c:v>2008</c:v>
                </c:pt>
                <c:pt idx="188">
                  <c:v>2008</c:v>
                </c:pt>
                <c:pt idx="189">
                  <c:v>2008</c:v>
                </c:pt>
                <c:pt idx="190">
                  <c:v>2008</c:v>
                </c:pt>
                <c:pt idx="191">
                  <c:v>2008</c:v>
                </c:pt>
                <c:pt idx="192">
                  <c:v>2008</c:v>
                </c:pt>
                <c:pt idx="193">
                  <c:v>2008</c:v>
                </c:pt>
                <c:pt idx="194">
                  <c:v>2008</c:v>
                </c:pt>
                <c:pt idx="195">
                  <c:v>2009</c:v>
                </c:pt>
                <c:pt idx="196">
                  <c:v>2009</c:v>
                </c:pt>
                <c:pt idx="197">
                  <c:v>2009</c:v>
                </c:pt>
                <c:pt idx="198">
                  <c:v>2009</c:v>
                </c:pt>
                <c:pt idx="199">
                  <c:v>2009</c:v>
                </c:pt>
                <c:pt idx="200">
                  <c:v>2009</c:v>
                </c:pt>
                <c:pt idx="201">
                  <c:v>2009</c:v>
                </c:pt>
                <c:pt idx="202">
                  <c:v>2009</c:v>
                </c:pt>
                <c:pt idx="203">
                  <c:v>2009</c:v>
                </c:pt>
                <c:pt idx="204">
                  <c:v>2009</c:v>
                </c:pt>
                <c:pt idx="205">
                  <c:v>2009</c:v>
                </c:pt>
                <c:pt idx="206">
                  <c:v>2009</c:v>
                </c:pt>
                <c:pt idx="207">
                  <c:v>2009</c:v>
                </c:pt>
                <c:pt idx="208">
                  <c:v>2009</c:v>
                </c:pt>
                <c:pt idx="209">
                  <c:v>2009</c:v>
                </c:pt>
                <c:pt idx="210">
                  <c:v>2009</c:v>
                </c:pt>
                <c:pt idx="211">
                  <c:v>2009</c:v>
                </c:pt>
                <c:pt idx="212">
                  <c:v>2009</c:v>
                </c:pt>
                <c:pt idx="213">
                  <c:v>2009</c:v>
                </c:pt>
                <c:pt idx="214">
                  <c:v>2009</c:v>
                </c:pt>
                <c:pt idx="215">
                  <c:v>2009</c:v>
                </c:pt>
                <c:pt idx="216">
                  <c:v>2009</c:v>
                </c:pt>
                <c:pt idx="217">
                  <c:v>2009</c:v>
                </c:pt>
                <c:pt idx="218">
                  <c:v>2009</c:v>
                </c:pt>
                <c:pt idx="219">
                  <c:v>2009</c:v>
                </c:pt>
                <c:pt idx="220">
                  <c:v>2010</c:v>
                </c:pt>
                <c:pt idx="221">
                  <c:v>2010</c:v>
                </c:pt>
                <c:pt idx="222">
                  <c:v>2010</c:v>
                </c:pt>
                <c:pt idx="223">
                  <c:v>2010</c:v>
                </c:pt>
                <c:pt idx="224">
                  <c:v>2010</c:v>
                </c:pt>
              </c:numCache>
            </c:numRef>
          </c:xVal>
          <c:yVal>
            <c:numRef>
              <c:f>Database!$BC$8:$BC$232</c:f>
              <c:numCache>
                <c:formatCode>General</c:formatCode>
                <c:ptCount val="225"/>
                <c:pt idx="0">
                  <c:v>#N/A</c:v>
                </c:pt>
                <c:pt idx="1">
                  <c:v>#N/A</c:v>
                </c:pt>
                <c:pt idx="2">
                  <c:v>#N/A</c:v>
                </c:pt>
                <c:pt idx="3">
                  <c:v>8</c:v>
                </c:pt>
                <c:pt idx="4">
                  <c:v>8</c:v>
                </c:pt>
                <c:pt idx="5">
                  <c:v>8</c:v>
                </c:pt>
                <c:pt idx="6">
                  <c:v>5</c:v>
                </c:pt>
                <c:pt idx="7">
                  <c:v>12</c:v>
                </c:pt>
                <c:pt idx="8">
                  <c:v>10</c:v>
                </c:pt>
                <c:pt idx="9">
                  <c:v>5</c:v>
                </c:pt>
                <c:pt idx="10">
                  <c:v>5</c:v>
                </c:pt>
                <c:pt idx="11">
                  <c:v>5</c:v>
                </c:pt>
                <c:pt idx="12">
                  <c:v>4</c:v>
                </c:pt>
                <c:pt idx="13">
                  <c:v>8</c:v>
                </c:pt>
                <c:pt idx="14">
                  <c:v>8</c:v>
                </c:pt>
                <c:pt idx="15">
                  <c:v>#N/A</c:v>
                </c:pt>
                <c:pt idx="16">
                  <c:v>10</c:v>
                </c:pt>
                <c:pt idx="17">
                  <c:v>7</c:v>
                </c:pt>
                <c:pt idx="18">
                  <c:v>7</c:v>
                </c:pt>
                <c:pt idx="19">
                  <c:v>5</c:v>
                </c:pt>
                <c:pt idx="20">
                  <c:v>10</c:v>
                </c:pt>
                <c:pt idx="21">
                  <c:v>8</c:v>
                </c:pt>
                <c:pt idx="22">
                  <c:v>4</c:v>
                </c:pt>
                <c:pt idx="23">
                  <c:v>5</c:v>
                </c:pt>
                <c:pt idx="24">
                  <c:v>5</c:v>
                </c:pt>
                <c:pt idx="25">
                  <c:v>5</c:v>
                </c:pt>
                <c:pt idx="26">
                  <c:v>5</c:v>
                </c:pt>
                <c:pt idx="27">
                  <c:v>10</c:v>
                </c:pt>
                <c:pt idx="28">
                  <c:v>5</c:v>
                </c:pt>
                <c:pt idx="29">
                  <c:v>5</c:v>
                </c:pt>
                <c:pt idx="30">
                  <c:v>5</c:v>
                </c:pt>
                <c:pt idx="31">
                  <c:v>6.3330000000000002</c:v>
                </c:pt>
                <c:pt idx="32">
                  <c:v>#N/A</c:v>
                </c:pt>
                <c:pt idx="33">
                  <c:v>#N/A</c:v>
                </c:pt>
                <c:pt idx="34">
                  <c:v>8</c:v>
                </c:pt>
                <c:pt idx="35">
                  <c:v>10</c:v>
                </c:pt>
                <c:pt idx="36">
                  <c:v>#N/A</c:v>
                </c:pt>
                <c:pt idx="37">
                  <c:v>10</c:v>
                </c:pt>
                <c:pt idx="38">
                  <c:v>#N/A</c:v>
                </c:pt>
                <c:pt idx="39">
                  <c:v>1.25</c:v>
                </c:pt>
                <c:pt idx="40">
                  <c:v>5</c:v>
                </c:pt>
                <c:pt idx="41">
                  <c:v>9</c:v>
                </c:pt>
                <c:pt idx="42">
                  <c:v>1</c:v>
                </c:pt>
                <c:pt idx="43">
                  <c:v>3.1</c:v>
                </c:pt>
                <c:pt idx="44">
                  <c:v>5</c:v>
                </c:pt>
                <c:pt idx="45">
                  <c:v>1.25</c:v>
                </c:pt>
                <c:pt idx="46">
                  <c:v>3</c:v>
                </c:pt>
                <c:pt idx="47">
                  <c:v>5</c:v>
                </c:pt>
                <c:pt idx="48">
                  <c:v>5</c:v>
                </c:pt>
                <c:pt idx="49">
                  <c:v>1.2</c:v>
                </c:pt>
                <c:pt idx="50">
                  <c:v>5</c:v>
                </c:pt>
                <c:pt idx="51">
                  <c:v>3</c:v>
                </c:pt>
                <c:pt idx="52">
                  <c:v>1.25</c:v>
                </c:pt>
                <c:pt idx="53">
                  <c:v>5</c:v>
                </c:pt>
                <c:pt idx="54">
                  <c:v>3.1</c:v>
                </c:pt>
                <c:pt idx="55">
                  <c:v>3.1</c:v>
                </c:pt>
                <c:pt idx="56">
                  <c:v>7</c:v>
                </c:pt>
                <c:pt idx="57">
                  <c:v>#N/A</c:v>
                </c:pt>
                <c:pt idx="58">
                  <c:v>1.25</c:v>
                </c:pt>
                <c:pt idx="59">
                  <c:v>10</c:v>
                </c:pt>
                <c:pt idx="60">
                  <c:v>1.25</c:v>
                </c:pt>
                <c:pt idx="61">
                  <c:v>3</c:v>
                </c:pt>
                <c:pt idx="62">
                  <c:v>5</c:v>
                </c:pt>
                <c:pt idx="63">
                  <c:v>5</c:v>
                </c:pt>
                <c:pt idx="64">
                  <c:v>3</c:v>
                </c:pt>
                <c:pt idx="65">
                  <c:v>5</c:v>
                </c:pt>
                <c:pt idx="66">
                  <c:v>3</c:v>
                </c:pt>
                <c:pt idx="67">
                  <c:v>3</c:v>
                </c:pt>
                <c:pt idx="68">
                  <c:v>1.5</c:v>
                </c:pt>
                <c:pt idx="69">
                  <c:v>6</c:v>
                </c:pt>
                <c:pt idx="70">
                  <c:v>3</c:v>
                </c:pt>
                <c:pt idx="71">
                  <c:v>1.88</c:v>
                </c:pt>
                <c:pt idx="72">
                  <c:v>#N/A</c:v>
                </c:pt>
                <c:pt idx="73">
                  <c:v>10</c:v>
                </c:pt>
                <c:pt idx="74">
                  <c:v>1.2</c:v>
                </c:pt>
                <c:pt idx="75">
                  <c:v>1.5</c:v>
                </c:pt>
                <c:pt idx="76">
                  <c:v>1</c:v>
                </c:pt>
                <c:pt idx="77">
                  <c:v>1.5</c:v>
                </c:pt>
                <c:pt idx="78">
                  <c:v>3</c:v>
                </c:pt>
                <c:pt idx="79">
                  <c:v>1.5</c:v>
                </c:pt>
                <c:pt idx="80">
                  <c:v>1.5</c:v>
                </c:pt>
                <c:pt idx="81">
                  <c:v>5</c:v>
                </c:pt>
                <c:pt idx="82">
                  <c:v>1.5</c:v>
                </c:pt>
                <c:pt idx="83">
                  <c:v>2.2999999999999998</c:v>
                </c:pt>
                <c:pt idx="84">
                  <c:v>5.4</c:v>
                </c:pt>
                <c:pt idx="85">
                  <c:v>1.875</c:v>
                </c:pt>
                <c:pt idx="86">
                  <c:v>1.5</c:v>
                </c:pt>
                <c:pt idx="87">
                  <c:v>5</c:v>
                </c:pt>
                <c:pt idx="88">
                  <c:v>5</c:v>
                </c:pt>
                <c:pt idx="89">
                  <c:v>1</c:v>
                </c:pt>
                <c:pt idx="90">
                  <c:v>2.2999999999999998</c:v>
                </c:pt>
                <c:pt idx="91">
                  <c:v>1.5</c:v>
                </c:pt>
                <c:pt idx="92">
                  <c:v>5</c:v>
                </c:pt>
                <c:pt idx="93">
                  <c:v>#N/A</c:v>
                </c:pt>
                <c:pt idx="94">
                  <c:v>1.5</c:v>
                </c:pt>
                <c:pt idx="95">
                  <c:v>1.2</c:v>
                </c:pt>
                <c:pt idx="96">
                  <c:v>1.5</c:v>
                </c:pt>
                <c:pt idx="97">
                  <c:v>1</c:v>
                </c:pt>
                <c:pt idx="98">
                  <c:v>1.5</c:v>
                </c:pt>
                <c:pt idx="99">
                  <c:v>#N/A</c:v>
                </c:pt>
                <c:pt idx="100">
                  <c:v>3.8</c:v>
                </c:pt>
                <c:pt idx="101">
                  <c:v>5</c:v>
                </c:pt>
                <c:pt idx="102">
                  <c:v>3</c:v>
                </c:pt>
                <c:pt idx="103">
                  <c:v>3</c:v>
                </c:pt>
                <c:pt idx="104">
                  <c:v>3</c:v>
                </c:pt>
                <c:pt idx="105">
                  <c:v>3</c:v>
                </c:pt>
                <c:pt idx="106">
                  <c:v>1.4</c:v>
                </c:pt>
                <c:pt idx="107">
                  <c:v>1.4</c:v>
                </c:pt>
                <c:pt idx="108">
                  <c:v>1.4</c:v>
                </c:pt>
                <c:pt idx="109">
                  <c:v>3</c:v>
                </c:pt>
                <c:pt idx="110">
                  <c:v>#N/A</c:v>
                </c:pt>
                <c:pt idx="111">
                  <c:v>1.5</c:v>
                </c:pt>
                <c:pt idx="112">
                  <c:v>5</c:v>
                </c:pt>
                <c:pt idx="113">
                  <c:v>1.5</c:v>
                </c:pt>
                <c:pt idx="114">
                  <c:v>1.5</c:v>
                </c:pt>
                <c:pt idx="115">
                  <c:v>1.5</c:v>
                </c:pt>
                <c:pt idx="116">
                  <c:v>1.2</c:v>
                </c:pt>
                <c:pt idx="117">
                  <c:v>1.5</c:v>
                </c:pt>
                <c:pt idx="118">
                  <c:v>1.3</c:v>
                </c:pt>
                <c:pt idx="119">
                  <c:v>1.4</c:v>
                </c:pt>
                <c:pt idx="120">
                  <c:v>1</c:v>
                </c:pt>
                <c:pt idx="121">
                  <c:v>1.5</c:v>
                </c:pt>
                <c:pt idx="122">
                  <c:v>1.45</c:v>
                </c:pt>
                <c:pt idx="123">
                  <c:v>4</c:v>
                </c:pt>
                <c:pt idx="124">
                  <c:v>1.5</c:v>
                </c:pt>
                <c:pt idx="125">
                  <c:v>1.2</c:v>
                </c:pt>
                <c:pt idx="126">
                  <c:v>7</c:v>
                </c:pt>
                <c:pt idx="127">
                  <c:v>1</c:v>
                </c:pt>
                <c:pt idx="128">
                  <c:v>1.5</c:v>
                </c:pt>
                <c:pt idx="129">
                  <c:v>1.5</c:v>
                </c:pt>
                <c:pt idx="130">
                  <c:v>5</c:v>
                </c:pt>
                <c:pt idx="131">
                  <c:v>3</c:v>
                </c:pt>
                <c:pt idx="132">
                  <c:v>1.4</c:v>
                </c:pt>
                <c:pt idx="133">
                  <c:v>5</c:v>
                </c:pt>
                <c:pt idx="134">
                  <c:v>7</c:v>
                </c:pt>
                <c:pt idx="135">
                  <c:v>0.6</c:v>
                </c:pt>
                <c:pt idx="136">
                  <c:v>1.5</c:v>
                </c:pt>
                <c:pt idx="137">
                  <c:v>1.5</c:v>
                </c:pt>
                <c:pt idx="138">
                  <c:v>3</c:v>
                </c:pt>
                <c:pt idx="139">
                  <c:v>3</c:v>
                </c:pt>
                <c:pt idx="140">
                  <c:v>3</c:v>
                </c:pt>
                <c:pt idx="141">
                  <c:v>3</c:v>
                </c:pt>
                <c:pt idx="142">
                  <c:v>1.5</c:v>
                </c:pt>
                <c:pt idx="143">
                  <c:v>5</c:v>
                </c:pt>
                <c:pt idx="144">
                  <c:v>3</c:v>
                </c:pt>
                <c:pt idx="145">
                  <c:v>1.5</c:v>
                </c:pt>
                <c:pt idx="146">
                  <c:v>3</c:v>
                </c:pt>
                <c:pt idx="147">
                  <c:v>3</c:v>
                </c:pt>
                <c:pt idx="148">
                  <c:v>5</c:v>
                </c:pt>
                <c:pt idx="149">
                  <c:v>3</c:v>
                </c:pt>
                <c:pt idx="150">
                  <c:v>1.5</c:v>
                </c:pt>
                <c:pt idx="151">
                  <c:v>3</c:v>
                </c:pt>
                <c:pt idx="152">
                  <c:v>2</c:v>
                </c:pt>
                <c:pt idx="153">
                  <c:v>1.5</c:v>
                </c:pt>
                <c:pt idx="154">
                  <c:v>1.3</c:v>
                </c:pt>
                <c:pt idx="155">
                  <c:v>5</c:v>
                </c:pt>
                <c:pt idx="156">
                  <c:v>1</c:v>
                </c:pt>
                <c:pt idx="157">
                  <c:v>1.05</c:v>
                </c:pt>
                <c:pt idx="158">
                  <c:v>1.5</c:v>
                </c:pt>
                <c:pt idx="159">
                  <c:v>1.5</c:v>
                </c:pt>
                <c:pt idx="160">
                  <c:v>#N/A</c:v>
                </c:pt>
                <c:pt idx="161">
                  <c:v>1.4</c:v>
                </c:pt>
                <c:pt idx="162">
                  <c:v>0.94</c:v>
                </c:pt>
                <c:pt idx="163">
                  <c:v>1.5</c:v>
                </c:pt>
                <c:pt idx="164">
                  <c:v>1</c:v>
                </c:pt>
                <c:pt idx="165">
                  <c:v>3</c:v>
                </c:pt>
                <c:pt idx="166">
                  <c:v>3</c:v>
                </c:pt>
                <c:pt idx="167">
                  <c:v>3</c:v>
                </c:pt>
                <c:pt idx="168">
                  <c:v>1.5</c:v>
                </c:pt>
                <c:pt idx="169">
                  <c:v>1.4</c:v>
                </c:pt>
                <c:pt idx="170">
                  <c:v>1.4</c:v>
                </c:pt>
                <c:pt idx="171">
                  <c:v>1.5</c:v>
                </c:pt>
                <c:pt idx="172">
                  <c:v>2</c:v>
                </c:pt>
                <c:pt idx="173">
                  <c:v>1.4</c:v>
                </c:pt>
                <c:pt idx="174">
                  <c:v>1.4</c:v>
                </c:pt>
                <c:pt idx="175">
                  <c:v>1.5</c:v>
                </c:pt>
                <c:pt idx="176">
                  <c:v>1.5</c:v>
                </c:pt>
                <c:pt idx="177">
                  <c:v>1.5</c:v>
                </c:pt>
                <c:pt idx="178">
                  <c:v>1.5</c:v>
                </c:pt>
                <c:pt idx="179">
                  <c:v>1.4</c:v>
                </c:pt>
                <c:pt idx="180">
                  <c:v>3</c:v>
                </c:pt>
                <c:pt idx="181">
                  <c:v>1.5</c:v>
                </c:pt>
                <c:pt idx="182">
                  <c:v>#N/A</c:v>
                </c:pt>
                <c:pt idx="183">
                  <c:v>1.25</c:v>
                </c:pt>
                <c:pt idx="184">
                  <c:v>1.45</c:v>
                </c:pt>
                <c:pt idx="185">
                  <c:v>1.5</c:v>
                </c:pt>
                <c:pt idx="186">
                  <c:v>1.5</c:v>
                </c:pt>
                <c:pt idx="187">
                  <c:v>1.25</c:v>
                </c:pt>
                <c:pt idx="188">
                  <c:v>3</c:v>
                </c:pt>
                <c:pt idx="189">
                  <c:v>1.3</c:v>
                </c:pt>
                <c:pt idx="190">
                  <c:v>1.5</c:v>
                </c:pt>
                <c:pt idx="191">
                  <c:v>3</c:v>
                </c:pt>
                <c:pt idx="192">
                  <c:v>1.2</c:v>
                </c:pt>
                <c:pt idx="193">
                  <c:v>3</c:v>
                </c:pt>
                <c:pt idx="194">
                  <c:v>1</c:v>
                </c:pt>
                <c:pt idx="195">
                  <c:v>1.5</c:v>
                </c:pt>
                <c:pt idx="196">
                  <c:v>1.5</c:v>
                </c:pt>
                <c:pt idx="197">
                  <c:v>5</c:v>
                </c:pt>
                <c:pt idx="198">
                  <c:v>1.3</c:v>
                </c:pt>
                <c:pt idx="199">
                  <c:v>3</c:v>
                </c:pt>
                <c:pt idx="200">
                  <c:v>1</c:v>
                </c:pt>
                <c:pt idx="201">
                  <c:v>1</c:v>
                </c:pt>
                <c:pt idx="202">
                  <c:v>1.05</c:v>
                </c:pt>
                <c:pt idx="203">
                  <c:v>1.5</c:v>
                </c:pt>
                <c:pt idx="204">
                  <c:v>1</c:v>
                </c:pt>
                <c:pt idx="205">
                  <c:v>1</c:v>
                </c:pt>
                <c:pt idx="206">
                  <c:v>1.5</c:v>
                </c:pt>
                <c:pt idx="207">
                  <c:v>1.2</c:v>
                </c:pt>
                <c:pt idx="208">
                  <c:v>3</c:v>
                </c:pt>
                <c:pt idx="209">
                  <c:v>1.3</c:v>
                </c:pt>
                <c:pt idx="210">
                  <c:v>1.33</c:v>
                </c:pt>
                <c:pt idx="211">
                  <c:v>1</c:v>
                </c:pt>
                <c:pt idx="212">
                  <c:v>1.5</c:v>
                </c:pt>
                <c:pt idx="213">
                  <c:v>1</c:v>
                </c:pt>
                <c:pt idx="214">
                  <c:v>1</c:v>
                </c:pt>
                <c:pt idx="215">
                  <c:v>3</c:v>
                </c:pt>
                <c:pt idx="216">
                  <c:v>1</c:v>
                </c:pt>
                <c:pt idx="217">
                  <c:v>1</c:v>
                </c:pt>
                <c:pt idx="218">
                  <c:v>0.9</c:v>
                </c:pt>
                <c:pt idx="219">
                  <c:v>1.2</c:v>
                </c:pt>
                <c:pt idx="220">
                  <c:v>1.5</c:v>
                </c:pt>
                <c:pt idx="221">
                  <c:v>1</c:v>
                </c:pt>
                <c:pt idx="222">
                  <c:v>1.2</c:v>
                </c:pt>
                <c:pt idx="223">
                  <c:v>1</c:v>
                </c:pt>
                <c:pt idx="224">
                  <c:v>1.5</c:v>
                </c:pt>
              </c:numCache>
            </c:numRef>
          </c:yVal>
        </c:ser>
        <c:dLbls/>
        <c:axId val="91996160"/>
        <c:axId val="91994368"/>
      </c:scatterChart>
      <c:valAx>
        <c:axId val="91996160"/>
        <c:scaling>
          <c:orientation val="minMax"/>
          <c:max val="2015"/>
          <c:min val="1985"/>
        </c:scaling>
        <c:axPos val="b"/>
        <c:title>
          <c:tx>
            <c:rich>
              <a:bodyPr/>
              <a:lstStyle/>
              <a:p>
                <a:pPr>
                  <a:defRPr/>
                </a:pPr>
                <a:r>
                  <a:rPr lang="en-GB"/>
                  <a:t>Year</a:t>
                </a:r>
                <a:r>
                  <a:rPr lang="en-GB" baseline="0"/>
                  <a:t> of Publication</a:t>
                </a:r>
                <a:endParaRPr lang="en-GB"/>
              </a:p>
            </c:rich>
          </c:tx>
          <c:layout/>
        </c:title>
        <c:numFmt formatCode="General" sourceLinked="1"/>
        <c:majorTickMark val="none"/>
        <c:tickLblPos val="nextTo"/>
        <c:crossAx val="91994368"/>
        <c:crosses val="autoZero"/>
        <c:crossBetween val="midCat"/>
      </c:valAx>
      <c:valAx>
        <c:axId val="91994368"/>
        <c:scaling>
          <c:orientation val="minMax"/>
        </c:scaling>
        <c:axPos val="l"/>
        <c:majorGridlines/>
        <c:title>
          <c:tx>
            <c:rich>
              <a:bodyPr/>
              <a:lstStyle/>
              <a:p>
                <a:pPr>
                  <a:defRPr/>
                </a:pPr>
                <a:r>
                  <a:rPr lang="en-GB"/>
                  <a:t>Slice</a:t>
                </a:r>
                <a:r>
                  <a:rPr lang="en-GB" baseline="0"/>
                  <a:t> Thickness (mm)</a:t>
                </a:r>
                <a:endParaRPr lang="en-GB"/>
              </a:p>
            </c:rich>
          </c:tx>
          <c:layout/>
        </c:title>
        <c:numFmt formatCode="General" sourceLinked="1"/>
        <c:majorTickMark val="none"/>
        <c:tickLblPos val="nextTo"/>
        <c:crossAx val="91996160"/>
        <c:crosses val="autoZero"/>
        <c:crossBetween val="midCat"/>
      </c:valAx>
    </c:plotArea>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Age Distribution of Studies</a:t>
            </a:r>
          </a:p>
        </c:rich>
      </c:tx>
      <c:layout/>
    </c:title>
    <c:plotArea>
      <c:layout/>
      <c:scatterChart>
        <c:scatterStyle val="lineMarker"/>
        <c:ser>
          <c:idx val="0"/>
          <c:order val="0"/>
          <c:tx>
            <c:v>Controls</c:v>
          </c:tx>
          <c:spPr>
            <a:ln w="28575">
              <a:noFill/>
            </a:ln>
          </c:spPr>
          <c:marker>
            <c:symbol val="diamond"/>
            <c:size val="9"/>
          </c:marker>
          <c:xVal>
            <c:numRef>
              <c:f>Database!$A$8:$A$232</c:f>
              <c:numCache>
                <c:formatCode>General</c:formatCode>
                <c:ptCount val="2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numCache>
            </c:numRef>
          </c:xVal>
          <c:yVal>
            <c:numRef>
              <c:f>Database!$BA$8:$BA$232</c:f>
              <c:numCache>
                <c:formatCode>General</c:formatCode>
                <c:ptCount val="225"/>
                <c:pt idx="0">
                  <c:v>39.9</c:v>
                </c:pt>
                <c:pt idx="1">
                  <c:v>62.4</c:v>
                </c:pt>
                <c:pt idx="2">
                  <c:v>#N/A</c:v>
                </c:pt>
                <c:pt idx="3">
                  <c:v>23.2</c:v>
                </c:pt>
                <c:pt idx="4">
                  <c:v>68.3</c:v>
                </c:pt>
                <c:pt idx="5">
                  <c:v>34.89</c:v>
                </c:pt>
                <c:pt idx="6">
                  <c:v>70.7</c:v>
                </c:pt>
                <c:pt idx="7">
                  <c:v>46</c:v>
                </c:pt>
                <c:pt idx="8">
                  <c:v>31</c:v>
                </c:pt>
                <c:pt idx="9">
                  <c:v>68</c:v>
                </c:pt>
                <c:pt idx="10">
                  <c:v>56.4</c:v>
                </c:pt>
                <c:pt idx="11">
                  <c:v>57</c:v>
                </c:pt>
                <c:pt idx="12">
                  <c:v>51.5</c:v>
                </c:pt>
                <c:pt idx="13">
                  <c:v>#N/A</c:v>
                </c:pt>
                <c:pt idx="14">
                  <c:v>#N/A</c:v>
                </c:pt>
                <c:pt idx="15">
                  <c:v>#N/A</c:v>
                </c:pt>
                <c:pt idx="16">
                  <c:v>49.1</c:v>
                </c:pt>
                <c:pt idx="17">
                  <c:v>34</c:v>
                </c:pt>
                <c:pt idx="18">
                  <c:v>#N/A</c:v>
                </c:pt>
                <c:pt idx="19">
                  <c:v>49.2</c:v>
                </c:pt>
                <c:pt idx="20">
                  <c:v>36.4</c:v>
                </c:pt>
                <c:pt idx="21">
                  <c:v>#N/A</c:v>
                </c:pt>
                <c:pt idx="22">
                  <c:v>55.8</c:v>
                </c:pt>
                <c:pt idx="23">
                  <c:v>56.6</c:v>
                </c:pt>
                <c:pt idx="24">
                  <c:v>72.5</c:v>
                </c:pt>
                <c:pt idx="25">
                  <c:v>63.5</c:v>
                </c:pt>
                <c:pt idx="26">
                  <c:v>30.5</c:v>
                </c:pt>
                <c:pt idx="27">
                  <c:v>69.099999999999994</c:v>
                </c:pt>
                <c:pt idx="28">
                  <c:v>68</c:v>
                </c:pt>
                <c:pt idx="29">
                  <c:v>39.1</c:v>
                </c:pt>
                <c:pt idx="30">
                  <c:v>39.200000000000003</c:v>
                </c:pt>
                <c:pt idx="31">
                  <c:v>#N/A</c:v>
                </c:pt>
                <c:pt idx="32">
                  <c:v>#N/A</c:v>
                </c:pt>
                <c:pt idx="33">
                  <c:v>70.8</c:v>
                </c:pt>
                <c:pt idx="34">
                  <c:v>33.299999999999997</c:v>
                </c:pt>
                <c:pt idx="35">
                  <c:v>72.599999999999994</c:v>
                </c:pt>
                <c:pt idx="36">
                  <c:v>64.2</c:v>
                </c:pt>
                <c:pt idx="37">
                  <c:v>64.400000000000006</c:v>
                </c:pt>
                <c:pt idx="38">
                  <c:v>66.5</c:v>
                </c:pt>
                <c:pt idx="39">
                  <c:v>68</c:v>
                </c:pt>
                <c:pt idx="40">
                  <c:v>38.799999999999997</c:v>
                </c:pt>
                <c:pt idx="41">
                  <c:v>41.04</c:v>
                </c:pt>
                <c:pt idx="42">
                  <c:v>34</c:v>
                </c:pt>
                <c:pt idx="43">
                  <c:v>72.8</c:v>
                </c:pt>
                <c:pt idx="44">
                  <c:v>67.2</c:v>
                </c:pt>
                <c:pt idx="45">
                  <c:v>68.2</c:v>
                </c:pt>
                <c:pt idx="46">
                  <c:v>40.299999999999997</c:v>
                </c:pt>
                <c:pt idx="47">
                  <c:v>72.900000000000006</c:v>
                </c:pt>
                <c:pt idx="48">
                  <c:v>69.430000000000007</c:v>
                </c:pt>
                <c:pt idx="49">
                  <c:v>68.2</c:v>
                </c:pt>
                <c:pt idx="50">
                  <c:v>55.1</c:v>
                </c:pt>
                <c:pt idx="51">
                  <c:v>40.299999999999997</c:v>
                </c:pt>
                <c:pt idx="52">
                  <c:v>53</c:v>
                </c:pt>
                <c:pt idx="53">
                  <c:v>69.17</c:v>
                </c:pt>
                <c:pt idx="54">
                  <c:v>71.400000000000006</c:v>
                </c:pt>
                <c:pt idx="55">
                  <c:v>28.6</c:v>
                </c:pt>
                <c:pt idx="56">
                  <c:v>72.8</c:v>
                </c:pt>
                <c:pt idx="57">
                  <c:v>52.8</c:v>
                </c:pt>
                <c:pt idx="58">
                  <c:v>53</c:v>
                </c:pt>
                <c:pt idx="59">
                  <c:v>85</c:v>
                </c:pt>
                <c:pt idx="60">
                  <c:v>52.8</c:v>
                </c:pt>
                <c:pt idx="61">
                  <c:v>45</c:v>
                </c:pt>
                <c:pt idx="62">
                  <c:v>69.430000000000007</c:v>
                </c:pt>
                <c:pt idx="63">
                  <c:v>69.430000000000007</c:v>
                </c:pt>
                <c:pt idx="64">
                  <c:v>71.790000000000006</c:v>
                </c:pt>
                <c:pt idx="65">
                  <c:v>#N/A</c:v>
                </c:pt>
                <c:pt idx="66">
                  <c:v>67.11</c:v>
                </c:pt>
                <c:pt idx="67">
                  <c:v>40.299999999999997</c:v>
                </c:pt>
                <c:pt idx="68">
                  <c:v>36.6</c:v>
                </c:pt>
                <c:pt idx="69">
                  <c:v>#N/A</c:v>
                </c:pt>
                <c:pt idx="70">
                  <c:v>72.209999999999994</c:v>
                </c:pt>
                <c:pt idx="71">
                  <c:v>42.76</c:v>
                </c:pt>
                <c:pt idx="72">
                  <c:v>66.5</c:v>
                </c:pt>
                <c:pt idx="73">
                  <c:v>#N/A</c:v>
                </c:pt>
                <c:pt idx="74">
                  <c:v>37.4</c:v>
                </c:pt>
                <c:pt idx="75">
                  <c:v>36.6</c:v>
                </c:pt>
                <c:pt idx="76">
                  <c:v>#N/A</c:v>
                </c:pt>
                <c:pt idx="77">
                  <c:v>37</c:v>
                </c:pt>
                <c:pt idx="78">
                  <c:v>45</c:v>
                </c:pt>
                <c:pt idx="79">
                  <c:v>40.6</c:v>
                </c:pt>
                <c:pt idx="80">
                  <c:v>40.6</c:v>
                </c:pt>
                <c:pt idx="81">
                  <c:v>69.430000000000007</c:v>
                </c:pt>
                <c:pt idx="82">
                  <c:v>#N/A</c:v>
                </c:pt>
                <c:pt idx="83">
                  <c:v>58.6</c:v>
                </c:pt>
                <c:pt idx="84">
                  <c:v>30.5</c:v>
                </c:pt>
                <c:pt idx="85">
                  <c:v>49.3</c:v>
                </c:pt>
                <c:pt idx="86">
                  <c:v>14.6</c:v>
                </c:pt>
                <c:pt idx="87">
                  <c:v>65.900000000000006</c:v>
                </c:pt>
                <c:pt idx="88">
                  <c:v>50</c:v>
                </c:pt>
                <c:pt idx="89">
                  <c:v>72.900000000000006</c:v>
                </c:pt>
                <c:pt idx="90">
                  <c:v>58.6</c:v>
                </c:pt>
                <c:pt idx="91">
                  <c:v>#N/A</c:v>
                </c:pt>
                <c:pt idx="92">
                  <c:v>35.06</c:v>
                </c:pt>
                <c:pt idx="93">
                  <c:v>71.150000000000006</c:v>
                </c:pt>
                <c:pt idx="94">
                  <c:v>#N/A</c:v>
                </c:pt>
                <c:pt idx="95">
                  <c:v>28.4</c:v>
                </c:pt>
                <c:pt idx="96">
                  <c:v>39.299999999999997</c:v>
                </c:pt>
                <c:pt idx="97">
                  <c:v>33.200000000000003</c:v>
                </c:pt>
                <c:pt idx="98">
                  <c:v>36.799999999999997</c:v>
                </c:pt>
                <c:pt idx="99">
                  <c:v>#N/A</c:v>
                </c:pt>
                <c:pt idx="100">
                  <c:v>#N/A</c:v>
                </c:pt>
                <c:pt idx="101">
                  <c:v>35.9</c:v>
                </c:pt>
                <c:pt idx="102">
                  <c:v>70.8</c:v>
                </c:pt>
                <c:pt idx="103">
                  <c:v>70.900000000000006</c:v>
                </c:pt>
                <c:pt idx="104">
                  <c:v>71.42</c:v>
                </c:pt>
                <c:pt idx="105">
                  <c:v>72.8</c:v>
                </c:pt>
                <c:pt idx="106">
                  <c:v>66.239999999999995</c:v>
                </c:pt>
                <c:pt idx="107">
                  <c:v>73.88</c:v>
                </c:pt>
                <c:pt idx="108">
                  <c:v>66.239999999999995</c:v>
                </c:pt>
                <c:pt idx="109">
                  <c:v>37</c:v>
                </c:pt>
                <c:pt idx="110">
                  <c:v>69.900000000000006</c:v>
                </c:pt>
                <c:pt idx="111">
                  <c:v>36.700000000000003</c:v>
                </c:pt>
                <c:pt idx="112">
                  <c:v>74.900000000000006</c:v>
                </c:pt>
                <c:pt idx="113">
                  <c:v>41.7</c:v>
                </c:pt>
                <c:pt idx="114">
                  <c:v>45.7</c:v>
                </c:pt>
                <c:pt idx="115">
                  <c:v>34.799999999999997</c:v>
                </c:pt>
                <c:pt idx="116">
                  <c:v>62.37</c:v>
                </c:pt>
                <c:pt idx="117">
                  <c:v>37.03</c:v>
                </c:pt>
                <c:pt idx="118">
                  <c:v>32</c:v>
                </c:pt>
                <c:pt idx="119">
                  <c:v>72.2</c:v>
                </c:pt>
                <c:pt idx="120">
                  <c:v>73.099999999999994</c:v>
                </c:pt>
                <c:pt idx="121">
                  <c:v>16.23</c:v>
                </c:pt>
                <c:pt idx="122">
                  <c:v>16.23</c:v>
                </c:pt>
                <c:pt idx="123">
                  <c:v>48.3</c:v>
                </c:pt>
                <c:pt idx="124">
                  <c:v>34</c:v>
                </c:pt>
                <c:pt idx="125">
                  <c:v>35.43</c:v>
                </c:pt>
                <c:pt idx="126">
                  <c:v>73.599999999999994</c:v>
                </c:pt>
                <c:pt idx="127">
                  <c:v>22.1</c:v>
                </c:pt>
                <c:pt idx="128">
                  <c:v>55.8</c:v>
                </c:pt>
                <c:pt idx="129">
                  <c:v>54.7</c:v>
                </c:pt>
                <c:pt idx="130">
                  <c:v>39.200000000000003</c:v>
                </c:pt>
                <c:pt idx="131">
                  <c:v>35.799999999999997</c:v>
                </c:pt>
                <c:pt idx="132">
                  <c:v>72.2</c:v>
                </c:pt>
                <c:pt idx="133">
                  <c:v>70.2</c:v>
                </c:pt>
                <c:pt idx="134">
                  <c:v>52.69</c:v>
                </c:pt>
                <c:pt idx="135">
                  <c:v>38</c:v>
                </c:pt>
                <c:pt idx="136">
                  <c:v>28</c:v>
                </c:pt>
                <c:pt idx="137">
                  <c:v>14.08</c:v>
                </c:pt>
                <c:pt idx="138">
                  <c:v>69.849999999999994</c:v>
                </c:pt>
                <c:pt idx="139">
                  <c:v>69.400000000000006</c:v>
                </c:pt>
                <c:pt idx="140">
                  <c:v>71.7</c:v>
                </c:pt>
                <c:pt idx="141">
                  <c:v>22.5</c:v>
                </c:pt>
                <c:pt idx="142">
                  <c:v>36.700000000000003</c:v>
                </c:pt>
                <c:pt idx="143">
                  <c:v>72.599999999999994</c:v>
                </c:pt>
                <c:pt idx="144">
                  <c:v>69.83</c:v>
                </c:pt>
                <c:pt idx="145">
                  <c:v>43.6</c:v>
                </c:pt>
                <c:pt idx="146">
                  <c:v>70</c:v>
                </c:pt>
                <c:pt idx="147">
                  <c:v>39.200000000000003</c:v>
                </c:pt>
                <c:pt idx="148">
                  <c:v>63.9</c:v>
                </c:pt>
                <c:pt idx="149">
                  <c:v>68.599999999999994</c:v>
                </c:pt>
                <c:pt idx="150">
                  <c:v>14.33</c:v>
                </c:pt>
                <c:pt idx="151">
                  <c:v>72.900000000000006</c:v>
                </c:pt>
                <c:pt idx="152">
                  <c:v>30.16</c:v>
                </c:pt>
                <c:pt idx="153">
                  <c:v>26.9</c:v>
                </c:pt>
                <c:pt idx="154">
                  <c:v>32</c:v>
                </c:pt>
                <c:pt idx="155">
                  <c:v>72.3</c:v>
                </c:pt>
                <c:pt idx="156">
                  <c:v>13.9</c:v>
                </c:pt>
                <c:pt idx="157">
                  <c:v>53.8</c:v>
                </c:pt>
                <c:pt idx="158">
                  <c:v>41.6</c:v>
                </c:pt>
                <c:pt idx="159">
                  <c:v>55.8</c:v>
                </c:pt>
                <c:pt idx="160">
                  <c:v>71.05</c:v>
                </c:pt>
                <c:pt idx="161">
                  <c:v>72.19</c:v>
                </c:pt>
                <c:pt idx="162">
                  <c:v>#N/A</c:v>
                </c:pt>
                <c:pt idx="163">
                  <c:v>31.3</c:v>
                </c:pt>
                <c:pt idx="164">
                  <c:v>20.73</c:v>
                </c:pt>
                <c:pt idx="165">
                  <c:v>72.8</c:v>
                </c:pt>
                <c:pt idx="166">
                  <c:v>74.06</c:v>
                </c:pt>
                <c:pt idx="167">
                  <c:v>70.3</c:v>
                </c:pt>
                <c:pt idx="168">
                  <c:v>71</c:v>
                </c:pt>
                <c:pt idx="169">
                  <c:v>72.38</c:v>
                </c:pt>
                <c:pt idx="170">
                  <c:v>72.38</c:v>
                </c:pt>
                <c:pt idx="171">
                  <c:v>14.4</c:v>
                </c:pt>
                <c:pt idx="172">
                  <c:v>30.4</c:v>
                </c:pt>
                <c:pt idx="173">
                  <c:v>72.2</c:v>
                </c:pt>
                <c:pt idx="174">
                  <c:v>71</c:v>
                </c:pt>
                <c:pt idx="175">
                  <c:v>34.200000000000003</c:v>
                </c:pt>
                <c:pt idx="176">
                  <c:v>44.1</c:v>
                </c:pt>
                <c:pt idx="177">
                  <c:v>41.6</c:v>
                </c:pt>
                <c:pt idx="178">
                  <c:v>43.6</c:v>
                </c:pt>
                <c:pt idx="179">
                  <c:v>36.6</c:v>
                </c:pt>
                <c:pt idx="180">
                  <c:v>69</c:v>
                </c:pt>
                <c:pt idx="181">
                  <c:v>32.200000000000003</c:v>
                </c:pt>
                <c:pt idx="182">
                  <c:v>#N/A</c:v>
                </c:pt>
                <c:pt idx="183">
                  <c:v>46</c:v>
                </c:pt>
                <c:pt idx="184">
                  <c:v>16.3</c:v>
                </c:pt>
                <c:pt idx="185">
                  <c:v>14.51</c:v>
                </c:pt>
                <c:pt idx="186">
                  <c:v>14.4</c:v>
                </c:pt>
                <c:pt idx="187">
                  <c:v>69.7</c:v>
                </c:pt>
                <c:pt idx="188">
                  <c:v>70</c:v>
                </c:pt>
                <c:pt idx="189">
                  <c:v>41.9</c:v>
                </c:pt>
                <c:pt idx="190">
                  <c:v>67.2</c:v>
                </c:pt>
                <c:pt idx="191">
                  <c:v>69.900000000000006</c:v>
                </c:pt>
                <c:pt idx="192">
                  <c:v>28.4</c:v>
                </c:pt>
                <c:pt idx="193">
                  <c:v>30.4</c:v>
                </c:pt>
                <c:pt idx="194">
                  <c:v>69</c:v>
                </c:pt>
                <c:pt idx="195">
                  <c:v>28.21</c:v>
                </c:pt>
                <c:pt idx="196">
                  <c:v>69.900000000000006</c:v>
                </c:pt>
                <c:pt idx="197">
                  <c:v>59.2</c:v>
                </c:pt>
                <c:pt idx="198">
                  <c:v>33</c:v>
                </c:pt>
                <c:pt idx="199">
                  <c:v>70</c:v>
                </c:pt>
                <c:pt idx="200">
                  <c:v>43.9</c:v>
                </c:pt>
                <c:pt idx="201">
                  <c:v>29.3</c:v>
                </c:pt>
                <c:pt idx="202">
                  <c:v>53.8</c:v>
                </c:pt>
                <c:pt idx="203">
                  <c:v>#N/A</c:v>
                </c:pt>
                <c:pt idx="204">
                  <c:v>34.03</c:v>
                </c:pt>
                <c:pt idx="205">
                  <c:v>34.68</c:v>
                </c:pt>
                <c:pt idx="206">
                  <c:v>33.299999999999997</c:v>
                </c:pt>
                <c:pt idx="207">
                  <c:v>41.79</c:v>
                </c:pt>
                <c:pt idx="208">
                  <c:v>69.8</c:v>
                </c:pt>
                <c:pt idx="209">
                  <c:v>42.8</c:v>
                </c:pt>
                <c:pt idx="210">
                  <c:v>38.799999999999997</c:v>
                </c:pt>
                <c:pt idx="211">
                  <c:v>68.900000000000006</c:v>
                </c:pt>
                <c:pt idx="212">
                  <c:v>34.6</c:v>
                </c:pt>
                <c:pt idx="213">
                  <c:v>34</c:v>
                </c:pt>
                <c:pt idx="214">
                  <c:v>34</c:v>
                </c:pt>
                <c:pt idx="215">
                  <c:v>69.900000000000006</c:v>
                </c:pt>
                <c:pt idx="216">
                  <c:v>37.299999999999997</c:v>
                </c:pt>
                <c:pt idx="217">
                  <c:v>34.409999999999997</c:v>
                </c:pt>
                <c:pt idx="218">
                  <c:v>71.099999999999994</c:v>
                </c:pt>
                <c:pt idx="219">
                  <c:v>37.200000000000003</c:v>
                </c:pt>
                <c:pt idx="220">
                  <c:v>34.700000000000003</c:v>
                </c:pt>
                <c:pt idx="221">
                  <c:v>72.8</c:v>
                </c:pt>
                <c:pt idx="222">
                  <c:v>15.1</c:v>
                </c:pt>
                <c:pt idx="223">
                  <c:v>34</c:v>
                </c:pt>
                <c:pt idx="224">
                  <c:v>35.799999999999997</c:v>
                </c:pt>
              </c:numCache>
            </c:numRef>
          </c:yVal>
        </c:ser>
        <c:ser>
          <c:idx val="1"/>
          <c:order val="1"/>
          <c:tx>
            <c:v>MDD Group</c:v>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errBars>
          <c:errBars>
            <c:errDir val="x"/>
            <c:errBarType val="both"/>
            <c:errValType val="fixedVal"/>
            <c:val val="1"/>
          </c:errBars>
          <c:xVal>
            <c:numRef>
              <c:f>Database!$A$8:$A$232</c:f>
              <c:numCache>
                <c:formatCode>General</c:formatCode>
                <c:ptCount val="2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numCache>
            </c:numRef>
          </c:xVal>
          <c:yVal>
            <c:numRef>
              <c:f>Database!$AY$8:$AY$232</c:f>
              <c:numCache>
                <c:formatCode>General</c:formatCode>
                <c:ptCount val="225"/>
                <c:pt idx="0">
                  <c:v>39.15</c:v>
                </c:pt>
                <c:pt idx="1">
                  <c:v>58.6</c:v>
                </c:pt>
                <c:pt idx="2">
                  <c:v>37.299999999999997</c:v>
                </c:pt>
                <c:pt idx="3">
                  <c:v>22.6</c:v>
                </c:pt>
                <c:pt idx="4">
                  <c:v>70</c:v>
                </c:pt>
                <c:pt idx="5">
                  <c:v>37.26</c:v>
                </c:pt>
                <c:pt idx="6">
                  <c:v>71.7</c:v>
                </c:pt>
                <c:pt idx="7">
                  <c:v>47</c:v>
                </c:pt>
                <c:pt idx="8">
                  <c:v>#N/A</c:v>
                </c:pt>
                <c:pt idx="9">
                  <c:v>73.2</c:v>
                </c:pt>
                <c:pt idx="10">
                  <c:v>55.3</c:v>
                </c:pt>
                <c:pt idx="11">
                  <c:v>52</c:v>
                </c:pt>
                <c:pt idx="12">
                  <c:v>53.8</c:v>
                </c:pt>
                <c:pt idx="13">
                  <c:v>#N/A</c:v>
                </c:pt>
                <c:pt idx="14">
                  <c:v>#N/A</c:v>
                </c:pt>
                <c:pt idx="15">
                  <c:v>#N/A</c:v>
                </c:pt>
                <c:pt idx="16">
                  <c:v>51.2</c:v>
                </c:pt>
                <c:pt idx="17">
                  <c:v>40.299999999999997</c:v>
                </c:pt>
                <c:pt idx="18">
                  <c:v>#N/A</c:v>
                </c:pt>
                <c:pt idx="19">
                  <c:v>48.3</c:v>
                </c:pt>
                <c:pt idx="20">
                  <c:v>40.700000000000003</c:v>
                </c:pt>
                <c:pt idx="21">
                  <c:v>#N/A</c:v>
                </c:pt>
                <c:pt idx="22">
                  <c:v>57.6</c:v>
                </c:pt>
                <c:pt idx="23">
                  <c:v>46.7</c:v>
                </c:pt>
                <c:pt idx="24">
                  <c:v>74.099999999999994</c:v>
                </c:pt>
                <c:pt idx="25">
                  <c:v>65</c:v>
                </c:pt>
                <c:pt idx="26">
                  <c:v>32.9</c:v>
                </c:pt>
                <c:pt idx="27">
                  <c:v>60.9</c:v>
                </c:pt>
                <c:pt idx="28">
                  <c:v>69</c:v>
                </c:pt>
                <c:pt idx="29">
                  <c:v>38.6</c:v>
                </c:pt>
                <c:pt idx="30">
                  <c:v>38.9</c:v>
                </c:pt>
                <c:pt idx="31">
                  <c:v>#N/A</c:v>
                </c:pt>
                <c:pt idx="32">
                  <c:v>#N/A</c:v>
                </c:pt>
                <c:pt idx="33">
                  <c:v>70.7</c:v>
                </c:pt>
                <c:pt idx="34">
                  <c:v>38.700000000000003</c:v>
                </c:pt>
                <c:pt idx="35">
                  <c:v>74.599999999999994</c:v>
                </c:pt>
                <c:pt idx="36">
                  <c:v>67</c:v>
                </c:pt>
                <c:pt idx="37">
                  <c:v>#N/A</c:v>
                </c:pt>
                <c:pt idx="38">
                  <c:v>64.8</c:v>
                </c:pt>
                <c:pt idx="39">
                  <c:v>68.5</c:v>
                </c:pt>
                <c:pt idx="40">
                  <c:v>43.4</c:v>
                </c:pt>
                <c:pt idx="41">
                  <c:v>51.09</c:v>
                </c:pt>
                <c:pt idx="42">
                  <c:v>35</c:v>
                </c:pt>
                <c:pt idx="43">
                  <c:v>75.900000000000006</c:v>
                </c:pt>
                <c:pt idx="44">
                  <c:v>74.2</c:v>
                </c:pt>
                <c:pt idx="45">
                  <c:v>72.400000000000006</c:v>
                </c:pt>
                <c:pt idx="46">
                  <c:v>38.5</c:v>
                </c:pt>
                <c:pt idx="47">
                  <c:v>74.7</c:v>
                </c:pt>
                <c:pt idx="48">
                  <c:v>74.569999999999993</c:v>
                </c:pt>
                <c:pt idx="49">
                  <c:v>72.400000000000006</c:v>
                </c:pt>
                <c:pt idx="50">
                  <c:v>55.4</c:v>
                </c:pt>
                <c:pt idx="51">
                  <c:v>38.5</c:v>
                </c:pt>
                <c:pt idx="52">
                  <c:v>54</c:v>
                </c:pt>
                <c:pt idx="53">
                  <c:v>70.72</c:v>
                </c:pt>
                <c:pt idx="54">
                  <c:v>74.3</c:v>
                </c:pt>
                <c:pt idx="55">
                  <c:v>#N/A</c:v>
                </c:pt>
                <c:pt idx="56">
                  <c:v>74.599999999999994</c:v>
                </c:pt>
                <c:pt idx="57">
                  <c:v>52.7</c:v>
                </c:pt>
                <c:pt idx="58">
                  <c:v>53</c:v>
                </c:pt>
                <c:pt idx="59">
                  <c:v>85</c:v>
                </c:pt>
                <c:pt idx="60">
                  <c:v>52.8</c:v>
                </c:pt>
                <c:pt idx="61">
                  <c:v>43</c:v>
                </c:pt>
                <c:pt idx="62">
                  <c:v>74.3</c:v>
                </c:pt>
                <c:pt idx="63">
                  <c:v>74.290000000000006</c:v>
                </c:pt>
                <c:pt idx="64">
                  <c:v>66.650000000000006</c:v>
                </c:pt>
                <c:pt idx="65">
                  <c:v>69.3</c:v>
                </c:pt>
                <c:pt idx="66">
                  <c:v>71.739999999999995</c:v>
                </c:pt>
                <c:pt idx="67">
                  <c:v>38.5</c:v>
                </c:pt>
                <c:pt idx="68">
                  <c:v>42.8</c:v>
                </c:pt>
                <c:pt idx="69">
                  <c:v>#N/A</c:v>
                </c:pt>
                <c:pt idx="70">
                  <c:v>72.599999999999994</c:v>
                </c:pt>
                <c:pt idx="71">
                  <c:v>43.56</c:v>
                </c:pt>
                <c:pt idx="72">
                  <c:v>71</c:v>
                </c:pt>
                <c:pt idx="73">
                  <c:v>#N/A</c:v>
                </c:pt>
                <c:pt idx="74">
                  <c:v>33.200000000000003</c:v>
                </c:pt>
                <c:pt idx="75">
                  <c:v>41.2</c:v>
                </c:pt>
                <c:pt idx="76">
                  <c:v>#N/A</c:v>
                </c:pt>
                <c:pt idx="77">
                  <c:v>42</c:v>
                </c:pt>
                <c:pt idx="78">
                  <c:v>43</c:v>
                </c:pt>
                <c:pt idx="79">
                  <c:v>40.299999999999997</c:v>
                </c:pt>
                <c:pt idx="80">
                  <c:v>40.299999999999997</c:v>
                </c:pt>
                <c:pt idx="81">
                  <c:v>74.3</c:v>
                </c:pt>
                <c:pt idx="82">
                  <c:v>#N/A</c:v>
                </c:pt>
                <c:pt idx="83">
                  <c:v>60.8</c:v>
                </c:pt>
                <c:pt idx="84">
                  <c:v>#N/A</c:v>
                </c:pt>
                <c:pt idx="85">
                  <c:v>#N/A</c:v>
                </c:pt>
                <c:pt idx="86">
                  <c:v>15.4</c:v>
                </c:pt>
                <c:pt idx="87">
                  <c:v>66.7</c:v>
                </c:pt>
                <c:pt idx="88">
                  <c:v>55</c:v>
                </c:pt>
                <c:pt idx="89">
                  <c:v>#N/A</c:v>
                </c:pt>
                <c:pt idx="90">
                  <c:v>60.6</c:v>
                </c:pt>
                <c:pt idx="91">
                  <c:v>#N/A</c:v>
                </c:pt>
                <c:pt idx="92">
                  <c:v>41.2</c:v>
                </c:pt>
                <c:pt idx="93">
                  <c:v>68.73</c:v>
                </c:pt>
                <c:pt idx="94">
                  <c:v>#N/A</c:v>
                </c:pt>
                <c:pt idx="95">
                  <c:v>28.4</c:v>
                </c:pt>
                <c:pt idx="96">
                  <c:v>39.799999999999997</c:v>
                </c:pt>
                <c:pt idx="97">
                  <c:v>33</c:v>
                </c:pt>
                <c:pt idx="98">
                  <c:v>42.8</c:v>
                </c:pt>
                <c:pt idx="99">
                  <c:v>50.8</c:v>
                </c:pt>
                <c:pt idx="100">
                  <c:v>#N/A</c:v>
                </c:pt>
                <c:pt idx="101">
                  <c:v>34.4</c:v>
                </c:pt>
                <c:pt idx="102">
                  <c:v>69.7</c:v>
                </c:pt>
                <c:pt idx="103">
                  <c:v>69.599999999999994</c:v>
                </c:pt>
                <c:pt idx="104">
                  <c:v>68.73</c:v>
                </c:pt>
                <c:pt idx="105">
                  <c:v>#N/A</c:v>
                </c:pt>
                <c:pt idx="106">
                  <c:v>65.849999999999994</c:v>
                </c:pt>
                <c:pt idx="107">
                  <c:v>75.239999999999995</c:v>
                </c:pt>
                <c:pt idx="108">
                  <c:v>65.849999999999994</c:v>
                </c:pt>
                <c:pt idx="109">
                  <c:v>41</c:v>
                </c:pt>
                <c:pt idx="110">
                  <c:v>70.8</c:v>
                </c:pt>
                <c:pt idx="111">
                  <c:v>39.200000000000003</c:v>
                </c:pt>
                <c:pt idx="112">
                  <c:v>75.7</c:v>
                </c:pt>
                <c:pt idx="113">
                  <c:v>44.4</c:v>
                </c:pt>
                <c:pt idx="114">
                  <c:v>48.4</c:v>
                </c:pt>
                <c:pt idx="115">
                  <c:v>38.9</c:v>
                </c:pt>
                <c:pt idx="116">
                  <c:v>64.040000000000006</c:v>
                </c:pt>
                <c:pt idx="117">
                  <c:v>39.26</c:v>
                </c:pt>
                <c:pt idx="118">
                  <c:v>34</c:v>
                </c:pt>
                <c:pt idx="119">
                  <c:v>70.5</c:v>
                </c:pt>
                <c:pt idx="120">
                  <c:v>74</c:v>
                </c:pt>
                <c:pt idx="121">
                  <c:v>16.670000000000002</c:v>
                </c:pt>
                <c:pt idx="122">
                  <c:v>16.670000000000002</c:v>
                </c:pt>
                <c:pt idx="123">
                  <c:v>48.9</c:v>
                </c:pt>
                <c:pt idx="124">
                  <c:v>41</c:v>
                </c:pt>
                <c:pt idx="125">
                  <c:v>39.5</c:v>
                </c:pt>
                <c:pt idx="126">
                  <c:v>69.900000000000006</c:v>
                </c:pt>
                <c:pt idx="127">
                  <c:v>21.9</c:v>
                </c:pt>
                <c:pt idx="128">
                  <c:v>53.5</c:v>
                </c:pt>
                <c:pt idx="129">
                  <c:v>52.8</c:v>
                </c:pt>
                <c:pt idx="130">
                  <c:v>40.6</c:v>
                </c:pt>
                <c:pt idx="131">
                  <c:v>41.4</c:v>
                </c:pt>
                <c:pt idx="132">
                  <c:v>70.5</c:v>
                </c:pt>
                <c:pt idx="133">
                  <c:v>72.2</c:v>
                </c:pt>
                <c:pt idx="134">
                  <c:v>53.43</c:v>
                </c:pt>
                <c:pt idx="135">
                  <c:v>40.1</c:v>
                </c:pt>
                <c:pt idx="136">
                  <c:v>#N/A</c:v>
                </c:pt>
                <c:pt idx="137">
                  <c:v>15.35</c:v>
                </c:pt>
                <c:pt idx="138">
                  <c:v>70.48</c:v>
                </c:pt>
                <c:pt idx="139">
                  <c:v>70</c:v>
                </c:pt>
                <c:pt idx="140">
                  <c:v>70</c:v>
                </c:pt>
                <c:pt idx="141">
                  <c:v>26.1</c:v>
                </c:pt>
                <c:pt idx="142">
                  <c:v>39.200000000000003</c:v>
                </c:pt>
                <c:pt idx="143">
                  <c:v>75.099999999999994</c:v>
                </c:pt>
                <c:pt idx="144">
                  <c:v>68.930000000000007</c:v>
                </c:pt>
                <c:pt idx="145">
                  <c:v>45.5</c:v>
                </c:pt>
                <c:pt idx="146">
                  <c:v>70.2</c:v>
                </c:pt>
                <c:pt idx="147">
                  <c:v>#N/A</c:v>
                </c:pt>
                <c:pt idx="148">
                  <c:v>#N/A</c:v>
                </c:pt>
                <c:pt idx="149">
                  <c:v>68.2</c:v>
                </c:pt>
                <c:pt idx="150">
                  <c:v>14.49</c:v>
                </c:pt>
                <c:pt idx="151">
                  <c:v>71</c:v>
                </c:pt>
                <c:pt idx="152">
                  <c:v>33.4</c:v>
                </c:pt>
                <c:pt idx="153">
                  <c:v>22.6</c:v>
                </c:pt>
                <c:pt idx="154">
                  <c:v>34</c:v>
                </c:pt>
                <c:pt idx="155">
                  <c:v>72.2</c:v>
                </c:pt>
                <c:pt idx="156">
                  <c:v>13</c:v>
                </c:pt>
                <c:pt idx="157">
                  <c:v>54.5</c:v>
                </c:pt>
                <c:pt idx="158">
                  <c:v>44.2</c:v>
                </c:pt>
                <c:pt idx="159">
                  <c:v>52</c:v>
                </c:pt>
                <c:pt idx="160">
                  <c:v>#N/A</c:v>
                </c:pt>
                <c:pt idx="161">
                  <c:v>70.67</c:v>
                </c:pt>
                <c:pt idx="162">
                  <c:v>#N/A</c:v>
                </c:pt>
                <c:pt idx="163">
                  <c:v>#N/A</c:v>
                </c:pt>
                <c:pt idx="164">
                  <c:v>20.54</c:v>
                </c:pt>
                <c:pt idx="165">
                  <c:v>#N/A</c:v>
                </c:pt>
                <c:pt idx="166">
                  <c:v>71.61</c:v>
                </c:pt>
                <c:pt idx="167">
                  <c:v>70</c:v>
                </c:pt>
                <c:pt idx="168">
                  <c:v>72.2</c:v>
                </c:pt>
                <c:pt idx="169">
                  <c:v>71.099999999999994</c:v>
                </c:pt>
                <c:pt idx="170">
                  <c:v>71.099999999999994</c:v>
                </c:pt>
                <c:pt idx="171">
                  <c:v>14.4</c:v>
                </c:pt>
                <c:pt idx="172">
                  <c:v>31.7</c:v>
                </c:pt>
                <c:pt idx="173">
                  <c:v>#N/A</c:v>
                </c:pt>
                <c:pt idx="174">
                  <c:v>70</c:v>
                </c:pt>
                <c:pt idx="175">
                  <c:v>39.200000000000003</c:v>
                </c:pt>
                <c:pt idx="176">
                  <c:v>44.7</c:v>
                </c:pt>
                <c:pt idx="177">
                  <c:v>44.2</c:v>
                </c:pt>
                <c:pt idx="178">
                  <c:v>45</c:v>
                </c:pt>
                <c:pt idx="179">
                  <c:v>37.53</c:v>
                </c:pt>
                <c:pt idx="180">
                  <c:v>#N/A</c:v>
                </c:pt>
                <c:pt idx="181">
                  <c:v>#N/A</c:v>
                </c:pt>
                <c:pt idx="182">
                  <c:v>#N/A</c:v>
                </c:pt>
                <c:pt idx="183">
                  <c:v>50</c:v>
                </c:pt>
                <c:pt idx="184">
                  <c:v>16.78</c:v>
                </c:pt>
                <c:pt idx="185">
                  <c:v>14.08</c:v>
                </c:pt>
                <c:pt idx="186">
                  <c:v>14.4</c:v>
                </c:pt>
                <c:pt idx="187">
                  <c:v>68.7</c:v>
                </c:pt>
                <c:pt idx="188">
                  <c:v>69.900000000000006</c:v>
                </c:pt>
                <c:pt idx="189">
                  <c:v>41.7</c:v>
                </c:pt>
                <c:pt idx="190">
                  <c:v>69.8</c:v>
                </c:pt>
                <c:pt idx="191">
                  <c:v>70</c:v>
                </c:pt>
                <c:pt idx="192">
                  <c:v>28.8</c:v>
                </c:pt>
                <c:pt idx="193">
                  <c:v>30.5</c:v>
                </c:pt>
                <c:pt idx="194">
                  <c:v>65.900000000000006</c:v>
                </c:pt>
                <c:pt idx="195">
                  <c:v>33.159999999999997</c:v>
                </c:pt>
                <c:pt idx="196">
                  <c:v>70.5</c:v>
                </c:pt>
                <c:pt idx="197">
                  <c:v>57.4</c:v>
                </c:pt>
                <c:pt idx="198">
                  <c:v>#N/A</c:v>
                </c:pt>
                <c:pt idx="199">
                  <c:v>69.900000000000006</c:v>
                </c:pt>
                <c:pt idx="200">
                  <c:v>48.2</c:v>
                </c:pt>
                <c:pt idx="201">
                  <c:v>32</c:v>
                </c:pt>
                <c:pt idx="202">
                  <c:v>54.5</c:v>
                </c:pt>
                <c:pt idx="203">
                  <c:v>43.54</c:v>
                </c:pt>
                <c:pt idx="204">
                  <c:v>#N/A</c:v>
                </c:pt>
                <c:pt idx="205">
                  <c:v>#N/A</c:v>
                </c:pt>
                <c:pt idx="206">
                  <c:v>44.6</c:v>
                </c:pt>
                <c:pt idx="207">
                  <c:v>#N/A</c:v>
                </c:pt>
                <c:pt idx="208">
                  <c:v>69.400000000000006</c:v>
                </c:pt>
                <c:pt idx="209">
                  <c:v>47.2</c:v>
                </c:pt>
                <c:pt idx="210">
                  <c:v>43.17</c:v>
                </c:pt>
                <c:pt idx="211">
                  <c:v>#N/A</c:v>
                </c:pt>
                <c:pt idx="212">
                  <c:v>40.78</c:v>
                </c:pt>
                <c:pt idx="213">
                  <c:v>#N/A</c:v>
                </c:pt>
                <c:pt idx="214">
                  <c:v>#N/A</c:v>
                </c:pt>
                <c:pt idx="215">
                  <c:v>69.3</c:v>
                </c:pt>
                <c:pt idx="216">
                  <c:v>#N/A</c:v>
                </c:pt>
                <c:pt idx="217">
                  <c:v>#N/A</c:v>
                </c:pt>
                <c:pt idx="218">
                  <c:v>66.11</c:v>
                </c:pt>
                <c:pt idx="219">
                  <c:v>41.4</c:v>
                </c:pt>
                <c:pt idx="220">
                  <c:v>35.6</c:v>
                </c:pt>
                <c:pt idx="221">
                  <c:v>74.099999999999994</c:v>
                </c:pt>
                <c:pt idx="222">
                  <c:v>14.6</c:v>
                </c:pt>
                <c:pt idx="223">
                  <c:v>#N/A</c:v>
                </c:pt>
                <c:pt idx="224">
                  <c:v>#N/A</c:v>
                </c:pt>
              </c:numCache>
            </c:numRef>
          </c:yVal>
        </c:ser>
        <c:dLbls/>
        <c:axId val="184812672"/>
        <c:axId val="184679808"/>
      </c:scatterChart>
      <c:valAx>
        <c:axId val="184812672"/>
        <c:scaling>
          <c:orientation val="minMax"/>
        </c:scaling>
        <c:axPos val="b"/>
        <c:title>
          <c:tx>
            <c:rich>
              <a:bodyPr/>
              <a:lstStyle/>
              <a:p>
                <a:pPr>
                  <a:defRPr/>
                </a:pPr>
                <a:r>
                  <a:rPr lang="en-GB"/>
                  <a:t>Study (ordered by position in database)</a:t>
                </a:r>
              </a:p>
            </c:rich>
          </c:tx>
          <c:layout/>
        </c:title>
        <c:numFmt formatCode="General" sourceLinked="1"/>
        <c:majorTickMark val="none"/>
        <c:tickLblPos val="nextTo"/>
        <c:crossAx val="184679808"/>
        <c:crosses val="autoZero"/>
        <c:crossBetween val="midCat"/>
      </c:valAx>
      <c:valAx>
        <c:axId val="184679808"/>
        <c:scaling>
          <c:orientation val="minMax"/>
        </c:scaling>
        <c:axPos val="l"/>
        <c:majorGridlines/>
        <c:title>
          <c:tx>
            <c:rich>
              <a:bodyPr/>
              <a:lstStyle/>
              <a:p>
                <a:pPr>
                  <a:defRPr/>
                </a:pPr>
                <a:r>
                  <a:rPr lang="en-GB"/>
                  <a:t>Mean</a:t>
                </a:r>
                <a:r>
                  <a:rPr lang="en-GB" baseline="0"/>
                  <a:t> Age</a:t>
                </a:r>
                <a:endParaRPr lang="en-GB"/>
              </a:p>
            </c:rich>
          </c:tx>
          <c:layout/>
        </c:title>
        <c:numFmt formatCode="General" sourceLinked="1"/>
        <c:majorTickMark val="none"/>
        <c:tickLblPos val="nextTo"/>
        <c:crossAx val="184812672"/>
        <c:crosses val="autoZero"/>
        <c:crossBetween val="midCat"/>
      </c:valAx>
    </c:plotArea>
    <c:legend>
      <c:legendPos val="r"/>
      <c:layout/>
    </c:legend>
    <c:plotVisOnly val="1"/>
  </c:chart>
  <c:txPr>
    <a:bodyPr/>
    <a:lstStyle/>
    <a:p>
      <a:pPr>
        <a:defRPr sz="1200"/>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Gender Matching</a:t>
            </a:r>
            <a:r>
              <a:rPr lang="en-US" baseline="0"/>
              <a:t> in Studies</a:t>
            </a:r>
            <a:endParaRPr lang="en-US"/>
          </a:p>
        </c:rich>
      </c:tx>
      <c:layout/>
    </c:title>
    <c:plotArea>
      <c:layout/>
      <c:scatterChart>
        <c:scatterStyle val="lineMarker"/>
        <c:ser>
          <c:idx val="0"/>
          <c:order val="0"/>
          <c:spPr>
            <a:ln w="28575">
              <a:noFill/>
            </a:ln>
          </c:spPr>
          <c:xVal>
            <c:numRef>
              <c:f>Database!$BD$8:$BD$232</c:f>
              <c:numCache>
                <c:formatCode>0.0</c:formatCode>
                <c:ptCount val="225"/>
                <c:pt idx="0">
                  <c:v>#N/A</c:v>
                </c:pt>
                <c:pt idx="1">
                  <c:v>0</c:v>
                </c:pt>
                <c:pt idx="2">
                  <c:v>53.846153846153847</c:v>
                </c:pt>
                <c:pt idx="3">
                  <c:v>31.25</c:v>
                </c:pt>
                <c:pt idx="4">
                  <c:v>54.545454545454547</c:v>
                </c:pt>
                <c:pt idx="5">
                  <c:v>55.555555555555557</c:v>
                </c:pt>
                <c:pt idx="6">
                  <c:v>80</c:v>
                </c:pt>
                <c:pt idx="7">
                  <c:v>60</c:v>
                </c:pt>
                <c:pt idx="8">
                  <c:v>#N/A</c:v>
                </c:pt>
                <c:pt idx="9">
                  <c:v>71.641791044776113</c:v>
                </c:pt>
                <c:pt idx="10">
                  <c:v>#N/A</c:v>
                </c:pt>
                <c:pt idx="11">
                  <c:v>80</c:v>
                </c:pt>
                <c:pt idx="12">
                  <c:v>75</c:v>
                </c:pt>
                <c:pt idx="13">
                  <c:v>#N/A</c:v>
                </c:pt>
                <c:pt idx="14">
                  <c:v>#N/A</c:v>
                </c:pt>
                <c:pt idx="15">
                  <c:v>#N/A</c:v>
                </c:pt>
                <c:pt idx="16">
                  <c:v>72.727272727272734</c:v>
                </c:pt>
                <c:pt idx="17">
                  <c:v>#N/A</c:v>
                </c:pt>
                <c:pt idx="18">
                  <c:v>70.588235294117652</c:v>
                </c:pt>
                <c:pt idx="19">
                  <c:v>54</c:v>
                </c:pt>
                <c:pt idx="20">
                  <c:v>#N/A</c:v>
                </c:pt>
                <c:pt idx="21">
                  <c:v>#N/A</c:v>
                </c:pt>
                <c:pt idx="22">
                  <c:v>59.25925925925926</c:v>
                </c:pt>
                <c:pt idx="23">
                  <c:v>73.684210526315795</c:v>
                </c:pt>
                <c:pt idx="24">
                  <c:v>68</c:v>
                </c:pt>
                <c:pt idx="25">
                  <c:v>42.857142857142854</c:v>
                </c:pt>
                <c:pt idx="26">
                  <c:v>55</c:v>
                </c:pt>
                <c:pt idx="27">
                  <c:v>43.589743589743591</c:v>
                </c:pt>
                <c:pt idx="28">
                  <c:v>68.421052631578945</c:v>
                </c:pt>
                <c:pt idx="29">
                  <c:v>70</c:v>
                </c:pt>
                <c:pt idx="30">
                  <c:v>60.606060606060609</c:v>
                </c:pt>
                <c:pt idx="31">
                  <c:v>74.074074074074076</c:v>
                </c:pt>
                <c:pt idx="32">
                  <c:v>#N/A</c:v>
                </c:pt>
                <c:pt idx="33">
                  <c:v>82.352941176470594</c:v>
                </c:pt>
                <c:pt idx="34">
                  <c:v>66.666666666666671</c:v>
                </c:pt>
                <c:pt idx="35">
                  <c:v>68.75</c:v>
                </c:pt>
                <c:pt idx="36">
                  <c:v>84.21052631578948</c:v>
                </c:pt>
                <c:pt idx="37">
                  <c:v>50.526315789473685</c:v>
                </c:pt>
                <c:pt idx="38">
                  <c:v>0</c:v>
                </c:pt>
                <c:pt idx="39">
                  <c:v>100</c:v>
                </c:pt>
                <c:pt idx="40">
                  <c:v>59.090909090909093</c:v>
                </c:pt>
                <c:pt idx="41">
                  <c:v>73.913043478260875</c:v>
                </c:pt>
                <c:pt idx="42">
                  <c:v>58.823529411764703</c:v>
                </c:pt>
                <c:pt idx="43">
                  <c:v>50</c:v>
                </c:pt>
                <c:pt idx="44">
                  <c:v>60.714285714285715</c:v>
                </c:pt>
                <c:pt idx="45">
                  <c:v>78.94736842105263</c:v>
                </c:pt>
                <c:pt idx="46">
                  <c:v>55.263157894736842</c:v>
                </c:pt>
                <c:pt idx="47">
                  <c:v>74.285714285714292</c:v>
                </c:pt>
                <c:pt idx="48">
                  <c:v>71.428571428571431</c:v>
                </c:pt>
                <c:pt idx="49">
                  <c:v>78.94736842105263</c:v>
                </c:pt>
                <c:pt idx="50">
                  <c:v>62.5</c:v>
                </c:pt>
                <c:pt idx="51">
                  <c:v>55.263157894736842</c:v>
                </c:pt>
                <c:pt idx="52">
                  <c:v>100</c:v>
                </c:pt>
                <c:pt idx="53">
                  <c:v>79.411764705882348</c:v>
                </c:pt>
                <c:pt idx="54">
                  <c:v>70</c:v>
                </c:pt>
                <c:pt idx="55">
                  <c:v>#N/A</c:v>
                </c:pt>
                <c:pt idx="56">
                  <c:v>73.170731707317074</c:v>
                </c:pt>
                <c:pt idx="57">
                  <c:v>100</c:v>
                </c:pt>
                <c:pt idx="58">
                  <c:v>100</c:v>
                </c:pt>
                <c:pt idx="59">
                  <c:v>#N/A</c:v>
                </c:pt>
                <c:pt idx="60">
                  <c:v>100</c:v>
                </c:pt>
                <c:pt idx="61">
                  <c:v>37.5</c:v>
                </c:pt>
                <c:pt idx="62">
                  <c:v>70.588235294117652</c:v>
                </c:pt>
                <c:pt idx="63">
                  <c:v>70.588235294117652</c:v>
                </c:pt>
                <c:pt idx="64">
                  <c:v>55</c:v>
                </c:pt>
                <c:pt idx="65">
                  <c:v>#N/A</c:v>
                </c:pt>
                <c:pt idx="66">
                  <c:v>77.272727272727266</c:v>
                </c:pt>
                <c:pt idx="67">
                  <c:v>55.263157894736842</c:v>
                </c:pt>
                <c:pt idx="68">
                  <c:v>94.117647058823536</c:v>
                </c:pt>
                <c:pt idx="69">
                  <c:v>71.604938271604937</c:v>
                </c:pt>
                <c:pt idx="70">
                  <c:v>71.590909090909093</c:v>
                </c:pt>
                <c:pt idx="71">
                  <c:v>55.555555555555557</c:v>
                </c:pt>
                <c:pt idx="72">
                  <c:v>76.666666666666671</c:v>
                </c:pt>
                <c:pt idx="73">
                  <c:v>#N/A</c:v>
                </c:pt>
                <c:pt idx="74">
                  <c:v>56</c:v>
                </c:pt>
                <c:pt idx="75">
                  <c:v>92.307692307692307</c:v>
                </c:pt>
                <c:pt idx="76">
                  <c:v>100</c:v>
                </c:pt>
                <c:pt idx="77">
                  <c:v>94.444444444444443</c:v>
                </c:pt>
                <c:pt idx="78">
                  <c:v>33.333333333333336</c:v>
                </c:pt>
                <c:pt idx="79">
                  <c:v>56.666666666666664</c:v>
                </c:pt>
                <c:pt idx="80">
                  <c:v>56.666666666666664</c:v>
                </c:pt>
                <c:pt idx="81">
                  <c:v>70.588235294117652</c:v>
                </c:pt>
                <c:pt idx="82">
                  <c:v>54.545454545454547</c:v>
                </c:pt>
                <c:pt idx="83">
                  <c:v>59.649122807017541</c:v>
                </c:pt>
                <c:pt idx="84">
                  <c:v>56.756756756756758</c:v>
                </c:pt>
                <c:pt idx="85">
                  <c:v>35</c:v>
                </c:pt>
                <c:pt idx="86">
                  <c:v>84.21052631578948</c:v>
                </c:pt>
                <c:pt idx="87">
                  <c:v>73.043478260869563</c:v>
                </c:pt>
                <c:pt idx="88">
                  <c:v>56.756756756756758</c:v>
                </c:pt>
                <c:pt idx="89">
                  <c:v>80.392156862745097</c:v>
                </c:pt>
                <c:pt idx="90">
                  <c:v>60</c:v>
                </c:pt>
                <c:pt idx="91">
                  <c:v>52.631578947368418</c:v>
                </c:pt>
                <c:pt idx="92">
                  <c:v>16</c:v>
                </c:pt>
                <c:pt idx="93">
                  <c:v>51.219512195121951</c:v>
                </c:pt>
                <c:pt idx="94">
                  <c:v>56.521739130434781</c:v>
                </c:pt>
                <c:pt idx="95">
                  <c:v>35.135135135135137</c:v>
                </c:pt>
                <c:pt idx="96">
                  <c:v>#N/A</c:v>
                </c:pt>
                <c:pt idx="97">
                  <c:v>55.555555555555557</c:v>
                </c:pt>
                <c:pt idx="98">
                  <c:v>88.888888888888886</c:v>
                </c:pt>
                <c:pt idx="99">
                  <c:v>100</c:v>
                </c:pt>
                <c:pt idx="100">
                  <c:v>42.857142857142854</c:v>
                </c:pt>
                <c:pt idx="101">
                  <c:v>63.636363636363633</c:v>
                </c:pt>
                <c:pt idx="102">
                  <c:v>65.517241379310349</c:v>
                </c:pt>
                <c:pt idx="103">
                  <c:v>53.333333333333336</c:v>
                </c:pt>
                <c:pt idx="104">
                  <c:v>51.219512195121951</c:v>
                </c:pt>
                <c:pt idx="105">
                  <c:v>60</c:v>
                </c:pt>
                <c:pt idx="106">
                  <c:v>75</c:v>
                </c:pt>
                <c:pt idx="107">
                  <c:v>64.705882352941174</c:v>
                </c:pt>
                <c:pt idx="108">
                  <c:v>75</c:v>
                </c:pt>
                <c:pt idx="109">
                  <c:v>82.608695652173907</c:v>
                </c:pt>
                <c:pt idx="110">
                  <c:v>69</c:v>
                </c:pt>
                <c:pt idx="111">
                  <c:v>77.41935483870968</c:v>
                </c:pt>
                <c:pt idx="112">
                  <c:v>79.310344827586206</c:v>
                </c:pt>
                <c:pt idx="113">
                  <c:v>47.5</c:v>
                </c:pt>
                <c:pt idx="114">
                  <c:v>60</c:v>
                </c:pt>
                <c:pt idx="115">
                  <c:v>55.555555555555557</c:v>
                </c:pt>
                <c:pt idx="116">
                  <c:v>100</c:v>
                </c:pt>
                <c:pt idx="117">
                  <c:v>77.41935483870968</c:v>
                </c:pt>
                <c:pt idx="118">
                  <c:v>100</c:v>
                </c:pt>
                <c:pt idx="119">
                  <c:v>78.048780487804876</c:v>
                </c:pt>
                <c:pt idx="120">
                  <c:v>80.392156862745097</c:v>
                </c:pt>
                <c:pt idx="121">
                  <c:v>52.941176470588232</c:v>
                </c:pt>
                <c:pt idx="122">
                  <c:v>52.941176470588232</c:v>
                </c:pt>
                <c:pt idx="123">
                  <c:v>60</c:v>
                </c:pt>
                <c:pt idx="124">
                  <c:v>60.526315789473685</c:v>
                </c:pt>
                <c:pt idx="125">
                  <c:v>45.454545454545453</c:v>
                </c:pt>
                <c:pt idx="126">
                  <c:v>66.666666666666671</c:v>
                </c:pt>
                <c:pt idx="127">
                  <c:v>40</c:v>
                </c:pt>
                <c:pt idx="128">
                  <c:v>86.274509803921575</c:v>
                </c:pt>
                <c:pt idx="129">
                  <c:v>63.829787234042556</c:v>
                </c:pt>
                <c:pt idx="130">
                  <c:v>34</c:v>
                </c:pt>
                <c:pt idx="131">
                  <c:v>86.36363636363636</c:v>
                </c:pt>
                <c:pt idx="132">
                  <c:v>78.048780487804876</c:v>
                </c:pt>
                <c:pt idx="133">
                  <c:v>62.162162162162161</c:v>
                </c:pt>
                <c:pt idx="134">
                  <c:v>70.370370370370367</c:v>
                </c:pt>
                <c:pt idx="135">
                  <c:v>74.193548387096769</c:v>
                </c:pt>
                <c:pt idx="136">
                  <c:v>#N/A</c:v>
                </c:pt>
                <c:pt idx="137">
                  <c:v>85</c:v>
                </c:pt>
                <c:pt idx="138">
                  <c:v>67.193675889328063</c:v>
                </c:pt>
                <c:pt idx="139">
                  <c:v>66.666666666666671</c:v>
                </c:pt>
                <c:pt idx="140">
                  <c:v>68.867924528301884</c:v>
                </c:pt>
                <c:pt idx="141">
                  <c:v>64.705882352941174</c:v>
                </c:pt>
                <c:pt idx="142">
                  <c:v>77.41935483870968</c:v>
                </c:pt>
                <c:pt idx="143">
                  <c:v>57.142857142857146</c:v>
                </c:pt>
                <c:pt idx="144">
                  <c:v>62.195121951219512</c:v>
                </c:pt>
                <c:pt idx="145">
                  <c:v>44.117647058823529</c:v>
                </c:pt>
                <c:pt idx="146">
                  <c:v>70.879120879120876</c:v>
                </c:pt>
                <c:pt idx="147">
                  <c:v>40.476190476190474</c:v>
                </c:pt>
                <c:pt idx="148">
                  <c:v>59.615384615384613</c:v>
                </c:pt>
                <c:pt idx="149">
                  <c:v>63.265306122448976</c:v>
                </c:pt>
                <c:pt idx="150">
                  <c:v>57.142857142857146</c:v>
                </c:pt>
                <c:pt idx="151">
                  <c:v>41.379310344827587</c:v>
                </c:pt>
                <c:pt idx="152">
                  <c:v>75</c:v>
                </c:pt>
                <c:pt idx="153">
                  <c:v>41.666666666666664</c:v>
                </c:pt>
                <c:pt idx="154">
                  <c:v>100</c:v>
                </c:pt>
                <c:pt idx="155">
                  <c:v>54.545454545454547</c:v>
                </c:pt>
                <c:pt idx="156">
                  <c:v>31.578947368421051</c:v>
                </c:pt>
                <c:pt idx="157">
                  <c:v>62.5</c:v>
                </c:pt>
                <c:pt idx="158">
                  <c:v>48.333333333333336</c:v>
                </c:pt>
                <c:pt idx="159">
                  <c:v>66.666666666666671</c:v>
                </c:pt>
                <c:pt idx="160">
                  <c:v>100</c:v>
                </c:pt>
                <c:pt idx="161">
                  <c:v>76.744186046511629</c:v>
                </c:pt>
                <c:pt idx="162">
                  <c:v>51.111111111111114</c:v>
                </c:pt>
                <c:pt idx="163">
                  <c:v>100</c:v>
                </c:pt>
                <c:pt idx="164">
                  <c:v>100</c:v>
                </c:pt>
                <c:pt idx="165">
                  <c:v>60</c:v>
                </c:pt>
                <c:pt idx="166">
                  <c:v>59.036144578313255</c:v>
                </c:pt>
                <c:pt idx="167">
                  <c:v>66.371681415929203</c:v>
                </c:pt>
                <c:pt idx="168">
                  <c:v>69.014084507042256</c:v>
                </c:pt>
                <c:pt idx="169">
                  <c:v>73.913043478260875</c:v>
                </c:pt>
                <c:pt idx="170">
                  <c:v>73.913043478260875</c:v>
                </c:pt>
                <c:pt idx="171">
                  <c:v>62.962962962962962</c:v>
                </c:pt>
                <c:pt idx="172">
                  <c:v>76.470588235294116</c:v>
                </c:pt>
                <c:pt idx="173">
                  <c:v>76.744186046511629</c:v>
                </c:pt>
                <c:pt idx="174">
                  <c:v>42.307692307692307</c:v>
                </c:pt>
                <c:pt idx="175">
                  <c:v>77.41935483870968</c:v>
                </c:pt>
                <c:pt idx="176">
                  <c:v>51.282051282051285</c:v>
                </c:pt>
                <c:pt idx="177">
                  <c:v>48.333333333333336</c:v>
                </c:pt>
                <c:pt idx="178">
                  <c:v>63.333333333333336</c:v>
                </c:pt>
                <c:pt idx="179">
                  <c:v>51.111111111111114</c:v>
                </c:pt>
                <c:pt idx="180">
                  <c:v>68.548387096774192</c:v>
                </c:pt>
                <c:pt idx="181">
                  <c:v>54.761904761904759</c:v>
                </c:pt>
                <c:pt idx="182">
                  <c:v>#N/A</c:v>
                </c:pt>
                <c:pt idx="183">
                  <c:v>100</c:v>
                </c:pt>
                <c:pt idx="184">
                  <c:v>60</c:v>
                </c:pt>
                <c:pt idx="185">
                  <c:v>62.5</c:v>
                </c:pt>
                <c:pt idx="186">
                  <c:v>62.962962962962962</c:v>
                </c:pt>
                <c:pt idx="187">
                  <c:v>68.674698795180717</c:v>
                </c:pt>
                <c:pt idx="188">
                  <c:v>64.976958525345623</c:v>
                </c:pt>
                <c:pt idx="189">
                  <c:v>100</c:v>
                </c:pt>
                <c:pt idx="190">
                  <c:v>35.714285714285715</c:v>
                </c:pt>
                <c:pt idx="191">
                  <c:v>65.326633165829151</c:v>
                </c:pt>
                <c:pt idx="192">
                  <c:v>46.153846153846153</c:v>
                </c:pt>
                <c:pt idx="193">
                  <c:v>67.857142857142861</c:v>
                </c:pt>
                <c:pt idx="194">
                  <c:v>60.655737704918032</c:v>
                </c:pt>
                <c:pt idx="195">
                  <c:v>80.952380952380949</c:v>
                </c:pt>
                <c:pt idx="196">
                  <c:v>60.869565217391305</c:v>
                </c:pt>
                <c:pt idx="197">
                  <c:v>68.181818181818187</c:v>
                </c:pt>
                <c:pt idx="198">
                  <c:v>68.571428571428569</c:v>
                </c:pt>
                <c:pt idx="199">
                  <c:v>65.168539325842701</c:v>
                </c:pt>
                <c:pt idx="200">
                  <c:v>65.822784810126578</c:v>
                </c:pt>
                <c:pt idx="201">
                  <c:v>100</c:v>
                </c:pt>
                <c:pt idx="202">
                  <c:v>62.5</c:v>
                </c:pt>
                <c:pt idx="203">
                  <c:v>57.89473684210526</c:v>
                </c:pt>
                <c:pt idx="204">
                  <c:v>71.428571428571431</c:v>
                </c:pt>
                <c:pt idx="205">
                  <c:v>71.428571428571431</c:v>
                </c:pt>
                <c:pt idx="206">
                  <c:v>51.086956521739133</c:v>
                </c:pt>
                <c:pt idx="207">
                  <c:v>53.571428571428569</c:v>
                </c:pt>
                <c:pt idx="208">
                  <c:v>65.882352941176464</c:v>
                </c:pt>
                <c:pt idx="209">
                  <c:v>68.571428571428569</c:v>
                </c:pt>
                <c:pt idx="210">
                  <c:v>50</c:v>
                </c:pt>
                <c:pt idx="211">
                  <c:v>65.384615384615387</c:v>
                </c:pt>
                <c:pt idx="212">
                  <c:v>51.111111111111114</c:v>
                </c:pt>
                <c:pt idx="213">
                  <c:v>71.428571428571431</c:v>
                </c:pt>
                <c:pt idx="214">
                  <c:v>71.428571428571431</c:v>
                </c:pt>
                <c:pt idx="215">
                  <c:v>60.583941605839414</c:v>
                </c:pt>
                <c:pt idx="216">
                  <c:v>67.5</c:v>
                </c:pt>
                <c:pt idx="217">
                  <c:v>77.777777777777771</c:v>
                </c:pt>
                <c:pt idx="218">
                  <c:v>81.578947368421055</c:v>
                </c:pt>
                <c:pt idx="219">
                  <c:v>67.5</c:v>
                </c:pt>
                <c:pt idx="220">
                  <c:v>25</c:v>
                </c:pt>
                <c:pt idx="221">
                  <c:v>80</c:v>
                </c:pt>
                <c:pt idx="222">
                  <c:v>65.517241379310349</c:v>
                </c:pt>
                <c:pt idx="223">
                  <c:v>71.428571428571431</c:v>
                </c:pt>
                <c:pt idx="224">
                  <c:v>#N/A</c:v>
                </c:pt>
              </c:numCache>
            </c:numRef>
          </c:xVal>
          <c:yVal>
            <c:numRef>
              <c:f>Database!$BE$8:$BE$232</c:f>
              <c:numCache>
                <c:formatCode>0.0</c:formatCode>
                <c:ptCount val="225"/>
                <c:pt idx="0">
                  <c:v>#N/A</c:v>
                </c:pt>
                <c:pt idx="1">
                  <c:v>#N/A</c:v>
                </c:pt>
                <c:pt idx="2">
                  <c:v>#N/A</c:v>
                </c:pt>
                <c:pt idx="3">
                  <c:v>34.090909090909093</c:v>
                </c:pt>
                <c:pt idx="4">
                  <c:v>51.612903225806448</c:v>
                </c:pt>
                <c:pt idx="5">
                  <c:v>52</c:v>
                </c:pt>
                <c:pt idx="6">
                  <c:v>68.181818181818187</c:v>
                </c:pt>
                <c:pt idx="7">
                  <c:v>53.846153846153847</c:v>
                </c:pt>
                <c:pt idx="8">
                  <c:v>#N/A</c:v>
                </c:pt>
                <c:pt idx="9">
                  <c:v>50</c:v>
                </c:pt>
                <c:pt idx="10">
                  <c:v>#N/A</c:v>
                </c:pt>
                <c:pt idx="11">
                  <c:v>62.068965517241381</c:v>
                </c:pt>
                <c:pt idx="12">
                  <c:v>75</c:v>
                </c:pt>
                <c:pt idx="13">
                  <c:v>#N/A</c:v>
                </c:pt>
                <c:pt idx="14">
                  <c:v>#N/A</c:v>
                </c:pt>
                <c:pt idx="15">
                  <c:v>#N/A</c:v>
                </c:pt>
                <c:pt idx="16">
                  <c:v>60</c:v>
                </c:pt>
                <c:pt idx="17">
                  <c:v>#N/A</c:v>
                </c:pt>
                <c:pt idx="18">
                  <c:v>65</c:v>
                </c:pt>
                <c:pt idx="19">
                  <c:v>54</c:v>
                </c:pt>
                <c:pt idx="20">
                  <c:v>41.666666666666664</c:v>
                </c:pt>
                <c:pt idx="21">
                  <c:v>#N/A</c:v>
                </c:pt>
                <c:pt idx="22">
                  <c:v>55.555555555555557</c:v>
                </c:pt>
                <c:pt idx="23">
                  <c:v>50</c:v>
                </c:pt>
                <c:pt idx="24">
                  <c:v>55</c:v>
                </c:pt>
                <c:pt idx="25">
                  <c:v>42.857142857142854</c:v>
                </c:pt>
                <c:pt idx="26">
                  <c:v>37.5</c:v>
                </c:pt>
                <c:pt idx="27">
                  <c:v>60</c:v>
                </c:pt>
                <c:pt idx="28">
                  <c:v>52.173913043478258</c:v>
                </c:pt>
                <c:pt idx="29">
                  <c:v>42.307692307692307</c:v>
                </c:pt>
                <c:pt idx="30">
                  <c:v>40.625</c:v>
                </c:pt>
                <c:pt idx="31">
                  <c:v>60.666666666666664</c:v>
                </c:pt>
                <c:pt idx="32">
                  <c:v>#N/A</c:v>
                </c:pt>
                <c:pt idx="33">
                  <c:v>76.744186046511629</c:v>
                </c:pt>
                <c:pt idx="34">
                  <c:v>57.5</c:v>
                </c:pt>
                <c:pt idx="35">
                  <c:v>51.282051282051285</c:v>
                </c:pt>
                <c:pt idx="36">
                  <c:v>84.21052631578948</c:v>
                </c:pt>
                <c:pt idx="37">
                  <c:v>64.848484848484844</c:v>
                </c:pt>
                <c:pt idx="38">
                  <c:v>0</c:v>
                </c:pt>
                <c:pt idx="39">
                  <c:v>100</c:v>
                </c:pt>
                <c:pt idx="40">
                  <c:v>63.043478260869563</c:v>
                </c:pt>
                <c:pt idx="41">
                  <c:v>66.071428571428569</c:v>
                </c:pt>
                <c:pt idx="42">
                  <c:v>52.38095238095238</c:v>
                </c:pt>
                <c:pt idx="43">
                  <c:v>50</c:v>
                </c:pt>
                <c:pt idx="44">
                  <c:v>58.620689655172413</c:v>
                </c:pt>
                <c:pt idx="45">
                  <c:v>76.92307692307692</c:v>
                </c:pt>
                <c:pt idx="46">
                  <c:v>55</c:v>
                </c:pt>
                <c:pt idx="47">
                  <c:v>41.935483870967744</c:v>
                </c:pt>
                <c:pt idx="48">
                  <c:v>76.666666666666671</c:v>
                </c:pt>
                <c:pt idx="49">
                  <c:v>76.92307692307692</c:v>
                </c:pt>
                <c:pt idx="50">
                  <c:v>57.89473684210526</c:v>
                </c:pt>
                <c:pt idx="51">
                  <c:v>55</c:v>
                </c:pt>
                <c:pt idx="52">
                  <c:v>100</c:v>
                </c:pt>
                <c:pt idx="53">
                  <c:v>46.428571428571431</c:v>
                </c:pt>
                <c:pt idx="54">
                  <c:v>60.869565217391305</c:v>
                </c:pt>
                <c:pt idx="55">
                  <c:v>44.776119402985074</c:v>
                </c:pt>
                <c:pt idx="56">
                  <c:v>50</c:v>
                </c:pt>
                <c:pt idx="57">
                  <c:v>100</c:v>
                </c:pt>
                <c:pt idx="58">
                  <c:v>100</c:v>
                </c:pt>
                <c:pt idx="59">
                  <c:v>#N/A</c:v>
                </c:pt>
                <c:pt idx="60">
                  <c:v>100</c:v>
                </c:pt>
                <c:pt idx="61">
                  <c:v>37.5</c:v>
                </c:pt>
                <c:pt idx="62">
                  <c:v>76.666666666666671</c:v>
                </c:pt>
                <c:pt idx="63">
                  <c:v>76.666666666666671</c:v>
                </c:pt>
                <c:pt idx="64">
                  <c:v>70</c:v>
                </c:pt>
                <c:pt idx="65">
                  <c:v>#N/A</c:v>
                </c:pt>
                <c:pt idx="66">
                  <c:v>50</c:v>
                </c:pt>
                <c:pt idx="67">
                  <c:v>55</c:v>
                </c:pt>
                <c:pt idx="68">
                  <c:v>35.897435897435898</c:v>
                </c:pt>
                <c:pt idx="69">
                  <c:v>47.142857142857146</c:v>
                </c:pt>
                <c:pt idx="70">
                  <c:v>#N/A</c:v>
                </c:pt>
                <c:pt idx="71">
                  <c:v>55.172413793103445</c:v>
                </c:pt>
                <c:pt idx="72">
                  <c:v>70</c:v>
                </c:pt>
                <c:pt idx="73">
                  <c:v>#N/A</c:v>
                </c:pt>
                <c:pt idx="74">
                  <c:v>60</c:v>
                </c:pt>
                <c:pt idx="75">
                  <c:v>38.235294117647058</c:v>
                </c:pt>
                <c:pt idx="76">
                  <c:v>100</c:v>
                </c:pt>
                <c:pt idx="77">
                  <c:v>36.842105263157897</c:v>
                </c:pt>
                <c:pt idx="78">
                  <c:v>45</c:v>
                </c:pt>
                <c:pt idx="79">
                  <c:v>56.666666666666664</c:v>
                </c:pt>
                <c:pt idx="80">
                  <c:v>56.666666666666664</c:v>
                </c:pt>
                <c:pt idx="81">
                  <c:v>76.666666666666671</c:v>
                </c:pt>
                <c:pt idx="82">
                  <c:v>54.545454545454547</c:v>
                </c:pt>
                <c:pt idx="83">
                  <c:v>59.45945945945946</c:v>
                </c:pt>
                <c:pt idx="84">
                  <c:v>36.842105263157897</c:v>
                </c:pt>
                <c:pt idx="85">
                  <c:v>35</c:v>
                </c:pt>
                <c:pt idx="86">
                  <c:v>65.78947368421052</c:v>
                </c:pt>
                <c:pt idx="87">
                  <c:v>64.86486486486487</c:v>
                </c:pt>
                <c:pt idx="88">
                  <c:v>51.851851851851855</c:v>
                </c:pt>
                <c:pt idx="89">
                  <c:v>72.972972972972968</c:v>
                </c:pt>
                <c:pt idx="90">
                  <c:v>59.45945945945946</c:v>
                </c:pt>
                <c:pt idx="91">
                  <c:v>52.631578947368418</c:v>
                </c:pt>
                <c:pt idx="92">
                  <c:v>60.416666666666664</c:v>
                </c:pt>
                <c:pt idx="93">
                  <c:v>82.926829268292678</c:v>
                </c:pt>
                <c:pt idx="94">
                  <c:v>56.521739130434781</c:v>
                </c:pt>
                <c:pt idx="95">
                  <c:v>35.135135135135137</c:v>
                </c:pt>
                <c:pt idx="96">
                  <c:v>#N/A</c:v>
                </c:pt>
                <c:pt idx="97">
                  <c:v>54.761904761904759</c:v>
                </c:pt>
                <c:pt idx="98">
                  <c:v>36.842105263157897</c:v>
                </c:pt>
                <c:pt idx="99">
                  <c:v>#N/A</c:v>
                </c:pt>
                <c:pt idx="100">
                  <c:v>50</c:v>
                </c:pt>
                <c:pt idx="101">
                  <c:v>52.631578947368418</c:v>
                </c:pt>
                <c:pt idx="102">
                  <c:v>69</c:v>
                </c:pt>
                <c:pt idx="103">
                  <c:v>82.5</c:v>
                </c:pt>
                <c:pt idx="104">
                  <c:v>82.5</c:v>
                </c:pt>
                <c:pt idx="105">
                  <c:v>68.571428571428569</c:v>
                </c:pt>
                <c:pt idx="106">
                  <c:v>78.94736842105263</c:v>
                </c:pt>
                <c:pt idx="107">
                  <c:v>64.705882352941174</c:v>
                </c:pt>
                <c:pt idx="108">
                  <c:v>78.94736842105263</c:v>
                </c:pt>
                <c:pt idx="109">
                  <c:v>36.111111111111114</c:v>
                </c:pt>
                <c:pt idx="110">
                  <c:v>55</c:v>
                </c:pt>
                <c:pt idx="111">
                  <c:v>77.41935483870968</c:v>
                </c:pt>
                <c:pt idx="112">
                  <c:v>78.125</c:v>
                </c:pt>
                <c:pt idx="113">
                  <c:v>47.5</c:v>
                </c:pt>
                <c:pt idx="114">
                  <c:v>60</c:v>
                </c:pt>
                <c:pt idx="115">
                  <c:v>55.555555555555557</c:v>
                </c:pt>
                <c:pt idx="116">
                  <c:v>100</c:v>
                </c:pt>
                <c:pt idx="117">
                  <c:v>64.705882352941174</c:v>
                </c:pt>
                <c:pt idx="118">
                  <c:v>100</c:v>
                </c:pt>
                <c:pt idx="119">
                  <c:v>48.780487804878049</c:v>
                </c:pt>
                <c:pt idx="120">
                  <c:v>74.358974358974365</c:v>
                </c:pt>
                <c:pt idx="121">
                  <c:v>52.941176470588232</c:v>
                </c:pt>
                <c:pt idx="122">
                  <c:v>52.941176470588232</c:v>
                </c:pt>
                <c:pt idx="123">
                  <c:v>60</c:v>
                </c:pt>
                <c:pt idx="124">
                  <c:v>63.636363636363633</c:v>
                </c:pt>
                <c:pt idx="125">
                  <c:v>61.53846153846154</c:v>
                </c:pt>
                <c:pt idx="126">
                  <c:v>70</c:v>
                </c:pt>
                <c:pt idx="127">
                  <c:v>40</c:v>
                </c:pt>
                <c:pt idx="128">
                  <c:v>55</c:v>
                </c:pt>
                <c:pt idx="129">
                  <c:v>61.904761904761905</c:v>
                </c:pt>
                <c:pt idx="130">
                  <c:v>40</c:v>
                </c:pt>
                <c:pt idx="131">
                  <c:v>38.46153846153846</c:v>
                </c:pt>
                <c:pt idx="132">
                  <c:v>48.780487804878049</c:v>
                </c:pt>
                <c:pt idx="133">
                  <c:v>66.666666666666671</c:v>
                </c:pt>
                <c:pt idx="134">
                  <c:v>60</c:v>
                </c:pt>
                <c:pt idx="135">
                  <c:v>63.157894736842103</c:v>
                </c:pt>
                <c:pt idx="136">
                  <c:v>41.025641025641029</c:v>
                </c:pt>
                <c:pt idx="137">
                  <c:v>66.666666666666671</c:v>
                </c:pt>
                <c:pt idx="138">
                  <c:v>70.547945205479451</c:v>
                </c:pt>
                <c:pt idx="139">
                  <c:v>77.108433734939766</c:v>
                </c:pt>
                <c:pt idx="140">
                  <c:v>64.285714285714292</c:v>
                </c:pt>
                <c:pt idx="141">
                  <c:v>34.615384615384613</c:v>
                </c:pt>
                <c:pt idx="142">
                  <c:v>77.41935483870968</c:v>
                </c:pt>
                <c:pt idx="143">
                  <c:v>63.636363636363633</c:v>
                </c:pt>
                <c:pt idx="144">
                  <c:v>71.428571428571431</c:v>
                </c:pt>
                <c:pt idx="145">
                  <c:v>44.117647058823529</c:v>
                </c:pt>
                <c:pt idx="146">
                  <c:v>64.0625</c:v>
                </c:pt>
                <c:pt idx="147">
                  <c:v>40</c:v>
                </c:pt>
                <c:pt idx="148">
                  <c:v>60</c:v>
                </c:pt>
                <c:pt idx="149">
                  <c:v>62</c:v>
                </c:pt>
                <c:pt idx="150">
                  <c:v>57.142857142857146</c:v>
                </c:pt>
                <c:pt idx="151">
                  <c:v>72.727272727272734</c:v>
                </c:pt>
                <c:pt idx="152">
                  <c:v>75</c:v>
                </c:pt>
                <c:pt idx="153">
                  <c:v>36.781609195402297</c:v>
                </c:pt>
                <c:pt idx="154">
                  <c:v>100</c:v>
                </c:pt>
                <c:pt idx="155">
                  <c:v>50</c:v>
                </c:pt>
                <c:pt idx="156">
                  <c:v>45.833333333333336</c:v>
                </c:pt>
                <c:pt idx="157">
                  <c:v>57.142857142857146</c:v>
                </c:pt>
                <c:pt idx="158">
                  <c:v>48.333333333333336</c:v>
                </c:pt>
                <c:pt idx="159">
                  <c:v>56.25</c:v>
                </c:pt>
                <c:pt idx="160">
                  <c:v>100</c:v>
                </c:pt>
                <c:pt idx="161">
                  <c:v>48.780487804878049</c:v>
                </c:pt>
                <c:pt idx="162">
                  <c:v>56.666666666666664</c:v>
                </c:pt>
                <c:pt idx="163">
                  <c:v>100</c:v>
                </c:pt>
                <c:pt idx="164">
                  <c:v>100</c:v>
                </c:pt>
                <c:pt idx="165">
                  <c:v>68.571428571428569</c:v>
                </c:pt>
                <c:pt idx="166">
                  <c:v>63.829787234042556</c:v>
                </c:pt>
                <c:pt idx="167">
                  <c:v>69.444444444444443</c:v>
                </c:pt>
                <c:pt idx="168">
                  <c:v>53.125</c:v>
                </c:pt>
                <c:pt idx="169">
                  <c:v>55.882352941176471</c:v>
                </c:pt>
                <c:pt idx="170">
                  <c:v>55.882352941176471</c:v>
                </c:pt>
                <c:pt idx="171">
                  <c:v>53.846153846153847</c:v>
                </c:pt>
                <c:pt idx="172">
                  <c:v>74.358974358974365</c:v>
                </c:pt>
                <c:pt idx="173">
                  <c:v>48.780487804878049</c:v>
                </c:pt>
                <c:pt idx="174">
                  <c:v>91.304347826086953</c:v>
                </c:pt>
                <c:pt idx="175">
                  <c:v>50.909090909090907</c:v>
                </c:pt>
                <c:pt idx="176">
                  <c:v>51.282051282051285</c:v>
                </c:pt>
                <c:pt idx="177">
                  <c:v>48.333333333333336</c:v>
                </c:pt>
                <c:pt idx="178">
                  <c:v>63.333333333333336</c:v>
                </c:pt>
                <c:pt idx="179">
                  <c:v>56.666666666666664</c:v>
                </c:pt>
                <c:pt idx="180">
                  <c:v>75.903614457831324</c:v>
                </c:pt>
                <c:pt idx="181">
                  <c:v>50</c:v>
                </c:pt>
                <c:pt idx="182">
                  <c:v>#N/A</c:v>
                </c:pt>
                <c:pt idx="183">
                  <c:v>100</c:v>
                </c:pt>
                <c:pt idx="184">
                  <c:v>60</c:v>
                </c:pt>
                <c:pt idx="185">
                  <c:v>62.857142857142854</c:v>
                </c:pt>
                <c:pt idx="186">
                  <c:v>53.846153846153847</c:v>
                </c:pt>
                <c:pt idx="187">
                  <c:v>56.25</c:v>
                </c:pt>
                <c:pt idx="188">
                  <c:v>70.212765957446805</c:v>
                </c:pt>
                <c:pt idx="189">
                  <c:v>100</c:v>
                </c:pt>
                <c:pt idx="190">
                  <c:v>36.363636363636367</c:v>
                </c:pt>
                <c:pt idx="191">
                  <c:v>72.56637168141593</c:v>
                </c:pt>
                <c:pt idx="192">
                  <c:v>60.215053763440864</c:v>
                </c:pt>
                <c:pt idx="193">
                  <c:v>47.058823529411768</c:v>
                </c:pt>
                <c:pt idx="194">
                  <c:v>67.441860465116278</c:v>
                </c:pt>
                <c:pt idx="195">
                  <c:v>66.666666666666671</c:v>
                </c:pt>
                <c:pt idx="196">
                  <c:v>40</c:v>
                </c:pt>
                <c:pt idx="197">
                  <c:v>68.181818181818187</c:v>
                </c:pt>
                <c:pt idx="198">
                  <c:v>69.230769230769226</c:v>
                </c:pt>
                <c:pt idx="199">
                  <c:v>68.235294117647058</c:v>
                </c:pt>
                <c:pt idx="200">
                  <c:v>47.61904761904762</c:v>
                </c:pt>
                <c:pt idx="201">
                  <c:v>100</c:v>
                </c:pt>
                <c:pt idx="202">
                  <c:v>57.142857142857146</c:v>
                </c:pt>
                <c:pt idx="203">
                  <c:v>63.333333333333336</c:v>
                </c:pt>
                <c:pt idx="204">
                  <c:v>63.636363636363633</c:v>
                </c:pt>
                <c:pt idx="205">
                  <c:v>67.741935483870961</c:v>
                </c:pt>
                <c:pt idx="206">
                  <c:v>43.478260869565219</c:v>
                </c:pt>
                <c:pt idx="207">
                  <c:v>71.428571428571431</c:v>
                </c:pt>
                <c:pt idx="208">
                  <c:v>73.493975903614455</c:v>
                </c:pt>
                <c:pt idx="209">
                  <c:v>47.142857142857146</c:v>
                </c:pt>
                <c:pt idx="210">
                  <c:v>41.935483870967744</c:v>
                </c:pt>
                <c:pt idx="211">
                  <c:v>67.741935483870961</c:v>
                </c:pt>
                <c:pt idx="212">
                  <c:v>60</c:v>
                </c:pt>
                <c:pt idx="213">
                  <c:v>63.636363636363633</c:v>
                </c:pt>
                <c:pt idx="214">
                  <c:v>63.636363636363633</c:v>
                </c:pt>
                <c:pt idx="215">
                  <c:v>76.59574468085107</c:v>
                </c:pt>
                <c:pt idx="216">
                  <c:v>65</c:v>
                </c:pt>
                <c:pt idx="217">
                  <c:v>65.625</c:v>
                </c:pt>
                <c:pt idx="218">
                  <c:v>77.41935483870968</c:v>
                </c:pt>
                <c:pt idx="219">
                  <c:v>62.5</c:v>
                </c:pt>
                <c:pt idx="220">
                  <c:v>25</c:v>
                </c:pt>
                <c:pt idx="221">
                  <c:v>75.862068965517238</c:v>
                </c:pt>
                <c:pt idx="222">
                  <c:v>40.625</c:v>
                </c:pt>
                <c:pt idx="223">
                  <c:v>63.636363636363633</c:v>
                </c:pt>
                <c:pt idx="224">
                  <c:v>46.153846153846153</c:v>
                </c:pt>
              </c:numCache>
            </c:numRef>
          </c:yVal>
        </c:ser>
        <c:dLbls/>
        <c:axId val="146557952"/>
        <c:axId val="146548224"/>
      </c:scatterChart>
      <c:valAx>
        <c:axId val="146557952"/>
        <c:scaling>
          <c:orientation val="minMax"/>
        </c:scaling>
        <c:axPos val="b"/>
        <c:title>
          <c:tx>
            <c:rich>
              <a:bodyPr/>
              <a:lstStyle/>
              <a:p>
                <a:pPr>
                  <a:defRPr/>
                </a:pPr>
                <a:r>
                  <a:rPr lang="en-GB"/>
                  <a:t>% Females in Patient Group</a:t>
                </a:r>
              </a:p>
            </c:rich>
          </c:tx>
          <c:layout/>
        </c:title>
        <c:numFmt formatCode="0.0" sourceLinked="1"/>
        <c:majorTickMark val="none"/>
        <c:tickLblPos val="nextTo"/>
        <c:crossAx val="146548224"/>
        <c:crosses val="autoZero"/>
        <c:crossBetween val="midCat"/>
      </c:valAx>
      <c:valAx>
        <c:axId val="146548224"/>
        <c:scaling>
          <c:orientation val="minMax"/>
        </c:scaling>
        <c:axPos val="l"/>
        <c:majorGridlines/>
        <c:title>
          <c:tx>
            <c:rich>
              <a:bodyPr/>
              <a:lstStyle/>
              <a:p>
                <a:pPr>
                  <a:defRPr/>
                </a:pPr>
                <a:r>
                  <a:rPr lang="en-GB"/>
                  <a:t>% Females in Control Group</a:t>
                </a:r>
              </a:p>
            </c:rich>
          </c:tx>
          <c:layout/>
        </c:title>
        <c:numFmt formatCode="0.0" sourceLinked="1"/>
        <c:majorTickMark val="none"/>
        <c:tickLblPos val="nextTo"/>
        <c:crossAx val="146557952"/>
        <c:crosses val="autoZero"/>
        <c:crossBetween val="midCat"/>
      </c:valAx>
    </c:plotArea>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0670204612753504"/>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09736613388037"/>
                  <c:y val="-3.552020470502120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Brain!$AK$87:$AK$119</c:f>
              <c:numCache>
                <c:formatCode>General</c:formatCode>
                <c:ptCount val="33"/>
                <c:pt idx="0">
                  <c:v>2.7302709061182751</c:v>
                </c:pt>
                <c:pt idx="1">
                  <c:v>4.9653759900528902</c:v>
                </c:pt>
                <c:pt idx="2">
                  <c:v>4.6200605931835836</c:v>
                </c:pt>
                <c:pt idx="3">
                  <c:v>4.2768475532555454</c:v>
                </c:pt>
                <c:pt idx="4">
                  <c:v>2.5773600888745114</c:v>
                </c:pt>
                <c:pt idx="5">
                  <c:v>2.9184679744629038</c:v>
                </c:pt>
                <c:pt idx="6">
                  <c:v>3.8714435571834751</c:v>
                </c:pt>
                <c:pt idx="7">
                  <c:v>4.6848895878016918</c:v>
                </c:pt>
                <c:pt idx="8">
                  <c:v>3.4892266520908151</c:v>
                </c:pt>
                <c:pt idx="9">
                  <c:v>4.0521398473745247</c:v>
                </c:pt>
                <c:pt idx="10">
                  <c:v>4.0726315665908324</c:v>
                </c:pt>
                <c:pt idx="11">
                  <c:v>2.9151278363072901</c:v>
                </c:pt>
                <c:pt idx="12">
                  <c:v>4.6996871335201016</c:v>
                </c:pt>
                <c:pt idx="13">
                  <c:v>4.1687415507887744</c:v>
                </c:pt>
                <c:pt idx="14">
                  <c:v>3.2855035619550934</c:v>
                </c:pt>
                <c:pt idx="15">
                  <c:v>3.2084735356985985</c:v>
                </c:pt>
                <c:pt idx="16">
                  <c:v>3.2413657707538306</c:v>
                </c:pt>
                <c:pt idx="17">
                  <c:v>2.8436930172790382</c:v>
                </c:pt>
                <c:pt idx="18">
                  <c:v>3.0473274033330928</c:v>
                </c:pt>
                <c:pt idx="19">
                  <c:v>9.3748794440864263</c:v>
                </c:pt>
                <c:pt idx="20">
                  <c:v>4.4203422770460987</c:v>
                </c:pt>
                <c:pt idx="21">
                  <c:v>3.6756672434590816</c:v>
                </c:pt>
                <c:pt idx="22">
                  <c:v>3.6323852882718448</c:v>
                </c:pt>
                <c:pt idx="23">
                  <c:v>4.6961049609834982</c:v>
                </c:pt>
                <c:pt idx="24">
                  <c:v>3.2794541835460351</c:v>
                </c:pt>
                <c:pt idx="25">
                  <c:v>3.2779985198991968</c:v>
                </c:pt>
                <c:pt idx="26">
                  <c:v>2.5555736144642096</c:v>
                </c:pt>
                <c:pt idx="27">
                  <c:v>2.5803684996687277</c:v>
                </c:pt>
                <c:pt idx="28">
                  <c:v>2.9469917804271888</c:v>
                </c:pt>
                <c:pt idx="29">
                  <c:v>2.9436633538552184</c:v>
                </c:pt>
                <c:pt idx="30">
                  <c:v>2.301992206814655</c:v>
                </c:pt>
                <c:pt idx="31">
                  <c:v>2.9171483604413528</c:v>
                </c:pt>
                <c:pt idx="32">
                  <c:v>3.9818046826375419</c:v>
                </c:pt>
              </c:numCache>
            </c:numRef>
          </c:xVal>
          <c:yVal>
            <c:numRef>
              <c:f>Brain!$AL$87:$AL$119</c:f>
              <c:numCache>
                <c:formatCode>General</c:formatCode>
                <c:ptCount val="33"/>
                <c:pt idx="0">
                  <c:v>-1.3864112354817224</c:v>
                </c:pt>
                <c:pt idx="1">
                  <c:v>-1.3627829302753189</c:v>
                </c:pt>
                <c:pt idx="2">
                  <c:v>0.62171126055104864</c:v>
                </c:pt>
                <c:pt idx="3">
                  <c:v>-2.2079138671614063</c:v>
                </c:pt>
                <c:pt idx="4">
                  <c:v>-1.4959362432333123</c:v>
                </c:pt>
                <c:pt idx="5">
                  <c:v>0.62542957951363831</c:v>
                </c:pt>
                <c:pt idx="6">
                  <c:v>-0.2985528128368985</c:v>
                </c:pt>
                <c:pt idx="7">
                  <c:v>1.9792812561420814</c:v>
                </c:pt>
                <c:pt idx="8">
                  <c:v>-2.0301780504050408</c:v>
                </c:pt>
                <c:pt idx="9">
                  <c:v>0.34398687344103612</c:v>
                </c:pt>
                <c:pt idx="10">
                  <c:v>0.63373797520959241</c:v>
                </c:pt>
                <c:pt idx="11">
                  <c:v>0.11981625291942752</c:v>
                </c:pt>
                <c:pt idx="12">
                  <c:v>-0.3174686780465717</c:v>
                </c:pt>
                <c:pt idx="13">
                  <c:v>-1.4674186614692819</c:v>
                </c:pt>
                <c:pt idx="14">
                  <c:v>1.1548855576093033</c:v>
                </c:pt>
                <c:pt idx="15">
                  <c:v>-2.1278924404081896</c:v>
                </c:pt>
                <c:pt idx="16">
                  <c:v>0.85052421754726248</c:v>
                </c:pt>
                <c:pt idx="17">
                  <c:v>0.80308860305667595</c:v>
                </c:pt>
                <c:pt idx="18">
                  <c:v>-1.8990358479835132</c:v>
                </c:pt>
                <c:pt idx="19">
                  <c:v>0.75450080897615335</c:v>
                </c:pt>
                <c:pt idx="20">
                  <c:v>0.28684189838722823</c:v>
                </c:pt>
                <c:pt idx="21">
                  <c:v>0.35552281141695397</c:v>
                </c:pt>
                <c:pt idx="22">
                  <c:v>0.61501985121055913</c:v>
                </c:pt>
                <c:pt idx="23">
                  <c:v>0.20872638520492132</c:v>
                </c:pt>
                <c:pt idx="24">
                  <c:v>-0.33172125453506257</c:v>
                </c:pt>
                <c:pt idx="25">
                  <c:v>-0.43274094342100139</c:v>
                </c:pt>
                <c:pt idx="26">
                  <c:v>-1.0300398493470033</c:v>
                </c:pt>
                <c:pt idx="27">
                  <c:v>-0.25573059547481852</c:v>
                </c:pt>
                <c:pt idx="28">
                  <c:v>-1.100995518922</c:v>
                </c:pt>
                <c:pt idx="29">
                  <c:v>-0.11063053670954125</c:v>
                </c:pt>
                <c:pt idx="30">
                  <c:v>0.35935655859647697</c:v>
                </c:pt>
                <c:pt idx="31">
                  <c:v>-0.66855975187866834</c:v>
                </c:pt>
                <c:pt idx="32">
                  <c:v>-0.18678789136537496</c:v>
                </c:pt>
              </c:numCache>
            </c:numRef>
          </c:yVal>
        </c:ser>
        <c:axId val="107066112"/>
        <c:axId val="107068032"/>
      </c:scatterChart>
      <c:valAx>
        <c:axId val="10706611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409489406607732"/>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068032"/>
        <c:crosses val="autoZero"/>
        <c:crossBetween val="midCat"/>
      </c:valAx>
      <c:valAx>
        <c:axId val="1070680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06611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Cerebrum!$AG$39:$AG$45</c:f>
                <c:numCache>
                  <c:formatCode>General</c:formatCode>
                  <c:ptCount val="7"/>
                  <c:pt idx="0">
                    <c:v>0.39552396641275256</c:v>
                  </c:pt>
                  <c:pt idx="1">
                    <c:v>0.52540405489362607</c:v>
                  </c:pt>
                  <c:pt idx="2">
                    <c:v>0.54208265777012443</c:v>
                  </c:pt>
                  <c:pt idx="3">
                    <c:v>0.40325507801537475</c:v>
                  </c:pt>
                  <c:pt idx="4">
                    <c:v>0.44966600280197838</c:v>
                  </c:pt>
                  <c:pt idx="5">
                    <c:v>0.65418580837203189</c:v>
                  </c:pt>
                  <c:pt idx="6">
                    <c:v>0.26249969598093198</c:v>
                  </c:pt>
                </c:numCache>
              </c:numRef>
            </c:plus>
            <c:minus>
              <c:numRef>
                <c:f>Cerebrum!$AH$39:$AH$45</c:f>
                <c:numCache>
                  <c:formatCode>General</c:formatCode>
                  <c:ptCount val="7"/>
                  <c:pt idx="0">
                    <c:v>0.39552396641275256</c:v>
                  </c:pt>
                  <c:pt idx="1">
                    <c:v>0.52540405489362607</c:v>
                  </c:pt>
                  <c:pt idx="2">
                    <c:v>0.54208265777012443</c:v>
                  </c:pt>
                  <c:pt idx="3">
                    <c:v>0.40325507801537475</c:v>
                  </c:pt>
                  <c:pt idx="4">
                    <c:v>0.44966600280197838</c:v>
                  </c:pt>
                  <c:pt idx="5">
                    <c:v>0.65418580837203189</c:v>
                  </c:pt>
                  <c:pt idx="6">
                    <c:v>0.26249969598093198</c:v>
                  </c:pt>
                </c:numCache>
              </c:numRef>
            </c:minus>
            <c:spPr>
              <a:ln w="12700">
                <a:solidFill>
                  <a:srgbClr val="000000"/>
                </a:solidFill>
                <a:prstDash val="solid"/>
              </a:ln>
            </c:spPr>
          </c:errBars>
          <c:xVal>
            <c:numRef>
              <c:f>Cerebrum!$AF$39:$AF$45</c:f>
              <c:numCache>
                <c:formatCode>0.00</c:formatCode>
                <c:ptCount val="7"/>
                <c:pt idx="0">
                  <c:v>-0.37254435537314357</c:v>
                </c:pt>
                <c:pt idx="1">
                  <c:v>-8.1028015507724552E-2</c:v>
                </c:pt>
                <c:pt idx="2">
                  <c:v>0.13822626710650515</c:v>
                </c:pt>
                <c:pt idx="3">
                  <c:v>-0.34945670713352062</c:v>
                </c:pt>
                <c:pt idx="4">
                  <c:v>1.940802680507759E-2</c:v>
                </c:pt>
                <c:pt idx="5">
                  <c:v>0.13639722945941474</c:v>
                </c:pt>
                <c:pt idx="6">
                  <c:v>-5.5907919487027419E-2</c:v>
                </c:pt>
              </c:numCache>
            </c:numRef>
          </c:xVal>
          <c:yVal>
            <c:numRef>
              <c:f>Cerebrum!$G$39:$G$45</c:f>
              <c:numCache>
                <c:formatCode>General</c:formatCode>
                <c:ptCount val="7"/>
                <c:pt idx="0">
                  <c:v>11</c:v>
                </c:pt>
                <c:pt idx="1">
                  <c:v>9</c:v>
                </c:pt>
                <c:pt idx="2">
                  <c:v>7</c:v>
                </c:pt>
                <c:pt idx="3">
                  <c:v>5</c:v>
                </c:pt>
                <c:pt idx="4">
                  <c:v>4</c:v>
                </c:pt>
                <c:pt idx="5">
                  <c:v>3</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Cerebrum!$AH$53</c:f>
                <c:numCache>
                  <c:formatCode>General</c:formatCode>
                  <c:ptCount val="1"/>
                  <c:pt idx="0">
                    <c:v>0.15548856405556993</c:v>
                  </c:pt>
                </c:numCache>
              </c:numRef>
            </c:plus>
            <c:minus>
              <c:numRef>
                <c:f>Cerebrum!$AH$54</c:f>
                <c:numCache>
                  <c:formatCode>General</c:formatCode>
                  <c:ptCount val="1"/>
                  <c:pt idx="0">
                    <c:v>0.15548856405556993</c:v>
                  </c:pt>
                </c:numCache>
              </c:numRef>
            </c:minus>
            <c:spPr>
              <a:ln w="12700">
                <a:solidFill>
                  <a:srgbClr val="000000"/>
                </a:solidFill>
                <a:prstDash val="solid"/>
              </a:ln>
            </c:spPr>
          </c:errBars>
          <c:xVal>
            <c:numRef>
              <c:f>Cerebrum!$AH$52</c:f>
              <c:numCache>
                <c:formatCode>General</c:formatCode>
                <c:ptCount val="1"/>
                <c:pt idx="0">
                  <c:v>-0.11484379453279246</c:v>
                </c:pt>
              </c:numCache>
            </c:numRef>
          </c:xVal>
          <c:yVal>
            <c:numRef>
              <c:f>Cerebrum!$I$53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Cerebrum!$AH$57</c:f>
                <c:numCache>
                  <c:formatCode>General</c:formatCode>
                  <c:ptCount val="1"/>
                  <c:pt idx="0">
                    <c:v>0.15548856405556993</c:v>
                  </c:pt>
                </c:numCache>
              </c:numRef>
            </c:plus>
            <c:minus>
              <c:numRef>
                <c:f>Cerebrum!$AH$58</c:f>
                <c:numCache>
                  <c:formatCode>General</c:formatCode>
                  <c:ptCount val="1"/>
                  <c:pt idx="0">
                    <c:v>0.15548856405556993</c:v>
                  </c:pt>
                </c:numCache>
              </c:numRef>
            </c:minus>
            <c:spPr>
              <a:ln w="12700">
                <a:solidFill>
                  <a:srgbClr val="000000"/>
                </a:solidFill>
                <a:prstDash val="solid"/>
              </a:ln>
            </c:spPr>
          </c:errBars>
          <c:xVal>
            <c:numRef>
              <c:f>Cerebrum!$AH$56</c:f>
              <c:numCache>
                <c:formatCode>General</c:formatCode>
                <c:ptCount val="1"/>
                <c:pt idx="0">
                  <c:v>-0.11484379453279246</c:v>
                </c:pt>
              </c:numCache>
            </c:numRef>
          </c:xVal>
          <c:yVal>
            <c:numRef>
              <c:f>Cerebrum!$I$64</c:f>
              <c:numCache>
                <c:formatCode>General</c:formatCode>
                <c:ptCount val="1"/>
                <c:pt idx="0">
                  <c:v>-3</c:v>
                </c:pt>
              </c:numCache>
            </c:numRef>
          </c:yVal>
        </c:ser>
        <c:axId val="107218816"/>
        <c:axId val="107220352"/>
      </c:scatterChart>
      <c:valAx>
        <c:axId val="10721881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220352"/>
        <c:crosses val="autoZero"/>
        <c:crossBetween val="midCat"/>
      </c:valAx>
      <c:valAx>
        <c:axId val="107220352"/>
        <c:scaling>
          <c:orientation val="minMax"/>
        </c:scaling>
        <c:axPos val="l"/>
        <c:numFmt formatCode="General" sourceLinked="1"/>
        <c:majorTickMark val="none"/>
        <c:tickLblPos val="none"/>
        <c:spPr>
          <a:ln w="3175">
            <a:solidFill>
              <a:srgbClr val="000000"/>
            </a:solidFill>
            <a:prstDash val="solid"/>
          </a:ln>
        </c:spPr>
        <c:crossAx val="10721881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178765640239"/>
                  <c:y val="-3.700733931980929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Cerebrum!$AK$39:$AK$45</c:f>
              <c:numCache>
                <c:formatCode>General</c:formatCode>
                <c:ptCount val="7"/>
                <c:pt idx="0">
                  <c:v>4.9554519231196839</c:v>
                </c:pt>
                <c:pt idx="1">
                  <c:v>3.7304622637463729</c:v>
                </c:pt>
                <c:pt idx="2">
                  <c:v>3.6156847519574358</c:v>
                </c:pt>
                <c:pt idx="3">
                  <c:v>4.8604471632351567</c:v>
                </c:pt>
                <c:pt idx="4">
                  <c:v>4.3587907197492424</c:v>
                </c:pt>
                <c:pt idx="5">
                  <c:v>2.996090674723654</c:v>
                </c:pt>
                <c:pt idx="6">
                  <c:v>7.466675314330173</c:v>
                </c:pt>
              </c:numCache>
            </c:numRef>
          </c:xVal>
          <c:yVal>
            <c:numRef>
              <c:f>Cerebrum!$AL$39:$AL$45</c:f>
              <c:numCache>
                <c:formatCode>General</c:formatCode>
                <c:ptCount val="7"/>
                <c:pt idx="0">
                  <c:v>-1.8461256422812273</c:v>
                </c:pt>
                <c:pt idx="1">
                  <c:v>-0.30227195415782232</c:v>
                </c:pt>
                <c:pt idx="2">
                  <c:v>0.49978260629698634</c:v>
                </c:pt>
                <c:pt idx="3">
                  <c:v>-1.6985158608606192</c:v>
                </c:pt>
                <c:pt idx="4">
                  <c:v>8.4595527126616735E-2</c:v>
                </c:pt>
                <c:pt idx="5">
                  <c:v>0.40865846724149496</c:v>
                </c:pt>
                <c:pt idx="6">
                  <c:v>-0.41744628230934644</c:v>
                </c:pt>
              </c:numCache>
            </c:numRef>
          </c:yVal>
        </c:ser>
        <c:axId val="107269120"/>
        <c:axId val="107361408"/>
      </c:scatterChart>
      <c:valAx>
        <c:axId val="10726912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361408"/>
        <c:crosses val="autoZero"/>
        <c:crossBetween val="midCat"/>
      </c:valAx>
      <c:valAx>
        <c:axId val="10736140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26912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6736557631088104"/>
          <c:y val="2.3364499308933223E-2"/>
          <c:w val="0.67234578748765361"/>
          <c:h val="0.88901919870491153"/>
        </c:manualLayout>
      </c:layout>
      <c:barChart>
        <c:barDir val="bar"/>
        <c:grouping val="clustered"/>
        <c:ser>
          <c:idx val="0"/>
          <c:order val="0"/>
          <c:spPr>
            <a:solidFill>
              <a:srgbClr val="99CCFF"/>
            </a:solidFill>
            <a:ln w="12700">
              <a:solidFill>
                <a:srgbClr val="666699"/>
              </a:solidFill>
              <a:prstDash val="solid"/>
            </a:ln>
          </c:spPr>
          <c:dPt>
            <c:idx val="3"/>
            <c:spPr>
              <a:solidFill>
                <a:srgbClr val="DD0806"/>
              </a:solidFill>
              <a:ln w="12700">
                <a:solidFill>
                  <a:srgbClr val="666699"/>
                </a:solidFill>
                <a:prstDash val="solid"/>
              </a:ln>
            </c:spPr>
          </c:dPt>
          <c:dPt>
            <c:idx val="13"/>
            <c:spPr>
              <a:solidFill>
                <a:srgbClr val="DD0806"/>
              </a:solidFill>
              <a:ln w="12700">
                <a:solidFill>
                  <a:srgbClr val="666699"/>
                </a:solidFill>
                <a:prstDash val="solid"/>
              </a:ln>
            </c:spPr>
          </c:dPt>
          <c:dPt>
            <c:idx val="14"/>
            <c:spPr>
              <a:solidFill>
                <a:srgbClr val="DD0806"/>
              </a:solidFill>
              <a:ln w="12700">
                <a:solidFill>
                  <a:srgbClr val="666699"/>
                </a:solidFill>
                <a:prstDash val="solid"/>
              </a:ln>
            </c:spPr>
          </c:dPt>
          <c:dPt>
            <c:idx val="21"/>
            <c:spPr>
              <a:solidFill>
                <a:srgbClr val="DD0806"/>
              </a:solidFill>
              <a:ln w="12700">
                <a:solidFill>
                  <a:srgbClr val="666699"/>
                </a:solidFill>
                <a:prstDash val="solid"/>
              </a:ln>
            </c:spPr>
          </c:dPt>
          <c:dPt>
            <c:idx val="28"/>
            <c:spPr>
              <a:solidFill>
                <a:srgbClr val="DD0806"/>
              </a:solidFill>
              <a:ln w="12700">
                <a:solidFill>
                  <a:srgbClr val="666699"/>
                </a:solidFill>
                <a:prstDash val="solid"/>
              </a:ln>
            </c:spPr>
          </c:dPt>
          <c:errBars>
            <c:errBarType val="both"/>
            <c:errValType val="cust"/>
            <c:plus>
              <c:numRef>
                <c:f>Summary!$I$40:$I$69</c:f>
                <c:numCache>
                  <c:formatCode>General</c:formatCode>
                  <c:ptCount val="30"/>
                  <c:pt idx="0">
                    <c:v>0.32791363236535015</c:v>
                  </c:pt>
                  <c:pt idx="1">
                    <c:v>0.60462897556643946</c:v>
                  </c:pt>
                  <c:pt idx="2">
                    <c:v>0.26227929819273088</c:v>
                  </c:pt>
                  <c:pt idx="3">
                    <c:v>0.23892462996318237</c:v>
                  </c:pt>
                  <c:pt idx="4">
                    <c:v>0.24105355025858288</c:v>
                  </c:pt>
                  <c:pt idx="5">
                    <c:v>0.24136439103815885</c:v>
                  </c:pt>
                  <c:pt idx="6">
                    <c:v>0.22086679643398927</c:v>
                  </c:pt>
                  <c:pt idx="7">
                    <c:v>0.23988127023759714</c:v>
                  </c:pt>
                  <c:pt idx="8">
                    <c:v>0.23951173536287812</c:v>
                  </c:pt>
                  <c:pt idx="9">
                    <c:v>0.3152116389224528</c:v>
                  </c:pt>
                  <c:pt idx="10">
                    <c:v>0.25589338690370922</c:v>
                  </c:pt>
                  <c:pt idx="11">
                    <c:v>0.29313623520648852</c:v>
                  </c:pt>
                  <c:pt idx="12">
                    <c:v>0.42746601025961334</c:v>
                  </c:pt>
                  <c:pt idx="13">
                    <c:v>0.26618938788289659</c:v>
                  </c:pt>
                  <c:pt idx="14">
                    <c:v>0.27482102743292597</c:v>
                  </c:pt>
                  <c:pt idx="15">
                    <c:v>0.27590295789915487</c:v>
                  </c:pt>
                  <c:pt idx="16">
                    <c:v>0.42014501581700092</c:v>
                  </c:pt>
                  <c:pt idx="17">
                    <c:v>0.4998246004215815</c:v>
                  </c:pt>
                  <c:pt idx="18">
                    <c:v>0.21484800957247935</c:v>
                  </c:pt>
                  <c:pt idx="19">
                    <c:v>0.42969557537672387</c:v>
                  </c:pt>
                  <c:pt idx="20">
                    <c:v>0.23894849769574567</c:v>
                  </c:pt>
                  <c:pt idx="21">
                    <c:v>0.30997625416932195</c:v>
                  </c:pt>
                  <c:pt idx="22">
                    <c:v>0.35112971644414637</c:v>
                  </c:pt>
                  <c:pt idx="23">
                    <c:v>0.68117126499966096</c:v>
                  </c:pt>
                  <c:pt idx="24">
                    <c:v>0.51474522324963279</c:v>
                  </c:pt>
                  <c:pt idx="25">
                    <c:v>0.25407762889538055</c:v>
                  </c:pt>
                  <c:pt idx="27">
                    <c:v>0.18616661222707337</c:v>
                  </c:pt>
                  <c:pt idx="28">
                    <c:v>0.20744317938922102</c:v>
                  </c:pt>
                  <c:pt idx="29">
                    <c:v>0.2894861954340906</c:v>
                  </c:pt>
                </c:numCache>
              </c:numRef>
            </c:plus>
            <c:minus>
              <c:numRef>
                <c:f>Summary!$I$40:$I$69</c:f>
                <c:numCache>
                  <c:formatCode>General</c:formatCode>
                  <c:ptCount val="30"/>
                  <c:pt idx="0">
                    <c:v>0.32791363236535015</c:v>
                  </c:pt>
                  <c:pt idx="1">
                    <c:v>0.60462897556643946</c:v>
                  </c:pt>
                  <c:pt idx="2">
                    <c:v>0.26227929819273088</c:v>
                  </c:pt>
                  <c:pt idx="3">
                    <c:v>0.23892462996318237</c:v>
                  </c:pt>
                  <c:pt idx="4">
                    <c:v>0.24105355025858288</c:v>
                  </c:pt>
                  <c:pt idx="5">
                    <c:v>0.24136439103815885</c:v>
                  </c:pt>
                  <c:pt idx="6">
                    <c:v>0.22086679643398927</c:v>
                  </c:pt>
                  <c:pt idx="7">
                    <c:v>0.23988127023759714</c:v>
                  </c:pt>
                  <c:pt idx="8">
                    <c:v>0.23951173536287812</c:v>
                  </c:pt>
                  <c:pt idx="9">
                    <c:v>0.3152116389224528</c:v>
                  </c:pt>
                  <c:pt idx="10">
                    <c:v>0.25589338690370922</c:v>
                  </c:pt>
                  <c:pt idx="11">
                    <c:v>0.29313623520648852</c:v>
                  </c:pt>
                  <c:pt idx="12">
                    <c:v>0.42746601025961334</c:v>
                  </c:pt>
                  <c:pt idx="13">
                    <c:v>0.26618938788289659</c:v>
                  </c:pt>
                  <c:pt idx="14">
                    <c:v>0.27482102743292597</c:v>
                  </c:pt>
                  <c:pt idx="15">
                    <c:v>0.27590295789915487</c:v>
                  </c:pt>
                  <c:pt idx="16">
                    <c:v>0.42014501581700092</c:v>
                  </c:pt>
                  <c:pt idx="17">
                    <c:v>0.4998246004215815</c:v>
                  </c:pt>
                  <c:pt idx="18">
                    <c:v>0.21484800957247935</c:v>
                  </c:pt>
                  <c:pt idx="19">
                    <c:v>0.42969557537672387</c:v>
                  </c:pt>
                  <c:pt idx="20">
                    <c:v>0.23894849769574567</c:v>
                  </c:pt>
                  <c:pt idx="21">
                    <c:v>0.30997625416932195</c:v>
                  </c:pt>
                  <c:pt idx="22">
                    <c:v>0.35112971644414637</c:v>
                  </c:pt>
                  <c:pt idx="23">
                    <c:v>0.68117126499966096</c:v>
                  </c:pt>
                  <c:pt idx="24">
                    <c:v>0.51474522324963279</c:v>
                  </c:pt>
                  <c:pt idx="25">
                    <c:v>0.25407762889538055</c:v>
                  </c:pt>
                  <c:pt idx="27">
                    <c:v>0.18616661222707337</c:v>
                  </c:pt>
                  <c:pt idx="28">
                    <c:v>0.20744317938922102</c:v>
                  </c:pt>
                  <c:pt idx="29">
                    <c:v>0.2894861954340906</c:v>
                  </c:pt>
                </c:numCache>
              </c:numRef>
            </c:minus>
            <c:spPr>
              <a:ln w="12700">
                <a:solidFill>
                  <a:srgbClr val="808080"/>
                </a:solidFill>
                <a:prstDash val="solid"/>
              </a:ln>
            </c:spPr>
          </c:errBars>
          <c:cat>
            <c:strRef>
              <c:f>Summary!$L$40:$L$98</c:f>
              <c:strCache>
                <c:ptCount val="52"/>
                <c:pt idx="0">
                  <c:v>Anterior Cingulate (total), n=6</c:v>
                </c:pt>
                <c:pt idx="1">
                  <c:v>Anterior Cingulate (left), n=4</c:v>
                </c:pt>
                <c:pt idx="2">
                  <c:v>Anterior Cingulate (right), n=4</c:v>
                </c:pt>
                <c:pt idx="3">
                  <c:v>Frontal (total, GM+WM), n=7</c:v>
                </c:pt>
                <c:pt idx="4">
                  <c:v>Frontal (left, GM+WM), n=5</c:v>
                </c:pt>
                <c:pt idx="5">
                  <c:v>Frontal (right, GM+WM), n=5</c:v>
                </c:pt>
                <c:pt idx="6">
                  <c:v>Frontal (total, GM), n=6</c:v>
                </c:pt>
                <c:pt idx="7">
                  <c:v>Frontal (left, GM), n=5</c:v>
                </c:pt>
                <c:pt idx="8">
                  <c:v>Frontal (right, GM), n=5</c:v>
                </c:pt>
                <c:pt idx="9">
                  <c:v>Frontal (total, WM), n=5</c:v>
                </c:pt>
                <c:pt idx="10">
                  <c:v>Frontal (left, WM), n=4</c:v>
                </c:pt>
                <c:pt idx="11">
                  <c:v>Frontal (right, WM), n=4</c:v>
                </c:pt>
                <c:pt idx="12">
                  <c:v>Orbitofrontal (total GM+WM), n=3</c:v>
                </c:pt>
                <c:pt idx="13">
                  <c:v>Orbitofrontal (total GM), n=6</c:v>
                </c:pt>
                <c:pt idx="14">
                  <c:v>Orbitofrontal (left, GM), n=5</c:v>
                </c:pt>
                <c:pt idx="15">
                  <c:v>Orbitofrontal (right, GM), n=5</c:v>
                </c:pt>
                <c:pt idx="16">
                  <c:v>Medial orbitofrontal (total, GM), n=3</c:v>
                </c:pt>
                <c:pt idx="17">
                  <c:v>Lateral orbitofrontal (total, GM), n=3</c:v>
                </c:pt>
                <c:pt idx="18">
                  <c:v>Subgenual PFC (total), n=7</c:v>
                </c:pt>
                <c:pt idx="19">
                  <c:v>Subgenual PFC (left), n=6</c:v>
                </c:pt>
                <c:pt idx="20">
                  <c:v>Subgenual PFC (right), n=5</c:v>
                </c:pt>
                <c:pt idx="21">
                  <c:v>Gyrus Rectus (total, GM), n=3</c:v>
                </c:pt>
                <c:pt idx="22">
                  <c:v>Corpus Callosum (area), n=6</c:v>
                </c:pt>
                <c:pt idx="23">
                  <c:v>Anterior Corpus Callosum (area), n=4</c:v>
                </c:pt>
                <c:pt idx="24">
                  <c:v>Corpus Callosum (length), n=4</c:v>
                </c:pt>
                <c:pt idx="25">
                  <c:v>Pituitary, n=5</c:v>
                </c:pt>
                <c:pt idx="27">
                  <c:v>DWMH (rating), n=9</c:v>
                </c:pt>
                <c:pt idx="28">
                  <c:v>PVH (rating), n=9</c:v>
                </c:pt>
                <c:pt idx="29">
                  <c:v>ScGMH (rating), n=6</c:v>
                </c:pt>
                <c:pt idx="46">
                  <c:v>minus error</c:v>
                </c:pt>
                <c:pt idx="47">
                  <c:v>0.66</c:v>
                </c:pt>
                <c:pt idx="49">
                  <c:v>0.25</c:v>
                </c:pt>
                <c:pt idx="50">
                  <c:v>0.45</c:v>
                </c:pt>
                <c:pt idx="51">
                  <c:v>0.84</c:v>
                </c:pt>
              </c:strCache>
            </c:strRef>
          </c:cat>
          <c:val>
            <c:numRef>
              <c:f>Summary!$F$40:$F$69</c:f>
              <c:numCache>
                <c:formatCode>0.00</c:formatCode>
                <c:ptCount val="30"/>
                <c:pt idx="0">
                  <c:v>-0.20663830747560413</c:v>
                </c:pt>
                <c:pt idx="1">
                  <c:v>-8.653158691284131E-2</c:v>
                </c:pt>
                <c:pt idx="2">
                  <c:v>-0.18255632350922313</c:v>
                </c:pt>
                <c:pt idx="3">
                  <c:v>-0.29142957982658096</c:v>
                </c:pt>
                <c:pt idx="4">
                  <c:v>-0.11418350396787176</c:v>
                </c:pt>
                <c:pt idx="5">
                  <c:v>-0.13255975083968533</c:v>
                </c:pt>
                <c:pt idx="6">
                  <c:v>-7.8925748750629993E-2</c:v>
                </c:pt>
                <c:pt idx="7">
                  <c:v>-0.18969212836877866</c:v>
                </c:pt>
                <c:pt idx="8">
                  <c:v>-0.10440127854955372</c:v>
                </c:pt>
                <c:pt idx="9">
                  <c:v>-9.9437835390116913E-2</c:v>
                </c:pt>
                <c:pt idx="10">
                  <c:v>7.9485621605181467E-3</c:v>
                </c:pt>
                <c:pt idx="11">
                  <c:v>-7.8829684152245824E-2</c:v>
                </c:pt>
                <c:pt idx="12">
                  <c:v>-0.22837856834143849</c:v>
                </c:pt>
                <c:pt idx="13">
                  <c:v>-0.37808107676834923</c:v>
                </c:pt>
                <c:pt idx="14">
                  <c:v>-0.29240023570104073</c:v>
                </c:pt>
                <c:pt idx="15">
                  <c:v>-0.23708872345555207</c:v>
                </c:pt>
                <c:pt idx="16">
                  <c:v>-0.11917689320257341</c:v>
                </c:pt>
                <c:pt idx="17">
                  <c:v>-1.7432782827394844E-2</c:v>
                </c:pt>
                <c:pt idx="18">
                  <c:v>-0.14059433045145497</c:v>
                </c:pt>
                <c:pt idx="19">
                  <c:v>-0.34797138663360683</c:v>
                </c:pt>
                <c:pt idx="20">
                  <c:v>-6.6205143843077408E-2</c:v>
                </c:pt>
                <c:pt idx="21">
                  <c:v>-0.71840971865669701</c:v>
                </c:pt>
                <c:pt idx="22">
                  <c:v>5.8153118337531909E-2</c:v>
                </c:pt>
                <c:pt idx="23">
                  <c:v>-0.18326564231070905</c:v>
                </c:pt>
                <c:pt idx="24">
                  <c:v>-6.3536893030502362E-2</c:v>
                </c:pt>
                <c:pt idx="25">
                  <c:v>0.24965685923011929</c:v>
                </c:pt>
                <c:pt idx="27">
                  <c:v>0.17470009970475658</c:v>
                </c:pt>
                <c:pt idx="28">
                  <c:v>0.28936202888451656</c:v>
                </c:pt>
                <c:pt idx="29">
                  <c:v>0.13973391566740345</c:v>
                </c:pt>
              </c:numCache>
            </c:numRef>
          </c:val>
        </c:ser>
        <c:gapWidth val="0"/>
        <c:axId val="101865344"/>
        <c:axId val="101866880"/>
      </c:barChart>
      <c:catAx>
        <c:axId val="101865344"/>
        <c:scaling>
          <c:orientation val="maxMin"/>
        </c:scaling>
        <c:axPos val="l"/>
        <c:numFmt formatCode="General" sourceLinked="1"/>
        <c:majorTickMark val="none"/>
        <c:tickLblPos val="low"/>
        <c:spPr>
          <a:ln w="3175">
            <a:solidFill>
              <a:srgbClr val="80808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01866880"/>
        <c:crosses val="autoZero"/>
        <c:auto val="1"/>
        <c:lblAlgn val="ctr"/>
        <c:lblOffset val="0"/>
        <c:tickLblSkip val="1"/>
        <c:tickMarkSkip val="1"/>
      </c:catAx>
      <c:valAx>
        <c:axId val="101866880"/>
        <c:scaling>
          <c:orientation val="minMax"/>
          <c:max val="1"/>
          <c:min val="-1"/>
        </c:scaling>
        <c:axPos val="b"/>
        <c:majorGridlines>
          <c:spPr>
            <a:ln w="12700">
              <a:solidFill>
                <a:srgbClr val="666699"/>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Hedges g (Cohens effect size with small sample correction)</a:t>
                </a:r>
              </a:p>
            </c:rich>
          </c:tx>
          <c:layout>
            <c:manualLayout>
              <c:xMode val="edge"/>
              <c:yMode val="edge"/>
              <c:x val="0.35927131814945168"/>
              <c:y val="0.94226672308484749"/>
            </c:manualLayout>
          </c:layout>
          <c:spPr>
            <a:noFill/>
            <a:ln w="25400">
              <a:noFill/>
            </a:ln>
          </c:spPr>
        </c:title>
        <c:numFmt formatCode="0.00" sourceLinked="1"/>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01865344"/>
        <c:crosses val="max"/>
        <c:crossBetween val="between"/>
        <c:majorUnit val="0.25"/>
      </c:valAx>
      <c:spPr>
        <a:noFill/>
        <a:ln w="25400">
          <a:noFill/>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Gray!$AG$40:$AG$49</c:f>
                <c:numCache>
                  <c:formatCode>General</c:formatCode>
                  <c:ptCount val="10"/>
                  <c:pt idx="0">
                    <c:v>0.52535625807392061</c:v>
                  </c:pt>
                  <c:pt idx="1">
                    <c:v>0.54147919407285361</c:v>
                  </c:pt>
                  <c:pt idx="2">
                    <c:v>0.50612642427762444</c:v>
                  </c:pt>
                  <c:pt idx="3">
                    <c:v>0.55123592173546287</c:v>
                  </c:pt>
                  <c:pt idx="4">
                    <c:v>0.60383180946089055</c:v>
                  </c:pt>
                  <c:pt idx="5">
                    <c:v>0.68857118187532029</c:v>
                  </c:pt>
                  <c:pt idx="6">
                    <c:v>0.64066608774586498</c:v>
                  </c:pt>
                  <c:pt idx="7">
                    <c:v>0.40697476928046894</c:v>
                  </c:pt>
                  <c:pt idx="8">
                    <c:v>0.76053547391469767</c:v>
                  </c:pt>
                  <c:pt idx="9">
                    <c:v>0.75921431432316278</c:v>
                  </c:pt>
                </c:numCache>
              </c:numRef>
            </c:plus>
            <c:minus>
              <c:numRef>
                <c:f>Gray!$AH$40:$AH$49</c:f>
                <c:numCache>
                  <c:formatCode>General</c:formatCode>
                  <c:ptCount val="10"/>
                  <c:pt idx="0">
                    <c:v>0.52535625807392061</c:v>
                  </c:pt>
                  <c:pt idx="1">
                    <c:v>0.54147919407285361</c:v>
                  </c:pt>
                  <c:pt idx="2">
                    <c:v>0.50612642427762444</c:v>
                  </c:pt>
                  <c:pt idx="3">
                    <c:v>0.55123592173546287</c:v>
                  </c:pt>
                  <c:pt idx="4">
                    <c:v>0.60383180946089055</c:v>
                  </c:pt>
                  <c:pt idx="5">
                    <c:v>0.68857118187532029</c:v>
                  </c:pt>
                  <c:pt idx="6">
                    <c:v>0.64066608774586498</c:v>
                  </c:pt>
                  <c:pt idx="7">
                    <c:v>0.40697476928046894</c:v>
                  </c:pt>
                  <c:pt idx="8">
                    <c:v>0.76053547391469767</c:v>
                  </c:pt>
                  <c:pt idx="9">
                    <c:v>0.75921431432316278</c:v>
                  </c:pt>
                </c:numCache>
              </c:numRef>
            </c:minus>
            <c:spPr>
              <a:ln w="12700">
                <a:solidFill>
                  <a:srgbClr val="000000"/>
                </a:solidFill>
                <a:prstDash val="solid"/>
              </a:ln>
            </c:spPr>
          </c:errBars>
          <c:xVal>
            <c:numRef>
              <c:f>Gray!$AF$40:$AF$49</c:f>
              <c:numCache>
                <c:formatCode>0.00</c:formatCode>
                <c:ptCount val="10"/>
                <c:pt idx="0">
                  <c:v>-7.2141047366901814E-2</c:v>
                </c:pt>
                <c:pt idx="1">
                  <c:v>2.6515503126254811E-2</c:v>
                </c:pt>
                <c:pt idx="2">
                  <c:v>-4.0890976523696755E-2</c:v>
                </c:pt>
                <c:pt idx="3">
                  <c:v>0.12623122655846555</c:v>
                </c:pt>
                <c:pt idx="4">
                  <c:v>-0.2189164844511283</c:v>
                </c:pt>
                <c:pt idx="5">
                  <c:v>0.25446513736785031</c:v>
                </c:pt>
                <c:pt idx="6">
                  <c:v>-0.57236814730365204</c:v>
                </c:pt>
                <c:pt idx="7">
                  <c:v>-0.22804930079983637</c:v>
                </c:pt>
                <c:pt idx="8">
                  <c:v>-0.17174993653171186</c:v>
                </c:pt>
                <c:pt idx="9">
                  <c:v>-4.7510572308919086E-2</c:v>
                </c:pt>
              </c:numCache>
            </c:numRef>
          </c:xVal>
          <c:yVal>
            <c:numRef>
              <c:f>Gray!$G$40:$G$49</c:f>
              <c:numCache>
                <c:formatCode>General</c:formatCode>
                <c:ptCount val="10"/>
                <c:pt idx="0">
                  <c:v>12</c:v>
                </c:pt>
                <c:pt idx="1">
                  <c:v>11</c:v>
                </c:pt>
                <c:pt idx="2">
                  <c:v>10</c:v>
                </c:pt>
                <c:pt idx="3">
                  <c:v>9</c:v>
                </c:pt>
                <c:pt idx="4">
                  <c:v>8</c:v>
                </c:pt>
                <c:pt idx="5">
                  <c:v>6</c:v>
                </c:pt>
                <c:pt idx="6">
                  <c:v>5</c:v>
                </c:pt>
                <c:pt idx="7">
                  <c:v>3</c:v>
                </c:pt>
                <c:pt idx="8">
                  <c:v>2</c:v>
                </c:pt>
                <c:pt idx="9">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Gray!$AH$57</c:f>
                <c:numCache>
                  <c:formatCode>General</c:formatCode>
                  <c:ptCount val="1"/>
                  <c:pt idx="0">
                    <c:v>0.17955310830093466</c:v>
                  </c:pt>
                </c:numCache>
              </c:numRef>
            </c:plus>
            <c:minus>
              <c:numRef>
                <c:f>Gray!$AH$58</c:f>
                <c:numCache>
                  <c:formatCode>General</c:formatCode>
                  <c:ptCount val="1"/>
                  <c:pt idx="0">
                    <c:v>0.17955310830093466</c:v>
                  </c:pt>
                </c:numCache>
              </c:numRef>
            </c:minus>
            <c:spPr>
              <a:ln w="12700">
                <a:solidFill>
                  <a:srgbClr val="000000"/>
                </a:solidFill>
                <a:prstDash val="solid"/>
              </a:ln>
            </c:spPr>
          </c:errBars>
          <c:xVal>
            <c:numRef>
              <c:f>Gray!$AH$56</c:f>
              <c:numCache>
                <c:formatCode>General</c:formatCode>
                <c:ptCount val="1"/>
                <c:pt idx="0">
                  <c:v>-0.10089517875896792</c:v>
                </c:pt>
              </c:numCache>
            </c:numRef>
          </c:xVal>
          <c:yVal>
            <c:numRef>
              <c:f>Gray!$I$57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Gray!$AH$61</c:f>
                <c:numCache>
                  <c:formatCode>General</c:formatCode>
                  <c:ptCount val="1"/>
                  <c:pt idx="0">
                    <c:v>0.17955310830093466</c:v>
                  </c:pt>
                </c:numCache>
              </c:numRef>
            </c:plus>
            <c:minus>
              <c:numRef>
                <c:f>Gray!$AH$62</c:f>
                <c:numCache>
                  <c:formatCode>General</c:formatCode>
                  <c:ptCount val="1"/>
                  <c:pt idx="0">
                    <c:v>0.17955310830093466</c:v>
                  </c:pt>
                </c:numCache>
              </c:numRef>
            </c:minus>
            <c:spPr>
              <a:ln w="12700">
                <a:solidFill>
                  <a:srgbClr val="000000"/>
                </a:solidFill>
                <a:prstDash val="solid"/>
              </a:ln>
            </c:spPr>
          </c:errBars>
          <c:xVal>
            <c:numRef>
              <c:f>Gray!$AH$60</c:f>
              <c:numCache>
                <c:formatCode>General</c:formatCode>
                <c:ptCount val="1"/>
                <c:pt idx="0">
                  <c:v>-0.10089517875896792</c:v>
                </c:pt>
              </c:numCache>
            </c:numRef>
          </c:xVal>
          <c:yVal>
            <c:numRef>
              <c:f>Gray!$I$68</c:f>
              <c:numCache>
                <c:formatCode>General</c:formatCode>
                <c:ptCount val="1"/>
                <c:pt idx="0">
                  <c:v>-3</c:v>
                </c:pt>
              </c:numCache>
            </c:numRef>
          </c:yVal>
        </c:ser>
        <c:axId val="107603072"/>
        <c:axId val="107604608"/>
      </c:scatterChart>
      <c:valAx>
        <c:axId val="10760307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04608"/>
        <c:crosses val="autoZero"/>
        <c:crossBetween val="midCat"/>
      </c:valAx>
      <c:valAx>
        <c:axId val="107604608"/>
        <c:scaling>
          <c:orientation val="minMax"/>
        </c:scaling>
        <c:axPos val="l"/>
        <c:numFmt formatCode="General" sourceLinked="1"/>
        <c:majorTickMark val="none"/>
        <c:tickLblPos val="none"/>
        <c:spPr>
          <a:ln w="3175">
            <a:solidFill>
              <a:srgbClr val="000000"/>
            </a:solidFill>
            <a:prstDash val="solid"/>
          </a:ln>
        </c:spPr>
        <c:crossAx val="1076030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371374753664"/>
                  <c:y val="-8.5836254088649463E-3"/>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Gray!$AK$40:$AK$49</c:f>
              <c:numCache>
                <c:formatCode>General</c:formatCode>
                <c:ptCount val="10"/>
                <c:pt idx="0">
                  <c:v>3.7308016605452079</c:v>
                </c:pt>
                <c:pt idx="1">
                  <c:v>3.6197143333568063</c:v>
                </c:pt>
                <c:pt idx="2">
                  <c:v>3.8725502285272611</c:v>
                </c:pt>
                <c:pt idx="3">
                  <c:v>3.5556463625035679</c:v>
                </c:pt>
                <c:pt idx="4">
                  <c:v>3.2459369799512805</c:v>
                </c:pt>
                <c:pt idx="5">
                  <c:v>2.8464740488586084</c:v>
                </c:pt>
                <c:pt idx="6">
                  <c:v>3.0593159798673151</c:v>
                </c:pt>
                <c:pt idx="7">
                  <c:v>4.8160233703560502</c:v>
                </c:pt>
                <c:pt idx="8">
                  <c:v>2.5771315963886718</c:v>
                </c:pt>
                <c:pt idx="9">
                  <c:v>2.581616235393736</c:v>
                </c:pt>
              </c:numCache>
            </c:numRef>
          </c:xVal>
          <c:yVal>
            <c:numRef>
              <c:f>Gray!$AL$40:$AL$49</c:f>
              <c:numCache>
                <c:formatCode>General</c:formatCode>
                <c:ptCount val="10"/>
                <c:pt idx="0">
                  <c:v>-0.26914393930990776</c:v>
                </c:pt>
                <c:pt idx="1">
                  <c:v>9.597854672227174E-2</c:v>
                </c:pt>
                <c:pt idx="2">
                  <c:v>-0.15835236048154475</c:v>
                </c:pt>
                <c:pt idx="3">
                  <c:v>0.44883360154697183</c:v>
                </c:pt>
                <c:pt idx="4">
                  <c:v>-0.71058911240084677</c:v>
                </c:pt>
                <c:pt idx="5">
                  <c:v>0.72432840985682678</c:v>
                </c:pt>
                <c:pt idx="6">
                  <c:v>-1.7510550194131118</c:v>
                </c:pt>
                <c:pt idx="7">
                  <c:v>-1.0982907622453686</c:v>
                </c:pt>
                <c:pt idx="8">
                  <c:v>-0.44262218811362364</c:v>
                </c:pt>
                <c:pt idx="9">
                  <c:v>-0.12265406482555356</c:v>
                </c:pt>
              </c:numCache>
            </c:numRef>
          </c:yVal>
        </c:ser>
        <c:axId val="107444480"/>
        <c:axId val="107458944"/>
      </c:scatterChart>
      <c:valAx>
        <c:axId val="10744448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458944"/>
        <c:crosses val="autoZero"/>
        <c:crossBetween val="midCat"/>
      </c:valAx>
      <c:valAx>
        <c:axId val="10745894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4444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White!$AG$37:$AG$44</c:f>
                <c:numCache>
                  <c:formatCode>General</c:formatCode>
                  <c:ptCount val="8"/>
                  <c:pt idx="0">
                    <c:v>0.54316352431636261</c:v>
                  </c:pt>
                  <c:pt idx="1">
                    <c:v>0.50687095824987327</c:v>
                  </c:pt>
                  <c:pt idx="2">
                    <c:v>0.56941905227209144</c:v>
                  </c:pt>
                  <c:pt idx="3">
                    <c:v>0.60208508521538417</c:v>
                  </c:pt>
                  <c:pt idx="4">
                    <c:v>0.68630866340562735</c:v>
                  </c:pt>
                  <c:pt idx="5">
                    <c:v>0.63081662922491832</c:v>
                  </c:pt>
                  <c:pt idx="6">
                    <c:v>0.77095333982990055</c:v>
                  </c:pt>
                  <c:pt idx="7">
                    <c:v>0.75973044479871232</c:v>
                  </c:pt>
                </c:numCache>
              </c:numRef>
            </c:plus>
            <c:minus>
              <c:numRef>
                <c:f>White!$AH$37:$AH$44</c:f>
                <c:numCache>
                  <c:formatCode>General</c:formatCode>
                  <c:ptCount val="8"/>
                  <c:pt idx="0">
                    <c:v>0.54316352431636261</c:v>
                  </c:pt>
                  <c:pt idx="1">
                    <c:v>0.50687095824987327</c:v>
                  </c:pt>
                  <c:pt idx="2">
                    <c:v>0.56941905227209144</c:v>
                  </c:pt>
                  <c:pt idx="3">
                    <c:v>0.60208508521538417</c:v>
                  </c:pt>
                  <c:pt idx="4">
                    <c:v>0.68630866340562735</c:v>
                  </c:pt>
                  <c:pt idx="5">
                    <c:v>0.63081662922491832</c:v>
                  </c:pt>
                  <c:pt idx="6">
                    <c:v>0.77095333982990055</c:v>
                  </c:pt>
                  <c:pt idx="7">
                    <c:v>0.75973044479871232</c:v>
                  </c:pt>
                </c:numCache>
              </c:numRef>
            </c:minus>
            <c:spPr>
              <a:ln w="12700">
                <a:solidFill>
                  <a:srgbClr val="000000"/>
                </a:solidFill>
                <a:prstDash val="solid"/>
              </a:ln>
            </c:spPr>
          </c:errBars>
          <c:xVal>
            <c:numRef>
              <c:f>White!$AF$37:$AF$44</c:f>
              <c:numCache>
                <c:formatCode>0.00</c:formatCode>
                <c:ptCount val="8"/>
                <c:pt idx="0">
                  <c:v>0.22829849678909295</c:v>
                </c:pt>
                <c:pt idx="1">
                  <c:v>-0.15389700813117571</c:v>
                </c:pt>
                <c:pt idx="2">
                  <c:v>-0.76080687602685615</c:v>
                </c:pt>
                <c:pt idx="3">
                  <c:v>-7.1345026210283741E-2</c:v>
                </c:pt>
                <c:pt idx="4">
                  <c:v>0.12021462734930025</c:v>
                </c:pt>
                <c:pt idx="5">
                  <c:v>-0.30413458445206104</c:v>
                </c:pt>
                <c:pt idx="6">
                  <c:v>-0.49594518918319025</c:v>
                </c:pt>
                <c:pt idx="7">
                  <c:v>-0.1135501303225868</c:v>
                </c:pt>
              </c:numCache>
            </c:numRef>
          </c:xVal>
          <c:yVal>
            <c:numRef>
              <c:f>White!$G$37:$G$44</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White!$AH$52</c:f>
                <c:numCache>
                  <c:formatCode>General</c:formatCode>
                  <c:ptCount val="1"/>
                  <c:pt idx="0">
                    <c:v>0.21731127435513556</c:v>
                  </c:pt>
                </c:numCache>
              </c:numRef>
            </c:plus>
            <c:minus>
              <c:numRef>
                <c:f>White!$AH$53</c:f>
                <c:numCache>
                  <c:formatCode>General</c:formatCode>
                  <c:ptCount val="1"/>
                  <c:pt idx="0">
                    <c:v>0.21731127435513556</c:v>
                  </c:pt>
                </c:numCache>
              </c:numRef>
            </c:minus>
            <c:spPr>
              <a:ln w="12700">
                <a:solidFill>
                  <a:srgbClr val="000000"/>
                </a:solidFill>
                <a:prstDash val="solid"/>
              </a:ln>
            </c:spPr>
          </c:errBars>
          <c:xVal>
            <c:numRef>
              <c:f>White!$AH$51</c:f>
              <c:numCache>
                <c:formatCode>General</c:formatCode>
                <c:ptCount val="1"/>
                <c:pt idx="0">
                  <c:v>-0.18458280950535819</c:v>
                </c:pt>
              </c:numCache>
            </c:numRef>
          </c:xVal>
          <c:yVal>
            <c:numRef>
              <c:f>White!$I$52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White!$AH$56</c:f>
                <c:numCache>
                  <c:formatCode>General</c:formatCode>
                  <c:ptCount val="1"/>
                  <c:pt idx="0">
                    <c:v>0.23129131619552157</c:v>
                  </c:pt>
                </c:numCache>
              </c:numRef>
            </c:plus>
            <c:minus>
              <c:numRef>
                <c:f>White!$AH$57</c:f>
                <c:numCache>
                  <c:formatCode>General</c:formatCode>
                  <c:ptCount val="1"/>
                  <c:pt idx="0">
                    <c:v>0.23129131619552157</c:v>
                  </c:pt>
                </c:numCache>
              </c:numRef>
            </c:minus>
            <c:spPr>
              <a:ln w="12700">
                <a:solidFill>
                  <a:srgbClr val="000000"/>
                </a:solidFill>
                <a:prstDash val="solid"/>
              </a:ln>
            </c:spPr>
          </c:errBars>
          <c:xVal>
            <c:numRef>
              <c:f>White!$AH$55</c:f>
              <c:numCache>
                <c:formatCode>General</c:formatCode>
                <c:ptCount val="1"/>
                <c:pt idx="0">
                  <c:v>-0.18562401895735811</c:v>
                </c:pt>
              </c:numCache>
            </c:numRef>
          </c:xVal>
          <c:yVal>
            <c:numRef>
              <c:f>White!$I$63</c:f>
              <c:numCache>
                <c:formatCode>General</c:formatCode>
                <c:ptCount val="1"/>
                <c:pt idx="0">
                  <c:v>-3</c:v>
                </c:pt>
              </c:numCache>
            </c:numRef>
          </c:yVal>
        </c:ser>
        <c:axId val="107655168"/>
        <c:axId val="107656704"/>
      </c:scatterChart>
      <c:valAx>
        <c:axId val="10765516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56704"/>
        <c:crosses val="autoZero"/>
        <c:crossBetween val="midCat"/>
      </c:valAx>
      <c:valAx>
        <c:axId val="107656704"/>
        <c:scaling>
          <c:orientation val="minMax"/>
        </c:scaling>
        <c:axPos val="l"/>
        <c:numFmt formatCode="General" sourceLinked="1"/>
        <c:majorTickMark val="none"/>
        <c:tickLblPos val="none"/>
        <c:spPr>
          <a:ln w="3175">
            <a:solidFill>
              <a:srgbClr val="000000"/>
            </a:solidFill>
            <a:prstDash val="solid"/>
          </a:ln>
        </c:spPr>
        <c:crossAx val="1076551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92708279217285"/>
                  <c:y val="-3.6308312031843183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White!$AK$37:$AK$44</c:f>
              <c:numCache>
                <c:formatCode>General</c:formatCode>
                <c:ptCount val="8"/>
                <c:pt idx="0">
                  <c:v>3.6084897314614386</c:v>
                </c:pt>
                <c:pt idx="1">
                  <c:v>3.8668619065639471</c:v>
                </c:pt>
                <c:pt idx="2">
                  <c:v>3.4421047068573194</c:v>
                </c:pt>
                <c:pt idx="3">
                  <c:v>3.2553538496952608</c:v>
                </c:pt>
                <c:pt idx="4">
                  <c:v>2.8558578734443074</c:v>
                </c:pt>
                <c:pt idx="5">
                  <c:v>3.1070835948130338</c:v>
                </c:pt>
                <c:pt idx="6">
                  <c:v>2.5423069059308374</c:v>
                </c:pt>
                <c:pt idx="7">
                  <c:v>2.5798623885861183</c:v>
                </c:pt>
              </c:numCache>
            </c:numRef>
          </c:xVal>
          <c:yVal>
            <c:numRef>
              <c:f>White!$AL$37:$AL$44</c:f>
              <c:numCache>
                <c:formatCode>General</c:formatCode>
                <c:ptCount val="8"/>
                <c:pt idx="0">
                  <c:v>0.82381278137152414</c:v>
                </c:pt>
                <c:pt idx="1">
                  <c:v>-0.59509847827660534</c:v>
                </c:pt>
                <c:pt idx="2">
                  <c:v>-2.6187769289814549</c:v>
                </c:pt>
                <c:pt idx="3">
                  <c:v>-0.23225330573025646</c:v>
                </c:pt>
                <c:pt idx="4">
                  <c:v>0.34331589001867246</c:v>
                </c:pt>
                <c:pt idx="5">
                  <c:v>-0.94497157796627806</c:v>
                </c:pt>
                <c:pt idx="6">
                  <c:v>-1.2608448794236002</c:v>
                </c:pt>
                <c:pt idx="7">
                  <c:v>-0.29294371043829381</c:v>
                </c:pt>
              </c:numCache>
            </c:numRef>
          </c:yVal>
        </c:ser>
        <c:axId val="107902080"/>
        <c:axId val="107904000"/>
      </c:scatterChart>
      <c:valAx>
        <c:axId val="10790208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904000"/>
        <c:crosses val="autoZero"/>
        <c:crossBetween val="midCat"/>
      </c:valAx>
      <c:valAx>
        <c:axId val="10790400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9020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L_caud!$AG$37:$AG$44</c:f>
                <c:numCache>
                  <c:formatCode>General</c:formatCode>
                  <c:ptCount val="8"/>
                  <c:pt idx="0">
                    <c:v>0.54145612642402086</c:v>
                  </c:pt>
                  <c:pt idx="1">
                    <c:v>0.56783461979053906</c:v>
                  </c:pt>
                  <c:pt idx="2">
                    <c:v>0.6940719757241387</c:v>
                  </c:pt>
                  <c:pt idx="3">
                    <c:v>0.74868255952629259</c:v>
                  </c:pt>
                  <c:pt idx="4">
                    <c:v>0.48791740434765513</c:v>
                  </c:pt>
                  <c:pt idx="5">
                    <c:v>0.28484104365361246</c:v>
                  </c:pt>
                  <c:pt idx="6">
                    <c:v>0.54257276006866295</c:v>
                  </c:pt>
                  <c:pt idx="7">
                    <c:v>0.52123127366319522</c:v>
                  </c:pt>
                </c:numCache>
              </c:numRef>
            </c:plus>
            <c:minus>
              <c:numRef>
                <c:f>L_caud!$AH$37:$AH$44</c:f>
                <c:numCache>
                  <c:formatCode>General</c:formatCode>
                  <c:ptCount val="8"/>
                  <c:pt idx="0">
                    <c:v>0.54145612642402086</c:v>
                  </c:pt>
                  <c:pt idx="1">
                    <c:v>0.56783461979053906</c:v>
                  </c:pt>
                  <c:pt idx="2">
                    <c:v>0.6940719757241387</c:v>
                  </c:pt>
                  <c:pt idx="3">
                    <c:v>0.74868255952629259</c:v>
                  </c:pt>
                  <c:pt idx="4">
                    <c:v>0.48791740434765513</c:v>
                  </c:pt>
                  <c:pt idx="5">
                    <c:v>0.28484104365361246</c:v>
                  </c:pt>
                  <c:pt idx="6">
                    <c:v>0.54257276006866295</c:v>
                  </c:pt>
                  <c:pt idx="7">
                    <c:v>0.52123127366319522</c:v>
                  </c:pt>
                </c:numCache>
              </c:numRef>
            </c:minus>
            <c:spPr>
              <a:ln w="12700">
                <a:solidFill>
                  <a:srgbClr val="000000"/>
                </a:solidFill>
                <a:prstDash val="solid"/>
              </a:ln>
            </c:spPr>
          </c:errBars>
          <c:xVal>
            <c:numRef>
              <c:f>L_caud!$AF$37:$AF$44</c:f>
              <c:numCache>
                <c:formatCode>0.00</c:formatCode>
                <c:ptCount val="8"/>
                <c:pt idx="0">
                  <c:v>0</c:v>
                </c:pt>
                <c:pt idx="1">
                  <c:v>0.22983246086432343</c:v>
                </c:pt>
                <c:pt idx="2">
                  <c:v>-0.14979085107615811</c:v>
                </c:pt>
                <c:pt idx="3">
                  <c:v>-0.14660950054014335</c:v>
                </c:pt>
                <c:pt idx="4">
                  <c:v>-0.39620237073266357</c:v>
                </c:pt>
                <c:pt idx="5">
                  <c:v>1.4756129317226984E-2</c:v>
                </c:pt>
                <c:pt idx="6">
                  <c:v>-0.33331967815297275</c:v>
                </c:pt>
                <c:pt idx="7">
                  <c:v>-1.245296533813319E-2</c:v>
                </c:pt>
              </c:numCache>
            </c:numRef>
          </c:xVal>
          <c:yVal>
            <c:numRef>
              <c:f>L_caud!$G$37:$G$44</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L_caud!$AH$52</c:f>
                <c:numCache>
                  <c:formatCode>General</c:formatCode>
                  <c:ptCount val="1"/>
                  <c:pt idx="0">
                    <c:v>0.17156000311908171</c:v>
                  </c:pt>
                </c:numCache>
              </c:numRef>
            </c:plus>
            <c:minus>
              <c:numRef>
                <c:f>L_caud!$AH$53</c:f>
                <c:numCache>
                  <c:formatCode>General</c:formatCode>
                  <c:ptCount val="1"/>
                  <c:pt idx="0">
                    <c:v>0.17156000311908171</c:v>
                  </c:pt>
                </c:numCache>
              </c:numRef>
            </c:minus>
            <c:spPr>
              <a:ln w="12700">
                <a:solidFill>
                  <a:srgbClr val="000000"/>
                </a:solidFill>
                <a:prstDash val="solid"/>
              </a:ln>
            </c:spPr>
          </c:errBars>
          <c:xVal>
            <c:numRef>
              <c:f>L_caud!$AH$51</c:f>
              <c:numCache>
                <c:formatCode>General</c:formatCode>
                <c:ptCount val="1"/>
                <c:pt idx="0">
                  <c:v>-7.4176348937761941E-2</c:v>
                </c:pt>
              </c:numCache>
            </c:numRef>
          </c:xVal>
          <c:yVal>
            <c:numRef>
              <c:f>L_caud!$I$52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L_caud!$AH$56</c:f>
                <c:numCache>
                  <c:formatCode>General</c:formatCode>
                  <c:ptCount val="1"/>
                  <c:pt idx="0">
                    <c:v>0.17156000311908171</c:v>
                  </c:pt>
                </c:numCache>
              </c:numRef>
            </c:plus>
            <c:minus>
              <c:numRef>
                <c:f>L_caud!$AH$57</c:f>
                <c:numCache>
                  <c:formatCode>General</c:formatCode>
                  <c:ptCount val="1"/>
                  <c:pt idx="0">
                    <c:v>0.17156000311908171</c:v>
                  </c:pt>
                </c:numCache>
              </c:numRef>
            </c:minus>
            <c:spPr>
              <a:ln w="12700">
                <a:solidFill>
                  <a:srgbClr val="000000"/>
                </a:solidFill>
                <a:prstDash val="solid"/>
              </a:ln>
            </c:spPr>
          </c:errBars>
          <c:xVal>
            <c:numRef>
              <c:f>L_caud!$AH$55</c:f>
              <c:numCache>
                <c:formatCode>General</c:formatCode>
                <c:ptCount val="1"/>
                <c:pt idx="0">
                  <c:v>-7.4176348937761941E-2</c:v>
                </c:pt>
              </c:numCache>
            </c:numRef>
          </c:xVal>
          <c:yVal>
            <c:numRef>
              <c:f>L_caud!$I$63</c:f>
              <c:numCache>
                <c:formatCode>General</c:formatCode>
                <c:ptCount val="1"/>
                <c:pt idx="0">
                  <c:v>-3</c:v>
                </c:pt>
              </c:numCache>
            </c:numRef>
          </c:yVal>
        </c:ser>
        <c:axId val="107821696"/>
        <c:axId val="107831680"/>
      </c:scatterChart>
      <c:valAx>
        <c:axId val="10782169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831680"/>
        <c:crosses val="autoZero"/>
        <c:crossBetween val="midCat"/>
      </c:valAx>
      <c:valAx>
        <c:axId val="107831680"/>
        <c:scaling>
          <c:orientation val="minMax"/>
        </c:scaling>
        <c:axPos val="l"/>
        <c:numFmt formatCode="General" sourceLinked="1"/>
        <c:majorTickMark val="none"/>
        <c:tickLblPos val="none"/>
        <c:spPr>
          <a:ln w="3175">
            <a:solidFill>
              <a:srgbClr val="000000"/>
            </a:solidFill>
            <a:prstDash val="solid"/>
          </a:ln>
        </c:spPr>
        <c:crossAx val="10782169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60799738030401"/>
                  <c:y val="-3.4965560036105507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L_caud!$AK$37:$AK$44</c:f>
              <c:numCache>
                <c:formatCode>General</c:formatCode>
                <c:ptCount val="8"/>
                <c:pt idx="0">
                  <c:v>3.6198685440029545</c:v>
                </c:pt>
                <c:pt idx="1">
                  <c:v>3.4517092330914911</c:v>
                </c:pt>
                <c:pt idx="2">
                  <c:v>2.823914620605585</c:v>
                </c:pt>
                <c:pt idx="3">
                  <c:v>2.6179319593608987</c:v>
                </c:pt>
                <c:pt idx="4">
                  <c:v>4.0170733458883623</c:v>
                </c:pt>
                <c:pt idx="5">
                  <c:v>6.8810308193628984</c:v>
                </c:pt>
                <c:pt idx="6">
                  <c:v>3.6124187284152645</c:v>
                </c:pt>
                <c:pt idx="7">
                  <c:v>3.7603269393741257</c:v>
                </c:pt>
              </c:numCache>
            </c:numRef>
          </c:xVal>
          <c:yVal>
            <c:numRef>
              <c:f>L_caud!$AL$37:$AL$44</c:f>
              <c:numCache>
                <c:formatCode>General</c:formatCode>
                <c:ptCount val="8"/>
                <c:pt idx="0">
                  <c:v>0</c:v>
                </c:pt>
                <c:pt idx="1">
                  <c:v>0.79331482722952396</c:v>
                </c:pt>
                <c:pt idx="2">
                  <c:v>-0.42299657438691668</c:v>
                </c:pt>
                <c:pt idx="3">
                  <c:v>-0.38381369700998025</c:v>
                </c:pt>
                <c:pt idx="4">
                  <c:v>-1.591573983047962</c:v>
                </c:pt>
                <c:pt idx="5">
                  <c:v>0.10153738060634328</c:v>
                </c:pt>
                <c:pt idx="6">
                  <c:v>-1.2040902479091471</c:v>
                </c:pt>
                <c:pt idx="7">
                  <c:v>-4.6827221036074451E-2</c:v>
                </c:pt>
              </c:numCache>
            </c:numRef>
          </c:yVal>
        </c:ser>
        <c:axId val="120266752"/>
        <c:axId val="120268672"/>
      </c:scatterChart>
      <c:valAx>
        <c:axId val="12026675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268672"/>
        <c:crosses val="autoZero"/>
        <c:crossBetween val="midCat"/>
      </c:valAx>
      <c:valAx>
        <c:axId val="12026867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2667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R_caud!$AG$36:$AG$43</c:f>
                <c:numCache>
                  <c:formatCode>General</c:formatCode>
                  <c:ptCount val="8"/>
                  <c:pt idx="0">
                    <c:v>0.54145612642402086</c:v>
                  </c:pt>
                  <c:pt idx="1">
                    <c:v>0.56878010066262641</c:v>
                  </c:pt>
                  <c:pt idx="2">
                    <c:v>0.69375536441278685</c:v>
                  </c:pt>
                  <c:pt idx="3">
                    <c:v>0.7491787113159305</c:v>
                  </c:pt>
                  <c:pt idx="4">
                    <c:v>0.48434143706428212</c:v>
                  </c:pt>
                  <c:pt idx="5">
                    <c:v>0.28485339219906319</c:v>
                  </c:pt>
                  <c:pt idx="6">
                    <c:v>0.55047233294875808</c:v>
                  </c:pt>
                  <c:pt idx="7">
                    <c:v>0.52157916274627902</c:v>
                  </c:pt>
                </c:numCache>
              </c:numRef>
            </c:plus>
            <c:minus>
              <c:numRef>
                <c:f>R_caud!$AH$36:$AH$43</c:f>
                <c:numCache>
                  <c:formatCode>General</c:formatCode>
                  <c:ptCount val="8"/>
                  <c:pt idx="0">
                    <c:v>0.54145612642402086</c:v>
                  </c:pt>
                  <c:pt idx="1">
                    <c:v>0.56878010066262641</c:v>
                  </c:pt>
                  <c:pt idx="2">
                    <c:v>0.69375536441278685</c:v>
                  </c:pt>
                  <c:pt idx="3">
                    <c:v>0.7491787113159305</c:v>
                  </c:pt>
                  <c:pt idx="4">
                    <c:v>0.48434143706428212</c:v>
                  </c:pt>
                  <c:pt idx="5">
                    <c:v>0.28485339219906319</c:v>
                  </c:pt>
                  <c:pt idx="6">
                    <c:v>0.55047233294875808</c:v>
                  </c:pt>
                  <c:pt idx="7">
                    <c:v>0.52157916274627902</c:v>
                  </c:pt>
                </c:numCache>
              </c:numRef>
            </c:minus>
            <c:spPr>
              <a:ln w="12700">
                <a:solidFill>
                  <a:srgbClr val="000000"/>
                </a:solidFill>
                <a:prstDash val="solid"/>
              </a:ln>
            </c:spPr>
          </c:errBars>
          <c:xVal>
            <c:numRef>
              <c:f>R_caud!$AF$36:$AF$43</c:f>
              <c:numCache>
                <c:formatCode>0.00</c:formatCode>
                <c:ptCount val="8"/>
                <c:pt idx="0">
                  <c:v>0</c:v>
                </c:pt>
                <c:pt idx="1">
                  <c:v>0.27834081575284186</c:v>
                </c:pt>
                <c:pt idx="2">
                  <c:v>-0.12656341860257264</c:v>
                </c:pt>
                <c:pt idx="3">
                  <c:v>-0.18620504765753823</c:v>
                </c:pt>
                <c:pt idx="4">
                  <c:v>-0.17881130539648207</c:v>
                </c:pt>
                <c:pt idx="5">
                  <c:v>3.3230769230769265E-2</c:v>
                </c:pt>
                <c:pt idx="6">
                  <c:v>-0.57588355025893012</c:v>
                </c:pt>
                <c:pt idx="7">
                  <c:v>0.10087885107285147</c:v>
                </c:pt>
              </c:numCache>
            </c:numRef>
          </c:xVal>
          <c:yVal>
            <c:numRef>
              <c:f>R_caud!$G$36:$G$43</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R_caud!$AH$51</c:f>
                <c:numCache>
                  <c:formatCode>General</c:formatCode>
                  <c:ptCount val="1"/>
                  <c:pt idx="0">
                    <c:v>0.17168963426622952</c:v>
                  </c:pt>
                </c:numCache>
              </c:numRef>
            </c:plus>
            <c:minus>
              <c:numRef>
                <c:f>R_caud!$AH$52</c:f>
                <c:numCache>
                  <c:formatCode>General</c:formatCode>
                  <c:ptCount val="1"/>
                  <c:pt idx="0">
                    <c:v>0.17168963426622952</c:v>
                  </c:pt>
                </c:numCache>
              </c:numRef>
            </c:minus>
            <c:spPr>
              <a:ln w="12700">
                <a:solidFill>
                  <a:srgbClr val="000000"/>
                </a:solidFill>
                <a:prstDash val="solid"/>
              </a:ln>
            </c:spPr>
          </c:errBars>
          <c:xVal>
            <c:numRef>
              <c:f>R_caud!$AH$50</c:f>
              <c:numCache>
                <c:formatCode>General</c:formatCode>
                <c:ptCount val="1"/>
                <c:pt idx="0">
                  <c:v>-4.7656255192206627E-2</c:v>
                </c:pt>
              </c:numCache>
            </c:numRef>
          </c:xVal>
          <c:yVal>
            <c:numRef>
              <c:f>R_caud!$I$51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R_caud!$AH$55</c:f>
                <c:numCache>
                  <c:formatCode>General</c:formatCode>
                  <c:ptCount val="1"/>
                  <c:pt idx="0">
                    <c:v>0.17168963426622952</c:v>
                  </c:pt>
                </c:numCache>
              </c:numRef>
            </c:plus>
            <c:minus>
              <c:numRef>
                <c:f>R_caud!$AH$56</c:f>
                <c:numCache>
                  <c:formatCode>General</c:formatCode>
                  <c:ptCount val="1"/>
                  <c:pt idx="0">
                    <c:v>0.17168963426622952</c:v>
                  </c:pt>
                </c:numCache>
              </c:numRef>
            </c:minus>
            <c:spPr>
              <a:ln w="12700">
                <a:solidFill>
                  <a:srgbClr val="000000"/>
                </a:solidFill>
                <a:prstDash val="solid"/>
              </a:ln>
            </c:spPr>
          </c:errBars>
          <c:xVal>
            <c:numRef>
              <c:f>R_caud!$AH$54</c:f>
              <c:numCache>
                <c:formatCode>General</c:formatCode>
                <c:ptCount val="1"/>
                <c:pt idx="0">
                  <c:v>-4.7656255192206627E-2</c:v>
                </c:pt>
              </c:numCache>
            </c:numRef>
          </c:xVal>
          <c:yVal>
            <c:numRef>
              <c:f>R_caud!$I$62</c:f>
              <c:numCache>
                <c:formatCode>General</c:formatCode>
                <c:ptCount val="1"/>
                <c:pt idx="0">
                  <c:v>-3</c:v>
                </c:pt>
              </c:numCache>
            </c:numRef>
          </c:yVal>
        </c:ser>
        <c:axId val="120415744"/>
        <c:axId val="120417280"/>
      </c:scatterChart>
      <c:valAx>
        <c:axId val="12041574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0417280"/>
        <c:crosses val="autoZero"/>
        <c:crossBetween val="midCat"/>
      </c:valAx>
      <c:valAx>
        <c:axId val="120417280"/>
        <c:scaling>
          <c:orientation val="minMax"/>
        </c:scaling>
        <c:axPos val="l"/>
        <c:numFmt formatCode="General" sourceLinked="1"/>
        <c:majorTickMark val="none"/>
        <c:tickLblPos val="none"/>
        <c:spPr>
          <a:ln w="3175">
            <a:solidFill>
              <a:srgbClr val="000000"/>
            </a:solidFill>
            <a:prstDash val="solid"/>
          </a:ln>
        </c:spPr>
        <c:crossAx val="12041574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57814861033101"/>
                  <c:y val="-3.516627097198979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R_caud!$AK$36:$AK$43</c:f>
              <c:numCache>
                <c:formatCode>General</c:formatCode>
                <c:ptCount val="8"/>
                <c:pt idx="0">
                  <c:v>3.6198685440029545</c:v>
                </c:pt>
                <c:pt idx="1">
                  <c:v>3.4459714707258713</c:v>
                </c:pt>
                <c:pt idx="2">
                  <c:v>2.8252033793771045</c:v>
                </c:pt>
                <c:pt idx="3">
                  <c:v>2.6161982053084039</c:v>
                </c:pt>
                <c:pt idx="4">
                  <c:v>4.0467320159102291</c:v>
                </c:pt>
                <c:pt idx="5">
                  <c:v>6.880732523031706</c:v>
                </c:pt>
                <c:pt idx="6">
                  <c:v>3.5605785843962674</c:v>
                </c:pt>
                <c:pt idx="7">
                  <c:v>3.7578188317186236</c:v>
                </c:pt>
              </c:numCache>
            </c:numRef>
          </c:xVal>
          <c:yVal>
            <c:numRef>
              <c:f>R_caud!$AL$36:$AL$43</c:f>
              <c:numCache>
                <c:formatCode>General</c:formatCode>
                <c:ptCount val="8"/>
                <c:pt idx="0">
                  <c:v>0</c:v>
                </c:pt>
                <c:pt idx="1">
                  <c:v>0.95915451022285925</c:v>
                </c:pt>
                <c:pt idx="2">
                  <c:v>-0.35756739794150733</c:v>
                </c:pt>
                <c:pt idx="3">
                  <c:v>-0.48714931150101731</c:v>
                </c:pt>
                <c:pt idx="4">
                  <c:v>-0.72360143435464563</c:v>
                </c:pt>
                <c:pt idx="5">
                  <c:v>0.22865203461151537</c:v>
                </c:pt>
                <c:pt idx="6">
                  <c:v>-2.0504786361580383</c:v>
                </c:pt>
                <c:pt idx="7">
                  <c:v>0.37908444628369969</c:v>
                </c:pt>
              </c:numCache>
            </c:numRef>
          </c:yVal>
        </c:ser>
        <c:axId val="120437376"/>
        <c:axId val="120472320"/>
      </c:scatterChart>
      <c:valAx>
        <c:axId val="12043737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472320"/>
        <c:crosses val="autoZero"/>
        <c:crossBetween val="midCat"/>
      </c:valAx>
      <c:valAx>
        <c:axId val="12047232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4373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caud_TLR!$AG$51:$AG$63</c:f>
                <c:numCache>
                  <c:formatCode>General</c:formatCode>
                  <c:ptCount val="13"/>
                  <c:pt idx="0">
                    <c:v>0.61897471385598202</c:v>
                  </c:pt>
                  <c:pt idx="1">
                    <c:v>0.52949910647958098</c:v>
                  </c:pt>
                  <c:pt idx="2">
                    <c:v>0.404095187546959</c:v>
                  </c:pt>
                  <c:pt idx="3">
                    <c:v>0.28484596639137988</c:v>
                  </c:pt>
                  <c:pt idx="4">
                    <c:v>0.57368485551891091</c:v>
                  </c:pt>
                  <c:pt idx="5">
                    <c:v>0.41841180446217091</c:v>
                  </c:pt>
                  <c:pt idx="6">
                    <c:v>0.54145612642402086</c:v>
                  </c:pt>
                  <c:pt idx="7">
                    <c:v>0.56854283475723644</c:v>
                  </c:pt>
                  <c:pt idx="8">
                    <c:v>0.69400508958289542</c:v>
                  </c:pt>
                  <c:pt idx="9">
                    <c:v>0.74904563352901765</c:v>
                  </c:pt>
                  <c:pt idx="10">
                    <c:v>0.48590774479559484</c:v>
                  </c:pt>
                  <c:pt idx="11">
                    <c:v>0.54683870454966665</c:v>
                  </c:pt>
                  <c:pt idx="12">
                    <c:v>0.52130996761866832</c:v>
                  </c:pt>
                </c:numCache>
              </c:numRef>
            </c:plus>
            <c:minus>
              <c:numRef>
                <c:f>caud_TLR!$AH$51:$AH$63</c:f>
                <c:numCache>
                  <c:formatCode>General</c:formatCode>
                  <c:ptCount val="13"/>
                  <c:pt idx="0">
                    <c:v>0.61897471385598202</c:v>
                  </c:pt>
                  <c:pt idx="1">
                    <c:v>0.52949910647958098</c:v>
                  </c:pt>
                  <c:pt idx="2">
                    <c:v>0.404095187546959</c:v>
                  </c:pt>
                  <c:pt idx="3">
                    <c:v>0.28484596639137988</c:v>
                  </c:pt>
                  <c:pt idx="4">
                    <c:v>0.57368485551891091</c:v>
                  </c:pt>
                  <c:pt idx="5">
                    <c:v>0.41841180446217091</c:v>
                  </c:pt>
                  <c:pt idx="6">
                    <c:v>0.54145612642402086</c:v>
                  </c:pt>
                  <c:pt idx="7">
                    <c:v>0.56854283475723644</c:v>
                  </c:pt>
                  <c:pt idx="8">
                    <c:v>0.69400508958289542</c:v>
                  </c:pt>
                  <c:pt idx="9">
                    <c:v>0.74904563352901765</c:v>
                  </c:pt>
                  <c:pt idx="10">
                    <c:v>0.48590774479559484</c:v>
                  </c:pt>
                  <c:pt idx="11">
                    <c:v>0.54683870454966665</c:v>
                  </c:pt>
                  <c:pt idx="12">
                    <c:v>0.52130996761866832</c:v>
                  </c:pt>
                </c:numCache>
              </c:numRef>
            </c:minus>
            <c:spPr>
              <a:ln w="12700">
                <a:solidFill>
                  <a:srgbClr val="000000"/>
                </a:solidFill>
                <a:prstDash val="solid"/>
              </a:ln>
            </c:spPr>
          </c:errBars>
          <c:xVal>
            <c:numRef>
              <c:f>caud_TLR!$AF$51:$AF$63</c:f>
              <c:numCache>
                <c:formatCode>0.00</c:formatCode>
                <c:ptCount val="13"/>
                <c:pt idx="0">
                  <c:v>-0.58485987572544185</c:v>
                </c:pt>
                <c:pt idx="1">
                  <c:v>-0.35163699834324802</c:v>
                </c:pt>
                <c:pt idx="2">
                  <c:v>-0.69875579129538978</c:v>
                </c:pt>
                <c:pt idx="3">
                  <c:v>2.389890113034028E-2</c:v>
                </c:pt>
                <c:pt idx="4">
                  <c:v>-0.32907801418439697</c:v>
                </c:pt>
                <c:pt idx="5">
                  <c:v>-0.21680116619287004</c:v>
                </c:pt>
                <c:pt idx="6">
                  <c:v>0</c:v>
                </c:pt>
                <c:pt idx="7">
                  <c:v>0.26699015041638102</c:v>
                </c:pt>
                <c:pt idx="8">
                  <c:v>-0.14519297743365916</c:v>
                </c:pt>
                <c:pt idx="9">
                  <c:v>-0.17645641957729974</c:v>
                </c:pt>
                <c:pt idx="10">
                  <c:v>-0.29430042863404232</c:v>
                </c:pt>
                <c:pt idx="11">
                  <c:v>-0.47937720513341237</c:v>
                </c:pt>
                <c:pt idx="12">
                  <c:v>4.9207605583804541E-2</c:v>
                </c:pt>
              </c:numCache>
            </c:numRef>
          </c:xVal>
          <c:yVal>
            <c:numRef>
              <c:f>caud_TLR!$G$51:$G$63</c:f>
              <c:numCache>
                <c:formatCode>General</c:formatCode>
                <c:ptCount val="13"/>
                <c:pt idx="0">
                  <c:v>13</c:v>
                </c:pt>
                <c:pt idx="1">
                  <c:v>12</c:v>
                </c:pt>
                <c:pt idx="2">
                  <c:v>11</c:v>
                </c:pt>
                <c:pt idx="3">
                  <c:v>10</c:v>
                </c:pt>
                <c:pt idx="4">
                  <c:v>9</c:v>
                </c:pt>
                <c:pt idx="5">
                  <c:v>8</c:v>
                </c:pt>
                <c:pt idx="6">
                  <c:v>7</c:v>
                </c:pt>
                <c:pt idx="7">
                  <c:v>6</c:v>
                </c:pt>
                <c:pt idx="8">
                  <c:v>5</c:v>
                </c:pt>
                <c:pt idx="9">
                  <c:v>4</c:v>
                </c:pt>
                <c:pt idx="10">
                  <c:v>3</c:v>
                </c:pt>
                <c:pt idx="11">
                  <c:v>2</c:v>
                </c:pt>
                <c:pt idx="1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caud_TLR!$AH$71</c:f>
                <c:numCache>
                  <c:formatCode>General</c:formatCode>
                  <c:ptCount val="1"/>
                  <c:pt idx="0">
                    <c:v>0.13484196015814323</c:v>
                  </c:pt>
                </c:numCache>
              </c:numRef>
            </c:plus>
            <c:minus>
              <c:numRef>
                <c:f>caud_TLR!$AH$72</c:f>
                <c:numCache>
                  <c:formatCode>General</c:formatCode>
                  <c:ptCount val="1"/>
                  <c:pt idx="0">
                    <c:v>0.13484196015814323</c:v>
                  </c:pt>
                </c:numCache>
              </c:numRef>
            </c:minus>
            <c:spPr>
              <a:ln w="12700">
                <a:solidFill>
                  <a:srgbClr val="000000"/>
                </a:solidFill>
                <a:prstDash val="solid"/>
              </a:ln>
            </c:spPr>
          </c:errBars>
          <c:xVal>
            <c:numRef>
              <c:f>caud_TLR!$AH$70</c:f>
              <c:numCache>
                <c:formatCode>General</c:formatCode>
                <c:ptCount val="1"/>
                <c:pt idx="0">
                  <c:v>-0.20840751436149207</c:v>
                </c:pt>
              </c:numCache>
            </c:numRef>
          </c:xVal>
          <c:yVal>
            <c:numRef>
              <c:f>caud_TLR!$I$71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caud_TLR!$AH$75</c:f>
                <c:numCache>
                  <c:formatCode>General</c:formatCode>
                  <c:ptCount val="1"/>
                  <c:pt idx="0">
                    <c:v>0.1574824922438714</c:v>
                  </c:pt>
                </c:numCache>
              </c:numRef>
            </c:plus>
            <c:minus>
              <c:numRef>
                <c:f>caud_TLR!$AH$76</c:f>
                <c:numCache>
                  <c:formatCode>General</c:formatCode>
                  <c:ptCount val="1"/>
                  <c:pt idx="0">
                    <c:v>0.1574824922438714</c:v>
                  </c:pt>
                </c:numCache>
              </c:numRef>
            </c:minus>
            <c:spPr>
              <a:ln w="12700">
                <a:solidFill>
                  <a:srgbClr val="000000"/>
                </a:solidFill>
                <a:prstDash val="solid"/>
              </a:ln>
            </c:spPr>
          </c:errBars>
          <c:xVal>
            <c:numRef>
              <c:f>caud_TLR!$AH$74</c:f>
              <c:numCache>
                <c:formatCode>General</c:formatCode>
                <c:ptCount val="1"/>
                <c:pt idx="0">
                  <c:v>-0.21962274645211641</c:v>
                </c:pt>
              </c:numCache>
            </c:numRef>
          </c:xVal>
          <c:yVal>
            <c:numRef>
              <c:f>caud_TLR!$I$82</c:f>
              <c:numCache>
                <c:formatCode>General</c:formatCode>
                <c:ptCount val="1"/>
                <c:pt idx="0">
                  <c:v>-3</c:v>
                </c:pt>
              </c:numCache>
            </c:numRef>
          </c:yVal>
        </c:ser>
        <c:axId val="120722944"/>
        <c:axId val="120724480"/>
      </c:scatterChart>
      <c:valAx>
        <c:axId val="12072294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0724480"/>
        <c:crosses val="autoZero"/>
        <c:crossBetween val="midCat"/>
      </c:valAx>
      <c:valAx>
        <c:axId val="120724480"/>
        <c:scaling>
          <c:orientation val="minMax"/>
        </c:scaling>
        <c:axPos val="l"/>
        <c:numFmt formatCode="General" sourceLinked="1"/>
        <c:majorTickMark val="none"/>
        <c:tickLblPos val="none"/>
        <c:spPr>
          <a:ln w="3175">
            <a:solidFill>
              <a:srgbClr val="000000"/>
            </a:solidFill>
            <a:prstDash val="solid"/>
          </a:ln>
        </c:spPr>
        <c:crossAx val="12072294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13436997077687"/>
                  <c:y val="-3.613000757150610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caud_TLR!$AK$51:$AK$63</c:f>
              <c:numCache>
                <c:formatCode>General</c:formatCode>
                <c:ptCount val="13"/>
                <c:pt idx="0">
                  <c:v>3.1665267677736457</c:v>
                </c:pt>
                <c:pt idx="1">
                  <c:v>3.7016115344013021</c:v>
                </c:pt>
                <c:pt idx="2">
                  <c:v>4.8503423460647692</c:v>
                </c:pt>
                <c:pt idx="3">
                  <c:v>6.8809119006689716</c:v>
                </c:pt>
                <c:pt idx="4">
                  <c:v>3.4165099202891382</c:v>
                </c:pt>
                <c:pt idx="5">
                  <c:v>4.6843802662771328</c:v>
                </c:pt>
                <c:pt idx="6">
                  <c:v>3.6198685440029545</c:v>
                </c:pt>
                <c:pt idx="7">
                  <c:v>3.4474095532958486</c:v>
                </c:pt>
                <c:pt idx="8">
                  <c:v>2.8241867810767514</c:v>
                </c:pt>
                <c:pt idx="9">
                  <c:v>2.6166630072533099</c:v>
                </c:pt>
                <c:pt idx="10">
                  <c:v>4.0336875075422114</c:v>
                </c:pt>
                <c:pt idx="11">
                  <c:v>3.5842378816512301</c:v>
                </c:pt>
                <c:pt idx="12">
                  <c:v>3.7597593020391189</c:v>
                </c:pt>
              </c:numCache>
            </c:numRef>
          </c:xVal>
          <c:yVal>
            <c:numRef>
              <c:f>caud_TLR!$AL$51:$AL$63</c:f>
              <c:numCache>
                <c:formatCode>General</c:formatCode>
                <c:ptCount val="13"/>
                <c:pt idx="0">
                  <c:v>-1.8519744518813794</c:v>
                </c:pt>
                <c:pt idx="1">
                  <c:v>-1.3016235689896183</c:v>
                </c:pt>
                <c:pt idx="2">
                  <c:v>-3.3892048040780249</c:v>
                </c:pt>
                <c:pt idx="3">
                  <c:v>0.16444623320066959</c:v>
                </c:pt>
                <c:pt idx="4">
                  <c:v>-1.1242983000100419</c:v>
                </c:pt>
                <c:pt idx="5">
                  <c:v>-1.0155791046197495</c:v>
                </c:pt>
                <c:pt idx="6">
                  <c:v>0</c:v>
                </c:pt>
                <c:pt idx="7">
                  <c:v>0.92042439518132757</c:v>
                </c:pt>
                <c:pt idx="8">
                  <c:v>-0.41005208757331529</c:v>
                </c:pt>
                <c:pt idx="9">
                  <c:v>-0.46172698550028896</c:v>
                </c:pt>
                <c:pt idx="10">
                  <c:v>-1.1871159624454548</c:v>
                </c:pt>
                <c:pt idx="11">
                  <c:v>-1.718201938239269</c:v>
                </c:pt>
                <c:pt idx="12">
                  <c:v>0.18500875282478121</c:v>
                </c:pt>
              </c:numCache>
            </c:numRef>
          </c:yVal>
        </c:ser>
        <c:axId val="120785536"/>
        <c:axId val="120787712"/>
      </c:scatterChart>
      <c:valAx>
        <c:axId val="120785536"/>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787712"/>
        <c:crosses val="autoZero"/>
        <c:crossBetween val="midCat"/>
      </c:valAx>
      <c:valAx>
        <c:axId val="12078771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07855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5774898181728467"/>
          <c:y val="0.14233582983569101"/>
          <c:w val="0.62805922784591361"/>
          <c:h val="0.59854041264239222"/>
        </c:manualLayout>
      </c:layout>
      <c:barChart>
        <c:barDir val="bar"/>
        <c:grouping val="clustered"/>
        <c:ser>
          <c:idx val="0"/>
          <c:order val="0"/>
          <c:spPr>
            <a:solidFill>
              <a:srgbClr val="9999FF"/>
            </a:solidFill>
            <a:ln w="12700">
              <a:solidFill>
                <a:srgbClr val="666699"/>
              </a:solidFill>
              <a:prstDash val="solid"/>
            </a:ln>
          </c:spPr>
          <c:dPt>
            <c:idx val="0"/>
            <c:spPr>
              <a:solidFill>
                <a:srgbClr val="99CCFF"/>
              </a:solidFill>
              <a:ln w="12700">
                <a:solidFill>
                  <a:srgbClr val="666699"/>
                </a:solidFill>
                <a:prstDash val="solid"/>
              </a:ln>
            </c:spPr>
          </c:dPt>
          <c:dPt>
            <c:idx val="1"/>
            <c:spPr>
              <a:solidFill>
                <a:srgbClr val="DD0806"/>
              </a:solidFill>
              <a:ln w="12700">
                <a:solidFill>
                  <a:srgbClr val="666699"/>
                </a:solidFill>
                <a:prstDash val="solid"/>
              </a:ln>
            </c:spPr>
          </c:dPt>
          <c:dPt>
            <c:idx val="2"/>
            <c:spPr>
              <a:solidFill>
                <a:srgbClr val="99CCFF"/>
              </a:solidFill>
              <a:ln w="12700">
                <a:solidFill>
                  <a:srgbClr val="666699"/>
                </a:solidFill>
                <a:prstDash val="solid"/>
              </a:ln>
            </c:spPr>
          </c:dPt>
          <c:dPt>
            <c:idx val="3"/>
            <c:spPr>
              <a:solidFill>
                <a:srgbClr val="99CCFF"/>
              </a:solidFill>
              <a:ln w="12700">
                <a:solidFill>
                  <a:srgbClr val="666699"/>
                </a:solidFill>
                <a:prstDash val="solid"/>
              </a:ln>
            </c:spPr>
          </c:dPt>
          <c:dPt>
            <c:idx val="4"/>
            <c:spPr>
              <a:solidFill>
                <a:srgbClr val="DD0806"/>
              </a:solidFill>
              <a:ln w="12700">
                <a:solidFill>
                  <a:srgbClr val="666699"/>
                </a:solidFill>
                <a:prstDash val="solid"/>
              </a:ln>
            </c:spPr>
          </c:dPt>
          <c:errBars>
            <c:errBarType val="both"/>
            <c:errValType val="cust"/>
            <c:plus>
              <c:numRef>
                <c:f>Summary!$K$87:$K$91</c:f>
                <c:numCache>
                  <c:formatCode>General</c:formatCode>
                  <c:ptCount val="5"/>
                  <c:pt idx="0">
                    <c:v>1.1316499919754794</c:v>
                  </c:pt>
                  <c:pt idx="2">
                    <c:v>0.32933181439704762</c:v>
                  </c:pt>
                  <c:pt idx="3">
                    <c:v>0.7198379447152552</c:v>
                  </c:pt>
                  <c:pt idx="4">
                    <c:v>1.5151311300391843</c:v>
                  </c:pt>
                </c:numCache>
              </c:numRef>
            </c:plus>
            <c:minus>
              <c:numRef>
                <c:f>Summary!$L$87:$L$91</c:f>
                <c:numCache>
                  <c:formatCode>General</c:formatCode>
                  <c:ptCount val="5"/>
                  <c:pt idx="0">
                    <c:v>0.66305755479280037</c:v>
                  </c:pt>
                  <c:pt idx="2">
                    <c:v>0.25306764017218486</c:v>
                  </c:pt>
                  <c:pt idx="3">
                    <c:v>0.44586875534900683</c:v>
                  </c:pt>
                  <c:pt idx="4">
                    <c:v>0.84225375999096741</c:v>
                  </c:pt>
                </c:numCache>
              </c:numRef>
            </c:minus>
            <c:spPr>
              <a:ln w="12700">
                <a:solidFill>
                  <a:srgbClr val="666699"/>
                </a:solidFill>
                <a:prstDash val="solid"/>
              </a:ln>
            </c:spPr>
          </c:errBars>
          <c:cat>
            <c:strRef>
              <c:f>Summary!$N$87:$N$91</c:f>
              <c:strCache>
                <c:ptCount val="5"/>
                <c:pt idx="0">
                  <c:v>Any MRI hyperintensities, n=10</c:v>
                </c:pt>
                <c:pt idx="2">
                  <c:v>Deep WM hyperintensities, n=14</c:v>
                </c:pt>
                <c:pt idx="3">
                  <c:v>Periventricular WM hyperintensities, n=11</c:v>
                </c:pt>
                <c:pt idx="4">
                  <c:v>Subcortical GM hyperintensities, n=8</c:v>
                </c:pt>
              </c:strCache>
            </c:strRef>
          </c:cat>
          <c:val>
            <c:numRef>
              <c:f>Summary!$F$87:$F$91</c:f>
              <c:numCache>
                <c:formatCode>0.00</c:formatCode>
                <c:ptCount val="5"/>
                <c:pt idx="0">
                  <c:v>1.6012829423195156</c:v>
                </c:pt>
                <c:pt idx="2">
                  <c:v>1.0928227565586646</c:v>
                </c:pt>
                <c:pt idx="3">
                  <c:v>1.1714939523149086</c:v>
                </c:pt>
                <c:pt idx="4">
                  <c:v>1.8965192588709316</c:v>
                </c:pt>
              </c:numCache>
            </c:numRef>
          </c:val>
        </c:ser>
        <c:gapWidth val="0"/>
        <c:axId val="102327424"/>
        <c:axId val="102328960"/>
      </c:barChart>
      <c:catAx>
        <c:axId val="102327424"/>
        <c:scaling>
          <c:orientation val="maxMin"/>
        </c:scaling>
        <c:axPos val="l"/>
        <c:numFmt formatCode="General" sourceLinked="1"/>
        <c:majorTickMark val="none"/>
        <c:tickLblPos val="low"/>
        <c:spPr>
          <a:ln w="3175">
            <a:solidFill>
              <a:srgbClr val="666699"/>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02328960"/>
        <c:crossesAt val="1"/>
        <c:auto val="1"/>
        <c:lblAlgn val="ctr"/>
        <c:lblOffset val="0"/>
        <c:tickLblSkip val="1"/>
        <c:tickMarkSkip val="1"/>
      </c:catAx>
      <c:valAx>
        <c:axId val="102328960"/>
        <c:scaling>
          <c:orientation val="minMax"/>
          <c:max val="4"/>
          <c:min val="0.5"/>
        </c:scaling>
        <c:axPos val="b"/>
        <c:majorGridlines>
          <c:spPr>
            <a:ln w="3175">
              <a:solidFill>
                <a:srgbClr val="666699"/>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Odds Rato</a:t>
                </a:r>
              </a:p>
            </c:rich>
          </c:tx>
          <c:layout>
            <c:manualLayout>
              <c:xMode val="edge"/>
              <c:yMode val="edge"/>
              <c:x val="0.50450206163055056"/>
              <c:y val="0.84943272601873698"/>
            </c:manualLayout>
          </c:layout>
          <c:spPr>
            <a:noFill/>
            <a:ln w="25400">
              <a:noFill/>
            </a:ln>
          </c:spPr>
        </c:title>
        <c:numFmt formatCode="0.0" sourceLinked="0"/>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2327424"/>
        <c:crosses val="max"/>
        <c:crossBetween val="between"/>
        <c:majorUnit val="0.5"/>
      </c:valAx>
      <c:spPr>
        <a:noFill/>
        <a:ln w="25400">
          <a:noFill/>
        </a:ln>
      </c:spPr>
    </c:plotArea>
    <c:plotVisOnly val="1"/>
    <c:dispBlanksAs val="gap"/>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6442979962412121"/>
          <c:y val="0.12727263311387788"/>
          <c:w val="0.74496766360316258"/>
          <c:h val="0.65454497029994563"/>
        </c:manualLayout>
      </c:layout>
      <c:scatterChart>
        <c:scatterStyle val="lineMarker"/>
        <c:ser>
          <c:idx val="0"/>
          <c:order val="0"/>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5.9467232520211306E-2"/>
                  <c:y val="0.10947292302747917"/>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caud_TLR!$AZ$51:$AZ$63</c:f>
              <c:numCache>
                <c:formatCode>General</c:formatCode>
                <c:ptCount val="13"/>
              </c:numCache>
            </c:numRef>
          </c:xVal>
          <c:yVal>
            <c:numRef>
              <c:f>caud_TLR!$AW$51:$AW$63</c:f>
              <c:numCache>
                <c:formatCode>0.0000</c:formatCode>
                <c:ptCount val="13"/>
                <c:pt idx="0">
                  <c:v>-0.58485987572544185</c:v>
                </c:pt>
                <c:pt idx="1">
                  <c:v>-0.35163699834324802</c:v>
                </c:pt>
                <c:pt idx="2">
                  <c:v>-0.69875579129538978</c:v>
                </c:pt>
                <c:pt idx="3">
                  <c:v>2.389890113034028E-2</c:v>
                </c:pt>
                <c:pt idx="4">
                  <c:v>-0.32907801418439697</c:v>
                </c:pt>
                <c:pt idx="5">
                  <c:v>-0.21680116619287004</c:v>
                </c:pt>
                <c:pt idx="6">
                  <c:v>0</c:v>
                </c:pt>
                <c:pt idx="7">
                  <c:v>0.26699015041638102</c:v>
                </c:pt>
                <c:pt idx="8">
                  <c:v>-0.14519297743365916</c:v>
                </c:pt>
                <c:pt idx="9">
                  <c:v>-0.17645641957729974</c:v>
                </c:pt>
                <c:pt idx="10">
                  <c:v>-0.29430042863404232</c:v>
                </c:pt>
                <c:pt idx="11">
                  <c:v>-0.47937720513341237</c:v>
                </c:pt>
                <c:pt idx="12">
                  <c:v>4.9207605583804541E-2</c:v>
                </c:pt>
              </c:numCache>
            </c:numRef>
          </c:yVal>
        </c:ser>
        <c:axId val="120824576"/>
        <c:axId val="120826496"/>
      </c:scatterChart>
      <c:valAx>
        <c:axId val="120824576"/>
        <c:scaling>
          <c:orientation val="minMax"/>
        </c:scaling>
        <c:axPos val="b"/>
        <c:title>
          <c:tx>
            <c:rich>
              <a:bodyPr/>
              <a:lstStyle/>
              <a:p>
                <a:pPr>
                  <a:defRPr sz="1000" b="1" i="0" u="none" strike="noStrike" baseline="0">
                    <a:solidFill>
                      <a:srgbClr val="000000"/>
                    </a:solidFill>
                    <a:latin typeface="Arial"/>
                    <a:ea typeface="Arial"/>
                    <a:cs typeface="Arial"/>
                  </a:defRPr>
                </a:pPr>
                <a:r>
                  <a:rPr lang="en-GB"/>
                  <a:t>Age</a:t>
                </a:r>
              </a:p>
            </c:rich>
          </c:tx>
          <c:layout>
            <c:manualLayout>
              <c:xMode val="edge"/>
              <c:yMode val="edge"/>
              <c:x val="0.50111345981081157"/>
              <c:y val="0.8367349081364842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826496"/>
        <c:crosses val="autoZero"/>
        <c:crossBetween val="midCat"/>
      </c:valAx>
      <c:valAx>
        <c:axId val="120826496"/>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Effect size</a:t>
                </a:r>
              </a:p>
            </c:rich>
          </c:tx>
          <c:layout>
            <c:manualLayout>
              <c:xMode val="edge"/>
              <c:yMode val="edge"/>
              <c:x val="1.5590286952385998E-2"/>
              <c:y val="0.30612216654736385"/>
            </c:manualLayout>
          </c:layout>
          <c:spPr>
            <a:noFill/>
            <a:ln w="25400">
              <a:noFill/>
            </a:ln>
          </c:spPr>
        </c:title>
        <c:numFmt formatCode="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8245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L_putamen!$AG$34:$AG$39</c:f>
                <c:numCache>
                  <c:formatCode>General</c:formatCode>
                  <c:ptCount val="6"/>
                  <c:pt idx="0">
                    <c:v>0.4436162465698188</c:v>
                  </c:pt>
                  <c:pt idx="1">
                    <c:v>0.56648828273959873</c:v>
                  </c:pt>
                  <c:pt idx="2">
                    <c:v>0.48471388443653463</c:v>
                  </c:pt>
                  <c:pt idx="3">
                    <c:v>0.54326084736704339</c:v>
                  </c:pt>
                  <c:pt idx="4">
                    <c:v>0.26249883373296179</c:v>
                  </c:pt>
                  <c:pt idx="5">
                    <c:v>0.52162630051754966</c:v>
                  </c:pt>
                </c:numCache>
              </c:numRef>
            </c:plus>
            <c:minus>
              <c:numRef>
                <c:f>L_putamen!$AH$34:$AH$39</c:f>
                <c:numCache>
                  <c:formatCode>General</c:formatCode>
                  <c:ptCount val="6"/>
                  <c:pt idx="0">
                    <c:v>0.4436162465698188</c:v>
                  </c:pt>
                  <c:pt idx="1">
                    <c:v>0.56648828273959873</c:v>
                  </c:pt>
                  <c:pt idx="2">
                    <c:v>0.48471388443653463</c:v>
                  </c:pt>
                  <c:pt idx="3">
                    <c:v>0.54326084736704339</c:v>
                  </c:pt>
                  <c:pt idx="4">
                    <c:v>0.26249883373296179</c:v>
                  </c:pt>
                  <c:pt idx="5">
                    <c:v>0.52162630051754966</c:v>
                  </c:pt>
                </c:numCache>
              </c:numRef>
            </c:minus>
            <c:spPr>
              <a:ln w="12700">
                <a:solidFill>
                  <a:srgbClr val="000000"/>
                </a:solidFill>
                <a:prstDash val="solid"/>
              </a:ln>
            </c:spPr>
          </c:errBars>
          <c:xVal>
            <c:numRef>
              <c:f>L_putamen!$AF$34:$AF$39</c:f>
              <c:numCache>
                <c:formatCode>0.00</c:formatCode>
                <c:ptCount val="6"/>
                <c:pt idx="0">
                  <c:v>-0.81627354182474421</c:v>
                </c:pt>
                <c:pt idx="1">
                  <c:v>0.13338641279961791</c:v>
                </c:pt>
                <c:pt idx="2">
                  <c:v>-0.21201413427561858</c:v>
                </c:pt>
                <c:pt idx="3">
                  <c:v>-0.36081193502879982</c:v>
                </c:pt>
                <c:pt idx="4">
                  <c:v>-5.5380492730081964E-2</c:v>
                </c:pt>
                <c:pt idx="5">
                  <c:v>0.10740079652146999</c:v>
                </c:pt>
              </c:numCache>
            </c:numRef>
          </c:xVal>
          <c:yVal>
            <c:numRef>
              <c:f>L_putamen!$G$34:$G$39</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L_putamen!$AH$47</c:f>
                <c:numCache>
                  <c:formatCode>General</c:formatCode>
                  <c:ptCount val="1"/>
                  <c:pt idx="0">
                    <c:v>0.17142310168500752</c:v>
                  </c:pt>
                </c:numCache>
              </c:numRef>
            </c:plus>
            <c:minus>
              <c:numRef>
                <c:f>L_putamen!$AH$48</c:f>
                <c:numCache>
                  <c:formatCode>General</c:formatCode>
                  <c:ptCount val="1"/>
                  <c:pt idx="0">
                    <c:v>0.17142310168500752</c:v>
                  </c:pt>
                </c:numCache>
              </c:numRef>
            </c:minus>
            <c:spPr>
              <a:ln w="12700">
                <a:solidFill>
                  <a:srgbClr val="000000"/>
                </a:solidFill>
                <a:prstDash val="solid"/>
              </a:ln>
            </c:spPr>
          </c:errBars>
          <c:xVal>
            <c:numRef>
              <c:f>L_putamen!$AH$46</c:f>
              <c:numCache>
                <c:formatCode>General</c:formatCode>
                <c:ptCount val="1"/>
                <c:pt idx="0">
                  <c:v>-0.18413499628908703</c:v>
                </c:pt>
              </c:numCache>
            </c:numRef>
          </c:xVal>
          <c:yVal>
            <c:numRef>
              <c:f>L_putamen!$I$47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L_putamen!$AH$51</c:f>
                <c:numCache>
                  <c:formatCode>General</c:formatCode>
                  <c:ptCount val="1"/>
                  <c:pt idx="0">
                    <c:v>0.28007763203158531</c:v>
                  </c:pt>
                </c:numCache>
              </c:numRef>
            </c:plus>
            <c:minus>
              <c:numRef>
                <c:f>L_putamen!$AH$52</c:f>
                <c:numCache>
                  <c:formatCode>General</c:formatCode>
                  <c:ptCount val="1"/>
                  <c:pt idx="0">
                    <c:v>0.28007763203158531</c:v>
                  </c:pt>
                </c:numCache>
              </c:numRef>
            </c:minus>
            <c:spPr>
              <a:ln w="12700">
                <a:solidFill>
                  <a:srgbClr val="000000"/>
                </a:solidFill>
                <a:prstDash val="solid"/>
              </a:ln>
            </c:spPr>
          </c:errBars>
          <c:xVal>
            <c:numRef>
              <c:f>L_putamen!$AH$50</c:f>
              <c:numCache>
                <c:formatCode>General</c:formatCode>
                <c:ptCount val="1"/>
                <c:pt idx="0">
                  <c:v>-0.20565904309306324</c:v>
                </c:pt>
              </c:numCache>
            </c:numRef>
          </c:xVal>
          <c:yVal>
            <c:numRef>
              <c:f>L_putamen!$I$58</c:f>
              <c:numCache>
                <c:formatCode>General</c:formatCode>
                <c:ptCount val="1"/>
                <c:pt idx="0">
                  <c:v>-3</c:v>
                </c:pt>
              </c:numCache>
            </c:numRef>
          </c:yVal>
        </c:ser>
        <c:axId val="121009664"/>
        <c:axId val="121011200"/>
      </c:scatterChart>
      <c:valAx>
        <c:axId val="12100966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1011200"/>
        <c:crosses val="autoZero"/>
        <c:crossBetween val="midCat"/>
      </c:valAx>
      <c:valAx>
        <c:axId val="121011200"/>
        <c:scaling>
          <c:orientation val="minMax"/>
        </c:scaling>
        <c:axPos val="l"/>
        <c:numFmt formatCode="General" sourceLinked="1"/>
        <c:majorTickMark val="none"/>
        <c:tickLblPos val="none"/>
        <c:spPr>
          <a:ln w="3175">
            <a:solidFill>
              <a:srgbClr val="000000"/>
            </a:solidFill>
            <a:prstDash val="solid"/>
          </a:ln>
        </c:spPr>
        <c:crossAx val="12100966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43575617274758"/>
                  <c:y val="-3.55698647068729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L_putamen!$AK$34:$AK$39</c:f>
              <c:numCache>
                <c:formatCode>General</c:formatCode>
                <c:ptCount val="6"/>
                <c:pt idx="0">
                  <c:v>4.4182331354077764</c:v>
                </c:pt>
                <c:pt idx="1">
                  <c:v>3.4599126932003386</c:v>
                </c:pt>
                <c:pt idx="2">
                  <c:v>4.0436225636045915</c:v>
                </c:pt>
                <c:pt idx="3">
                  <c:v>3.6078432846749311</c:v>
                </c:pt>
                <c:pt idx="4">
                  <c:v>7.4666998406320317</c:v>
                </c:pt>
                <c:pt idx="5">
                  <c:v>3.7574792491393127</c:v>
                </c:pt>
              </c:numCache>
            </c:numRef>
          </c:xVal>
          <c:yVal>
            <c:numRef>
              <c:f>L_putamen!$AL$34:$AL$39</c:f>
              <c:numCache>
                <c:formatCode>General</c:formatCode>
                <c:ptCount val="6"/>
                <c:pt idx="0">
                  <c:v>-3.6064868100467504</c:v>
                </c:pt>
                <c:pt idx="1">
                  <c:v>0.46150534274585814</c:v>
                </c:pt>
                <c:pt idx="2">
                  <c:v>-0.85730513715998491</c:v>
                </c:pt>
                <c:pt idx="3">
                  <c:v>-1.301752916824223</c:v>
                </c:pt>
                <c:pt idx="4">
                  <c:v>-0.41350951624182636</c:v>
                </c:pt>
                <c:pt idx="5">
                  <c:v>0.40355626427045715</c:v>
                </c:pt>
              </c:numCache>
            </c:numRef>
          </c:yVal>
        </c:ser>
        <c:axId val="121121408"/>
        <c:axId val="121139968"/>
      </c:scatterChart>
      <c:valAx>
        <c:axId val="12112140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139968"/>
        <c:crosses val="autoZero"/>
        <c:crossBetween val="midCat"/>
      </c:valAx>
      <c:valAx>
        <c:axId val="12113996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12140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R_putamen!$AG$34:$AG$39</c:f>
                <c:numCache>
                  <c:formatCode>General</c:formatCode>
                  <c:ptCount val="6"/>
                  <c:pt idx="0">
                    <c:v>0.4478928801249028</c:v>
                  </c:pt>
                  <c:pt idx="1">
                    <c:v>0.56584081641468253</c:v>
                  </c:pt>
                  <c:pt idx="2">
                    <c:v>0.48363108897963641</c:v>
                  </c:pt>
                  <c:pt idx="3">
                    <c:v>0.54242581071218243</c:v>
                  </c:pt>
                  <c:pt idx="4">
                    <c:v>0.26254530541667753</c:v>
                  </c:pt>
                  <c:pt idx="5">
                    <c:v>0.52122757336771275</c:v>
                  </c:pt>
                </c:numCache>
              </c:numRef>
            </c:plus>
            <c:minus>
              <c:numRef>
                <c:f>R_putamen!$AH$34:$AH$39</c:f>
                <c:numCache>
                  <c:formatCode>General</c:formatCode>
                  <c:ptCount val="6"/>
                  <c:pt idx="0">
                    <c:v>0.4478928801249028</c:v>
                  </c:pt>
                  <c:pt idx="1">
                    <c:v>0.56584081641468253</c:v>
                  </c:pt>
                  <c:pt idx="2">
                    <c:v>0.48363108897963641</c:v>
                  </c:pt>
                  <c:pt idx="3">
                    <c:v>0.54242581071218243</c:v>
                  </c:pt>
                  <c:pt idx="4">
                    <c:v>0.26254530541667753</c:v>
                  </c:pt>
                  <c:pt idx="5">
                    <c:v>0.52122757336771275</c:v>
                  </c:pt>
                </c:numCache>
              </c:numRef>
            </c:minus>
            <c:spPr>
              <a:ln w="12700">
                <a:solidFill>
                  <a:srgbClr val="000000"/>
                </a:solidFill>
                <a:prstDash val="solid"/>
              </a:ln>
            </c:spPr>
          </c:errBars>
          <c:xVal>
            <c:numRef>
              <c:f>R_putamen!$AF$34:$AF$39</c:f>
              <c:numCache>
                <c:formatCode>0.00</c:formatCode>
                <c:ptCount val="6"/>
                <c:pt idx="0">
                  <c:v>-0.9095059661309145</c:v>
                </c:pt>
                <c:pt idx="1">
                  <c:v>3.1221672052571422E-2</c:v>
                </c:pt>
                <c:pt idx="2">
                  <c:v>-8.5157287407072124E-2</c:v>
                </c:pt>
                <c:pt idx="3">
                  <c:v>-0.32715391564540008</c:v>
                </c:pt>
                <c:pt idx="4">
                  <c:v>-7.8935273451387664E-2</c:v>
                </c:pt>
                <c:pt idx="5">
                  <c:v>-6.9656104405956465E-3</c:v>
                </c:pt>
              </c:numCache>
            </c:numRef>
          </c:xVal>
          <c:yVal>
            <c:numRef>
              <c:f>R_putamen!$G$34:$G$39</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R_putamen!$AH$47</c:f>
                <c:numCache>
                  <c:formatCode>General</c:formatCode>
                  <c:ptCount val="1"/>
                  <c:pt idx="0">
                    <c:v>0.17157298851348135</c:v>
                  </c:pt>
                </c:numCache>
              </c:numRef>
            </c:plus>
            <c:minus>
              <c:numRef>
                <c:f>R_putamen!$AH$48</c:f>
                <c:numCache>
                  <c:formatCode>General</c:formatCode>
                  <c:ptCount val="1"/>
                  <c:pt idx="0">
                    <c:v>0.17157298851348135</c:v>
                  </c:pt>
                </c:numCache>
              </c:numRef>
            </c:minus>
            <c:spPr>
              <a:ln w="12700">
                <a:solidFill>
                  <a:srgbClr val="000000"/>
                </a:solidFill>
                <a:prstDash val="solid"/>
              </a:ln>
            </c:spPr>
          </c:errBars>
          <c:xVal>
            <c:numRef>
              <c:f>R_putamen!$AH$46</c:f>
              <c:numCache>
                <c:formatCode>General</c:formatCode>
                <c:ptCount val="1"/>
                <c:pt idx="0">
                  <c:v>-0.20850473650127554</c:v>
                </c:pt>
              </c:numCache>
            </c:numRef>
          </c:xVal>
          <c:yVal>
            <c:numRef>
              <c:f>R_putamen!$I$47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R_putamen!$AH$51</c:f>
                <c:numCache>
                  <c:formatCode>General</c:formatCode>
                  <c:ptCount val="1"/>
                  <c:pt idx="0">
                    <c:v>0.28625128692283536</c:v>
                  </c:pt>
                </c:numCache>
              </c:numRef>
            </c:plus>
            <c:minus>
              <c:numRef>
                <c:f>R_putamen!$AH$52</c:f>
                <c:numCache>
                  <c:formatCode>General</c:formatCode>
                  <c:ptCount val="1"/>
                  <c:pt idx="0">
                    <c:v>0.28625128692283536</c:v>
                  </c:pt>
                </c:numCache>
              </c:numRef>
            </c:minus>
            <c:spPr>
              <a:ln w="12700">
                <a:solidFill>
                  <a:srgbClr val="000000"/>
                </a:solidFill>
                <a:prstDash val="solid"/>
              </a:ln>
            </c:spPr>
          </c:errBars>
          <c:xVal>
            <c:numRef>
              <c:f>R_putamen!$AH$50</c:f>
              <c:numCache>
                <c:formatCode>General</c:formatCode>
                <c:ptCount val="1"/>
                <c:pt idx="0">
                  <c:v>-0.2323499840249757</c:v>
                </c:pt>
              </c:numCache>
            </c:numRef>
          </c:xVal>
          <c:yVal>
            <c:numRef>
              <c:f>R_putamen!$I$58</c:f>
              <c:numCache>
                <c:formatCode>General</c:formatCode>
                <c:ptCount val="1"/>
                <c:pt idx="0">
                  <c:v>-3</c:v>
                </c:pt>
              </c:numCache>
            </c:numRef>
          </c:yVal>
        </c:ser>
        <c:axId val="121053184"/>
        <c:axId val="121054720"/>
      </c:scatterChart>
      <c:valAx>
        <c:axId val="12105318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1054720"/>
        <c:crosses val="autoZero"/>
        <c:crossBetween val="midCat"/>
      </c:valAx>
      <c:valAx>
        <c:axId val="121054720"/>
        <c:scaling>
          <c:orientation val="minMax"/>
        </c:scaling>
        <c:axPos val="l"/>
        <c:numFmt formatCode="General" sourceLinked="1"/>
        <c:majorTickMark val="none"/>
        <c:tickLblPos val="none"/>
        <c:spPr>
          <a:ln w="3175">
            <a:solidFill>
              <a:srgbClr val="000000"/>
            </a:solidFill>
            <a:prstDash val="solid"/>
          </a:ln>
        </c:spPr>
        <c:crossAx val="1210531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30379318971124"/>
                  <c:y val="-3.583543208158047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R_putamen!$AK$34:$AK$39</c:f>
              <c:numCache>
                <c:formatCode>General</c:formatCode>
                <c:ptCount val="6"/>
                <c:pt idx="0">
                  <c:v>4.3760463427179719</c:v>
                </c:pt>
                <c:pt idx="1">
                  <c:v>3.4638717164644994</c:v>
                </c:pt>
                <c:pt idx="2">
                  <c:v>4.0526757784227696</c:v>
                </c:pt>
                <c:pt idx="3">
                  <c:v>3.6133973739682519</c:v>
                </c:pt>
                <c:pt idx="4">
                  <c:v>7.4653782016377876</c:v>
                </c:pt>
                <c:pt idx="5">
                  <c:v>3.7603536346632795</c:v>
                </c:pt>
              </c:numCache>
            </c:numRef>
          </c:xVal>
          <c:yVal>
            <c:numRef>
              <c:f>R_putamen!$AL$34:$AL$39</c:f>
              <c:numCache>
                <c:formatCode>General</c:formatCode>
                <c:ptCount val="6"/>
                <c:pt idx="0">
                  <c:v>-3.9800402567673645</c:v>
                </c:pt>
                <c:pt idx="1">
                  <c:v>0.10814786676363226</c:v>
                </c:pt>
                <c:pt idx="2">
                  <c:v>-0.34511487603082758</c:v>
                </c:pt>
                <c:pt idx="3">
                  <c:v>-1.1821370996765197</c:v>
                </c:pt>
                <c:pt idx="4">
                  <c:v>-0.5892816697643074</c:v>
                </c:pt>
                <c:pt idx="5">
                  <c:v>-2.6193158537942327E-2</c:v>
                </c:pt>
              </c:numCache>
            </c:numRef>
          </c:yVal>
        </c:ser>
        <c:axId val="121094912"/>
        <c:axId val="121096832"/>
      </c:scatterChart>
      <c:valAx>
        <c:axId val="12109491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096832"/>
        <c:crosses val="autoZero"/>
        <c:crossBetween val="midCat"/>
      </c:valAx>
      <c:valAx>
        <c:axId val="1210968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09491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putamen_TLR!$AG$44:$AG$51</c:f>
                <c:numCache>
                  <c:formatCode>General</c:formatCode>
                  <c:ptCount val="8"/>
                  <c:pt idx="0">
                    <c:v>0.3983711983317294</c:v>
                  </c:pt>
                  <c:pt idx="1">
                    <c:v>0.57480215853932726</c:v>
                  </c:pt>
                  <c:pt idx="2">
                    <c:v>0.42720104858002167</c:v>
                  </c:pt>
                  <c:pt idx="3">
                    <c:v>0.56605838097890204</c:v>
                  </c:pt>
                  <c:pt idx="4">
                    <c:v>0.48413744211880227</c:v>
                  </c:pt>
                  <c:pt idx="5">
                    <c:v>0.54331958104313127</c:v>
                  </c:pt>
                  <c:pt idx="6">
                    <c:v>0.26252807751841029</c:v>
                  </c:pt>
                  <c:pt idx="7">
                    <c:v>0.5213244839003659</c:v>
                  </c:pt>
                </c:numCache>
              </c:numRef>
            </c:plus>
            <c:minus>
              <c:numRef>
                <c:f>putamen_TLR!$AH$44:$AH$51</c:f>
                <c:numCache>
                  <c:formatCode>General</c:formatCode>
                  <c:ptCount val="8"/>
                  <c:pt idx="0">
                    <c:v>0.3983711983317294</c:v>
                  </c:pt>
                  <c:pt idx="1">
                    <c:v>0.57480215853932726</c:v>
                  </c:pt>
                  <c:pt idx="2">
                    <c:v>0.42720104858002167</c:v>
                  </c:pt>
                  <c:pt idx="3">
                    <c:v>0.56605838097890204</c:v>
                  </c:pt>
                  <c:pt idx="4">
                    <c:v>0.48413744211880227</c:v>
                  </c:pt>
                  <c:pt idx="5">
                    <c:v>0.54331958104313127</c:v>
                  </c:pt>
                  <c:pt idx="6">
                    <c:v>0.26252807751841029</c:v>
                  </c:pt>
                  <c:pt idx="7">
                    <c:v>0.5213244839003659</c:v>
                  </c:pt>
                </c:numCache>
              </c:numRef>
            </c:minus>
            <c:spPr>
              <a:ln w="12700">
                <a:solidFill>
                  <a:srgbClr val="000000"/>
                </a:solidFill>
                <a:prstDash val="solid"/>
              </a:ln>
            </c:spPr>
          </c:errBars>
          <c:xVal>
            <c:numRef>
              <c:f>putamen_TLR!$AF$44:$AF$51</c:f>
              <c:numCache>
                <c:formatCode>0.00</c:formatCode>
                <c:ptCount val="8"/>
                <c:pt idx="0">
                  <c:v>-0.48438916361098971</c:v>
                </c:pt>
                <c:pt idx="1">
                  <c:v>-0.38263794160025316</c:v>
                </c:pt>
                <c:pt idx="2">
                  <c:v>-0.65597496255518351</c:v>
                </c:pt>
                <c:pt idx="3">
                  <c:v>8.1385622841890798E-2</c:v>
                </c:pt>
                <c:pt idx="4">
                  <c:v>-0.15770315102147092</c:v>
                </c:pt>
                <c:pt idx="5">
                  <c:v>-0.36306373846138751</c:v>
                </c:pt>
                <c:pt idx="6">
                  <c:v>-7.1118505842490451E-2</c:v>
                </c:pt>
                <c:pt idx="7">
                  <c:v>5.3286781857016199E-2</c:v>
                </c:pt>
              </c:numCache>
            </c:numRef>
          </c:xVal>
          <c:yVal>
            <c:numRef>
              <c:f>putamen_TLR!$G$44:$G$51</c:f>
              <c:numCache>
                <c:formatCode>General</c:formatCode>
                <c:ptCount val="8"/>
                <c:pt idx="0">
                  <c:v>8</c:v>
                </c:pt>
                <c:pt idx="1">
                  <c:v>7</c:v>
                </c:pt>
                <c:pt idx="2">
                  <c:v>6</c:v>
                </c:pt>
                <c:pt idx="3">
                  <c:v>5</c:v>
                </c:pt>
                <c:pt idx="4">
                  <c:v>4</c:v>
                </c:pt>
                <c:pt idx="5">
                  <c:v>3</c:v>
                </c:pt>
                <c:pt idx="6">
                  <c:v>2</c:v>
                </c:pt>
                <c:pt idx="7">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putamen_TLR!$AH$59</c:f>
                <c:numCache>
                  <c:formatCode>General</c:formatCode>
                  <c:ptCount val="1"/>
                  <c:pt idx="0">
                    <c:v>0.15114952376281898</c:v>
                  </c:pt>
                </c:numCache>
              </c:numRef>
            </c:plus>
            <c:minus>
              <c:numRef>
                <c:f>putamen_TLR!$AH$60</c:f>
                <c:numCache>
                  <c:formatCode>General</c:formatCode>
                  <c:ptCount val="1"/>
                  <c:pt idx="0">
                    <c:v>0.15114952376281898</c:v>
                  </c:pt>
                </c:numCache>
              </c:numRef>
            </c:minus>
            <c:spPr>
              <a:ln w="12700">
                <a:solidFill>
                  <a:srgbClr val="000000"/>
                </a:solidFill>
                <a:prstDash val="solid"/>
              </a:ln>
            </c:spPr>
          </c:errBars>
          <c:xVal>
            <c:numRef>
              <c:f>putamen_TLR!$AH$58</c:f>
              <c:numCache>
                <c:formatCode>General</c:formatCode>
                <c:ptCount val="1"/>
                <c:pt idx="0">
                  <c:v>-0.23507068171093951</c:v>
                </c:pt>
              </c:numCache>
            </c:numRef>
          </c:xVal>
          <c:yVal>
            <c:numRef>
              <c:f>putamen_TLR!$I$59</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putamen_TLR!$AH$63</c:f>
                <c:numCache>
                  <c:formatCode>General</c:formatCode>
                  <c:ptCount val="1"/>
                  <c:pt idx="0">
                    <c:v>0.18568716887248879</c:v>
                  </c:pt>
                </c:numCache>
              </c:numRef>
            </c:plus>
            <c:minus>
              <c:numRef>
                <c:f>putamen_TLR!$AH$64</c:f>
                <c:numCache>
                  <c:formatCode>General</c:formatCode>
                  <c:ptCount val="1"/>
                  <c:pt idx="0">
                    <c:v>0.18568716887248879</c:v>
                  </c:pt>
                </c:numCache>
              </c:numRef>
            </c:minus>
            <c:spPr>
              <a:ln w="12700">
                <a:solidFill>
                  <a:srgbClr val="000000"/>
                </a:solidFill>
                <a:prstDash val="solid"/>
              </a:ln>
            </c:spPr>
          </c:errBars>
          <c:xVal>
            <c:numRef>
              <c:f>putamen_TLR!$AH$62</c:f>
              <c:numCache>
                <c:formatCode>General</c:formatCode>
                <c:ptCount val="1"/>
                <c:pt idx="0">
                  <c:v>-0.24851119091648399</c:v>
                </c:pt>
              </c:numCache>
            </c:numRef>
          </c:xVal>
          <c:yVal>
            <c:numRef>
              <c:f>putamen_TLR!$I$70</c:f>
              <c:numCache>
                <c:formatCode>General</c:formatCode>
                <c:ptCount val="1"/>
                <c:pt idx="0">
                  <c:v>-3</c:v>
                </c:pt>
              </c:numCache>
            </c:numRef>
          </c:yVal>
        </c:ser>
        <c:axId val="121386496"/>
        <c:axId val="121388032"/>
      </c:scatterChart>
      <c:valAx>
        <c:axId val="12138649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1388032"/>
        <c:crosses val="autoZero"/>
        <c:crossBetween val="midCat"/>
      </c:valAx>
      <c:valAx>
        <c:axId val="121388032"/>
        <c:scaling>
          <c:orientation val="minMax"/>
        </c:scaling>
        <c:axPos val="l"/>
        <c:numFmt formatCode="General" sourceLinked="1"/>
        <c:majorTickMark val="none"/>
        <c:tickLblPos val="none"/>
        <c:spPr>
          <a:ln w="3175">
            <a:solidFill>
              <a:srgbClr val="000000"/>
            </a:solidFill>
            <a:prstDash val="solid"/>
          </a:ln>
        </c:spPr>
        <c:crossAx val="12138649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72174420455287"/>
                  <c:y val="-3.5722194487928599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putamen_TLR!$AK$44:$AK$51</c:f>
              <c:numCache>
                <c:formatCode>General</c:formatCode>
                <c:ptCount val="8"/>
                <c:pt idx="0">
                  <c:v>4.9200344005991115</c:v>
                </c:pt>
                <c:pt idx="1">
                  <c:v>3.4098688929434475</c:v>
                </c:pt>
                <c:pt idx="2">
                  <c:v>4.5880037198290262</c:v>
                </c:pt>
                <c:pt idx="3">
                  <c:v>3.4625403772142938</c:v>
                </c:pt>
                <c:pt idx="4">
                  <c:v>4.0484371368224732</c:v>
                </c:pt>
                <c:pt idx="5">
                  <c:v>3.6074532713084855</c:v>
                </c:pt>
                <c:pt idx="6">
                  <c:v>7.4658681026700897</c:v>
                </c:pt>
                <c:pt idx="7">
                  <c:v>3.7596546115309439</c:v>
                </c:pt>
              </c:numCache>
            </c:numRef>
          </c:xVal>
          <c:yVal>
            <c:numRef>
              <c:f>putamen_TLR!$AL$44:$AL$51</c:f>
              <c:numCache>
                <c:formatCode>General</c:formatCode>
                <c:ptCount val="8"/>
                <c:pt idx="0">
                  <c:v>-2.3832113482435009</c:v>
                </c:pt>
                <c:pt idx="1">
                  <c:v>-1.3047452143226148</c:v>
                </c:pt>
                <c:pt idx="2">
                  <c:v>-3.009615568317888</c:v>
                </c:pt>
                <c:pt idx="3">
                  <c:v>0.2818010052147808</c:v>
                </c:pt>
                <c:pt idx="4">
                  <c:v>-0.63845129318924587</c:v>
                </c:pt>
                <c:pt idx="5">
                  <c:v>-1.3097354710060209</c:v>
                </c:pt>
                <c:pt idx="6">
                  <c:v>-0.53096138427900585</c:v>
                </c:pt>
                <c:pt idx="7">
                  <c:v>0.20033989514237441</c:v>
                </c:pt>
              </c:numCache>
            </c:numRef>
          </c:yVal>
        </c:ser>
        <c:axId val="121510528"/>
        <c:axId val="121516800"/>
      </c:scatterChart>
      <c:valAx>
        <c:axId val="12151052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516800"/>
        <c:crosses val="autoZero"/>
        <c:crossBetween val="midCat"/>
      </c:valAx>
      <c:valAx>
        <c:axId val="12151680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51052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globus_pallidus!$AG$32:$AG$34</c:f>
                <c:numCache>
                  <c:formatCode>General</c:formatCode>
                  <c:ptCount val="3"/>
                  <c:pt idx="0">
                    <c:v>0.48343745188814713</c:v>
                  </c:pt>
                  <c:pt idx="1">
                    <c:v>0.42350102541940893</c:v>
                  </c:pt>
                  <c:pt idx="2">
                    <c:v>0.52558519018190331</c:v>
                  </c:pt>
                </c:numCache>
              </c:numRef>
            </c:plus>
            <c:minus>
              <c:numRef>
                <c:f>globus_pallidus!$AH$32:$AH$34</c:f>
                <c:numCache>
                  <c:formatCode>General</c:formatCode>
                  <c:ptCount val="3"/>
                  <c:pt idx="0">
                    <c:v>0.48343745188814713</c:v>
                  </c:pt>
                  <c:pt idx="1">
                    <c:v>0.42350102541940893</c:v>
                  </c:pt>
                  <c:pt idx="2">
                    <c:v>0.52558519018190331</c:v>
                  </c:pt>
                </c:numCache>
              </c:numRef>
            </c:minus>
            <c:spPr>
              <a:ln w="12700">
                <a:solidFill>
                  <a:srgbClr val="000000"/>
                </a:solidFill>
                <a:prstDash val="solid"/>
              </a:ln>
            </c:spPr>
          </c:errBars>
          <c:xVal>
            <c:numRef>
              <c:f>globus_pallidus!$AF$32:$AF$34</c:f>
              <c:numCache>
                <c:formatCode>0.00</c:formatCode>
                <c:ptCount val="3"/>
                <c:pt idx="0">
                  <c:v>-2.2782637230900314E-2</c:v>
                </c:pt>
                <c:pt idx="1">
                  <c:v>-0.5176614770975505</c:v>
                </c:pt>
                <c:pt idx="2">
                  <c:v>-0.35504644541629693</c:v>
                </c:pt>
              </c:numCache>
            </c:numRef>
          </c:xVal>
          <c:yVal>
            <c:numRef>
              <c:f>globus_pallidus!$G$32:$G$34</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globus_pallidus!$AH$42</c:f>
                <c:numCache>
                  <c:formatCode>General</c:formatCode>
                  <c:ptCount val="1"/>
                  <c:pt idx="0">
                    <c:v>0.27242383683812293</c:v>
                  </c:pt>
                </c:numCache>
              </c:numRef>
            </c:plus>
            <c:minus>
              <c:numRef>
                <c:f>globus_pallidus!$AH$43</c:f>
                <c:numCache>
                  <c:formatCode>General</c:formatCode>
                  <c:ptCount val="1"/>
                  <c:pt idx="0">
                    <c:v>0.27242383683812293</c:v>
                  </c:pt>
                </c:numCache>
              </c:numRef>
            </c:minus>
            <c:spPr>
              <a:ln w="12700">
                <a:solidFill>
                  <a:srgbClr val="000000"/>
                </a:solidFill>
                <a:prstDash val="solid"/>
              </a:ln>
            </c:spPr>
          </c:errBars>
          <c:xVal>
            <c:numRef>
              <c:f>globus_pallidus!$AH$41</c:f>
              <c:numCache>
                <c:formatCode>General</c:formatCode>
                <c:ptCount val="1"/>
                <c:pt idx="0">
                  <c:v>-0.31682535165863157</c:v>
                </c:pt>
              </c:numCache>
            </c:numRef>
          </c:xVal>
          <c:yVal>
            <c:numRef>
              <c:f>globus_pallidus!$I$42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globus_pallidus!$AH$46</c:f>
                <c:numCache>
                  <c:formatCode>General</c:formatCode>
                  <c:ptCount val="1"/>
                  <c:pt idx="0">
                    <c:v>0.29336437818251215</c:v>
                  </c:pt>
                </c:numCache>
              </c:numRef>
            </c:plus>
            <c:minus>
              <c:numRef>
                <c:f>globus_pallidus!$AH$47</c:f>
                <c:numCache>
                  <c:formatCode>General</c:formatCode>
                  <c:ptCount val="1"/>
                  <c:pt idx="0">
                    <c:v>0.29336437818251215</c:v>
                  </c:pt>
                </c:numCache>
              </c:numRef>
            </c:minus>
            <c:spPr>
              <a:ln w="12700">
                <a:solidFill>
                  <a:srgbClr val="000000"/>
                </a:solidFill>
                <a:prstDash val="solid"/>
              </a:ln>
            </c:spPr>
          </c:errBars>
          <c:xVal>
            <c:numRef>
              <c:f>globus_pallidus!$AH$45</c:f>
              <c:numCache>
                <c:formatCode>General</c:formatCode>
                <c:ptCount val="1"/>
                <c:pt idx="0">
                  <c:v>-0.3138798638350726</c:v>
                </c:pt>
              </c:numCache>
            </c:numRef>
          </c:xVal>
          <c:yVal>
            <c:numRef>
              <c:f>globus_pallidus!$I$53</c:f>
              <c:numCache>
                <c:formatCode>General</c:formatCode>
                <c:ptCount val="1"/>
                <c:pt idx="0">
                  <c:v>-3</c:v>
                </c:pt>
              </c:numCache>
            </c:numRef>
          </c:yVal>
        </c:ser>
        <c:axId val="121799040"/>
        <c:axId val="121800576"/>
      </c:scatterChart>
      <c:valAx>
        <c:axId val="12179904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1800576"/>
        <c:crosses val="autoZero"/>
        <c:crossBetween val="midCat"/>
      </c:valAx>
      <c:valAx>
        <c:axId val="121800576"/>
        <c:scaling>
          <c:orientation val="minMax"/>
        </c:scaling>
        <c:axPos val="l"/>
        <c:numFmt formatCode="General" sourceLinked="1"/>
        <c:majorTickMark val="none"/>
        <c:tickLblPos val="none"/>
        <c:spPr>
          <a:ln w="3175">
            <a:solidFill>
              <a:srgbClr val="000000"/>
            </a:solidFill>
            <a:prstDash val="solid"/>
          </a:ln>
        </c:spPr>
        <c:crossAx val="1217990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05160603649937"/>
                  <c:y val="-3.56984945200142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globus_pallidus!$AK$32:$AK$34</c:f>
              <c:numCache>
                <c:formatCode>General</c:formatCode>
                <c:ptCount val="3"/>
                <c:pt idx="0">
                  <c:v>4.0542990460190591</c:v>
                </c:pt>
                <c:pt idx="1">
                  <c:v>4.6280879675767927</c:v>
                </c:pt>
                <c:pt idx="2">
                  <c:v>3.7291766142072045</c:v>
                </c:pt>
              </c:numCache>
            </c:numRef>
          </c:xVal>
          <c:yVal>
            <c:numRef>
              <c:f>globus_pallidus!$AL$32:$AL$34</c:f>
              <c:numCache>
                <c:formatCode>General</c:formatCode>
                <c:ptCount val="3"/>
                <c:pt idx="0">
                  <c:v>-9.2367624391037448E-2</c:v>
                </c:pt>
                <c:pt idx="1">
                  <c:v>-2.3957828534332029</c:v>
                </c:pt>
                <c:pt idx="2">
                  <c:v>-1.3240309012038491</c:v>
                </c:pt>
              </c:numCache>
            </c:numRef>
          </c:yVal>
        </c:ser>
        <c:axId val="121701888"/>
        <c:axId val="121703808"/>
      </c:scatterChart>
      <c:valAx>
        <c:axId val="12170188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703808"/>
        <c:crosses val="autoZero"/>
        <c:crossBetween val="midCat"/>
      </c:valAx>
      <c:valAx>
        <c:axId val="12170380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7018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thalamus!$AG$38:$AG$44</c:f>
                <c:numCache>
                  <c:formatCode>General</c:formatCode>
                  <c:ptCount val="7"/>
                  <c:pt idx="0">
                    <c:v>0.59363781807322524</c:v>
                  </c:pt>
                  <c:pt idx="1">
                    <c:v>0.60792154005569443</c:v>
                  </c:pt>
                  <c:pt idx="2">
                    <c:v>0.53213514512707949</c:v>
                  </c:pt>
                  <c:pt idx="3">
                    <c:v>0.39322020459740542</c:v>
                  </c:pt>
                  <c:pt idx="4">
                    <c:v>0.57156075590824951</c:v>
                  </c:pt>
                  <c:pt idx="5">
                    <c:v>0.42898325586954617</c:v>
                  </c:pt>
                  <c:pt idx="6">
                    <c:v>0.77258052907763675</c:v>
                  </c:pt>
                </c:numCache>
              </c:numRef>
            </c:plus>
            <c:minus>
              <c:numRef>
                <c:f>thalamus!$AH$38:$AH$44</c:f>
                <c:numCache>
                  <c:formatCode>General</c:formatCode>
                  <c:ptCount val="7"/>
                  <c:pt idx="0">
                    <c:v>0.59363781807322524</c:v>
                  </c:pt>
                  <c:pt idx="1">
                    <c:v>0.60792154005569443</c:v>
                  </c:pt>
                  <c:pt idx="2">
                    <c:v>0.53213514512707949</c:v>
                  </c:pt>
                  <c:pt idx="3">
                    <c:v>0.39322020459740542</c:v>
                  </c:pt>
                  <c:pt idx="4">
                    <c:v>0.57156075590824951</c:v>
                  </c:pt>
                  <c:pt idx="5">
                    <c:v>0.42898325586954617</c:v>
                  </c:pt>
                  <c:pt idx="6">
                    <c:v>0.77258052907763675</c:v>
                  </c:pt>
                </c:numCache>
              </c:numRef>
            </c:minus>
            <c:spPr>
              <a:ln w="12700">
                <a:solidFill>
                  <a:srgbClr val="000000"/>
                </a:solidFill>
                <a:prstDash val="solid"/>
              </a:ln>
            </c:spPr>
          </c:errBars>
          <c:xVal>
            <c:numRef>
              <c:f>thalamus!$AF$38:$AF$44</c:f>
              <c:numCache>
                <c:formatCode>0.00</c:formatCode>
                <c:ptCount val="7"/>
                <c:pt idx="0">
                  <c:v>-0.37736891116805987</c:v>
                </c:pt>
                <c:pt idx="1">
                  <c:v>-0.27083672183267643</c:v>
                </c:pt>
                <c:pt idx="2">
                  <c:v>-0.44665129370626494</c:v>
                </c:pt>
                <c:pt idx="3">
                  <c:v>-9.7407626247036264E-2</c:v>
                </c:pt>
                <c:pt idx="4">
                  <c:v>0.24433463694381394</c:v>
                </c:pt>
                <c:pt idx="5">
                  <c:v>-0.71344036719980142</c:v>
                </c:pt>
                <c:pt idx="6">
                  <c:v>-0.81618015590603499</c:v>
                </c:pt>
              </c:numCache>
            </c:numRef>
          </c:xVal>
          <c:yVal>
            <c:numRef>
              <c:f>thalamus!$G$38:$G$44</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thalamus!$AH$52</c:f>
                <c:numCache>
                  <c:formatCode>General</c:formatCode>
                  <c:ptCount val="1"/>
                  <c:pt idx="0">
                    <c:v>0.19720833486895289</c:v>
                  </c:pt>
                </c:numCache>
              </c:numRef>
            </c:plus>
            <c:minus>
              <c:numRef>
                <c:f>thalamus!$AH$53</c:f>
                <c:numCache>
                  <c:formatCode>General</c:formatCode>
                  <c:ptCount val="1"/>
                  <c:pt idx="0">
                    <c:v>0.19720833486895289</c:v>
                  </c:pt>
                </c:numCache>
              </c:numRef>
            </c:minus>
            <c:spPr>
              <a:ln w="12700">
                <a:solidFill>
                  <a:srgbClr val="000000"/>
                </a:solidFill>
                <a:prstDash val="solid"/>
              </a:ln>
            </c:spPr>
          </c:errBars>
          <c:xVal>
            <c:numRef>
              <c:f>thalamus!$AH$51</c:f>
              <c:numCache>
                <c:formatCode>General</c:formatCode>
                <c:ptCount val="1"/>
                <c:pt idx="0">
                  <c:v>-0.33085865102088585</c:v>
                </c:pt>
              </c:numCache>
            </c:numRef>
          </c:xVal>
          <c:yVal>
            <c:numRef>
              <c:f>thalamus!$I$52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thalamus!$AH$56</c:f>
                <c:numCache>
                  <c:formatCode>General</c:formatCode>
                  <c:ptCount val="1"/>
                  <c:pt idx="0">
                    <c:v>0.26233347566168413</c:v>
                  </c:pt>
                </c:numCache>
              </c:numRef>
            </c:plus>
            <c:minus>
              <c:numRef>
                <c:f>thalamus!$AH$57</c:f>
                <c:numCache>
                  <c:formatCode>General</c:formatCode>
                  <c:ptCount val="1"/>
                  <c:pt idx="0">
                    <c:v>0.26233347566168413</c:v>
                  </c:pt>
                </c:numCache>
              </c:numRef>
            </c:minus>
            <c:spPr>
              <a:ln w="12700">
                <a:solidFill>
                  <a:srgbClr val="000000"/>
                </a:solidFill>
                <a:prstDash val="solid"/>
              </a:ln>
            </c:spPr>
          </c:errBars>
          <c:xVal>
            <c:numRef>
              <c:f>thalamus!$AH$55</c:f>
              <c:numCache>
                <c:formatCode>General</c:formatCode>
                <c:ptCount val="1"/>
                <c:pt idx="0">
                  <c:v>-0.33582496543497509</c:v>
                </c:pt>
              </c:numCache>
            </c:numRef>
          </c:xVal>
          <c:yVal>
            <c:numRef>
              <c:f>thalamus!$I$63</c:f>
              <c:numCache>
                <c:formatCode>General</c:formatCode>
                <c:ptCount val="1"/>
                <c:pt idx="0">
                  <c:v>-3</c:v>
                </c:pt>
              </c:numCache>
            </c:numRef>
          </c:yVal>
        </c:ser>
        <c:axId val="121961088"/>
        <c:axId val="121840000"/>
      </c:scatterChart>
      <c:valAx>
        <c:axId val="12196108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1840000"/>
        <c:crosses val="autoZero"/>
        <c:crossBetween val="midCat"/>
      </c:valAx>
      <c:valAx>
        <c:axId val="121840000"/>
        <c:scaling>
          <c:orientation val="minMax"/>
        </c:scaling>
        <c:axPos val="l"/>
        <c:numFmt formatCode="General" sourceLinked="1"/>
        <c:majorTickMark val="none"/>
        <c:tickLblPos val="none"/>
        <c:spPr>
          <a:ln w="3175">
            <a:solidFill>
              <a:srgbClr val="000000"/>
            </a:solidFill>
            <a:prstDash val="solid"/>
          </a:ln>
        </c:spPr>
        <c:crossAx val="1219610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LatVent!$AG$49:$AG$64</c:f>
                <c:numCache>
                  <c:formatCode>General</c:formatCode>
                  <c:ptCount val="16"/>
                  <c:pt idx="0">
                    <c:v>1.0362711654339942</c:v>
                  </c:pt>
                  <c:pt idx="1">
                    <c:v>0.57220004117776913</c:v>
                  </c:pt>
                  <c:pt idx="2">
                    <c:v>0.70707958187922604</c:v>
                  </c:pt>
                  <c:pt idx="3">
                    <c:v>0.44673179367114979</c:v>
                  </c:pt>
                  <c:pt idx="4">
                    <c:v>0.91940881593978496</c:v>
                  </c:pt>
                  <c:pt idx="5">
                    <c:v>0.61374687677601503</c:v>
                  </c:pt>
                  <c:pt idx="6">
                    <c:v>0.80203525727851444</c:v>
                  </c:pt>
                  <c:pt idx="7">
                    <c:v>0.46027450983334162</c:v>
                  </c:pt>
                  <c:pt idx="8">
                    <c:v>0.84083624113062228</c:v>
                  </c:pt>
                  <c:pt idx="9">
                    <c:v>0.64874665741102688</c:v>
                  </c:pt>
                  <c:pt idx="10">
                    <c:v>0.94550491105116008</c:v>
                  </c:pt>
                  <c:pt idx="11">
                    <c:v>0.7400977690550341</c:v>
                  </c:pt>
                  <c:pt idx="12">
                    <c:v>0.39308338219585137</c:v>
                  </c:pt>
                  <c:pt idx="13">
                    <c:v>0.75909617457548484</c:v>
                  </c:pt>
                  <c:pt idx="14">
                    <c:v>0.42807747784752431</c:v>
                  </c:pt>
                  <c:pt idx="15">
                    <c:v>0.42089176810028761</c:v>
                  </c:pt>
                </c:numCache>
              </c:numRef>
            </c:plus>
            <c:minus>
              <c:numRef>
                <c:f>LatVent!$AH$49:$AH$64</c:f>
                <c:numCache>
                  <c:formatCode>General</c:formatCode>
                  <c:ptCount val="16"/>
                  <c:pt idx="0">
                    <c:v>1.0362711654339942</c:v>
                  </c:pt>
                  <c:pt idx="1">
                    <c:v>0.57220004117776913</c:v>
                  </c:pt>
                  <c:pt idx="2">
                    <c:v>0.70707958187922604</c:v>
                  </c:pt>
                  <c:pt idx="3">
                    <c:v>0.44673179367114979</c:v>
                  </c:pt>
                  <c:pt idx="4">
                    <c:v>0.91940881593978496</c:v>
                  </c:pt>
                  <c:pt idx="5">
                    <c:v>0.61374687677601503</c:v>
                  </c:pt>
                  <c:pt idx="6">
                    <c:v>0.80203525727851444</c:v>
                  </c:pt>
                  <c:pt idx="7">
                    <c:v>0.46027450983334162</c:v>
                  </c:pt>
                  <c:pt idx="8">
                    <c:v>0.84083624113062228</c:v>
                  </c:pt>
                  <c:pt idx="9">
                    <c:v>0.64874665741102688</c:v>
                  </c:pt>
                  <c:pt idx="10">
                    <c:v>0.94550491105116008</c:v>
                  </c:pt>
                  <c:pt idx="11">
                    <c:v>0.7400977690550341</c:v>
                  </c:pt>
                  <c:pt idx="12">
                    <c:v>0.39308338219585137</c:v>
                  </c:pt>
                  <c:pt idx="13">
                    <c:v>0.75909617457548484</c:v>
                  </c:pt>
                  <c:pt idx="14">
                    <c:v>0.42807747784752431</c:v>
                  </c:pt>
                  <c:pt idx="15">
                    <c:v>0.42089176810028761</c:v>
                  </c:pt>
                </c:numCache>
              </c:numRef>
            </c:minus>
            <c:spPr>
              <a:ln w="12700">
                <a:solidFill>
                  <a:srgbClr val="000000"/>
                </a:solidFill>
                <a:prstDash val="solid"/>
              </a:ln>
            </c:spPr>
          </c:errBars>
          <c:xVal>
            <c:numRef>
              <c:f>LatVent!$AF$49:$AF$64</c:f>
              <c:numCache>
                <c:formatCode>0.00</c:formatCode>
                <c:ptCount val="16"/>
                <c:pt idx="0">
                  <c:v>1.59832194266745</c:v>
                </c:pt>
                <c:pt idx="1">
                  <c:v>-1.0525939253326819E-2</c:v>
                </c:pt>
                <c:pt idx="2">
                  <c:v>0.72875526711909844</c:v>
                </c:pt>
                <c:pt idx="3">
                  <c:v>0.17326653496070793</c:v>
                </c:pt>
                <c:pt idx="4">
                  <c:v>-6.5333008126998271E-2</c:v>
                </c:pt>
                <c:pt idx="5">
                  <c:v>4.7831883440439642E-2</c:v>
                </c:pt>
                <c:pt idx="6">
                  <c:v>0.74807906370568766</c:v>
                </c:pt>
                <c:pt idx="7">
                  <c:v>0.52681128768150898</c:v>
                </c:pt>
                <c:pt idx="8">
                  <c:v>-9.5344398772332417E-2</c:v>
                </c:pt>
                <c:pt idx="9">
                  <c:v>0.50090485460537493</c:v>
                </c:pt>
                <c:pt idx="10">
                  <c:v>1.3558097220187586</c:v>
                </c:pt>
                <c:pt idx="11">
                  <c:v>0.85505516590735109</c:v>
                </c:pt>
                <c:pt idx="12">
                  <c:v>5.956365103357078E-2</c:v>
                </c:pt>
                <c:pt idx="13">
                  <c:v>0.54764506327025286</c:v>
                </c:pt>
                <c:pt idx="14">
                  <c:v>0.75093111686194658</c:v>
                </c:pt>
                <c:pt idx="15">
                  <c:v>0.38578740734696537</c:v>
                </c:pt>
              </c:numCache>
            </c:numRef>
          </c:xVal>
          <c:yVal>
            <c:numRef>
              <c:f>LatVent!$G$49:$G$64</c:f>
              <c:numCache>
                <c:formatCode>General</c:formatCode>
                <c:ptCount val="16"/>
                <c:pt idx="0">
                  <c:v>16</c:v>
                </c:pt>
                <c:pt idx="1">
                  <c:v>15</c:v>
                </c:pt>
                <c:pt idx="2">
                  <c:v>14</c:v>
                </c:pt>
                <c:pt idx="3">
                  <c:v>13</c:v>
                </c:pt>
                <c:pt idx="4">
                  <c:v>12</c:v>
                </c:pt>
                <c:pt idx="5">
                  <c:v>11</c:v>
                </c:pt>
                <c:pt idx="6">
                  <c:v>10</c:v>
                </c:pt>
                <c:pt idx="7">
                  <c:v>9</c:v>
                </c:pt>
                <c:pt idx="8">
                  <c:v>8</c:v>
                </c:pt>
                <c:pt idx="9">
                  <c:v>7</c:v>
                </c:pt>
                <c:pt idx="10">
                  <c:v>6</c:v>
                </c:pt>
                <c:pt idx="11">
                  <c:v>5</c:v>
                </c:pt>
                <c:pt idx="12">
                  <c:v>4</c:v>
                </c:pt>
                <c:pt idx="13">
                  <c:v>3</c:v>
                </c:pt>
                <c:pt idx="14">
                  <c:v>2</c:v>
                </c:pt>
                <c:pt idx="1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LatVent!$AH$72</c:f>
                <c:numCache>
                  <c:formatCode>General</c:formatCode>
                  <c:ptCount val="1"/>
                  <c:pt idx="0">
                    <c:v>0.14562823321815582</c:v>
                  </c:pt>
                </c:numCache>
              </c:numRef>
            </c:plus>
            <c:minus>
              <c:numRef>
                <c:f>LatVent!$AH$73</c:f>
                <c:numCache>
                  <c:formatCode>General</c:formatCode>
                  <c:ptCount val="1"/>
                  <c:pt idx="0">
                    <c:v>0.14562823321815582</c:v>
                  </c:pt>
                </c:numCache>
              </c:numRef>
            </c:minus>
            <c:spPr>
              <a:ln w="12700">
                <a:solidFill>
                  <a:srgbClr val="000000"/>
                </a:solidFill>
                <a:prstDash val="solid"/>
              </a:ln>
            </c:spPr>
          </c:errBars>
          <c:xVal>
            <c:numRef>
              <c:f>LatVent!$AH$71</c:f>
              <c:numCache>
                <c:formatCode>General</c:formatCode>
                <c:ptCount val="1"/>
                <c:pt idx="0">
                  <c:v>0.4077332261690394</c:v>
                </c:pt>
              </c:numCache>
            </c:numRef>
          </c:xVal>
          <c:yVal>
            <c:numRef>
              <c:f>LatVent!$I$72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LatVent!$AH$76</c:f>
                <c:numCache>
                  <c:formatCode>General</c:formatCode>
                  <c:ptCount val="1"/>
                  <c:pt idx="0">
                    <c:v>0.19580159124227239</c:v>
                  </c:pt>
                </c:numCache>
              </c:numRef>
            </c:plus>
            <c:minus>
              <c:numRef>
                <c:f>LatVent!$AH$77</c:f>
                <c:numCache>
                  <c:formatCode>General</c:formatCode>
                  <c:ptCount val="1"/>
                  <c:pt idx="0">
                    <c:v>0.19580159124227239</c:v>
                  </c:pt>
                </c:numCache>
              </c:numRef>
            </c:minus>
            <c:spPr>
              <a:ln w="12700">
                <a:solidFill>
                  <a:srgbClr val="000000"/>
                </a:solidFill>
                <a:prstDash val="solid"/>
              </a:ln>
            </c:spPr>
          </c:errBars>
          <c:xVal>
            <c:numRef>
              <c:f>LatVent!$AH$75</c:f>
              <c:numCache>
                <c:formatCode>General</c:formatCode>
                <c:ptCount val="1"/>
                <c:pt idx="0">
                  <c:v>0.43635842628460597</c:v>
                </c:pt>
              </c:numCache>
            </c:numRef>
          </c:xVal>
          <c:yVal>
            <c:numRef>
              <c:f>LatVent!$I$83</c:f>
              <c:numCache>
                <c:formatCode>General</c:formatCode>
                <c:ptCount val="1"/>
                <c:pt idx="0">
                  <c:v>-3</c:v>
                </c:pt>
              </c:numCache>
            </c:numRef>
          </c:yVal>
        </c:ser>
        <c:axId val="102671104"/>
        <c:axId val="102672640"/>
      </c:scatterChart>
      <c:valAx>
        <c:axId val="102671104"/>
        <c:scaling>
          <c:orientation val="minMax"/>
          <c:max val="2"/>
          <c:min val="-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2672640"/>
        <c:crosses val="autoZero"/>
        <c:crossBetween val="midCat"/>
      </c:valAx>
      <c:valAx>
        <c:axId val="102672640"/>
        <c:scaling>
          <c:orientation val="minMax"/>
        </c:scaling>
        <c:axPos val="l"/>
        <c:numFmt formatCode="General" sourceLinked="1"/>
        <c:majorTickMark val="none"/>
        <c:tickLblPos val="none"/>
        <c:spPr>
          <a:ln w="3175">
            <a:solidFill>
              <a:srgbClr val="000000"/>
            </a:solidFill>
            <a:prstDash val="solid"/>
          </a:ln>
        </c:spPr>
        <c:crossAx val="1026711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5501857180433"/>
                  <c:y val="-3.515162418712515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thalamus!$AK$38:$AK$44</c:f>
              <c:numCache>
                <c:formatCode>General</c:formatCode>
                <c:ptCount val="7"/>
                <c:pt idx="0">
                  <c:v>3.30167644366322</c:v>
                </c:pt>
                <c:pt idx="1">
                  <c:v>3.2241002676438071</c:v>
                </c:pt>
                <c:pt idx="2">
                  <c:v>3.6832748559239241</c:v>
                </c:pt>
                <c:pt idx="3">
                  <c:v>4.9844844621011442</c:v>
                </c:pt>
                <c:pt idx="4">
                  <c:v>3.4292067461584637</c:v>
                </c:pt>
                <c:pt idx="5">
                  <c:v>4.5689428973797428</c:v>
                </c:pt>
                <c:pt idx="6">
                  <c:v>2.5369523644868339</c:v>
                </c:pt>
              </c:numCache>
            </c:numRef>
          </c:xVal>
          <c:yVal>
            <c:numRef>
              <c:f>thalamus!$AL$38:$AL$44</c:f>
              <c:numCache>
                <c:formatCode>General</c:formatCode>
                <c:ptCount val="7"/>
                <c:pt idx="0">
                  <c:v>-1.2459500445744216</c:v>
                </c:pt>
                <c:pt idx="1">
                  <c:v>-0.8732047473485034</c:v>
                </c:pt>
                <c:pt idx="2">
                  <c:v>-1.6451394794741772</c:v>
                </c:pt>
                <c:pt idx="3">
                  <c:v>-0.4855267995185078</c:v>
                </c:pt>
                <c:pt idx="4">
                  <c:v>0.83787398532790569</c:v>
                </c:pt>
                <c:pt idx="5">
                  <c:v>-3.2596682984215284</c:v>
                </c:pt>
                <c:pt idx="6">
                  <c:v>-2.0706101763730484</c:v>
                </c:pt>
              </c:numCache>
            </c:numRef>
          </c:yVal>
        </c:ser>
        <c:axId val="121855360"/>
        <c:axId val="121968128"/>
      </c:scatterChart>
      <c:valAx>
        <c:axId val="12185536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968128"/>
        <c:crosses val="autoZero"/>
        <c:crossBetween val="midCat"/>
      </c:valAx>
      <c:valAx>
        <c:axId val="12196812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18553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L_Temporal!$AG$33:$AG$37</c:f>
                <c:numCache>
                  <c:formatCode>General</c:formatCode>
                  <c:ptCount val="5"/>
                  <c:pt idx="0">
                    <c:v>0.70616020162844395</c:v>
                  </c:pt>
                  <c:pt idx="1">
                    <c:v>0.69336382547401498</c:v>
                  </c:pt>
                  <c:pt idx="2">
                    <c:v>0.77998428635297712</c:v>
                  </c:pt>
                  <c:pt idx="3">
                    <c:v>0.49878209702255871</c:v>
                  </c:pt>
                  <c:pt idx="4">
                    <c:v>0.48168204858696989</c:v>
                  </c:pt>
                </c:numCache>
              </c:numRef>
            </c:plus>
            <c:minus>
              <c:numRef>
                <c:f>L_Temporal!$AH$33:$AH$37</c:f>
                <c:numCache>
                  <c:formatCode>General</c:formatCode>
                  <c:ptCount val="5"/>
                  <c:pt idx="0">
                    <c:v>0.70616020162844395</c:v>
                  </c:pt>
                  <c:pt idx="1">
                    <c:v>0.69336382547401498</c:v>
                  </c:pt>
                  <c:pt idx="2">
                    <c:v>0.77998428635297712</c:v>
                  </c:pt>
                  <c:pt idx="3">
                    <c:v>0.49878209702255871</c:v>
                  </c:pt>
                  <c:pt idx="4">
                    <c:v>0.48168204858696989</c:v>
                  </c:pt>
                </c:numCache>
              </c:numRef>
            </c:minus>
            <c:spPr>
              <a:ln w="12700">
                <a:solidFill>
                  <a:srgbClr val="000000"/>
                </a:solidFill>
                <a:prstDash val="solid"/>
              </a:ln>
            </c:spPr>
          </c:errBars>
          <c:xVal>
            <c:numRef>
              <c:f>L_Temporal!$AF$33:$AF$37</c:f>
              <c:numCache>
                <c:formatCode>0.00</c:formatCode>
                <c:ptCount val="5"/>
                <c:pt idx="0">
                  <c:v>-0.11873558633436344</c:v>
                </c:pt>
                <c:pt idx="1">
                  <c:v>-8.9912519945459679E-2</c:v>
                </c:pt>
                <c:pt idx="2">
                  <c:v>-0.93272627946856734</c:v>
                </c:pt>
                <c:pt idx="3">
                  <c:v>0.16842084538933744</c:v>
                </c:pt>
                <c:pt idx="4">
                  <c:v>-0.71176306797819988</c:v>
                </c:pt>
              </c:numCache>
            </c:numRef>
          </c:xVal>
          <c:yVal>
            <c:numRef>
              <c:f>L_Temporal!$G$33:$G$37</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L_Temporal!$AH$45</c:f>
                <c:numCache>
                  <c:formatCode>General</c:formatCode>
                  <c:ptCount val="1"/>
                  <c:pt idx="0">
                    <c:v>0.26670240499240466</c:v>
                  </c:pt>
                </c:numCache>
              </c:numRef>
            </c:plus>
            <c:minus>
              <c:numRef>
                <c:f>L_Temporal!$AH$46</c:f>
                <c:numCache>
                  <c:formatCode>General</c:formatCode>
                  <c:ptCount val="1"/>
                  <c:pt idx="0">
                    <c:v>0.26670240499240466</c:v>
                  </c:pt>
                </c:numCache>
              </c:numRef>
            </c:minus>
            <c:spPr>
              <a:ln w="12700">
                <a:solidFill>
                  <a:srgbClr val="000000"/>
                </a:solidFill>
                <a:prstDash val="solid"/>
              </a:ln>
            </c:spPr>
          </c:errBars>
          <c:xVal>
            <c:numRef>
              <c:f>L_Temporal!$AH$44</c:f>
              <c:numCache>
                <c:formatCode>General</c:formatCode>
                <c:ptCount val="1"/>
                <c:pt idx="0">
                  <c:v>-0.30934577160145271</c:v>
                </c:pt>
              </c:numCache>
            </c:numRef>
          </c:xVal>
          <c:yVal>
            <c:numRef>
              <c:f>L_Temporal!$I$45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L_Temporal!$AH$49</c:f>
                <c:numCache>
                  <c:formatCode>General</c:formatCode>
                  <c:ptCount val="1"/>
                  <c:pt idx="0">
                    <c:v>0.41991267358211792</c:v>
                  </c:pt>
                </c:numCache>
              </c:numRef>
            </c:plus>
            <c:minus>
              <c:numRef>
                <c:f>L_Temporal!$AH$50</c:f>
                <c:numCache>
                  <c:formatCode>General</c:formatCode>
                  <c:ptCount val="1"/>
                  <c:pt idx="0">
                    <c:v>0.41991267358211792</c:v>
                  </c:pt>
                </c:numCache>
              </c:numRef>
            </c:minus>
            <c:spPr>
              <a:ln w="12700">
                <a:solidFill>
                  <a:srgbClr val="000000"/>
                </a:solidFill>
                <a:prstDash val="solid"/>
              </a:ln>
            </c:spPr>
          </c:errBars>
          <c:xVal>
            <c:numRef>
              <c:f>L_Temporal!$AH$48</c:f>
              <c:numCache>
                <c:formatCode>General</c:formatCode>
                <c:ptCount val="1"/>
                <c:pt idx="0">
                  <c:v>-0.3198207285188393</c:v>
                </c:pt>
              </c:numCache>
            </c:numRef>
          </c:xVal>
          <c:yVal>
            <c:numRef>
              <c:f>L_Temporal!$I$56</c:f>
              <c:numCache>
                <c:formatCode>General</c:formatCode>
                <c:ptCount val="1"/>
                <c:pt idx="0">
                  <c:v>-3</c:v>
                </c:pt>
              </c:numCache>
            </c:numRef>
          </c:yVal>
        </c:ser>
        <c:axId val="122185600"/>
        <c:axId val="122187136"/>
      </c:scatterChart>
      <c:valAx>
        <c:axId val="1221856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2187136"/>
        <c:crosses val="autoZero"/>
        <c:crossBetween val="midCat"/>
      </c:valAx>
      <c:valAx>
        <c:axId val="122187136"/>
        <c:scaling>
          <c:orientation val="minMax"/>
        </c:scaling>
        <c:axPos val="l"/>
        <c:numFmt formatCode="General" sourceLinked="1"/>
        <c:majorTickMark val="none"/>
        <c:tickLblPos val="none"/>
        <c:spPr>
          <a:ln w="3175">
            <a:solidFill>
              <a:srgbClr val="000000"/>
            </a:solidFill>
            <a:prstDash val="solid"/>
          </a:ln>
        </c:spPr>
        <c:crossAx val="1221856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09944379002164"/>
                  <c:y val="-3.4512021403076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L_Temporal!$AK$33:$AK$37</c:f>
              <c:numCache>
                <c:formatCode>General</c:formatCode>
                <c:ptCount val="5"/>
                <c:pt idx="0">
                  <c:v>2.7755741480192926</c:v>
                </c:pt>
                <c:pt idx="1">
                  <c:v>2.82679875700186</c:v>
                </c:pt>
                <c:pt idx="2">
                  <c:v>2.5128711363718601</c:v>
                </c:pt>
                <c:pt idx="3">
                  <c:v>3.9295716740838715</c:v>
                </c:pt>
                <c:pt idx="4">
                  <c:v>4.0690742072487947</c:v>
                </c:pt>
              </c:numCache>
            </c:numRef>
          </c:xVal>
          <c:yVal>
            <c:numRef>
              <c:f>L_Temporal!$AL$33:$AL$37</c:f>
              <c:numCache>
                <c:formatCode>General</c:formatCode>
                <c:ptCount val="5"/>
                <c:pt idx="0">
                  <c:v>-0.32955942387957193</c:v>
                </c:pt>
                <c:pt idx="1">
                  <c:v>-0.25416459962073035</c:v>
                </c:pt>
                <c:pt idx="2">
                  <c:v>-2.3438209458120758</c:v>
                </c:pt>
                <c:pt idx="3">
                  <c:v>0.66182178336719955</c:v>
                </c:pt>
                <c:pt idx="4">
                  <c:v>-2.8962167415823634</c:v>
                </c:pt>
              </c:numCache>
            </c:numRef>
          </c:yVal>
        </c:ser>
        <c:axId val="122219520"/>
        <c:axId val="122307712"/>
      </c:scatterChart>
      <c:valAx>
        <c:axId val="12221952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307712"/>
        <c:crosses val="autoZero"/>
        <c:crossBetween val="midCat"/>
      </c:valAx>
      <c:valAx>
        <c:axId val="12230771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21952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R_Temporal!$AG$33:$AG$37</c:f>
                <c:numCache>
                  <c:formatCode>General</c:formatCode>
                  <c:ptCount val="5"/>
                  <c:pt idx="0">
                    <c:v>0.72009736675988778</c:v>
                  </c:pt>
                  <c:pt idx="1">
                    <c:v>0.69886363387035566</c:v>
                  </c:pt>
                  <c:pt idx="2">
                    <c:v>0.77420581293974156</c:v>
                  </c:pt>
                  <c:pt idx="3">
                    <c:v>0.4998968174856927</c:v>
                  </c:pt>
                  <c:pt idx="4">
                    <c:v>0.47102275125074161</c:v>
                  </c:pt>
                </c:numCache>
              </c:numRef>
            </c:plus>
            <c:minus>
              <c:numRef>
                <c:f>R_Temporal!$AH$33:$AH$37</c:f>
                <c:numCache>
                  <c:formatCode>General</c:formatCode>
                  <c:ptCount val="5"/>
                  <c:pt idx="0">
                    <c:v>0.72009736675988778</c:v>
                  </c:pt>
                  <c:pt idx="1">
                    <c:v>0.69886363387035566</c:v>
                  </c:pt>
                  <c:pt idx="2">
                    <c:v>0.77420581293974156</c:v>
                  </c:pt>
                  <c:pt idx="3">
                    <c:v>0.4998968174856927</c:v>
                  </c:pt>
                  <c:pt idx="4">
                    <c:v>0.47102275125074161</c:v>
                  </c:pt>
                </c:numCache>
              </c:numRef>
            </c:minus>
            <c:spPr>
              <a:ln w="12700">
                <a:solidFill>
                  <a:srgbClr val="000000"/>
                </a:solidFill>
                <a:prstDash val="solid"/>
              </a:ln>
            </c:spPr>
          </c:errBars>
          <c:xVal>
            <c:numRef>
              <c:f>R_Temporal!$AF$33:$AF$37</c:f>
              <c:numCache>
                <c:formatCode>0.00</c:formatCode>
                <c:ptCount val="5"/>
                <c:pt idx="0">
                  <c:v>0.5518021799890519</c:v>
                </c:pt>
                <c:pt idx="1">
                  <c:v>-0.34632540890269453</c:v>
                </c:pt>
                <c:pt idx="2">
                  <c:v>-0.84304697237275483</c:v>
                </c:pt>
                <c:pt idx="3">
                  <c:v>0.24902953752825222</c:v>
                </c:pt>
                <c:pt idx="4">
                  <c:v>-0.38995402414791397</c:v>
                </c:pt>
              </c:numCache>
            </c:numRef>
          </c:xVal>
          <c:yVal>
            <c:numRef>
              <c:f>R_Temporal!$G$33:$G$37</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R_Temporal!$AH$45</c:f>
                <c:numCache>
                  <c:formatCode>General</c:formatCode>
                  <c:ptCount val="1"/>
                  <c:pt idx="0">
                    <c:v>0.26581038163601539</c:v>
                  </c:pt>
                </c:numCache>
              </c:numRef>
            </c:plus>
            <c:minus>
              <c:numRef>
                <c:f>R_Temporal!$AH$46</c:f>
                <c:numCache>
                  <c:formatCode>General</c:formatCode>
                  <c:ptCount val="1"/>
                  <c:pt idx="0">
                    <c:v>0.26581038163601539</c:v>
                  </c:pt>
                </c:numCache>
              </c:numRef>
            </c:minus>
            <c:spPr>
              <a:ln w="12700">
                <a:solidFill>
                  <a:srgbClr val="000000"/>
                </a:solidFill>
                <a:prstDash val="solid"/>
              </a:ln>
            </c:spPr>
          </c:errBars>
          <c:xVal>
            <c:numRef>
              <c:f>R_Temporal!$AH$44</c:f>
              <c:numCache>
                <c:formatCode>General</c:formatCode>
                <c:ptCount val="1"/>
                <c:pt idx="0">
                  <c:v>-0.12806588791211079</c:v>
                </c:pt>
              </c:numCache>
            </c:numRef>
          </c:xVal>
          <c:yVal>
            <c:numRef>
              <c:f>R_Temporal!$I$45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R_Temporal!$AH$49</c:f>
                <c:numCache>
                  <c:formatCode>General</c:formatCode>
                  <c:ptCount val="1"/>
                  <c:pt idx="0">
                    <c:v>0.44438706365708563</c:v>
                  </c:pt>
                </c:numCache>
              </c:numRef>
            </c:plus>
            <c:minus>
              <c:numRef>
                <c:f>R_Temporal!$AH$50</c:f>
                <c:numCache>
                  <c:formatCode>General</c:formatCode>
                  <c:ptCount val="1"/>
                  <c:pt idx="0">
                    <c:v>0.44438706365708563</c:v>
                  </c:pt>
                </c:numCache>
              </c:numRef>
            </c:minus>
            <c:spPr>
              <a:ln w="12700">
                <a:solidFill>
                  <a:srgbClr val="000000"/>
                </a:solidFill>
                <a:prstDash val="solid"/>
              </a:ln>
            </c:spPr>
          </c:errBars>
          <c:xVal>
            <c:numRef>
              <c:f>R_Temporal!$AH$48</c:f>
              <c:numCache>
                <c:formatCode>General</c:formatCode>
                <c:ptCount val="1"/>
                <c:pt idx="0">
                  <c:v>-0.14066573329847765</c:v>
                </c:pt>
              </c:numCache>
            </c:numRef>
          </c:xVal>
          <c:yVal>
            <c:numRef>
              <c:f>R_Temporal!$I$56</c:f>
              <c:numCache>
                <c:formatCode>General</c:formatCode>
                <c:ptCount val="1"/>
                <c:pt idx="0">
                  <c:v>-3</c:v>
                </c:pt>
              </c:numCache>
            </c:numRef>
          </c:yVal>
        </c:ser>
        <c:axId val="122234368"/>
        <c:axId val="122235904"/>
      </c:scatterChart>
      <c:valAx>
        <c:axId val="12223436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2235904"/>
        <c:crosses val="autoZero"/>
        <c:crossBetween val="midCat"/>
      </c:valAx>
      <c:valAx>
        <c:axId val="122235904"/>
        <c:scaling>
          <c:orientation val="minMax"/>
        </c:scaling>
        <c:axPos val="l"/>
        <c:numFmt formatCode="General" sourceLinked="1"/>
        <c:majorTickMark val="none"/>
        <c:tickLblPos val="none"/>
        <c:spPr>
          <a:ln w="3175">
            <a:solidFill>
              <a:srgbClr val="000000"/>
            </a:solidFill>
            <a:prstDash val="solid"/>
          </a:ln>
        </c:spPr>
        <c:crossAx val="1222343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43852527852101"/>
                  <c:y val="-3.6638930551601279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R_Temporal!$AK$33:$AK$37</c:f>
              <c:numCache>
                <c:formatCode>General</c:formatCode>
                <c:ptCount val="5"/>
                <c:pt idx="0">
                  <c:v>2.7218541415018818</c:v>
                </c:pt>
                <c:pt idx="1">
                  <c:v>2.8045528555340371</c:v>
                </c:pt>
                <c:pt idx="2">
                  <c:v>2.5316265613631499</c:v>
                </c:pt>
                <c:pt idx="3">
                  <c:v>3.9208091178858049</c:v>
                </c:pt>
                <c:pt idx="4">
                  <c:v>4.1611578098838464</c:v>
                </c:pt>
              </c:numCache>
            </c:numRef>
          </c:xVal>
          <c:yVal>
            <c:numRef>
              <c:f>R_Temporal!$AL$33:$AL$37</c:f>
              <c:numCache>
                <c:formatCode>General</c:formatCode>
                <c:ptCount val="5"/>
                <c:pt idx="0">
                  <c:v>1.5019250488929676</c:v>
                </c:pt>
                <c:pt idx="1">
                  <c:v>-0.9712879144820451</c:v>
                </c:pt>
                <c:pt idx="2">
                  <c:v>-2.1342801077356519</c:v>
                </c:pt>
                <c:pt idx="3">
                  <c:v>0.97639728136365656</c:v>
                </c:pt>
                <c:pt idx="4">
                  <c:v>-1.6226602330787263</c:v>
                </c:pt>
              </c:numCache>
            </c:numRef>
          </c:yVal>
        </c:ser>
        <c:axId val="122256000"/>
        <c:axId val="122553088"/>
      </c:scatterChart>
      <c:valAx>
        <c:axId val="12225600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553088"/>
        <c:crosses val="autoZero"/>
        <c:crossBetween val="midCat"/>
      </c:valAx>
      <c:valAx>
        <c:axId val="1225530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2560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Temporal_TLR!$AG$42:$AG$47</c:f>
                <c:numCache>
                  <c:formatCode>General</c:formatCode>
                  <c:ptCount val="6"/>
                  <c:pt idx="0">
                    <c:v>0.46872640448802311</c:v>
                  </c:pt>
                  <c:pt idx="1">
                    <c:v>0.4767994413949716</c:v>
                  </c:pt>
                  <c:pt idx="2">
                    <c:v>0.70723434737242541</c:v>
                  </c:pt>
                  <c:pt idx="3">
                    <c:v>0.69575051500339979</c:v>
                  </c:pt>
                  <c:pt idx="4">
                    <c:v>0.78009138534852573</c:v>
                  </c:pt>
                  <c:pt idx="5">
                    <c:v>0.49945721318510877</c:v>
                  </c:pt>
                </c:numCache>
              </c:numRef>
            </c:plus>
            <c:minus>
              <c:numRef>
                <c:f>Temporal_TLR!$AH$42:$AH$47</c:f>
                <c:numCache>
                  <c:formatCode>General</c:formatCode>
                  <c:ptCount val="6"/>
                  <c:pt idx="0">
                    <c:v>0.46872640448802311</c:v>
                  </c:pt>
                  <c:pt idx="1">
                    <c:v>0.4767994413949716</c:v>
                  </c:pt>
                  <c:pt idx="2">
                    <c:v>0.70723434737242541</c:v>
                  </c:pt>
                  <c:pt idx="3">
                    <c:v>0.69575051500339979</c:v>
                  </c:pt>
                  <c:pt idx="4">
                    <c:v>0.78009138534852573</c:v>
                  </c:pt>
                  <c:pt idx="5">
                    <c:v>0.49945721318510877</c:v>
                  </c:pt>
                </c:numCache>
              </c:numRef>
            </c:minus>
            <c:spPr>
              <a:ln w="12700">
                <a:solidFill>
                  <a:srgbClr val="000000"/>
                </a:solidFill>
                <a:prstDash val="solid"/>
              </a:ln>
            </c:spPr>
          </c:errBars>
          <c:xVal>
            <c:numRef>
              <c:f>Temporal_TLR!$AF$42:$AF$47</c:f>
              <c:numCache>
                <c:formatCode>0.00</c:formatCode>
                <c:ptCount val="6"/>
                <c:pt idx="0">
                  <c:v>-0.80929760235497505</c:v>
                </c:pt>
                <c:pt idx="1">
                  <c:v>-0.58584971030836031</c:v>
                </c:pt>
                <c:pt idx="2">
                  <c:v>0.19046426990947837</c:v>
                </c:pt>
                <c:pt idx="3">
                  <c:v>-0.23773314070151697</c:v>
                </c:pt>
                <c:pt idx="4">
                  <c:v>-0.93431314479264138</c:v>
                </c:pt>
                <c:pt idx="5">
                  <c:v>0.22076317604240403</c:v>
                </c:pt>
              </c:numCache>
            </c:numRef>
          </c:xVal>
          <c:yVal>
            <c:numRef>
              <c:f>Temporal_TLR!$G$42:$G$47</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Temporal_TLR!$AH$55</c:f>
                <c:numCache>
                  <c:formatCode>General</c:formatCode>
                  <c:ptCount val="1"/>
                  <c:pt idx="0">
                    <c:v>0.23145059304463106</c:v>
                  </c:pt>
                </c:numCache>
              </c:numRef>
            </c:plus>
            <c:minus>
              <c:numRef>
                <c:f>Temporal_TLR!$AH$56</c:f>
                <c:numCache>
                  <c:formatCode>General</c:formatCode>
                  <c:ptCount val="1"/>
                  <c:pt idx="0">
                    <c:v>0.23145059304463106</c:v>
                  </c:pt>
                </c:numCache>
              </c:numRef>
            </c:minus>
            <c:spPr>
              <a:ln w="12700">
                <a:solidFill>
                  <a:srgbClr val="000000"/>
                </a:solidFill>
                <a:prstDash val="solid"/>
              </a:ln>
            </c:spPr>
          </c:errBars>
          <c:xVal>
            <c:numRef>
              <c:f>Temporal_TLR!$AH$54</c:f>
              <c:numCache>
                <c:formatCode>General</c:formatCode>
                <c:ptCount val="1"/>
                <c:pt idx="0">
                  <c:v>-0.37612427779800456</c:v>
                </c:pt>
              </c:numCache>
            </c:numRef>
          </c:xVal>
          <c:yVal>
            <c:numRef>
              <c:f>Temporal_TLR!$I$55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Temporal_TLR!$AH$59</c:f>
                <c:numCache>
                  <c:formatCode>General</c:formatCode>
                  <c:ptCount val="1"/>
                  <c:pt idx="0">
                    <c:v>0.40025963069127679</c:v>
                  </c:pt>
                </c:numCache>
              </c:numRef>
            </c:plus>
            <c:minus>
              <c:numRef>
                <c:f>Temporal_TLR!$AH$60</c:f>
                <c:numCache>
                  <c:formatCode>General</c:formatCode>
                  <c:ptCount val="1"/>
                  <c:pt idx="0">
                    <c:v>0.40025963069127679</c:v>
                  </c:pt>
                </c:numCache>
              </c:numRef>
            </c:minus>
            <c:spPr>
              <a:ln w="12700">
                <a:solidFill>
                  <a:srgbClr val="000000"/>
                </a:solidFill>
                <a:prstDash val="solid"/>
              </a:ln>
            </c:spPr>
          </c:errBars>
          <c:xVal>
            <c:numRef>
              <c:f>Temporal_TLR!$AH$58</c:f>
              <c:numCache>
                <c:formatCode>General</c:formatCode>
                <c:ptCount val="1"/>
                <c:pt idx="0">
                  <c:v>-0.35990529487249584</c:v>
                </c:pt>
              </c:numCache>
            </c:numRef>
          </c:xVal>
          <c:yVal>
            <c:numRef>
              <c:f>Temporal_TLR!$I$66</c:f>
              <c:numCache>
                <c:formatCode>General</c:formatCode>
                <c:ptCount val="1"/>
                <c:pt idx="0">
                  <c:v>-3</c:v>
                </c:pt>
              </c:numCache>
            </c:numRef>
          </c:yVal>
        </c:ser>
        <c:axId val="122797440"/>
        <c:axId val="122807424"/>
      </c:scatterChart>
      <c:valAx>
        <c:axId val="12279744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2807424"/>
        <c:crosses val="autoZero"/>
        <c:crossBetween val="midCat"/>
      </c:valAx>
      <c:valAx>
        <c:axId val="122807424"/>
        <c:scaling>
          <c:orientation val="minMax"/>
        </c:scaling>
        <c:axPos val="l"/>
        <c:numFmt formatCode="General" sourceLinked="1"/>
        <c:majorTickMark val="none"/>
        <c:tickLblPos val="none"/>
        <c:spPr>
          <a:ln w="3175">
            <a:solidFill>
              <a:srgbClr val="000000"/>
            </a:solidFill>
            <a:prstDash val="solid"/>
          </a:ln>
        </c:spPr>
        <c:crossAx val="1227974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6091665263005"/>
                  <c:y val="-3.528872239778690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Temporal_TLR!$AK$42:$AK$47</c:f>
              <c:numCache>
                <c:formatCode>General</c:formatCode>
                <c:ptCount val="6"/>
                <c:pt idx="0">
                  <c:v>4.1815438200902166</c:v>
                </c:pt>
                <c:pt idx="1">
                  <c:v>4.1107430710607176</c:v>
                </c:pt>
                <c:pt idx="2">
                  <c:v>2.7713586129999928</c:v>
                </c:pt>
                <c:pt idx="3">
                  <c:v>2.817101759515654</c:v>
                </c:pt>
                <c:pt idx="4">
                  <c:v>2.512526143490637</c:v>
                </c:pt>
                <c:pt idx="5">
                  <c:v>3.9242600732519302</c:v>
                </c:pt>
              </c:numCache>
            </c:numRef>
          </c:xVal>
          <c:yVal>
            <c:numRef>
              <c:f>Temporal_TLR!$AL$42:$AL$47</c:f>
              <c:numCache>
                <c:formatCode>General</c:formatCode>
                <c:ptCount val="6"/>
                <c:pt idx="0">
                  <c:v>-3.3841133877412752</c:v>
                </c:pt>
                <c:pt idx="1">
                  <c:v>-2.4082776373330206</c:v>
                </c:pt>
                <c:pt idx="2">
                  <c:v>0.52784479488238822</c:v>
                </c:pt>
                <c:pt idx="3">
                  <c:v>-0.66971844896542598</c:v>
                </c:pt>
                <c:pt idx="4">
                  <c:v>-2.3474862024984646</c:v>
                </c:pt>
                <c:pt idx="5">
                  <c:v>0.86633211738749327</c:v>
                </c:pt>
              </c:numCache>
            </c:numRef>
          </c:yVal>
        </c:ser>
        <c:axId val="122671872"/>
        <c:axId val="122673792"/>
      </c:scatterChart>
      <c:valAx>
        <c:axId val="12267187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673792"/>
        <c:crosses val="autoZero"/>
        <c:crossBetween val="midCat"/>
      </c:valAx>
      <c:valAx>
        <c:axId val="12267379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6718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L_hipp!$AG$89:$AG$130</c:f>
                <c:numCache>
                  <c:formatCode>General</c:formatCode>
                  <c:ptCount val="42"/>
                  <c:pt idx="0">
                    <c:v>0.42612879165479506</c:v>
                  </c:pt>
                  <c:pt idx="1">
                    <c:v>0.73730675029211368</c:v>
                  </c:pt>
                  <c:pt idx="2">
                    <c:v>0.54559786240080654</c:v>
                  </c:pt>
                  <c:pt idx="3">
                    <c:v>0.64105211817119989</c:v>
                  </c:pt>
                  <c:pt idx="4">
                    <c:v>0.57975814056226982</c:v>
                  </c:pt>
                  <c:pt idx="5">
                    <c:v>0.61999931612734216</c:v>
                  </c:pt>
                  <c:pt idx="6">
                    <c:v>0.73775989109502149</c:v>
                  </c:pt>
                  <c:pt idx="7">
                    <c:v>0.48455730043597861</c:v>
                  </c:pt>
                  <c:pt idx="8">
                    <c:v>0.46736761965173634</c:v>
                  </c:pt>
                  <c:pt idx="9">
                    <c:v>0.49823853954704139</c:v>
                  </c:pt>
                  <c:pt idx="10">
                    <c:v>0.48190262183930421</c:v>
                  </c:pt>
                  <c:pt idx="11">
                    <c:v>0.68175320125923899</c:v>
                  </c:pt>
                  <c:pt idx="12">
                    <c:v>0.41856811606949118</c:v>
                  </c:pt>
                  <c:pt idx="13">
                    <c:v>0.74012549823791907</c:v>
                  </c:pt>
                  <c:pt idx="14">
                    <c:v>0.46654701734470877</c:v>
                  </c:pt>
                  <c:pt idx="15">
                    <c:v>1.0663175190342449</c:v>
                  </c:pt>
                  <c:pt idx="16">
                    <c:v>0.60010229796984182</c:v>
                  </c:pt>
                  <c:pt idx="17">
                    <c:v>0.27339583918204918</c:v>
                  </c:pt>
                  <c:pt idx="18">
                    <c:v>0.57880054908718714</c:v>
                  </c:pt>
                  <c:pt idx="19">
                    <c:v>0.60831758084765042</c:v>
                  </c:pt>
                  <c:pt idx="20">
                    <c:v>0.60361764977959087</c:v>
                  </c:pt>
                  <c:pt idx="21">
                    <c:v>0.61511340104409717</c:v>
                  </c:pt>
                  <c:pt idx="22">
                    <c:v>0.68299601726669346</c:v>
                  </c:pt>
                  <c:pt idx="23">
                    <c:v>0.70917856625235309</c:v>
                  </c:pt>
                  <c:pt idx="24">
                    <c:v>0.64303671326402367</c:v>
                  </c:pt>
                  <c:pt idx="25">
                    <c:v>0.45525318141006055</c:v>
                  </c:pt>
                  <c:pt idx="26">
                    <c:v>0.71939921477508162</c:v>
                  </c:pt>
                  <c:pt idx="27">
                    <c:v>0.74418188131630092</c:v>
                  </c:pt>
                  <c:pt idx="28">
                    <c:v>0.70826792644980263</c:v>
                  </c:pt>
                  <c:pt idx="29">
                    <c:v>0.63248737448300929</c:v>
                  </c:pt>
                  <c:pt idx="30">
                    <c:v>0.61556586448508699</c:v>
                  </c:pt>
                  <c:pt idx="31">
                    <c:v>0.76205748447217825</c:v>
                  </c:pt>
                  <c:pt idx="32">
                    <c:v>0.76382788206031893</c:v>
                  </c:pt>
                  <c:pt idx="33">
                    <c:v>0.26623238678019068</c:v>
                  </c:pt>
                  <c:pt idx="34">
                    <c:v>0.32870504217926455</c:v>
                  </c:pt>
                  <c:pt idx="35">
                    <c:v>0.83160314984423245</c:v>
                  </c:pt>
                  <c:pt idx="36">
                    <c:v>1.0722416882724368</c:v>
                  </c:pt>
                  <c:pt idx="37">
                    <c:v>0.83666687182972899</c:v>
                  </c:pt>
                  <c:pt idx="38">
                    <c:v>1.0279366920619351</c:v>
                  </c:pt>
                  <c:pt idx="39">
                    <c:v>0.77259514097619153</c:v>
                  </c:pt>
                  <c:pt idx="40">
                    <c:v>0.67896672810536174</c:v>
                  </c:pt>
                  <c:pt idx="41">
                    <c:v>0.40395910457145034</c:v>
                  </c:pt>
                </c:numCache>
              </c:numRef>
            </c:plus>
            <c:minus>
              <c:numRef>
                <c:f>L_hipp!$AH$89:$AH$130</c:f>
                <c:numCache>
                  <c:formatCode>General</c:formatCode>
                  <c:ptCount val="42"/>
                  <c:pt idx="0">
                    <c:v>0.42612879165479506</c:v>
                  </c:pt>
                  <c:pt idx="1">
                    <c:v>0.73730675029211368</c:v>
                  </c:pt>
                  <c:pt idx="2">
                    <c:v>0.54559786240080654</c:v>
                  </c:pt>
                  <c:pt idx="3">
                    <c:v>0.64105211817119989</c:v>
                  </c:pt>
                  <c:pt idx="4">
                    <c:v>0.57975814056226982</c:v>
                  </c:pt>
                  <c:pt idx="5">
                    <c:v>0.61999931612734216</c:v>
                  </c:pt>
                  <c:pt idx="6">
                    <c:v>0.73775989109502149</c:v>
                  </c:pt>
                  <c:pt idx="7">
                    <c:v>0.48455730043597861</c:v>
                  </c:pt>
                  <c:pt idx="8">
                    <c:v>0.46736761965173634</c:v>
                  </c:pt>
                  <c:pt idx="9">
                    <c:v>0.49823853954704139</c:v>
                  </c:pt>
                  <c:pt idx="10">
                    <c:v>0.48190262183930421</c:v>
                  </c:pt>
                  <c:pt idx="11">
                    <c:v>0.68175320125923899</c:v>
                  </c:pt>
                  <c:pt idx="12">
                    <c:v>0.41856811606949118</c:v>
                  </c:pt>
                  <c:pt idx="13">
                    <c:v>0.74012549823791907</c:v>
                  </c:pt>
                  <c:pt idx="14">
                    <c:v>0.46654701734470877</c:v>
                  </c:pt>
                  <c:pt idx="15">
                    <c:v>1.0663175190342449</c:v>
                  </c:pt>
                  <c:pt idx="16">
                    <c:v>0.60010229796984182</c:v>
                  </c:pt>
                  <c:pt idx="17">
                    <c:v>0.27339583918204918</c:v>
                  </c:pt>
                  <c:pt idx="18">
                    <c:v>0.57880054908718714</c:v>
                  </c:pt>
                  <c:pt idx="19">
                    <c:v>0.60831758084765042</c:v>
                  </c:pt>
                  <c:pt idx="20">
                    <c:v>0.60361764977959087</c:v>
                  </c:pt>
                  <c:pt idx="21">
                    <c:v>0.61511340104409717</c:v>
                  </c:pt>
                  <c:pt idx="22">
                    <c:v>0.68299601726669346</c:v>
                  </c:pt>
                  <c:pt idx="23">
                    <c:v>0.70917856625235309</c:v>
                  </c:pt>
                  <c:pt idx="24">
                    <c:v>0.64303671326402367</c:v>
                  </c:pt>
                  <c:pt idx="25">
                    <c:v>0.45525318141006055</c:v>
                  </c:pt>
                  <c:pt idx="26">
                    <c:v>0.71939921477508162</c:v>
                  </c:pt>
                  <c:pt idx="27">
                    <c:v>0.74418188131630092</c:v>
                  </c:pt>
                  <c:pt idx="28">
                    <c:v>0.70826792644980263</c:v>
                  </c:pt>
                  <c:pt idx="29">
                    <c:v>0.63248737448300929</c:v>
                  </c:pt>
                  <c:pt idx="30">
                    <c:v>0.61556586448508699</c:v>
                  </c:pt>
                  <c:pt idx="31">
                    <c:v>0.76205748447217825</c:v>
                  </c:pt>
                  <c:pt idx="32">
                    <c:v>0.76382788206031893</c:v>
                  </c:pt>
                  <c:pt idx="33">
                    <c:v>0.26623238678019068</c:v>
                  </c:pt>
                  <c:pt idx="34">
                    <c:v>0.32870504217926455</c:v>
                  </c:pt>
                  <c:pt idx="35">
                    <c:v>0.83160314984423245</c:v>
                  </c:pt>
                  <c:pt idx="36">
                    <c:v>1.0722416882724368</c:v>
                  </c:pt>
                  <c:pt idx="37">
                    <c:v>0.83666687182972899</c:v>
                  </c:pt>
                  <c:pt idx="38">
                    <c:v>1.0279366920619351</c:v>
                  </c:pt>
                  <c:pt idx="39">
                    <c:v>0.77259514097619153</c:v>
                  </c:pt>
                  <c:pt idx="40">
                    <c:v>0.67896672810536174</c:v>
                  </c:pt>
                  <c:pt idx="41">
                    <c:v>0.40395910457145034</c:v>
                  </c:pt>
                </c:numCache>
              </c:numRef>
            </c:minus>
            <c:spPr>
              <a:ln w="12700">
                <a:solidFill>
                  <a:srgbClr val="000000"/>
                </a:solidFill>
                <a:prstDash val="solid"/>
              </a:ln>
            </c:spPr>
          </c:errBars>
          <c:xVal>
            <c:numRef>
              <c:f>L_hipp!$AF$89:$AF$130</c:f>
              <c:numCache>
                <c:formatCode>0.00</c:formatCode>
                <c:ptCount val="42"/>
                <c:pt idx="0">
                  <c:v>-0.2946874975697894</c:v>
                </c:pt>
                <c:pt idx="1">
                  <c:v>-0.96254299583712222</c:v>
                </c:pt>
                <c:pt idx="2">
                  <c:v>0.35597025474629307</c:v>
                </c:pt>
                <c:pt idx="3">
                  <c:v>0.14865789407031485</c:v>
                </c:pt>
                <c:pt idx="4">
                  <c:v>-0.2127640338940856</c:v>
                </c:pt>
                <c:pt idx="5">
                  <c:v>-6.7005244271911138E-2</c:v>
                </c:pt>
                <c:pt idx="6">
                  <c:v>-1.2021000805931035</c:v>
                </c:pt>
                <c:pt idx="7">
                  <c:v>0.18837348186750635</c:v>
                </c:pt>
                <c:pt idx="8">
                  <c:v>-0.78061954530156075</c:v>
                </c:pt>
                <c:pt idx="9">
                  <c:v>-0.10947340644080009</c:v>
                </c:pt>
                <c:pt idx="10">
                  <c:v>-0.2124525475065886</c:v>
                </c:pt>
                <c:pt idx="11">
                  <c:v>-0.44816987322362017</c:v>
                </c:pt>
                <c:pt idx="12">
                  <c:v>-0.24786324786324698</c:v>
                </c:pt>
                <c:pt idx="13">
                  <c:v>-1.2246458930439701</c:v>
                </c:pt>
                <c:pt idx="14">
                  <c:v>-7.4566864641300357E-2</c:v>
                </c:pt>
                <c:pt idx="15">
                  <c:v>-3.2839183301636399</c:v>
                </c:pt>
                <c:pt idx="16">
                  <c:v>0.40785870050355727</c:v>
                </c:pt>
                <c:pt idx="17">
                  <c:v>-2.2767266537431174E-2</c:v>
                </c:pt>
                <c:pt idx="18">
                  <c:v>-0.58416440807304693</c:v>
                </c:pt>
                <c:pt idx="19">
                  <c:v>-0.64731198864013206</c:v>
                </c:pt>
                <c:pt idx="20">
                  <c:v>-5.6547611523368332E-2</c:v>
                </c:pt>
                <c:pt idx="21">
                  <c:v>-0.57233545805921537</c:v>
                </c:pt>
                <c:pt idx="22">
                  <c:v>-0.7534784577053939</c:v>
                </c:pt>
                <c:pt idx="23">
                  <c:v>-0.72836982281970308</c:v>
                </c:pt>
                <c:pt idx="24">
                  <c:v>-0.62027106165318169</c:v>
                </c:pt>
                <c:pt idx="25">
                  <c:v>-0.65256795868720618</c:v>
                </c:pt>
                <c:pt idx="26">
                  <c:v>0.14113347080397537</c:v>
                </c:pt>
                <c:pt idx="27">
                  <c:v>0.17972595328573723</c:v>
                </c:pt>
                <c:pt idx="28">
                  <c:v>-0.73355090569304493</c:v>
                </c:pt>
                <c:pt idx="29">
                  <c:v>-0.69488919424732276</c:v>
                </c:pt>
                <c:pt idx="30">
                  <c:v>-0.50859983521770336</c:v>
                </c:pt>
                <c:pt idx="31">
                  <c:v>-0.24685795947343989</c:v>
                </c:pt>
                <c:pt idx="32">
                  <c:v>-0.3123936309901667</c:v>
                </c:pt>
                <c:pt idx="33">
                  <c:v>-0.38895879628390173</c:v>
                </c:pt>
                <c:pt idx="34">
                  <c:v>-1.0645716096123308</c:v>
                </c:pt>
                <c:pt idx="35">
                  <c:v>-1.9838075410594489</c:v>
                </c:pt>
                <c:pt idx="36">
                  <c:v>-1.0864615152476196</c:v>
                </c:pt>
                <c:pt idx="37">
                  <c:v>-3.472808635535659E-2</c:v>
                </c:pt>
                <c:pt idx="38">
                  <c:v>-0.24184543690261684</c:v>
                </c:pt>
                <c:pt idx="39">
                  <c:v>7.6891742530653354E-2</c:v>
                </c:pt>
                <c:pt idx="40">
                  <c:v>-0.98932369028799882</c:v>
                </c:pt>
                <c:pt idx="41">
                  <c:v>-7.9673532125482338E-2</c:v>
                </c:pt>
              </c:numCache>
            </c:numRef>
          </c:xVal>
          <c:yVal>
            <c:numRef>
              <c:f>L_hipp!$G$89:$G$130</c:f>
              <c:numCache>
                <c:formatCode>General</c:formatCode>
                <c:ptCount val="42"/>
                <c:pt idx="0">
                  <c:v>42</c:v>
                </c:pt>
                <c:pt idx="1">
                  <c:v>41</c:v>
                </c:pt>
                <c:pt idx="2">
                  <c:v>40</c:v>
                </c:pt>
                <c:pt idx="3">
                  <c:v>39</c:v>
                </c:pt>
                <c:pt idx="4">
                  <c:v>38</c:v>
                </c:pt>
                <c:pt idx="5">
                  <c:v>37</c:v>
                </c:pt>
                <c:pt idx="6">
                  <c:v>36</c:v>
                </c:pt>
                <c:pt idx="7">
                  <c:v>35</c:v>
                </c:pt>
                <c:pt idx="8">
                  <c:v>34</c:v>
                </c:pt>
                <c:pt idx="9">
                  <c:v>33</c:v>
                </c:pt>
                <c:pt idx="10">
                  <c:v>32</c:v>
                </c:pt>
                <c:pt idx="11">
                  <c:v>31</c:v>
                </c:pt>
                <c:pt idx="12">
                  <c:v>30</c:v>
                </c:pt>
                <c:pt idx="13">
                  <c:v>29</c:v>
                </c:pt>
                <c:pt idx="14">
                  <c:v>28</c:v>
                </c:pt>
                <c:pt idx="15">
                  <c:v>27</c:v>
                </c:pt>
                <c:pt idx="16">
                  <c:v>26</c:v>
                </c:pt>
                <c:pt idx="17">
                  <c:v>25</c:v>
                </c:pt>
                <c:pt idx="18">
                  <c:v>24</c:v>
                </c:pt>
                <c:pt idx="19">
                  <c:v>23</c:v>
                </c:pt>
                <c:pt idx="20">
                  <c:v>22</c:v>
                </c:pt>
                <c:pt idx="21">
                  <c:v>21</c:v>
                </c:pt>
                <c:pt idx="22">
                  <c:v>20</c:v>
                </c:pt>
                <c:pt idx="23">
                  <c:v>19</c:v>
                </c:pt>
                <c:pt idx="24">
                  <c:v>18</c:v>
                </c:pt>
                <c:pt idx="25">
                  <c:v>17</c:v>
                </c:pt>
                <c:pt idx="26">
                  <c:v>16</c:v>
                </c:pt>
                <c:pt idx="27">
                  <c:v>15</c:v>
                </c:pt>
                <c:pt idx="28">
                  <c:v>14</c:v>
                </c:pt>
                <c:pt idx="29">
                  <c:v>13</c:v>
                </c:pt>
                <c:pt idx="30">
                  <c:v>12</c:v>
                </c:pt>
                <c:pt idx="31">
                  <c:v>11</c:v>
                </c:pt>
                <c:pt idx="32">
                  <c:v>10</c:v>
                </c:pt>
                <c:pt idx="33">
                  <c:v>9</c:v>
                </c:pt>
                <c:pt idx="34">
                  <c:v>8</c:v>
                </c:pt>
                <c:pt idx="35">
                  <c:v>7</c:v>
                </c:pt>
                <c:pt idx="36">
                  <c:v>6</c:v>
                </c:pt>
                <c:pt idx="37">
                  <c:v>5</c:v>
                </c:pt>
                <c:pt idx="38">
                  <c:v>4</c:v>
                </c:pt>
                <c:pt idx="39">
                  <c:v>3</c:v>
                </c:pt>
                <c:pt idx="40">
                  <c:v>2</c:v>
                </c:pt>
                <c:pt idx="41">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L_hipp!$AH$138</c:f>
                <c:numCache>
                  <c:formatCode>General</c:formatCode>
                  <c:ptCount val="1"/>
                  <c:pt idx="0">
                    <c:v>8.3384842095482817E-2</c:v>
                  </c:pt>
                </c:numCache>
              </c:numRef>
            </c:plus>
            <c:minus>
              <c:numRef>
                <c:f>L_hipp!$AH$139</c:f>
                <c:numCache>
                  <c:formatCode>General</c:formatCode>
                  <c:ptCount val="1"/>
                  <c:pt idx="0">
                    <c:v>8.3384842095482817E-2</c:v>
                  </c:pt>
                </c:numCache>
              </c:numRef>
            </c:minus>
            <c:spPr>
              <a:ln w="12700">
                <a:solidFill>
                  <a:srgbClr val="000000"/>
                </a:solidFill>
                <a:prstDash val="solid"/>
              </a:ln>
            </c:spPr>
          </c:errBars>
          <c:xVal>
            <c:numRef>
              <c:f>L_hipp!$AH$137</c:f>
              <c:numCache>
                <c:formatCode>General</c:formatCode>
                <c:ptCount val="1"/>
                <c:pt idx="0">
                  <c:v>-0.38736937557766882</c:v>
                </c:pt>
              </c:numCache>
            </c:numRef>
          </c:xVal>
          <c:yVal>
            <c:numRef>
              <c:f>L_hipp!$I$138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L_hipp!$AH$142</c:f>
                <c:numCache>
                  <c:formatCode>General</c:formatCode>
                  <c:ptCount val="1"/>
                  <c:pt idx="0">
                    <c:v>0.15630624429729734</c:v>
                  </c:pt>
                </c:numCache>
              </c:numRef>
            </c:plus>
            <c:minus>
              <c:numRef>
                <c:f>L_hipp!$AH$143</c:f>
                <c:numCache>
                  <c:formatCode>General</c:formatCode>
                  <c:ptCount val="1"/>
                  <c:pt idx="0">
                    <c:v>0.15630624429729734</c:v>
                  </c:pt>
                </c:numCache>
              </c:numRef>
            </c:minus>
            <c:spPr>
              <a:ln w="12700">
                <a:solidFill>
                  <a:srgbClr val="000000"/>
                </a:solidFill>
                <a:prstDash val="solid"/>
              </a:ln>
            </c:spPr>
          </c:errBars>
          <c:xVal>
            <c:numRef>
              <c:f>L_hipp!$AH$141</c:f>
              <c:numCache>
                <c:formatCode>General</c:formatCode>
                <c:ptCount val="1"/>
                <c:pt idx="0">
                  <c:v>-0.4392100194909947</c:v>
                </c:pt>
              </c:numCache>
            </c:numRef>
          </c:xVal>
          <c:yVal>
            <c:numRef>
              <c:f>L_hipp!$I$149</c:f>
              <c:numCache>
                <c:formatCode>General</c:formatCode>
                <c:ptCount val="1"/>
                <c:pt idx="0">
                  <c:v>-3</c:v>
                </c:pt>
              </c:numCache>
            </c:numRef>
          </c:yVal>
        </c:ser>
        <c:axId val="123411456"/>
        <c:axId val="123429632"/>
      </c:scatterChart>
      <c:valAx>
        <c:axId val="12341145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3429632"/>
        <c:crosses val="autoZero"/>
        <c:crossBetween val="midCat"/>
      </c:valAx>
      <c:valAx>
        <c:axId val="123429632"/>
        <c:scaling>
          <c:orientation val="minMax"/>
        </c:scaling>
        <c:axPos val="l"/>
        <c:numFmt formatCode="General" sourceLinked="1"/>
        <c:majorTickMark val="none"/>
        <c:tickLblPos val="none"/>
        <c:spPr>
          <a:ln w="3175">
            <a:solidFill>
              <a:srgbClr val="000000"/>
            </a:solidFill>
            <a:prstDash val="solid"/>
          </a:ln>
        </c:spPr>
        <c:crossAx val="12341145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1037616277969"/>
                  <c:y val="-3.515424531254500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L_hipp!$AK$89:$AK$130</c:f>
              <c:numCache>
                <c:formatCode>General</c:formatCode>
                <c:ptCount val="42"/>
                <c:pt idx="0">
                  <c:v>4.5995483956591858</c:v>
                </c:pt>
                <c:pt idx="1">
                  <c:v>2.6583236885101988</c:v>
                </c:pt>
                <c:pt idx="2">
                  <c:v>3.5923894411451101</c:v>
                </c:pt>
                <c:pt idx="3">
                  <c:v>3.057473713044593</c:v>
                </c:pt>
                <c:pt idx="4">
                  <c:v>3.3807201018326762</c:v>
                </c:pt>
                <c:pt idx="5">
                  <c:v>3.1612938095522578</c:v>
                </c:pt>
                <c:pt idx="6">
                  <c:v>2.6566909148325566</c:v>
                </c:pt>
                <c:pt idx="7">
                  <c:v>4.044929254468971</c:v>
                </c:pt>
                <c:pt idx="8">
                  <c:v>4.1937008846708581</c:v>
                </c:pt>
                <c:pt idx="9">
                  <c:v>3.9338586729598939</c:v>
                </c:pt>
                <c:pt idx="10">
                  <c:v>4.0672117377555663</c:v>
                </c:pt>
                <c:pt idx="11">
                  <c:v>2.8749406623683802</c:v>
                </c:pt>
                <c:pt idx="12">
                  <c:v>4.682630914186972</c:v>
                </c:pt>
                <c:pt idx="13">
                  <c:v>2.6481995346280351</c:v>
                </c:pt>
                <c:pt idx="14">
                  <c:v>4.2010771200619459</c:v>
                </c:pt>
                <c:pt idx="15">
                  <c:v>1.8381016582895084</c:v>
                </c:pt>
                <c:pt idx="16">
                  <c:v>3.2661098059959439</c:v>
                </c:pt>
                <c:pt idx="17">
                  <c:v>7.1690922797653576</c:v>
                </c:pt>
                <c:pt idx="18">
                  <c:v>3.3863133044553435</c:v>
                </c:pt>
                <c:pt idx="19">
                  <c:v>3.222001240320671</c:v>
                </c:pt>
                <c:pt idx="20">
                  <c:v>3.2470886176301965</c:v>
                </c:pt>
                <c:pt idx="21">
                  <c:v>3.1864043226388565</c:v>
                </c:pt>
                <c:pt idx="22">
                  <c:v>2.8697092668911819</c:v>
                </c:pt>
                <c:pt idx="23">
                  <c:v>2.7637609105385121</c:v>
                </c:pt>
                <c:pt idx="24">
                  <c:v>3.0480374752650334</c:v>
                </c:pt>
                <c:pt idx="25">
                  <c:v>4.3052966569706799</c:v>
                </c:pt>
                <c:pt idx="26">
                  <c:v>2.7244956065357804</c:v>
                </c:pt>
                <c:pt idx="27">
                  <c:v>2.6337647411317953</c:v>
                </c:pt>
                <c:pt idx="28">
                  <c:v>2.7673143549285255</c:v>
                </c:pt>
                <c:pt idx="29">
                  <c:v>3.0988760868184761</c:v>
                </c:pt>
                <c:pt idx="30">
                  <c:v>3.1840621988347499</c:v>
                </c:pt>
                <c:pt idx="31">
                  <c:v>2.5719844499100342</c:v>
                </c:pt>
                <c:pt idx="32">
                  <c:v>2.5660231133657678</c:v>
                </c:pt>
                <c:pt idx="33">
                  <c:v>7.3619893646456838</c:v>
                </c:pt>
                <c:pt idx="34">
                  <c:v>5.9627926210242999</c:v>
                </c:pt>
                <c:pt idx="35">
                  <c:v>2.3568934297172004</c:v>
                </c:pt>
                <c:pt idx="36">
                  <c:v>1.8279460884960483</c:v>
                </c:pt>
                <c:pt idx="37">
                  <c:v>2.3426289076243978</c:v>
                </c:pt>
                <c:pt idx="38">
                  <c:v>1.9067322094208372</c:v>
                </c:pt>
                <c:pt idx="39">
                  <c:v>2.5369043837416521</c:v>
                </c:pt>
                <c:pt idx="40">
                  <c:v>2.8867393921780629</c:v>
                </c:pt>
                <c:pt idx="41">
                  <c:v>4.8519762961632278</c:v>
                </c:pt>
              </c:numCache>
            </c:numRef>
          </c:xVal>
          <c:yVal>
            <c:numRef>
              <c:f>L_hipp!$AL$89:$AL$130</c:f>
              <c:numCache>
                <c:formatCode>General</c:formatCode>
                <c:ptCount val="42"/>
                <c:pt idx="0">
                  <c:v>-1.3554294066679451</c:v>
                </c:pt>
                <c:pt idx="1">
                  <c:v>-2.5587508470433957</c:v>
                </c:pt>
                <c:pt idx="2">
                  <c:v>1.2787837845123182</c:v>
                </c:pt>
                <c:pt idx="3">
                  <c:v>0.45451760335655533</c:v>
                </c:pt>
                <c:pt idx="4">
                  <c:v>-0.71929564633274401</c:v>
                </c:pt>
                <c:pt idx="5">
                  <c:v>-0.21182326392432954</c:v>
                </c:pt>
                <c:pt idx="6">
                  <c:v>-3.1936083628311818</c:v>
                </c:pt>
                <c:pt idx="7">
                  <c:v>0.76195740757205666</c:v>
                </c:pt>
                <c:pt idx="8">
                  <c:v>-3.2736848777225185</c:v>
                </c:pt>
                <c:pt idx="9">
                  <c:v>-0.43065290938560497</c:v>
                </c:pt>
                <c:pt idx="10">
                  <c:v>-0.8640894949348692</c:v>
                </c:pt>
                <c:pt idx="11">
                  <c:v>-1.2884617921790675</c:v>
                </c:pt>
                <c:pt idx="12">
                  <c:v>-1.1606521069352282</c:v>
                </c:pt>
                <c:pt idx="13">
                  <c:v>-3.2431066840431759</c:v>
                </c:pt>
                <c:pt idx="14">
                  <c:v>-0.31326114895932305</c:v>
                </c:pt>
                <c:pt idx="15">
                  <c:v>-6.0361757283611004</c:v>
                </c:pt>
                <c:pt idx="16">
                  <c:v>1.3321113011754311</c:v>
                </c:pt>
                <c:pt idx="17">
                  <c:v>-0.16322063476485799</c:v>
                </c:pt>
                <c:pt idx="18">
                  <c:v>-1.9781637070470393</c:v>
                </c:pt>
                <c:pt idx="19">
                  <c:v>-2.0856400302729456</c:v>
                </c:pt>
                <c:pt idx="20">
                  <c:v>-0.18361510573170345</c:v>
                </c:pt>
                <c:pt idx="21">
                  <c:v>-1.823692177559374</c:v>
                </c:pt>
                <c:pt idx="22">
                  <c:v>-2.1622641124800444</c:v>
                </c:pt>
                <c:pt idx="23">
                  <c:v>-2.0130400447249572</c:v>
                </c:pt>
                <c:pt idx="24">
                  <c:v>-1.8906094407413259</c:v>
                </c:pt>
                <c:pt idx="25">
                  <c:v>-2.8094986509822091</c:v>
                </c:pt>
                <c:pt idx="26">
                  <c:v>0.38451752114057669</c:v>
                </c:pt>
                <c:pt idx="27">
                  <c:v>0.47335587883027491</c:v>
                </c:pt>
                <c:pt idx="28">
                  <c:v>-2.0299659513951842</c:v>
                </c:pt>
                <c:pt idx="29">
                  <c:v>-2.1533755070415874</c:v>
                </c:pt>
                <c:pt idx="30">
                  <c:v>-1.619413509650272</c:v>
                </c:pt>
                <c:pt idx="31">
                  <c:v>-0.63491483310220886</c:v>
                </c:pt>
                <c:pt idx="32">
                  <c:v>-0.80160927758902434</c:v>
                </c:pt>
                <c:pt idx="33">
                  <c:v>-2.8635105215274717</c:v>
                </c:pt>
                <c:pt idx="34">
                  <c:v>-6.3478197383483677</c:v>
                </c:pt>
                <c:pt idx="35">
                  <c:v>-4.6756229593464509</c:v>
                </c:pt>
                <c:pt idx="36">
                  <c:v>-1.985993077098376</c:v>
                </c:pt>
                <c:pt idx="37">
                  <c:v>-8.1355019002534765E-2</c:v>
                </c:pt>
                <c:pt idx="38">
                  <c:v>-0.46113448424367426</c:v>
                </c:pt>
                <c:pt idx="39">
                  <c:v>0.19506699869954891</c:v>
                </c:pt>
                <c:pt idx="40">
                  <c:v>-2.855919668369336</c:v>
                </c:pt>
                <c:pt idx="41">
                  <c:v>-0.38657408930443976</c:v>
                </c:pt>
              </c:numCache>
            </c:numRef>
          </c:yVal>
        </c:ser>
        <c:axId val="123479168"/>
        <c:axId val="123481088"/>
      </c:scatterChart>
      <c:valAx>
        <c:axId val="12347916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3481088"/>
        <c:crosses val="autoZero"/>
        <c:crossBetween val="midCat"/>
      </c:valAx>
      <c:valAx>
        <c:axId val="1234810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34791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R_hipp!$AG$87:$AG$127</c:f>
                <c:numCache>
                  <c:formatCode>General</c:formatCode>
                  <c:ptCount val="41"/>
                  <c:pt idx="0">
                    <c:v>0.42611382188478181</c:v>
                  </c:pt>
                  <c:pt idx="1">
                    <c:v>0.70745734748058586</c:v>
                  </c:pt>
                  <c:pt idx="2">
                    <c:v>0.54146641049964073</c:v>
                  </c:pt>
                  <c:pt idx="3">
                    <c:v>0.64426726136655166</c:v>
                  </c:pt>
                  <c:pt idx="4">
                    <c:v>0.57940716645077284</c:v>
                  </c:pt>
                  <c:pt idx="5">
                    <c:v>0.61983835712183188</c:v>
                  </c:pt>
                  <c:pt idx="6">
                    <c:v>0.74794153405919728</c:v>
                  </c:pt>
                  <c:pt idx="7">
                    <c:v>0.48381372366516201</c:v>
                  </c:pt>
                  <c:pt idx="8">
                    <c:v>0.46386582142082489</c:v>
                  </c:pt>
                  <c:pt idx="9">
                    <c:v>0.49975950666581381</c:v>
                  </c:pt>
                  <c:pt idx="10">
                    <c:v>0.49327300685169817</c:v>
                  </c:pt>
                  <c:pt idx="11">
                    <c:v>0.7328707188342618</c:v>
                  </c:pt>
                  <c:pt idx="12">
                    <c:v>0.4218820914294521</c:v>
                  </c:pt>
                  <c:pt idx="13">
                    <c:v>0.69510496270374578</c:v>
                  </c:pt>
                  <c:pt idx="14">
                    <c:v>0.46824658936071345</c:v>
                  </c:pt>
                  <c:pt idx="15">
                    <c:v>1.2022611188507015</c:v>
                  </c:pt>
                  <c:pt idx="16">
                    <c:v>0.59615444845727139</c:v>
                  </c:pt>
                  <c:pt idx="17">
                    <c:v>0.2734675019807703</c:v>
                  </c:pt>
                  <c:pt idx="18">
                    <c:v>0.57441679030553638</c:v>
                  </c:pt>
                  <c:pt idx="19">
                    <c:v>0.63792350844985257</c:v>
                  </c:pt>
                  <c:pt idx="20">
                    <c:v>0.60366293158599993</c:v>
                  </c:pt>
                  <c:pt idx="21">
                    <c:v>0.60545351843219619</c:v>
                  </c:pt>
                  <c:pt idx="22">
                    <c:v>0.69435565934372545</c:v>
                  </c:pt>
                  <c:pt idx="23">
                    <c:v>0.70162191154344855</c:v>
                  </c:pt>
                  <c:pt idx="24">
                    <c:v>0.63944786420355093</c:v>
                  </c:pt>
                  <c:pt idx="25">
                    <c:v>0.45922877914488641</c:v>
                  </c:pt>
                  <c:pt idx="26">
                    <c:v>0.71969914821300129</c:v>
                  </c:pt>
                  <c:pt idx="27">
                    <c:v>0.75274480165455471</c:v>
                  </c:pt>
                  <c:pt idx="28">
                    <c:v>0.69006269255572128</c:v>
                  </c:pt>
                  <c:pt idx="29">
                    <c:v>0.62704719767401251</c:v>
                  </c:pt>
                  <c:pt idx="30">
                    <c:v>0.6194888670048404</c:v>
                  </c:pt>
                  <c:pt idx="31">
                    <c:v>0.76308345084122353</c:v>
                  </c:pt>
                  <c:pt idx="32">
                    <c:v>0.76009460343131729</c:v>
                  </c:pt>
                  <c:pt idx="33">
                    <c:v>0.26649079658876174</c:v>
                  </c:pt>
                  <c:pt idx="34">
                    <c:v>0.32162910027697506</c:v>
                  </c:pt>
                  <c:pt idx="35">
                    <c:v>0.87612585769559781</c:v>
                  </c:pt>
                  <c:pt idx="36">
                    <c:v>1.0176698538210072</c:v>
                  </c:pt>
                  <c:pt idx="37">
                    <c:v>0.83694682825437849</c:v>
                  </c:pt>
                  <c:pt idx="38">
                    <c:v>1.0637069513106863</c:v>
                  </c:pt>
                  <c:pt idx="39">
                    <c:v>0.7728463066232284</c:v>
                  </c:pt>
                  <c:pt idx="40">
                    <c:v>0.40439846685612679</c:v>
                  </c:pt>
                </c:numCache>
              </c:numRef>
            </c:plus>
            <c:minus>
              <c:numRef>
                <c:f>R_hipp!$AH$87:$AH$127</c:f>
                <c:numCache>
                  <c:formatCode>General</c:formatCode>
                  <c:ptCount val="41"/>
                  <c:pt idx="0">
                    <c:v>0.42611382188478181</c:v>
                  </c:pt>
                  <c:pt idx="1">
                    <c:v>0.70745734748058586</c:v>
                  </c:pt>
                  <c:pt idx="2">
                    <c:v>0.54146641049964073</c:v>
                  </c:pt>
                  <c:pt idx="3">
                    <c:v>0.64426726136655166</c:v>
                  </c:pt>
                  <c:pt idx="4">
                    <c:v>0.57940716645077284</c:v>
                  </c:pt>
                  <c:pt idx="5">
                    <c:v>0.61983835712183188</c:v>
                  </c:pt>
                  <c:pt idx="6">
                    <c:v>0.74794153405919728</c:v>
                  </c:pt>
                  <c:pt idx="7">
                    <c:v>0.48381372366516201</c:v>
                  </c:pt>
                  <c:pt idx="8">
                    <c:v>0.46386582142082489</c:v>
                  </c:pt>
                  <c:pt idx="9">
                    <c:v>0.49975950666581381</c:v>
                  </c:pt>
                  <c:pt idx="10">
                    <c:v>0.49327300685169817</c:v>
                  </c:pt>
                  <c:pt idx="11">
                    <c:v>0.7328707188342618</c:v>
                  </c:pt>
                  <c:pt idx="12">
                    <c:v>0.4218820914294521</c:v>
                  </c:pt>
                  <c:pt idx="13">
                    <c:v>0.69510496270374578</c:v>
                  </c:pt>
                  <c:pt idx="14">
                    <c:v>0.46824658936071345</c:v>
                  </c:pt>
                  <c:pt idx="15">
                    <c:v>1.2022611188507015</c:v>
                  </c:pt>
                  <c:pt idx="16">
                    <c:v>0.59615444845727139</c:v>
                  </c:pt>
                  <c:pt idx="17">
                    <c:v>0.2734675019807703</c:v>
                  </c:pt>
                  <c:pt idx="18">
                    <c:v>0.57441679030553638</c:v>
                  </c:pt>
                  <c:pt idx="19">
                    <c:v>0.63792350844985257</c:v>
                  </c:pt>
                  <c:pt idx="20">
                    <c:v>0.60366293158599993</c:v>
                  </c:pt>
                  <c:pt idx="21">
                    <c:v>0.60545351843219619</c:v>
                  </c:pt>
                  <c:pt idx="22">
                    <c:v>0.69435565934372545</c:v>
                  </c:pt>
                  <c:pt idx="23">
                    <c:v>0.70162191154344855</c:v>
                  </c:pt>
                  <c:pt idx="24">
                    <c:v>0.63944786420355093</c:v>
                  </c:pt>
                  <c:pt idx="25">
                    <c:v>0.45922877914488641</c:v>
                  </c:pt>
                  <c:pt idx="26">
                    <c:v>0.71969914821300129</c:v>
                  </c:pt>
                  <c:pt idx="27">
                    <c:v>0.75274480165455471</c:v>
                  </c:pt>
                  <c:pt idx="28">
                    <c:v>0.69006269255572128</c:v>
                  </c:pt>
                  <c:pt idx="29">
                    <c:v>0.62704719767401251</c:v>
                  </c:pt>
                  <c:pt idx="30">
                    <c:v>0.6194888670048404</c:v>
                  </c:pt>
                  <c:pt idx="31">
                    <c:v>0.76308345084122353</c:v>
                  </c:pt>
                  <c:pt idx="32">
                    <c:v>0.76009460343131729</c:v>
                  </c:pt>
                  <c:pt idx="33">
                    <c:v>0.26649079658876174</c:v>
                  </c:pt>
                  <c:pt idx="34">
                    <c:v>0.32162910027697506</c:v>
                  </c:pt>
                  <c:pt idx="35">
                    <c:v>0.87612585769559781</c:v>
                  </c:pt>
                  <c:pt idx="36">
                    <c:v>1.0176698538210072</c:v>
                  </c:pt>
                  <c:pt idx="37">
                    <c:v>0.83694682825437849</c:v>
                  </c:pt>
                  <c:pt idx="38">
                    <c:v>1.0637069513106863</c:v>
                  </c:pt>
                  <c:pt idx="39">
                    <c:v>0.7728463066232284</c:v>
                  </c:pt>
                  <c:pt idx="40">
                    <c:v>0.40439846685612679</c:v>
                  </c:pt>
                </c:numCache>
              </c:numRef>
            </c:minus>
            <c:spPr>
              <a:ln w="12700">
                <a:solidFill>
                  <a:srgbClr val="000000"/>
                </a:solidFill>
                <a:prstDash val="solid"/>
              </a:ln>
            </c:spPr>
          </c:errBars>
          <c:xVal>
            <c:numRef>
              <c:f>R_hipp!$AF$87:$AF$127</c:f>
              <c:numCache>
                <c:formatCode>0.00</c:formatCode>
                <c:ptCount val="41"/>
                <c:pt idx="0">
                  <c:v>-0.2937612670563739</c:v>
                </c:pt>
                <c:pt idx="1">
                  <c:v>-0.54451130516106638</c:v>
                </c:pt>
                <c:pt idx="2">
                  <c:v>1.7704280177267353E-2</c:v>
                </c:pt>
                <c:pt idx="3">
                  <c:v>0.31572154517147866</c:v>
                </c:pt>
                <c:pt idx="4">
                  <c:v>-0.19068291136848059</c:v>
                </c:pt>
                <c:pt idx="5">
                  <c:v>2.72620701755504E-2</c:v>
                </c:pt>
                <c:pt idx="6">
                  <c:v>-1.2968331440433383</c:v>
                </c:pt>
                <c:pt idx="7">
                  <c:v>-0.10533403431068149</c:v>
                </c:pt>
                <c:pt idx="8">
                  <c:v>-0.6978744565572832</c:v>
                </c:pt>
                <c:pt idx="9">
                  <c:v>-0.24055486770637288</c:v>
                </c:pt>
                <c:pt idx="10">
                  <c:v>-0.64861794900557868</c:v>
                </c:pt>
                <c:pt idx="11">
                  <c:v>-1.1543484943377109</c:v>
                </c:pt>
                <c:pt idx="12">
                  <c:v>-0.43153955002987932</c:v>
                </c:pt>
                <c:pt idx="13">
                  <c:v>-0.69896548401042458</c:v>
                </c:pt>
                <c:pt idx="14">
                  <c:v>-0.24703739913937825</c:v>
                </c:pt>
                <c:pt idx="15">
                  <c:v>-3.9712761097974765</c:v>
                </c:pt>
                <c:pt idx="16">
                  <c:v>0.26048763814868214</c:v>
                </c:pt>
                <c:pt idx="17">
                  <c:v>-6.9898343348051631E-2</c:v>
                </c:pt>
                <c:pt idx="18">
                  <c:v>-0.4746418275247129</c:v>
                </c:pt>
                <c:pt idx="19">
                  <c:v>-1.090190087860019</c:v>
                </c:pt>
                <c:pt idx="20">
                  <c:v>-7.6831848145138659E-2</c:v>
                </c:pt>
                <c:pt idx="21">
                  <c:v>-0.29631759836494215</c:v>
                </c:pt>
                <c:pt idx="22">
                  <c:v>-0.91933217367030118</c:v>
                </c:pt>
                <c:pt idx="23">
                  <c:v>-0.59844100944869871</c:v>
                </c:pt>
                <c:pt idx="24">
                  <c:v>-0.5461948310264233</c:v>
                </c:pt>
                <c:pt idx="25">
                  <c:v>-0.75485642795354402</c:v>
                </c:pt>
                <c:pt idx="26">
                  <c:v>0.16332056649267399</c:v>
                </c:pt>
                <c:pt idx="27">
                  <c:v>0.45410072791639716</c:v>
                </c:pt>
                <c:pt idx="28">
                  <c:v>-0.39109599011333507</c:v>
                </c:pt>
                <c:pt idx="29">
                  <c:v>-0.59217096388246382</c:v>
                </c:pt>
                <c:pt idx="30">
                  <c:v>-0.59554870203600629</c:v>
                </c:pt>
                <c:pt idx="31">
                  <c:v>-0.2866498511074505</c:v>
                </c:pt>
                <c:pt idx="32">
                  <c:v>-0.14283744155445746</c:v>
                </c:pt>
                <c:pt idx="33">
                  <c:v>-0.40925582603811339</c:v>
                </c:pt>
                <c:pt idx="34">
                  <c:v>-0.86732185520530536</c:v>
                </c:pt>
                <c:pt idx="35">
                  <c:v>-2.2726565339006464</c:v>
                </c:pt>
                <c:pt idx="36">
                  <c:v>-0.56202966904631857</c:v>
                </c:pt>
                <c:pt idx="37">
                  <c:v>7.5718974098909431E-2</c:v>
                </c:pt>
                <c:pt idx="38">
                  <c:v>-0.74008373894822832</c:v>
                </c:pt>
                <c:pt idx="39">
                  <c:v>0.1052501394720288</c:v>
                </c:pt>
                <c:pt idx="40">
                  <c:v>-0.15527286064788168</c:v>
                </c:pt>
              </c:numCache>
            </c:numRef>
          </c:xVal>
          <c:yVal>
            <c:numRef>
              <c:f>R_hipp!$G$87:$G$127</c:f>
              <c:numCache>
                <c:formatCode>General</c:formatCode>
                <c:ptCount val="41"/>
                <c:pt idx="0">
                  <c:v>41</c:v>
                </c:pt>
                <c:pt idx="1">
                  <c:v>40</c:v>
                </c:pt>
                <c:pt idx="2">
                  <c:v>39</c:v>
                </c:pt>
                <c:pt idx="3">
                  <c:v>38</c:v>
                </c:pt>
                <c:pt idx="4">
                  <c:v>37</c:v>
                </c:pt>
                <c:pt idx="5">
                  <c:v>36</c:v>
                </c:pt>
                <c:pt idx="6">
                  <c:v>35</c:v>
                </c:pt>
                <c:pt idx="7">
                  <c:v>34</c:v>
                </c:pt>
                <c:pt idx="8">
                  <c:v>33</c:v>
                </c:pt>
                <c:pt idx="9">
                  <c:v>32</c:v>
                </c:pt>
                <c:pt idx="10">
                  <c:v>31</c:v>
                </c:pt>
                <c:pt idx="11">
                  <c:v>30</c:v>
                </c:pt>
                <c:pt idx="12">
                  <c:v>29</c:v>
                </c:pt>
                <c:pt idx="13">
                  <c:v>28</c:v>
                </c:pt>
                <c:pt idx="14">
                  <c:v>27</c:v>
                </c:pt>
                <c:pt idx="15">
                  <c:v>26</c:v>
                </c:pt>
                <c:pt idx="16">
                  <c:v>25</c:v>
                </c:pt>
                <c:pt idx="17">
                  <c:v>24</c:v>
                </c:pt>
                <c:pt idx="18">
                  <c:v>23</c:v>
                </c:pt>
                <c:pt idx="19">
                  <c:v>22</c:v>
                </c:pt>
                <c:pt idx="20">
                  <c:v>21</c:v>
                </c:pt>
                <c:pt idx="21">
                  <c:v>20</c:v>
                </c:pt>
                <c:pt idx="22">
                  <c:v>19</c:v>
                </c:pt>
                <c:pt idx="23">
                  <c:v>18</c:v>
                </c:pt>
                <c:pt idx="24">
                  <c:v>17</c:v>
                </c:pt>
                <c:pt idx="25">
                  <c:v>16</c:v>
                </c:pt>
                <c:pt idx="26">
                  <c:v>15</c:v>
                </c:pt>
                <c:pt idx="27">
                  <c:v>14</c:v>
                </c:pt>
                <c:pt idx="28">
                  <c:v>13</c:v>
                </c:pt>
                <c:pt idx="29">
                  <c:v>12</c:v>
                </c:pt>
                <c:pt idx="30">
                  <c:v>11</c:v>
                </c:pt>
                <c:pt idx="31">
                  <c:v>10</c:v>
                </c:pt>
                <c:pt idx="32">
                  <c:v>9</c:v>
                </c:pt>
                <c:pt idx="33">
                  <c:v>8</c:v>
                </c:pt>
                <c:pt idx="34">
                  <c:v>7</c:v>
                </c:pt>
                <c:pt idx="35">
                  <c:v>6</c:v>
                </c:pt>
                <c:pt idx="36">
                  <c:v>5</c:v>
                </c:pt>
                <c:pt idx="37">
                  <c:v>4</c:v>
                </c:pt>
                <c:pt idx="38">
                  <c:v>3</c:v>
                </c:pt>
                <c:pt idx="39">
                  <c:v>2</c:v>
                </c:pt>
                <c:pt idx="40">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R_hipp!$AH$135</c:f>
                <c:numCache>
                  <c:formatCode>General</c:formatCode>
                  <c:ptCount val="1"/>
                  <c:pt idx="0">
                    <c:v>8.4072612802680233E-2</c:v>
                  </c:pt>
                </c:numCache>
              </c:numRef>
            </c:plus>
            <c:minus>
              <c:numRef>
                <c:f>R_hipp!$AH$136</c:f>
                <c:numCache>
                  <c:formatCode>General</c:formatCode>
                  <c:ptCount val="1"/>
                  <c:pt idx="0">
                    <c:v>8.4072612802680233E-2</c:v>
                  </c:pt>
                </c:numCache>
              </c:numRef>
            </c:minus>
            <c:spPr>
              <a:ln w="12700">
                <a:solidFill>
                  <a:srgbClr val="000000"/>
                </a:solidFill>
                <a:prstDash val="solid"/>
              </a:ln>
            </c:spPr>
          </c:errBars>
          <c:xVal>
            <c:numRef>
              <c:f>R_hipp!$AH$134</c:f>
              <c:numCache>
                <c:formatCode>General</c:formatCode>
                <c:ptCount val="1"/>
                <c:pt idx="0">
                  <c:v>-0.40829231730122978</c:v>
                </c:pt>
              </c:numCache>
            </c:numRef>
          </c:xVal>
          <c:yVal>
            <c:numRef>
              <c:f>R_hipp!$I$135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R_hipp!$AH$139</c:f>
                <c:numCache>
                  <c:formatCode>General</c:formatCode>
                  <c:ptCount val="1"/>
                  <c:pt idx="0">
                    <c:v>0.15325269868460392</c:v>
                  </c:pt>
                </c:numCache>
              </c:numRef>
            </c:plus>
            <c:minus>
              <c:numRef>
                <c:f>R_hipp!$AH$140</c:f>
                <c:numCache>
                  <c:formatCode>General</c:formatCode>
                  <c:ptCount val="1"/>
                  <c:pt idx="0">
                    <c:v>0.15325269868460392</c:v>
                  </c:pt>
                </c:numCache>
              </c:numRef>
            </c:minus>
            <c:spPr>
              <a:ln w="12700">
                <a:solidFill>
                  <a:srgbClr val="000000"/>
                </a:solidFill>
                <a:prstDash val="solid"/>
              </a:ln>
            </c:spPr>
          </c:errBars>
          <c:xVal>
            <c:numRef>
              <c:f>R_hipp!$AH$138</c:f>
              <c:numCache>
                <c:formatCode>General</c:formatCode>
                <c:ptCount val="1"/>
                <c:pt idx="0">
                  <c:v>-0.44849787563323235</c:v>
                </c:pt>
              </c:numCache>
            </c:numRef>
          </c:xVal>
          <c:yVal>
            <c:numRef>
              <c:f>R_hipp!$I$146</c:f>
              <c:numCache>
                <c:formatCode>General</c:formatCode>
                <c:ptCount val="1"/>
                <c:pt idx="0">
                  <c:v>-3</c:v>
                </c:pt>
              </c:numCache>
            </c:numRef>
          </c:yVal>
        </c:ser>
        <c:axId val="123555840"/>
        <c:axId val="123557376"/>
      </c:scatterChart>
      <c:valAx>
        <c:axId val="12355584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3557376"/>
        <c:crosses val="autoZero"/>
        <c:crossBetween val="midCat"/>
      </c:valAx>
      <c:valAx>
        <c:axId val="123557376"/>
        <c:scaling>
          <c:orientation val="minMax"/>
        </c:scaling>
        <c:axPos val="l"/>
        <c:numFmt formatCode="General" sourceLinked="1"/>
        <c:majorTickMark val="none"/>
        <c:tickLblPos val="none"/>
        <c:spPr>
          <a:ln w="3175">
            <a:solidFill>
              <a:srgbClr val="000000"/>
            </a:solidFill>
            <a:prstDash val="solid"/>
          </a:ln>
        </c:spPr>
        <c:crossAx val="1235558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15742875739458"/>
                  <c:y val="-3.4940488502476899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LatVent!$AK$49:$AK$64</c:f>
              <c:numCache>
                <c:formatCode>General</c:formatCode>
                <c:ptCount val="16"/>
                <c:pt idx="0">
                  <c:v>1.8913968325840127</c:v>
                </c:pt>
                <c:pt idx="1">
                  <c:v>3.4253754962437584</c:v>
                </c:pt>
                <c:pt idx="2">
                  <c:v>2.7719652076373791</c:v>
                </c:pt>
                <c:pt idx="3">
                  <c:v>4.3874199861467753</c:v>
                </c:pt>
                <c:pt idx="4">
                  <c:v>2.131804661886521</c:v>
                </c:pt>
                <c:pt idx="5">
                  <c:v>3.193498939327875</c:v>
                </c:pt>
                <c:pt idx="6">
                  <c:v>2.4437828414809588</c:v>
                </c:pt>
                <c:pt idx="7">
                  <c:v>4.2583283630233755</c:v>
                </c:pt>
                <c:pt idx="8">
                  <c:v>2.3310127515014161</c:v>
                </c:pt>
                <c:pt idx="9">
                  <c:v>3.021210171350758</c:v>
                </c:pt>
                <c:pt idx="10">
                  <c:v>2.0729664934484373</c:v>
                </c:pt>
                <c:pt idx="11">
                  <c:v>2.6482987545044918</c:v>
                </c:pt>
                <c:pt idx="12">
                  <c:v>4.9862194353040401</c:v>
                </c:pt>
                <c:pt idx="13">
                  <c:v>2.58201801780401</c:v>
                </c:pt>
                <c:pt idx="14">
                  <c:v>4.5786104185049572</c:v>
                </c:pt>
                <c:pt idx="15">
                  <c:v>4.6567791260127063</c:v>
                </c:pt>
              </c:numCache>
            </c:numRef>
          </c:xVal>
          <c:yVal>
            <c:numRef>
              <c:f>LatVent!$AL$49:$AL$64</c:f>
              <c:numCache>
                <c:formatCode>General</c:formatCode>
                <c:ptCount val="16"/>
                <c:pt idx="0">
                  <c:v>3.023061059810741</c:v>
                </c:pt>
                <c:pt idx="1">
                  <c:v>-3.6055294393296008E-2</c:v>
                </c:pt>
                <c:pt idx="2">
                  <c:v>2.0200842453366255</c:v>
                </c:pt>
                <c:pt idx="3">
                  <c:v>0.7601930584170089</c:v>
                </c:pt>
                <c:pt idx="4">
                  <c:v>-0.1392772113002049</c:v>
                </c:pt>
                <c:pt idx="5">
                  <c:v>0.15275106903309854</c:v>
                </c:pt>
                <c:pt idx="6">
                  <c:v>1.8281427799551007</c:v>
                </c:pt>
                <c:pt idx="7">
                  <c:v>2.2433354482950367</c:v>
                </c:pt>
                <c:pt idx="8">
                  <c:v>-0.22224900932254282</c:v>
                </c:pt>
                <c:pt idx="9">
                  <c:v>1.5133388416127311</c:v>
                </c:pt>
                <c:pt idx="10">
                  <c:v>2.8105481252365263</c:v>
                </c:pt>
                <c:pt idx="11">
                  <c:v>2.2644415309050694</c:v>
                </c:pt>
                <c:pt idx="12">
                  <c:v>0.2969974344212582</c:v>
                </c:pt>
                <c:pt idx="13">
                  <c:v>1.41402942072521</c:v>
                </c:pt>
                <c:pt idx="14">
                  <c:v>3.4382210352436724</c:v>
                </c:pt>
                <c:pt idx="15">
                  <c:v>1.7965267456119092</c:v>
                </c:pt>
              </c:numCache>
            </c:numRef>
          </c:yVal>
        </c:ser>
        <c:axId val="102782848"/>
        <c:axId val="102801408"/>
      </c:scatterChart>
      <c:valAx>
        <c:axId val="10278284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2801408"/>
        <c:crosses val="autoZero"/>
        <c:crossBetween val="midCat"/>
      </c:valAx>
      <c:valAx>
        <c:axId val="10280140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27828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253003315782649"/>
                  <c:y val="-3.6734765437068606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R_hipp!$AK$87:$AK$127</c:f>
              <c:numCache>
                <c:formatCode>General</c:formatCode>
                <c:ptCount val="41"/>
                <c:pt idx="0">
                  <c:v>4.5997099820197107</c:v>
                </c:pt>
                <c:pt idx="1">
                  <c:v>2.7704850433457211</c:v>
                </c:pt>
                <c:pt idx="2">
                  <c:v>3.6197997918123868</c:v>
                </c:pt>
                <c:pt idx="3">
                  <c:v>3.0422157348840839</c:v>
                </c:pt>
                <c:pt idx="4">
                  <c:v>3.3827679626508793</c:v>
                </c:pt>
                <c:pt idx="5">
                  <c:v>3.1621147311713615</c:v>
                </c:pt>
                <c:pt idx="6">
                  <c:v>2.6205256838228639</c:v>
                </c:pt>
                <c:pt idx="7">
                  <c:v>4.0511459351584609</c:v>
                </c:pt>
                <c:pt idx="8">
                  <c:v>4.2253598120174143</c:v>
                </c:pt>
                <c:pt idx="9">
                  <c:v>3.9218863750612756</c:v>
                </c:pt>
                <c:pt idx="10">
                  <c:v>3.9734588610669124</c:v>
                </c:pt>
                <c:pt idx="11">
                  <c:v>2.6744143948303281</c:v>
                </c:pt>
                <c:pt idx="12">
                  <c:v>4.6458478324097214</c:v>
                </c:pt>
                <c:pt idx="13">
                  <c:v>2.8197180356419831</c:v>
                </c:pt>
                <c:pt idx="14">
                  <c:v>4.1858286734687038</c:v>
                </c:pt>
                <c:pt idx="15">
                  <c:v>1.6302614875158379</c:v>
                </c:pt>
                <c:pt idx="16">
                  <c:v>3.2877386138308426</c:v>
                </c:pt>
                <c:pt idx="17">
                  <c:v>7.1672136023600475</c:v>
                </c:pt>
                <c:pt idx="18">
                  <c:v>3.4121565265483662</c:v>
                </c:pt>
                <c:pt idx="19">
                  <c:v>3.0724686800816912</c:v>
                </c:pt>
                <c:pt idx="20">
                  <c:v>3.2468450478655426</c:v>
                </c:pt>
                <c:pt idx="21">
                  <c:v>3.2372427285175607</c:v>
                </c:pt>
                <c:pt idx="22">
                  <c:v>2.822760891518485</c:v>
                </c:pt>
                <c:pt idx="23">
                  <c:v>2.7935273510605363</c:v>
                </c:pt>
                <c:pt idx="24">
                  <c:v>3.0651443373592797</c:v>
                </c:pt>
                <c:pt idx="25">
                  <c:v>4.2680251957415347</c:v>
                </c:pt>
                <c:pt idx="26">
                  <c:v>2.7233601774667107</c:v>
                </c:pt>
                <c:pt idx="27">
                  <c:v>2.6038040989348099</c:v>
                </c:pt>
                <c:pt idx="28">
                  <c:v>2.8403216419959314</c:v>
                </c:pt>
                <c:pt idx="29">
                  <c:v>3.1257615172677302</c:v>
                </c:pt>
                <c:pt idx="30">
                  <c:v>3.1638986661316149</c:v>
                </c:pt>
                <c:pt idx="31">
                  <c:v>2.5685264145609437</c:v>
                </c:pt>
                <c:pt idx="32">
                  <c:v>2.5786263856524103</c:v>
                </c:pt>
                <c:pt idx="33">
                  <c:v>7.3548506180669193</c:v>
                </c:pt>
                <c:pt idx="34">
                  <c:v>6.0939759440676253</c:v>
                </c:pt>
                <c:pt idx="35">
                  <c:v>2.2371215080390705</c:v>
                </c:pt>
                <c:pt idx="36">
                  <c:v>1.9259684195624551</c:v>
                </c:pt>
                <c:pt idx="37">
                  <c:v>2.3418453046628729</c:v>
                </c:pt>
                <c:pt idx="38">
                  <c:v>1.8426127586972263</c:v>
                </c:pt>
                <c:pt idx="39">
                  <c:v>2.5360799206814644</c:v>
                </c:pt>
                <c:pt idx="40">
                  <c:v>4.8467048236790449</c:v>
                </c:pt>
              </c:numCache>
            </c:numRef>
          </c:xVal>
          <c:yVal>
            <c:numRef>
              <c:f>R_hipp!$AL$87:$AL$127</c:f>
              <c:numCache>
                <c:formatCode>General</c:formatCode>
                <c:ptCount val="41"/>
                <c:pt idx="0">
                  <c:v>-1.351216632409961</c:v>
                </c:pt>
                <c:pt idx="1">
                  <c:v>-1.5085604268813921</c:v>
                </c:pt>
                <c:pt idx="2">
                  <c:v>6.4085949699860534E-2</c:v>
                </c:pt>
                <c:pt idx="3">
                  <c:v>0.96049305256258843</c:v>
                </c:pt>
                <c:pt idx="4">
                  <c:v>-0.64503604360229327</c:v>
                </c:pt>
                <c:pt idx="5">
                  <c:v>8.6205793704335343E-2</c:v>
                </c:pt>
                <c:pt idx="6">
                  <c:v>-3.3983845615983239</c:v>
                </c:pt>
                <c:pt idx="7">
                  <c:v>-0.42672354493155917</c:v>
                </c:pt>
                <c:pt idx="8">
                  <c:v>-2.948770682570637</c:v>
                </c:pt>
                <c:pt idx="9">
                  <c:v>-0.94342885811229149</c:v>
                </c:pt>
                <c:pt idx="10">
                  <c:v>-2.5772567369232635</c:v>
                </c:pt>
                <c:pt idx="11">
                  <c:v>-3.0872062299074896</c:v>
                </c:pt>
                <c:pt idx="12">
                  <c:v>-2.0048670831053816</c:v>
                </c:pt>
                <c:pt idx="13">
                  <c:v>-1.9708855815554223</c:v>
                </c:pt>
                <c:pt idx="14">
                  <c:v>-1.0340562287367423</c:v>
                </c:pt>
                <c:pt idx="15">
                  <c:v>-6.4742184980945439</c:v>
                </c:pt>
                <c:pt idx="16">
                  <c:v>0.85641526636701837</c:v>
                </c:pt>
                <c:pt idx="17">
                  <c:v>-0.50097635722658851</c:v>
                </c:pt>
                <c:pt idx="18">
                  <c:v>-1.6195522095612931</c:v>
                </c:pt>
                <c:pt idx="19">
                  <c:v>-3.3495749002854156</c:v>
                </c:pt>
                <c:pt idx="20">
                  <c:v>-0.24946110566840085</c:v>
                </c:pt>
                <c:pt idx="21">
                  <c:v>-0.95925199063869604</c:v>
                </c:pt>
                <c:pt idx="22">
                  <c:v>-2.5950549061512058</c:v>
                </c:pt>
                <c:pt idx="23">
                  <c:v>-1.6717613278912169</c:v>
                </c:pt>
                <c:pt idx="24">
                  <c:v>-1.6741659934155499</c:v>
                </c:pt>
                <c:pt idx="25">
                  <c:v>-3.2217462536731807</c:v>
                </c:pt>
                <c:pt idx="26">
                  <c:v>0.44478072694745235</c:v>
                </c:pt>
                <c:pt idx="27">
                  <c:v>1.1823893366779958</c:v>
                </c:pt>
                <c:pt idx="28">
                  <c:v>-1.1108384048167323</c:v>
                </c:pt>
                <c:pt idx="29">
                  <c:v>-1.8509852105471445</c:v>
                </c:pt>
                <c:pt idx="30">
                  <c:v>-1.8842557439881349</c:v>
                </c:pt>
                <c:pt idx="31">
                  <c:v>-0.73626771429944815</c:v>
                </c:pt>
                <c:pt idx="32">
                  <c:v>-0.36832439565140807</c:v>
                </c:pt>
                <c:pt idx="33">
                  <c:v>-3.0100154650839057</c:v>
                </c:pt>
                <c:pt idx="34">
                  <c:v>-5.2854385213852355</c:v>
                </c:pt>
                <c:pt idx="35">
                  <c:v>-5.0842088123746612</c:v>
                </c:pt>
                <c:pt idx="36">
                  <c:v>-1.0824513934403479</c:v>
                </c:pt>
                <c:pt idx="37">
                  <c:v>0.17732212396742073</c:v>
                </c:pt>
                <c:pt idx="38">
                  <c:v>-1.3636877398903529</c:v>
                </c:pt>
                <c:pt idx="39">
                  <c:v>0.26692276536393589</c:v>
                </c:pt>
                <c:pt idx="40">
                  <c:v>-0.75256172268853228</c:v>
                </c:pt>
              </c:numCache>
            </c:numRef>
          </c:yVal>
        </c:ser>
        <c:axId val="123586048"/>
        <c:axId val="123587968"/>
      </c:scatterChart>
      <c:valAx>
        <c:axId val="12358604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3587968"/>
        <c:crosses val="autoZero"/>
        <c:crossBetween val="midCat"/>
      </c:valAx>
      <c:valAx>
        <c:axId val="12358796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35860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T_hipp_TLR!$AG$102:$AG$145</c:f>
                <c:numCache>
                  <c:formatCode>General</c:formatCode>
                  <c:ptCount val="44"/>
                  <c:pt idx="0">
                    <c:v>0.42675946905027057</c:v>
                  </c:pt>
                  <c:pt idx="1">
                    <c:v>0.71159937620878932</c:v>
                  </c:pt>
                  <c:pt idx="2">
                    <c:v>0.48655571649428436</c:v>
                  </c:pt>
                  <c:pt idx="3">
                    <c:v>0.46726200228484416</c:v>
                  </c:pt>
                  <c:pt idx="4">
                    <c:v>0.53899776813585043</c:v>
                  </c:pt>
                  <c:pt idx="5">
                    <c:v>0.59842414115356668</c:v>
                  </c:pt>
                  <c:pt idx="6">
                    <c:v>0.27344952491432511</c:v>
                  </c:pt>
                  <c:pt idx="7">
                    <c:v>0.68971184458780288</c:v>
                  </c:pt>
                  <c:pt idx="8">
                    <c:v>0.42797690527391796</c:v>
                  </c:pt>
                  <c:pt idx="9">
                    <c:v>1.038638049828825</c:v>
                  </c:pt>
                  <c:pt idx="10">
                    <c:v>0.83660774609666633</c:v>
                  </c:pt>
                  <c:pt idx="11">
                    <c:v>1.0440207063362767</c:v>
                  </c:pt>
                  <c:pt idx="12">
                    <c:v>0.77289295413904036</c:v>
                  </c:pt>
                  <c:pt idx="13">
                    <c:v>0.40405091359175427</c:v>
                  </c:pt>
                  <c:pt idx="14">
                    <c:v>0.49389425475761406</c:v>
                  </c:pt>
                  <c:pt idx="15">
                    <c:v>0.72366178803212655</c:v>
                  </c:pt>
                  <c:pt idx="16">
                    <c:v>0.54260563287746455</c:v>
                  </c:pt>
                  <c:pt idx="17">
                    <c:v>0.64268074852034751</c:v>
                  </c:pt>
                  <c:pt idx="18">
                    <c:v>0.57975894032146957</c:v>
                  </c:pt>
                  <c:pt idx="19">
                    <c:v>0.61982706526927822</c:v>
                  </c:pt>
                  <c:pt idx="20">
                    <c:v>0.74990884594889817</c:v>
                  </c:pt>
                  <c:pt idx="21">
                    <c:v>0.48350877344919263</c:v>
                  </c:pt>
                  <c:pt idx="22">
                    <c:v>0.46729593392394897</c:v>
                  </c:pt>
                  <c:pt idx="23">
                    <c:v>0.4989335819706005</c:v>
                  </c:pt>
                  <c:pt idx="24">
                    <c:v>0.42048069068073046</c:v>
                  </c:pt>
                  <c:pt idx="25">
                    <c:v>0.71796560317763325</c:v>
                  </c:pt>
                  <c:pt idx="26">
                    <c:v>1.1617411245886509</c:v>
                  </c:pt>
                  <c:pt idx="27">
                    <c:v>0.5778323940636485</c:v>
                  </c:pt>
                  <c:pt idx="28">
                    <c:v>0.62489947777060428</c:v>
                  </c:pt>
                  <c:pt idx="29">
                    <c:v>0.60364757445582018</c:v>
                  </c:pt>
                  <c:pt idx="30">
                    <c:v>0.60959027519590536</c:v>
                  </c:pt>
                  <c:pt idx="31">
                    <c:v>0.70728745885803779</c:v>
                  </c:pt>
                  <c:pt idx="32">
                    <c:v>0.64322646664490479</c:v>
                  </c:pt>
                  <c:pt idx="33">
                    <c:v>0.45869503895708574</c:v>
                  </c:pt>
                  <c:pt idx="34">
                    <c:v>0.71965577092176569</c:v>
                  </c:pt>
                  <c:pt idx="35">
                    <c:v>0.7484367220157232</c:v>
                  </c:pt>
                  <c:pt idx="36">
                    <c:v>0.70094431322858242</c:v>
                  </c:pt>
                  <c:pt idx="37">
                    <c:v>0.63137701892760933</c:v>
                  </c:pt>
                  <c:pt idx="38">
                    <c:v>0.61887483304553637</c:v>
                  </c:pt>
                  <c:pt idx="39">
                    <c:v>0.76297300132230939</c:v>
                  </c:pt>
                  <c:pt idx="40">
                    <c:v>0.76167040372610917</c:v>
                  </c:pt>
                  <c:pt idx="41">
                    <c:v>0.26664290135026625</c:v>
                  </c:pt>
                  <c:pt idx="42">
                    <c:v>0.32674616472128581</c:v>
                  </c:pt>
                  <c:pt idx="43">
                    <c:v>0.87045988509136396</c:v>
                  </c:pt>
                </c:numCache>
              </c:numRef>
            </c:plus>
            <c:minus>
              <c:numRef>
                <c:f>T_hipp_TLR!$AH$102:$AH$145</c:f>
                <c:numCache>
                  <c:formatCode>General</c:formatCode>
                  <c:ptCount val="44"/>
                  <c:pt idx="0">
                    <c:v>0.42675946905027057</c:v>
                  </c:pt>
                  <c:pt idx="1">
                    <c:v>0.71159937620878932</c:v>
                  </c:pt>
                  <c:pt idx="2">
                    <c:v>0.48655571649428436</c:v>
                  </c:pt>
                  <c:pt idx="3">
                    <c:v>0.46726200228484416</c:v>
                  </c:pt>
                  <c:pt idx="4">
                    <c:v>0.53899776813585043</c:v>
                  </c:pt>
                  <c:pt idx="5">
                    <c:v>0.59842414115356668</c:v>
                  </c:pt>
                  <c:pt idx="6">
                    <c:v>0.27344952491432511</c:v>
                  </c:pt>
                  <c:pt idx="7">
                    <c:v>0.68971184458780288</c:v>
                  </c:pt>
                  <c:pt idx="8">
                    <c:v>0.42797690527391796</c:v>
                  </c:pt>
                  <c:pt idx="9">
                    <c:v>1.038638049828825</c:v>
                  </c:pt>
                  <c:pt idx="10">
                    <c:v>0.83660774609666633</c:v>
                  </c:pt>
                  <c:pt idx="11">
                    <c:v>1.0440207063362767</c:v>
                  </c:pt>
                  <c:pt idx="12">
                    <c:v>0.77289295413904036</c:v>
                  </c:pt>
                  <c:pt idx="13">
                    <c:v>0.40405091359175427</c:v>
                  </c:pt>
                  <c:pt idx="14">
                    <c:v>0.49389425475761406</c:v>
                  </c:pt>
                  <c:pt idx="15">
                    <c:v>0.72366178803212655</c:v>
                  </c:pt>
                  <c:pt idx="16">
                    <c:v>0.54260563287746455</c:v>
                  </c:pt>
                  <c:pt idx="17">
                    <c:v>0.64268074852034751</c:v>
                  </c:pt>
                  <c:pt idx="18">
                    <c:v>0.57975894032146957</c:v>
                  </c:pt>
                  <c:pt idx="19">
                    <c:v>0.61982706526927822</c:v>
                  </c:pt>
                  <c:pt idx="20">
                    <c:v>0.74990884594889817</c:v>
                  </c:pt>
                  <c:pt idx="21">
                    <c:v>0.48350877344919263</c:v>
                  </c:pt>
                  <c:pt idx="22">
                    <c:v>0.46729593392394897</c:v>
                  </c:pt>
                  <c:pt idx="23">
                    <c:v>0.4989335819706005</c:v>
                  </c:pt>
                  <c:pt idx="24">
                    <c:v>0.42048069068073046</c:v>
                  </c:pt>
                  <c:pt idx="25">
                    <c:v>0.71796560317763325</c:v>
                  </c:pt>
                  <c:pt idx="26">
                    <c:v>1.1617411245886509</c:v>
                  </c:pt>
                  <c:pt idx="27">
                    <c:v>0.5778323940636485</c:v>
                  </c:pt>
                  <c:pt idx="28">
                    <c:v>0.62489947777060428</c:v>
                  </c:pt>
                  <c:pt idx="29">
                    <c:v>0.60364757445582018</c:v>
                  </c:pt>
                  <c:pt idx="30">
                    <c:v>0.60959027519590536</c:v>
                  </c:pt>
                  <c:pt idx="31">
                    <c:v>0.70728745885803779</c:v>
                  </c:pt>
                  <c:pt idx="32">
                    <c:v>0.64322646664490479</c:v>
                  </c:pt>
                  <c:pt idx="33">
                    <c:v>0.45869503895708574</c:v>
                  </c:pt>
                  <c:pt idx="34">
                    <c:v>0.71965577092176569</c:v>
                  </c:pt>
                  <c:pt idx="35">
                    <c:v>0.7484367220157232</c:v>
                  </c:pt>
                  <c:pt idx="36">
                    <c:v>0.70094431322858242</c:v>
                  </c:pt>
                  <c:pt idx="37">
                    <c:v>0.63137701892760933</c:v>
                  </c:pt>
                  <c:pt idx="38">
                    <c:v>0.61887483304553637</c:v>
                  </c:pt>
                  <c:pt idx="39">
                    <c:v>0.76297300132230939</c:v>
                  </c:pt>
                  <c:pt idx="40">
                    <c:v>0.76167040372610917</c:v>
                  </c:pt>
                  <c:pt idx="41">
                    <c:v>0.26664290135026625</c:v>
                  </c:pt>
                  <c:pt idx="42">
                    <c:v>0.32674616472128581</c:v>
                  </c:pt>
                  <c:pt idx="43">
                    <c:v>0.87045988509136396</c:v>
                  </c:pt>
                </c:numCache>
              </c:numRef>
            </c:minus>
            <c:spPr>
              <a:ln w="12700">
                <a:solidFill>
                  <a:srgbClr val="000000"/>
                </a:solidFill>
                <a:prstDash val="solid"/>
              </a:ln>
            </c:spPr>
          </c:errBars>
          <c:xVal>
            <c:numRef>
              <c:f>T_hipp_TLR!$AF$102:$AF$145</c:f>
              <c:numCache>
                <c:formatCode>0.00</c:formatCode>
                <c:ptCount val="44"/>
                <c:pt idx="0">
                  <c:v>-0.33139199557920213</c:v>
                </c:pt>
                <c:pt idx="1">
                  <c:v>-0.9228595277903705</c:v>
                </c:pt>
                <c:pt idx="2">
                  <c:v>-0.44471485203105726</c:v>
                </c:pt>
                <c:pt idx="3">
                  <c:v>-0.1699114473709413</c:v>
                </c:pt>
                <c:pt idx="4">
                  <c:v>-0.89829676655536428</c:v>
                </c:pt>
                <c:pt idx="5">
                  <c:v>0.35270517695831083</c:v>
                </c:pt>
                <c:pt idx="6">
                  <c:v>-6.1563572075250955E-2</c:v>
                </c:pt>
                <c:pt idx="7">
                  <c:v>-0.85510266494769971</c:v>
                </c:pt>
                <c:pt idx="8">
                  <c:v>-0.68155786036767829</c:v>
                </c:pt>
                <c:pt idx="9">
                  <c:v>-0.80169337057735313</c:v>
                </c:pt>
                <c:pt idx="10">
                  <c:v>1.5813926686587081E-2</c:v>
                </c:pt>
                <c:pt idx="11">
                  <c:v>-0.52573950467618868</c:v>
                </c:pt>
                <c:pt idx="12">
                  <c:v>0.1097136659887904</c:v>
                </c:pt>
                <c:pt idx="13">
                  <c:v>-0.10028845667960666</c:v>
                </c:pt>
                <c:pt idx="14">
                  <c:v>-0.2307299637261406</c:v>
                </c:pt>
                <c:pt idx="15">
                  <c:v>-0.79703869341076428</c:v>
                </c:pt>
                <c:pt idx="16">
                  <c:v>0.18727493993098845</c:v>
                </c:pt>
                <c:pt idx="17">
                  <c:v>0.24768784530679047</c:v>
                </c:pt>
                <c:pt idx="18">
                  <c:v>-0.21281174798027663</c:v>
                </c:pt>
                <c:pt idx="19">
                  <c:v>-2.1918663089439044E-2</c:v>
                </c:pt>
                <c:pt idx="20">
                  <c:v>-1.3144930083231281</c:v>
                </c:pt>
                <c:pt idx="21">
                  <c:v>3.3222362367160647E-2</c:v>
                </c:pt>
                <c:pt idx="22">
                  <c:v>-0.77900786366103214</c:v>
                </c:pt>
                <c:pt idx="23">
                  <c:v>-0.18147742346613352</c:v>
                </c:pt>
                <c:pt idx="24">
                  <c:v>-0.36515135671867005</c:v>
                </c:pt>
                <c:pt idx="25">
                  <c:v>-0.99704407070966095</c:v>
                </c:pt>
                <c:pt idx="26">
                  <c:v>-3.7712182274048707</c:v>
                </c:pt>
                <c:pt idx="27">
                  <c:v>-0.5617487706819807</c:v>
                </c:pt>
                <c:pt idx="28">
                  <c:v>-0.9195088929420554</c:v>
                </c:pt>
                <c:pt idx="29">
                  <c:v>-7.0608436205290781E-2</c:v>
                </c:pt>
                <c:pt idx="30">
                  <c:v>-0.43590841696089927</c:v>
                </c:pt>
                <c:pt idx="31">
                  <c:v>-0.6980023392686282</c:v>
                </c:pt>
                <c:pt idx="32">
                  <c:v>-0.62395374248074797</c:v>
                </c:pt>
                <c:pt idx="33">
                  <c:v>-0.74189475355983714</c:v>
                </c:pt>
                <c:pt idx="34">
                  <c:v>0.16030131510015652</c:v>
                </c:pt>
                <c:pt idx="35">
                  <c:v>0.34418764363003401</c:v>
                </c:pt>
                <c:pt idx="36">
                  <c:v>-0.61802632447461536</c:v>
                </c:pt>
                <c:pt idx="37">
                  <c:v>-0.6751258479315152</c:v>
                </c:pt>
                <c:pt idx="38">
                  <c:v>-0.58276173587853586</c:v>
                </c:pt>
                <c:pt idx="39">
                  <c:v>-0.28263288023890432</c:v>
                </c:pt>
                <c:pt idx="40">
                  <c:v>-0.23007999119928391</c:v>
                </c:pt>
                <c:pt idx="41">
                  <c:v>-0.42075421964091947</c:v>
                </c:pt>
                <c:pt idx="42">
                  <c:v>-1.0134051000617594</c:v>
                </c:pt>
                <c:pt idx="43">
                  <c:v>-2.2371732723249211</c:v>
                </c:pt>
              </c:numCache>
            </c:numRef>
          </c:xVal>
          <c:yVal>
            <c:numRef>
              <c:f>T_hipp_TLR!$G$102:$G$145</c:f>
              <c:numCache>
                <c:formatCode>General</c:formatCode>
                <c:ptCount val="44"/>
                <c:pt idx="0">
                  <c:v>44</c:v>
                </c:pt>
                <c:pt idx="1">
                  <c:v>43</c:v>
                </c:pt>
                <c:pt idx="2">
                  <c:v>42</c:v>
                </c:pt>
                <c:pt idx="3">
                  <c:v>41</c:v>
                </c:pt>
                <c:pt idx="4">
                  <c:v>40</c:v>
                </c:pt>
                <c:pt idx="5">
                  <c:v>39</c:v>
                </c:pt>
                <c:pt idx="6">
                  <c:v>38</c:v>
                </c:pt>
                <c:pt idx="7">
                  <c:v>37</c:v>
                </c:pt>
                <c:pt idx="8">
                  <c:v>36</c:v>
                </c:pt>
                <c:pt idx="9">
                  <c:v>35</c:v>
                </c:pt>
                <c:pt idx="10">
                  <c:v>34</c:v>
                </c:pt>
                <c:pt idx="11">
                  <c:v>33</c:v>
                </c:pt>
                <c:pt idx="12">
                  <c:v>32</c:v>
                </c:pt>
                <c:pt idx="13">
                  <c:v>31</c:v>
                </c:pt>
                <c:pt idx="14">
                  <c:v>30</c:v>
                </c:pt>
                <c:pt idx="15">
                  <c:v>29</c:v>
                </c:pt>
                <c:pt idx="16">
                  <c:v>28</c:v>
                </c:pt>
                <c:pt idx="17">
                  <c:v>27</c:v>
                </c:pt>
                <c:pt idx="18">
                  <c:v>26</c:v>
                </c:pt>
                <c:pt idx="19">
                  <c:v>25</c:v>
                </c:pt>
                <c:pt idx="20">
                  <c:v>24</c:v>
                </c:pt>
                <c:pt idx="21">
                  <c:v>23</c:v>
                </c:pt>
                <c:pt idx="22">
                  <c:v>22</c:v>
                </c:pt>
                <c:pt idx="23">
                  <c:v>21</c:v>
                </c:pt>
                <c:pt idx="24">
                  <c:v>20</c:v>
                </c:pt>
                <c:pt idx="25">
                  <c:v>19</c:v>
                </c:pt>
                <c:pt idx="26">
                  <c:v>18</c:v>
                </c:pt>
                <c:pt idx="27">
                  <c:v>17</c:v>
                </c:pt>
                <c:pt idx="28">
                  <c:v>16</c:v>
                </c:pt>
                <c:pt idx="29">
                  <c:v>15</c:v>
                </c:pt>
                <c:pt idx="30">
                  <c:v>14</c:v>
                </c:pt>
                <c:pt idx="31">
                  <c:v>13</c:v>
                </c:pt>
                <c:pt idx="32">
                  <c:v>12</c:v>
                </c:pt>
                <c:pt idx="33">
                  <c:v>11</c:v>
                </c:pt>
                <c:pt idx="34">
                  <c:v>10</c:v>
                </c:pt>
                <c:pt idx="35">
                  <c:v>9</c:v>
                </c:pt>
                <c:pt idx="36">
                  <c:v>8</c:v>
                </c:pt>
                <c:pt idx="37">
                  <c:v>7</c:v>
                </c:pt>
                <c:pt idx="38">
                  <c:v>6</c:v>
                </c:pt>
                <c:pt idx="39">
                  <c:v>5</c:v>
                </c:pt>
                <c:pt idx="40">
                  <c:v>4</c:v>
                </c:pt>
                <c:pt idx="41">
                  <c:v>3</c:v>
                </c:pt>
                <c:pt idx="42">
                  <c:v>2</c:v>
                </c:pt>
                <c:pt idx="4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T_hipp_TLR!$AH$153</c:f>
                <c:numCache>
                  <c:formatCode>General</c:formatCode>
                  <c:ptCount val="1"/>
                  <c:pt idx="0">
                    <c:v>8.0548375243047796E-2</c:v>
                  </c:pt>
                </c:numCache>
              </c:numRef>
            </c:plus>
            <c:minus>
              <c:numRef>
                <c:f>T_hipp_TLR!$AH$154</c:f>
                <c:numCache>
                  <c:formatCode>General</c:formatCode>
                  <c:ptCount val="1"/>
                  <c:pt idx="0">
                    <c:v>8.0548375243047796E-2</c:v>
                  </c:pt>
                </c:numCache>
              </c:numRef>
            </c:minus>
            <c:spPr>
              <a:ln w="12700">
                <a:solidFill>
                  <a:srgbClr val="000000"/>
                </a:solidFill>
                <a:prstDash val="solid"/>
              </a:ln>
            </c:spPr>
          </c:errBars>
          <c:xVal>
            <c:numRef>
              <c:f>T_hipp_TLR!$AH$152</c:f>
              <c:numCache>
                <c:formatCode>General</c:formatCode>
                <c:ptCount val="1"/>
                <c:pt idx="0">
                  <c:v>-0.42961492401238305</c:v>
                </c:pt>
              </c:numCache>
            </c:numRef>
          </c:xVal>
          <c:yVal>
            <c:numRef>
              <c:f>T_hipp_TLR!$I$153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T_hipp_TLR!$AH$157</c:f>
                <c:numCache>
                  <c:formatCode>General</c:formatCode>
                  <c:ptCount val="1"/>
                  <c:pt idx="0">
                    <c:v>0.14826028769563138</c:v>
                  </c:pt>
                </c:numCache>
              </c:numRef>
            </c:plus>
            <c:minus>
              <c:numRef>
                <c:f>T_hipp_TLR!$AH$158</c:f>
                <c:numCache>
                  <c:formatCode>General</c:formatCode>
                  <c:ptCount val="1"/>
                  <c:pt idx="0">
                    <c:v>0.14826028769563138</c:v>
                  </c:pt>
                </c:numCache>
              </c:numRef>
            </c:minus>
            <c:spPr>
              <a:ln w="12700">
                <a:solidFill>
                  <a:srgbClr val="000000"/>
                </a:solidFill>
                <a:prstDash val="solid"/>
              </a:ln>
            </c:spPr>
          </c:errBars>
          <c:xVal>
            <c:numRef>
              <c:f>T_hipp_TLR!$AH$156</c:f>
              <c:numCache>
                <c:formatCode>General</c:formatCode>
                <c:ptCount val="1"/>
                <c:pt idx="0">
                  <c:v>-0.47022469581966542</c:v>
                </c:pt>
              </c:numCache>
            </c:numRef>
          </c:xVal>
          <c:yVal>
            <c:numRef>
              <c:f>T_hipp_TLR!$I$164</c:f>
              <c:numCache>
                <c:formatCode>General</c:formatCode>
                <c:ptCount val="1"/>
                <c:pt idx="0">
                  <c:v>-3</c:v>
                </c:pt>
              </c:numCache>
            </c:numRef>
          </c:yVal>
        </c:ser>
        <c:axId val="129005824"/>
        <c:axId val="129036288"/>
      </c:scatterChart>
      <c:valAx>
        <c:axId val="12900582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036288"/>
        <c:crosses val="autoZero"/>
        <c:crossBetween val="midCat"/>
      </c:valAx>
      <c:valAx>
        <c:axId val="129036288"/>
        <c:scaling>
          <c:orientation val="minMax"/>
        </c:scaling>
        <c:axPos val="l"/>
        <c:numFmt formatCode="General" sourceLinked="1"/>
        <c:majorTickMark val="none"/>
        <c:tickLblPos val="none"/>
        <c:spPr>
          <a:ln w="3175">
            <a:solidFill>
              <a:srgbClr val="000000"/>
            </a:solidFill>
            <a:prstDash val="solid"/>
          </a:ln>
        </c:spPr>
        <c:crossAx val="1290058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T_hipp_TLR!$AK$102:$AK$145</c:f>
              <c:numCache>
                <c:formatCode>General</c:formatCode>
                <c:ptCount val="44"/>
                <c:pt idx="0">
                  <c:v>4.5927510509886771</c:v>
                </c:pt>
                <c:pt idx="1">
                  <c:v>2.7543587944699368</c:v>
                </c:pt>
                <c:pt idx="2">
                  <c:v>4.0283156348919897</c:v>
                </c:pt>
                <c:pt idx="3">
                  <c:v>4.1946488060571614</c:v>
                </c:pt>
                <c:pt idx="4">
                  <c:v>3.6363786936980347</c:v>
                </c:pt>
                <c:pt idx="5">
                  <c:v>3.2752689358784202</c:v>
                </c:pt>
                <c:pt idx="6">
                  <c:v>7.1676847879479419</c:v>
                </c:pt>
                <c:pt idx="7">
                  <c:v>2.841766478827644</c:v>
                </c:pt>
                <c:pt idx="8">
                  <c:v>4.5796863705660504</c:v>
                </c:pt>
                <c:pt idx="9">
                  <c:v>1.8870866519121094</c:v>
                </c:pt>
                <c:pt idx="10">
                  <c:v>2.3427944686679134</c:v>
                </c:pt>
                <c:pt idx="11">
                  <c:v>1.8773574011554981</c:v>
                </c:pt>
                <c:pt idx="12">
                  <c:v>2.5359268570164812</c:v>
                </c:pt>
                <c:pt idx="13">
                  <c:v>4.850873823243842</c:v>
                </c:pt>
                <c:pt idx="14">
                  <c:v>3.9684608215616906</c:v>
                </c:pt>
                <c:pt idx="15">
                  <c:v>2.7084475543884694</c:v>
                </c:pt>
                <c:pt idx="16">
                  <c:v>3.6121998763743437</c:v>
                </c:pt>
                <c:pt idx="17">
                  <c:v>3.0497257067564791</c:v>
                </c:pt>
                <c:pt idx="18">
                  <c:v>3.3807154382357654</c:v>
                </c:pt>
                <c:pt idx="19">
                  <c:v>3.1621723377769828</c:v>
                </c:pt>
                <c:pt idx="20">
                  <c:v>2.6136509931682581</c:v>
                </c:pt>
                <c:pt idx="21">
                  <c:v>4.0537010032268999</c:v>
                </c:pt>
                <c:pt idx="22">
                  <c:v>4.1943442211054727</c:v>
                </c:pt>
                <c:pt idx="23">
                  <c:v>3.9283785875040427</c:v>
                </c:pt>
                <c:pt idx="24">
                  <c:v>4.6613317649067056</c:v>
                </c:pt>
                <c:pt idx="25">
                  <c:v>2.7299357954270582</c:v>
                </c:pt>
                <c:pt idx="26">
                  <c:v>1.6871228525150097</c:v>
                </c:pt>
                <c:pt idx="27">
                  <c:v>3.3919870539208734</c:v>
                </c:pt>
                <c:pt idx="28">
                  <c:v>3.1365044614735629</c:v>
                </c:pt>
                <c:pt idx="29">
                  <c:v>3.2469276494101917</c:v>
                </c:pt>
                <c:pt idx="30">
                  <c:v>3.2152743896219644</c:v>
                </c:pt>
                <c:pt idx="31">
                  <c:v>2.7711505067042319</c:v>
                </c:pt>
                <c:pt idx="32">
                  <c:v>3.0471382967548566</c:v>
                </c:pt>
                <c:pt idx="33">
                  <c:v>4.2729914944281147</c:v>
                </c:pt>
                <c:pt idx="34">
                  <c:v>2.7235243281514281</c:v>
                </c:pt>
                <c:pt idx="35">
                  <c:v>2.6187918662264997</c:v>
                </c:pt>
                <c:pt idx="36">
                  <c:v>2.7962278358064538</c:v>
                </c:pt>
                <c:pt idx="37">
                  <c:v>3.1043258484907321</c:v>
                </c:pt>
                <c:pt idx="38">
                  <c:v>3.1670378166044837</c:v>
                </c:pt>
                <c:pt idx="39">
                  <c:v>2.5688982396534632</c:v>
                </c:pt>
                <c:pt idx="40">
                  <c:v>2.5732915318904803</c:v>
                </c:pt>
                <c:pt idx="41">
                  <c:v>7.3506550899148575</c:v>
                </c:pt>
                <c:pt idx="42">
                  <c:v>5.9985401869119963</c:v>
                </c:pt>
                <c:pt idx="43">
                  <c:v>2.2516833154169733</c:v>
                </c:pt>
              </c:numCache>
            </c:numRef>
          </c:xVal>
          <c:yVal>
            <c:numRef>
              <c:f>T_hipp_TLR!$AL$102:$AL$145</c:f>
              <c:numCache>
                <c:formatCode>General</c:formatCode>
                <c:ptCount val="44"/>
                <c:pt idx="0">
                  <c:v>-1.5220009359856157</c:v>
                </c:pt>
                <c:pt idx="1">
                  <c:v>-2.5418862564297799</c:v>
                </c:pt>
                <c:pt idx="2">
                  <c:v>-1.7914517915053856</c:v>
                </c:pt>
                <c:pt idx="3">
                  <c:v>-0.71271884984996314</c:v>
                </c:pt>
                <c:pt idx="4">
                  <c:v>-3.266547222519764</c:v>
                </c:pt>
                <c:pt idx="5">
                  <c:v>1.1552043096150566</c:v>
                </c:pt>
                <c:pt idx="6">
                  <c:v>-0.44126827905551297</c:v>
                </c:pt>
                <c:pt idx="7">
                  <c:v>-2.4300020892045593</c:v>
                </c:pt>
                <c:pt idx="8">
                  <c:v>-3.1213212438780156</c:v>
                </c:pt>
                <c:pt idx="9">
                  <c:v>-1.5128648585429514</c:v>
                </c:pt>
                <c:pt idx="10">
                  <c:v>3.7048779969256117E-2</c:v>
                </c:pt>
                <c:pt idx="11">
                  <c:v>-0.98700095018366851</c:v>
                </c:pt>
                <c:pt idx="12">
                  <c:v>0.27822583216270924</c:v>
                </c:pt>
                <c:pt idx="13">
                  <c:v>-0.48648664928062796</c:v>
                </c:pt>
                <c:pt idx="14">
                  <c:v>-0.91564282140753905</c:v>
                </c:pt>
                <c:pt idx="15">
                  <c:v>-2.1587374999213655</c:v>
                </c:pt>
                <c:pt idx="16">
                  <c:v>0.67647451486672916</c:v>
                </c:pt>
                <c:pt idx="17">
                  <c:v>0.755379989083241</c:v>
                </c:pt>
                <c:pt idx="18">
                  <c:v>-0.71945596183486016</c:v>
                </c:pt>
                <c:pt idx="19">
                  <c:v>-6.9310590102477532E-2</c:v>
                </c:pt>
                <c:pt idx="20">
                  <c:v>-3.4356259567164749</c:v>
                </c:pt>
                <c:pt idx="21">
                  <c:v>0.13467352365732671</c:v>
                </c:pt>
                <c:pt idx="22">
                  <c:v>-3.2674271311423699</c:v>
                </c:pt>
                <c:pt idx="23">
                  <c:v>-0.71291202445976254</c:v>
                </c:pt>
                <c:pt idx="24">
                  <c:v>-1.7020916180715162</c:v>
                </c:pt>
                <c:pt idx="25">
                  <c:v>-2.7218662982486106</c:v>
                </c:pt>
                <c:pt idx="26">
                  <c:v>-6.362508453275904</c:v>
                </c:pt>
                <c:pt idx="27">
                  <c:v>-1.9054445577092438</c:v>
                </c:pt>
                <c:pt idx="28">
                  <c:v>-2.8840437450773737</c:v>
                </c:pt>
                <c:pt idx="29">
                  <c:v>-0.22926048379657429</c:v>
                </c:pt>
                <c:pt idx="30">
                  <c:v>-1.4015651692750322</c:v>
                </c:pt>
                <c:pt idx="31">
                  <c:v>-1.9342695361449984</c:v>
                </c:pt>
                <c:pt idx="32">
                  <c:v>-1.901273344116605</c:v>
                </c:pt>
                <c:pt idx="33">
                  <c:v>-3.170109971722026</c:v>
                </c:pt>
                <c:pt idx="34">
                  <c:v>0.4365845315099442</c:v>
                </c:pt>
                <c:pt idx="35">
                  <c:v>0.9013558015939982</c:v>
                </c:pt>
                <c:pt idx="36">
                  <c:v>-1.728142411757071</c:v>
                </c:pt>
                <c:pt idx="37">
                  <c:v>-2.095810620718026</c:v>
                </c:pt>
                <c:pt idx="38">
                  <c:v>-1.845628455597397</c:v>
                </c:pt>
                <c:pt idx="39">
                  <c:v>-0.72605510851390931</c:v>
                </c:pt>
                <c:pt idx="40">
                  <c:v>-0.59206289301055348</c:v>
                </c:pt>
                <c:pt idx="41">
                  <c:v>-3.0928191462066787</c:v>
                </c:pt>
                <c:pt idx="42">
                  <c:v>-6.0789512183420369</c:v>
                </c:pt>
                <c:pt idx="43">
                  <c:v>-5.0374057309908178</c:v>
                </c:pt>
              </c:numCache>
            </c:numRef>
          </c:yVal>
        </c:ser>
        <c:axId val="129069440"/>
        <c:axId val="129071360"/>
      </c:scatterChart>
      <c:valAx>
        <c:axId val="12906944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071360"/>
        <c:crosses val="autoZero"/>
        <c:crossBetween val="midCat"/>
      </c:valAx>
      <c:valAx>
        <c:axId val="12907136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0694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T_hipp_TLR_recov!$AG$35:$AG$39</c:f>
                <c:numCache>
                  <c:formatCode>General</c:formatCode>
                  <c:ptCount val="5"/>
                  <c:pt idx="0">
                    <c:v>0.71312426040445809</c:v>
                  </c:pt>
                  <c:pt idx="1">
                    <c:v>0.58439054142184443</c:v>
                  </c:pt>
                  <c:pt idx="2">
                    <c:v>0.56693762980325324</c:v>
                  </c:pt>
                  <c:pt idx="3">
                    <c:v>0.49943059441344329</c:v>
                  </c:pt>
                  <c:pt idx="4">
                    <c:v>0.62213730604565687</c:v>
                  </c:pt>
                </c:numCache>
              </c:numRef>
            </c:plus>
            <c:minus>
              <c:numRef>
                <c:f>T_hipp_TLR_recov!$AH$35:$AH$39</c:f>
                <c:numCache>
                  <c:formatCode>General</c:formatCode>
                  <c:ptCount val="5"/>
                  <c:pt idx="0">
                    <c:v>0.71312426040445809</c:v>
                  </c:pt>
                  <c:pt idx="1">
                    <c:v>0.58439054142184443</c:v>
                  </c:pt>
                  <c:pt idx="2">
                    <c:v>0.56693762980325324</c:v>
                  </c:pt>
                  <c:pt idx="3">
                    <c:v>0.49943059441344329</c:v>
                  </c:pt>
                  <c:pt idx="4">
                    <c:v>0.62213730604565687</c:v>
                  </c:pt>
                </c:numCache>
              </c:numRef>
            </c:minus>
            <c:spPr>
              <a:ln w="12700">
                <a:solidFill>
                  <a:srgbClr val="000000"/>
                </a:solidFill>
                <a:prstDash val="solid"/>
              </a:ln>
            </c:spPr>
          </c:errBars>
          <c:xVal>
            <c:numRef>
              <c:f>T_hipp_TLR_recov!$AF$35:$AF$39</c:f>
              <c:numCache>
                <c:formatCode>0.00</c:formatCode>
                <c:ptCount val="5"/>
                <c:pt idx="0">
                  <c:v>9.4579597376946142E-2</c:v>
                </c:pt>
                <c:pt idx="1">
                  <c:v>-2.9033941044643762E-2</c:v>
                </c:pt>
                <c:pt idx="2">
                  <c:v>-0.99747865430484617</c:v>
                </c:pt>
                <c:pt idx="3">
                  <c:v>2.8486201504335402E-2</c:v>
                </c:pt>
                <c:pt idx="4">
                  <c:v>-0.23312193434122497</c:v>
                </c:pt>
              </c:numCache>
            </c:numRef>
          </c:xVal>
          <c:yVal>
            <c:numRef>
              <c:f>T_hipp_TLR_recov!$G$35:$G$39</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T_hipp_TLR_recov!$AH$47</c:f>
                <c:numCache>
                  <c:formatCode>General</c:formatCode>
                  <c:ptCount val="1"/>
                  <c:pt idx="0">
                    <c:v>0.26172547853777778</c:v>
                  </c:pt>
                </c:numCache>
              </c:numRef>
            </c:plus>
            <c:minus>
              <c:numRef>
                <c:f>T_hipp_TLR_recov!$AH$48</c:f>
                <c:numCache>
                  <c:formatCode>General</c:formatCode>
                  <c:ptCount val="1"/>
                  <c:pt idx="0">
                    <c:v>0.26172547853777778</c:v>
                  </c:pt>
                </c:numCache>
              </c:numRef>
            </c:minus>
            <c:spPr>
              <a:ln w="12700">
                <a:solidFill>
                  <a:srgbClr val="000000"/>
                </a:solidFill>
                <a:prstDash val="solid"/>
              </a:ln>
            </c:spPr>
          </c:errBars>
          <c:xVal>
            <c:numRef>
              <c:f>T_hipp_TLR_recov!$AH$46</c:f>
              <c:numCache>
                <c:formatCode>General</c:formatCode>
                <c:ptCount val="1"/>
                <c:pt idx="0">
                  <c:v>-0.23909962409001118</c:v>
                </c:pt>
              </c:numCache>
            </c:numRef>
          </c:xVal>
          <c:yVal>
            <c:numRef>
              <c:f>T_hipp_TLR_recov!$I$47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T_hipp_TLR_recov!$AH$51</c:f>
                <c:numCache>
                  <c:formatCode>General</c:formatCode>
                  <c:ptCount val="1"/>
                  <c:pt idx="0">
                    <c:v>0.40352585486838577</c:v>
                  </c:pt>
                </c:numCache>
              </c:numRef>
            </c:plus>
            <c:minus>
              <c:numRef>
                <c:f>T_hipp_TLR_recov!$AH$52</c:f>
                <c:numCache>
                  <c:formatCode>General</c:formatCode>
                  <c:ptCount val="1"/>
                  <c:pt idx="0">
                    <c:v>0.40352585486838577</c:v>
                  </c:pt>
                </c:numCache>
              </c:numRef>
            </c:minus>
            <c:spPr>
              <a:ln w="12700">
                <a:solidFill>
                  <a:srgbClr val="000000"/>
                </a:solidFill>
                <a:prstDash val="solid"/>
              </a:ln>
            </c:spPr>
          </c:errBars>
          <c:xVal>
            <c:numRef>
              <c:f>T_hipp_TLR_recov!$AH$50</c:f>
              <c:numCache>
                <c:formatCode>General</c:formatCode>
                <c:ptCount val="1"/>
                <c:pt idx="0">
                  <c:v>-0.23578615326666877</c:v>
                </c:pt>
              </c:numCache>
            </c:numRef>
          </c:xVal>
          <c:yVal>
            <c:numRef>
              <c:f>T_hipp_TLR_recov!$I$58</c:f>
              <c:numCache>
                <c:formatCode>General</c:formatCode>
                <c:ptCount val="1"/>
                <c:pt idx="0">
                  <c:v>-3</c:v>
                </c:pt>
              </c:numCache>
            </c:numRef>
          </c:yVal>
        </c:ser>
        <c:axId val="129256064"/>
        <c:axId val="129266048"/>
      </c:scatterChart>
      <c:valAx>
        <c:axId val="12925606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266048"/>
        <c:crosses val="autoZero"/>
        <c:crossBetween val="midCat"/>
      </c:valAx>
      <c:valAx>
        <c:axId val="129266048"/>
        <c:scaling>
          <c:orientation val="minMax"/>
        </c:scaling>
        <c:axPos val="l"/>
        <c:numFmt formatCode="General" sourceLinked="1"/>
        <c:majorTickMark val="none"/>
        <c:tickLblPos val="none"/>
        <c:spPr>
          <a:ln w="3175">
            <a:solidFill>
              <a:srgbClr val="000000"/>
            </a:solidFill>
            <a:prstDash val="solid"/>
          </a:ln>
        </c:spPr>
        <c:crossAx val="12925606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2472597996927"/>
                  <c:y val="-3.690352549316721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T_hipp_TLR_recov!$AK$35:$AK$39</c:f>
              <c:numCache>
                <c:formatCode>General</c:formatCode>
                <c:ptCount val="5"/>
                <c:pt idx="0">
                  <c:v>2.7484691081584569</c:v>
                </c:pt>
                <c:pt idx="1">
                  <c:v>3.3539214978244605</c:v>
                </c:pt>
                <c:pt idx="2">
                  <c:v>3.4571704134018884</c:v>
                </c:pt>
                <c:pt idx="3">
                  <c:v>3.9244692294069883</c:v>
                </c:pt>
                <c:pt idx="4">
                  <c:v>3.1504299468197479</c:v>
                </c:pt>
              </c:numCache>
            </c:numRef>
          </c:xVal>
          <c:yVal>
            <c:numRef>
              <c:f>T_hipp_TLR_recov!$AL$35:$AL$39</c:f>
              <c:numCache>
                <c:formatCode>General</c:formatCode>
                <c:ptCount val="5"/>
                <c:pt idx="0">
                  <c:v>0.2599491016526011</c:v>
                </c:pt>
                <c:pt idx="1">
                  <c:v>-9.7377559036198685E-2</c:v>
                </c:pt>
                <c:pt idx="2">
                  <c:v>-3.4484536916626443</c:v>
                </c:pt>
                <c:pt idx="3">
                  <c:v>0.11179322126645135</c:v>
                </c:pt>
                <c:pt idx="4">
                  <c:v>-0.73443432320914215</c:v>
                </c:pt>
              </c:numCache>
            </c:numRef>
          </c:yVal>
        </c:ser>
        <c:axId val="129318912"/>
        <c:axId val="129320832"/>
      </c:scatterChart>
      <c:valAx>
        <c:axId val="12931891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320832"/>
        <c:crosses val="autoZero"/>
        <c:crossBetween val="midCat"/>
      </c:valAx>
      <c:valAx>
        <c:axId val="1293208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31891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GB"/>
  <c:chart>
    <c:plotArea>
      <c:layout/>
      <c:scatterChart>
        <c:scatterStyle val="lineMarker"/>
        <c:ser>
          <c:idx val="0"/>
          <c:order val="0"/>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T_hipp_TLR_recov!$BA$35:$BA$39</c:f>
              <c:numCache>
                <c:formatCode>General</c:formatCode>
                <c:ptCount val="5"/>
              </c:numCache>
            </c:numRef>
          </c:xVal>
          <c:yVal>
            <c:numRef>
              <c:f>T_hipp_TLR_recov!$AW$35:$AW$39</c:f>
              <c:numCache>
                <c:formatCode>0.0000</c:formatCode>
                <c:ptCount val="5"/>
                <c:pt idx="0">
                  <c:v>9.4579597376946142E-2</c:v>
                </c:pt>
                <c:pt idx="1">
                  <c:v>-2.9033941044643762E-2</c:v>
                </c:pt>
                <c:pt idx="2">
                  <c:v>-0.99747865430484617</c:v>
                </c:pt>
                <c:pt idx="3">
                  <c:v>2.8486201504335402E-2</c:v>
                </c:pt>
                <c:pt idx="4">
                  <c:v>-0.23312193434122497</c:v>
                </c:pt>
              </c:numCache>
            </c:numRef>
          </c:yVal>
        </c:ser>
        <c:axId val="129349504"/>
        <c:axId val="129359872"/>
      </c:scatterChart>
      <c:valAx>
        <c:axId val="129349504"/>
        <c:scaling>
          <c:orientation val="minMax"/>
        </c:scaling>
        <c:axPos val="b"/>
        <c:title>
          <c:tx>
            <c:rich>
              <a:bodyPr/>
              <a:lstStyle/>
              <a:p>
                <a:pPr>
                  <a:defRPr sz="1000" b="1" i="0" u="none" strike="noStrike" baseline="0">
                    <a:solidFill>
                      <a:srgbClr val="000000"/>
                    </a:solidFill>
                    <a:latin typeface="Arial"/>
                    <a:ea typeface="Arial"/>
                    <a:cs typeface="Arial"/>
                  </a:defRPr>
                </a:pPr>
                <a:r>
                  <a:rPr lang="en-GB"/>
                  <a:t>Age of onset</a:t>
                </a:r>
              </a:p>
            </c:rich>
          </c:tx>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359872"/>
        <c:crosses val="autoZero"/>
        <c:crossBetween val="midCat"/>
      </c:valAx>
      <c:valAx>
        <c:axId val="129359872"/>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Effect size</a:t>
                </a:r>
              </a:p>
            </c:rich>
          </c:tx>
          <c:layout/>
          <c:spPr>
            <a:noFill/>
            <a:ln w="25400">
              <a:noFill/>
            </a:ln>
          </c:spPr>
        </c:title>
        <c:numFmt formatCode="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3495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T_hipp_TLR_recov_vs_dep!$AG$34:$AG$37</c:f>
                <c:numCache>
                  <c:formatCode>General</c:formatCode>
                  <c:ptCount val="4"/>
                  <c:pt idx="0">
                    <c:v>0.76049775098023054</c:v>
                  </c:pt>
                  <c:pt idx="1">
                    <c:v>0.77173140996278844</c:v>
                  </c:pt>
                  <c:pt idx="2">
                    <c:v>0.51586873272484912</c:v>
                  </c:pt>
                  <c:pt idx="3">
                    <c:v>0.6199314806814763</c:v>
                  </c:pt>
                </c:numCache>
              </c:numRef>
            </c:plus>
            <c:minus>
              <c:numRef>
                <c:f>T_hipp_TLR_recov_vs_dep!$AH$34:$AH$37</c:f>
                <c:numCache>
                  <c:formatCode>General</c:formatCode>
                  <c:ptCount val="4"/>
                  <c:pt idx="0">
                    <c:v>0.76049775098023054</c:v>
                  </c:pt>
                  <c:pt idx="1">
                    <c:v>0.77173140996278844</c:v>
                  </c:pt>
                  <c:pt idx="2">
                    <c:v>0.51586873272484912</c:v>
                  </c:pt>
                  <c:pt idx="3">
                    <c:v>0.6199314806814763</c:v>
                  </c:pt>
                </c:numCache>
              </c:numRef>
            </c:minus>
            <c:spPr>
              <a:ln w="12700">
                <a:solidFill>
                  <a:srgbClr val="000000"/>
                </a:solidFill>
                <a:prstDash val="solid"/>
              </a:ln>
            </c:spPr>
          </c:errBars>
          <c:xVal>
            <c:numRef>
              <c:f>T_hipp_TLR_recov_vs_dep!$AF$34:$AF$37</c:f>
              <c:numCache>
                <c:formatCode>0.00</c:formatCode>
                <c:ptCount val="4"/>
                <c:pt idx="0">
                  <c:v>0.39834505062937742</c:v>
                </c:pt>
                <c:pt idx="1">
                  <c:v>0.91725555762977418</c:v>
                </c:pt>
                <c:pt idx="2">
                  <c:v>0.25719993169348304</c:v>
                </c:pt>
                <c:pt idx="3">
                  <c:v>5.3950404331635497E-2</c:v>
                </c:pt>
              </c:numCache>
            </c:numRef>
          </c:xVal>
          <c:yVal>
            <c:numRef>
              <c:f>T_hipp_TLR_recov_vs_dep!$G$34:$G$37</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T_hipp_TLR_recov_vs_dep!$AH$45</c:f>
                <c:numCache>
                  <c:formatCode>General</c:formatCode>
                  <c:ptCount val="1"/>
                  <c:pt idx="0">
                    <c:v>0.31996388986650703</c:v>
                  </c:pt>
                </c:numCache>
              </c:numRef>
            </c:plus>
            <c:minus>
              <c:numRef>
                <c:f>T_hipp_TLR_recov_vs_dep!$AH$46</c:f>
                <c:numCache>
                  <c:formatCode>General</c:formatCode>
                  <c:ptCount val="1"/>
                  <c:pt idx="0">
                    <c:v>0.31996388986650703</c:v>
                  </c:pt>
                </c:numCache>
              </c:numRef>
            </c:minus>
            <c:spPr>
              <a:ln w="12700">
                <a:solidFill>
                  <a:srgbClr val="000000"/>
                </a:solidFill>
                <a:prstDash val="solid"/>
              </a:ln>
            </c:spPr>
          </c:errBars>
          <c:xVal>
            <c:numRef>
              <c:f>T_hipp_TLR_recov_vs_dep!$AH$44</c:f>
              <c:numCache>
                <c:formatCode>General</c:formatCode>
                <c:ptCount val="1"/>
                <c:pt idx="0">
                  <c:v>0.34150320015484376</c:v>
                </c:pt>
              </c:numCache>
            </c:numRef>
          </c:xVal>
          <c:yVal>
            <c:numRef>
              <c:f>T_hipp_TLR_recov_vs_dep!$I$45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T_hipp_TLR_recov_vs_dep!$AH$49</c:f>
                <c:numCache>
                  <c:formatCode>General</c:formatCode>
                  <c:ptCount val="1"/>
                  <c:pt idx="0">
                    <c:v>0.32541869133500856</c:v>
                  </c:pt>
                </c:numCache>
              </c:numRef>
            </c:plus>
            <c:minus>
              <c:numRef>
                <c:f>T_hipp_TLR_recov_vs_dep!$AH$50</c:f>
                <c:numCache>
                  <c:formatCode>General</c:formatCode>
                  <c:ptCount val="1"/>
                  <c:pt idx="0">
                    <c:v>0.32541869133500856</c:v>
                  </c:pt>
                </c:numCache>
              </c:numRef>
            </c:minus>
            <c:spPr>
              <a:ln w="12700">
                <a:solidFill>
                  <a:srgbClr val="000000"/>
                </a:solidFill>
                <a:prstDash val="solid"/>
              </a:ln>
            </c:spPr>
          </c:errBars>
          <c:xVal>
            <c:numRef>
              <c:f>T_hipp_TLR_recov_vs_dep!$AH$48</c:f>
              <c:numCache>
                <c:formatCode>General</c:formatCode>
                <c:ptCount val="1"/>
                <c:pt idx="0">
                  <c:v>0.34319517421665341</c:v>
                </c:pt>
              </c:numCache>
            </c:numRef>
          </c:xVal>
          <c:yVal>
            <c:numRef>
              <c:f>T_hipp_TLR_recov_vs_dep!$I$56</c:f>
              <c:numCache>
                <c:formatCode>General</c:formatCode>
                <c:ptCount val="1"/>
                <c:pt idx="0">
                  <c:v>-3</c:v>
                </c:pt>
              </c:numCache>
            </c:numRef>
          </c:yVal>
        </c:ser>
        <c:axId val="129441792"/>
        <c:axId val="129443328"/>
      </c:scatterChart>
      <c:valAx>
        <c:axId val="12944179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443328"/>
        <c:crosses val="autoZero"/>
        <c:crossBetween val="midCat"/>
      </c:valAx>
      <c:valAx>
        <c:axId val="129443328"/>
        <c:scaling>
          <c:orientation val="minMax"/>
        </c:scaling>
        <c:axPos val="l"/>
        <c:numFmt formatCode="General" sourceLinked="1"/>
        <c:majorTickMark val="none"/>
        <c:tickLblPos val="none"/>
        <c:spPr>
          <a:ln w="3175">
            <a:solidFill>
              <a:srgbClr val="000000"/>
            </a:solidFill>
            <a:prstDash val="solid"/>
          </a:ln>
        </c:spPr>
        <c:crossAx val="1294417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65981100471543"/>
          <c:y val="8.3700305497941455E-2"/>
          <c:w val="0.82474330594508305"/>
          <c:h val="0.69603411940393201"/>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814054417559237"/>
                  <c:y val="-3.402831539213420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T_hipp_TLR_recov_vs_dep!$AK$34:$AK$37</c:f>
              <c:numCache>
                <c:formatCode>General</c:formatCode>
                <c:ptCount val="4"/>
                <c:pt idx="0">
                  <c:v>2.5772594297270328</c:v>
                </c:pt>
                <c:pt idx="1">
                  <c:v>2.5397437174346811</c:v>
                </c:pt>
                <c:pt idx="2">
                  <c:v>3.7994161608655057</c:v>
                </c:pt>
                <c:pt idx="3">
                  <c:v>3.1616397312900086</c:v>
                </c:pt>
              </c:numCache>
            </c:numRef>
          </c:xVal>
          <c:yVal>
            <c:numRef>
              <c:f>T_hipp_TLR_recov_vs_dep!$AL$34:$AL$37</c:f>
              <c:numCache>
                <c:formatCode>General</c:formatCode>
                <c:ptCount val="4"/>
                <c:pt idx="0">
                  <c:v>1.0266385380196552</c:v>
                </c:pt>
                <c:pt idx="1">
                  <c:v>2.3295940397722639</c:v>
                </c:pt>
                <c:pt idx="2">
                  <c:v>0.97720957704972367</c:v>
                </c:pt>
                <c:pt idx="3">
                  <c:v>0.17057174185405938</c:v>
                </c:pt>
              </c:numCache>
            </c:numRef>
          </c:yVal>
        </c:ser>
        <c:axId val="129483904"/>
        <c:axId val="129485824"/>
      </c:scatterChart>
      <c:valAx>
        <c:axId val="129483904"/>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409489406607732"/>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485824"/>
        <c:crosses val="autoZero"/>
        <c:crossBetween val="midCat"/>
      </c:valAx>
      <c:valAx>
        <c:axId val="12948582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5340941413160464"/>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4839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GB"/>
  <c:chart>
    <c:plotArea>
      <c:layout/>
      <c:scatterChart>
        <c:scatterStyle val="lineMarker"/>
        <c:ser>
          <c:idx val="0"/>
          <c:order val="0"/>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T_hipp_TLR_recov_vs_dep!$BA$34:$BA$37</c:f>
              <c:numCache>
                <c:formatCode>General</c:formatCode>
                <c:ptCount val="4"/>
              </c:numCache>
            </c:numRef>
          </c:xVal>
          <c:yVal>
            <c:numRef>
              <c:f>T_hipp_TLR_recov_vs_dep!$AW$34:$AW$37</c:f>
              <c:numCache>
                <c:formatCode>0.0000</c:formatCode>
                <c:ptCount val="4"/>
                <c:pt idx="0">
                  <c:v>0.39834505062937742</c:v>
                </c:pt>
                <c:pt idx="1">
                  <c:v>0.91725555762977418</c:v>
                </c:pt>
                <c:pt idx="2">
                  <c:v>0.25719993169348304</c:v>
                </c:pt>
                <c:pt idx="3">
                  <c:v>5.3950404331635497E-2</c:v>
                </c:pt>
              </c:numCache>
            </c:numRef>
          </c:yVal>
        </c:ser>
        <c:axId val="129688704"/>
        <c:axId val="129690624"/>
      </c:scatterChart>
      <c:valAx>
        <c:axId val="129688704"/>
        <c:scaling>
          <c:orientation val="minMax"/>
        </c:scaling>
        <c:axPos val="b"/>
        <c:title>
          <c:tx>
            <c:rich>
              <a:bodyPr/>
              <a:lstStyle/>
              <a:p>
                <a:pPr>
                  <a:defRPr sz="1000" b="1" i="0" u="none" strike="noStrike" baseline="0">
                    <a:solidFill>
                      <a:srgbClr val="000000"/>
                    </a:solidFill>
                    <a:latin typeface="Arial"/>
                    <a:ea typeface="Arial"/>
                    <a:cs typeface="Arial"/>
                  </a:defRPr>
                </a:pPr>
                <a:r>
                  <a:rPr lang="en-GB"/>
                  <a:t>Age of onset</a:t>
                </a:r>
              </a:p>
            </c:rich>
          </c:tx>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690624"/>
        <c:crosses val="autoZero"/>
        <c:crossBetween val="midCat"/>
      </c:valAx>
      <c:valAx>
        <c:axId val="12969062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Effect size</a:t>
                </a:r>
              </a:p>
            </c:rich>
          </c:tx>
          <c:layout/>
          <c:spPr>
            <a:noFill/>
            <a:ln w="25400">
              <a:noFill/>
            </a:ln>
          </c:spPr>
        </c:title>
        <c:numFmt formatCode="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6887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T_hipp_TLR_early_late!$AG$33:$AG$35</c:f>
                <c:numCache>
                  <c:formatCode>General</c:formatCode>
                  <c:ptCount val="3"/>
                  <c:pt idx="0">
                    <c:v>0.57077280975947209</c:v>
                  </c:pt>
                  <c:pt idx="1">
                    <c:v>0.33821720035933528</c:v>
                  </c:pt>
                  <c:pt idx="2">
                    <c:v>0.5827274449127775</c:v>
                  </c:pt>
                </c:numCache>
              </c:numRef>
            </c:plus>
            <c:minus>
              <c:numRef>
                <c:f>T_hipp_TLR_early_late!$AH$33:$AH$35</c:f>
                <c:numCache>
                  <c:formatCode>General</c:formatCode>
                  <c:ptCount val="3"/>
                  <c:pt idx="0">
                    <c:v>0.57077280975947209</c:v>
                  </c:pt>
                  <c:pt idx="1">
                    <c:v>0.33821720035933528</c:v>
                  </c:pt>
                  <c:pt idx="2">
                    <c:v>0.5827274449127775</c:v>
                  </c:pt>
                </c:numCache>
              </c:numRef>
            </c:minus>
            <c:spPr>
              <a:ln w="12700">
                <a:solidFill>
                  <a:srgbClr val="000000"/>
                </a:solidFill>
                <a:prstDash val="solid"/>
              </a:ln>
            </c:spPr>
          </c:errBars>
          <c:xVal>
            <c:numRef>
              <c:f>T_hipp_TLR_early_late!$AF$33:$AF$35</c:f>
              <c:numCache>
                <c:formatCode>0.00</c:formatCode>
                <c:ptCount val="3"/>
                <c:pt idx="0">
                  <c:v>0.72671491471176086</c:v>
                </c:pt>
                <c:pt idx="1">
                  <c:v>-6.2659047473974758E-2</c:v>
                </c:pt>
                <c:pt idx="2">
                  <c:v>0.32710655641808517</c:v>
                </c:pt>
              </c:numCache>
            </c:numRef>
          </c:xVal>
          <c:yVal>
            <c:numRef>
              <c:f>T_hipp_TLR_early_late!$G$33:$G$35</c:f>
              <c:numCache>
                <c:formatCode>General</c:formatCode>
                <c:ptCount val="3"/>
                <c:pt idx="0">
                  <c:v>5</c:v>
                </c:pt>
                <c:pt idx="1">
                  <c:v>4</c:v>
                </c:pt>
                <c:pt idx="2">
                  <c:v>2</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T_hipp_TLR_early_late!$AH$43</c:f>
                <c:numCache>
                  <c:formatCode>General</c:formatCode>
                  <c:ptCount val="1"/>
                  <c:pt idx="0">
                    <c:v>0.26032146649360538</c:v>
                  </c:pt>
                </c:numCache>
              </c:numRef>
            </c:plus>
            <c:minus>
              <c:numRef>
                <c:f>T_hipp_TLR_early_late!$AH$44</c:f>
                <c:numCache>
                  <c:formatCode>General</c:formatCode>
                  <c:ptCount val="1"/>
                  <c:pt idx="0">
                    <c:v>0.26032146649360538</c:v>
                  </c:pt>
                </c:numCache>
              </c:numRef>
            </c:minus>
            <c:spPr>
              <a:ln w="12700">
                <a:solidFill>
                  <a:srgbClr val="000000"/>
                </a:solidFill>
                <a:prstDash val="solid"/>
              </a:ln>
            </c:spPr>
          </c:errBars>
          <c:xVal>
            <c:numRef>
              <c:f>T_hipp_TLR_early_late!$AH$42</c:f>
              <c:numCache>
                <c:formatCode>General</c:formatCode>
                <c:ptCount val="1"/>
                <c:pt idx="0">
                  <c:v>0.17932651220832876</c:v>
                </c:pt>
              </c:numCache>
            </c:numRef>
          </c:xVal>
          <c:yVal>
            <c:numRef>
              <c:f>T_hipp_TLR_early_late!$I$43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T_hipp_TLR_early_late!$AH$47</c:f>
                <c:numCache>
                  <c:formatCode>General</c:formatCode>
                  <c:ptCount val="1"/>
                  <c:pt idx="0">
                    <c:v>0.48023823504431778</c:v>
                  </c:pt>
                </c:numCache>
              </c:numRef>
            </c:plus>
            <c:minus>
              <c:numRef>
                <c:f>T_hipp_TLR_early_late!$AH$48</c:f>
                <c:numCache>
                  <c:formatCode>General</c:formatCode>
                  <c:ptCount val="1"/>
                  <c:pt idx="0">
                    <c:v>0.48023823504431778</c:v>
                  </c:pt>
                </c:numCache>
              </c:numRef>
            </c:minus>
            <c:spPr>
              <a:ln w="12700">
                <a:solidFill>
                  <a:srgbClr val="000000"/>
                </a:solidFill>
                <a:prstDash val="solid"/>
              </a:ln>
            </c:spPr>
          </c:errBars>
          <c:xVal>
            <c:numRef>
              <c:f>T_hipp_TLR_early_late!$AH$46</c:f>
              <c:numCache>
                <c:formatCode>General</c:formatCode>
                <c:ptCount val="1"/>
                <c:pt idx="0">
                  <c:v>0.28645943484466163</c:v>
                </c:pt>
              </c:numCache>
            </c:numRef>
          </c:xVal>
          <c:yVal>
            <c:numRef>
              <c:f>T_hipp_TLR_early_late!$I$54</c:f>
              <c:numCache>
                <c:formatCode>General</c:formatCode>
                <c:ptCount val="1"/>
                <c:pt idx="0">
                  <c:v>-3</c:v>
                </c:pt>
              </c:numCache>
            </c:numRef>
          </c:yVal>
        </c:ser>
        <c:axId val="129786624"/>
        <c:axId val="129788160"/>
      </c:scatterChart>
      <c:valAx>
        <c:axId val="12978662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788160"/>
        <c:crosses val="autoZero"/>
        <c:crossBetween val="midCat"/>
      </c:valAx>
      <c:valAx>
        <c:axId val="129788160"/>
        <c:scaling>
          <c:orientation val="minMax"/>
        </c:scaling>
        <c:axPos val="l"/>
        <c:numFmt formatCode="General" sourceLinked="1"/>
        <c:majorTickMark val="none"/>
        <c:tickLblPos val="none"/>
        <c:spPr>
          <a:ln w="3175">
            <a:solidFill>
              <a:srgbClr val="000000"/>
            </a:solidFill>
            <a:prstDash val="solid"/>
          </a:ln>
        </c:spPr>
        <c:crossAx val="1297866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LatVent_MRI!$AG$37:$AG$42</c:f>
                <c:numCache>
                  <c:formatCode>General</c:formatCode>
                  <c:ptCount val="6"/>
                  <c:pt idx="0">
                    <c:v>0.61374687677601503</c:v>
                  </c:pt>
                  <c:pt idx="1">
                    <c:v>0.7400977690550341</c:v>
                  </c:pt>
                  <c:pt idx="2">
                    <c:v>0.39308338219585137</c:v>
                  </c:pt>
                  <c:pt idx="3">
                    <c:v>0.75909617457548484</c:v>
                  </c:pt>
                  <c:pt idx="4">
                    <c:v>0.42807747784752431</c:v>
                  </c:pt>
                  <c:pt idx="5">
                    <c:v>0.42089176810028761</c:v>
                  </c:pt>
                </c:numCache>
              </c:numRef>
            </c:plus>
            <c:minus>
              <c:numRef>
                <c:f>LatVent_MRI!$AH$37:$AH$42</c:f>
                <c:numCache>
                  <c:formatCode>General</c:formatCode>
                  <c:ptCount val="6"/>
                  <c:pt idx="0">
                    <c:v>0.61374687677601503</c:v>
                  </c:pt>
                  <c:pt idx="1">
                    <c:v>0.7400977690550341</c:v>
                  </c:pt>
                  <c:pt idx="2">
                    <c:v>0.39308338219585137</c:v>
                  </c:pt>
                  <c:pt idx="3">
                    <c:v>0.75909617457548484</c:v>
                  </c:pt>
                  <c:pt idx="4">
                    <c:v>0.42807747784752431</c:v>
                  </c:pt>
                  <c:pt idx="5">
                    <c:v>0.42089176810028761</c:v>
                  </c:pt>
                </c:numCache>
              </c:numRef>
            </c:minus>
            <c:spPr>
              <a:ln w="12700">
                <a:solidFill>
                  <a:srgbClr val="000000"/>
                </a:solidFill>
                <a:prstDash val="solid"/>
              </a:ln>
            </c:spPr>
          </c:errBars>
          <c:xVal>
            <c:numRef>
              <c:f>LatVent_MRI!$AF$37:$AF$42</c:f>
              <c:numCache>
                <c:formatCode>0.00</c:formatCode>
                <c:ptCount val="6"/>
                <c:pt idx="0">
                  <c:v>4.7831883440439642E-2</c:v>
                </c:pt>
                <c:pt idx="1">
                  <c:v>0.85505516590735109</c:v>
                </c:pt>
                <c:pt idx="2">
                  <c:v>5.956365103357078E-2</c:v>
                </c:pt>
                <c:pt idx="3">
                  <c:v>0.54764506327025286</c:v>
                </c:pt>
                <c:pt idx="4">
                  <c:v>0.75093111686194658</c:v>
                </c:pt>
                <c:pt idx="5">
                  <c:v>0.38578740734696537</c:v>
                </c:pt>
              </c:numCache>
            </c:numRef>
          </c:xVal>
          <c:yVal>
            <c:numRef>
              <c:f>LatVent_MRI!$G$37:$G$42</c:f>
              <c:numCache>
                <c:formatCode>General</c:formatCode>
                <c:ptCount val="6"/>
                <c:pt idx="0">
                  <c:v>6</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LatVent_MRI!$AH$50</c:f>
                <c:numCache>
                  <c:formatCode>General</c:formatCode>
                  <c:ptCount val="1"/>
                  <c:pt idx="0">
                    <c:v>0.20502452300094026</c:v>
                  </c:pt>
                </c:numCache>
              </c:numRef>
            </c:plus>
            <c:minus>
              <c:numRef>
                <c:f>LatVent_MRI!$AH$51</c:f>
                <c:numCache>
                  <c:formatCode>General</c:formatCode>
                  <c:ptCount val="1"/>
                  <c:pt idx="0">
                    <c:v>0.20502452300094026</c:v>
                  </c:pt>
                </c:numCache>
              </c:numRef>
            </c:minus>
            <c:spPr>
              <a:ln w="12700">
                <a:solidFill>
                  <a:srgbClr val="000000"/>
                </a:solidFill>
                <a:prstDash val="solid"/>
              </a:ln>
            </c:spPr>
          </c:errBars>
          <c:xVal>
            <c:numRef>
              <c:f>LatVent_MRI!$AH$49</c:f>
              <c:numCache>
                <c:formatCode>General</c:formatCode>
                <c:ptCount val="1"/>
                <c:pt idx="0">
                  <c:v>0.39090516481125698</c:v>
                </c:pt>
              </c:numCache>
            </c:numRef>
          </c:xVal>
          <c:yVal>
            <c:numRef>
              <c:f>LatVent_MRI!$I$50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LatVent_MRI!$AH$54</c:f>
                <c:numCache>
                  <c:formatCode>General</c:formatCode>
                  <c:ptCount val="1"/>
                  <c:pt idx="0">
                    <c:v>0.27565527686679581</c:v>
                  </c:pt>
                </c:numCache>
              </c:numRef>
            </c:plus>
            <c:minus>
              <c:numRef>
                <c:f>LatVent_MRI!$AH$55</c:f>
                <c:numCache>
                  <c:formatCode>General</c:formatCode>
                  <c:ptCount val="1"/>
                  <c:pt idx="0">
                    <c:v>0.27565527686679581</c:v>
                  </c:pt>
                </c:numCache>
              </c:numRef>
            </c:minus>
            <c:spPr>
              <a:ln w="12700">
                <a:solidFill>
                  <a:srgbClr val="000000"/>
                </a:solidFill>
                <a:prstDash val="solid"/>
              </a:ln>
            </c:spPr>
          </c:errBars>
          <c:xVal>
            <c:numRef>
              <c:f>LatVent_MRI!$AH$53</c:f>
              <c:numCache>
                <c:formatCode>General</c:formatCode>
                <c:ptCount val="1"/>
                <c:pt idx="0">
                  <c:v>0.40717511984122656</c:v>
                </c:pt>
              </c:numCache>
            </c:numRef>
          </c:xVal>
          <c:yVal>
            <c:numRef>
              <c:f>LatVent_MRI!$I$61</c:f>
              <c:numCache>
                <c:formatCode>General</c:formatCode>
                <c:ptCount val="1"/>
                <c:pt idx="0">
                  <c:v>-3</c:v>
                </c:pt>
              </c:numCache>
            </c:numRef>
          </c:yVal>
        </c:ser>
        <c:axId val="102746368"/>
        <c:axId val="102969344"/>
      </c:scatterChart>
      <c:valAx>
        <c:axId val="102746368"/>
        <c:scaling>
          <c:orientation val="minMax"/>
          <c:max val="2"/>
          <c:min val="-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2969344"/>
        <c:crosses val="autoZero"/>
        <c:crossBetween val="midCat"/>
      </c:valAx>
      <c:valAx>
        <c:axId val="102969344"/>
        <c:scaling>
          <c:orientation val="minMax"/>
        </c:scaling>
        <c:axPos val="l"/>
        <c:numFmt formatCode="General" sourceLinked="1"/>
        <c:majorTickMark val="none"/>
        <c:tickLblPos val="none"/>
        <c:spPr>
          <a:ln w="3175">
            <a:solidFill>
              <a:srgbClr val="000000"/>
            </a:solidFill>
            <a:prstDash val="solid"/>
          </a:ln>
        </c:spPr>
        <c:crossAx val="1027463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18002134828613"/>
                  <c:y val="-3.482361832112349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T_hipp_TLR_early_late!$AK$33:$AK$35</c:f>
              <c:numCache>
                <c:formatCode>General</c:formatCode>
                <c:ptCount val="3"/>
                <c:pt idx="0">
                  <c:v>3.4339407317352038</c:v>
                </c:pt>
                <c:pt idx="1">
                  <c:v>5.7950926147978841</c:v>
                </c:pt>
                <c:pt idx="2">
                  <c:v>3.3634935459293018</c:v>
                </c:pt>
              </c:numCache>
            </c:numRef>
          </c:xVal>
          <c:yVal>
            <c:numRef>
              <c:f>T_hipp_TLR_early_late!$AL$33:$AL$35</c:f>
              <c:numCache>
                <c:formatCode>General</c:formatCode>
                <c:ptCount val="3"/>
                <c:pt idx="0">
                  <c:v>2.4954959459881905</c:v>
                </c:pt>
                <c:pt idx="1">
                  <c:v>-0.36311498326670111</c:v>
                </c:pt>
                <c:pt idx="2">
                  <c:v>1.1002207913433886</c:v>
                </c:pt>
              </c:numCache>
            </c:numRef>
          </c:yVal>
        </c:ser>
        <c:axId val="122443648"/>
        <c:axId val="122449920"/>
      </c:scatterChart>
      <c:valAx>
        <c:axId val="12244364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449920"/>
        <c:crosses val="autoZero"/>
        <c:crossBetween val="midCat"/>
      </c:valAx>
      <c:valAx>
        <c:axId val="12244992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24436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GB"/>
  <c:chart>
    <c:plotArea>
      <c:layout/>
      <c:scatterChart>
        <c:scatterStyle val="lineMarker"/>
        <c:ser>
          <c:idx val="0"/>
          <c:order val="0"/>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T_hipp_TLR_early_late!$BA$33:$BA$35</c:f>
              <c:numCache>
                <c:formatCode>General</c:formatCode>
                <c:ptCount val="3"/>
              </c:numCache>
            </c:numRef>
          </c:xVal>
          <c:yVal>
            <c:numRef>
              <c:f>T_hipp_TLR_early_late!$AW$33:$AW$35</c:f>
              <c:numCache>
                <c:formatCode>0.0000</c:formatCode>
                <c:ptCount val="3"/>
                <c:pt idx="0">
                  <c:v>0.72671491471176086</c:v>
                </c:pt>
                <c:pt idx="1">
                  <c:v>-6.2659047473974758E-2</c:v>
                </c:pt>
                <c:pt idx="2">
                  <c:v>0.32710655641808517</c:v>
                </c:pt>
              </c:numCache>
            </c:numRef>
          </c:yVal>
        </c:ser>
        <c:axId val="129818624"/>
        <c:axId val="129820544"/>
      </c:scatterChart>
      <c:valAx>
        <c:axId val="129818624"/>
        <c:scaling>
          <c:orientation val="minMax"/>
        </c:scaling>
        <c:axPos val="b"/>
        <c:title>
          <c:tx>
            <c:rich>
              <a:bodyPr/>
              <a:lstStyle/>
              <a:p>
                <a:pPr>
                  <a:defRPr sz="1000" b="1" i="0" u="none" strike="noStrike" baseline="0">
                    <a:solidFill>
                      <a:srgbClr val="000000"/>
                    </a:solidFill>
                    <a:latin typeface="Arial"/>
                    <a:ea typeface="Arial"/>
                    <a:cs typeface="Arial"/>
                  </a:defRPr>
                </a:pPr>
                <a:r>
                  <a:rPr lang="en-GB"/>
                  <a:t>Age of onset</a:t>
                </a:r>
              </a:p>
            </c:rich>
          </c:tx>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820544"/>
        <c:crosses val="autoZero"/>
        <c:crossBetween val="midCat"/>
      </c:valAx>
      <c:valAx>
        <c:axId val="12982054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Effect size</a:t>
                </a:r>
              </a:p>
            </c:rich>
          </c:tx>
          <c:layout/>
          <c:spPr>
            <a:noFill/>
            <a:ln w="25400">
              <a:noFill/>
            </a:ln>
          </c:spPr>
        </c:title>
        <c:numFmt formatCode="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981862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T_hipp_TLR_single_vs_mult!$AG$34:$AG$38</c:f>
                <c:numCache>
                  <c:formatCode>General</c:formatCode>
                  <c:ptCount val="5"/>
                  <c:pt idx="0">
                    <c:v>0.72566583450371136</c:v>
                  </c:pt>
                  <c:pt idx="1">
                    <c:v>0.82039618633035305</c:v>
                  </c:pt>
                  <c:pt idx="2">
                    <c:v>0.80782320834154409</c:v>
                  </c:pt>
                  <c:pt idx="3">
                    <c:v>0.69876257236980577</c:v>
                  </c:pt>
                  <c:pt idx="4">
                    <c:v>0.41192363745829264</c:v>
                  </c:pt>
                </c:numCache>
              </c:numRef>
            </c:plus>
            <c:minus>
              <c:numRef>
                <c:f>T_hipp_TLR_single_vs_mult!$AH$34:$AH$38</c:f>
                <c:numCache>
                  <c:formatCode>General</c:formatCode>
                  <c:ptCount val="5"/>
                  <c:pt idx="0">
                    <c:v>0.72566583450371136</c:v>
                  </c:pt>
                  <c:pt idx="1">
                    <c:v>0.82039618633035305</c:v>
                  </c:pt>
                  <c:pt idx="2">
                    <c:v>0.80782320834154409</c:v>
                  </c:pt>
                  <c:pt idx="3">
                    <c:v>0.69876257236980577</c:v>
                  </c:pt>
                  <c:pt idx="4">
                    <c:v>0.41192363745829264</c:v>
                  </c:pt>
                </c:numCache>
              </c:numRef>
            </c:minus>
            <c:spPr>
              <a:ln w="12700">
                <a:solidFill>
                  <a:srgbClr val="000000"/>
                </a:solidFill>
                <a:prstDash val="solid"/>
              </a:ln>
            </c:spPr>
          </c:errBars>
          <c:xVal>
            <c:numRef>
              <c:f>T_hipp_TLR_single_vs_mult!$AF$34:$AF$38</c:f>
              <c:numCache>
                <c:formatCode>0.00</c:formatCode>
                <c:ptCount val="5"/>
                <c:pt idx="0">
                  <c:v>1.3667658580308482</c:v>
                </c:pt>
                <c:pt idx="1">
                  <c:v>-7.6184878657102245E-2</c:v>
                </c:pt>
                <c:pt idx="2">
                  <c:v>-0.28603813335874034</c:v>
                </c:pt>
                <c:pt idx="3">
                  <c:v>-0.10153613279096178</c:v>
                </c:pt>
                <c:pt idx="4">
                  <c:v>0.34365543681993138</c:v>
                </c:pt>
              </c:numCache>
            </c:numRef>
          </c:xVal>
          <c:yVal>
            <c:numRef>
              <c:f>T_hipp_TLR_single_vs_mult!$G$34:$G$38</c:f>
              <c:numCache>
                <c:formatCode>General</c:formatCode>
                <c:ptCount val="5"/>
                <c:pt idx="0">
                  <c:v>5</c:v>
                </c:pt>
                <c:pt idx="1">
                  <c:v>4</c:v>
                </c:pt>
                <c:pt idx="2">
                  <c:v>3</c:v>
                </c:pt>
                <c:pt idx="3">
                  <c:v>2</c:v>
                </c:pt>
                <c:pt idx="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T_hipp_TLR_single_vs_mult!$AH$46</c:f>
                <c:numCache>
                  <c:formatCode>General</c:formatCode>
                  <c:ptCount val="1"/>
                  <c:pt idx="0">
                    <c:v>0.27887061233948912</c:v>
                  </c:pt>
                </c:numCache>
              </c:numRef>
            </c:plus>
            <c:minus>
              <c:numRef>
                <c:f>T_hipp_TLR_single_vs_mult!$AH$47</c:f>
                <c:numCache>
                  <c:formatCode>General</c:formatCode>
                  <c:ptCount val="1"/>
                  <c:pt idx="0">
                    <c:v>0.27887061233948912</c:v>
                  </c:pt>
                </c:numCache>
              </c:numRef>
            </c:minus>
            <c:spPr>
              <a:ln w="12700">
                <a:solidFill>
                  <a:srgbClr val="000000"/>
                </a:solidFill>
                <a:prstDash val="solid"/>
              </a:ln>
            </c:spPr>
          </c:errBars>
          <c:xVal>
            <c:numRef>
              <c:f>T_hipp_TLR_single_vs_mult!$AH$45</c:f>
              <c:numCache>
                <c:formatCode>General</c:formatCode>
                <c:ptCount val="1"/>
                <c:pt idx="0">
                  <c:v>0.30029151936545451</c:v>
                </c:pt>
              </c:numCache>
            </c:numRef>
          </c:xVal>
          <c:yVal>
            <c:numRef>
              <c:f>T_hipp_TLR_single_vs_mult!$I$46</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T_hipp_TLR_single_vs_mult!$AH$50</c:f>
                <c:numCache>
                  <c:formatCode>General</c:formatCode>
                  <c:ptCount val="1"/>
                  <c:pt idx="0">
                    <c:v>0.52794317827422343</c:v>
                  </c:pt>
                </c:numCache>
              </c:numRef>
            </c:plus>
            <c:minus>
              <c:numRef>
                <c:f>T_hipp_TLR_single_vs_mult!$AH$51</c:f>
                <c:numCache>
                  <c:formatCode>General</c:formatCode>
                  <c:ptCount val="1"/>
                  <c:pt idx="0">
                    <c:v>0.52794317827422343</c:v>
                  </c:pt>
                </c:numCache>
              </c:numRef>
            </c:minus>
            <c:spPr>
              <a:ln w="12700">
                <a:solidFill>
                  <a:srgbClr val="000000"/>
                </a:solidFill>
                <a:prstDash val="solid"/>
              </a:ln>
            </c:spPr>
          </c:errBars>
          <c:xVal>
            <c:numRef>
              <c:f>T_hipp_TLR_single_vs_mult!$AH$49</c:f>
              <c:numCache>
                <c:formatCode>General</c:formatCode>
                <c:ptCount val="1"/>
                <c:pt idx="0">
                  <c:v>0.26752529713656942</c:v>
                </c:pt>
              </c:numCache>
            </c:numRef>
          </c:xVal>
          <c:yVal>
            <c:numRef>
              <c:f>T_hipp_TLR_single_vs_mult!$I$57</c:f>
              <c:numCache>
                <c:formatCode>General</c:formatCode>
                <c:ptCount val="1"/>
                <c:pt idx="0">
                  <c:v>-3</c:v>
                </c:pt>
              </c:numCache>
            </c:numRef>
          </c:yVal>
        </c:ser>
        <c:axId val="130083456"/>
        <c:axId val="129966464"/>
      </c:scatterChart>
      <c:valAx>
        <c:axId val="13008345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966464"/>
        <c:crosses val="autoZero"/>
        <c:crossBetween val="midCat"/>
      </c:valAx>
      <c:valAx>
        <c:axId val="129966464"/>
        <c:scaling>
          <c:orientation val="minMax"/>
        </c:scaling>
        <c:axPos val="l"/>
        <c:numFmt formatCode="General" sourceLinked="1"/>
        <c:majorTickMark val="none"/>
        <c:tickLblPos val="none"/>
        <c:spPr>
          <a:ln w="3175">
            <a:solidFill>
              <a:srgbClr val="000000"/>
            </a:solidFill>
            <a:prstDash val="solid"/>
          </a:ln>
        </c:spPr>
        <c:crossAx val="13008345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4353545098367"/>
                  <c:y val="-3.576671896120520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T_hipp_TLR_single_vs_mult!$AK$34:$AK$38</c:f>
              <c:numCache>
                <c:formatCode>General</c:formatCode>
                <c:ptCount val="5"/>
                <c:pt idx="0">
                  <c:v>2.7009677275773352</c:v>
                </c:pt>
                <c:pt idx="1">
                  <c:v>2.3890896040937433</c:v>
                </c:pt>
                <c:pt idx="2">
                  <c:v>2.4262734466664648</c:v>
                </c:pt>
                <c:pt idx="3">
                  <c:v>2.804958475885154</c:v>
                </c:pt>
                <c:pt idx="4">
                  <c:v>4.7581634598438169</c:v>
                </c:pt>
              </c:numCache>
            </c:numRef>
          </c:xVal>
          <c:yVal>
            <c:numRef>
              <c:f>T_hipp_TLR_single_vs_mult!$AL$34:$AL$38</c:f>
              <c:numCache>
                <c:formatCode>General</c:formatCode>
                <c:ptCount val="5"/>
                <c:pt idx="0">
                  <c:v>3.6915904736958667</c:v>
                </c:pt>
                <c:pt idx="1">
                  <c:v>-0.18201250158882626</c:v>
                </c:pt>
                <c:pt idx="2">
                  <c:v>-0.69400672770235294</c:v>
                </c:pt>
                <c:pt idx="3">
                  <c:v>-0.28480463628060876</c:v>
                </c:pt>
                <c:pt idx="4">
                  <c:v>1.635168742253263</c:v>
                </c:pt>
              </c:numCache>
            </c:numRef>
          </c:yVal>
        </c:ser>
        <c:axId val="129986560"/>
        <c:axId val="129988480"/>
      </c:scatterChart>
      <c:valAx>
        <c:axId val="12998656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988480"/>
        <c:crosses val="autoZero"/>
        <c:crossBetween val="midCat"/>
      </c:valAx>
      <c:valAx>
        <c:axId val="12998848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9865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GB"/>
  <c:chart>
    <c:plotArea>
      <c:layout/>
      <c:scatterChart>
        <c:scatterStyle val="lineMarker"/>
        <c:ser>
          <c:idx val="0"/>
          <c:order val="0"/>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T_hipp_TLR_single_vs_mult!$BA$34:$BA$38</c:f>
              <c:numCache>
                <c:formatCode>General</c:formatCode>
                <c:ptCount val="5"/>
              </c:numCache>
            </c:numRef>
          </c:xVal>
          <c:yVal>
            <c:numRef>
              <c:f>T_hipp_TLR_single_vs_mult!$AW$34:$AW$38</c:f>
              <c:numCache>
                <c:formatCode>0.0000</c:formatCode>
                <c:ptCount val="5"/>
                <c:pt idx="0">
                  <c:v>1.3667658580308482</c:v>
                </c:pt>
                <c:pt idx="1">
                  <c:v>-7.6184878657102245E-2</c:v>
                </c:pt>
                <c:pt idx="2">
                  <c:v>-0.28603813335874034</c:v>
                </c:pt>
                <c:pt idx="3">
                  <c:v>-0.10153613279096178</c:v>
                </c:pt>
                <c:pt idx="4">
                  <c:v>0.34365543681993138</c:v>
                </c:pt>
              </c:numCache>
            </c:numRef>
          </c:yVal>
        </c:ser>
        <c:axId val="130017152"/>
        <c:axId val="130093056"/>
      </c:scatterChart>
      <c:valAx>
        <c:axId val="130017152"/>
        <c:scaling>
          <c:orientation val="minMax"/>
        </c:scaling>
        <c:axPos val="b"/>
        <c:title>
          <c:tx>
            <c:rich>
              <a:bodyPr/>
              <a:lstStyle/>
              <a:p>
                <a:pPr>
                  <a:defRPr sz="1000" b="1" i="0" u="none" strike="noStrike" baseline="0">
                    <a:solidFill>
                      <a:srgbClr val="000000"/>
                    </a:solidFill>
                    <a:latin typeface="Arial"/>
                    <a:ea typeface="Arial"/>
                    <a:cs typeface="Arial"/>
                  </a:defRPr>
                </a:pPr>
                <a:r>
                  <a:rPr lang="en-GB"/>
                  <a:t>Age of onset</a:t>
                </a:r>
              </a:p>
            </c:rich>
          </c:tx>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0093056"/>
        <c:crosses val="autoZero"/>
        <c:crossBetween val="midCat"/>
      </c:valAx>
      <c:valAx>
        <c:axId val="130093056"/>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Effect size</a:t>
                </a:r>
              </a:p>
            </c:rich>
          </c:tx>
          <c:layout/>
          <c:spPr>
            <a:noFill/>
            <a:ln w="25400">
              <a:noFill/>
            </a:ln>
          </c:spPr>
        </c:title>
        <c:numFmt formatCode="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00171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T_hipp_TLR_first_episode!$AG$42:$AG$48</c:f>
                <c:numCache>
                  <c:formatCode>General</c:formatCode>
                  <c:ptCount val="7"/>
                  <c:pt idx="0">
                    <c:v>0.81728797673504483</c:v>
                  </c:pt>
                  <c:pt idx="1">
                    <c:v>0.84832767367274997</c:v>
                  </c:pt>
                  <c:pt idx="2">
                    <c:v>0.70548833302779446</c:v>
                  </c:pt>
                  <c:pt idx="3">
                    <c:v>0.61982706526927822</c:v>
                  </c:pt>
                  <c:pt idx="4">
                    <c:v>0.60364757445582018</c:v>
                  </c:pt>
                  <c:pt idx="5">
                    <c:v>0.62333169774738018</c:v>
                  </c:pt>
                  <c:pt idx="6">
                    <c:v>0.33204895530105749</c:v>
                  </c:pt>
                </c:numCache>
              </c:numRef>
            </c:plus>
            <c:minus>
              <c:numRef>
                <c:f>T_hipp_TLR_first_episode!$AH$42:$AH$48</c:f>
                <c:numCache>
                  <c:formatCode>General</c:formatCode>
                  <c:ptCount val="7"/>
                  <c:pt idx="0">
                    <c:v>0.81728797673504483</c:v>
                  </c:pt>
                  <c:pt idx="1">
                    <c:v>0.84832767367274997</c:v>
                  </c:pt>
                  <c:pt idx="2">
                    <c:v>0.70548833302779446</c:v>
                  </c:pt>
                  <c:pt idx="3">
                    <c:v>0.61982706526927822</c:v>
                  </c:pt>
                  <c:pt idx="4">
                    <c:v>0.60364757445582018</c:v>
                  </c:pt>
                  <c:pt idx="5">
                    <c:v>0.62333169774738018</c:v>
                  </c:pt>
                  <c:pt idx="6">
                    <c:v>0.33204895530105749</c:v>
                  </c:pt>
                </c:numCache>
              </c:numRef>
            </c:minus>
            <c:spPr>
              <a:ln w="12700">
                <a:solidFill>
                  <a:srgbClr val="000000"/>
                </a:solidFill>
                <a:prstDash val="solid"/>
              </a:ln>
            </c:spPr>
          </c:errBars>
          <c:xVal>
            <c:numRef>
              <c:f>T_hipp_TLR_first_episode!$AF$42:$AF$48</c:f>
              <c:numCache>
                <c:formatCode>0.00</c:formatCode>
                <c:ptCount val="7"/>
                <c:pt idx="0">
                  <c:v>-0.2271129400115314</c:v>
                </c:pt>
                <c:pt idx="1">
                  <c:v>-0.88452693227987944</c:v>
                </c:pt>
                <c:pt idx="2">
                  <c:v>1.5582782372798551E-2</c:v>
                </c:pt>
                <c:pt idx="3">
                  <c:v>-2.1918663089439044E-2</c:v>
                </c:pt>
                <c:pt idx="4">
                  <c:v>-7.0608436205290781E-2</c:v>
                </c:pt>
                <c:pt idx="5">
                  <c:v>-0.2868323053801401</c:v>
                </c:pt>
                <c:pt idx="6">
                  <c:v>-0.25367143632689054</c:v>
                </c:pt>
              </c:numCache>
            </c:numRef>
          </c:xVal>
          <c:yVal>
            <c:numRef>
              <c:f>T_hipp_TLR_first_episode!$G$42:$G$48</c:f>
              <c:numCache>
                <c:formatCode>General</c:formatCode>
                <c:ptCount val="7"/>
                <c:pt idx="0">
                  <c:v>41</c:v>
                </c:pt>
                <c:pt idx="1">
                  <c:v>35</c:v>
                </c:pt>
                <c:pt idx="2">
                  <c:v>34</c:v>
                </c:pt>
                <c:pt idx="3">
                  <c:v>25</c:v>
                </c:pt>
                <c:pt idx="4">
                  <c:v>15</c:v>
                </c:pt>
                <c:pt idx="5">
                  <c:v>5</c:v>
                </c:pt>
                <c:pt idx="6">
                  <c:v>3</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T_hipp_TLR_first_episode!$AH$56</c:f>
                <c:numCache>
                  <c:formatCode>General</c:formatCode>
                  <c:ptCount val="1"/>
                  <c:pt idx="0">
                    <c:v>0.21375267889416327</c:v>
                  </c:pt>
                </c:numCache>
              </c:numRef>
            </c:plus>
            <c:minus>
              <c:numRef>
                <c:f>T_hipp_TLR_first_episode!$AH$57</c:f>
                <c:numCache>
                  <c:formatCode>General</c:formatCode>
                  <c:ptCount val="1"/>
                  <c:pt idx="0">
                    <c:v>0.21375267889416327</c:v>
                  </c:pt>
                </c:numCache>
              </c:numRef>
            </c:minus>
            <c:spPr>
              <a:ln w="12700">
                <a:solidFill>
                  <a:srgbClr val="000000"/>
                </a:solidFill>
                <a:prstDash val="solid"/>
              </a:ln>
            </c:spPr>
          </c:errBars>
          <c:xVal>
            <c:numRef>
              <c:f>T_hipp_TLR_first_episode!$AH$55</c:f>
              <c:numCache>
                <c:formatCode>General</c:formatCode>
                <c:ptCount val="1"/>
                <c:pt idx="0">
                  <c:v>-0.22057316163758112</c:v>
                </c:pt>
              </c:numCache>
            </c:numRef>
          </c:xVal>
          <c:yVal>
            <c:numRef>
              <c:f>T_hipp_TLR_first_episode!$I$56</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T_hipp_TLR_first_episode!$AH$60</c:f>
                <c:numCache>
                  <c:formatCode>General</c:formatCode>
                  <c:ptCount val="1"/>
                  <c:pt idx="0">
                    <c:v>0.21375267889416327</c:v>
                  </c:pt>
                </c:numCache>
              </c:numRef>
            </c:plus>
            <c:minus>
              <c:numRef>
                <c:f>T_hipp_TLR_first_episode!$AH$61</c:f>
                <c:numCache>
                  <c:formatCode>General</c:formatCode>
                  <c:ptCount val="1"/>
                  <c:pt idx="0">
                    <c:v>0.21375267889416327</c:v>
                  </c:pt>
                </c:numCache>
              </c:numRef>
            </c:minus>
            <c:spPr>
              <a:ln w="12700">
                <a:solidFill>
                  <a:srgbClr val="000000"/>
                </a:solidFill>
                <a:prstDash val="solid"/>
              </a:ln>
            </c:spPr>
          </c:errBars>
          <c:xVal>
            <c:numRef>
              <c:f>T_hipp_TLR_first_episode!$AH$59</c:f>
              <c:numCache>
                <c:formatCode>General</c:formatCode>
                <c:ptCount val="1"/>
                <c:pt idx="0">
                  <c:v>-0.22057316163758112</c:v>
                </c:pt>
              </c:numCache>
            </c:numRef>
          </c:xVal>
          <c:yVal>
            <c:numRef>
              <c:f>T_hipp_TLR_first_episode!$I$67</c:f>
              <c:numCache>
                <c:formatCode>General</c:formatCode>
                <c:ptCount val="1"/>
                <c:pt idx="0">
                  <c:v>-3</c:v>
                </c:pt>
              </c:numCache>
            </c:numRef>
          </c:yVal>
        </c:ser>
        <c:axId val="130337792"/>
        <c:axId val="130343680"/>
      </c:scatterChart>
      <c:valAx>
        <c:axId val="13033779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0343680"/>
        <c:crosses val="autoZero"/>
        <c:crossBetween val="midCat"/>
      </c:valAx>
      <c:valAx>
        <c:axId val="130343680"/>
        <c:scaling>
          <c:orientation val="minMax"/>
        </c:scaling>
        <c:axPos val="l"/>
        <c:numFmt formatCode="General" sourceLinked="1"/>
        <c:majorTickMark val="none"/>
        <c:tickLblPos val="none"/>
        <c:spPr>
          <a:ln w="3175">
            <a:solidFill>
              <a:srgbClr val="000000"/>
            </a:solidFill>
            <a:prstDash val="solid"/>
          </a:ln>
        </c:spPr>
        <c:crossAx val="1303377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21198990426613"/>
                  <c:y val="-3.466693026542921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T_hipp_TLR_first_episode!$AK$42:$AK$48</c:f>
              <c:numCache>
                <c:formatCode>General</c:formatCode>
                <c:ptCount val="7"/>
                <c:pt idx="0">
                  <c:v>2.3981754972463141</c:v>
                </c:pt>
                <c:pt idx="1">
                  <c:v>2.310427987707127</c:v>
                </c:pt>
                <c:pt idx="2">
                  <c:v>2.7782174534171649</c:v>
                </c:pt>
                <c:pt idx="3">
                  <c:v>3.1621723377769828</c:v>
                </c:pt>
                <c:pt idx="4">
                  <c:v>3.2469276494101917</c:v>
                </c:pt>
                <c:pt idx="5">
                  <c:v>3.1443932774205492</c:v>
                </c:pt>
                <c:pt idx="6">
                  <c:v>5.9027440644194611</c:v>
                </c:pt>
              </c:numCache>
            </c:numRef>
          </c:xVal>
          <c:yVal>
            <c:numRef>
              <c:f>T_hipp_TLR_first_episode!$AL$42:$AL$48</c:f>
              <c:numCache>
                <c:formatCode>General</c:formatCode>
                <c:ptCount val="7"/>
                <c:pt idx="0">
                  <c:v>-0.54465668784322663</c:v>
                </c:pt>
                <c:pt idx="1">
                  <c:v>-2.0436357802201601</c:v>
                </c:pt>
                <c:pt idx="2">
                  <c:v>4.3292357960910278E-2</c:v>
                </c:pt>
                <c:pt idx="3">
                  <c:v>-6.9310590102477532E-2</c:v>
                </c:pt>
                <c:pt idx="4">
                  <c:v>-0.22926048379657429</c:v>
                </c:pt>
                <c:pt idx="5">
                  <c:v>-0.90191357278435058</c:v>
                </c:pt>
                <c:pt idx="6">
                  <c:v>-1.4973575650913125</c:v>
                </c:pt>
              </c:numCache>
            </c:numRef>
          </c:yVal>
        </c:ser>
        <c:axId val="130199936"/>
        <c:axId val="130201856"/>
      </c:scatterChart>
      <c:valAx>
        <c:axId val="13019993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0201856"/>
        <c:crosses val="autoZero"/>
        <c:crossBetween val="midCat"/>
      </c:valAx>
      <c:valAx>
        <c:axId val="13020185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019993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80"/>
              </a:solidFill>
              <a:ln>
                <a:solidFill>
                  <a:srgbClr val="000080"/>
                </a:solidFill>
                <a:prstDash val="solid"/>
              </a:ln>
            </c:spPr>
          </c:marker>
          <c:errBars>
            <c:errDir val="x"/>
            <c:errBarType val="both"/>
            <c:errValType val="cust"/>
            <c:plus>
              <c:numRef>
                <c:f>T_hipp_no_comorbid_anx!$AG$72:$AG$84</c:f>
                <c:numCache>
                  <c:formatCode>General</c:formatCode>
                  <c:ptCount val="13"/>
                  <c:pt idx="0">
                    <c:v>0.42675946905027057</c:v>
                  </c:pt>
                  <c:pt idx="1">
                    <c:v>0.68971184458780288</c:v>
                  </c:pt>
                  <c:pt idx="2">
                    <c:v>0.40405091359175427</c:v>
                  </c:pt>
                  <c:pt idx="3">
                    <c:v>0.54260563287746455</c:v>
                  </c:pt>
                  <c:pt idx="4">
                    <c:v>0.61982706526927822</c:v>
                  </c:pt>
                  <c:pt idx="5">
                    <c:v>0.74990884594889817</c:v>
                  </c:pt>
                  <c:pt idx="6">
                    <c:v>0.4989335819706005</c:v>
                  </c:pt>
                  <c:pt idx="7">
                    <c:v>0.42048069068073046</c:v>
                  </c:pt>
                  <c:pt idx="8">
                    <c:v>0.71796560317763325</c:v>
                  </c:pt>
                  <c:pt idx="9">
                    <c:v>0.70728745885803779</c:v>
                  </c:pt>
                  <c:pt idx="10">
                    <c:v>0.64322646664490479</c:v>
                  </c:pt>
                  <c:pt idx="11">
                    <c:v>0.76297300132230939</c:v>
                  </c:pt>
                  <c:pt idx="12">
                    <c:v>0.76167040372610917</c:v>
                  </c:pt>
                </c:numCache>
              </c:numRef>
            </c:plus>
            <c:minus>
              <c:numRef>
                <c:f>T_hipp_no_comorbid_anx!$AH$72:$AH$84</c:f>
                <c:numCache>
                  <c:formatCode>General</c:formatCode>
                  <c:ptCount val="13"/>
                  <c:pt idx="0">
                    <c:v>0.42675946905027057</c:v>
                  </c:pt>
                  <c:pt idx="1">
                    <c:v>0.68971184458780288</c:v>
                  </c:pt>
                  <c:pt idx="2">
                    <c:v>0.40405091359175427</c:v>
                  </c:pt>
                  <c:pt idx="3">
                    <c:v>0.54260563287746455</c:v>
                  </c:pt>
                  <c:pt idx="4">
                    <c:v>0.61982706526927822</c:v>
                  </c:pt>
                  <c:pt idx="5">
                    <c:v>0.74990884594889817</c:v>
                  </c:pt>
                  <c:pt idx="6">
                    <c:v>0.4989335819706005</c:v>
                  </c:pt>
                  <c:pt idx="7">
                    <c:v>0.42048069068073046</c:v>
                  </c:pt>
                  <c:pt idx="8">
                    <c:v>0.71796560317763325</c:v>
                  </c:pt>
                  <c:pt idx="9">
                    <c:v>0.70728745885803779</c:v>
                  </c:pt>
                  <c:pt idx="10">
                    <c:v>0.64322646664490479</c:v>
                  </c:pt>
                  <c:pt idx="11">
                    <c:v>0.76297300132230939</c:v>
                  </c:pt>
                  <c:pt idx="12">
                    <c:v>0.76167040372610917</c:v>
                  </c:pt>
                </c:numCache>
              </c:numRef>
            </c:minus>
            <c:spPr>
              <a:ln w="12700">
                <a:solidFill>
                  <a:srgbClr val="000000"/>
                </a:solidFill>
                <a:prstDash val="solid"/>
              </a:ln>
            </c:spPr>
          </c:errBars>
          <c:xVal>
            <c:numRef>
              <c:f>T_hipp_no_comorbid_anx!$AF$72:$AF$84</c:f>
              <c:numCache>
                <c:formatCode>0.00</c:formatCode>
                <c:ptCount val="13"/>
                <c:pt idx="0">
                  <c:v>-0.33139199557920213</c:v>
                </c:pt>
                <c:pt idx="1">
                  <c:v>-0.85510266494769971</c:v>
                </c:pt>
                <c:pt idx="2">
                  <c:v>-0.10028845667960666</c:v>
                </c:pt>
                <c:pt idx="3">
                  <c:v>0.18727493993098845</c:v>
                </c:pt>
                <c:pt idx="4">
                  <c:v>-2.1918663089439044E-2</c:v>
                </c:pt>
                <c:pt idx="5">
                  <c:v>-1.3144930083231281</c:v>
                </c:pt>
                <c:pt idx="6">
                  <c:v>-0.18147742346613352</c:v>
                </c:pt>
                <c:pt idx="7">
                  <c:v>-0.36515135671867005</c:v>
                </c:pt>
                <c:pt idx="8">
                  <c:v>-0.99704407070966095</c:v>
                </c:pt>
                <c:pt idx="9">
                  <c:v>-0.6980023392686282</c:v>
                </c:pt>
                <c:pt idx="10">
                  <c:v>-0.62395374248074797</c:v>
                </c:pt>
                <c:pt idx="11">
                  <c:v>-0.28263288023890432</c:v>
                </c:pt>
                <c:pt idx="12">
                  <c:v>-0.23007999119928391</c:v>
                </c:pt>
              </c:numCache>
            </c:numRef>
          </c:xVal>
          <c:yVal>
            <c:numRef>
              <c:f>T_hipp_no_comorbid_anx!$G$72:$G$84</c:f>
              <c:numCache>
                <c:formatCode>General</c:formatCode>
                <c:ptCount val="13"/>
                <c:pt idx="0">
                  <c:v>44</c:v>
                </c:pt>
                <c:pt idx="1">
                  <c:v>37</c:v>
                </c:pt>
                <c:pt idx="2">
                  <c:v>31</c:v>
                </c:pt>
                <c:pt idx="3">
                  <c:v>28</c:v>
                </c:pt>
                <c:pt idx="4">
                  <c:v>25</c:v>
                </c:pt>
                <c:pt idx="5">
                  <c:v>24</c:v>
                </c:pt>
                <c:pt idx="6">
                  <c:v>21</c:v>
                </c:pt>
                <c:pt idx="7">
                  <c:v>20</c:v>
                </c:pt>
                <c:pt idx="8">
                  <c:v>19</c:v>
                </c:pt>
                <c:pt idx="9">
                  <c:v>13</c:v>
                </c:pt>
                <c:pt idx="10">
                  <c:v>12</c:v>
                </c:pt>
                <c:pt idx="11">
                  <c:v>5</c:v>
                </c:pt>
                <c:pt idx="12">
                  <c:v>4</c:v>
                </c:pt>
              </c:numCache>
            </c:numRef>
          </c:yVal>
        </c:ser>
        <c:ser>
          <c:idx val="1"/>
          <c:order val="1"/>
          <c:tx>
            <c:v>Fixed Effects</c:v>
          </c:tx>
          <c:spPr>
            <a:ln w="28575">
              <a:noFill/>
            </a:ln>
          </c:spPr>
          <c:marker>
            <c:symbol val="square"/>
            <c:size val="5"/>
            <c:spPr>
              <a:solidFill>
                <a:srgbClr val="FF00FF"/>
              </a:solidFill>
              <a:ln>
                <a:solidFill>
                  <a:srgbClr val="FF00FF"/>
                </a:solidFill>
                <a:prstDash val="solid"/>
              </a:ln>
            </c:spPr>
          </c:marker>
          <c:errBars>
            <c:errDir val="x"/>
            <c:errBarType val="both"/>
            <c:errValType val="cust"/>
            <c:plus>
              <c:numRef>
                <c:f>T_hipp_no_comorbid_anx!$AH$92</c:f>
                <c:numCache>
                  <c:formatCode>General</c:formatCode>
                  <c:ptCount val="1"/>
                  <c:pt idx="0">
                    <c:v>0.15623776317617938</c:v>
                  </c:pt>
                </c:numCache>
              </c:numRef>
            </c:plus>
            <c:minus>
              <c:numRef>
                <c:f>T_hipp_no_comorbid_anx!$AH$93</c:f>
                <c:numCache>
                  <c:formatCode>General</c:formatCode>
                  <c:ptCount val="1"/>
                  <c:pt idx="0">
                    <c:v>0.15623776317617938</c:v>
                  </c:pt>
                </c:numCache>
              </c:numRef>
            </c:minus>
            <c:spPr>
              <a:ln w="12700">
                <a:solidFill>
                  <a:srgbClr val="000000"/>
                </a:solidFill>
                <a:prstDash val="solid"/>
              </a:ln>
            </c:spPr>
          </c:errBars>
          <c:xVal>
            <c:numRef>
              <c:f>T_hipp_no_comorbid_anx!$AH$91</c:f>
              <c:numCache>
                <c:formatCode>General</c:formatCode>
                <c:ptCount val="1"/>
                <c:pt idx="0">
                  <c:v>-0.35404328087642795</c:v>
                </c:pt>
              </c:numCache>
            </c:numRef>
          </c:xVal>
          <c:yVal>
            <c:numRef>
              <c:f>T_hipp_no_comorbid_anx!$I$92</c:f>
              <c:numCache>
                <c:formatCode>General</c:formatCode>
                <c:ptCount val="1"/>
                <c:pt idx="0">
                  <c:v>-2</c:v>
                </c:pt>
              </c:numCache>
            </c:numRef>
          </c:yVal>
        </c:ser>
        <c:ser>
          <c:idx val="2"/>
          <c:order val="2"/>
          <c:tx>
            <c:v>Random Effects</c:v>
          </c:tx>
          <c:spPr>
            <a:ln w="28575">
              <a:noFill/>
            </a:ln>
          </c:spPr>
          <c:marker>
            <c:symbol val="triangle"/>
            <c:size val="5"/>
            <c:spPr>
              <a:solidFill>
                <a:srgbClr val="FFFF00"/>
              </a:solidFill>
              <a:ln>
                <a:solidFill>
                  <a:srgbClr val="FFFF00"/>
                </a:solidFill>
                <a:prstDash val="solid"/>
              </a:ln>
            </c:spPr>
          </c:marker>
          <c:errBars>
            <c:errDir val="x"/>
            <c:errBarType val="both"/>
            <c:errValType val="cust"/>
            <c:plus>
              <c:numRef>
                <c:f>T_hipp_no_comorbid_anx!$AH$96</c:f>
                <c:numCache>
                  <c:formatCode>General</c:formatCode>
                  <c:ptCount val="1"/>
                  <c:pt idx="0">
                    <c:v>0.20848830071678359</c:v>
                  </c:pt>
                </c:numCache>
              </c:numRef>
            </c:plus>
            <c:minus>
              <c:numRef>
                <c:f>T_hipp_no_comorbid_anx!$AH$97</c:f>
                <c:numCache>
                  <c:formatCode>General</c:formatCode>
                  <c:ptCount val="1"/>
                  <c:pt idx="0">
                    <c:v>0.20848830071678359</c:v>
                  </c:pt>
                </c:numCache>
              </c:numRef>
            </c:minus>
            <c:spPr>
              <a:ln w="12700">
                <a:solidFill>
                  <a:srgbClr val="000000"/>
                </a:solidFill>
                <a:prstDash val="solid"/>
              </a:ln>
            </c:spPr>
          </c:errBars>
          <c:xVal>
            <c:numRef>
              <c:f>T_hipp_no_comorbid_anx!$AH$95</c:f>
              <c:numCache>
                <c:formatCode>General</c:formatCode>
                <c:ptCount val="1"/>
                <c:pt idx="0">
                  <c:v>-0.38965135059301653</c:v>
                </c:pt>
              </c:numCache>
            </c:numRef>
          </c:xVal>
          <c:yVal>
            <c:numRef>
              <c:f>T_hipp_no_comorbid_anx!$I$103</c:f>
              <c:numCache>
                <c:formatCode>General</c:formatCode>
                <c:ptCount val="1"/>
                <c:pt idx="0">
                  <c:v>-3</c:v>
                </c:pt>
              </c:numCache>
            </c:numRef>
          </c:yVal>
        </c:ser>
        <c:axId val="130471040"/>
        <c:axId val="130472576"/>
      </c:scatterChart>
      <c:valAx>
        <c:axId val="13047104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0472576"/>
        <c:crosses val="autoZero"/>
        <c:crossBetween val="midCat"/>
      </c:valAx>
      <c:valAx>
        <c:axId val="130472576"/>
        <c:scaling>
          <c:orientation val="minMax"/>
        </c:scaling>
        <c:axPos val="l"/>
        <c:numFmt formatCode="General" sourceLinked="1"/>
        <c:majorTickMark val="none"/>
        <c:tickLblPos val="none"/>
        <c:spPr>
          <a:ln w="3175">
            <a:solidFill>
              <a:srgbClr val="000000"/>
            </a:solidFill>
            <a:prstDash val="solid"/>
          </a:ln>
        </c:spPr>
        <c:crossAx val="1304710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948472420254597"/>
          <c:y val="7.929502626120756E-2"/>
          <c:w val="0.80927936895861297"/>
          <c:h val="0.75770802871820564"/>
        </c:manualLayout>
      </c:layout>
      <c:scatterChart>
        <c:scatterStyle val="lineMarker"/>
        <c:ser>
          <c:idx val="0"/>
          <c:order val="0"/>
          <c:spPr>
            <a:ln w="28575">
              <a:noFill/>
            </a:ln>
          </c:spPr>
          <c:marker>
            <c:symbol val="circle"/>
            <c:size val="6"/>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T_hipp_no_comorbid_anx!$AK$72:$AK$84</c:f>
              <c:numCache>
                <c:formatCode>General</c:formatCode>
                <c:ptCount val="13"/>
                <c:pt idx="0">
                  <c:v>4.5927510509886771</c:v>
                </c:pt>
                <c:pt idx="1">
                  <c:v>2.841766478827644</c:v>
                </c:pt>
                <c:pt idx="2">
                  <c:v>4.850873823243842</c:v>
                </c:pt>
                <c:pt idx="3">
                  <c:v>3.6121998763743437</c:v>
                </c:pt>
                <c:pt idx="4">
                  <c:v>3.1621723377769828</c:v>
                </c:pt>
                <c:pt idx="5">
                  <c:v>2.6136509931682581</c:v>
                </c:pt>
                <c:pt idx="6">
                  <c:v>3.9283785875040427</c:v>
                </c:pt>
                <c:pt idx="7">
                  <c:v>4.6613317649067056</c:v>
                </c:pt>
                <c:pt idx="8">
                  <c:v>2.7299357954270582</c:v>
                </c:pt>
                <c:pt idx="9">
                  <c:v>2.7711505067042319</c:v>
                </c:pt>
                <c:pt idx="10">
                  <c:v>3.0471382967548566</c:v>
                </c:pt>
                <c:pt idx="11">
                  <c:v>2.5688982396534632</c:v>
                </c:pt>
                <c:pt idx="12">
                  <c:v>2.5732915318904803</c:v>
                </c:pt>
              </c:numCache>
            </c:numRef>
          </c:xVal>
          <c:yVal>
            <c:numRef>
              <c:f>T_hipp_no_comorbid_anx!$AL$72:$AL$84</c:f>
              <c:numCache>
                <c:formatCode>General</c:formatCode>
                <c:ptCount val="13"/>
                <c:pt idx="0">
                  <c:v>-1.5220009359856157</c:v>
                </c:pt>
                <c:pt idx="1">
                  <c:v>-2.4300020892045593</c:v>
                </c:pt>
                <c:pt idx="2">
                  <c:v>-0.48648664928062796</c:v>
                </c:pt>
                <c:pt idx="3">
                  <c:v>0.67647451486672916</c:v>
                </c:pt>
                <c:pt idx="4">
                  <c:v>-6.9310590102477532E-2</c:v>
                </c:pt>
                <c:pt idx="5">
                  <c:v>-3.4356259567164749</c:v>
                </c:pt>
                <c:pt idx="6">
                  <c:v>-0.71291202445976254</c:v>
                </c:pt>
                <c:pt idx="7">
                  <c:v>-1.7020916180715162</c:v>
                </c:pt>
                <c:pt idx="8">
                  <c:v>-2.7218662982486106</c:v>
                </c:pt>
                <c:pt idx="9">
                  <c:v>-1.9342695361449984</c:v>
                </c:pt>
                <c:pt idx="10">
                  <c:v>-1.901273344116605</c:v>
                </c:pt>
                <c:pt idx="11">
                  <c:v>-0.72605510851390931</c:v>
                </c:pt>
                <c:pt idx="12">
                  <c:v>-0.59206289301055348</c:v>
                </c:pt>
              </c:numCache>
            </c:numRef>
          </c:yVal>
        </c:ser>
        <c:axId val="1452288"/>
        <c:axId val="1495424"/>
      </c:scatterChart>
      <c:valAx>
        <c:axId val="145228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95424"/>
        <c:crosses val="autoZero"/>
        <c:crossBetween val="midCat"/>
      </c:valAx>
      <c:valAx>
        <c:axId val="149542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522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80"/>
              </a:solidFill>
              <a:ln>
                <a:solidFill>
                  <a:srgbClr val="000080"/>
                </a:solidFill>
                <a:prstDash val="solid"/>
              </a:ln>
            </c:spPr>
          </c:marker>
          <c:errBars>
            <c:errDir val="x"/>
            <c:errBarType val="both"/>
            <c:errValType val="cust"/>
            <c:plus>
              <c:numRef>
                <c:f>'T_hipp_TLR _noAlcSubs'!$AG$67:$AG$75</c:f>
                <c:numCache>
                  <c:formatCode>General</c:formatCode>
                  <c:ptCount val="9"/>
                  <c:pt idx="0">
                    <c:v>0.46726200228484416</c:v>
                  </c:pt>
                  <c:pt idx="1">
                    <c:v>1.038638049828825</c:v>
                  </c:pt>
                  <c:pt idx="2">
                    <c:v>0.83660774609666633</c:v>
                  </c:pt>
                  <c:pt idx="3">
                    <c:v>1.0440207063362767</c:v>
                  </c:pt>
                  <c:pt idx="4">
                    <c:v>0.77289295413904036</c:v>
                  </c:pt>
                  <c:pt idx="5">
                    <c:v>0.49389425475761406</c:v>
                  </c:pt>
                  <c:pt idx="6">
                    <c:v>0.60364757445582018</c:v>
                  </c:pt>
                  <c:pt idx="7">
                    <c:v>0.63137701892760933</c:v>
                  </c:pt>
                  <c:pt idx="8">
                    <c:v>0.26664290135026625</c:v>
                  </c:pt>
                </c:numCache>
              </c:numRef>
            </c:plus>
            <c:minus>
              <c:numRef>
                <c:f>'T_hipp_TLR _noAlcSubs'!$AH$67:$AH$75</c:f>
                <c:numCache>
                  <c:formatCode>General</c:formatCode>
                  <c:ptCount val="9"/>
                  <c:pt idx="0">
                    <c:v>0.46726200228484416</c:v>
                  </c:pt>
                  <c:pt idx="1">
                    <c:v>1.038638049828825</c:v>
                  </c:pt>
                  <c:pt idx="2">
                    <c:v>0.83660774609666633</c:v>
                  </c:pt>
                  <c:pt idx="3">
                    <c:v>1.0440207063362767</c:v>
                  </c:pt>
                  <c:pt idx="4">
                    <c:v>0.77289295413904036</c:v>
                  </c:pt>
                  <c:pt idx="5">
                    <c:v>0.49389425475761406</c:v>
                  </c:pt>
                  <c:pt idx="6">
                    <c:v>0.60364757445582018</c:v>
                  </c:pt>
                  <c:pt idx="7">
                    <c:v>0.63137701892760933</c:v>
                  </c:pt>
                  <c:pt idx="8">
                    <c:v>0.26664290135026625</c:v>
                  </c:pt>
                </c:numCache>
              </c:numRef>
            </c:minus>
            <c:spPr>
              <a:ln w="12700">
                <a:solidFill>
                  <a:srgbClr val="000000"/>
                </a:solidFill>
                <a:prstDash val="solid"/>
              </a:ln>
            </c:spPr>
          </c:errBars>
          <c:xVal>
            <c:numRef>
              <c:f>'T_hipp_TLR _noAlcSubs'!$AF$67:$AF$75</c:f>
              <c:numCache>
                <c:formatCode>0.00</c:formatCode>
                <c:ptCount val="9"/>
                <c:pt idx="0">
                  <c:v>-0.1699114473709413</c:v>
                </c:pt>
                <c:pt idx="1">
                  <c:v>-0.80169337057735313</c:v>
                </c:pt>
                <c:pt idx="2">
                  <c:v>1.5813926686587081E-2</c:v>
                </c:pt>
                <c:pt idx="3">
                  <c:v>-0.52573950467618868</c:v>
                </c:pt>
                <c:pt idx="4">
                  <c:v>0.1097136659887904</c:v>
                </c:pt>
                <c:pt idx="5">
                  <c:v>-0.2307299637261406</c:v>
                </c:pt>
                <c:pt idx="6">
                  <c:v>-7.0608436205290781E-2</c:v>
                </c:pt>
                <c:pt idx="7">
                  <c:v>-0.6751258479315152</c:v>
                </c:pt>
                <c:pt idx="8">
                  <c:v>-0.42075421964091947</c:v>
                </c:pt>
              </c:numCache>
            </c:numRef>
          </c:xVal>
          <c:yVal>
            <c:numRef>
              <c:f>'T_hipp_TLR _noAlcSubs'!$G$67:$G$75</c:f>
              <c:numCache>
                <c:formatCode>General</c:formatCode>
                <c:ptCount val="9"/>
                <c:pt idx="0">
                  <c:v>41</c:v>
                </c:pt>
                <c:pt idx="1">
                  <c:v>35</c:v>
                </c:pt>
                <c:pt idx="2">
                  <c:v>34</c:v>
                </c:pt>
                <c:pt idx="3">
                  <c:v>33</c:v>
                </c:pt>
                <c:pt idx="4">
                  <c:v>32</c:v>
                </c:pt>
                <c:pt idx="5">
                  <c:v>30</c:v>
                </c:pt>
                <c:pt idx="6">
                  <c:v>15</c:v>
                </c:pt>
                <c:pt idx="7">
                  <c:v>7</c:v>
                </c:pt>
                <c:pt idx="8">
                  <c:v>3</c:v>
                </c:pt>
              </c:numCache>
            </c:numRef>
          </c:yVal>
        </c:ser>
        <c:ser>
          <c:idx val="1"/>
          <c:order val="1"/>
          <c:tx>
            <c:v>Fixed Effects</c:v>
          </c:tx>
          <c:spPr>
            <a:ln w="28575">
              <a:noFill/>
            </a:ln>
          </c:spPr>
          <c:marker>
            <c:symbol val="square"/>
            <c:size val="5"/>
            <c:spPr>
              <a:solidFill>
                <a:srgbClr val="FF00FF"/>
              </a:solidFill>
              <a:ln>
                <a:solidFill>
                  <a:srgbClr val="FF00FF"/>
                </a:solidFill>
                <a:prstDash val="solid"/>
              </a:ln>
            </c:spPr>
          </c:marker>
          <c:errBars>
            <c:errDir val="x"/>
            <c:errBarType val="both"/>
            <c:errValType val="cust"/>
            <c:plus>
              <c:numRef>
                <c:f>'T_hipp_TLR _noAlcSubs'!$AH$83</c:f>
                <c:numCache>
                  <c:formatCode>General</c:formatCode>
                  <c:ptCount val="1"/>
                  <c:pt idx="0">
                    <c:v>0.17422363592690129</c:v>
                  </c:pt>
                </c:numCache>
              </c:numRef>
            </c:plus>
            <c:minus>
              <c:numRef>
                <c:f>'T_hipp_TLR _noAlcSubs'!$AH$84</c:f>
                <c:numCache>
                  <c:formatCode>General</c:formatCode>
                  <c:ptCount val="1"/>
                  <c:pt idx="0">
                    <c:v>0.17422363592690129</c:v>
                  </c:pt>
                </c:numCache>
              </c:numRef>
            </c:minus>
            <c:spPr>
              <a:ln w="12700">
                <a:solidFill>
                  <a:srgbClr val="000000"/>
                </a:solidFill>
                <a:prstDash val="solid"/>
              </a:ln>
            </c:spPr>
          </c:errBars>
          <c:xVal>
            <c:numRef>
              <c:f>'T_hipp_TLR _noAlcSubs'!$AH$82</c:f>
              <c:numCache>
                <c:formatCode>General</c:formatCode>
                <c:ptCount val="1"/>
                <c:pt idx="0">
                  <c:v>-0.32019102225183965</c:v>
                </c:pt>
              </c:numCache>
            </c:numRef>
          </c:xVal>
          <c:yVal>
            <c:numRef>
              <c:f>'T_hipp_TLR _noAlcSubs'!$I$83</c:f>
              <c:numCache>
                <c:formatCode>General</c:formatCode>
                <c:ptCount val="1"/>
                <c:pt idx="0">
                  <c:v>-2</c:v>
                </c:pt>
              </c:numCache>
            </c:numRef>
          </c:yVal>
        </c:ser>
        <c:ser>
          <c:idx val="2"/>
          <c:order val="2"/>
          <c:tx>
            <c:v>Random Effects</c:v>
          </c:tx>
          <c:spPr>
            <a:ln w="28575">
              <a:noFill/>
            </a:ln>
          </c:spPr>
          <c:marker>
            <c:symbol val="triangle"/>
            <c:size val="5"/>
            <c:spPr>
              <a:solidFill>
                <a:srgbClr val="FFFF00"/>
              </a:solidFill>
              <a:ln>
                <a:solidFill>
                  <a:srgbClr val="FFFF00"/>
                </a:solidFill>
                <a:prstDash val="solid"/>
              </a:ln>
            </c:spPr>
          </c:marker>
          <c:errBars>
            <c:errDir val="x"/>
            <c:errBarType val="both"/>
            <c:errValType val="cust"/>
            <c:plus>
              <c:numRef>
                <c:f>'T_hipp_TLR _noAlcSubs'!$AH$87</c:f>
                <c:numCache>
                  <c:formatCode>General</c:formatCode>
                  <c:ptCount val="1"/>
                  <c:pt idx="0">
                    <c:v>0.17422363592690129</c:v>
                  </c:pt>
                </c:numCache>
              </c:numRef>
            </c:plus>
            <c:minus>
              <c:numRef>
                <c:f>'T_hipp_TLR _noAlcSubs'!$AH$88</c:f>
                <c:numCache>
                  <c:formatCode>General</c:formatCode>
                  <c:ptCount val="1"/>
                  <c:pt idx="0">
                    <c:v>0.17422363592690129</c:v>
                  </c:pt>
                </c:numCache>
              </c:numRef>
            </c:minus>
            <c:spPr>
              <a:ln w="12700">
                <a:solidFill>
                  <a:srgbClr val="000000"/>
                </a:solidFill>
                <a:prstDash val="solid"/>
              </a:ln>
            </c:spPr>
          </c:errBars>
          <c:xVal>
            <c:numRef>
              <c:f>'T_hipp_TLR _noAlcSubs'!$AH$86</c:f>
              <c:numCache>
                <c:formatCode>General</c:formatCode>
                <c:ptCount val="1"/>
                <c:pt idx="0">
                  <c:v>-0.32019102225183965</c:v>
                </c:pt>
              </c:numCache>
            </c:numRef>
          </c:xVal>
          <c:yVal>
            <c:numRef>
              <c:f>'T_hipp_TLR _noAlcSubs'!$I$94</c:f>
              <c:numCache>
                <c:formatCode>General</c:formatCode>
                <c:ptCount val="1"/>
                <c:pt idx="0">
                  <c:v>-3</c:v>
                </c:pt>
              </c:numCache>
            </c:numRef>
          </c:yVal>
        </c:ser>
        <c:axId val="131140992"/>
        <c:axId val="131150976"/>
      </c:scatterChart>
      <c:valAx>
        <c:axId val="13114099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1150976"/>
        <c:crosses val="autoZero"/>
        <c:crossBetween val="midCat"/>
      </c:valAx>
      <c:valAx>
        <c:axId val="131150976"/>
        <c:scaling>
          <c:orientation val="minMax"/>
        </c:scaling>
        <c:axPos val="l"/>
        <c:numFmt formatCode="General" sourceLinked="1"/>
        <c:majorTickMark val="none"/>
        <c:tickLblPos val="none"/>
        <c:spPr>
          <a:ln w="3175">
            <a:solidFill>
              <a:srgbClr val="000000"/>
            </a:solidFill>
            <a:prstDash val="solid"/>
          </a:ln>
        </c:spPr>
        <c:crossAx val="1311409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65981100471543"/>
          <c:y val="8.3700305497941455E-2"/>
          <c:w val="0.82474330594508305"/>
          <c:h val="0.69603411940393201"/>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7300582212173"/>
                  <c:y val="-3.403014374754775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LatVent_MRI!$AK$37:$AK$42</c:f>
              <c:numCache>
                <c:formatCode>General</c:formatCode>
                <c:ptCount val="6"/>
                <c:pt idx="0">
                  <c:v>3.193498939327875</c:v>
                </c:pt>
                <c:pt idx="1">
                  <c:v>2.6482987545044918</c:v>
                </c:pt>
                <c:pt idx="2">
                  <c:v>4.9862194353040401</c:v>
                </c:pt>
                <c:pt idx="3">
                  <c:v>2.58201801780401</c:v>
                </c:pt>
                <c:pt idx="4">
                  <c:v>4.5786104185049572</c:v>
                </c:pt>
                <c:pt idx="5">
                  <c:v>4.6567791260127063</c:v>
                </c:pt>
              </c:numCache>
            </c:numRef>
          </c:xVal>
          <c:yVal>
            <c:numRef>
              <c:f>LatVent_MRI!$AL$37:$AL$42</c:f>
              <c:numCache>
                <c:formatCode>General</c:formatCode>
                <c:ptCount val="6"/>
                <c:pt idx="0">
                  <c:v>0.15275106903309854</c:v>
                </c:pt>
                <c:pt idx="1">
                  <c:v>2.2644415309050694</c:v>
                </c:pt>
                <c:pt idx="2">
                  <c:v>0.2969974344212582</c:v>
                </c:pt>
                <c:pt idx="3">
                  <c:v>1.41402942072521</c:v>
                </c:pt>
                <c:pt idx="4">
                  <c:v>3.4382210352436724</c:v>
                </c:pt>
                <c:pt idx="5">
                  <c:v>1.7965267456119092</c:v>
                </c:pt>
              </c:numCache>
            </c:numRef>
          </c:yVal>
        </c:ser>
        <c:axId val="102985088"/>
        <c:axId val="103015936"/>
      </c:scatterChart>
      <c:valAx>
        <c:axId val="10298508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3409489406607732"/>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3015936"/>
        <c:crosses val="autoZero"/>
        <c:crossBetween val="midCat"/>
      </c:valAx>
      <c:valAx>
        <c:axId val="10301593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5340941413160464"/>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29850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628881872284101"/>
          <c:y val="7.929502626120756E-2"/>
          <c:w val="0.8324752744383207"/>
          <c:h val="0.75770802871820564"/>
        </c:manualLayout>
      </c:layout>
      <c:scatterChart>
        <c:scatterStyle val="lineMarker"/>
        <c:ser>
          <c:idx val="0"/>
          <c:order val="0"/>
          <c:spPr>
            <a:ln w="28575">
              <a:noFill/>
            </a:ln>
          </c:spPr>
          <c:marker>
            <c:symbol val="circle"/>
            <c:size val="6"/>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 _noAlcSubs'!$AK$67:$AK$75</c:f>
              <c:numCache>
                <c:formatCode>General</c:formatCode>
                <c:ptCount val="9"/>
                <c:pt idx="0">
                  <c:v>4.1946488060571614</c:v>
                </c:pt>
                <c:pt idx="1">
                  <c:v>1.8870866519121094</c:v>
                </c:pt>
                <c:pt idx="2">
                  <c:v>2.3427944686679134</c:v>
                </c:pt>
                <c:pt idx="3">
                  <c:v>1.8773574011554981</c:v>
                </c:pt>
                <c:pt idx="4">
                  <c:v>2.5359268570164812</c:v>
                </c:pt>
                <c:pt idx="5">
                  <c:v>3.9684608215616906</c:v>
                </c:pt>
                <c:pt idx="6">
                  <c:v>3.2469276494101917</c:v>
                </c:pt>
                <c:pt idx="7">
                  <c:v>3.1043258484907321</c:v>
                </c:pt>
                <c:pt idx="8">
                  <c:v>7.3506550899148575</c:v>
                </c:pt>
              </c:numCache>
            </c:numRef>
          </c:xVal>
          <c:yVal>
            <c:numRef>
              <c:f>'T_hipp_TLR _noAlcSubs'!$AL$67:$AL$75</c:f>
              <c:numCache>
                <c:formatCode>General</c:formatCode>
                <c:ptCount val="9"/>
                <c:pt idx="0">
                  <c:v>-0.71271884984996314</c:v>
                </c:pt>
                <c:pt idx="1">
                  <c:v>-1.5128648585429514</c:v>
                </c:pt>
                <c:pt idx="2">
                  <c:v>3.7048779969256117E-2</c:v>
                </c:pt>
                <c:pt idx="3">
                  <c:v>-0.98700095018366851</c:v>
                </c:pt>
                <c:pt idx="4">
                  <c:v>0.27822583216270924</c:v>
                </c:pt>
                <c:pt idx="5">
                  <c:v>-0.91564282140753905</c:v>
                </c:pt>
                <c:pt idx="6">
                  <c:v>-0.22926048379657429</c:v>
                </c:pt>
                <c:pt idx="7">
                  <c:v>-2.095810620718026</c:v>
                </c:pt>
                <c:pt idx="8">
                  <c:v>-3.0928191462066787</c:v>
                </c:pt>
              </c:numCache>
            </c:numRef>
          </c:yVal>
        </c:ser>
        <c:axId val="131195648"/>
        <c:axId val="131197568"/>
      </c:scatterChart>
      <c:valAx>
        <c:axId val="13119564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1197568"/>
        <c:crosses val="autoZero"/>
        <c:crossBetween val="midCat"/>
      </c:valAx>
      <c:valAx>
        <c:axId val="13119756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119564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80"/>
              </a:solidFill>
              <a:ln>
                <a:solidFill>
                  <a:srgbClr val="000080"/>
                </a:solidFill>
                <a:prstDash val="solid"/>
              </a:ln>
            </c:spPr>
          </c:marker>
          <c:errBars>
            <c:errDir val="x"/>
            <c:errBarType val="both"/>
            <c:errValType val="cust"/>
            <c:plus>
              <c:numRef>
                <c:f>T_hipp_TLR_adolescents!$AG$61:$AG$65</c:f>
                <c:numCache>
                  <c:formatCode>General</c:formatCode>
                  <c:ptCount val="5"/>
                  <c:pt idx="0">
                    <c:v>0.59842414115356668</c:v>
                  </c:pt>
                  <c:pt idx="1">
                    <c:v>0.57975894032146957</c:v>
                  </c:pt>
                  <c:pt idx="2">
                    <c:v>0.71796560317763325</c:v>
                  </c:pt>
                  <c:pt idx="3">
                    <c:v>0.60959027519590536</c:v>
                  </c:pt>
                  <c:pt idx="4">
                    <c:v>0.70094431322858242</c:v>
                  </c:pt>
                </c:numCache>
              </c:numRef>
            </c:plus>
            <c:minus>
              <c:numRef>
                <c:f>T_hipp_TLR_adolescents!$AH$61:$AH$65</c:f>
                <c:numCache>
                  <c:formatCode>General</c:formatCode>
                  <c:ptCount val="5"/>
                  <c:pt idx="0">
                    <c:v>0.59842414115356668</c:v>
                  </c:pt>
                  <c:pt idx="1">
                    <c:v>0.57975894032146957</c:v>
                  </c:pt>
                  <c:pt idx="2">
                    <c:v>0.71796560317763325</c:v>
                  </c:pt>
                  <c:pt idx="3">
                    <c:v>0.60959027519590536</c:v>
                  </c:pt>
                  <c:pt idx="4">
                    <c:v>0.70094431322858242</c:v>
                  </c:pt>
                </c:numCache>
              </c:numRef>
            </c:minus>
            <c:spPr>
              <a:ln w="12700">
                <a:solidFill>
                  <a:srgbClr val="000000"/>
                </a:solidFill>
                <a:prstDash val="solid"/>
              </a:ln>
            </c:spPr>
          </c:errBars>
          <c:xVal>
            <c:numRef>
              <c:f>T_hipp_TLR_adolescents!$AF$61:$AF$65</c:f>
              <c:numCache>
                <c:formatCode>0.00</c:formatCode>
                <c:ptCount val="5"/>
                <c:pt idx="0">
                  <c:v>0.35270517695831083</c:v>
                </c:pt>
                <c:pt idx="1">
                  <c:v>-0.21281174798027663</c:v>
                </c:pt>
                <c:pt idx="2">
                  <c:v>-0.99704407070966095</c:v>
                </c:pt>
                <c:pt idx="3">
                  <c:v>-0.43590841696089927</c:v>
                </c:pt>
                <c:pt idx="4">
                  <c:v>-0.61802632447461536</c:v>
                </c:pt>
              </c:numCache>
            </c:numRef>
          </c:xVal>
          <c:yVal>
            <c:numRef>
              <c:f>T_hipp_TLR_adolescents!$G$61:$G$65</c:f>
              <c:numCache>
                <c:formatCode>General</c:formatCode>
                <c:ptCount val="5"/>
                <c:pt idx="0">
                  <c:v>39</c:v>
                </c:pt>
                <c:pt idx="1">
                  <c:v>26</c:v>
                </c:pt>
                <c:pt idx="2">
                  <c:v>19</c:v>
                </c:pt>
                <c:pt idx="3">
                  <c:v>14</c:v>
                </c:pt>
                <c:pt idx="4">
                  <c:v>8</c:v>
                </c:pt>
              </c:numCache>
            </c:numRef>
          </c:yVal>
        </c:ser>
        <c:ser>
          <c:idx val="1"/>
          <c:order val="1"/>
          <c:tx>
            <c:v>Fixed Effects</c:v>
          </c:tx>
          <c:spPr>
            <a:ln w="28575">
              <a:noFill/>
            </a:ln>
          </c:spPr>
          <c:marker>
            <c:symbol val="square"/>
            <c:size val="5"/>
            <c:spPr>
              <a:solidFill>
                <a:srgbClr val="FF00FF"/>
              </a:solidFill>
              <a:ln>
                <a:solidFill>
                  <a:srgbClr val="FF00FF"/>
                </a:solidFill>
                <a:prstDash val="solid"/>
              </a:ln>
            </c:spPr>
          </c:marker>
          <c:errBars>
            <c:errDir val="x"/>
            <c:errBarType val="both"/>
            <c:errValType val="cust"/>
            <c:plus>
              <c:numRef>
                <c:f>T_hipp_TLR_adolescents!$AH$73</c:f>
                <c:numCache>
                  <c:formatCode>General</c:formatCode>
                  <c:ptCount val="1"/>
                  <c:pt idx="0">
                    <c:v>0.28359358051306988</c:v>
                  </c:pt>
                </c:numCache>
              </c:numRef>
            </c:plus>
            <c:minus>
              <c:numRef>
                <c:f>T_hipp_TLR_adolescents!$AH$74</c:f>
                <c:numCache>
                  <c:formatCode>General</c:formatCode>
                  <c:ptCount val="1"/>
                  <c:pt idx="0">
                    <c:v>0.28359358051306988</c:v>
                  </c:pt>
                </c:numCache>
              </c:numRef>
            </c:minus>
            <c:spPr>
              <a:ln w="12700">
                <a:solidFill>
                  <a:srgbClr val="000000"/>
                </a:solidFill>
                <a:prstDash val="solid"/>
              </a:ln>
            </c:spPr>
          </c:errBars>
          <c:xVal>
            <c:numRef>
              <c:f>T_hipp_TLR_adolescents!$AH$72</c:f>
              <c:numCache>
                <c:formatCode>General</c:formatCode>
                <c:ptCount val="1"/>
                <c:pt idx="0">
                  <c:v>-0.32277919254064286</c:v>
                </c:pt>
              </c:numCache>
            </c:numRef>
          </c:xVal>
          <c:yVal>
            <c:numRef>
              <c:f>T_hipp_TLR_adolescents!$I$73</c:f>
              <c:numCache>
                <c:formatCode>General</c:formatCode>
                <c:ptCount val="1"/>
                <c:pt idx="0">
                  <c:v>-2</c:v>
                </c:pt>
              </c:numCache>
            </c:numRef>
          </c:yVal>
        </c:ser>
        <c:ser>
          <c:idx val="2"/>
          <c:order val="2"/>
          <c:tx>
            <c:v>Random Effects</c:v>
          </c:tx>
          <c:spPr>
            <a:ln w="28575">
              <a:noFill/>
            </a:ln>
          </c:spPr>
          <c:marker>
            <c:symbol val="triangle"/>
            <c:size val="5"/>
            <c:spPr>
              <a:solidFill>
                <a:srgbClr val="FFFF00"/>
              </a:solidFill>
              <a:ln>
                <a:solidFill>
                  <a:srgbClr val="FFFF00"/>
                </a:solidFill>
                <a:prstDash val="solid"/>
              </a:ln>
            </c:spPr>
          </c:marker>
          <c:errBars>
            <c:errDir val="x"/>
            <c:errBarType val="both"/>
            <c:errValType val="cust"/>
            <c:plus>
              <c:numRef>
                <c:f>T_hipp_TLR_adolescents!$AH$77</c:f>
                <c:numCache>
                  <c:formatCode>General</c:formatCode>
                  <c:ptCount val="1"/>
                  <c:pt idx="0">
                    <c:v>0.43334635926546428</c:v>
                  </c:pt>
                </c:numCache>
              </c:numRef>
            </c:plus>
            <c:minus>
              <c:numRef>
                <c:f>T_hipp_TLR_adolescents!$AH$78</c:f>
                <c:numCache>
                  <c:formatCode>General</c:formatCode>
                  <c:ptCount val="1"/>
                  <c:pt idx="0">
                    <c:v>0.43334635926546428</c:v>
                  </c:pt>
                </c:numCache>
              </c:numRef>
            </c:minus>
            <c:spPr>
              <a:ln w="12700">
                <a:solidFill>
                  <a:srgbClr val="000000"/>
                </a:solidFill>
                <a:prstDash val="solid"/>
              </a:ln>
            </c:spPr>
          </c:errBars>
          <c:xVal>
            <c:numRef>
              <c:f>T_hipp_TLR_adolescents!$AH$76</c:f>
              <c:numCache>
                <c:formatCode>General</c:formatCode>
                <c:ptCount val="1"/>
                <c:pt idx="0">
                  <c:v>-0.35506835176450902</c:v>
                </c:pt>
              </c:numCache>
            </c:numRef>
          </c:xVal>
          <c:yVal>
            <c:numRef>
              <c:f>T_hipp_TLR_adolescents!$I$84</c:f>
              <c:numCache>
                <c:formatCode>General</c:formatCode>
                <c:ptCount val="1"/>
                <c:pt idx="0">
                  <c:v>-3</c:v>
                </c:pt>
              </c:numCache>
            </c:numRef>
          </c:yVal>
        </c:ser>
        <c:axId val="131353600"/>
        <c:axId val="131363584"/>
      </c:scatterChart>
      <c:valAx>
        <c:axId val="1313536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1363584"/>
        <c:crosses val="autoZero"/>
        <c:crossBetween val="midCat"/>
      </c:valAx>
      <c:valAx>
        <c:axId val="131363584"/>
        <c:scaling>
          <c:orientation val="minMax"/>
        </c:scaling>
        <c:axPos val="l"/>
        <c:numFmt formatCode="General" sourceLinked="1"/>
        <c:majorTickMark val="none"/>
        <c:tickLblPos val="none"/>
        <c:spPr>
          <a:ln w="3175">
            <a:solidFill>
              <a:srgbClr val="000000"/>
            </a:solidFill>
            <a:prstDash val="solid"/>
          </a:ln>
        </c:spPr>
        <c:crossAx val="1313536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628881872284101"/>
          <c:y val="8.3700305497941455E-2"/>
          <c:w val="0.8324752744383207"/>
          <c:h val="0.75330274948147102"/>
        </c:manualLayout>
      </c:layout>
      <c:scatterChart>
        <c:scatterStyle val="lineMarker"/>
        <c:ser>
          <c:idx val="0"/>
          <c:order val="0"/>
          <c:spPr>
            <a:ln w="28575">
              <a:noFill/>
            </a:ln>
          </c:spPr>
          <c:marker>
            <c:symbol val="circle"/>
            <c:size val="6"/>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T_hipp_TLR_adolescents!$AK$61:$AK$65</c:f>
              <c:numCache>
                <c:formatCode>General</c:formatCode>
                <c:ptCount val="5"/>
                <c:pt idx="0">
                  <c:v>3.2752689358784202</c:v>
                </c:pt>
                <c:pt idx="1">
                  <c:v>3.3807154382357654</c:v>
                </c:pt>
                <c:pt idx="2">
                  <c:v>2.7299357954270582</c:v>
                </c:pt>
                <c:pt idx="3">
                  <c:v>3.2152743896219644</c:v>
                </c:pt>
                <c:pt idx="4">
                  <c:v>2.7962278358064538</c:v>
                </c:pt>
              </c:numCache>
            </c:numRef>
          </c:xVal>
          <c:yVal>
            <c:numRef>
              <c:f>T_hipp_TLR_adolescents!$AL$61:$AL$65</c:f>
              <c:numCache>
                <c:formatCode>General</c:formatCode>
                <c:ptCount val="5"/>
                <c:pt idx="0">
                  <c:v>1.1552043096150566</c:v>
                </c:pt>
                <c:pt idx="1">
                  <c:v>-0.71945596183486016</c:v>
                </c:pt>
                <c:pt idx="2">
                  <c:v>-2.7218662982486106</c:v>
                </c:pt>
                <c:pt idx="3">
                  <c:v>-1.4015651692750322</c:v>
                </c:pt>
                <c:pt idx="4">
                  <c:v>-1.728142411757071</c:v>
                </c:pt>
              </c:numCache>
            </c:numRef>
          </c:yVal>
        </c:ser>
        <c:axId val="131600768"/>
        <c:axId val="131602688"/>
      </c:scatterChart>
      <c:valAx>
        <c:axId val="131600768"/>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1602688"/>
        <c:crosses val="autoZero"/>
        <c:crossBetween val="midCat"/>
      </c:valAx>
      <c:valAx>
        <c:axId val="13160268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160076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80"/>
              </a:solidFill>
              <a:ln>
                <a:solidFill>
                  <a:srgbClr val="000080"/>
                </a:solidFill>
                <a:prstDash val="solid"/>
              </a:ln>
            </c:spPr>
          </c:marker>
          <c:errBars>
            <c:errDir val="x"/>
            <c:errBarType val="both"/>
            <c:errValType val="cust"/>
            <c:plus>
              <c:numRef>
                <c:f>T_hipp_TLR_20to60!$AG$89:$AG$117</c:f>
                <c:numCache>
                  <c:formatCode>General</c:formatCode>
                  <c:ptCount val="29"/>
                  <c:pt idx="0">
                    <c:v>0.71159937620878932</c:v>
                  </c:pt>
                  <c:pt idx="1">
                    <c:v>0.46726200228484416</c:v>
                  </c:pt>
                  <c:pt idx="2">
                    <c:v>0.53899776813585043</c:v>
                  </c:pt>
                  <c:pt idx="3">
                    <c:v>0.68971184458780288</c:v>
                  </c:pt>
                  <c:pt idx="4">
                    <c:v>1.038638049828825</c:v>
                  </c:pt>
                  <c:pt idx="5">
                    <c:v>0.83660774609666633</c:v>
                  </c:pt>
                  <c:pt idx="6">
                    <c:v>1.0440207063362767</c:v>
                  </c:pt>
                  <c:pt idx="7">
                    <c:v>0.77289295413904036</c:v>
                  </c:pt>
                  <c:pt idx="8">
                    <c:v>0.72366178803212655</c:v>
                  </c:pt>
                  <c:pt idx="9">
                    <c:v>0.54260563287746455</c:v>
                  </c:pt>
                  <c:pt idx="10">
                    <c:v>0.64268074852034751</c:v>
                  </c:pt>
                  <c:pt idx="11">
                    <c:v>0.61982706526927822</c:v>
                  </c:pt>
                  <c:pt idx="12">
                    <c:v>0.74990884594889817</c:v>
                  </c:pt>
                  <c:pt idx="13">
                    <c:v>0.48350877344919263</c:v>
                  </c:pt>
                  <c:pt idx="14">
                    <c:v>0.46729593392394897</c:v>
                  </c:pt>
                  <c:pt idx="15">
                    <c:v>0.4989335819706005</c:v>
                  </c:pt>
                  <c:pt idx="16">
                    <c:v>0.5778323940636485</c:v>
                  </c:pt>
                  <c:pt idx="17">
                    <c:v>0.62489947777060428</c:v>
                  </c:pt>
                  <c:pt idx="18">
                    <c:v>0.60364757445582018</c:v>
                  </c:pt>
                  <c:pt idx="19">
                    <c:v>0.70728745885803779</c:v>
                  </c:pt>
                  <c:pt idx="20">
                    <c:v>0.64322646664490479</c:v>
                  </c:pt>
                  <c:pt idx="21">
                    <c:v>0.71965577092176569</c:v>
                  </c:pt>
                  <c:pt idx="22">
                    <c:v>0.7484367220157232</c:v>
                  </c:pt>
                  <c:pt idx="23">
                    <c:v>0.63137701892760933</c:v>
                  </c:pt>
                  <c:pt idx="24">
                    <c:v>0.61887483304553637</c:v>
                  </c:pt>
                  <c:pt idx="25">
                    <c:v>0.76297300132230939</c:v>
                  </c:pt>
                  <c:pt idx="26">
                    <c:v>0.76167040372610917</c:v>
                  </c:pt>
                  <c:pt idx="27">
                    <c:v>0.26664290135026625</c:v>
                  </c:pt>
                  <c:pt idx="28">
                    <c:v>0.32674616472128581</c:v>
                  </c:pt>
                </c:numCache>
              </c:numRef>
            </c:plus>
            <c:minus>
              <c:numRef>
                <c:f>T_hipp_TLR_20to60!$AH$89:$AH$117</c:f>
                <c:numCache>
                  <c:formatCode>General</c:formatCode>
                  <c:ptCount val="29"/>
                  <c:pt idx="0">
                    <c:v>0.71159937620878932</c:v>
                  </c:pt>
                  <c:pt idx="1">
                    <c:v>0.46726200228484416</c:v>
                  </c:pt>
                  <c:pt idx="2">
                    <c:v>0.53899776813585043</c:v>
                  </c:pt>
                  <c:pt idx="3">
                    <c:v>0.68971184458780288</c:v>
                  </c:pt>
                  <c:pt idx="4">
                    <c:v>1.038638049828825</c:v>
                  </c:pt>
                  <c:pt idx="5">
                    <c:v>0.83660774609666633</c:v>
                  </c:pt>
                  <c:pt idx="6">
                    <c:v>1.0440207063362767</c:v>
                  </c:pt>
                  <c:pt idx="7">
                    <c:v>0.77289295413904036</c:v>
                  </c:pt>
                  <c:pt idx="8">
                    <c:v>0.72366178803212655</c:v>
                  </c:pt>
                  <c:pt idx="9">
                    <c:v>0.54260563287746455</c:v>
                  </c:pt>
                  <c:pt idx="10">
                    <c:v>0.64268074852034751</c:v>
                  </c:pt>
                  <c:pt idx="11">
                    <c:v>0.61982706526927822</c:v>
                  </c:pt>
                  <c:pt idx="12">
                    <c:v>0.74990884594889817</c:v>
                  </c:pt>
                  <c:pt idx="13">
                    <c:v>0.48350877344919263</c:v>
                  </c:pt>
                  <c:pt idx="14">
                    <c:v>0.46729593392394897</c:v>
                  </c:pt>
                  <c:pt idx="15">
                    <c:v>0.4989335819706005</c:v>
                  </c:pt>
                  <c:pt idx="16">
                    <c:v>0.5778323940636485</c:v>
                  </c:pt>
                  <c:pt idx="17">
                    <c:v>0.62489947777060428</c:v>
                  </c:pt>
                  <c:pt idx="18">
                    <c:v>0.60364757445582018</c:v>
                  </c:pt>
                  <c:pt idx="19">
                    <c:v>0.70728745885803779</c:v>
                  </c:pt>
                  <c:pt idx="20">
                    <c:v>0.64322646664490479</c:v>
                  </c:pt>
                  <c:pt idx="21">
                    <c:v>0.71965577092176569</c:v>
                  </c:pt>
                  <c:pt idx="22">
                    <c:v>0.7484367220157232</c:v>
                  </c:pt>
                  <c:pt idx="23">
                    <c:v>0.63137701892760933</c:v>
                  </c:pt>
                  <c:pt idx="24">
                    <c:v>0.61887483304553637</c:v>
                  </c:pt>
                  <c:pt idx="25">
                    <c:v>0.76297300132230939</c:v>
                  </c:pt>
                  <c:pt idx="26">
                    <c:v>0.76167040372610917</c:v>
                  </c:pt>
                  <c:pt idx="27">
                    <c:v>0.26664290135026625</c:v>
                  </c:pt>
                  <c:pt idx="28">
                    <c:v>0.32674616472128581</c:v>
                  </c:pt>
                </c:numCache>
              </c:numRef>
            </c:minus>
            <c:spPr>
              <a:ln w="12700">
                <a:solidFill>
                  <a:srgbClr val="000000"/>
                </a:solidFill>
                <a:prstDash val="solid"/>
              </a:ln>
            </c:spPr>
          </c:errBars>
          <c:xVal>
            <c:numRef>
              <c:f>T_hipp_TLR_20to60!$AF$89:$AF$117</c:f>
              <c:numCache>
                <c:formatCode>0.00</c:formatCode>
                <c:ptCount val="29"/>
                <c:pt idx="0">
                  <c:v>-0.9228595277903705</c:v>
                </c:pt>
                <c:pt idx="1">
                  <c:v>-0.1699114473709413</c:v>
                </c:pt>
                <c:pt idx="2">
                  <c:v>-0.89829676655536428</c:v>
                </c:pt>
                <c:pt idx="3">
                  <c:v>-0.85510266494769971</c:v>
                </c:pt>
                <c:pt idx="4">
                  <c:v>-0.80169337057735313</c:v>
                </c:pt>
                <c:pt idx="5">
                  <c:v>1.5813926686587081E-2</c:v>
                </c:pt>
                <c:pt idx="6">
                  <c:v>-0.52573950467618868</c:v>
                </c:pt>
                <c:pt idx="7">
                  <c:v>0.1097136659887904</c:v>
                </c:pt>
                <c:pt idx="8">
                  <c:v>-0.79703869341076428</c:v>
                </c:pt>
                <c:pt idx="9">
                  <c:v>0.18727493993098845</c:v>
                </c:pt>
                <c:pt idx="10">
                  <c:v>0.24768784530679047</c:v>
                </c:pt>
                <c:pt idx="11">
                  <c:v>-2.1918663089439044E-2</c:v>
                </c:pt>
                <c:pt idx="12">
                  <c:v>-1.3144930083231281</c:v>
                </c:pt>
                <c:pt idx="13">
                  <c:v>3.3222362367160647E-2</c:v>
                </c:pt>
                <c:pt idx="14">
                  <c:v>-0.77900786366103214</c:v>
                </c:pt>
                <c:pt idx="15">
                  <c:v>-0.18147742346613352</c:v>
                </c:pt>
                <c:pt idx="16">
                  <c:v>-0.5617487706819807</c:v>
                </c:pt>
                <c:pt idx="17">
                  <c:v>-0.9195088929420554</c:v>
                </c:pt>
                <c:pt idx="18">
                  <c:v>-7.0608436205290781E-2</c:v>
                </c:pt>
                <c:pt idx="19">
                  <c:v>-0.6980023392686282</c:v>
                </c:pt>
                <c:pt idx="20">
                  <c:v>-0.62395374248074797</c:v>
                </c:pt>
                <c:pt idx="21">
                  <c:v>0.16030131510015652</c:v>
                </c:pt>
                <c:pt idx="22">
                  <c:v>0.34418764363003401</c:v>
                </c:pt>
                <c:pt idx="23">
                  <c:v>-0.6751258479315152</c:v>
                </c:pt>
                <c:pt idx="24">
                  <c:v>-0.58276173587853586</c:v>
                </c:pt>
                <c:pt idx="25">
                  <c:v>-0.28263288023890432</c:v>
                </c:pt>
                <c:pt idx="26">
                  <c:v>-0.23007999119928391</c:v>
                </c:pt>
                <c:pt idx="27">
                  <c:v>-0.42075421964091947</c:v>
                </c:pt>
                <c:pt idx="28">
                  <c:v>-1.0134051000617594</c:v>
                </c:pt>
              </c:numCache>
            </c:numRef>
          </c:xVal>
          <c:yVal>
            <c:numRef>
              <c:f>T_hipp_TLR_20to60!$G$89:$G$117</c:f>
              <c:numCache>
                <c:formatCode>General</c:formatCode>
                <c:ptCount val="29"/>
                <c:pt idx="0">
                  <c:v>43</c:v>
                </c:pt>
                <c:pt idx="1">
                  <c:v>41</c:v>
                </c:pt>
                <c:pt idx="2">
                  <c:v>40</c:v>
                </c:pt>
                <c:pt idx="3">
                  <c:v>37</c:v>
                </c:pt>
                <c:pt idx="4">
                  <c:v>35</c:v>
                </c:pt>
                <c:pt idx="5">
                  <c:v>34</c:v>
                </c:pt>
                <c:pt idx="6">
                  <c:v>33</c:v>
                </c:pt>
                <c:pt idx="7">
                  <c:v>32</c:v>
                </c:pt>
                <c:pt idx="8">
                  <c:v>29</c:v>
                </c:pt>
                <c:pt idx="9">
                  <c:v>28</c:v>
                </c:pt>
                <c:pt idx="10">
                  <c:v>27</c:v>
                </c:pt>
                <c:pt idx="11">
                  <c:v>25</c:v>
                </c:pt>
                <c:pt idx="12">
                  <c:v>24</c:v>
                </c:pt>
                <c:pt idx="13">
                  <c:v>23</c:v>
                </c:pt>
                <c:pt idx="14">
                  <c:v>22</c:v>
                </c:pt>
                <c:pt idx="15">
                  <c:v>21</c:v>
                </c:pt>
                <c:pt idx="16">
                  <c:v>17</c:v>
                </c:pt>
                <c:pt idx="17">
                  <c:v>16</c:v>
                </c:pt>
                <c:pt idx="18">
                  <c:v>15</c:v>
                </c:pt>
                <c:pt idx="19">
                  <c:v>13</c:v>
                </c:pt>
                <c:pt idx="20">
                  <c:v>12</c:v>
                </c:pt>
                <c:pt idx="21">
                  <c:v>10</c:v>
                </c:pt>
                <c:pt idx="22">
                  <c:v>9</c:v>
                </c:pt>
                <c:pt idx="23">
                  <c:v>7</c:v>
                </c:pt>
                <c:pt idx="24">
                  <c:v>6</c:v>
                </c:pt>
                <c:pt idx="25">
                  <c:v>5</c:v>
                </c:pt>
                <c:pt idx="26">
                  <c:v>4</c:v>
                </c:pt>
                <c:pt idx="27">
                  <c:v>3</c:v>
                </c:pt>
                <c:pt idx="28">
                  <c:v>2</c:v>
                </c:pt>
              </c:numCache>
            </c:numRef>
          </c:yVal>
        </c:ser>
        <c:ser>
          <c:idx val="1"/>
          <c:order val="1"/>
          <c:tx>
            <c:v>Fixed Effects</c:v>
          </c:tx>
          <c:spPr>
            <a:ln w="28575">
              <a:noFill/>
            </a:ln>
          </c:spPr>
          <c:marker>
            <c:symbol val="square"/>
            <c:size val="5"/>
            <c:spPr>
              <a:solidFill>
                <a:srgbClr val="FF00FF"/>
              </a:solidFill>
              <a:ln>
                <a:solidFill>
                  <a:srgbClr val="FF00FF"/>
                </a:solidFill>
                <a:prstDash val="solid"/>
              </a:ln>
            </c:spPr>
          </c:marker>
          <c:errBars>
            <c:errDir val="x"/>
            <c:errBarType val="both"/>
            <c:errValType val="cust"/>
            <c:plus>
              <c:numRef>
                <c:f>T_hipp_TLR_20to60!$AH$125</c:f>
                <c:numCache>
                  <c:formatCode>General</c:formatCode>
                  <c:ptCount val="1"/>
                  <c:pt idx="0">
                    <c:v>0.1051446730083237</c:v>
                  </c:pt>
                </c:numCache>
              </c:numRef>
            </c:plus>
            <c:minus>
              <c:numRef>
                <c:f>T_hipp_TLR_20to60!$AH$126</c:f>
                <c:numCache>
                  <c:formatCode>General</c:formatCode>
                  <c:ptCount val="1"/>
                  <c:pt idx="0">
                    <c:v>0.1051446730083237</c:v>
                  </c:pt>
                </c:numCache>
              </c:numRef>
            </c:minus>
            <c:spPr>
              <a:ln w="12700">
                <a:solidFill>
                  <a:srgbClr val="000000"/>
                </a:solidFill>
                <a:prstDash val="solid"/>
              </a:ln>
            </c:spPr>
          </c:errBars>
          <c:xVal>
            <c:numRef>
              <c:f>T_hipp_TLR_20to60!$AH$124</c:f>
              <c:numCache>
                <c:formatCode>General</c:formatCode>
                <c:ptCount val="1"/>
                <c:pt idx="0">
                  <c:v>-0.45395899191224587</c:v>
                </c:pt>
              </c:numCache>
            </c:numRef>
          </c:xVal>
          <c:yVal>
            <c:numRef>
              <c:f>T_hipp_TLR_20to60!$I$125</c:f>
              <c:numCache>
                <c:formatCode>General</c:formatCode>
                <c:ptCount val="1"/>
                <c:pt idx="0">
                  <c:v>-2</c:v>
                </c:pt>
              </c:numCache>
            </c:numRef>
          </c:yVal>
        </c:ser>
        <c:ser>
          <c:idx val="2"/>
          <c:order val="2"/>
          <c:tx>
            <c:v>Random Effects</c:v>
          </c:tx>
          <c:spPr>
            <a:ln w="28575">
              <a:noFill/>
            </a:ln>
          </c:spPr>
          <c:marker>
            <c:symbol val="triangle"/>
            <c:size val="5"/>
            <c:spPr>
              <a:solidFill>
                <a:srgbClr val="FFFF00"/>
              </a:solidFill>
              <a:ln>
                <a:solidFill>
                  <a:srgbClr val="FFFF00"/>
                </a:solidFill>
                <a:prstDash val="solid"/>
              </a:ln>
            </c:spPr>
          </c:marker>
          <c:errBars>
            <c:errDir val="x"/>
            <c:errBarType val="both"/>
            <c:errValType val="cust"/>
            <c:plus>
              <c:numRef>
                <c:f>T_hipp_TLR_20to60!$AH$129</c:f>
                <c:numCache>
                  <c:formatCode>General</c:formatCode>
                  <c:ptCount val="1"/>
                  <c:pt idx="0">
                    <c:v>0.16230971015176582</c:v>
                  </c:pt>
                </c:numCache>
              </c:numRef>
            </c:plus>
            <c:minus>
              <c:numRef>
                <c:f>T_hipp_TLR_20to60!$AH$130</c:f>
                <c:numCache>
                  <c:formatCode>General</c:formatCode>
                  <c:ptCount val="1"/>
                  <c:pt idx="0">
                    <c:v>0.16230971015176582</c:v>
                  </c:pt>
                </c:numCache>
              </c:numRef>
            </c:minus>
            <c:spPr>
              <a:ln w="12700">
                <a:solidFill>
                  <a:srgbClr val="000000"/>
                </a:solidFill>
                <a:prstDash val="solid"/>
              </a:ln>
            </c:spPr>
          </c:errBars>
          <c:xVal>
            <c:numRef>
              <c:f>T_hipp_TLR_20to60!$AH$128</c:f>
              <c:numCache>
                <c:formatCode>General</c:formatCode>
                <c:ptCount val="1"/>
                <c:pt idx="0">
                  <c:v>-0.42701385562126254</c:v>
                </c:pt>
              </c:numCache>
            </c:numRef>
          </c:xVal>
          <c:yVal>
            <c:numRef>
              <c:f>T_hipp_TLR_20to60!$I$136</c:f>
              <c:numCache>
                <c:formatCode>General</c:formatCode>
                <c:ptCount val="1"/>
                <c:pt idx="0">
                  <c:v>-3</c:v>
                </c:pt>
              </c:numCache>
            </c:numRef>
          </c:yVal>
        </c:ser>
        <c:axId val="131577728"/>
        <c:axId val="131579264"/>
      </c:scatterChart>
      <c:valAx>
        <c:axId val="13157772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1579264"/>
        <c:crosses val="autoZero"/>
        <c:crossBetween val="midCat"/>
      </c:valAx>
      <c:valAx>
        <c:axId val="131579264"/>
        <c:scaling>
          <c:orientation val="minMax"/>
        </c:scaling>
        <c:axPos val="l"/>
        <c:numFmt formatCode="General" sourceLinked="1"/>
        <c:majorTickMark val="none"/>
        <c:tickLblPos val="none"/>
        <c:spPr>
          <a:ln w="3175">
            <a:solidFill>
              <a:srgbClr val="000000"/>
            </a:solidFill>
            <a:prstDash val="solid"/>
          </a:ln>
        </c:spPr>
        <c:crossAx val="13157772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628881872284101"/>
          <c:y val="8.3700305497941455E-2"/>
          <c:w val="0.8324752744383207"/>
          <c:h val="0.75330274948147102"/>
        </c:manualLayout>
      </c:layout>
      <c:scatterChart>
        <c:scatterStyle val="lineMarker"/>
        <c:ser>
          <c:idx val="0"/>
          <c:order val="0"/>
          <c:spPr>
            <a:ln w="28575">
              <a:noFill/>
            </a:ln>
          </c:spPr>
          <c:marker>
            <c:symbol val="circle"/>
            <c:size val="6"/>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T_hipp_TLR_20to60!$AK$89:$AK$117</c:f>
              <c:numCache>
                <c:formatCode>General</c:formatCode>
                <c:ptCount val="29"/>
                <c:pt idx="0">
                  <c:v>2.7543587944699368</c:v>
                </c:pt>
                <c:pt idx="1">
                  <c:v>4.1946488060571614</c:v>
                </c:pt>
                <c:pt idx="2">
                  <c:v>3.6363786936980347</c:v>
                </c:pt>
                <c:pt idx="3">
                  <c:v>2.841766478827644</c:v>
                </c:pt>
                <c:pt idx="4">
                  <c:v>1.8870866519121094</c:v>
                </c:pt>
                <c:pt idx="5">
                  <c:v>2.3427944686679134</c:v>
                </c:pt>
                <c:pt idx="6">
                  <c:v>1.8773574011554981</c:v>
                </c:pt>
                <c:pt idx="7">
                  <c:v>2.5359268570164812</c:v>
                </c:pt>
                <c:pt idx="8">
                  <c:v>2.7084475543884694</c:v>
                </c:pt>
                <c:pt idx="9">
                  <c:v>3.6121998763743437</c:v>
                </c:pt>
                <c:pt idx="10">
                  <c:v>3.0497257067564791</c:v>
                </c:pt>
                <c:pt idx="11">
                  <c:v>3.1621723377769828</c:v>
                </c:pt>
                <c:pt idx="12">
                  <c:v>2.6136509931682581</c:v>
                </c:pt>
                <c:pt idx="13">
                  <c:v>4.0537010032268999</c:v>
                </c:pt>
                <c:pt idx="14">
                  <c:v>4.1943442211054727</c:v>
                </c:pt>
                <c:pt idx="15">
                  <c:v>3.9283785875040427</c:v>
                </c:pt>
                <c:pt idx="16">
                  <c:v>3.3919870539208734</c:v>
                </c:pt>
                <c:pt idx="17">
                  <c:v>3.1365044614735629</c:v>
                </c:pt>
                <c:pt idx="18">
                  <c:v>3.2469276494101917</c:v>
                </c:pt>
                <c:pt idx="19">
                  <c:v>2.7711505067042319</c:v>
                </c:pt>
                <c:pt idx="20">
                  <c:v>3.0471382967548566</c:v>
                </c:pt>
                <c:pt idx="21">
                  <c:v>2.7235243281514281</c:v>
                </c:pt>
                <c:pt idx="22">
                  <c:v>2.6187918662264997</c:v>
                </c:pt>
                <c:pt idx="23">
                  <c:v>3.1043258484907321</c:v>
                </c:pt>
                <c:pt idx="24">
                  <c:v>3.1670378166044837</c:v>
                </c:pt>
                <c:pt idx="25">
                  <c:v>2.5688982396534632</c:v>
                </c:pt>
                <c:pt idx="26">
                  <c:v>2.5732915318904803</c:v>
                </c:pt>
                <c:pt idx="27">
                  <c:v>7.3506550899148575</c:v>
                </c:pt>
                <c:pt idx="28">
                  <c:v>5.9985401869119963</c:v>
                </c:pt>
              </c:numCache>
            </c:numRef>
          </c:xVal>
          <c:yVal>
            <c:numRef>
              <c:f>T_hipp_TLR_20to60!$AL$89:$AL$117</c:f>
              <c:numCache>
                <c:formatCode>General</c:formatCode>
                <c:ptCount val="29"/>
                <c:pt idx="0">
                  <c:v>-2.5418862564297799</c:v>
                </c:pt>
                <c:pt idx="1">
                  <c:v>-0.71271884984996314</c:v>
                </c:pt>
                <c:pt idx="2">
                  <c:v>-3.266547222519764</c:v>
                </c:pt>
                <c:pt idx="3">
                  <c:v>-2.4300020892045593</c:v>
                </c:pt>
                <c:pt idx="4">
                  <c:v>-1.5128648585429514</c:v>
                </c:pt>
                <c:pt idx="5">
                  <c:v>3.7048779969256117E-2</c:v>
                </c:pt>
                <c:pt idx="6">
                  <c:v>-0.98700095018366851</c:v>
                </c:pt>
                <c:pt idx="7">
                  <c:v>0.27822583216270924</c:v>
                </c:pt>
                <c:pt idx="8">
                  <c:v>-2.1587374999213655</c:v>
                </c:pt>
                <c:pt idx="9">
                  <c:v>0.67647451486672916</c:v>
                </c:pt>
                <c:pt idx="10">
                  <c:v>0.755379989083241</c:v>
                </c:pt>
                <c:pt idx="11">
                  <c:v>-6.9310590102477532E-2</c:v>
                </c:pt>
                <c:pt idx="12">
                  <c:v>-3.4356259567164749</c:v>
                </c:pt>
                <c:pt idx="13">
                  <c:v>0.13467352365732671</c:v>
                </c:pt>
                <c:pt idx="14">
                  <c:v>-3.2674271311423699</c:v>
                </c:pt>
                <c:pt idx="15">
                  <c:v>-0.71291202445976254</c:v>
                </c:pt>
                <c:pt idx="16">
                  <c:v>-1.9054445577092438</c:v>
                </c:pt>
                <c:pt idx="17">
                  <c:v>-2.8840437450773737</c:v>
                </c:pt>
                <c:pt idx="18">
                  <c:v>-0.22926048379657429</c:v>
                </c:pt>
                <c:pt idx="19">
                  <c:v>-1.9342695361449984</c:v>
                </c:pt>
                <c:pt idx="20">
                  <c:v>-1.901273344116605</c:v>
                </c:pt>
                <c:pt idx="21">
                  <c:v>0.4365845315099442</c:v>
                </c:pt>
                <c:pt idx="22">
                  <c:v>0.9013558015939982</c:v>
                </c:pt>
                <c:pt idx="23">
                  <c:v>-2.095810620718026</c:v>
                </c:pt>
                <c:pt idx="24">
                  <c:v>-1.845628455597397</c:v>
                </c:pt>
                <c:pt idx="25">
                  <c:v>-0.72605510851390931</c:v>
                </c:pt>
                <c:pt idx="26">
                  <c:v>-0.59206289301055348</c:v>
                </c:pt>
                <c:pt idx="27">
                  <c:v>-3.0928191462066787</c:v>
                </c:pt>
                <c:pt idx="28">
                  <c:v>-6.0789512183420369</c:v>
                </c:pt>
              </c:numCache>
            </c:numRef>
          </c:yVal>
        </c:ser>
        <c:axId val="132082688"/>
        <c:axId val="132093056"/>
      </c:scatterChart>
      <c:valAx>
        <c:axId val="132082688"/>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093056"/>
        <c:crosses val="autoZero"/>
        <c:crossBetween val="midCat"/>
      </c:valAx>
      <c:valAx>
        <c:axId val="13209305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08268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80"/>
              </a:solidFill>
              <a:ln>
                <a:solidFill>
                  <a:srgbClr val="000080"/>
                </a:solidFill>
                <a:prstDash val="solid"/>
              </a:ln>
            </c:spPr>
          </c:marker>
          <c:errBars>
            <c:errDir val="x"/>
            <c:errBarType val="both"/>
            <c:errValType val="cust"/>
            <c:plus>
              <c:numRef>
                <c:f>T_hipp_TLR_60_over!$AG$65:$AG$72</c:f>
                <c:numCache>
                  <c:formatCode>General</c:formatCode>
                  <c:ptCount val="8"/>
                  <c:pt idx="0">
                    <c:v>0.42675946905027057</c:v>
                  </c:pt>
                  <c:pt idx="1">
                    <c:v>0.48655571649428436</c:v>
                  </c:pt>
                  <c:pt idx="2">
                    <c:v>0.27344952491432511</c:v>
                  </c:pt>
                  <c:pt idx="3">
                    <c:v>0.42797690527391796</c:v>
                  </c:pt>
                  <c:pt idx="4">
                    <c:v>0.40405091359175427</c:v>
                  </c:pt>
                  <c:pt idx="5">
                    <c:v>0.49389425475761406</c:v>
                  </c:pt>
                  <c:pt idx="6">
                    <c:v>0.42048069068073046</c:v>
                  </c:pt>
                  <c:pt idx="7">
                    <c:v>0.45869503895708574</c:v>
                  </c:pt>
                </c:numCache>
              </c:numRef>
            </c:plus>
            <c:minus>
              <c:numRef>
                <c:f>T_hipp_TLR_60_over!$AH$65:$AH$72</c:f>
                <c:numCache>
                  <c:formatCode>General</c:formatCode>
                  <c:ptCount val="8"/>
                  <c:pt idx="0">
                    <c:v>0.42675946905027057</c:v>
                  </c:pt>
                  <c:pt idx="1">
                    <c:v>0.48655571649428436</c:v>
                  </c:pt>
                  <c:pt idx="2">
                    <c:v>0.27344952491432511</c:v>
                  </c:pt>
                  <c:pt idx="3">
                    <c:v>0.42797690527391796</c:v>
                  </c:pt>
                  <c:pt idx="4">
                    <c:v>0.40405091359175427</c:v>
                  </c:pt>
                  <c:pt idx="5">
                    <c:v>0.49389425475761406</c:v>
                  </c:pt>
                  <c:pt idx="6">
                    <c:v>0.42048069068073046</c:v>
                  </c:pt>
                  <c:pt idx="7">
                    <c:v>0.45869503895708574</c:v>
                  </c:pt>
                </c:numCache>
              </c:numRef>
            </c:minus>
            <c:spPr>
              <a:ln w="12700">
                <a:solidFill>
                  <a:srgbClr val="000000"/>
                </a:solidFill>
                <a:prstDash val="solid"/>
              </a:ln>
            </c:spPr>
          </c:errBars>
          <c:xVal>
            <c:numRef>
              <c:f>T_hipp_TLR_60_over!$AF$65:$AF$72</c:f>
              <c:numCache>
                <c:formatCode>0.00</c:formatCode>
                <c:ptCount val="8"/>
                <c:pt idx="0">
                  <c:v>-0.33139199557920213</c:v>
                </c:pt>
                <c:pt idx="1">
                  <c:v>-0.44471485203105726</c:v>
                </c:pt>
                <c:pt idx="2">
                  <c:v>-6.1563572075250955E-2</c:v>
                </c:pt>
                <c:pt idx="3">
                  <c:v>-0.68155786036767829</c:v>
                </c:pt>
                <c:pt idx="4">
                  <c:v>-0.10028845667960666</c:v>
                </c:pt>
                <c:pt idx="5">
                  <c:v>-0.2307299637261406</c:v>
                </c:pt>
                <c:pt idx="6">
                  <c:v>-0.36515135671867005</c:v>
                </c:pt>
                <c:pt idx="7">
                  <c:v>-0.74189475355983714</c:v>
                </c:pt>
              </c:numCache>
            </c:numRef>
          </c:xVal>
          <c:yVal>
            <c:numRef>
              <c:f>T_hipp_TLR_60_over!$G$65:$G$72</c:f>
              <c:numCache>
                <c:formatCode>General</c:formatCode>
                <c:ptCount val="8"/>
                <c:pt idx="0">
                  <c:v>44</c:v>
                </c:pt>
                <c:pt idx="1">
                  <c:v>42</c:v>
                </c:pt>
                <c:pt idx="2">
                  <c:v>38</c:v>
                </c:pt>
                <c:pt idx="3">
                  <c:v>36</c:v>
                </c:pt>
                <c:pt idx="4">
                  <c:v>31</c:v>
                </c:pt>
                <c:pt idx="5">
                  <c:v>30</c:v>
                </c:pt>
                <c:pt idx="6">
                  <c:v>20</c:v>
                </c:pt>
                <c:pt idx="7">
                  <c:v>11</c:v>
                </c:pt>
              </c:numCache>
            </c:numRef>
          </c:yVal>
        </c:ser>
        <c:ser>
          <c:idx val="1"/>
          <c:order val="1"/>
          <c:tx>
            <c:v>Fixed Effects</c:v>
          </c:tx>
          <c:spPr>
            <a:ln w="28575">
              <a:noFill/>
            </a:ln>
          </c:spPr>
          <c:marker>
            <c:symbol val="square"/>
            <c:size val="5"/>
            <c:spPr>
              <a:solidFill>
                <a:srgbClr val="FF00FF"/>
              </a:solidFill>
              <a:ln>
                <a:solidFill>
                  <a:srgbClr val="FF00FF"/>
                </a:solidFill>
                <a:prstDash val="solid"/>
              </a:ln>
            </c:spPr>
          </c:marker>
          <c:errBars>
            <c:errDir val="x"/>
            <c:errBarType val="both"/>
            <c:errValType val="cust"/>
            <c:plus>
              <c:numRef>
                <c:f>T_hipp_TLR_60_over!$AH$80</c:f>
                <c:numCache>
                  <c:formatCode>General</c:formatCode>
                  <c:ptCount val="1"/>
                  <c:pt idx="0">
                    <c:v>0.142593147624093</c:v>
                  </c:pt>
                </c:numCache>
              </c:numRef>
            </c:plus>
            <c:minus>
              <c:numRef>
                <c:f>T_hipp_TLR_60_over!$AH$81</c:f>
                <c:numCache>
                  <c:formatCode>General</c:formatCode>
                  <c:ptCount val="1"/>
                  <c:pt idx="0">
                    <c:v>0.142593147624093</c:v>
                  </c:pt>
                </c:numCache>
              </c:numRef>
            </c:minus>
            <c:spPr>
              <a:ln w="12700">
                <a:solidFill>
                  <a:srgbClr val="000000"/>
                </a:solidFill>
                <a:prstDash val="solid"/>
              </a:ln>
            </c:spPr>
          </c:errBars>
          <c:xVal>
            <c:numRef>
              <c:f>T_hipp_TLR_60_over!$AH$79</c:f>
              <c:numCache>
                <c:formatCode>General</c:formatCode>
                <c:ptCount val="1"/>
                <c:pt idx="0">
                  <c:v>-0.31300375811512543</c:v>
                </c:pt>
              </c:numCache>
            </c:numRef>
          </c:xVal>
          <c:yVal>
            <c:numRef>
              <c:f>T_hipp_TLR_60_over!$I$80</c:f>
              <c:numCache>
                <c:formatCode>General</c:formatCode>
                <c:ptCount val="1"/>
                <c:pt idx="0">
                  <c:v>-2</c:v>
                </c:pt>
              </c:numCache>
            </c:numRef>
          </c:yVal>
        </c:ser>
        <c:ser>
          <c:idx val="2"/>
          <c:order val="2"/>
          <c:tx>
            <c:v>Random Effects</c:v>
          </c:tx>
          <c:spPr>
            <a:ln w="28575">
              <a:noFill/>
            </a:ln>
          </c:spPr>
          <c:marker>
            <c:symbol val="triangle"/>
            <c:size val="5"/>
            <c:spPr>
              <a:solidFill>
                <a:srgbClr val="FFFF00"/>
              </a:solidFill>
              <a:ln>
                <a:solidFill>
                  <a:srgbClr val="FFFF00"/>
                </a:solidFill>
                <a:prstDash val="solid"/>
              </a:ln>
            </c:spPr>
          </c:marker>
          <c:errBars>
            <c:errDir val="x"/>
            <c:errBarType val="both"/>
            <c:errValType val="cust"/>
            <c:plus>
              <c:numRef>
                <c:f>T_hipp_TLR_60_over!$AH$84</c:f>
                <c:numCache>
                  <c:formatCode>General</c:formatCode>
                  <c:ptCount val="1"/>
                  <c:pt idx="0">
                    <c:v>0.18300078001656744</c:v>
                  </c:pt>
                </c:numCache>
              </c:numRef>
            </c:plus>
            <c:minus>
              <c:numRef>
                <c:f>T_hipp_TLR_60_over!$AH$85</c:f>
                <c:numCache>
                  <c:formatCode>General</c:formatCode>
                  <c:ptCount val="1"/>
                  <c:pt idx="0">
                    <c:v>0.18300078001656744</c:v>
                  </c:pt>
                </c:numCache>
              </c:numRef>
            </c:minus>
            <c:spPr>
              <a:ln w="12700">
                <a:solidFill>
                  <a:srgbClr val="000000"/>
                </a:solidFill>
                <a:prstDash val="solid"/>
              </a:ln>
            </c:spPr>
          </c:errBars>
          <c:xVal>
            <c:numRef>
              <c:f>T_hipp_TLR_60_over!$AH$83</c:f>
              <c:numCache>
                <c:formatCode>General</c:formatCode>
                <c:ptCount val="1"/>
                <c:pt idx="0">
                  <c:v>-0.3410461280714982</c:v>
                </c:pt>
              </c:numCache>
            </c:numRef>
          </c:xVal>
          <c:yVal>
            <c:numRef>
              <c:f>T_hipp_TLR_60_over!$I$91</c:f>
              <c:numCache>
                <c:formatCode>General</c:formatCode>
                <c:ptCount val="1"/>
                <c:pt idx="0">
                  <c:v>-3</c:v>
                </c:pt>
              </c:numCache>
            </c:numRef>
          </c:yVal>
        </c:ser>
        <c:axId val="132407296"/>
        <c:axId val="132408832"/>
      </c:scatterChart>
      <c:valAx>
        <c:axId val="13240729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2408832"/>
        <c:crosses val="autoZero"/>
        <c:crossBetween val="midCat"/>
      </c:valAx>
      <c:valAx>
        <c:axId val="132408832"/>
        <c:scaling>
          <c:orientation val="minMax"/>
        </c:scaling>
        <c:axPos val="l"/>
        <c:numFmt formatCode="General" sourceLinked="1"/>
        <c:majorTickMark val="none"/>
        <c:tickLblPos val="none"/>
        <c:spPr>
          <a:ln w="3175">
            <a:solidFill>
              <a:srgbClr val="000000"/>
            </a:solidFill>
            <a:prstDash val="solid"/>
          </a:ln>
        </c:spPr>
        <c:crossAx val="13240729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628881872284101"/>
          <c:y val="7.929502626120756E-2"/>
          <c:w val="0.8324752744383207"/>
          <c:h val="0.75770802871820564"/>
        </c:manualLayout>
      </c:layout>
      <c:scatterChart>
        <c:scatterStyle val="lineMarker"/>
        <c:ser>
          <c:idx val="0"/>
          <c:order val="0"/>
          <c:spPr>
            <a:ln w="28575">
              <a:noFill/>
            </a:ln>
          </c:spPr>
          <c:marker>
            <c:symbol val="circle"/>
            <c:size val="6"/>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920994299964473"/>
                  <c:y val="-3.54508632408130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T_hipp_TLR_60_over!$AK$65:$AK$72</c:f>
              <c:numCache>
                <c:formatCode>General</c:formatCode>
                <c:ptCount val="8"/>
                <c:pt idx="0">
                  <c:v>4.5927510509886771</c:v>
                </c:pt>
                <c:pt idx="1">
                  <c:v>4.0283156348919897</c:v>
                </c:pt>
                <c:pt idx="2">
                  <c:v>7.1676847879479419</c:v>
                </c:pt>
                <c:pt idx="3">
                  <c:v>4.5796863705660504</c:v>
                </c:pt>
                <c:pt idx="4">
                  <c:v>4.850873823243842</c:v>
                </c:pt>
                <c:pt idx="5">
                  <c:v>3.9684608215616906</c:v>
                </c:pt>
                <c:pt idx="6">
                  <c:v>4.6613317649067056</c:v>
                </c:pt>
                <c:pt idx="7">
                  <c:v>4.2729914944281147</c:v>
                </c:pt>
              </c:numCache>
            </c:numRef>
          </c:xVal>
          <c:yVal>
            <c:numRef>
              <c:f>T_hipp_TLR_60_over!$AL$65:$AL$72</c:f>
              <c:numCache>
                <c:formatCode>General</c:formatCode>
                <c:ptCount val="8"/>
                <c:pt idx="0">
                  <c:v>-1.5220009359856157</c:v>
                </c:pt>
                <c:pt idx="1">
                  <c:v>-1.7914517915053856</c:v>
                </c:pt>
                <c:pt idx="2">
                  <c:v>-0.44126827905551297</c:v>
                </c:pt>
                <c:pt idx="3">
                  <c:v>-3.1213212438780156</c:v>
                </c:pt>
                <c:pt idx="4">
                  <c:v>-0.48648664928062796</c:v>
                </c:pt>
                <c:pt idx="5">
                  <c:v>-0.91564282140753905</c:v>
                </c:pt>
                <c:pt idx="6">
                  <c:v>-1.7020916180715162</c:v>
                </c:pt>
                <c:pt idx="7">
                  <c:v>-3.170109971722026</c:v>
                </c:pt>
              </c:numCache>
            </c:numRef>
          </c:yVal>
        </c:ser>
        <c:axId val="132527232"/>
        <c:axId val="132529152"/>
      </c:scatterChart>
      <c:valAx>
        <c:axId val="13252723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529152"/>
        <c:crosses val="autoZero"/>
        <c:crossBetween val="midCat"/>
      </c:valAx>
      <c:valAx>
        <c:axId val="13252915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52723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L_amhpc!$AG$33:$AG$35</c:f>
                <c:numCache>
                  <c:formatCode>General</c:formatCode>
                  <c:ptCount val="3"/>
                  <c:pt idx="0">
                    <c:v>0.57481419213434715</c:v>
                  </c:pt>
                  <c:pt idx="1">
                    <c:v>0.70755441612697656</c:v>
                  </c:pt>
                  <c:pt idx="2">
                    <c:v>0.7480071041445695</c:v>
                  </c:pt>
                </c:numCache>
              </c:numRef>
            </c:plus>
            <c:minus>
              <c:numRef>
                <c:f>L_amhpc!$AH$33:$AH$35</c:f>
                <c:numCache>
                  <c:formatCode>General</c:formatCode>
                  <c:ptCount val="3"/>
                  <c:pt idx="0">
                    <c:v>0.57481419213434715</c:v>
                  </c:pt>
                  <c:pt idx="1">
                    <c:v>0.70755441612697656</c:v>
                  </c:pt>
                  <c:pt idx="2">
                    <c:v>0.7480071041445695</c:v>
                  </c:pt>
                </c:numCache>
              </c:numRef>
            </c:minus>
            <c:spPr>
              <a:ln w="12700">
                <a:solidFill>
                  <a:srgbClr val="000000"/>
                </a:solidFill>
                <a:prstDash val="solid"/>
              </a:ln>
            </c:spPr>
          </c:errBars>
          <c:xVal>
            <c:numRef>
              <c:f>L_amhpc!$AF$33:$AF$35</c:f>
              <c:numCache>
                <c:formatCode>0.00</c:formatCode>
                <c:ptCount val="3"/>
                <c:pt idx="0">
                  <c:v>6.2880634673960198E-2</c:v>
                </c:pt>
                <c:pt idx="1">
                  <c:v>-0.20710335306944019</c:v>
                </c:pt>
                <c:pt idx="2">
                  <c:v>-5.9733029639727764E-2</c:v>
                </c:pt>
              </c:numCache>
            </c:numRef>
          </c:xVal>
          <c:yVal>
            <c:numRef>
              <c:f>L_amhpc!$G$33:$G$35</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L_amhpc!$AH$43</c:f>
                <c:numCache>
                  <c:formatCode>General</c:formatCode>
                  <c:ptCount val="1"/>
                  <c:pt idx="0">
                    <c:v>0.38316527663962513</c:v>
                  </c:pt>
                </c:numCache>
              </c:numRef>
            </c:plus>
            <c:minus>
              <c:numRef>
                <c:f>L_amhpc!$AH$44</c:f>
                <c:numCache>
                  <c:formatCode>General</c:formatCode>
                  <c:ptCount val="1"/>
                  <c:pt idx="0">
                    <c:v>0.38316527663962513</c:v>
                  </c:pt>
                </c:numCache>
              </c:numRef>
            </c:minus>
            <c:spPr>
              <a:ln w="12700">
                <a:solidFill>
                  <a:srgbClr val="000000"/>
                </a:solidFill>
                <a:prstDash val="solid"/>
              </a:ln>
            </c:spPr>
          </c:errBars>
          <c:xVal>
            <c:numRef>
              <c:f>L_amhpc!$AH$42</c:f>
              <c:numCache>
                <c:formatCode>General</c:formatCode>
                <c:ptCount val="1"/>
                <c:pt idx="0">
                  <c:v>-4.8468431775493072E-2</c:v>
                </c:pt>
              </c:numCache>
            </c:numRef>
          </c:xVal>
          <c:yVal>
            <c:numRef>
              <c:f>L_amhpc!$I$43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L_amhpc!$AH$47</c:f>
                <c:numCache>
                  <c:formatCode>General</c:formatCode>
                  <c:ptCount val="1"/>
                  <c:pt idx="0">
                    <c:v>0.38316527663962513</c:v>
                  </c:pt>
                </c:numCache>
              </c:numRef>
            </c:plus>
            <c:minus>
              <c:numRef>
                <c:f>L_amhpc!$AH$48</c:f>
                <c:numCache>
                  <c:formatCode>General</c:formatCode>
                  <c:ptCount val="1"/>
                  <c:pt idx="0">
                    <c:v>0.38316527663962513</c:v>
                  </c:pt>
                </c:numCache>
              </c:numRef>
            </c:minus>
            <c:spPr>
              <a:ln w="12700">
                <a:solidFill>
                  <a:srgbClr val="000000"/>
                </a:solidFill>
                <a:prstDash val="solid"/>
              </a:ln>
            </c:spPr>
          </c:errBars>
          <c:xVal>
            <c:numRef>
              <c:f>L_amhpc!$AH$46</c:f>
              <c:numCache>
                <c:formatCode>General</c:formatCode>
                <c:ptCount val="1"/>
                <c:pt idx="0">
                  <c:v>-4.8468431775493072E-2</c:v>
                </c:pt>
              </c:numCache>
            </c:numRef>
          </c:xVal>
          <c:yVal>
            <c:numRef>
              <c:f>L_amhpc!$I$54</c:f>
              <c:numCache>
                <c:formatCode>General</c:formatCode>
                <c:ptCount val="1"/>
                <c:pt idx="0">
                  <c:v>-3</c:v>
                </c:pt>
              </c:numCache>
            </c:numRef>
          </c:yVal>
        </c:ser>
        <c:axId val="122378880"/>
        <c:axId val="122388864"/>
      </c:scatterChart>
      <c:valAx>
        <c:axId val="122378880"/>
        <c:scaling>
          <c:orientation val="minMax"/>
          <c:max val="1"/>
          <c:min val="-1.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2388864"/>
        <c:crosses val="autoZero"/>
        <c:crossBetween val="midCat"/>
        <c:majorUnit val="0.2"/>
      </c:valAx>
      <c:valAx>
        <c:axId val="122388864"/>
        <c:scaling>
          <c:orientation val="minMax"/>
        </c:scaling>
        <c:axPos val="l"/>
        <c:numFmt formatCode="General" sourceLinked="1"/>
        <c:majorTickMark val="none"/>
        <c:tickLblPos val="none"/>
        <c:spPr>
          <a:ln w="3175">
            <a:solidFill>
              <a:srgbClr val="000000"/>
            </a:solidFill>
            <a:prstDash val="solid"/>
          </a:ln>
        </c:spPr>
        <c:crossAx val="1223788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22464656667537"/>
                  <c:y val="-3.5558610045815814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L_amhpc!$AK$33:$AK$35</c:f>
              <c:numCache>
                <c:formatCode>General</c:formatCode>
                <c:ptCount val="3"/>
                <c:pt idx="0">
                  <c:v>3.4097975081692198</c:v>
                </c:pt>
                <c:pt idx="1">
                  <c:v>2.7701049634156498</c:v>
                </c:pt>
                <c:pt idx="2">
                  <c:v>2.6202959693029668</c:v>
                </c:pt>
              </c:numCache>
            </c:numRef>
          </c:xVal>
          <c:yVal>
            <c:numRef>
              <c:f>L_amhpc!$AL$33:$AL$35</c:f>
              <c:numCache>
                <c:formatCode>General</c:formatCode>
                <c:ptCount val="3"/>
                <c:pt idx="0">
                  <c:v>0.21441023142336851</c:v>
                </c:pt>
                <c:pt idx="1">
                  <c:v>-0.57369802627768007</c:v>
                </c:pt>
                <c:pt idx="2">
                  <c:v>-0.15651821679923331</c:v>
                </c:pt>
              </c:numCache>
            </c:numRef>
          </c:yVal>
        </c:ser>
        <c:axId val="132329472"/>
        <c:axId val="132331392"/>
      </c:scatterChart>
      <c:valAx>
        <c:axId val="13232947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331392"/>
        <c:crosses val="autoZero"/>
        <c:crossBetween val="midCat"/>
      </c:valAx>
      <c:valAx>
        <c:axId val="13233139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3294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R_amhpc!$AG$33:$AG$35</c:f>
                <c:numCache>
                  <c:formatCode>General</c:formatCode>
                  <c:ptCount val="3"/>
                  <c:pt idx="0">
                    <c:v>0.57485717105873624</c:v>
                  </c:pt>
                  <c:pt idx="1">
                    <c:v>0.70816078637728197</c:v>
                  </c:pt>
                  <c:pt idx="2">
                    <c:v>0.74787992271620174</c:v>
                  </c:pt>
                </c:numCache>
              </c:numRef>
            </c:plus>
            <c:minus>
              <c:numRef>
                <c:f>R_amhpc!$AH$33:$AH$35</c:f>
                <c:numCache>
                  <c:formatCode>General</c:formatCode>
                  <c:ptCount val="3"/>
                  <c:pt idx="0">
                    <c:v>0.57485717105873624</c:v>
                  </c:pt>
                  <c:pt idx="1">
                    <c:v>0.70816078637728197</c:v>
                  </c:pt>
                  <c:pt idx="2">
                    <c:v>0.74787992271620174</c:v>
                  </c:pt>
                </c:numCache>
              </c:numRef>
            </c:minus>
            <c:spPr>
              <a:ln w="12700">
                <a:solidFill>
                  <a:srgbClr val="000000"/>
                </a:solidFill>
                <a:prstDash val="solid"/>
              </a:ln>
            </c:spPr>
          </c:errBars>
          <c:xVal>
            <c:numRef>
              <c:f>R_amhpc!$AF$33:$AF$35</c:f>
              <c:numCache>
                <c:formatCode>0.00</c:formatCode>
                <c:ptCount val="3"/>
                <c:pt idx="0">
                  <c:v>7.1506088080034891E-2</c:v>
                </c:pt>
                <c:pt idx="1">
                  <c:v>-0.23544092106269809</c:v>
                </c:pt>
                <c:pt idx="2">
                  <c:v>1.3946383557697674E-2</c:v>
                </c:pt>
              </c:numCache>
            </c:numRef>
          </c:xVal>
          <c:yVal>
            <c:numRef>
              <c:f>R_amhpc!$G$33:$G$35</c:f>
              <c:numCache>
                <c:formatCode>General</c:formatCode>
                <c:ptCount val="3"/>
                <c:pt idx="0">
                  <c:v>3</c:v>
                </c:pt>
                <c:pt idx="1">
                  <c:v>2</c:v>
                </c:pt>
                <c:pt idx="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R_amhpc!$AH$43</c:f>
                <c:numCache>
                  <c:formatCode>General</c:formatCode>
                  <c:ptCount val="1"/>
                  <c:pt idx="0">
                    <c:v>0.38325711335622054</c:v>
                  </c:pt>
                </c:numCache>
              </c:numRef>
            </c:plus>
            <c:minus>
              <c:numRef>
                <c:f>R_amhpc!$AH$44</c:f>
                <c:numCache>
                  <c:formatCode>General</c:formatCode>
                  <c:ptCount val="1"/>
                  <c:pt idx="0">
                    <c:v>0.38325711335622054</c:v>
                  </c:pt>
                </c:numCache>
              </c:numRef>
            </c:minus>
            <c:spPr>
              <a:ln w="12700">
                <a:solidFill>
                  <a:srgbClr val="000000"/>
                </a:solidFill>
                <a:prstDash val="solid"/>
              </a:ln>
            </c:spPr>
          </c:errBars>
          <c:xVal>
            <c:numRef>
              <c:f>R_amhpc!$AH$42</c:f>
              <c:numCache>
                <c:formatCode>General</c:formatCode>
                <c:ptCount val="1"/>
                <c:pt idx="0">
                  <c:v>-3.351408104707209E-2</c:v>
                </c:pt>
              </c:numCache>
            </c:numRef>
          </c:xVal>
          <c:yVal>
            <c:numRef>
              <c:f>R_amhpc!$I$43</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R_amhpc!$AH$47</c:f>
                <c:numCache>
                  <c:formatCode>General</c:formatCode>
                  <c:ptCount val="1"/>
                  <c:pt idx="0">
                    <c:v>0.38325711335622054</c:v>
                  </c:pt>
                </c:numCache>
              </c:numRef>
            </c:plus>
            <c:minus>
              <c:numRef>
                <c:f>R_amhpc!$AH$48</c:f>
                <c:numCache>
                  <c:formatCode>General</c:formatCode>
                  <c:ptCount val="1"/>
                  <c:pt idx="0">
                    <c:v>0.38325711335622054</c:v>
                  </c:pt>
                </c:numCache>
              </c:numRef>
            </c:minus>
            <c:spPr>
              <a:ln w="12700">
                <a:solidFill>
                  <a:srgbClr val="000000"/>
                </a:solidFill>
                <a:prstDash val="solid"/>
              </a:ln>
            </c:spPr>
          </c:errBars>
          <c:xVal>
            <c:numRef>
              <c:f>R_amhpc!$AH$46</c:f>
              <c:numCache>
                <c:formatCode>General</c:formatCode>
                <c:ptCount val="1"/>
                <c:pt idx="0">
                  <c:v>-3.351408104707209E-2</c:v>
                </c:pt>
              </c:numCache>
            </c:numRef>
          </c:xVal>
          <c:yVal>
            <c:numRef>
              <c:f>R_amhpc!$I$54</c:f>
              <c:numCache>
                <c:formatCode>General</c:formatCode>
                <c:ptCount val="1"/>
                <c:pt idx="0">
                  <c:v>-3</c:v>
                </c:pt>
              </c:numCache>
            </c:numRef>
          </c:yVal>
        </c:ser>
        <c:axId val="132863872"/>
        <c:axId val="132865408"/>
      </c:scatterChart>
      <c:valAx>
        <c:axId val="13286387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2865408"/>
        <c:crosses val="autoZero"/>
        <c:crossBetween val="midCat"/>
      </c:valAx>
      <c:valAx>
        <c:axId val="132865408"/>
        <c:scaling>
          <c:orientation val="minMax"/>
        </c:scaling>
        <c:axPos val="l"/>
        <c:numFmt formatCode="General" sourceLinked="1"/>
        <c:majorTickMark val="none"/>
        <c:tickLblPos val="none"/>
        <c:spPr>
          <a:ln w="3175">
            <a:solidFill>
              <a:srgbClr val="000000"/>
            </a:solidFill>
            <a:prstDash val="solid"/>
          </a:ln>
        </c:spPr>
        <c:crossAx val="1328638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LatVent_CT!$AG$41:$AG$50</c:f>
                <c:numCache>
                  <c:formatCode>General</c:formatCode>
                  <c:ptCount val="10"/>
                  <c:pt idx="0">
                    <c:v>1.0362711654339942</c:v>
                  </c:pt>
                  <c:pt idx="1">
                    <c:v>0.57220004117776913</c:v>
                  </c:pt>
                  <c:pt idx="2">
                    <c:v>0.70707958187922604</c:v>
                  </c:pt>
                  <c:pt idx="3">
                    <c:v>0.44673179367114979</c:v>
                  </c:pt>
                  <c:pt idx="4">
                    <c:v>0.91940881593978496</c:v>
                  </c:pt>
                  <c:pt idx="5">
                    <c:v>0.80203525727851444</c:v>
                  </c:pt>
                  <c:pt idx="6">
                    <c:v>0.46027450983334162</c:v>
                  </c:pt>
                  <c:pt idx="7">
                    <c:v>0.84083624113062228</c:v>
                  </c:pt>
                  <c:pt idx="8">
                    <c:v>0.64874665741102688</c:v>
                  </c:pt>
                  <c:pt idx="9">
                    <c:v>0.94550491105116008</c:v>
                  </c:pt>
                </c:numCache>
              </c:numRef>
            </c:plus>
            <c:minus>
              <c:numRef>
                <c:f>LatVent_CT!$AH$41:$AH$50</c:f>
                <c:numCache>
                  <c:formatCode>General</c:formatCode>
                  <c:ptCount val="10"/>
                  <c:pt idx="0">
                    <c:v>1.0362711654339942</c:v>
                  </c:pt>
                  <c:pt idx="1">
                    <c:v>0.57220004117776913</c:v>
                  </c:pt>
                  <c:pt idx="2">
                    <c:v>0.70707958187922604</c:v>
                  </c:pt>
                  <c:pt idx="3">
                    <c:v>0.44673179367114979</c:v>
                  </c:pt>
                  <c:pt idx="4">
                    <c:v>0.91940881593978496</c:v>
                  </c:pt>
                  <c:pt idx="5">
                    <c:v>0.80203525727851444</c:v>
                  </c:pt>
                  <c:pt idx="6">
                    <c:v>0.46027450983334162</c:v>
                  </c:pt>
                  <c:pt idx="7">
                    <c:v>0.84083624113062228</c:v>
                  </c:pt>
                  <c:pt idx="8">
                    <c:v>0.64874665741102688</c:v>
                  </c:pt>
                  <c:pt idx="9">
                    <c:v>0.94550491105116008</c:v>
                  </c:pt>
                </c:numCache>
              </c:numRef>
            </c:minus>
            <c:spPr>
              <a:ln w="12700">
                <a:solidFill>
                  <a:srgbClr val="000000"/>
                </a:solidFill>
                <a:prstDash val="solid"/>
              </a:ln>
            </c:spPr>
          </c:errBars>
          <c:xVal>
            <c:numRef>
              <c:f>LatVent_CT!$AF$41:$AF$50</c:f>
              <c:numCache>
                <c:formatCode>0.00</c:formatCode>
                <c:ptCount val="10"/>
                <c:pt idx="0">
                  <c:v>1.59832194266745</c:v>
                </c:pt>
                <c:pt idx="1">
                  <c:v>-1.0525939253326819E-2</c:v>
                </c:pt>
                <c:pt idx="2">
                  <c:v>0.72875526711909844</c:v>
                </c:pt>
                <c:pt idx="3">
                  <c:v>0.17326653496070793</c:v>
                </c:pt>
                <c:pt idx="4">
                  <c:v>-6.5333008126998271E-2</c:v>
                </c:pt>
                <c:pt idx="5">
                  <c:v>0.74807906370568766</c:v>
                </c:pt>
                <c:pt idx="6">
                  <c:v>0.52681128768150898</c:v>
                </c:pt>
                <c:pt idx="7">
                  <c:v>-9.5344398772332417E-2</c:v>
                </c:pt>
                <c:pt idx="8">
                  <c:v>0.50090485460537493</c:v>
                </c:pt>
                <c:pt idx="9">
                  <c:v>1.3558097220187586</c:v>
                </c:pt>
              </c:numCache>
            </c:numRef>
          </c:xVal>
          <c:yVal>
            <c:numRef>
              <c:f>LatVent_CT!$G$41:$G$50</c:f>
              <c:numCache>
                <c:formatCode>General</c:formatCode>
                <c:ptCount val="10"/>
                <c:pt idx="0">
                  <c:v>10</c:v>
                </c:pt>
                <c:pt idx="1">
                  <c:v>9</c:v>
                </c:pt>
                <c:pt idx="2">
                  <c:v>8</c:v>
                </c:pt>
                <c:pt idx="3">
                  <c:v>7</c:v>
                </c:pt>
                <c:pt idx="4">
                  <c:v>6</c:v>
                </c:pt>
                <c:pt idx="5">
                  <c:v>5</c:v>
                </c:pt>
                <c:pt idx="6">
                  <c:v>4</c:v>
                </c:pt>
                <c:pt idx="7">
                  <c:v>3</c:v>
                </c:pt>
                <c:pt idx="8">
                  <c:v>2</c:v>
                </c:pt>
                <c:pt idx="9">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LatVent_CT!$AH$58</c:f>
                <c:numCache>
                  <c:formatCode>General</c:formatCode>
                  <c:ptCount val="1"/>
                  <c:pt idx="0">
                    <c:v>0.20688695309047761</c:v>
                  </c:pt>
                </c:numCache>
              </c:numRef>
            </c:plus>
            <c:minus>
              <c:numRef>
                <c:f>LatVent_CT!$AH$59</c:f>
                <c:numCache>
                  <c:formatCode>General</c:formatCode>
                  <c:ptCount val="1"/>
                  <c:pt idx="0">
                    <c:v>0.20688695309047761</c:v>
                  </c:pt>
                </c:numCache>
              </c:numRef>
            </c:minus>
            <c:spPr>
              <a:ln w="12700">
                <a:solidFill>
                  <a:srgbClr val="000000"/>
                </a:solidFill>
                <a:prstDash val="solid"/>
              </a:ln>
            </c:spPr>
          </c:errBars>
          <c:xVal>
            <c:numRef>
              <c:f>LatVent_CT!$AH$57</c:f>
              <c:numCache>
                <c:formatCode>General</c:formatCode>
                <c:ptCount val="1"/>
                <c:pt idx="0">
                  <c:v>0.42486840628132411</c:v>
                </c:pt>
              </c:numCache>
            </c:numRef>
          </c:xVal>
          <c:yVal>
            <c:numRef>
              <c:f>LatVent_CT!$I$58</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LatVent_CT!$AH$62</c:f>
                <c:numCache>
                  <c:formatCode>General</c:formatCode>
                  <c:ptCount val="1"/>
                  <c:pt idx="0">
                    <c:v>0.29211322825320846</c:v>
                  </c:pt>
                </c:numCache>
              </c:numRef>
            </c:plus>
            <c:minus>
              <c:numRef>
                <c:f>LatVent_CT!$AH$63</c:f>
                <c:numCache>
                  <c:formatCode>General</c:formatCode>
                  <c:ptCount val="1"/>
                  <c:pt idx="0">
                    <c:v>0.29211322825320846</c:v>
                  </c:pt>
                </c:numCache>
              </c:numRef>
            </c:minus>
            <c:spPr>
              <a:ln w="12700">
                <a:solidFill>
                  <a:srgbClr val="000000"/>
                </a:solidFill>
                <a:prstDash val="solid"/>
              </a:ln>
            </c:spPr>
          </c:errBars>
          <c:xVal>
            <c:numRef>
              <c:f>LatVent_CT!$AH$61</c:f>
              <c:numCache>
                <c:formatCode>General</c:formatCode>
                <c:ptCount val="1"/>
                <c:pt idx="0">
                  <c:v>0.47046499659908286</c:v>
                </c:pt>
              </c:numCache>
            </c:numRef>
          </c:xVal>
          <c:yVal>
            <c:numRef>
              <c:f>LatVent_CT!$I$69</c:f>
              <c:numCache>
                <c:formatCode>General</c:formatCode>
                <c:ptCount val="1"/>
                <c:pt idx="0">
                  <c:v>-3</c:v>
                </c:pt>
              </c:numCache>
            </c:numRef>
          </c:yVal>
        </c:ser>
        <c:axId val="103278080"/>
        <c:axId val="103279616"/>
      </c:scatterChart>
      <c:valAx>
        <c:axId val="103278080"/>
        <c:scaling>
          <c:orientation val="minMax"/>
          <c:max val="2"/>
          <c:min val="-2"/>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3279616"/>
        <c:crosses val="autoZero"/>
        <c:crossBetween val="midCat"/>
      </c:valAx>
      <c:valAx>
        <c:axId val="103279616"/>
        <c:scaling>
          <c:orientation val="minMax"/>
        </c:scaling>
        <c:axPos val="l"/>
        <c:numFmt formatCode="General" sourceLinked="1"/>
        <c:majorTickMark val="none"/>
        <c:tickLblPos val="none"/>
        <c:spPr>
          <a:ln w="3175">
            <a:solidFill>
              <a:srgbClr val="000000"/>
            </a:solidFill>
            <a:prstDash val="solid"/>
          </a:ln>
        </c:spPr>
        <c:crossAx val="1032780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717393410182237"/>
                  <c:y val="-3.469571401105978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R_amhpc!$AK$33:$AK$35</c:f>
              <c:numCache>
                <c:formatCode>General</c:formatCode>
                <c:ptCount val="3"/>
                <c:pt idx="0">
                  <c:v>3.4095425762719351</c:v>
                </c:pt>
                <c:pt idx="1">
                  <c:v>2.7677330314019737</c:v>
                </c:pt>
                <c:pt idx="2">
                  <c:v>2.6207415662149844</c:v>
                </c:pt>
              </c:numCache>
            </c:numRef>
          </c:xVal>
          <c:yVal>
            <c:numRef>
              <c:f>R_amhpc!$AL$33:$AL$35</c:f>
              <c:numCache>
                <c:formatCode>General</c:formatCode>
                <c:ptCount val="3"/>
                <c:pt idx="0">
                  <c:v>0.24380305177153005</c:v>
                </c:pt>
                <c:pt idx="1">
                  <c:v>-0.65163761416893418</c:v>
                </c:pt>
                <c:pt idx="2">
                  <c:v>3.6549867088035509E-2</c:v>
                </c:pt>
              </c:numCache>
            </c:numRef>
          </c:yVal>
        </c:ser>
        <c:axId val="132893696"/>
        <c:axId val="132920448"/>
      </c:scatterChart>
      <c:valAx>
        <c:axId val="13289369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920448"/>
        <c:crosses val="autoZero"/>
        <c:crossBetween val="midCat"/>
      </c:valAx>
      <c:valAx>
        <c:axId val="13292044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289369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amhpc_TLR!$AG$34:$AG$37</c:f>
                <c:numCache>
                  <c:formatCode>General</c:formatCode>
                  <c:ptCount val="4"/>
                  <c:pt idx="0">
                    <c:v>0.57485439769504088</c:v>
                  </c:pt>
                  <c:pt idx="1">
                    <c:v>0.70811601835927818</c:v>
                  </c:pt>
                  <c:pt idx="2">
                    <c:v>0.42588549589469687</c:v>
                  </c:pt>
                  <c:pt idx="3">
                    <c:v>0.74788662617756851</c:v>
                  </c:pt>
                </c:numCache>
              </c:numRef>
            </c:plus>
            <c:minus>
              <c:numRef>
                <c:f>amhpc_TLR!$AH$34:$AH$37</c:f>
                <c:numCache>
                  <c:formatCode>General</c:formatCode>
                  <c:ptCount val="4"/>
                  <c:pt idx="0">
                    <c:v>0.57485439769504088</c:v>
                  </c:pt>
                  <c:pt idx="1">
                    <c:v>0.70811601835927818</c:v>
                  </c:pt>
                  <c:pt idx="2">
                    <c:v>0.42588549589469687</c:v>
                  </c:pt>
                  <c:pt idx="3">
                    <c:v>0.74788662617756851</c:v>
                  </c:pt>
                </c:numCache>
              </c:numRef>
            </c:minus>
            <c:spPr>
              <a:ln w="12700">
                <a:solidFill>
                  <a:srgbClr val="000000"/>
                </a:solidFill>
                <a:prstDash val="solid"/>
              </a:ln>
            </c:spPr>
          </c:errBars>
          <c:xVal>
            <c:numRef>
              <c:f>amhpc_TLR!$AF$34:$AF$37</c:f>
              <c:numCache>
                <c:formatCode>0.00</c:formatCode>
                <c:ptCount val="4"/>
                <c:pt idx="0">
                  <c:v>7.0981124860972702E-2</c:v>
                </c:pt>
                <c:pt idx="1">
                  <c:v>-0.233465611133471</c:v>
                </c:pt>
                <c:pt idx="2">
                  <c:v>-0.27925769529003958</c:v>
                </c:pt>
                <c:pt idx="3">
                  <c:v>-1.9295051742207078E-2</c:v>
                </c:pt>
              </c:numCache>
            </c:numRef>
          </c:xVal>
          <c:yVal>
            <c:numRef>
              <c:f>amhpc_TLR!$G$34:$G$37</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amhpc_TLR!$AH$45</c:f>
                <c:numCache>
                  <c:formatCode>General</c:formatCode>
                  <c:ptCount val="1"/>
                  <c:pt idx="0">
                    <c:v>0.28488313562081347</c:v>
                  </c:pt>
                </c:numCache>
              </c:numRef>
            </c:plus>
            <c:minus>
              <c:numRef>
                <c:f>amhpc_TLR!$AH$46</c:f>
                <c:numCache>
                  <c:formatCode>General</c:formatCode>
                  <c:ptCount val="1"/>
                  <c:pt idx="0">
                    <c:v>0.28488313562081347</c:v>
                  </c:pt>
                </c:numCache>
              </c:numRef>
            </c:minus>
            <c:spPr>
              <a:ln w="12700">
                <a:solidFill>
                  <a:srgbClr val="000000"/>
                </a:solidFill>
                <a:prstDash val="solid"/>
              </a:ln>
            </c:spPr>
          </c:errBars>
          <c:xVal>
            <c:numRef>
              <c:f>amhpc_TLR!$AH$44</c:f>
              <c:numCache>
                <c:formatCode>General</c:formatCode>
                <c:ptCount val="1"/>
                <c:pt idx="0">
                  <c:v>-0.14810938242951482</c:v>
                </c:pt>
              </c:numCache>
            </c:numRef>
          </c:xVal>
          <c:yVal>
            <c:numRef>
              <c:f>amhpc_TLR!$I$45</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amhpc_TLR!$AH$49</c:f>
                <c:numCache>
                  <c:formatCode>General</c:formatCode>
                  <c:ptCount val="1"/>
                  <c:pt idx="0">
                    <c:v>0.28488313562081347</c:v>
                  </c:pt>
                </c:numCache>
              </c:numRef>
            </c:plus>
            <c:minus>
              <c:numRef>
                <c:f>amhpc_TLR!$AH$50</c:f>
                <c:numCache>
                  <c:formatCode>General</c:formatCode>
                  <c:ptCount val="1"/>
                  <c:pt idx="0">
                    <c:v>0.28488313562081347</c:v>
                  </c:pt>
                </c:numCache>
              </c:numRef>
            </c:minus>
            <c:spPr>
              <a:ln w="12700">
                <a:solidFill>
                  <a:srgbClr val="000000"/>
                </a:solidFill>
                <a:prstDash val="solid"/>
              </a:ln>
            </c:spPr>
          </c:errBars>
          <c:xVal>
            <c:numRef>
              <c:f>amhpc_TLR!$AH$48</c:f>
              <c:numCache>
                <c:formatCode>General</c:formatCode>
                <c:ptCount val="1"/>
                <c:pt idx="0">
                  <c:v>-0.14810938242951482</c:v>
                </c:pt>
              </c:numCache>
            </c:numRef>
          </c:xVal>
          <c:yVal>
            <c:numRef>
              <c:f>amhpc_TLR!$I$56</c:f>
              <c:numCache>
                <c:formatCode>General</c:formatCode>
                <c:ptCount val="1"/>
                <c:pt idx="0">
                  <c:v>-3</c:v>
                </c:pt>
              </c:numCache>
            </c:numRef>
          </c:yVal>
        </c:ser>
        <c:axId val="133112960"/>
        <c:axId val="133114496"/>
      </c:scatterChart>
      <c:valAx>
        <c:axId val="13311296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3114496"/>
        <c:crosses val="autoZero"/>
        <c:crossBetween val="midCat"/>
      </c:valAx>
      <c:valAx>
        <c:axId val="133114496"/>
        <c:scaling>
          <c:orientation val="minMax"/>
        </c:scaling>
        <c:axPos val="l"/>
        <c:numFmt formatCode="General" sourceLinked="1"/>
        <c:majorTickMark val="none"/>
        <c:tickLblPos val="none"/>
        <c:spPr>
          <a:ln w="3175">
            <a:solidFill>
              <a:srgbClr val="000000"/>
            </a:solidFill>
            <a:prstDash val="solid"/>
          </a:ln>
        </c:spPr>
        <c:crossAx val="1331129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20657207765964963"/>
                  <c:y val="-7.246422275934805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amhpc_TLR!$AK$34:$AK$37</c:f>
              <c:numCache>
                <c:formatCode>General</c:formatCode>
                <c:ptCount val="4"/>
                <c:pt idx="0">
                  <c:v>3.4095590254834862</c:v>
                </c:pt>
                <c:pt idx="1">
                  <c:v>2.7679080110931076</c:v>
                </c:pt>
                <c:pt idx="2">
                  <c:v>4.6021759813220395</c:v>
                </c:pt>
                <c:pt idx="3">
                  <c:v>2.6207180759703048</c:v>
                </c:pt>
              </c:numCache>
            </c:numRef>
          </c:xVal>
          <c:yVal>
            <c:numRef>
              <c:f>amhpc_TLR!$AL$34:$AL$37</c:f>
              <c:numCache>
                <c:formatCode>General</c:formatCode>
                <c:ptCount val="4"/>
                <c:pt idx="0">
                  <c:v>0.24201433490869972</c:v>
                </c:pt>
                <c:pt idx="1">
                  <c:v>-0.64621133537108255</c:v>
                </c:pt>
                <c:pt idx="2">
                  <c:v>-1.285193057863169</c:v>
                </c:pt>
                <c:pt idx="3">
                  <c:v>-5.0566890877584411E-2</c:v>
                </c:pt>
              </c:numCache>
            </c:numRef>
          </c:yVal>
        </c:ser>
        <c:axId val="133130496"/>
        <c:axId val="133165440"/>
      </c:scatterChart>
      <c:valAx>
        <c:axId val="133130496"/>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165440"/>
        <c:crosses val="autoZero"/>
        <c:crossBetween val="midCat"/>
      </c:valAx>
      <c:valAx>
        <c:axId val="13316544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13049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L_amyg!$AG$60:$AG$82</c:f>
                <c:numCache>
                  <c:formatCode>General</c:formatCode>
                  <c:ptCount val="23"/>
                  <c:pt idx="0">
                    <c:v>0.62758773880721175</c:v>
                  </c:pt>
                  <c:pt idx="1">
                    <c:v>0.71405933370899655</c:v>
                  </c:pt>
                  <c:pt idx="2">
                    <c:v>0.51826755305006822</c:v>
                  </c:pt>
                  <c:pt idx="3">
                    <c:v>0.53420783025816476</c:v>
                  </c:pt>
                  <c:pt idx="4">
                    <c:v>0.50427839544894804</c:v>
                  </c:pt>
                  <c:pt idx="5">
                    <c:v>0.91729488144717797</c:v>
                  </c:pt>
                  <c:pt idx="6">
                    <c:v>0.69888427106329098</c:v>
                  </c:pt>
                  <c:pt idx="7">
                    <c:v>0.68848120122590073</c:v>
                  </c:pt>
                  <c:pt idx="8">
                    <c:v>0.61455977368871761</c:v>
                  </c:pt>
                  <c:pt idx="9">
                    <c:v>0.61558608789272429</c:v>
                  </c:pt>
                  <c:pt idx="10">
                    <c:v>0.61709446817800495</c:v>
                  </c:pt>
                  <c:pt idx="11">
                    <c:v>0.60299458433069819</c:v>
                  </c:pt>
                  <c:pt idx="12">
                    <c:v>0.60151029819448587</c:v>
                  </c:pt>
                  <c:pt idx="13">
                    <c:v>0.71977310407881945</c:v>
                  </c:pt>
                  <c:pt idx="14">
                    <c:v>0.74491630796863151</c:v>
                  </c:pt>
                  <c:pt idx="15">
                    <c:v>0.48431751728759043</c:v>
                  </c:pt>
                  <c:pt idx="16">
                    <c:v>0.82119985282249053</c:v>
                  </c:pt>
                  <c:pt idx="17">
                    <c:v>0.77285897903879575</c:v>
                  </c:pt>
                  <c:pt idx="18">
                    <c:v>0.76921256026740548</c:v>
                  </c:pt>
                  <c:pt idx="19">
                    <c:v>0.61915253762795819</c:v>
                  </c:pt>
                  <c:pt idx="20">
                    <c:v>0.63633580790207911</c:v>
                  </c:pt>
                  <c:pt idx="21">
                    <c:v>0.68676864286527384</c:v>
                  </c:pt>
                  <c:pt idx="22">
                    <c:v>0.40380196528086132</c:v>
                  </c:pt>
                </c:numCache>
              </c:numRef>
            </c:plus>
            <c:minus>
              <c:numRef>
                <c:f>L_amyg!$AH$60:$AH$82</c:f>
                <c:numCache>
                  <c:formatCode>General</c:formatCode>
                  <c:ptCount val="23"/>
                  <c:pt idx="0">
                    <c:v>0.62758773880721175</c:v>
                  </c:pt>
                  <c:pt idx="1">
                    <c:v>0.71405933370899655</c:v>
                  </c:pt>
                  <c:pt idx="2">
                    <c:v>0.51826755305006822</c:v>
                  </c:pt>
                  <c:pt idx="3">
                    <c:v>0.53420783025816476</c:v>
                  </c:pt>
                  <c:pt idx="4">
                    <c:v>0.50427839544894804</c:v>
                  </c:pt>
                  <c:pt idx="5">
                    <c:v>0.91729488144717797</c:v>
                  </c:pt>
                  <c:pt idx="6">
                    <c:v>0.69888427106329098</c:v>
                  </c:pt>
                  <c:pt idx="7">
                    <c:v>0.68848120122590073</c:v>
                  </c:pt>
                  <c:pt idx="8">
                    <c:v>0.61455977368871761</c:v>
                  </c:pt>
                  <c:pt idx="9">
                    <c:v>0.61558608789272429</c:v>
                  </c:pt>
                  <c:pt idx="10">
                    <c:v>0.61709446817800495</c:v>
                  </c:pt>
                  <c:pt idx="11">
                    <c:v>0.60299458433069819</c:v>
                  </c:pt>
                  <c:pt idx="12">
                    <c:v>0.60151029819448587</c:v>
                  </c:pt>
                  <c:pt idx="13">
                    <c:v>0.71977310407881945</c:v>
                  </c:pt>
                  <c:pt idx="14">
                    <c:v>0.74491630796863151</c:v>
                  </c:pt>
                  <c:pt idx="15">
                    <c:v>0.48431751728759043</c:v>
                  </c:pt>
                  <c:pt idx="16">
                    <c:v>0.82119985282249053</c:v>
                  </c:pt>
                  <c:pt idx="17">
                    <c:v>0.77285897903879575</c:v>
                  </c:pt>
                  <c:pt idx="18">
                    <c:v>0.76921256026740548</c:v>
                  </c:pt>
                  <c:pt idx="19">
                    <c:v>0.61915253762795819</c:v>
                  </c:pt>
                  <c:pt idx="20">
                    <c:v>0.63633580790207911</c:v>
                  </c:pt>
                  <c:pt idx="21">
                    <c:v>0.68676864286527384</c:v>
                  </c:pt>
                  <c:pt idx="22">
                    <c:v>0.40380196528086132</c:v>
                  </c:pt>
                </c:numCache>
              </c:numRef>
            </c:minus>
            <c:spPr>
              <a:ln w="12700">
                <a:solidFill>
                  <a:srgbClr val="000000"/>
                </a:solidFill>
                <a:prstDash val="solid"/>
              </a:ln>
            </c:spPr>
          </c:errBars>
          <c:xVal>
            <c:numRef>
              <c:f>L_amyg!$AF$60:$AF$82</c:f>
              <c:numCache>
                <c:formatCode>0.00</c:formatCode>
                <c:ptCount val="23"/>
                <c:pt idx="0">
                  <c:v>-0.42687449436785685</c:v>
                </c:pt>
                <c:pt idx="1">
                  <c:v>0.65847617206568121</c:v>
                </c:pt>
                <c:pt idx="2">
                  <c:v>0.60387420104096134</c:v>
                </c:pt>
                <c:pt idx="3">
                  <c:v>0.14574531247562467</c:v>
                </c:pt>
                <c:pt idx="4">
                  <c:v>-0.44160003572380768</c:v>
                </c:pt>
                <c:pt idx="5">
                  <c:v>-0.78184342899252068</c:v>
                </c:pt>
                <c:pt idx="6">
                  <c:v>0.75564571984363527</c:v>
                </c:pt>
                <c:pt idx="7">
                  <c:v>0.2504972451884005</c:v>
                </c:pt>
                <c:pt idx="8">
                  <c:v>-0.72979309829751848</c:v>
                </c:pt>
                <c:pt idx="9">
                  <c:v>0.77752546337276751</c:v>
                </c:pt>
                <c:pt idx="10">
                  <c:v>0.9040851069230339</c:v>
                </c:pt>
                <c:pt idx="11">
                  <c:v>-0.1654628675050627</c:v>
                </c:pt>
                <c:pt idx="12">
                  <c:v>0.11540345482356219</c:v>
                </c:pt>
                <c:pt idx="13">
                  <c:v>-0.16834380651288561</c:v>
                </c:pt>
                <c:pt idx="14">
                  <c:v>0.2171152480200656</c:v>
                </c:pt>
                <c:pt idx="15">
                  <c:v>0.39503967899762099</c:v>
                </c:pt>
                <c:pt idx="16">
                  <c:v>-0.74581767987345926</c:v>
                </c:pt>
                <c:pt idx="17">
                  <c:v>0.53467357542076155</c:v>
                </c:pt>
                <c:pt idx="18">
                  <c:v>-0.45780627453443384</c:v>
                </c:pt>
                <c:pt idx="19">
                  <c:v>0.25318620910378647</c:v>
                </c:pt>
                <c:pt idx="20">
                  <c:v>0.54501526313813409</c:v>
                </c:pt>
                <c:pt idx="21">
                  <c:v>-0.81201160102194381</c:v>
                </c:pt>
                <c:pt idx="22">
                  <c:v>0</c:v>
                </c:pt>
              </c:numCache>
            </c:numRef>
          </c:xVal>
          <c:yVal>
            <c:numRef>
              <c:f>L_amyg!$G$60:$G$82</c:f>
              <c:numCache>
                <c:formatCode>General</c:formatCode>
                <c:ptCount val="23"/>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L_amyg!$AH$90</c:f>
                <c:numCache>
                  <c:formatCode>General</c:formatCode>
                  <c:ptCount val="1"/>
                  <c:pt idx="0">
                    <c:v>0.12845252771079982</c:v>
                  </c:pt>
                </c:numCache>
              </c:numRef>
            </c:plus>
            <c:minus>
              <c:numRef>
                <c:f>L_amyg!$AH$91</c:f>
                <c:numCache>
                  <c:formatCode>General</c:formatCode>
                  <c:ptCount val="1"/>
                  <c:pt idx="0">
                    <c:v>0.12845252771079982</c:v>
                  </c:pt>
                </c:numCache>
              </c:numRef>
            </c:minus>
            <c:spPr>
              <a:ln w="12700">
                <a:solidFill>
                  <a:srgbClr val="000000"/>
                </a:solidFill>
                <a:prstDash val="solid"/>
              </a:ln>
            </c:spPr>
          </c:errBars>
          <c:xVal>
            <c:numRef>
              <c:f>L_amyg!$AH$89</c:f>
              <c:numCache>
                <c:formatCode>General</c:formatCode>
                <c:ptCount val="1"/>
                <c:pt idx="0">
                  <c:v>9.5446593746179823E-2</c:v>
                </c:pt>
              </c:numCache>
            </c:numRef>
          </c:xVal>
          <c:yVal>
            <c:numRef>
              <c:f>L_amyg!$I$90</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L_amyg!$AH$94</c:f>
                <c:numCache>
                  <c:formatCode>General</c:formatCode>
                  <c:ptCount val="1"/>
                  <c:pt idx="0">
                    <c:v>0.21191732530841506</c:v>
                  </c:pt>
                </c:numCache>
              </c:numRef>
            </c:plus>
            <c:minus>
              <c:numRef>
                <c:f>L_amyg!$AH$95</c:f>
                <c:numCache>
                  <c:formatCode>General</c:formatCode>
                  <c:ptCount val="1"/>
                  <c:pt idx="0">
                    <c:v>0.21191732530841506</c:v>
                  </c:pt>
                </c:numCache>
              </c:numRef>
            </c:minus>
            <c:spPr>
              <a:ln w="12700">
                <a:solidFill>
                  <a:srgbClr val="000000"/>
                </a:solidFill>
                <a:prstDash val="solid"/>
              </a:ln>
            </c:spPr>
          </c:errBars>
          <c:xVal>
            <c:numRef>
              <c:f>L_amyg!$AH$93</c:f>
              <c:numCache>
                <c:formatCode>General</c:formatCode>
                <c:ptCount val="1"/>
                <c:pt idx="0">
                  <c:v>8.0700775114389514E-2</c:v>
                </c:pt>
              </c:numCache>
            </c:numRef>
          </c:xVal>
          <c:yVal>
            <c:numRef>
              <c:f>L_amyg!$I$101</c:f>
              <c:numCache>
                <c:formatCode>General</c:formatCode>
                <c:ptCount val="1"/>
                <c:pt idx="0">
                  <c:v>-3</c:v>
                </c:pt>
              </c:numCache>
            </c:numRef>
          </c:yVal>
        </c:ser>
        <c:axId val="133282816"/>
        <c:axId val="133284608"/>
      </c:scatterChart>
      <c:valAx>
        <c:axId val="133282816"/>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3284608"/>
        <c:crosses val="autoZero"/>
        <c:crossBetween val="midCat"/>
      </c:valAx>
      <c:valAx>
        <c:axId val="133284608"/>
        <c:scaling>
          <c:orientation val="minMax"/>
        </c:scaling>
        <c:axPos val="l"/>
        <c:numFmt formatCode="General" sourceLinked="1"/>
        <c:majorTickMark val="none"/>
        <c:tickLblPos val="none"/>
        <c:spPr>
          <a:ln w="3175">
            <a:solidFill>
              <a:srgbClr val="000000"/>
            </a:solidFill>
            <a:prstDash val="solid"/>
          </a:ln>
        </c:spPr>
        <c:crossAx val="13328281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45203050322683"/>
                  <c:y val="-3.3344455353873391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L_amyg!$AK$60:$AK$82</c:f>
              <c:numCache>
                <c:formatCode>General</c:formatCode>
                <c:ptCount val="23"/>
                <c:pt idx="0">
                  <c:v>3.1230692998004712</c:v>
                </c:pt>
                <c:pt idx="1">
                  <c:v>2.7448699393358349</c:v>
                </c:pt>
                <c:pt idx="2">
                  <c:v>3.7818304241991596</c:v>
                </c:pt>
                <c:pt idx="3">
                  <c:v>3.6689840338970652</c:v>
                </c:pt>
                <c:pt idx="4">
                  <c:v>3.8867419617591485</c:v>
                </c:pt>
                <c:pt idx="5">
                  <c:v>2.1367174718208277</c:v>
                </c:pt>
                <c:pt idx="6">
                  <c:v>2.8044700405376588</c:v>
                </c:pt>
                <c:pt idx="7">
                  <c:v>2.8468460671257971</c:v>
                </c:pt>
                <c:pt idx="8">
                  <c:v>3.1892748011078984</c:v>
                </c:pt>
                <c:pt idx="9">
                  <c:v>3.1839575951260963</c:v>
                </c:pt>
                <c:pt idx="10">
                  <c:v>3.1761749635950793</c:v>
                </c:pt>
                <c:pt idx="11">
                  <c:v>3.2504437866146474</c:v>
                </c:pt>
                <c:pt idx="12">
                  <c:v>3.2584645780516204</c:v>
                </c:pt>
                <c:pt idx="13">
                  <c:v>2.7230803553134271</c:v>
                </c:pt>
                <c:pt idx="14">
                  <c:v>2.6311680641612907</c:v>
                </c:pt>
                <c:pt idx="15">
                  <c:v>4.0469318784439947</c:v>
                </c:pt>
                <c:pt idx="16">
                  <c:v>2.386751523716689</c:v>
                </c:pt>
                <c:pt idx="17">
                  <c:v>2.5360383370814308</c:v>
                </c:pt>
                <c:pt idx="18">
                  <c:v>2.5480603167980447</c:v>
                </c:pt>
                <c:pt idx="19">
                  <c:v>3.16561732510857</c:v>
                </c:pt>
                <c:pt idx="20">
                  <c:v>3.080134695644237</c:v>
                </c:pt>
                <c:pt idx="21">
                  <c:v>2.8539450954293222</c:v>
                </c:pt>
                <c:pt idx="22">
                  <c:v>4.8538644398046387</c:v>
                </c:pt>
              </c:numCache>
            </c:numRef>
          </c:xVal>
          <c:yVal>
            <c:numRef>
              <c:f>L_amyg!$AL$60:$AL$82</c:f>
              <c:numCache>
                <c:formatCode>General</c:formatCode>
                <c:ptCount val="23"/>
                <c:pt idx="0">
                  <c:v>-1.3331586282281029</c:v>
                </c:pt>
                <c:pt idx="1">
                  <c:v>1.8074314504720193</c:v>
                </c:pt>
                <c:pt idx="2">
                  <c:v>2.2837498258856672</c:v>
                </c:pt>
                <c:pt idx="3">
                  <c:v>0.53473722448840566</c:v>
                </c:pt>
                <c:pt idx="4">
                  <c:v>-1.7163853891620622</c:v>
                </c:pt>
                <c:pt idx="5">
                  <c:v>-1.6705785149566255</c:v>
                </c:pt>
                <c:pt idx="6">
                  <c:v>2.1191857825619884</c:v>
                </c:pt>
                <c:pt idx="7">
                  <c:v>0.71312709729044443</c:v>
                </c:pt>
                <c:pt idx="8">
                  <c:v>-2.3275107384227351</c:v>
                </c:pt>
                <c:pt idx="9">
                  <c:v>2.4756081045096603</c:v>
                </c:pt>
                <c:pt idx="10">
                  <c:v>2.8715324815681207</c:v>
                </c:pt>
                <c:pt idx="11">
                  <c:v>-0.53782774959727375</c:v>
                </c:pt>
                <c:pt idx="12">
                  <c:v>0.37603806972735782</c:v>
                </c:pt>
                <c:pt idx="13">
                  <c:v>-0.45841371245392337</c:v>
                </c:pt>
                <c:pt idx="14">
                  <c:v>0.57126670683285452</c:v>
                </c:pt>
                <c:pt idx="15">
                  <c:v>1.5986986701857548</c:v>
                </c:pt>
                <c:pt idx="16">
                  <c:v>-1.7800814838528247</c:v>
                </c:pt>
                <c:pt idx="17">
                  <c:v>1.3559526850914512</c:v>
                </c:pt>
                <c:pt idx="18">
                  <c:v>-1.1665180009223419</c:v>
                </c:pt>
                <c:pt idx="19">
                  <c:v>0.80149065001750752</c:v>
                </c:pt>
                <c:pt idx="20">
                  <c:v>1.6787204216474403</c:v>
                </c:pt>
                <c:pt idx="21">
                  <c:v>-2.3174365261682879</c:v>
                </c:pt>
                <c:pt idx="22">
                  <c:v>0</c:v>
                </c:pt>
              </c:numCache>
            </c:numRef>
          </c:yVal>
        </c:ser>
        <c:axId val="133512576"/>
        <c:axId val="133535232"/>
      </c:scatterChart>
      <c:valAx>
        <c:axId val="133512576"/>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535232"/>
        <c:crosses val="autoZero"/>
        <c:crossBetween val="midCat"/>
      </c:valAx>
      <c:valAx>
        <c:axId val="1335352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512576"/>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R_amyg!$AG$59:$AG$81</c:f>
                <c:numCache>
                  <c:formatCode>General</c:formatCode>
                  <c:ptCount val="23"/>
                  <c:pt idx="0">
                    <c:v>0.62016703154678066</c:v>
                  </c:pt>
                  <c:pt idx="1">
                    <c:v>0.72033742082686425</c:v>
                  </c:pt>
                  <c:pt idx="2">
                    <c:v>0.51333828098666701</c:v>
                  </c:pt>
                  <c:pt idx="3">
                    <c:v>0.53490370473846549</c:v>
                  </c:pt>
                  <c:pt idx="4">
                    <c:v>0.50217645463096294</c:v>
                  </c:pt>
                  <c:pt idx="5">
                    <c:v>1.0624705340048746</c:v>
                  </c:pt>
                  <c:pt idx="6">
                    <c:v>0.68429343844538126</c:v>
                  </c:pt>
                  <c:pt idx="7">
                    <c:v>0.7855537793097489</c:v>
                  </c:pt>
                  <c:pt idx="8">
                    <c:v>0.6281777396583248</c:v>
                  </c:pt>
                  <c:pt idx="9">
                    <c:v>0.59766723443665415</c:v>
                  </c:pt>
                  <c:pt idx="10">
                    <c:v>0.62233509190508263</c:v>
                  </c:pt>
                  <c:pt idx="11">
                    <c:v>0.60770596684485412</c:v>
                  </c:pt>
                  <c:pt idx="12">
                    <c:v>0.60127333406174144</c:v>
                  </c:pt>
                  <c:pt idx="13">
                    <c:v>0.73311062925535986</c:v>
                  </c:pt>
                  <c:pt idx="14">
                    <c:v>0.74352505770275046</c:v>
                  </c:pt>
                  <c:pt idx="15">
                    <c:v>0.48936977871040083</c:v>
                  </c:pt>
                  <c:pt idx="16">
                    <c:v>0.7956851174091194</c:v>
                  </c:pt>
                  <c:pt idx="17">
                    <c:v>0.77581022602650407</c:v>
                  </c:pt>
                  <c:pt idx="18">
                    <c:v>0.76613660301740005</c:v>
                  </c:pt>
                  <c:pt idx="19">
                    <c:v>0.6170206134302535</c:v>
                  </c:pt>
                  <c:pt idx="20">
                    <c:v>0.62460432201975569</c:v>
                  </c:pt>
                  <c:pt idx="21">
                    <c:v>0.68749558594069282</c:v>
                  </c:pt>
                  <c:pt idx="22">
                    <c:v>0.40392154591262702</c:v>
                  </c:pt>
                </c:numCache>
              </c:numRef>
            </c:plus>
            <c:minus>
              <c:numRef>
                <c:f>R_amyg!$AH$59:$AH$81</c:f>
                <c:numCache>
                  <c:formatCode>General</c:formatCode>
                  <c:ptCount val="23"/>
                  <c:pt idx="0">
                    <c:v>0.62016703154678066</c:v>
                  </c:pt>
                  <c:pt idx="1">
                    <c:v>0.72033742082686425</c:v>
                  </c:pt>
                  <c:pt idx="2">
                    <c:v>0.51333828098666701</c:v>
                  </c:pt>
                  <c:pt idx="3">
                    <c:v>0.53490370473846549</c:v>
                  </c:pt>
                  <c:pt idx="4">
                    <c:v>0.50217645463096294</c:v>
                  </c:pt>
                  <c:pt idx="5">
                    <c:v>1.0624705340048746</c:v>
                  </c:pt>
                  <c:pt idx="6">
                    <c:v>0.68429343844538126</c:v>
                  </c:pt>
                  <c:pt idx="7">
                    <c:v>0.7855537793097489</c:v>
                  </c:pt>
                  <c:pt idx="8">
                    <c:v>0.6281777396583248</c:v>
                  </c:pt>
                  <c:pt idx="9">
                    <c:v>0.59766723443665415</c:v>
                  </c:pt>
                  <c:pt idx="10">
                    <c:v>0.62233509190508263</c:v>
                  </c:pt>
                  <c:pt idx="11">
                    <c:v>0.60770596684485412</c:v>
                  </c:pt>
                  <c:pt idx="12">
                    <c:v>0.60127333406174144</c:v>
                  </c:pt>
                  <c:pt idx="13">
                    <c:v>0.73311062925535986</c:v>
                  </c:pt>
                  <c:pt idx="14">
                    <c:v>0.74352505770275046</c:v>
                  </c:pt>
                  <c:pt idx="15">
                    <c:v>0.48936977871040083</c:v>
                  </c:pt>
                  <c:pt idx="16">
                    <c:v>0.7956851174091194</c:v>
                  </c:pt>
                  <c:pt idx="17">
                    <c:v>0.77581022602650407</c:v>
                  </c:pt>
                  <c:pt idx="18">
                    <c:v>0.76613660301740005</c:v>
                  </c:pt>
                  <c:pt idx="19">
                    <c:v>0.6170206134302535</c:v>
                  </c:pt>
                  <c:pt idx="20">
                    <c:v>0.62460432201975569</c:v>
                  </c:pt>
                  <c:pt idx="21">
                    <c:v>0.68749558594069282</c:v>
                  </c:pt>
                  <c:pt idx="22">
                    <c:v>0.40392154591262702</c:v>
                  </c:pt>
                </c:numCache>
              </c:numRef>
            </c:minus>
            <c:spPr>
              <a:ln w="12700">
                <a:solidFill>
                  <a:srgbClr val="000000"/>
                </a:solidFill>
                <a:prstDash val="solid"/>
              </a:ln>
            </c:spPr>
          </c:errBars>
          <c:xVal>
            <c:numRef>
              <c:f>R_amyg!$AF$59:$AF$81</c:f>
              <c:numCache>
                <c:formatCode>0.00</c:formatCode>
                <c:ptCount val="23"/>
                <c:pt idx="0">
                  <c:v>-9.1621407009239889E-2</c:v>
                </c:pt>
                <c:pt idx="1">
                  <c:v>0.75176079424103059</c:v>
                </c:pt>
                <c:pt idx="2">
                  <c:v>0.46502963432508343</c:v>
                </c:pt>
                <c:pt idx="3">
                  <c:v>-0.20157137229429964</c:v>
                </c:pt>
                <c:pt idx="4">
                  <c:v>-0.36202919630751085</c:v>
                </c:pt>
                <c:pt idx="5">
                  <c:v>-1.7361952668646281</c:v>
                </c:pt>
                <c:pt idx="6">
                  <c:v>0.5051357110048269</c:v>
                </c:pt>
                <c:pt idx="7">
                  <c:v>-1.5416022086730685</c:v>
                </c:pt>
                <c:pt idx="8">
                  <c:v>-0.94103871872915823</c:v>
                </c:pt>
                <c:pt idx="9">
                  <c:v>0.3887627316863842</c:v>
                </c:pt>
                <c:pt idx="10">
                  <c:v>1.0671574893998541</c:v>
                </c:pt>
                <c:pt idx="11">
                  <c:v>-0.378644784849061</c:v>
                </c:pt>
                <c:pt idx="12">
                  <c:v>8.5870146009249151E-2</c:v>
                </c:pt>
                <c:pt idx="13">
                  <c:v>-0.57584556043591673</c:v>
                </c:pt>
                <c:pt idx="14">
                  <c:v>0.13800006062649825</c:v>
                </c:pt>
                <c:pt idx="15">
                  <c:v>0.56352290336200894</c:v>
                </c:pt>
                <c:pt idx="16">
                  <c:v>-0.32237146896461033</c:v>
                </c:pt>
                <c:pt idx="17">
                  <c:v>0.58981783881574357</c:v>
                </c:pt>
                <c:pt idx="18">
                  <c:v>-0.38146152868889305</c:v>
                </c:pt>
                <c:pt idx="19">
                  <c:v>9.1940410702159858E-2</c:v>
                </c:pt>
                <c:pt idx="20">
                  <c:v>8.8667852295696344E-3</c:v>
                </c:pt>
                <c:pt idx="21">
                  <c:v>-0.8228471992473898</c:v>
                </c:pt>
                <c:pt idx="22">
                  <c:v>-6.950115175232166E-2</c:v>
                </c:pt>
              </c:numCache>
            </c:numRef>
          </c:xVal>
          <c:yVal>
            <c:numRef>
              <c:f>R_amyg!$G$59:$G$81</c:f>
              <c:numCache>
                <c:formatCode>General</c:formatCode>
                <c:ptCount val="23"/>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R_amyg!$AH$89</c:f>
                <c:numCache>
                  <c:formatCode>General</c:formatCode>
                  <c:ptCount val="1"/>
                  <c:pt idx="0">
                    <c:v>0.12905800486478575</c:v>
                  </c:pt>
                </c:numCache>
              </c:numRef>
            </c:plus>
            <c:minus>
              <c:numRef>
                <c:f>R_amyg!$AH$90</c:f>
                <c:numCache>
                  <c:formatCode>General</c:formatCode>
                  <c:ptCount val="1"/>
                  <c:pt idx="0">
                    <c:v>0.12905800486478575</c:v>
                  </c:pt>
                </c:numCache>
              </c:numRef>
            </c:minus>
            <c:spPr>
              <a:ln w="12700">
                <a:solidFill>
                  <a:srgbClr val="000000"/>
                </a:solidFill>
                <a:prstDash val="solid"/>
              </a:ln>
            </c:spPr>
          </c:errBars>
          <c:xVal>
            <c:numRef>
              <c:f>R_amyg!$AH$88</c:f>
              <c:numCache>
                <c:formatCode>General</c:formatCode>
                <c:ptCount val="1"/>
                <c:pt idx="0">
                  <c:v>-3.3338061349528755E-2</c:v>
                </c:pt>
              </c:numCache>
            </c:numRef>
          </c:xVal>
          <c:yVal>
            <c:numRef>
              <c:f>R_amyg!$I$89</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R_amyg!$AH$93</c:f>
                <c:numCache>
                  <c:formatCode>General</c:formatCode>
                  <c:ptCount val="1"/>
                  <c:pt idx="0">
                    <c:v>0.24620318129891247</c:v>
                  </c:pt>
                </c:numCache>
              </c:numRef>
            </c:plus>
            <c:minus>
              <c:numRef>
                <c:f>R_amyg!$AH$94</c:f>
                <c:numCache>
                  <c:formatCode>General</c:formatCode>
                  <c:ptCount val="1"/>
                  <c:pt idx="0">
                    <c:v>0.24620318129891247</c:v>
                  </c:pt>
                </c:numCache>
              </c:numRef>
            </c:minus>
            <c:spPr>
              <a:ln w="12700">
                <a:solidFill>
                  <a:srgbClr val="000000"/>
                </a:solidFill>
                <a:prstDash val="solid"/>
              </a:ln>
            </c:spPr>
          </c:errBars>
          <c:xVal>
            <c:numRef>
              <c:f>R_amyg!$AH$92</c:f>
              <c:numCache>
                <c:formatCode>General</c:formatCode>
                <c:ptCount val="1"/>
                <c:pt idx="0">
                  <c:v>-8.3288226589092046E-2</c:v>
                </c:pt>
              </c:numCache>
            </c:numRef>
          </c:xVal>
          <c:yVal>
            <c:numRef>
              <c:f>R_amyg!$I$100</c:f>
              <c:numCache>
                <c:formatCode>General</c:formatCode>
                <c:ptCount val="1"/>
                <c:pt idx="0">
                  <c:v>-3</c:v>
                </c:pt>
              </c:numCache>
            </c:numRef>
          </c:yVal>
        </c:ser>
        <c:axId val="133631360"/>
        <c:axId val="133645440"/>
      </c:scatterChart>
      <c:valAx>
        <c:axId val="13363136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3645440"/>
        <c:crosses val="autoZero"/>
        <c:crossBetween val="midCat"/>
      </c:valAx>
      <c:valAx>
        <c:axId val="133645440"/>
        <c:scaling>
          <c:orientation val="minMax"/>
        </c:scaling>
        <c:axPos val="l"/>
        <c:numFmt formatCode="General" sourceLinked="1"/>
        <c:majorTickMark val="none"/>
        <c:tickLblPos val="none"/>
        <c:spPr>
          <a:ln w="3175">
            <a:solidFill>
              <a:srgbClr val="000000"/>
            </a:solidFill>
            <a:prstDash val="solid"/>
          </a:ln>
        </c:spPr>
        <c:crossAx val="13363136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470682810168788"/>
                  <c:y val="-3.277731392062623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R_amyg!$AK$59:$AK$81</c:f>
              <c:numCache>
                <c:formatCode>General</c:formatCode>
                <c:ptCount val="23"/>
                <c:pt idx="0">
                  <c:v>3.1604388822661118</c:v>
                </c:pt>
                <c:pt idx="1">
                  <c:v>2.7209470774823084</c:v>
                </c:pt>
                <c:pt idx="2">
                  <c:v>3.8181450178092349</c:v>
                </c:pt>
                <c:pt idx="3">
                  <c:v>3.6642109273823733</c:v>
                </c:pt>
                <c:pt idx="4">
                  <c:v>3.9030105492308582</c:v>
                </c:pt>
                <c:pt idx="5">
                  <c:v>1.8447570424489603</c:v>
                </c:pt>
                <c:pt idx="6">
                  <c:v>2.8642682946848725</c:v>
                </c:pt>
                <c:pt idx="7">
                  <c:v>2.495055146602712</c:v>
                </c:pt>
                <c:pt idx="8">
                  <c:v>3.1201360319868594</c:v>
                </c:pt>
                <c:pt idx="9">
                  <c:v>3.2794168511637514</c:v>
                </c:pt>
                <c:pt idx="10">
                  <c:v>3.1494287008628712</c:v>
                </c:pt>
                <c:pt idx="11">
                  <c:v>3.2252439616087942</c:v>
                </c:pt>
                <c:pt idx="12">
                  <c:v>3.2597487514700565</c:v>
                </c:pt>
                <c:pt idx="13">
                  <c:v>2.6735391928375454</c:v>
                </c:pt>
                <c:pt idx="14">
                  <c:v>2.6360913861541664</c:v>
                </c:pt>
                <c:pt idx="15">
                  <c:v>4.0051512890008034</c:v>
                </c:pt>
                <c:pt idx="16">
                  <c:v>2.4632859872785855</c:v>
                </c:pt>
                <c:pt idx="17">
                  <c:v>2.5263910351357501</c:v>
                </c:pt>
                <c:pt idx="18">
                  <c:v>2.5582905088735011</c:v>
                </c:pt>
                <c:pt idx="19">
                  <c:v>3.1765551382531787</c:v>
                </c:pt>
                <c:pt idx="20">
                  <c:v>3.1379866115271722</c:v>
                </c:pt>
                <c:pt idx="21">
                  <c:v>2.8509273951456038</c:v>
                </c:pt>
                <c:pt idx="22">
                  <c:v>4.8524274573458159</c:v>
                </c:pt>
              </c:numCache>
            </c:numRef>
          </c:xVal>
          <c:yVal>
            <c:numRef>
              <c:f>R_amyg!$AL$59:$AL$81</c:f>
              <c:numCache>
                <c:formatCode>General</c:formatCode>
                <c:ptCount val="23"/>
                <c:pt idx="0">
                  <c:v>-0.2895638571599306</c:v>
                </c:pt>
                <c:pt idx="1">
                  <c:v>2.0455013360559109</c:v>
                </c:pt>
                <c:pt idx="2">
                  <c:v>1.7755505814319676</c:v>
                </c:pt>
                <c:pt idx="3">
                  <c:v>-0.7386000250082333</c:v>
                </c:pt>
                <c:pt idx="4">
                  <c:v>-1.4130037723177842</c:v>
                </c:pt>
                <c:pt idx="5">
                  <c:v>-3.2028584456150746</c:v>
                </c:pt>
                <c:pt idx="6">
                  <c:v>1.4468442015442262</c:v>
                </c:pt>
                <c:pt idx="7">
                  <c:v>-3.8463825247638472</c:v>
                </c:pt>
                <c:pt idx="8">
                  <c:v>-2.936168813801594</c:v>
                </c:pt>
                <c:pt idx="9">
                  <c:v>1.2749150533967806</c:v>
                </c:pt>
                <c:pt idx="10">
                  <c:v>3.3609364254566656</c:v>
                </c:pt>
                <c:pt idx="11">
                  <c:v>-1.2212218059290951</c:v>
                </c:pt>
                <c:pt idx="12">
                  <c:v>0.27991510124220137</c:v>
                </c:pt>
                <c:pt idx="13">
                  <c:v>-1.5395456748469247</c:v>
                </c:pt>
                <c:pt idx="14">
                  <c:v>0.36378077110626478</c:v>
                </c:pt>
                <c:pt idx="15">
                  <c:v>2.2569944827818254</c:v>
                </c:pt>
                <c:pt idx="16">
                  <c:v>-0.79409312219893802</c:v>
                </c:pt>
                <c:pt idx="17">
                  <c:v>1.4901105003472375</c:v>
                </c:pt>
                <c:pt idx="18">
                  <c:v>-0.9758894083451719</c:v>
                </c:pt>
                <c:pt idx="19">
                  <c:v>0.29205378402905346</c:v>
                </c:pt>
                <c:pt idx="20">
                  <c:v>2.7823853337676396E-2</c:v>
                </c:pt>
                <c:pt idx="21">
                  <c:v>-2.3458776223532167</c:v>
                </c:pt>
                <c:pt idx="22">
                  <c:v>-0.33724929708012391</c:v>
                </c:pt>
              </c:numCache>
            </c:numRef>
          </c:yVal>
        </c:ser>
        <c:axId val="133898240"/>
        <c:axId val="133900160"/>
      </c:scatterChart>
      <c:valAx>
        <c:axId val="133898240"/>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900160"/>
        <c:crosses val="autoZero"/>
        <c:crossBetween val="midCat"/>
      </c:valAx>
      <c:valAx>
        <c:axId val="13390016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89824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amyg_TLR!$AG$65:$AG$89</c:f>
                <c:numCache>
                  <c:formatCode>General</c:formatCode>
                  <c:ptCount val="25"/>
                  <c:pt idx="0">
                    <c:v>0.71725080140973108</c:v>
                  </c:pt>
                  <c:pt idx="1">
                    <c:v>0.69376592401956616</c:v>
                  </c:pt>
                  <c:pt idx="2">
                    <c:v>0.62140374960771461</c:v>
                  </c:pt>
                  <c:pt idx="3">
                    <c:v>0.57824038115369092</c:v>
                  </c:pt>
                  <c:pt idx="4">
                    <c:v>0.43961312132435787</c:v>
                  </c:pt>
                  <c:pt idx="5">
                    <c:v>0.4038373120723448</c:v>
                  </c:pt>
                  <c:pt idx="6">
                    <c:v>0.62303145454247777</c:v>
                  </c:pt>
                  <c:pt idx="7">
                    <c:v>0.51665574804074754</c:v>
                  </c:pt>
                  <c:pt idx="8">
                    <c:v>0.5334723022424801</c:v>
                  </c:pt>
                  <c:pt idx="9">
                    <c:v>0.50368644051263611</c:v>
                  </c:pt>
                  <c:pt idx="10">
                    <c:v>0.97766331111325</c:v>
                  </c:pt>
                  <c:pt idx="11">
                    <c:v>0.70912811920467045</c:v>
                  </c:pt>
                  <c:pt idx="12">
                    <c:v>0.60669281960734767</c:v>
                  </c:pt>
                  <c:pt idx="13">
                    <c:v>0.62119643934115831</c:v>
                  </c:pt>
                  <c:pt idx="14">
                    <c:v>0.60534416058485996</c:v>
                  </c:pt>
                  <c:pt idx="15">
                    <c:v>0.60142311234021772</c:v>
                  </c:pt>
                  <c:pt idx="16">
                    <c:v>0.72470687303253167</c:v>
                  </c:pt>
                  <c:pt idx="17">
                    <c:v>0.74431947632773521</c:v>
                  </c:pt>
                  <c:pt idx="18">
                    <c:v>0.48725174639624341</c:v>
                  </c:pt>
                  <c:pt idx="19">
                    <c:v>0.80721512354312397</c:v>
                  </c:pt>
                  <c:pt idx="20">
                    <c:v>0.77613648321180306</c:v>
                  </c:pt>
                  <c:pt idx="21">
                    <c:v>0.76857288362051113</c:v>
                  </c:pt>
                  <c:pt idx="22">
                    <c:v>0.6179442495534031</c:v>
                  </c:pt>
                  <c:pt idx="23">
                    <c:v>0.62811427222319027</c:v>
                  </c:pt>
                  <c:pt idx="24">
                    <c:v>0.6902606477215163</c:v>
                  </c:pt>
                </c:numCache>
              </c:numRef>
            </c:plus>
            <c:minus>
              <c:numRef>
                <c:f>amyg_TLR!$AH$65:$AH$89</c:f>
                <c:numCache>
                  <c:formatCode>General</c:formatCode>
                  <c:ptCount val="25"/>
                  <c:pt idx="0">
                    <c:v>0.71725080140973108</c:v>
                  </c:pt>
                  <c:pt idx="1">
                    <c:v>0.69376592401956616</c:v>
                  </c:pt>
                  <c:pt idx="2">
                    <c:v>0.62140374960771461</c:v>
                  </c:pt>
                  <c:pt idx="3">
                    <c:v>0.57824038115369092</c:v>
                  </c:pt>
                  <c:pt idx="4">
                    <c:v>0.43961312132435787</c:v>
                  </c:pt>
                  <c:pt idx="5">
                    <c:v>0.4038373120723448</c:v>
                  </c:pt>
                  <c:pt idx="6">
                    <c:v>0.62303145454247777</c:v>
                  </c:pt>
                  <c:pt idx="7">
                    <c:v>0.51665574804074754</c:v>
                  </c:pt>
                  <c:pt idx="8">
                    <c:v>0.5334723022424801</c:v>
                  </c:pt>
                  <c:pt idx="9">
                    <c:v>0.50368644051263611</c:v>
                  </c:pt>
                  <c:pt idx="10">
                    <c:v>0.97766331111325</c:v>
                  </c:pt>
                  <c:pt idx="11">
                    <c:v>0.70912811920467045</c:v>
                  </c:pt>
                  <c:pt idx="12">
                    <c:v>0.60669281960734767</c:v>
                  </c:pt>
                  <c:pt idx="13">
                    <c:v>0.62119643934115831</c:v>
                  </c:pt>
                  <c:pt idx="14">
                    <c:v>0.60534416058485996</c:v>
                  </c:pt>
                  <c:pt idx="15">
                    <c:v>0.60142311234021772</c:v>
                  </c:pt>
                  <c:pt idx="16">
                    <c:v>0.72470687303253167</c:v>
                  </c:pt>
                  <c:pt idx="17">
                    <c:v>0.74431947632773521</c:v>
                  </c:pt>
                  <c:pt idx="18">
                    <c:v>0.48725174639624341</c:v>
                  </c:pt>
                  <c:pt idx="19">
                    <c:v>0.80721512354312397</c:v>
                  </c:pt>
                  <c:pt idx="20">
                    <c:v>0.77613648321180306</c:v>
                  </c:pt>
                  <c:pt idx="21">
                    <c:v>0.76857288362051113</c:v>
                  </c:pt>
                  <c:pt idx="22">
                    <c:v>0.6179442495534031</c:v>
                  </c:pt>
                  <c:pt idx="23">
                    <c:v>0.62811427222319027</c:v>
                  </c:pt>
                  <c:pt idx="24">
                    <c:v>0.6902606477215163</c:v>
                  </c:pt>
                </c:numCache>
              </c:numRef>
            </c:minus>
            <c:spPr>
              <a:ln w="12700">
                <a:solidFill>
                  <a:srgbClr val="000000"/>
                </a:solidFill>
                <a:prstDash val="solid"/>
              </a:ln>
            </c:spPr>
          </c:errBars>
          <c:xVal>
            <c:numRef>
              <c:f>amyg_TLR!$AF$65:$AF$89</c:f>
              <c:numCache>
                <c:formatCode>0.00</c:formatCode>
                <c:ptCount val="25"/>
                <c:pt idx="0">
                  <c:v>0.70733456709000397</c:v>
                </c:pt>
                <c:pt idx="1">
                  <c:v>0.67782603589867751</c:v>
                </c:pt>
                <c:pt idx="2">
                  <c:v>-0.84203086555572937</c:v>
                </c:pt>
                <c:pt idx="3">
                  <c:v>-0.51398466899532258</c:v>
                </c:pt>
                <c:pt idx="4">
                  <c:v>-0.99255583126550895</c:v>
                </c:pt>
                <c:pt idx="5">
                  <c:v>-3.7784521990086986E-2</c:v>
                </c:pt>
                <c:pt idx="6">
                  <c:v>-0.27431282909313648</c:v>
                </c:pt>
                <c:pt idx="7">
                  <c:v>0.56212049415592946</c:v>
                </c:pt>
                <c:pt idx="8">
                  <c:v>-2.7837689479808313E-2</c:v>
                </c:pt>
                <c:pt idx="9">
                  <c:v>-0.42068403988876635</c:v>
                </c:pt>
                <c:pt idx="10">
                  <c:v>-1.2520992641715425</c:v>
                </c:pt>
                <c:pt idx="11">
                  <c:v>-0.72757516484914542</c:v>
                </c:pt>
                <c:pt idx="12">
                  <c:v>0.61468785075894328</c:v>
                </c:pt>
                <c:pt idx="13">
                  <c:v>1.0338036624619766</c:v>
                </c:pt>
                <c:pt idx="14">
                  <c:v>-0.29173878803880171</c:v>
                </c:pt>
                <c:pt idx="15">
                  <c:v>0.10550173834579404</c:v>
                </c:pt>
                <c:pt idx="16">
                  <c:v>-0.37399336841902497</c:v>
                </c:pt>
                <c:pt idx="17">
                  <c:v>0.18729691522498731</c:v>
                </c:pt>
                <c:pt idx="18">
                  <c:v>0.49964841394028592</c:v>
                </c:pt>
                <c:pt idx="19">
                  <c:v>-0.55367619923160527</c:v>
                </c:pt>
                <c:pt idx="20">
                  <c:v>0.5956128328588649</c:v>
                </c:pt>
                <c:pt idx="21">
                  <c:v>-0.44299059284439724</c:v>
                </c:pt>
                <c:pt idx="22">
                  <c:v>0.18038682525915761</c:v>
                </c:pt>
                <c:pt idx="23">
                  <c:v>0.29723366854623262</c:v>
                </c:pt>
                <c:pt idx="24">
                  <c:v>-0.86291931721446791</c:v>
                </c:pt>
              </c:numCache>
            </c:numRef>
          </c:xVal>
          <c:yVal>
            <c:numRef>
              <c:f>amyg_TLR!$G$65:$G$89</c:f>
              <c:numCache>
                <c:formatCode>General</c:formatCode>
                <c:ptCount val="25"/>
                <c:pt idx="0">
                  <c:v>25</c:v>
                </c:pt>
                <c:pt idx="1">
                  <c:v>24</c:v>
                </c:pt>
                <c:pt idx="2">
                  <c:v>23</c:v>
                </c:pt>
                <c:pt idx="3">
                  <c:v>22</c:v>
                </c:pt>
                <c:pt idx="4">
                  <c:v>21</c:v>
                </c:pt>
                <c:pt idx="5">
                  <c:v>20</c:v>
                </c:pt>
                <c:pt idx="6">
                  <c:v>19</c:v>
                </c:pt>
                <c:pt idx="7">
                  <c:v>18</c:v>
                </c:pt>
                <c:pt idx="8">
                  <c:v>17</c:v>
                </c:pt>
                <c:pt idx="9">
                  <c:v>16</c:v>
                </c:pt>
                <c:pt idx="10">
                  <c:v>15</c:v>
                </c:pt>
                <c:pt idx="11">
                  <c:v>14</c:v>
                </c:pt>
                <c:pt idx="12">
                  <c:v>13</c:v>
                </c:pt>
                <c:pt idx="13">
                  <c:v>12</c:v>
                </c:pt>
                <c:pt idx="14">
                  <c:v>11</c:v>
                </c:pt>
                <c:pt idx="15">
                  <c:v>10</c:v>
                </c:pt>
                <c:pt idx="16">
                  <c:v>9</c:v>
                </c:pt>
                <c:pt idx="17">
                  <c:v>8</c:v>
                </c:pt>
                <c:pt idx="18">
                  <c:v>7</c:v>
                </c:pt>
                <c:pt idx="19">
                  <c:v>6</c:v>
                </c:pt>
                <c:pt idx="20">
                  <c:v>5</c:v>
                </c:pt>
                <c:pt idx="21">
                  <c:v>4</c:v>
                </c:pt>
                <c:pt idx="22">
                  <c:v>3</c:v>
                </c:pt>
                <c:pt idx="23">
                  <c:v>2</c:v>
                </c:pt>
                <c:pt idx="24">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amyg_TLR!$AH$97</c:f>
                <c:numCache>
                  <c:formatCode>General</c:formatCode>
                  <c:ptCount val="1"/>
                  <c:pt idx="0">
                    <c:v>0.12075058537297256</c:v>
                  </c:pt>
                </c:numCache>
              </c:numRef>
            </c:plus>
            <c:minus>
              <c:numRef>
                <c:f>amyg_TLR!$AH$98</c:f>
                <c:numCache>
                  <c:formatCode>General</c:formatCode>
                  <c:ptCount val="1"/>
                  <c:pt idx="0">
                    <c:v>0.12075058537297256</c:v>
                  </c:pt>
                </c:numCache>
              </c:numRef>
            </c:minus>
            <c:spPr>
              <a:ln w="12700">
                <a:solidFill>
                  <a:srgbClr val="000000"/>
                </a:solidFill>
                <a:prstDash val="solid"/>
              </a:ln>
            </c:spPr>
          </c:errBars>
          <c:xVal>
            <c:numRef>
              <c:f>amyg_TLR!$AH$96</c:f>
              <c:numCache>
                <c:formatCode>General</c:formatCode>
                <c:ptCount val="1"/>
                <c:pt idx="0">
                  <c:v>-7.3442430969780967E-2</c:v>
                </c:pt>
              </c:numCache>
            </c:numRef>
          </c:xVal>
          <c:yVal>
            <c:numRef>
              <c:f>amyg_TLR!$I$97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amyg_TLR!$AH$101</c:f>
                <c:numCache>
                  <c:formatCode>General</c:formatCode>
                  <c:ptCount val="1"/>
                  <c:pt idx="0">
                    <c:v>0.23472932758459925</c:v>
                  </c:pt>
                </c:numCache>
              </c:numRef>
            </c:plus>
            <c:minus>
              <c:numRef>
                <c:f>amyg_TLR!$AH$102</c:f>
                <c:numCache>
                  <c:formatCode>General</c:formatCode>
                  <c:ptCount val="1"/>
                  <c:pt idx="0">
                    <c:v>0.23472932758459925</c:v>
                  </c:pt>
                </c:numCache>
              </c:numRef>
            </c:minus>
            <c:spPr>
              <a:ln w="12700">
                <a:solidFill>
                  <a:srgbClr val="000000"/>
                </a:solidFill>
                <a:prstDash val="solid"/>
              </a:ln>
            </c:spPr>
          </c:errBars>
          <c:xVal>
            <c:numRef>
              <c:f>amyg_TLR!$AH$100</c:f>
              <c:numCache>
                <c:formatCode>General</c:formatCode>
                <c:ptCount val="1"/>
                <c:pt idx="0">
                  <c:v>-7.3685794860872067E-2</c:v>
                </c:pt>
              </c:numCache>
            </c:numRef>
          </c:xVal>
          <c:yVal>
            <c:numRef>
              <c:f>amyg_TLR!$I$108</c:f>
              <c:numCache>
                <c:formatCode>General</c:formatCode>
                <c:ptCount val="1"/>
                <c:pt idx="0">
                  <c:v>-3</c:v>
                </c:pt>
              </c:numCache>
            </c:numRef>
          </c:yVal>
        </c:ser>
        <c:axId val="133967872"/>
        <c:axId val="133969408"/>
      </c:scatterChart>
      <c:valAx>
        <c:axId val="13396787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3969408"/>
        <c:crosses val="autoZero"/>
        <c:crossBetween val="midCat"/>
      </c:valAx>
      <c:valAx>
        <c:axId val="133969408"/>
        <c:scaling>
          <c:orientation val="minMax"/>
        </c:scaling>
        <c:axPos val="l"/>
        <c:numFmt formatCode="General" sourceLinked="1"/>
        <c:majorTickMark val="none"/>
        <c:tickLblPos val="none"/>
        <c:spPr>
          <a:ln w="3175">
            <a:solidFill>
              <a:srgbClr val="000000"/>
            </a:solidFill>
            <a:prstDash val="solid"/>
          </a:ln>
        </c:spPr>
        <c:crossAx val="1339678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36255748315846"/>
                  <c:y val="-3.4092667652756516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amyg_TLR!$AK$65:$AK$89</c:f>
              <c:numCache>
                <c:formatCode>General</c:formatCode>
                <c:ptCount val="25"/>
                <c:pt idx="0">
                  <c:v>2.732656409930375</c:v>
                </c:pt>
                <c:pt idx="1">
                  <c:v>2.8251603777886363</c:v>
                </c:pt>
                <c:pt idx="2">
                  <c:v>3.1541489751829248</c:v>
                </c:pt>
                <c:pt idx="3">
                  <c:v>3.3895937812047241</c:v>
                </c:pt>
                <c:pt idx="4">
                  <c:v>4.4584656483759995</c:v>
                </c:pt>
                <c:pt idx="5">
                  <c:v>4.8534395941325963</c:v>
                </c:pt>
                <c:pt idx="6">
                  <c:v>3.1459085824797128</c:v>
                </c:pt>
                <c:pt idx="7">
                  <c:v>3.793628557182759</c:v>
                </c:pt>
                <c:pt idx="8">
                  <c:v>3.6740426668095654</c:v>
                </c:pt>
                <c:pt idx="9">
                  <c:v>3.8913098355500177</c:v>
                </c:pt>
                <c:pt idx="10">
                  <c:v>2.0047801505082341</c:v>
                </c:pt>
                <c:pt idx="11">
                  <c:v>2.7639575232163365</c:v>
                </c:pt>
                <c:pt idx="12">
                  <c:v>3.2306299607575943</c:v>
                </c:pt>
                <c:pt idx="13">
                  <c:v>3.1552016010889861</c:v>
                </c:pt>
                <c:pt idx="14">
                  <c:v>3.2378275493833533</c:v>
                </c:pt>
                <c:pt idx="15">
                  <c:v>3.2589369443641401</c:v>
                </c:pt>
                <c:pt idx="16">
                  <c:v>2.7045417574120574</c:v>
                </c:pt>
                <c:pt idx="17">
                  <c:v>2.6332778629817581</c:v>
                </c:pt>
                <c:pt idx="18">
                  <c:v>4.0225612622147207</c:v>
                </c:pt>
                <c:pt idx="19">
                  <c:v>2.4281011874467078</c:v>
                </c:pt>
                <c:pt idx="20">
                  <c:v>2.525329039924963</c:v>
                </c:pt>
                <c:pt idx="21">
                  <c:v>2.5501810456375211</c:v>
                </c:pt>
                <c:pt idx="22">
                  <c:v>3.1718071677445323</c:v>
                </c:pt>
                <c:pt idx="23">
                  <c:v>3.120451304286787</c:v>
                </c:pt>
                <c:pt idx="24">
                  <c:v>2.8395070854318156</c:v>
                </c:pt>
              </c:numCache>
            </c:numRef>
          </c:xVal>
          <c:yVal>
            <c:numRef>
              <c:f>amyg_TLR!$AL$65:$AL$89</c:f>
              <c:numCache>
                <c:formatCode>General</c:formatCode>
                <c:ptCount val="25"/>
                <c:pt idx="0">
                  <c:v>1.9329023387238262</c:v>
                </c:pt>
                <c:pt idx="1">
                  <c:v>1.9149672596544816</c:v>
                </c:pt>
                <c:pt idx="2">
                  <c:v>-2.6558907916649948</c:v>
                </c:pt>
                <c:pt idx="3">
                  <c:v>-1.742199237661114</c:v>
                </c:pt>
                <c:pt idx="4">
                  <c:v>-4.4252760777925566</c:v>
                </c:pt>
                <c:pt idx="5">
                  <c:v>-0.18338489507206196</c:v>
                </c:pt>
                <c:pt idx="6">
                  <c:v>-0.86296308332838878</c:v>
                </c:pt>
                <c:pt idx="7">
                  <c:v>2.1324763592076179</c:v>
                </c:pt>
                <c:pt idx="8">
                  <c:v>-0.10227685889421152</c:v>
                </c:pt>
                <c:pt idx="9">
                  <c:v>-1.6370119420780727</c:v>
                </c:pt>
                <c:pt idx="10">
                  <c:v>-2.5101837512770744</c:v>
                </c:pt>
                <c:pt idx="11">
                  <c:v>-2.0109868505901618</c:v>
                </c:pt>
                <c:pt idx="12">
                  <c:v>1.985828987175535</c:v>
                </c:pt>
                <c:pt idx="13">
                  <c:v>3.2618589710116863</c:v>
                </c:pt>
                <c:pt idx="14">
                  <c:v>-0.94459988513574289</c:v>
                </c:pt>
                <c:pt idx="15">
                  <c:v>0.34382351278974704</c:v>
                </c:pt>
                <c:pt idx="16">
                  <c:v>-1.0114806818844448</c:v>
                </c:pt>
                <c:pt idx="17">
                  <c:v>0.4932048206667301</c:v>
                </c:pt>
                <c:pt idx="18">
                  <c:v>2.0098663546432198</c:v>
                </c:pt>
                <c:pt idx="19">
                  <c:v>-1.3443818368152405</c:v>
                </c:pt>
                <c:pt idx="20">
                  <c:v>1.504118383370465</c:v>
                </c:pt>
                <c:pt idx="21">
                  <c:v>-1.1297062132675104</c:v>
                </c:pt>
                <c:pt idx="22">
                  <c:v>0.5721522253236766</c:v>
                </c:pt>
                <c:pt idx="23">
                  <c:v>0.92750318869303816</c:v>
                </c:pt>
                <c:pt idx="24">
                  <c:v>-2.4502655153864663</c:v>
                </c:pt>
              </c:numCache>
            </c:numRef>
          </c:yVal>
        </c:ser>
        <c:axId val="133989504"/>
        <c:axId val="133991424"/>
      </c:scatterChart>
      <c:valAx>
        <c:axId val="133989504"/>
        <c:scaling>
          <c:orientation val="minMax"/>
        </c:scaling>
        <c:axPos val="b"/>
        <c:title>
          <c:tx>
            <c:rich>
              <a:bodyPr/>
              <a:lstStyle/>
              <a:p>
                <a:pPr>
                  <a:defRPr sz="975" b="1" i="0" u="none" strike="noStrike" baseline="0">
                    <a:solidFill>
                      <a:srgbClr val="000000"/>
                    </a:solidFill>
                    <a:latin typeface="Arial"/>
                    <a:ea typeface="Arial"/>
                    <a:cs typeface="Arial"/>
                  </a:defRPr>
                </a:pPr>
                <a:r>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991424"/>
        <c:crosses val="autoZero"/>
        <c:crossBetween val="midCat"/>
      </c:valAx>
      <c:valAx>
        <c:axId val="133991424"/>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98950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Ant_cing!$AG$43:$AG$48</c:f>
                <c:numCache>
                  <c:formatCode>General</c:formatCode>
                  <c:ptCount val="6"/>
                  <c:pt idx="0">
                    <c:v>0.67329134357555465</c:v>
                  </c:pt>
                  <c:pt idx="1">
                    <c:v>0.42113585133319453</c:v>
                  </c:pt>
                  <c:pt idx="2">
                    <c:v>0.40430521024394045</c:v>
                  </c:pt>
                  <c:pt idx="3">
                    <c:v>0.52976276693175384</c:v>
                  </c:pt>
                  <c:pt idx="4">
                    <c:v>0.42782834859243568</c:v>
                  </c:pt>
                  <c:pt idx="5">
                    <c:v>0.31411770069204853</c:v>
                  </c:pt>
                </c:numCache>
              </c:numRef>
            </c:plus>
            <c:minus>
              <c:numRef>
                <c:f>Ant_cing!$AH$43:$AH$48</c:f>
                <c:numCache>
                  <c:formatCode>General</c:formatCode>
                  <c:ptCount val="6"/>
                  <c:pt idx="0">
                    <c:v>0.67329134357555465</c:v>
                  </c:pt>
                  <c:pt idx="1">
                    <c:v>0.42113585133319453</c:v>
                  </c:pt>
                  <c:pt idx="2">
                    <c:v>0.40430521024394045</c:v>
                  </c:pt>
                  <c:pt idx="3">
                    <c:v>0.52976276693175384</c:v>
                  </c:pt>
                  <c:pt idx="4">
                    <c:v>0.42782834859243568</c:v>
                  </c:pt>
                  <c:pt idx="5">
                    <c:v>0.31411770069204853</c:v>
                  </c:pt>
                </c:numCache>
              </c:numRef>
            </c:minus>
            <c:spPr>
              <a:ln w="12700">
                <a:solidFill>
                  <a:srgbClr val="000000"/>
                </a:solidFill>
                <a:prstDash val="solid"/>
              </a:ln>
            </c:spPr>
          </c:errBars>
          <c:xVal>
            <c:numRef>
              <c:f>Ant_cing!$AF$43:$AF$48</c:f>
              <c:numCache>
                <c:formatCode>0.00</c:formatCode>
                <c:ptCount val="6"/>
                <c:pt idx="0">
                  <c:v>-0.28814530704470598</c:v>
                </c:pt>
                <c:pt idx="1">
                  <c:v>-0.40613644808338584</c:v>
                </c:pt>
                <c:pt idx="2">
                  <c:v>0.14261145721201246</c:v>
                </c:pt>
                <c:pt idx="3">
                  <c:v>-0.99576545800844196</c:v>
                </c:pt>
                <c:pt idx="4">
                  <c:v>0</c:v>
                </c:pt>
                <c:pt idx="5">
                  <c:v>0.11510647639090753</c:v>
                </c:pt>
              </c:numCache>
            </c:numRef>
          </c:xVal>
          <c:yVal>
            <c:numRef>
              <c:f>Ant_cing!$G$43:$G$48</c:f>
              <c:numCache>
                <c:formatCode>General</c:formatCode>
                <c:ptCount val="6"/>
                <c:pt idx="0">
                  <c:v>7</c:v>
                </c:pt>
                <c:pt idx="1">
                  <c:v>5</c:v>
                </c:pt>
                <c:pt idx="2">
                  <c:v>4</c:v>
                </c:pt>
                <c:pt idx="3">
                  <c:v>3</c:v>
                </c:pt>
                <c:pt idx="4">
                  <c:v>2</c:v>
                </c:pt>
                <c:pt idx="5">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Ant_cing!$AH$56</c:f>
                <c:numCache>
                  <c:formatCode>General</c:formatCode>
                  <c:ptCount val="1"/>
                  <c:pt idx="0">
                    <c:v>0.17375338492445089</c:v>
                  </c:pt>
                </c:numCache>
              </c:numRef>
            </c:plus>
            <c:minus>
              <c:numRef>
                <c:f>Ant_cing!$AH$57</c:f>
                <c:numCache>
                  <c:formatCode>General</c:formatCode>
                  <c:ptCount val="1"/>
                  <c:pt idx="0">
                    <c:v>0.17375338492445089</c:v>
                  </c:pt>
                </c:numCache>
              </c:numRef>
            </c:minus>
            <c:spPr>
              <a:ln w="12700">
                <a:solidFill>
                  <a:srgbClr val="000000"/>
                </a:solidFill>
                <a:prstDash val="solid"/>
              </a:ln>
            </c:spPr>
          </c:errBars>
          <c:xVal>
            <c:numRef>
              <c:f>Ant_cing!$AH$55</c:f>
              <c:numCache>
                <c:formatCode>General</c:formatCode>
                <c:ptCount val="1"/>
                <c:pt idx="0">
                  <c:v>-0.13388328482491116</c:v>
                </c:pt>
              </c:numCache>
            </c:numRef>
          </c:xVal>
          <c:yVal>
            <c:numRef>
              <c:f>Ant_cing!$I$56</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Ant_cing!$AH$60</c:f>
                <c:numCache>
                  <c:formatCode>General</c:formatCode>
                  <c:ptCount val="1"/>
                  <c:pt idx="0">
                    <c:v>0.32791363236535015</c:v>
                  </c:pt>
                </c:numCache>
              </c:numRef>
            </c:plus>
            <c:minus>
              <c:numRef>
                <c:f>Ant_cing!$AH$61</c:f>
                <c:numCache>
                  <c:formatCode>General</c:formatCode>
                  <c:ptCount val="1"/>
                  <c:pt idx="0">
                    <c:v>0.32791363236535015</c:v>
                  </c:pt>
                </c:numCache>
              </c:numRef>
            </c:minus>
            <c:spPr>
              <a:ln w="12700">
                <a:solidFill>
                  <a:srgbClr val="000000"/>
                </a:solidFill>
                <a:prstDash val="solid"/>
              </a:ln>
            </c:spPr>
          </c:errBars>
          <c:xVal>
            <c:numRef>
              <c:f>Ant_cing!$AH$59</c:f>
              <c:numCache>
                <c:formatCode>General</c:formatCode>
                <c:ptCount val="1"/>
                <c:pt idx="0">
                  <c:v>-0.20663830747560413</c:v>
                </c:pt>
              </c:numCache>
            </c:numRef>
          </c:xVal>
          <c:yVal>
            <c:numRef>
              <c:f>Ant_cing!$I$67</c:f>
              <c:numCache>
                <c:formatCode>General</c:formatCode>
                <c:ptCount val="1"/>
                <c:pt idx="0">
                  <c:v>-3</c:v>
                </c:pt>
              </c:numCache>
            </c:numRef>
          </c:yVal>
        </c:ser>
        <c:axId val="134326528"/>
        <c:axId val="134344704"/>
      </c:scatterChart>
      <c:valAx>
        <c:axId val="134326528"/>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4344704"/>
        <c:crosses val="autoZero"/>
        <c:crossBetween val="midCat"/>
      </c:valAx>
      <c:valAx>
        <c:axId val="134344704"/>
        <c:scaling>
          <c:orientation val="minMax"/>
        </c:scaling>
        <c:axPos val="l"/>
        <c:numFmt formatCode="General" sourceLinked="1"/>
        <c:majorTickMark val="none"/>
        <c:tickLblPos val="none"/>
        <c:spPr>
          <a:ln w="3175">
            <a:solidFill>
              <a:srgbClr val="000000"/>
            </a:solidFill>
            <a:prstDash val="solid"/>
          </a:ln>
        </c:spPr>
        <c:crossAx val="134326528"/>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025948351307637"/>
                  <c:y val="-3.389951566531745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LatVent_CT!$AK$41:$AK$50</c:f>
              <c:numCache>
                <c:formatCode>General</c:formatCode>
                <c:ptCount val="10"/>
                <c:pt idx="0">
                  <c:v>1.8913968325840127</c:v>
                </c:pt>
                <c:pt idx="1">
                  <c:v>3.4253754962437584</c:v>
                </c:pt>
                <c:pt idx="2">
                  <c:v>2.7719652076373791</c:v>
                </c:pt>
                <c:pt idx="3">
                  <c:v>4.3874199861467753</c:v>
                </c:pt>
                <c:pt idx="4">
                  <c:v>2.131804661886521</c:v>
                </c:pt>
                <c:pt idx="5">
                  <c:v>2.4437828414809588</c:v>
                </c:pt>
                <c:pt idx="6">
                  <c:v>4.2583283630233755</c:v>
                </c:pt>
                <c:pt idx="7">
                  <c:v>2.3310127515014161</c:v>
                </c:pt>
                <c:pt idx="8">
                  <c:v>3.021210171350758</c:v>
                </c:pt>
                <c:pt idx="9">
                  <c:v>2.0729664934484373</c:v>
                </c:pt>
              </c:numCache>
            </c:numRef>
          </c:xVal>
          <c:yVal>
            <c:numRef>
              <c:f>LatVent_CT!$AL$41:$AL$50</c:f>
              <c:numCache>
                <c:formatCode>General</c:formatCode>
                <c:ptCount val="10"/>
                <c:pt idx="0">
                  <c:v>3.023061059810741</c:v>
                </c:pt>
                <c:pt idx="1">
                  <c:v>-3.6055294393296008E-2</c:v>
                </c:pt>
                <c:pt idx="2">
                  <c:v>2.0200842453366255</c:v>
                </c:pt>
                <c:pt idx="3">
                  <c:v>0.7601930584170089</c:v>
                </c:pt>
                <c:pt idx="4">
                  <c:v>-0.1392772113002049</c:v>
                </c:pt>
                <c:pt idx="5">
                  <c:v>1.8281427799551007</c:v>
                </c:pt>
                <c:pt idx="6">
                  <c:v>2.2433354482950367</c:v>
                </c:pt>
                <c:pt idx="7">
                  <c:v>-0.22224900932254282</c:v>
                </c:pt>
                <c:pt idx="8">
                  <c:v>1.5133388416127311</c:v>
                </c:pt>
                <c:pt idx="9">
                  <c:v>2.8105481252365263</c:v>
                </c:pt>
              </c:numCache>
            </c:numRef>
          </c:yVal>
        </c:ser>
        <c:axId val="103033472"/>
        <c:axId val="103076608"/>
      </c:scatterChart>
      <c:valAx>
        <c:axId val="10303347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3076608"/>
        <c:crosses val="autoZero"/>
        <c:crossBetween val="midCat"/>
      </c:valAx>
      <c:valAx>
        <c:axId val="103076608"/>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303347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0054567603073215"/>
                  <c:y val="-0.18261292104361088"/>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Ant_cing!$AK$43:$AK$48</c:f>
              <c:numCache>
                <c:formatCode>General</c:formatCode>
                <c:ptCount val="6"/>
                <c:pt idx="0">
                  <c:v>2.9110726265858413</c:v>
                </c:pt>
                <c:pt idx="1">
                  <c:v>4.6540801354128503</c:v>
                </c:pt>
                <c:pt idx="2">
                  <c:v>4.8478227594876158</c:v>
                </c:pt>
                <c:pt idx="3">
                  <c:v>3.6997692596476774</c:v>
                </c:pt>
                <c:pt idx="4">
                  <c:v>4.5812765948035965</c:v>
                </c:pt>
                <c:pt idx="5">
                  <c:v>6.2396993091501214</c:v>
                </c:pt>
              </c:numCache>
            </c:numRef>
          </c:xVal>
          <c:yVal>
            <c:numRef>
              <c:f>Ant_cing!$AL$43:$AL$48</c:f>
              <c:numCache>
                <c:formatCode>General</c:formatCode>
                <c:ptCount val="6"/>
                <c:pt idx="0">
                  <c:v>-0.83881191581701597</c:v>
                </c:pt>
                <c:pt idx="1">
                  <c:v>-1.8901915752920184</c:v>
                </c:pt>
                <c:pt idx="2">
                  <c:v>0.69135506803608826</c:v>
                </c:pt>
                <c:pt idx="3">
                  <c:v>-3.6841024313586237</c:v>
                </c:pt>
                <c:pt idx="4">
                  <c:v>0</c:v>
                </c:pt>
                <c:pt idx="5">
                  <c:v>0.71822980121505042</c:v>
                </c:pt>
              </c:numCache>
            </c:numRef>
          </c:yVal>
        </c:ser>
        <c:axId val="134614400"/>
        <c:axId val="134637056"/>
      </c:scatterChart>
      <c:valAx>
        <c:axId val="13461440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4637056"/>
        <c:crosses val="autoZero"/>
        <c:crossBetween val="midCat"/>
      </c:valAx>
      <c:valAx>
        <c:axId val="134637056"/>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46144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L_Ant_cing!$AG$35:$AG$38</c:f>
                <c:numCache>
                  <c:formatCode>General</c:formatCode>
                  <c:ptCount val="4"/>
                  <c:pt idx="0">
                    <c:v>0.54385734911591355</c:v>
                  </c:pt>
                  <c:pt idx="1">
                    <c:v>0.4279813328805217</c:v>
                  </c:pt>
                  <c:pt idx="2">
                    <c:v>0.31651575895363315</c:v>
                  </c:pt>
                  <c:pt idx="3">
                    <c:v>0.40613050941554096</c:v>
                  </c:pt>
                </c:numCache>
              </c:numRef>
            </c:plus>
            <c:minus>
              <c:numRef>
                <c:f>L_Ant_cing!$AH$35:$AH$38</c:f>
                <c:numCache>
                  <c:formatCode>General</c:formatCode>
                  <c:ptCount val="4"/>
                  <c:pt idx="0">
                    <c:v>0.54385734911591355</c:v>
                  </c:pt>
                  <c:pt idx="1">
                    <c:v>0.4279813328805217</c:v>
                  </c:pt>
                  <c:pt idx="2">
                    <c:v>0.31651575895363315</c:v>
                  </c:pt>
                  <c:pt idx="3">
                    <c:v>0.40613050941554096</c:v>
                  </c:pt>
                </c:numCache>
              </c:numRef>
            </c:minus>
            <c:spPr>
              <a:ln w="12700">
                <a:solidFill>
                  <a:srgbClr val="000000"/>
                </a:solidFill>
                <a:prstDash val="solid"/>
              </a:ln>
            </c:spPr>
          </c:errBars>
          <c:xVal>
            <c:numRef>
              <c:f>L_Ant_cing!$AF$35:$AF$38</c:f>
              <c:numCache>
                <c:formatCode>0.00</c:formatCode>
                <c:ptCount val="4"/>
                <c:pt idx="0">
                  <c:v>-1.2037235984735462</c:v>
                </c:pt>
                <c:pt idx="1">
                  <c:v>7.387180858655823E-2</c:v>
                </c:pt>
                <c:pt idx="2">
                  <c:v>0.36465091833193153</c:v>
                </c:pt>
                <c:pt idx="3">
                  <c:v>0.30711205274804054</c:v>
                </c:pt>
              </c:numCache>
            </c:numRef>
          </c:xVal>
          <c:yVal>
            <c:numRef>
              <c:f>L_Ant_cing!$G$35:$G$38</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L_Ant_cing!$AH$46</c:f>
                <c:numCache>
                  <c:formatCode>General</c:formatCode>
                  <c:ptCount val="1"/>
                  <c:pt idx="0">
                    <c:v>0.20046200286064755</c:v>
                  </c:pt>
                </c:numCache>
              </c:numRef>
            </c:plus>
            <c:minus>
              <c:numRef>
                <c:f>L_Ant_cing!$AH$47</c:f>
                <c:numCache>
                  <c:formatCode>General</c:formatCode>
                  <c:ptCount val="1"/>
                  <c:pt idx="0">
                    <c:v>0.20046200286064755</c:v>
                  </c:pt>
                </c:numCache>
              </c:numRef>
            </c:minus>
            <c:spPr>
              <a:ln w="12700">
                <a:solidFill>
                  <a:srgbClr val="000000"/>
                </a:solidFill>
                <a:prstDash val="solid"/>
              </a:ln>
            </c:spPr>
          </c:errBars>
          <c:xVal>
            <c:numRef>
              <c:f>L_Ant_cing!$AH$45</c:f>
              <c:numCache>
                <c:formatCode>General</c:formatCode>
                <c:ptCount val="1"/>
                <c:pt idx="0">
                  <c:v>7.3758375379142913E-2</c:v>
                </c:pt>
              </c:numCache>
            </c:numRef>
          </c:xVal>
          <c:yVal>
            <c:numRef>
              <c:f>L_Ant_cing!$I$46</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L_Ant_cing!$AH$50</c:f>
                <c:numCache>
                  <c:formatCode>General</c:formatCode>
                  <c:ptCount val="1"/>
                  <c:pt idx="0">
                    <c:v>0.60462897556643946</c:v>
                  </c:pt>
                </c:numCache>
              </c:numRef>
            </c:plus>
            <c:minus>
              <c:numRef>
                <c:f>L_Ant_cing!$AH$51</c:f>
                <c:numCache>
                  <c:formatCode>General</c:formatCode>
                  <c:ptCount val="1"/>
                  <c:pt idx="0">
                    <c:v>0.60462897556643946</c:v>
                  </c:pt>
                </c:numCache>
              </c:numRef>
            </c:minus>
            <c:spPr>
              <a:ln w="12700">
                <a:solidFill>
                  <a:srgbClr val="000000"/>
                </a:solidFill>
                <a:prstDash val="solid"/>
              </a:ln>
            </c:spPr>
          </c:errBars>
          <c:xVal>
            <c:numRef>
              <c:f>L_Ant_cing!$AH$49</c:f>
              <c:numCache>
                <c:formatCode>General</c:formatCode>
                <c:ptCount val="1"/>
                <c:pt idx="0">
                  <c:v>-8.653158691284131E-2</c:v>
                </c:pt>
              </c:numCache>
            </c:numRef>
          </c:xVal>
          <c:yVal>
            <c:numRef>
              <c:f>L_Ant_cing!$I$57</c:f>
              <c:numCache>
                <c:formatCode>General</c:formatCode>
                <c:ptCount val="1"/>
                <c:pt idx="0">
                  <c:v>-3</c:v>
                </c:pt>
              </c:numCache>
            </c:numRef>
          </c:yVal>
        </c:ser>
        <c:axId val="134801280"/>
        <c:axId val="134802816"/>
      </c:scatterChart>
      <c:valAx>
        <c:axId val="13480128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4802816"/>
        <c:crosses val="autoZero"/>
        <c:crossBetween val="midCat"/>
      </c:valAx>
      <c:valAx>
        <c:axId val="134802816"/>
        <c:scaling>
          <c:orientation val="minMax"/>
        </c:scaling>
        <c:axPos val="l"/>
        <c:numFmt formatCode="General" sourceLinked="1"/>
        <c:majorTickMark val="none"/>
        <c:tickLblPos val="none"/>
        <c:spPr>
          <a:ln w="3175">
            <a:solidFill>
              <a:srgbClr val="000000"/>
            </a:solidFill>
            <a:prstDash val="solid"/>
          </a:ln>
        </c:spPr>
        <c:crossAx val="13480128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371149589176195"/>
          <c:y val="8.3700305497941455E-2"/>
          <c:w val="0.83762992010047743"/>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9510140107408797"/>
                  <c:y val="-5.137294773250693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L_Ant_cing!$AK$35:$AK$38</c:f>
              <c:numCache>
                <c:formatCode>General</c:formatCode>
                <c:ptCount val="4"/>
                <c:pt idx="0">
                  <c:v>3.6038862087386465</c:v>
                </c:pt>
                <c:pt idx="1">
                  <c:v>4.5796389922155027</c:v>
                </c:pt>
                <c:pt idx="2">
                  <c:v>6.1924246883616405</c:v>
                </c:pt>
                <c:pt idx="3">
                  <c:v>4.8260348694822746</c:v>
                </c:pt>
              </c:numCache>
            </c:numRef>
          </c:xVal>
          <c:yVal>
            <c:numRef>
              <c:f>L_Ant_cing!$AL$35:$AL$38</c:f>
              <c:numCache>
                <c:formatCode>General</c:formatCode>
                <c:ptCount val="4"/>
                <c:pt idx="0">
                  <c:v>-4.3380828756720691</c:v>
                </c:pt>
                <c:pt idx="1">
                  <c:v>0.33830621502848207</c:v>
                </c:pt>
                <c:pt idx="2">
                  <c:v>2.2580733493123972</c:v>
                </c:pt>
                <c:pt idx="3">
                  <c:v>1.4821334754003233</c:v>
                </c:pt>
              </c:numCache>
            </c:numRef>
          </c:yVal>
        </c:ser>
        <c:axId val="134593152"/>
        <c:axId val="134603520"/>
      </c:scatterChart>
      <c:valAx>
        <c:axId val="13459315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2706510268690601"/>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4603520"/>
        <c:crosses val="autoZero"/>
        <c:crossBetween val="midCat"/>
      </c:valAx>
      <c:valAx>
        <c:axId val="134603520"/>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45931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R_Ant_cing!$AG$36:$AG$39</c:f>
                <c:numCache>
                  <c:formatCode>General</c:formatCode>
                  <c:ptCount val="4"/>
                  <c:pt idx="0">
                    <c:v>0.51276534546317276</c:v>
                  </c:pt>
                  <c:pt idx="1">
                    <c:v>0.42804976183623394</c:v>
                  </c:pt>
                  <c:pt idx="2">
                    <c:v>0.31430764513613074</c:v>
                  </c:pt>
                  <c:pt idx="3">
                    <c:v>0.40386213875191074</c:v>
                  </c:pt>
                </c:numCache>
              </c:numRef>
            </c:plus>
            <c:minus>
              <c:numRef>
                <c:f>R_Ant_cing!$AH$36:$AH$39</c:f>
                <c:numCache>
                  <c:formatCode>General</c:formatCode>
                  <c:ptCount val="4"/>
                  <c:pt idx="0">
                    <c:v>0.51276534546317276</c:v>
                  </c:pt>
                  <c:pt idx="1">
                    <c:v>0.42804976183623394</c:v>
                  </c:pt>
                  <c:pt idx="2">
                    <c:v>0.31430764513613074</c:v>
                  </c:pt>
                  <c:pt idx="3">
                    <c:v>0.40386213875191074</c:v>
                  </c:pt>
                </c:numCache>
              </c:numRef>
            </c:minus>
            <c:spPr>
              <a:ln w="12700">
                <a:solidFill>
                  <a:srgbClr val="000000"/>
                </a:solidFill>
                <a:prstDash val="solid"/>
              </a:ln>
            </c:spPr>
          </c:errBars>
          <c:xVal>
            <c:numRef>
              <c:f>R_Ant_cing!$AF$36:$AF$39</c:f>
              <c:numCache>
                <c:formatCode>0.00</c:formatCode>
                <c:ptCount val="4"/>
                <c:pt idx="0">
                  <c:v>-0.67521689055451362</c:v>
                </c:pt>
                <c:pt idx="1">
                  <c:v>-8.8873948657625351E-2</c:v>
                </c:pt>
                <c:pt idx="2">
                  <c:v>-0.15066218640391979</c:v>
                </c:pt>
                <c:pt idx="3">
                  <c:v>4.9300138617886513E-2</c:v>
                </c:pt>
              </c:numCache>
            </c:numRef>
          </c:xVal>
          <c:yVal>
            <c:numRef>
              <c:f>R_Ant_cing!$G$36:$G$39</c:f>
              <c:numCache>
                <c:formatCode>General</c:formatCode>
                <c:ptCount val="4"/>
                <c:pt idx="0">
                  <c:v>4</c:v>
                </c:pt>
                <c:pt idx="1">
                  <c:v>3</c:v>
                </c:pt>
                <c:pt idx="2">
                  <c:v>2</c:v>
                </c:pt>
                <c:pt idx="3">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R_Ant_cing!$AH$47</c:f>
                <c:numCache>
                  <c:formatCode>General</c:formatCode>
                  <c:ptCount val="1"/>
                  <c:pt idx="0">
                    <c:v>0.19797272870915963</c:v>
                  </c:pt>
                </c:numCache>
              </c:numRef>
            </c:plus>
            <c:minus>
              <c:numRef>
                <c:f>R_Ant_cing!$AH$48</c:f>
                <c:numCache>
                  <c:formatCode>General</c:formatCode>
                  <c:ptCount val="1"/>
                  <c:pt idx="0">
                    <c:v>0.19797272870915963</c:v>
                  </c:pt>
                </c:numCache>
              </c:numRef>
            </c:minus>
            <c:spPr>
              <a:ln w="12700">
                <a:solidFill>
                  <a:srgbClr val="000000"/>
                </a:solidFill>
                <a:prstDash val="solid"/>
              </a:ln>
            </c:spPr>
          </c:errBars>
          <c:xVal>
            <c:numRef>
              <c:f>R_Ant_cing!$AH$46</c:f>
              <c:numCache>
                <c:formatCode>General</c:formatCode>
                <c:ptCount val="1"/>
                <c:pt idx="0">
                  <c:v>-0.16758775489737501</c:v>
                </c:pt>
              </c:numCache>
            </c:numRef>
          </c:xVal>
          <c:yVal>
            <c:numRef>
              <c:f>R_Ant_cing!$I$47</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R_Ant_cing!$AH$51</c:f>
                <c:numCache>
                  <c:formatCode>General</c:formatCode>
                  <c:ptCount val="1"/>
                  <c:pt idx="0">
                    <c:v>0.26227929819273088</c:v>
                  </c:pt>
                </c:numCache>
              </c:numRef>
            </c:plus>
            <c:minus>
              <c:numRef>
                <c:f>R_Ant_cing!$AH$52</c:f>
                <c:numCache>
                  <c:formatCode>General</c:formatCode>
                  <c:ptCount val="1"/>
                  <c:pt idx="0">
                    <c:v>0.26227929819273088</c:v>
                  </c:pt>
                </c:numCache>
              </c:numRef>
            </c:minus>
            <c:spPr>
              <a:ln w="12700">
                <a:solidFill>
                  <a:srgbClr val="000000"/>
                </a:solidFill>
                <a:prstDash val="solid"/>
              </a:ln>
            </c:spPr>
          </c:errBars>
          <c:xVal>
            <c:numRef>
              <c:f>R_Ant_cing!$AH$50</c:f>
              <c:numCache>
                <c:formatCode>General</c:formatCode>
                <c:ptCount val="1"/>
                <c:pt idx="0">
                  <c:v>-0.18255632350922313</c:v>
                </c:pt>
              </c:numCache>
            </c:numRef>
          </c:xVal>
          <c:yVal>
            <c:numRef>
              <c:f>R_Ant_cing!$I$58</c:f>
              <c:numCache>
                <c:formatCode>General</c:formatCode>
                <c:ptCount val="1"/>
                <c:pt idx="0">
                  <c:v>-3</c:v>
                </c:pt>
              </c:numCache>
            </c:numRef>
          </c:yVal>
        </c:ser>
        <c:axId val="129827584"/>
        <c:axId val="129829120"/>
      </c:scatterChart>
      <c:valAx>
        <c:axId val="129827584"/>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829120"/>
        <c:crosses val="autoZero"/>
        <c:crossBetween val="midCat"/>
      </c:valAx>
      <c:valAx>
        <c:axId val="129829120"/>
        <c:scaling>
          <c:orientation val="minMax"/>
        </c:scaling>
        <c:axPos val="l"/>
        <c:numFmt formatCode="General" sourceLinked="1"/>
        <c:majorTickMark val="none"/>
        <c:tickLblPos val="none"/>
        <c:spPr>
          <a:ln w="3175">
            <a:solidFill>
              <a:srgbClr val="000000"/>
            </a:solidFill>
            <a:prstDash val="solid"/>
          </a:ln>
        </c:spPr>
        <c:crossAx val="129827584"/>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030939833132532"/>
                  <c:y val="-3.3341774662949915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R_Ant_cing!$AK$36:$AK$39</c:f>
              <c:numCache>
                <c:formatCode>General</c:formatCode>
                <c:ptCount val="4"/>
                <c:pt idx="0">
                  <c:v>3.8224112010330242</c:v>
                </c:pt>
                <c:pt idx="1">
                  <c:v>4.5789068812748681</c:v>
                </c:pt>
                <c:pt idx="2">
                  <c:v>6.2359284934068286</c:v>
                </c:pt>
                <c:pt idx="3">
                  <c:v>4.8531412378916068</c:v>
                </c:pt>
              </c:numCache>
            </c:numRef>
          </c:xVal>
          <c:yVal>
            <c:numRef>
              <c:f>R_Ant_cing!$AL$36:$AL$39</c:f>
              <c:numCache>
                <c:formatCode>General</c:formatCode>
                <c:ptCount val="4"/>
                <c:pt idx="0">
                  <c:v>-2.5809566055822626</c:v>
                </c:pt>
                <c:pt idx="1">
                  <c:v>-0.40694553507447001</c:v>
                </c:pt>
                <c:pt idx="2">
                  <c:v>-0.93951862107517425</c:v>
                </c:pt>
                <c:pt idx="3">
                  <c:v>0.23926053576023756</c:v>
                </c:pt>
              </c:numCache>
            </c:numRef>
          </c:yVal>
        </c:ser>
        <c:axId val="129857792"/>
        <c:axId val="134820992"/>
      </c:scatterChart>
      <c:valAx>
        <c:axId val="12985779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4820992"/>
        <c:crosses val="autoZero"/>
        <c:crossBetween val="midCat"/>
      </c:valAx>
      <c:valAx>
        <c:axId val="13482099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85779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L_Frontal!$AG$37:$AG$43</c:f>
                <c:numCache>
                  <c:formatCode>General</c:formatCode>
                  <c:ptCount val="7"/>
                  <c:pt idx="0">
                    <c:v>0.70022511156842948</c:v>
                  </c:pt>
                  <c:pt idx="1">
                    <c:v>0.76115457064658054</c:v>
                  </c:pt>
                  <c:pt idx="2">
                    <c:v>0.5916392693510778</c:v>
                  </c:pt>
                  <c:pt idx="3">
                    <c:v>0.60647475308608889</c:v>
                  </c:pt>
                  <c:pt idx="4">
                    <c:v>0.59299064598352103</c:v>
                  </c:pt>
                  <c:pt idx="5">
                    <c:v>0.73337941663369099</c:v>
                  </c:pt>
                  <c:pt idx="6">
                    <c:v>0.56206399736186996</c:v>
                  </c:pt>
                </c:numCache>
              </c:numRef>
            </c:plus>
            <c:minus>
              <c:numRef>
                <c:f>L_Frontal!$AH$37:$AH$43</c:f>
                <c:numCache>
                  <c:formatCode>General</c:formatCode>
                  <c:ptCount val="7"/>
                  <c:pt idx="0">
                    <c:v>0.70022511156842948</c:v>
                  </c:pt>
                  <c:pt idx="1">
                    <c:v>0.76115457064658054</c:v>
                  </c:pt>
                  <c:pt idx="2">
                    <c:v>0.5916392693510778</c:v>
                  </c:pt>
                  <c:pt idx="3">
                    <c:v>0.60647475308608889</c:v>
                  </c:pt>
                  <c:pt idx="4">
                    <c:v>0.59299064598352103</c:v>
                  </c:pt>
                  <c:pt idx="5">
                    <c:v>0.73337941663369099</c:v>
                  </c:pt>
                  <c:pt idx="6">
                    <c:v>0.56206399736186996</c:v>
                  </c:pt>
                </c:numCache>
              </c:numRef>
            </c:minus>
            <c:spPr>
              <a:ln w="12700">
                <a:solidFill>
                  <a:srgbClr val="000000"/>
                </a:solidFill>
                <a:prstDash val="solid"/>
              </a:ln>
            </c:spPr>
          </c:errBars>
          <c:xVal>
            <c:numRef>
              <c:f>L_Frontal!$AF$37:$AF$43</c:f>
              <c:numCache>
                <c:formatCode>0.00</c:formatCode>
                <c:ptCount val="7"/>
                <c:pt idx="0">
                  <c:v>-0.38440598820195143</c:v>
                </c:pt>
                <c:pt idx="1">
                  <c:v>-0.59615776907713813</c:v>
                </c:pt>
                <c:pt idx="2">
                  <c:v>0.12922271019443518</c:v>
                </c:pt>
                <c:pt idx="3">
                  <c:v>4.271912064149537E-2</c:v>
                </c:pt>
                <c:pt idx="4">
                  <c:v>-0.19192155882306236</c:v>
                </c:pt>
                <c:pt idx="5">
                  <c:v>0.13197357318278125</c:v>
                </c:pt>
                <c:pt idx="6">
                  <c:v>-0.10645052003030563</c:v>
                </c:pt>
              </c:numCache>
            </c:numRef>
          </c:xVal>
          <c:yVal>
            <c:numRef>
              <c:f>L_Frontal!$G$37:$G$43</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L_Frontal!$AH$51</c:f>
                <c:numCache>
                  <c:formatCode>General</c:formatCode>
                  <c:ptCount val="1"/>
                  <c:pt idx="0">
                    <c:v>0.24105355025858288</c:v>
                  </c:pt>
                </c:numCache>
              </c:numRef>
            </c:plus>
            <c:minus>
              <c:numRef>
                <c:f>L_Frontal!$AH$52</c:f>
                <c:numCache>
                  <c:formatCode>General</c:formatCode>
                  <c:ptCount val="1"/>
                  <c:pt idx="0">
                    <c:v>0.24105355025858288</c:v>
                  </c:pt>
                </c:numCache>
              </c:numRef>
            </c:minus>
            <c:spPr>
              <a:ln w="12700">
                <a:solidFill>
                  <a:srgbClr val="000000"/>
                </a:solidFill>
                <a:prstDash val="solid"/>
              </a:ln>
            </c:spPr>
          </c:errBars>
          <c:xVal>
            <c:numRef>
              <c:f>L_Frontal!$AH$50</c:f>
              <c:numCache>
                <c:formatCode>General</c:formatCode>
                <c:ptCount val="1"/>
                <c:pt idx="0">
                  <c:v>-0.11418350396787176</c:v>
                </c:pt>
              </c:numCache>
            </c:numRef>
          </c:xVal>
          <c:yVal>
            <c:numRef>
              <c:f>L_Frontal!$I$51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L_Frontal!$AH$55</c:f>
                <c:numCache>
                  <c:formatCode>General</c:formatCode>
                  <c:ptCount val="1"/>
                  <c:pt idx="0">
                    <c:v>0.24105355025858288</c:v>
                  </c:pt>
                </c:numCache>
              </c:numRef>
            </c:plus>
            <c:minus>
              <c:numRef>
                <c:f>L_Frontal!$AH$56</c:f>
                <c:numCache>
                  <c:formatCode>General</c:formatCode>
                  <c:ptCount val="1"/>
                  <c:pt idx="0">
                    <c:v>0.24105355025858288</c:v>
                  </c:pt>
                </c:numCache>
              </c:numRef>
            </c:minus>
            <c:spPr>
              <a:ln w="12700">
                <a:solidFill>
                  <a:srgbClr val="000000"/>
                </a:solidFill>
                <a:prstDash val="solid"/>
              </a:ln>
            </c:spPr>
          </c:errBars>
          <c:xVal>
            <c:numRef>
              <c:f>L_Frontal!$AH$54</c:f>
              <c:numCache>
                <c:formatCode>General</c:formatCode>
                <c:ptCount val="1"/>
                <c:pt idx="0">
                  <c:v>-0.11418350396787176</c:v>
                </c:pt>
              </c:numCache>
            </c:numRef>
          </c:xVal>
          <c:yVal>
            <c:numRef>
              <c:f>L_Frontal!$I$62</c:f>
              <c:numCache>
                <c:formatCode>General</c:formatCode>
                <c:ptCount val="1"/>
                <c:pt idx="0">
                  <c:v>-3</c:v>
                </c:pt>
              </c:numCache>
            </c:numRef>
          </c:yVal>
        </c:ser>
        <c:axId val="133569152"/>
        <c:axId val="133583232"/>
      </c:scatterChart>
      <c:valAx>
        <c:axId val="133569152"/>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3583232"/>
        <c:crosses val="autoZero"/>
        <c:crossBetween val="midCat"/>
      </c:valAx>
      <c:valAx>
        <c:axId val="133583232"/>
        <c:scaling>
          <c:orientation val="minMax"/>
        </c:scaling>
        <c:axPos val="l"/>
        <c:numFmt formatCode="General" sourceLinked="1"/>
        <c:majorTickMark val="none"/>
        <c:tickLblPos val="none"/>
        <c:spPr>
          <a:ln w="3175">
            <a:solidFill>
              <a:srgbClr val="000000"/>
            </a:solidFill>
            <a:prstDash val="solid"/>
          </a:ln>
        </c:spPr>
        <c:crossAx val="13356915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6288211370373"/>
                  <c:y val="-3.3924288469691893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L_Frontal!$AK$37:$AK$43</c:f>
              <c:numCache>
                <c:formatCode>General</c:formatCode>
                <c:ptCount val="7"/>
                <c:pt idx="0">
                  <c:v>2.7990998432058642</c:v>
                </c:pt>
                <c:pt idx="1">
                  <c:v>2.5750354469198444</c:v>
                </c:pt>
                <c:pt idx="2">
                  <c:v>3.3128294579732152</c:v>
                </c:pt>
                <c:pt idx="3">
                  <c:v>3.2317915791653387</c:v>
                </c:pt>
                <c:pt idx="4">
                  <c:v>3.3052797936621543</c:v>
                </c:pt>
                <c:pt idx="5">
                  <c:v>2.6725593267897541</c:v>
                </c:pt>
                <c:pt idx="6">
                  <c:v>3.4871473874853187</c:v>
                </c:pt>
              </c:numCache>
            </c:numRef>
          </c:xVal>
          <c:yVal>
            <c:numRef>
              <c:f>L_Frontal!$AL$37:$AL$43</c:f>
              <c:numCache>
                <c:formatCode>General</c:formatCode>
                <c:ptCount val="7"/>
                <c:pt idx="0">
                  <c:v>-1.0759907413034777</c:v>
                </c:pt>
                <c:pt idx="1">
                  <c:v>-1.535127387330286</c:v>
                </c:pt>
                <c:pt idx="2">
                  <c:v>0.42809280097126057</c:v>
                </c:pt>
                <c:pt idx="3">
                  <c:v>0.13805929435853292</c:v>
                </c:pt>
                <c:pt idx="4">
                  <c:v>-0.63435445034601057</c:v>
                </c:pt>
                <c:pt idx="5">
                  <c:v>0.35270720389941218</c:v>
                </c:pt>
                <c:pt idx="6">
                  <c:v>-0.37120865282013382</c:v>
                </c:pt>
              </c:numCache>
            </c:numRef>
          </c:yVal>
        </c:ser>
        <c:axId val="133590400"/>
        <c:axId val="135337472"/>
      </c:scatterChart>
      <c:valAx>
        <c:axId val="133590400"/>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5337472"/>
        <c:crosses val="autoZero"/>
        <c:crossBetween val="midCat"/>
      </c:valAx>
      <c:valAx>
        <c:axId val="13533747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35904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R_Frontal!$AG$37:$AG$43</c:f>
                <c:numCache>
                  <c:formatCode>General</c:formatCode>
                  <c:ptCount val="7"/>
                  <c:pt idx="0">
                    <c:v>0.70818356185435272</c:v>
                  </c:pt>
                  <c:pt idx="1">
                    <c:v>0.75085633171839772</c:v>
                  </c:pt>
                  <c:pt idx="2">
                    <c:v>0.59171751193090749</c:v>
                  </c:pt>
                  <c:pt idx="3">
                    <c:v>0.60742849174813152</c:v>
                  </c:pt>
                  <c:pt idx="4">
                    <c:v>0.5970350577110517</c:v>
                  </c:pt>
                  <c:pt idx="5">
                    <c:v>0.73255135354975842</c:v>
                  </c:pt>
                  <c:pt idx="6">
                    <c:v>0.56232242903554341</c:v>
                  </c:pt>
                </c:numCache>
              </c:numRef>
            </c:plus>
            <c:minus>
              <c:numRef>
                <c:f>R_Frontal!$AH$37:$AH$43</c:f>
                <c:numCache>
                  <c:formatCode>General</c:formatCode>
                  <c:ptCount val="7"/>
                  <c:pt idx="0">
                    <c:v>0.70818356185435272</c:v>
                  </c:pt>
                  <c:pt idx="1">
                    <c:v>0.75085633171839772</c:v>
                  </c:pt>
                  <c:pt idx="2">
                    <c:v>0.59171751193090749</c:v>
                  </c:pt>
                  <c:pt idx="3">
                    <c:v>0.60742849174813152</c:v>
                  </c:pt>
                  <c:pt idx="4">
                    <c:v>0.5970350577110517</c:v>
                  </c:pt>
                  <c:pt idx="5">
                    <c:v>0.73255135354975842</c:v>
                  </c:pt>
                  <c:pt idx="6">
                    <c:v>0.56232242903554341</c:v>
                  </c:pt>
                </c:numCache>
              </c:numRef>
            </c:minus>
            <c:spPr>
              <a:ln w="12700">
                <a:solidFill>
                  <a:srgbClr val="000000"/>
                </a:solidFill>
                <a:prstDash val="solid"/>
              </a:ln>
            </c:spPr>
          </c:errBars>
          <c:xVal>
            <c:numRef>
              <c:f>R_Frontal!$AF$37:$AF$43</c:f>
              <c:numCache>
                <c:formatCode>0.00</c:formatCode>
                <c:ptCount val="7"/>
                <c:pt idx="0">
                  <c:v>-0.55813166407620285</c:v>
                </c:pt>
                <c:pt idx="1">
                  <c:v>-0.28159403437211167</c:v>
                </c:pt>
                <c:pt idx="2">
                  <c:v>0.13649004650202989</c:v>
                </c:pt>
                <c:pt idx="3">
                  <c:v>0.15832449974550511</c:v>
                </c:pt>
                <c:pt idx="4">
                  <c:v>-0.37546090681077554</c:v>
                </c:pt>
                <c:pt idx="5">
                  <c:v>0</c:v>
                </c:pt>
                <c:pt idx="6">
                  <c:v>-0.13555542132159304</c:v>
                </c:pt>
              </c:numCache>
            </c:numRef>
          </c:xVal>
          <c:yVal>
            <c:numRef>
              <c:f>R_Frontal!$G$37:$G$43</c:f>
              <c:numCache>
                <c:formatCode>General</c:formatCode>
                <c:ptCount val="7"/>
                <c:pt idx="0">
                  <c:v>7</c:v>
                </c:pt>
                <c:pt idx="1">
                  <c:v>6</c:v>
                </c:pt>
                <c:pt idx="2">
                  <c:v>5</c:v>
                </c:pt>
                <c:pt idx="3">
                  <c:v>4</c:v>
                </c:pt>
                <c:pt idx="4">
                  <c:v>3</c:v>
                </c:pt>
                <c:pt idx="5">
                  <c:v>2</c:v>
                </c:pt>
                <c:pt idx="6">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R_Frontal!$AH$51</c:f>
                <c:numCache>
                  <c:formatCode>General</c:formatCode>
                  <c:ptCount val="1"/>
                  <c:pt idx="0">
                    <c:v>0.24136439103815885</c:v>
                  </c:pt>
                </c:numCache>
              </c:numRef>
            </c:plus>
            <c:minus>
              <c:numRef>
                <c:f>R_Frontal!$AH$52</c:f>
                <c:numCache>
                  <c:formatCode>General</c:formatCode>
                  <c:ptCount val="1"/>
                  <c:pt idx="0">
                    <c:v>0.24136439103815885</c:v>
                  </c:pt>
                </c:numCache>
              </c:numRef>
            </c:minus>
            <c:spPr>
              <a:ln w="12700">
                <a:solidFill>
                  <a:srgbClr val="000000"/>
                </a:solidFill>
                <a:prstDash val="solid"/>
              </a:ln>
            </c:spPr>
          </c:errBars>
          <c:xVal>
            <c:numRef>
              <c:f>R_Frontal!$AH$50</c:f>
              <c:numCache>
                <c:formatCode>General</c:formatCode>
                <c:ptCount val="1"/>
                <c:pt idx="0">
                  <c:v>-0.13255975083968533</c:v>
                </c:pt>
              </c:numCache>
            </c:numRef>
          </c:xVal>
          <c:yVal>
            <c:numRef>
              <c:f>R_Frontal!$I$51</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R_Frontal!$AH$55</c:f>
                <c:numCache>
                  <c:formatCode>General</c:formatCode>
                  <c:ptCount val="1"/>
                  <c:pt idx="0">
                    <c:v>0.24136439103815885</c:v>
                  </c:pt>
                </c:numCache>
              </c:numRef>
            </c:plus>
            <c:minus>
              <c:numRef>
                <c:f>R_Frontal!$AH$56</c:f>
                <c:numCache>
                  <c:formatCode>General</c:formatCode>
                  <c:ptCount val="1"/>
                  <c:pt idx="0">
                    <c:v>0.24136439103815885</c:v>
                  </c:pt>
                </c:numCache>
              </c:numRef>
            </c:minus>
            <c:spPr>
              <a:ln w="12700">
                <a:solidFill>
                  <a:srgbClr val="000000"/>
                </a:solidFill>
                <a:prstDash val="solid"/>
              </a:ln>
            </c:spPr>
          </c:errBars>
          <c:xVal>
            <c:numRef>
              <c:f>R_Frontal!$AH$54</c:f>
              <c:numCache>
                <c:formatCode>General</c:formatCode>
                <c:ptCount val="1"/>
                <c:pt idx="0">
                  <c:v>-0.13255975083968533</c:v>
                </c:pt>
              </c:numCache>
            </c:numRef>
          </c:xVal>
          <c:yVal>
            <c:numRef>
              <c:f>R_Frontal!$I$62</c:f>
              <c:numCache>
                <c:formatCode>General</c:formatCode>
                <c:ptCount val="1"/>
                <c:pt idx="0">
                  <c:v>-3</c:v>
                </c:pt>
              </c:numCache>
            </c:numRef>
          </c:yVal>
        </c:ser>
        <c:axId val="135561600"/>
        <c:axId val="135563136"/>
      </c:scatterChart>
      <c:valAx>
        <c:axId val="1355616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5563136"/>
        <c:crosses val="autoZero"/>
        <c:crossBetween val="midCat"/>
      </c:valAx>
      <c:valAx>
        <c:axId val="135563136"/>
        <c:scaling>
          <c:orientation val="minMax"/>
        </c:scaling>
        <c:axPos val="l"/>
        <c:numFmt formatCode="General" sourceLinked="1"/>
        <c:majorTickMark val="none"/>
        <c:tickLblPos val="none"/>
        <c:spPr>
          <a:ln w="3175">
            <a:solidFill>
              <a:srgbClr val="000000"/>
            </a:solidFill>
            <a:prstDash val="solid"/>
          </a:ln>
        </c:spPr>
        <c:crossAx val="1355616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690740137146877"/>
          <c:y val="8.3700305497941455E-2"/>
          <c:w val="0.81443401462077158"/>
          <c:h val="0.75770802871820564"/>
        </c:manualLayout>
      </c:layout>
      <c:scatterChart>
        <c:scatterStyle val="lineMarker"/>
        <c:ser>
          <c:idx val="0"/>
          <c:order val="0"/>
          <c:spPr>
            <a:ln w="28575">
              <a:noFill/>
            </a:ln>
          </c:spPr>
          <c:marker>
            <c:symbol val="circle"/>
            <c:size val="6"/>
            <c:spPr>
              <a:solidFill>
                <a:srgbClr val="000090"/>
              </a:solidFill>
              <a:ln>
                <a:solidFill>
                  <a:srgbClr val="000090"/>
                </a:solidFill>
                <a:prstDash val="solid"/>
              </a:ln>
            </c:spPr>
          </c:marker>
          <c:trendline>
            <c:spPr>
              <a:ln w="25400">
                <a:solidFill>
                  <a:srgbClr val="000000"/>
                </a:solidFill>
                <a:prstDash val="solid"/>
              </a:ln>
            </c:spPr>
            <c:trendlineType val="linear"/>
            <c:dispRSqr val="1"/>
            <c:dispEq val="1"/>
            <c:trendlineLbl>
              <c:layout>
                <c:manualLayout>
                  <c:x val="-0.18930908137739885"/>
                  <c:y val="-3.4019782029566882E-2"/>
                </c:manualLayout>
              </c:layout>
              <c:numFmt formatCode="General" sourceLinked="0"/>
              <c:spPr>
                <a:noFill/>
                <a:ln w="25400">
                  <a:noFill/>
                </a:ln>
              </c:spPr>
              <c:txPr>
                <a:bodyPr/>
                <a:lstStyle/>
                <a:p>
                  <a:pPr>
                    <a:defRPr sz="975" b="0" i="0" u="none" strike="noStrike" baseline="0">
                      <a:solidFill>
                        <a:srgbClr val="000000"/>
                      </a:solidFill>
                      <a:latin typeface="Arial"/>
                      <a:ea typeface="Arial"/>
                      <a:cs typeface="Arial"/>
                    </a:defRPr>
                  </a:pPr>
                  <a:endParaRPr lang="en-US"/>
                </a:p>
              </c:txPr>
            </c:trendlineLbl>
          </c:trendline>
          <c:xVal>
            <c:numRef>
              <c:f>R_Frontal!$AK$37:$AK$43</c:f>
              <c:numCache>
                <c:formatCode>General</c:formatCode>
                <c:ptCount val="7"/>
                <c:pt idx="0">
                  <c:v>2.7676440199597572</c:v>
                </c:pt>
                <c:pt idx="1">
                  <c:v>2.6103528960252298</c:v>
                </c:pt>
                <c:pt idx="2">
                  <c:v>3.3123914038036135</c:v>
                </c:pt>
                <c:pt idx="3">
                  <c:v>3.2267172624044584</c:v>
                </c:pt>
                <c:pt idx="4">
                  <c:v>3.2828892955036237</c:v>
                </c:pt>
                <c:pt idx="5">
                  <c:v>2.6755803405485996</c:v>
                </c:pt>
                <c:pt idx="6">
                  <c:v>3.4855447671928301</c:v>
                </c:pt>
              </c:numCache>
            </c:numRef>
          </c:xVal>
          <c:yVal>
            <c:numRef>
              <c:f>R_Frontal!$AL$37:$AL$43</c:f>
              <c:numCache>
                <c:formatCode>General</c:formatCode>
                <c:ptCount val="7"/>
                <c:pt idx="0">
                  <c:v>-1.5447097624306907</c:v>
                </c:pt>
                <c:pt idx="1">
                  <c:v>-0.73505980312666974</c:v>
                </c:pt>
                <c:pt idx="2">
                  <c:v>0.45210845673807926</c:v>
                </c:pt>
                <c:pt idx="3">
                  <c:v>0.51086839639037163</c:v>
                </c:pt>
                <c:pt idx="4">
                  <c:v>-1.2325965918491786</c:v>
                </c:pt>
                <c:pt idx="5">
                  <c:v>0</c:v>
                </c:pt>
                <c:pt idx="6">
                  <c:v>-0.47248448945209803</c:v>
                </c:pt>
              </c:numCache>
            </c:numRef>
          </c:yVal>
        </c:ser>
        <c:axId val="135603712"/>
        <c:axId val="135605632"/>
      </c:scatterChart>
      <c:valAx>
        <c:axId val="135603712"/>
        <c:scaling>
          <c:orientation val="minMax"/>
        </c:scaling>
        <c:axPos val="b"/>
        <c:title>
          <c:tx>
            <c:rich>
              <a:bodyPr/>
              <a:lstStyle/>
              <a:p>
                <a:pPr>
                  <a:defRPr sz="975" b="1" i="0" u="none" strike="noStrike" baseline="0">
                    <a:solidFill>
                      <a:srgbClr val="000000"/>
                    </a:solidFill>
                    <a:latin typeface="Arial"/>
                    <a:ea typeface="Arial"/>
                    <a:cs typeface="Arial"/>
                  </a:defRPr>
                </a:pPr>
                <a:r>
                  <a:rPr lang="en-GB"/>
                  <a:t>1 / standard error</a:t>
                </a:r>
              </a:p>
            </c:rich>
          </c:tx>
          <c:layout>
            <c:manualLayout>
              <c:xMode val="edge"/>
              <c:yMode val="edge"/>
              <c:x val="0.43936744053900567"/>
              <c:y val="0.88636719969475053"/>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5605632"/>
        <c:crosses val="autoZero"/>
        <c:crossBetween val="midCat"/>
      </c:valAx>
      <c:valAx>
        <c:axId val="135605632"/>
        <c:scaling>
          <c:orientation val="minMax"/>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Z = Effect size / standard error</a:t>
                </a:r>
              </a:p>
            </c:rich>
          </c:tx>
          <c:layout>
            <c:manualLayout>
              <c:xMode val="edge"/>
              <c:yMode val="edge"/>
              <c:x val="3.3391914928159752E-2"/>
              <c:y val="0.18263068438031121"/>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560371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paperSize="9" orientation="landscape"/>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3.5790407916031289E-2"/>
          <c:y val="3.4091044204688906E-2"/>
          <c:w val="0.93182883467096034"/>
          <c:h val="0.95211416314524056"/>
        </c:manualLayout>
      </c:layout>
      <c:scatterChart>
        <c:scatterStyle val="lineMarker"/>
        <c:ser>
          <c:idx val="0"/>
          <c:order val="0"/>
          <c:tx>
            <c:v>Studies</c:v>
          </c:tx>
          <c:spPr>
            <a:ln w="28575">
              <a:noFill/>
            </a:ln>
          </c:spPr>
          <c:marker>
            <c:symbol val="diamond"/>
            <c:size val="5"/>
            <c:spPr>
              <a:solidFill>
                <a:srgbClr val="000090"/>
              </a:solidFill>
              <a:ln>
                <a:solidFill>
                  <a:srgbClr val="000090"/>
                </a:solidFill>
                <a:prstDash val="solid"/>
              </a:ln>
            </c:spPr>
          </c:marker>
          <c:errBars>
            <c:errDir val="x"/>
            <c:errBarType val="both"/>
            <c:errValType val="cust"/>
            <c:plus>
              <c:numRef>
                <c:f>Frontal_TLR!$AG$46:$AG$54</c:f>
                <c:numCache>
                  <c:formatCode>General</c:formatCode>
                  <c:ptCount val="9"/>
                  <c:pt idx="0">
                    <c:v>0.3949829889572461</c:v>
                  </c:pt>
                  <c:pt idx="1">
                    <c:v>0.47500180703094058</c:v>
                  </c:pt>
                  <c:pt idx="2">
                    <c:v>0.60682016067049649</c:v>
                  </c:pt>
                  <c:pt idx="3">
                    <c:v>0.59500436617118335</c:v>
                  </c:pt>
                  <c:pt idx="4">
                    <c:v>0.73255135354975842</c:v>
                  </c:pt>
                  <c:pt idx="5">
                    <c:v>0.56280856005421087</c:v>
                  </c:pt>
                  <c:pt idx="6">
                    <c:v>0.70525147081961204</c:v>
                  </c:pt>
                  <c:pt idx="7">
                    <c:v>0.75570755972185721</c:v>
                  </c:pt>
                  <c:pt idx="8">
                    <c:v>0.59176041123254708</c:v>
                  </c:pt>
                </c:numCache>
              </c:numRef>
            </c:plus>
            <c:minus>
              <c:numRef>
                <c:f>Frontal_TLR!$AH$46:$AH$54</c:f>
                <c:numCache>
                  <c:formatCode>General</c:formatCode>
                  <c:ptCount val="9"/>
                  <c:pt idx="0">
                    <c:v>0.3949829889572461</c:v>
                  </c:pt>
                  <c:pt idx="1">
                    <c:v>0.47500180703094058</c:v>
                  </c:pt>
                  <c:pt idx="2">
                    <c:v>0.60682016067049649</c:v>
                  </c:pt>
                  <c:pt idx="3">
                    <c:v>0.59500436617118335</c:v>
                  </c:pt>
                  <c:pt idx="4">
                    <c:v>0.73255135354975842</c:v>
                  </c:pt>
                  <c:pt idx="5">
                    <c:v>0.56280856005421087</c:v>
                  </c:pt>
                  <c:pt idx="6">
                    <c:v>0.70525147081961204</c:v>
                  </c:pt>
                  <c:pt idx="7">
                    <c:v>0.75570755972185721</c:v>
                  </c:pt>
                  <c:pt idx="8">
                    <c:v>0.59176041123254708</c:v>
                  </c:pt>
                </c:numCache>
              </c:numRef>
            </c:minus>
            <c:spPr>
              <a:ln w="12700">
                <a:solidFill>
                  <a:srgbClr val="000000"/>
                </a:solidFill>
                <a:prstDash val="solid"/>
              </a:ln>
            </c:spPr>
          </c:errBars>
          <c:xVal>
            <c:numRef>
              <c:f>Frontal_TLR!$AF$46:$AF$54</c:f>
              <c:numCache>
                <c:formatCode>0.00</c:formatCode>
                <c:ptCount val="9"/>
                <c:pt idx="0">
                  <c:v>-0.29361188384299786</c:v>
                </c:pt>
                <c:pt idx="1">
                  <c:v>-0.9447521172736788</c:v>
                </c:pt>
                <c:pt idx="2">
                  <c:v>0.10118283737443452</c:v>
                </c:pt>
                <c:pt idx="3">
                  <c:v>-0.29764982458897898</c:v>
                </c:pt>
                <c:pt idx="4">
                  <c:v>0</c:v>
                </c:pt>
                <c:pt idx="5">
                  <c:v>-0.1778582413236196</c:v>
                </c:pt>
                <c:pt idx="6">
                  <c:v>-0.5009677311536006</c:v>
                </c:pt>
                <c:pt idx="7">
                  <c:v>-0.45704947886968955</c:v>
                </c:pt>
                <c:pt idx="8">
                  <c:v>0.14031533897359472</c:v>
                </c:pt>
              </c:numCache>
            </c:numRef>
          </c:xVal>
          <c:yVal>
            <c:numRef>
              <c:f>Frontal_TLR!$G$46:$G$54</c:f>
              <c:numCache>
                <c:formatCode>General</c:formatCode>
                <c:ptCount val="9"/>
                <c:pt idx="0">
                  <c:v>9</c:v>
                </c:pt>
                <c:pt idx="1">
                  <c:v>8</c:v>
                </c:pt>
                <c:pt idx="2">
                  <c:v>7</c:v>
                </c:pt>
                <c:pt idx="3">
                  <c:v>6</c:v>
                </c:pt>
                <c:pt idx="4">
                  <c:v>5</c:v>
                </c:pt>
                <c:pt idx="5">
                  <c:v>4</c:v>
                </c:pt>
                <c:pt idx="6">
                  <c:v>3</c:v>
                </c:pt>
                <c:pt idx="7">
                  <c:v>2</c:v>
                </c:pt>
                <c:pt idx="8">
                  <c:v>1</c:v>
                </c:pt>
              </c:numCache>
            </c:numRef>
          </c:yVal>
        </c:ser>
        <c:ser>
          <c:idx val="1"/>
          <c:order val="1"/>
          <c:tx>
            <c:v>Fixed Effects</c:v>
          </c:tx>
          <c:spPr>
            <a:ln w="28575">
              <a:noFill/>
            </a:ln>
          </c:spPr>
          <c:marker>
            <c:symbol val="square"/>
            <c:size val="5"/>
            <c:spPr>
              <a:solidFill>
                <a:srgbClr val="F20884"/>
              </a:solidFill>
              <a:ln>
                <a:solidFill>
                  <a:srgbClr val="F20884"/>
                </a:solidFill>
                <a:prstDash val="solid"/>
              </a:ln>
            </c:spPr>
          </c:marker>
          <c:errBars>
            <c:errDir val="x"/>
            <c:errBarType val="both"/>
            <c:errValType val="cust"/>
            <c:plus>
              <c:numRef>
                <c:f>Frontal_TLR!$AH$62</c:f>
                <c:numCache>
                  <c:formatCode>General</c:formatCode>
                  <c:ptCount val="1"/>
                  <c:pt idx="0">
                    <c:v>0.18891502864194021</c:v>
                  </c:pt>
                </c:numCache>
              </c:numRef>
            </c:plus>
            <c:minus>
              <c:numRef>
                <c:f>Frontal_TLR!$AH$63</c:f>
                <c:numCache>
                  <c:formatCode>General</c:formatCode>
                  <c:ptCount val="1"/>
                  <c:pt idx="0">
                    <c:v>0.18891502864194021</c:v>
                  </c:pt>
                </c:numCache>
              </c:numRef>
            </c:minus>
            <c:spPr>
              <a:ln w="12700">
                <a:solidFill>
                  <a:srgbClr val="000000"/>
                </a:solidFill>
                <a:prstDash val="solid"/>
              </a:ln>
            </c:spPr>
          </c:errBars>
          <c:xVal>
            <c:numRef>
              <c:f>Frontal_TLR!$AH$61</c:f>
              <c:numCache>
                <c:formatCode>General</c:formatCode>
                <c:ptCount val="1"/>
                <c:pt idx="0">
                  <c:v>-0.30704997384016269</c:v>
                </c:pt>
              </c:numCache>
            </c:numRef>
          </c:xVal>
          <c:yVal>
            <c:numRef>
              <c:f>Frontal_TLR!$I$62</c:f>
              <c:numCache>
                <c:formatCode>General</c:formatCode>
                <c:ptCount val="1"/>
                <c:pt idx="0">
                  <c:v>-2</c:v>
                </c:pt>
              </c:numCache>
            </c:numRef>
          </c:yVal>
        </c:ser>
        <c:ser>
          <c:idx val="2"/>
          <c:order val="2"/>
          <c:tx>
            <c:v>Random Effects</c:v>
          </c:tx>
          <c:spPr>
            <a:ln w="28575">
              <a:noFill/>
            </a:ln>
          </c:spPr>
          <c:marker>
            <c:symbol val="triangle"/>
            <c:size val="5"/>
            <c:spPr>
              <a:solidFill>
                <a:srgbClr val="FCF305"/>
              </a:solidFill>
              <a:ln>
                <a:solidFill>
                  <a:srgbClr val="FCF305"/>
                </a:solidFill>
                <a:prstDash val="solid"/>
              </a:ln>
            </c:spPr>
          </c:marker>
          <c:errBars>
            <c:errDir val="x"/>
            <c:errBarType val="both"/>
            <c:errValType val="cust"/>
            <c:plus>
              <c:numRef>
                <c:f>Frontal_TLR!$AH$66</c:f>
                <c:numCache>
                  <c:formatCode>General</c:formatCode>
                  <c:ptCount val="1"/>
                  <c:pt idx="0">
                    <c:v>0.23892462996318239</c:v>
                  </c:pt>
                </c:numCache>
              </c:numRef>
            </c:plus>
            <c:minus>
              <c:numRef>
                <c:f>Frontal_TLR!$AH$67</c:f>
                <c:numCache>
                  <c:formatCode>General</c:formatCode>
                  <c:ptCount val="1"/>
                  <c:pt idx="0">
                    <c:v>0.23892462996318239</c:v>
                  </c:pt>
                </c:numCache>
              </c:numRef>
            </c:minus>
            <c:spPr>
              <a:ln w="12700">
                <a:solidFill>
                  <a:srgbClr val="000000"/>
                </a:solidFill>
                <a:prstDash val="solid"/>
              </a:ln>
            </c:spPr>
          </c:errBars>
          <c:xVal>
            <c:numRef>
              <c:f>Frontal_TLR!$AH$65</c:f>
              <c:numCache>
                <c:formatCode>General</c:formatCode>
                <c:ptCount val="1"/>
                <c:pt idx="0">
                  <c:v>-0.29142957982658096</c:v>
                </c:pt>
              </c:numCache>
            </c:numRef>
          </c:xVal>
          <c:yVal>
            <c:numRef>
              <c:f>Frontal_TLR!$I$73</c:f>
              <c:numCache>
                <c:formatCode>General</c:formatCode>
                <c:ptCount val="1"/>
                <c:pt idx="0">
                  <c:v>-3</c:v>
                </c:pt>
              </c:numCache>
            </c:numRef>
          </c:yVal>
        </c:ser>
        <c:axId val="135788800"/>
        <c:axId val="135405568"/>
      </c:scatterChart>
      <c:valAx>
        <c:axId val="135788800"/>
        <c:scaling>
          <c:orientation val="minMax"/>
        </c:scaling>
        <c:axPos val="b"/>
        <c:numFmt formatCode="0.0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5405568"/>
        <c:crosses val="autoZero"/>
        <c:crossBetween val="midCat"/>
      </c:valAx>
      <c:valAx>
        <c:axId val="135405568"/>
        <c:scaling>
          <c:orientation val="minMax"/>
        </c:scaling>
        <c:axPos val="l"/>
        <c:numFmt formatCode="General" sourceLinked="1"/>
        <c:majorTickMark val="none"/>
        <c:tickLblPos val="none"/>
        <c:spPr>
          <a:ln w="3175">
            <a:solidFill>
              <a:srgbClr val="000000"/>
            </a:solidFill>
            <a:prstDash val="solid"/>
          </a:ln>
        </c:spPr>
        <c:crossAx val="13578880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000000000000133" r="0.75000000000000133"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chart" Target="../charts/chart60.xml"/><Relationship Id="rId1" Type="http://schemas.openxmlformats.org/officeDocument/2006/relationships/chart" Target="../charts/chart59.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90.xml"/><Relationship Id="rId1" Type="http://schemas.openxmlformats.org/officeDocument/2006/relationships/chart" Target="../charts/chart89.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92.xml"/><Relationship Id="rId1" Type="http://schemas.openxmlformats.org/officeDocument/2006/relationships/chart" Target="../charts/chart91.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98.xml"/><Relationship Id="rId1" Type="http://schemas.openxmlformats.org/officeDocument/2006/relationships/chart" Target="../charts/chart97.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04.xml"/><Relationship Id="rId1" Type="http://schemas.openxmlformats.org/officeDocument/2006/relationships/chart" Target="../charts/chart103.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06.xml"/><Relationship Id="rId1" Type="http://schemas.openxmlformats.org/officeDocument/2006/relationships/chart" Target="../charts/chart105.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108.xml"/><Relationship Id="rId1" Type="http://schemas.openxmlformats.org/officeDocument/2006/relationships/chart" Target="../charts/chart107.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112.xml"/><Relationship Id="rId1" Type="http://schemas.openxmlformats.org/officeDocument/2006/relationships/chart" Target="../charts/chart111.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14.xml"/><Relationship Id="rId1" Type="http://schemas.openxmlformats.org/officeDocument/2006/relationships/chart" Target="../charts/chart113.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118.xml"/><Relationship Id="rId1" Type="http://schemas.openxmlformats.org/officeDocument/2006/relationships/chart" Target="../charts/chart117.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20.xml"/><Relationship Id="rId1" Type="http://schemas.openxmlformats.org/officeDocument/2006/relationships/chart" Target="../charts/chart1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0.xml.rels><?xml version="1.0" encoding="UTF-8" standalone="yes"?>
<Relationships xmlns="http://schemas.openxmlformats.org/package/2006/relationships"><Relationship Id="rId2" Type="http://schemas.openxmlformats.org/officeDocument/2006/relationships/chart" Target="../charts/chart122.xml"/><Relationship Id="rId1" Type="http://schemas.openxmlformats.org/officeDocument/2006/relationships/chart" Target="../charts/chart121.xml"/></Relationships>
</file>

<file path=xl/drawings/_rels/drawing61.xml.rels><?xml version="1.0" encoding="UTF-8" standalone="yes"?>
<Relationships xmlns="http://schemas.openxmlformats.org/package/2006/relationships"><Relationship Id="rId2" Type="http://schemas.openxmlformats.org/officeDocument/2006/relationships/chart" Target="../charts/chart124.xml"/><Relationship Id="rId1" Type="http://schemas.openxmlformats.org/officeDocument/2006/relationships/chart" Target="../charts/chart123.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126.xml"/><Relationship Id="rId1" Type="http://schemas.openxmlformats.org/officeDocument/2006/relationships/chart" Target="../charts/chart125.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28.xml"/><Relationship Id="rId1" Type="http://schemas.openxmlformats.org/officeDocument/2006/relationships/chart" Target="../charts/chart127.xml"/></Relationships>
</file>

<file path=xl/drawings/_rels/drawing64.xml.rels><?xml version="1.0" encoding="UTF-8" standalone="yes"?>
<Relationships xmlns="http://schemas.openxmlformats.org/package/2006/relationships"><Relationship Id="rId2" Type="http://schemas.openxmlformats.org/officeDocument/2006/relationships/chart" Target="../charts/chart130.xml"/><Relationship Id="rId1" Type="http://schemas.openxmlformats.org/officeDocument/2006/relationships/chart" Target="../charts/chart129.xml"/></Relationships>
</file>

<file path=xl/drawings/_rels/drawing65.xml.rels><?xml version="1.0" encoding="UTF-8" standalone="yes"?>
<Relationships xmlns="http://schemas.openxmlformats.org/package/2006/relationships"><Relationship Id="rId2" Type="http://schemas.openxmlformats.org/officeDocument/2006/relationships/chart" Target="../charts/chart132.xml"/><Relationship Id="rId1" Type="http://schemas.openxmlformats.org/officeDocument/2006/relationships/chart" Target="../charts/chart131.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34.xml"/><Relationship Id="rId1" Type="http://schemas.openxmlformats.org/officeDocument/2006/relationships/chart" Target="../charts/chart133.xml"/></Relationships>
</file>

<file path=xl/drawings/_rels/drawing67.xml.rels><?xml version="1.0" encoding="UTF-8" standalone="yes"?>
<Relationships xmlns="http://schemas.openxmlformats.org/package/2006/relationships"><Relationship Id="rId2" Type="http://schemas.openxmlformats.org/officeDocument/2006/relationships/chart" Target="../charts/chart136.xml"/><Relationship Id="rId1" Type="http://schemas.openxmlformats.org/officeDocument/2006/relationships/chart" Target="../charts/chart135.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138.xml"/><Relationship Id="rId1" Type="http://schemas.openxmlformats.org/officeDocument/2006/relationships/chart" Target="../charts/chart137.xml"/></Relationships>
</file>

<file path=xl/drawings/_rels/drawing69.xml.rels><?xml version="1.0" encoding="UTF-8" standalone="yes"?>
<Relationships xmlns="http://schemas.openxmlformats.org/package/2006/relationships"><Relationship Id="rId2" Type="http://schemas.openxmlformats.org/officeDocument/2006/relationships/chart" Target="../charts/chart140.xml"/><Relationship Id="rId1" Type="http://schemas.openxmlformats.org/officeDocument/2006/relationships/chart" Target="../charts/chart13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0.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71.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chart" Target="../charts/chart143.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146.xml"/><Relationship Id="rId1" Type="http://schemas.openxmlformats.org/officeDocument/2006/relationships/chart" Target="../charts/chart145.xml"/></Relationships>
</file>

<file path=xl/drawings/_rels/drawing73.xml.rels><?xml version="1.0" encoding="UTF-8" standalone="yes"?>
<Relationships xmlns="http://schemas.openxmlformats.org/package/2006/relationships"><Relationship Id="rId2" Type="http://schemas.openxmlformats.org/officeDocument/2006/relationships/chart" Target="../charts/chart148.xml"/><Relationship Id="rId1" Type="http://schemas.openxmlformats.org/officeDocument/2006/relationships/chart" Target="../charts/chart147.xml"/></Relationships>
</file>

<file path=xl/drawings/_rels/drawing74.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75.xml.rels><?xml version="1.0" encoding="UTF-8" standalone="yes"?>
<Relationships xmlns="http://schemas.openxmlformats.org/package/2006/relationships"><Relationship Id="rId2" Type="http://schemas.openxmlformats.org/officeDocument/2006/relationships/chart" Target="../charts/chart152.xml"/><Relationship Id="rId1" Type="http://schemas.openxmlformats.org/officeDocument/2006/relationships/chart" Target="../charts/chart151.xml"/></Relationships>
</file>

<file path=xl/drawings/_rels/drawing76.xml.rels><?xml version="1.0" encoding="UTF-8" standalone="yes"?>
<Relationships xmlns="http://schemas.openxmlformats.org/package/2006/relationships"><Relationship Id="rId2" Type="http://schemas.openxmlformats.org/officeDocument/2006/relationships/chart" Target="../charts/chart154.xml"/><Relationship Id="rId1" Type="http://schemas.openxmlformats.org/officeDocument/2006/relationships/chart" Target="../charts/chart153.xml"/></Relationships>
</file>

<file path=xl/drawings/_rels/drawing77.xml.rels><?xml version="1.0" encoding="UTF-8" standalone="yes"?>
<Relationships xmlns="http://schemas.openxmlformats.org/package/2006/relationships"><Relationship Id="rId8" Type="http://schemas.openxmlformats.org/officeDocument/2006/relationships/chart" Target="../charts/chart162.xml"/><Relationship Id="rId3" Type="http://schemas.openxmlformats.org/officeDocument/2006/relationships/chart" Target="../charts/chart157.xml"/><Relationship Id="rId7" Type="http://schemas.openxmlformats.org/officeDocument/2006/relationships/chart" Target="../charts/chart161.xml"/><Relationship Id="rId2" Type="http://schemas.openxmlformats.org/officeDocument/2006/relationships/chart" Target="../charts/chart156.xml"/><Relationship Id="rId1" Type="http://schemas.openxmlformats.org/officeDocument/2006/relationships/chart" Target="../charts/chart155.xml"/><Relationship Id="rId6" Type="http://schemas.openxmlformats.org/officeDocument/2006/relationships/chart" Target="../charts/chart160.xml"/><Relationship Id="rId5" Type="http://schemas.openxmlformats.org/officeDocument/2006/relationships/chart" Target="../charts/chart159.xml"/><Relationship Id="rId4" Type="http://schemas.openxmlformats.org/officeDocument/2006/relationships/chart" Target="../charts/chart158.xml"/><Relationship Id="rId9" Type="http://schemas.openxmlformats.org/officeDocument/2006/relationships/chart" Target="../charts/chart16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0</xdr:row>
      <xdr:rowOff>101600</xdr:rowOff>
    </xdr:from>
    <xdr:to>
      <xdr:col>3</xdr:col>
      <xdr:colOff>599440</xdr:colOff>
      <xdr:row>4</xdr:row>
      <xdr:rowOff>12700</xdr:rowOff>
    </xdr:to>
    <xdr:pic>
      <xdr:nvPicPr>
        <xdr:cNvPr id="61461535" name="logo-img-id" descr="Logo"/>
        <xdr:cNvPicPr>
          <a:picLocks noChangeAspect="1" noChangeArrowheads="1"/>
        </xdr:cNvPicPr>
      </xdr:nvPicPr>
      <xdr:blipFill>
        <a:blip xmlns:r="http://schemas.openxmlformats.org/officeDocument/2006/relationships" r:embed="rId1"/>
        <a:srcRect/>
        <a:stretch>
          <a:fillRect/>
        </a:stretch>
      </xdr:blipFill>
      <xdr:spPr bwMode="auto">
        <a:xfrm>
          <a:off x="419100" y="101600"/>
          <a:ext cx="2755900" cy="520700"/>
        </a:xfrm>
        <a:prstGeom prst="rect">
          <a:avLst/>
        </a:prstGeom>
        <a:noFill/>
        <a:ln w="9525">
          <a:solidFill>
            <a:srgbClr val="000000"/>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31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123</xdr:row>
      <xdr:rowOff>0</xdr:rowOff>
    </xdr:from>
    <xdr:to>
      <xdr:col>30</xdr:col>
      <xdr:colOff>190500</xdr:colOff>
      <xdr:row>141</xdr:row>
      <xdr:rowOff>139700</xdr:rowOff>
    </xdr:to>
    <xdr:graphicFrame macro="">
      <xdr:nvGraphicFramePr>
        <xdr:cNvPr id="331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34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49</xdr:row>
      <xdr:rowOff>0</xdr:rowOff>
    </xdr:from>
    <xdr:to>
      <xdr:col>30</xdr:col>
      <xdr:colOff>190500</xdr:colOff>
      <xdr:row>67</xdr:row>
      <xdr:rowOff>139700</xdr:rowOff>
    </xdr:to>
    <xdr:graphicFrame macro="">
      <xdr:nvGraphicFramePr>
        <xdr:cNvPr id="434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03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53</xdr:row>
      <xdr:rowOff>0</xdr:rowOff>
    </xdr:from>
    <xdr:to>
      <xdr:col>30</xdr:col>
      <xdr:colOff>190500</xdr:colOff>
      <xdr:row>71</xdr:row>
      <xdr:rowOff>139700</xdr:rowOff>
    </xdr:to>
    <xdr:graphicFrame macro="">
      <xdr:nvGraphicFramePr>
        <xdr:cNvPr id="403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44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48</xdr:row>
      <xdr:rowOff>0</xdr:rowOff>
    </xdr:from>
    <xdr:to>
      <xdr:col>30</xdr:col>
      <xdr:colOff>190500</xdr:colOff>
      <xdr:row>66</xdr:row>
      <xdr:rowOff>139700</xdr:rowOff>
    </xdr:to>
    <xdr:graphicFrame macro="">
      <xdr:nvGraphicFramePr>
        <xdr:cNvPr id="444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13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48</xdr:row>
      <xdr:rowOff>0</xdr:rowOff>
    </xdr:from>
    <xdr:to>
      <xdr:col>30</xdr:col>
      <xdr:colOff>190500</xdr:colOff>
      <xdr:row>66</xdr:row>
      <xdr:rowOff>139700</xdr:rowOff>
    </xdr:to>
    <xdr:graphicFrame macro="">
      <xdr:nvGraphicFramePr>
        <xdr:cNvPr id="413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71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47</xdr:row>
      <xdr:rowOff>0</xdr:rowOff>
    </xdr:from>
    <xdr:to>
      <xdr:col>30</xdr:col>
      <xdr:colOff>190500</xdr:colOff>
      <xdr:row>65</xdr:row>
      <xdr:rowOff>139700</xdr:rowOff>
    </xdr:to>
    <xdr:graphicFrame macro="">
      <xdr:nvGraphicFramePr>
        <xdr:cNvPr id="710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859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67</xdr:row>
      <xdr:rowOff>0</xdr:rowOff>
    </xdr:from>
    <xdr:to>
      <xdr:col>30</xdr:col>
      <xdr:colOff>190500</xdr:colOff>
      <xdr:row>85</xdr:row>
      <xdr:rowOff>139700</xdr:rowOff>
    </xdr:to>
    <xdr:graphicFrame macro="">
      <xdr:nvGraphicFramePr>
        <xdr:cNvPr id="1859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508000</xdr:colOff>
      <xdr:row>48</xdr:row>
      <xdr:rowOff>88900</xdr:rowOff>
    </xdr:from>
    <xdr:to>
      <xdr:col>63</xdr:col>
      <xdr:colOff>254000</xdr:colOff>
      <xdr:row>59</xdr:row>
      <xdr:rowOff>88900</xdr:rowOff>
    </xdr:to>
    <xdr:graphicFrame macro="">
      <xdr:nvGraphicFramePr>
        <xdr:cNvPr id="1859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85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43</xdr:row>
      <xdr:rowOff>0</xdr:rowOff>
    </xdr:from>
    <xdr:to>
      <xdr:col>30</xdr:col>
      <xdr:colOff>190500</xdr:colOff>
      <xdr:row>61</xdr:row>
      <xdr:rowOff>139700</xdr:rowOff>
    </xdr:to>
    <xdr:graphicFrame macro="">
      <xdr:nvGraphicFramePr>
        <xdr:cNvPr id="485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72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43</xdr:row>
      <xdr:rowOff>0</xdr:rowOff>
    </xdr:from>
    <xdr:to>
      <xdr:col>30</xdr:col>
      <xdr:colOff>190500</xdr:colOff>
      <xdr:row>61</xdr:row>
      <xdr:rowOff>139700</xdr:rowOff>
    </xdr:to>
    <xdr:graphicFrame macro="">
      <xdr:nvGraphicFramePr>
        <xdr:cNvPr id="72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878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55</xdr:row>
      <xdr:rowOff>0</xdr:rowOff>
    </xdr:from>
    <xdr:to>
      <xdr:col>30</xdr:col>
      <xdr:colOff>190500</xdr:colOff>
      <xdr:row>73</xdr:row>
      <xdr:rowOff>139700</xdr:rowOff>
    </xdr:to>
    <xdr:graphicFrame macro="">
      <xdr:nvGraphicFramePr>
        <xdr:cNvPr id="1878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127000</xdr:colOff>
      <xdr:row>1</xdr:row>
      <xdr:rowOff>165100</xdr:rowOff>
    </xdr:from>
    <xdr:to>
      <xdr:col>33</xdr:col>
      <xdr:colOff>406400</xdr:colOff>
      <xdr:row>72</xdr:row>
      <xdr:rowOff>57150</xdr:rowOff>
    </xdr:to>
    <xdr:graphicFrame macro="">
      <xdr:nvGraphicFramePr>
        <xdr:cNvPr id="54271"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174625</xdr:colOff>
      <xdr:row>2</xdr:row>
      <xdr:rowOff>19050</xdr:rowOff>
    </xdr:from>
    <xdr:to>
      <xdr:col>48</xdr:col>
      <xdr:colOff>368300</xdr:colOff>
      <xdr:row>72</xdr:row>
      <xdr:rowOff>139700</xdr:rowOff>
    </xdr:to>
    <xdr:graphicFrame macro="">
      <xdr:nvGraphicFramePr>
        <xdr:cNvPr id="6695321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165100</xdr:colOff>
      <xdr:row>76</xdr:row>
      <xdr:rowOff>79375</xdr:rowOff>
    </xdr:from>
    <xdr:to>
      <xdr:col>30</xdr:col>
      <xdr:colOff>546100</xdr:colOff>
      <xdr:row>99</xdr:row>
      <xdr:rowOff>25400</xdr:rowOff>
    </xdr:to>
    <xdr:graphicFrame macro="">
      <xdr:nvGraphicFramePr>
        <xdr:cNvPr id="66953217"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533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38</xdr:row>
      <xdr:rowOff>0</xdr:rowOff>
    </xdr:from>
    <xdr:to>
      <xdr:col>30</xdr:col>
      <xdr:colOff>190500</xdr:colOff>
      <xdr:row>56</xdr:row>
      <xdr:rowOff>139700</xdr:rowOff>
    </xdr:to>
    <xdr:graphicFrame macro="">
      <xdr:nvGraphicFramePr>
        <xdr:cNvPr id="2533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516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48</xdr:row>
      <xdr:rowOff>0</xdr:rowOff>
    </xdr:from>
    <xdr:to>
      <xdr:col>30</xdr:col>
      <xdr:colOff>190500</xdr:colOff>
      <xdr:row>66</xdr:row>
      <xdr:rowOff>139700</xdr:rowOff>
    </xdr:to>
    <xdr:graphicFrame macro="">
      <xdr:nvGraphicFramePr>
        <xdr:cNvPr id="516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64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41</xdr:row>
      <xdr:rowOff>0</xdr:rowOff>
    </xdr:from>
    <xdr:to>
      <xdr:col>30</xdr:col>
      <xdr:colOff>190500</xdr:colOff>
      <xdr:row>59</xdr:row>
      <xdr:rowOff>139700</xdr:rowOff>
    </xdr:to>
    <xdr:graphicFrame macro="">
      <xdr:nvGraphicFramePr>
        <xdr:cNvPr id="464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73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41</xdr:row>
      <xdr:rowOff>0</xdr:rowOff>
    </xdr:from>
    <xdr:to>
      <xdr:col>30</xdr:col>
      <xdr:colOff>190500</xdr:colOff>
      <xdr:row>59</xdr:row>
      <xdr:rowOff>139700</xdr:rowOff>
    </xdr:to>
    <xdr:graphicFrame macro="">
      <xdr:nvGraphicFramePr>
        <xdr:cNvPr id="73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98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51</xdr:row>
      <xdr:rowOff>0</xdr:rowOff>
    </xdr:from>
    <xdr:to>
      <xdr:col>30</xdr:col>
      <xdr:colOff>190500</xdr:colOff>
      <xdr:row>69</xdr:row>
      <xdr:rowOff>139700</xdr:rowOff>
    </xdr:to>
    <xdr:graphicFrame macro="">
      <xdr:nvGraphicFramePr>
        <xdr:cNvPr id="198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01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134</xdr:row>
      <xdr:rowOff>0</xdr:rowOff>
    </xdr:from>
    <xdr:to>
      <xdr:col>30</xdr:col>
      <xdr:colOff>190500</xdr:colOff>
      <xdr:row>152</xdr:row>
      <xdr:rowOff>139700</xdr:rowOff>
    </xdr:to>
    <xdr:graphicFrame macro="">
      <xdr:nvGraphicFramePr>
        <xdr:cNvPr id="301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21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131</xdr:row>
      <xdr:rowOff>0</xdr:rowOff>
    </xdr:from>
    <xdr:to>
      <xdr:col>30</xdr:col>
      <xdr:colOff>190500</xdr:colOff>
      <xdr:row>149</xdr:row>
      <xdr:rowOff>139700</xdr:rowOff>
    </xdr:to>
    <xdr:graphicFrame macro="">
      <xdr:nvGraphicFramePr>
        <xdr:cNvPr id="321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9927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149</xdr:row>
      <xdr:rowOff>0</xdr:rowOff>
    </xdr:from>
    <xdr:to>
      <xdr:col>30</xdr:col>
      <xdr:colOff>190500</xdr:colOff>
      <xdr:row>167</xdr:row>
      <xdr:rowOff>139700</xdr:rowOff>
    </xdr:to>
    <xdr:graphicFrame macro="">
      <xdr:nvGraphicFramePr>
        <xdr:cNvPr id="19927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0719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43</xdr:row>
      <xdr:rowOff>0</xdr:rowOff>
    </xdr:from>
    <xdr:to>
      <xdr:col>30</xdr:col>
      <xdr:colOff>190500</xdr:colOff>
      <xdr:row>61</xdr:row>
      <xdr:rowOff>139700</xdr:rowOff>
    </xdr:to>
    <xdr:graphicFrame macro="">
      <xdr:nvGraphicFramePr>
        <xdr:cNvPr id="6700748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241300</xdr:colOff>
      <xdr:row>39</xdr:row>
      <xdr:rowOff>0</xdr:rowOff>
    </xdr:from>
    <xdr:to>
      <xdr:col>67</xdr:col>
      <xdr:colOff>0</xdr:colOff>
      <xdr:row>39</xdr:row>
      <xdr:rowOff>0</xdr:rowOff>
    </xdr:to>
    <xdr:graphicFrame macro="">
      <xdr:nvGraphicFramePr>
        <xdr:cNvPr id="6700748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663214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41</xdr:row>
      <xdr:rowOff>0</xdr:rowOff>
    </xdr:from>
    <xdr:to>
      <xdr:col>30</xdr:col>
      <xdr:colOff>190500</xdr:colOff>
      <xdr:row>59</xdr:row>
      <xdr:rowOff>139700</xdr:rowOff>
    </xdr:to>
    <xdr:graphicFrame macro="">
      <xdr:nvGraphicFramePr>
        <xdr:cNvPr id="663214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241300</xdr:colOff>
      <xdr:row>37</xdr:row>
      <xdr:rowOff>0</xdr:rowOff>
    </xdr:from>
    <xdr:to>
      <xdr:col>67</xdr:col>
      <xdr:colOff>0</xdr:colOff>
      <xdr:row>37</xdr:row>
      <xdr:rowOff>0</xdr:rowOff>
    </xdr:to>
    <xdr:graphicFrame macro="">
      <xdr:nvGraphicFramePr>
        <xdr:cNvPr id="663214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0.44391</cdr:x>
      <cdr:y>0.98604</cdr:y>
    </cdr:from>
    <cdr:to>
      <cdr:x>0.45034</cdr:x>
      <cdr:y>0.99917</cdr:y>
    </cdr:to>
    <cdr:sp macro="" textlink="">
      <cdr:nvSpPr>
        <cdr:cNvPr id="321537" name="Text Box 1"/>
        <cdr:cNvSpPr txBox="1">
          <a:spLocks xmlns:a="http://schemas.openxmlformats.org/drawingml/2006/main" noChangeArrowheads="1"/>
        </cdr:cNvSpPr>
      </cdr:nvSpPr>
      <cdr:spPr bwMode="auto">
        <a:xfrm xmlns:a="http://schemas.openxmlformats.org/drawingml/2006/main">
          <a:off x="4043712" y="11571360"/>
          <a:ext cx="54341" cy="1511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1027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6701670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241300</xdr:colOff>
      <xdr:row>35</xdr:row>
      <xdr:rowOff>0</xdr:rowOff>
    </xdr:from>
    <xdr:to>
      <xdr:col>67</xdr:col>
      <xdr:colOff>0</xdr:colOff>
      <xdr:row>35</xdr:row>
      <xdr:rowOff>0</xdr:rowOff>
    </xdr:to>
    <xdr:graphicFrame macro="">
      <xdr:nvGraphicFramePr>
        <xdr:cNvPr id="6701670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66846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42</xdr:row>
      <xdr:rowOff>0</xdr:rowOff>
    </xdr:from>
    <xdr:to>
      <xdr:col>30</xdr:col>
      <xdr:colOff>190500</xdr:colOff>
      <xdr:row>60</xdr:row>
      <xdr:rowOff>139700</xdr:rowOff>
    </xdr:to>
    <xdr:graphicFrame macro="">
      <xdr:nvGraphicFramePr>
        <xdr:cNvPr id="668467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241300</xdr:colOff>
      <xdr:row>38</xdr:row>
      <xdr:rowOff>0</xdr:rowOff>
    </xdr:from>
    <xdr:to>
      <xdr:col>67</xdr:col>
      <xdr:colOff>0</xdr:colOff>
      <xdr:row>38</xdr:row>
      <xdr:rowOff>0</xdr:rowOff>
    </xdr:to>
    <xdr:graphicFrame macro="">
      <xdr:nvGraphicFramePr>
        <xdr:cNvPr id="6684672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579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52</xdr:row>
      <xdr:rowOff>0</xdr:rowOff>
    </xdr:from>
    <xdr:to>
      <xdr:col>30</xdr:col>
      <xdr:colOff>190500</xdr:colOff>
      <xdr:row>70</xdr:row>
      <xdr:rowOff>139700</xdr:rowOff>
    </xdr:to>
    <xdr:graphicFrame macro="">
      <xdr:nvGraphicFramePr>
        <xdr:cNvPr id="3579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539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88</xdr:row>
      <xdr:rowOff>0</xdr:rowOff>
    </xdr:from>
    <xdr:to>
      <xdr:col>30</xdr:col>
      <xdr:colOff>190500</xdr:colOff>
      <xdr:row>106</xdr:row>
      <xdr:rowOff>139700</xdr:rowOff>
    </xdr:to>
    <xdr:graphicFrame macro="">
      <xdr:nvGraphicFramePr>
        <xdr:cNvPr id="16539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0219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79</xdr:row>
      <xdr:rowOff>0</xdr:rowOff>
    </xdr:from>
    <xdr:to>
      <xdr:col>30</xdr:col>
      <xdr:colOff>190500</xdr:colOff>
      <xdr:row>97</xdr:row>
      <xdr:rowOff>139700</xdr:rowOff>
    </xdr:to>
    <xdr:graphicFrame macro="">
      <xdr:nvGraphicFramePr>
        <xdr:cNvPr id="1602198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80607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69</xdr:row>
      <xdr:rowOff>0</xdr:rowOff>
    </xdr:from>
    <xdr:to>
      <xdr:col>30</xdr:col>
      <xdr:colOff>190500</xdr:colOff>
      <xdr:row>87</xdr:row>
      <xdr:rowOff>139700</xdr:rowOff>
    </xdr:to>
    <xdr:graphicFrame macro="">
      <xdr:nvGraphicFramePr>
        <xdr:cNvPr id="180607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85942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121</xdr:row>
      <xdr:rowOff>0</xdr:rowOff>
    </xdr:from>
    <xdr:to>
      <xdr:col>30</xdr:col>
      <xdr:colOff>190500</xdr:colOff>
      <xdr:row>139</xdr:row>
      <xdr:rowOff>139700</xdr:rowOff>
    </xdr:to>
    <xdr:graphicFrame macro="">
      <xdr:nvGraphicFramePr>
        <xdr:cNvPr id="185942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824711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76</xdr:row>
      <xdr:rowOff>0</xdr:rowOff>
    </xdr:from>
    <xdr:to>
      <xdr:col>30</xdr:col>
      <xdr:colOff>190500</xdr:colOff>
      <xdr:row>94</xdr:row>
      <xdr:rowOff>139700</xdr:rowOff>
    </xdr:to>
    <xdr:graphicFrame macro="">
      <xdr:nvGraphicFramePr>
        <xdr:cNvPr id="18247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22</xdr:col>
      <xdr:colOff>419100</xdr:colOff>
      <xdr:row>18</xdr:row>
      <xdr:rowOff>139700</xdr:rowOff>
    </xdr:to>
    <xdr:graphicFrame macro="">
      <xdr:nvGraphicFramePr>
        <xdr:cNvPr id="1704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1704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22</xdr:col>
      <xdr:colOff>50800</xdr:colOff>
      <xdr:row>18</xdr:row>
      <xdr:rowOff>127000</xdr:rowOff>
    </xdr:to>
    <xdr:graphicFrame macro="">
      <xdr:nvGraphicFramePr>
        <xdr:cNvPr id="1714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1714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42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68</xdr:row>
      <xdr:rowOff>0</xdr:rowOff>
    </xdr:from>
    <xdr:to>
      <xdr:col>30</xdr:col>
      <xdr:colOff>190500</xdr:colOff>
      <xdr:row>86</xdr:row>
      <xdr:rowOff>139700</xdr:rowOff>
    </xdr:to>
    <xdr:graphicFrame macro="">
      <xdr:nvGraphicFramePr>
        <xdr:cNvPr id="342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22</xdr:col>
      <xdr:colOff>342900</xdr:colOff>
      <xdr:row>19</xdr:row>
      <xdr:rowOff>25400</xdr:rowOff>
    </xdr:to>
    <xdr:graphicFrame macro="">
      <xdr:nvGraphicFramePr>
        <xdr:cNvPr id="236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41</xdr:row>
      <xdr:rowOff>0</xdr:rowOff>
    </xdr:from>
    <xdr:to>
      <xdr:col>30</xdr:col>
      <xdr:colOff>190500</xdr:colOff>
      <xdr:row>59</xdr:row>
      <xdr:rowOff>139700</xdr:rowOff>
    </xdr:to>
    <xdr:graphicFrame macro="">
      <xdr:nvGraphicFramePr>
        <xdr:cNvPr id="236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22</xdr:col>
      <xdr:colOff>406400</xdr:colOff>
      <xdr:row>19</xdr:row>
      <xdr:rowOff>25400</xdr:rowOff>
    </xdr:to>
    <xdr:graphicFrame macro="">
      <xdr:nvGraphicFramePr>
        <xdr:cNvPr id="454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86</xdr:row>
      <xdr:rowOff>0</xdr:rowOff>
    </xdr:from>
    <xdr:to>
      <xdr:col>30</xdr:col>
      <xdr:colOff>190500</xdr:colOff>
      <xdr:row>104</xdr:row>
      <xdr:rowOff>139700</xdr:rowOff>
    </xdr:to>
    <xdr:graphicFrame macro="">
      <xdr:nvGraphicFramePr>
        <xdr:cNvPr id="454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74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85</xdr:row>
      <xdr:rowOff>0</xdr:rowOff>
    </xdr:from>
    <xdr:to>
      <xdr:col>30</xdr:col>
      <xdr:colOff>190500</xdr:colOff>
      <xdr:row>103</xdr:row>
      <xdr:rowOff>139700</xdr:rowOff>
    </xdr:to>
    <xdr:graphicFrame macro="">
      <xdr:nvGraphicFramePr>
        <xdr:cNvPr id="74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59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93</xdr:row>
      <xdr:rowOff>0</xdr:rowOff>
    </xdr:from>
    <xdr:to>
      <xdr:col>30</xdr:col>
      <xdr:colOff>190500</xdr:colOff>
      <xdr:row>111</xdr:row>
      <xdr:rowOff>139700</xdr:rowOff>
    </xdr:to>
    <xdr:graphicFrame macro="">
      <xdr:nvGraphicFramePr>
        <xdr:cNvPr id="3598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724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52</xdr:row>
      <xdr:rowOff>0</xdr:rowOff>
    </xdr:from>
    <xdr:to>
      <xdr:col>30</xdr:col>
      <xdr:colOff>190500</xdr:colOff>
      <xdr:row>70</xdr:row>
      <xdr:rowOff>139700</xdr:rowOff>
    </xdr:to>
    <xdr:graphicFrame macro="">
      <xdr:nvGraphicFramePr>
        <xdr:cNvPr id="1724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56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42</xdr:row>
      <xdr:rowOff>0</xdr:rowOff>
    </xdr:from>
    <xdr:to>
      <xdr:col>30</xdr:col>
      <xdr:colOff>190500</xdr:colOff>
      <xdr:row>60</xdr:row>
      <xdr:rowOff>139700</xdr:rowOff>
    </xdr:to>
    <xdr:graphicFrame macro="">
      <xdr:nvGraphicFramePr>
        <xdr:cNvPr id="956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66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43</xdr:row>
      <xdr:rowOff>0</xdr:rowOff>
    </xdr:from>
    <xdr:to>
      <xdr:col>30</xdr:col>
      <xdr:colOff>190500</xdr:colOff>
      <xdr:row>61</xdr:row>
      <xdr:rowOff>139700</xdr:rowOff>
    </xdr:to>
    <xdr:graphicFrame macro="">
      <xdr:nvGraphicFramePr>
        <xdr:cNvPr id="966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88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47</xdr:row>
      <xdr:rowOff>0</xdr:rowOff>
    </xdr:from>
    <xdr:to>
      <xdr:col>30</xdr:col>
      <xdr:colOff>190500</xdr:colOff>
      <xdr:row>65</xdr:row>
      <xdr:rowOff>139700</xdr:rowOff>
    </xdr:to>
    <xdr:graphicFrame macro="">
      <xdr:nvGraphicFramePr>
        <xdr:cNvPr id="884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89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47</xdr:row>
      <xdr:rowOff>0</xdr:rowOff>
    </xdr:from>
    <xdr:to>
      <xdr:col>30</xdr:col>
      <xdr:colOff>190500</xdr:colOff>
      <xdr:row>65</xdr:row>
      <xdr:rowOff>139700</xdr:rowOff>
    </xdr:to>
    <xdr:graphicFrame macro="">
      <xdr:nvGraphicFramePr>
        <xdr:cNvPr id="895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01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58</xdr:row>
      <xdr:rowOff>0</xdr:rowOff>
    </xdr:from>
    <xdr:to>
      <xdr:col>30</xdr:col>
      <xdr:colOff>190500</xdr:colOff>
      <xdr:row>76</xdr:row>
      <xdr:rowOff>139700</xdr:rowOff>
    </xdr:to>
    <xdr:graphicFrame macro="">
      <xdr:nvGraphicFramePr>
        <xdr:cNvPr id="201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30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46</xdr:row>
      <xdr:rowOff>0</xdr:rowOff>
    </xdr:from>
    <xdr:to>
      <xdr:col>30</xdr:col>
      <xdr:colOff>190500</xdr:colOff>
      <xdr:row>64</xdr:row>
      <xdr:rowOff>139700</xdr:rowOff>
    </xdr:to>
    <xdr:graphicFrame macro="">
      <xdr:nvGraphicFramePr>
        <xdr:cNvPr id="130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0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47</xdr:row>
      <xdr:rowOff>0</xdr:rowOff>
    </xdr:from>
    <xdr:to>
      <xdr:col>30</xdr:col>
      <xdr:colOff>190500</xdr:colOff>
      <xdr:row>65</xdr:row>
      <xdr:rowOff>139700</xdr:rowOff>
    </xdr:to>
    <xdr:graphicFrame macro="">
      <xdr:nvGraphicFramePr>
        <xdr:cNvPr id="905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1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47</xdr:row>
      <xdr:rowOff>0</xdr:rowOff>
    </xdr:from>
    <xdr:to>
      <xdr:col>30</xdr:col>
      <xdr:colOff>190500</xdr:colOff>
      <xdr:row>65</xdr:row>
      <xdr:rowOff>139700</xdr:rowOff>
    </xdr:to>
    <xdr:graphicFrame macro="">
      <xdr:nvGraphicFramePr>
        <xdr:cNvPr id="915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02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55</xdr:row>
      <xdr:rowOff>0</xdr:rowOff>
    </xdr:from>
    <xdr:to>
      <xdr:col>30</xdr:col>
      <xdr:colOff>190500</xdr:colOff>
      <xdr:row>73</xdr:row>
      <xdr:rowOff>139700</xdr:rowOff>
    </xdr:to>
    <xdr:graphicFrame macro="">
      <xdr:nvGraphicFramePr>
        <xdr:cNvPr id="202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2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46</xdr:row>
      <xdr:rowOff>0</xdr:rowOff>
    </xdr:from>
    <xdr:to>
      <xdr:col>30</xdr:col>
      <xdr:colOff>190500</xdr:colOff>
      <xdr:row>64</xdr:row>
      <xdr:rowOff>139700</xdr:rowOff>
    </xdr:to>
    <xdr:graphicFrame macro="">
      <xdr:nvGraphicFramePr>
        <xdr:cNvPr id="92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936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46</xdr:row>
      <xdr:rowOff>0</xdr:rowOff>
    </xdr:from>
    <xdr:to>
      <xdr:col>30</xdr:col>
      <xdr:colOff>190500</xdr:colOff>
      <xdr:row>64</xdr:row>
      <xdr:rowOff>139700</xdr:rowOff>
    </xdr:to>
    <xdr:graphicFrame macro="">
      <xdr:nvGraphicFramePr>
        <xdr:cNvPr id="936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03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49</xdr:row>
      <xdr:rowOff>0</xdr:rowOff>
    </xdr:from>
    <xdr:to>
      <xdr:col>30</xdr:col>
      <xdr:colOff>190500</xdr:colOff>
      <xdr:row>67</xdr:row>
      <xdr:rowOff>139700</xdr:rowOff>
    </xdr:to>
    <xdr:graphicFrame macro="">
      <xdr:nvGraphicFramePr>
        <xdr:cNvPr id="203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04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40</xdr:row>
      <xdr:rowOff>0</xdr:rowOff>
    </xdr:from>
    <xdr:to>
      <xdr:col>30</xdr:col>
      <xdr:colOff>190500</xdr:colOff>
      <xdr:row>58</xdr:row>
      <xdr:rowOff>139700</xdr:rowOff>
    </xdr:to>
    <xdr:graphicFrame macro="">
      <xdr:nvGraphicFramePr>
        <xdr:cNvPr id="2041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11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53</xdr:row>
      <xdr:rowOff>0</xdr:rowOff>
    </xdr:from>
    <xdr:to>
      <xdr:col>30</xdr:col>
      <xdr:colOff>190500</xdr:colOff>
      <xdr:row>71</xdr:row>
      <xdr:rowOff>139700</xdr:rowOff>
    </xdr:to>
    <xdr:graphicFrame macro="">
      <xdr:nvGraphicFramePr>
        <xdr:cNvPr id="1611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63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53</xdr:row>
      <xdr:rowOff>0</xdr:rowOff>
    </xdr:from>
    <xdr:to>
      <xdr:col>30</xdr:col>
      <xdr:colOff>190500</xdr:colOff>
      <xdr:row>71</xdr:row>
      <xdr:rowOff>139700</xdr:rowOff>
    </xdr:to>
    <xdr:graphicFrame macro="">
      <xdr:nvGraphicFramePr>
        <xdr:cNvPr id="1663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05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50</xdr:row>
      <xdr:rowOff>0</xdr:rowOff>
    </xdr:from>
    <xdr:to>
      <xdr:col>30</xdr:col>
      <xdr:colOff>190500</xdr:colOff>
      <xdr:row>68</xdr:row>
      <xdr:rowOff>139700</xdr:rowOff>
    </xdr:to>
    <xdr:graphicFrame macro="">
      <xdr:nvGraphicFramePr>
        <xdr:cNvPr id="205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314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54</xdr:row>
      <xdr:rowOff>0</xdr:rowOff>
    </xdr:from>
    <xdr:to>
      <xdr:col>30</xdr:col>
      <xdr:colOff>190500</xdr:colOff>
      <xdr:row>72</xdr:row>
      <xdr:rowOff>139700</xdr:rowOff>
    </xdr:to>
    <xdr:graphicFrame macro="">
      <xdr:nvGraphicFramePr>
        <xdr:cNvPr id="1314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32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163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58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258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72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49</xdr:row>
      <xdr:rowOff>0</xdr:rowOff>
    </xdr:from>
    <xdr:to>
      <xdr:col>30</xdr:col>
      <xdr:colOff>190500</xdr:colOff>
      <xdr:row>67</xdr:row>
      <xdr:rowOff>139700</xdr:rowOff>
    </xdr:to>
    <xdr:graphicFrame macro="">
      <xdr:nvGraphicFramePr>
        <xdr:cNvPr id="372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75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46</xdr:row>
      <xdr:rowOff>0</xdr:rowOff>
    </xdr:from>
    <xdr:to>
      <xdr:col>30</xdr:col>
      <xdr:colOff>190500</xdr:colOff>
      <xdr:row>64</xdr:row>
      <xdr:rowOff>139700</xdr:rowOff>
    </xdr:to>
    <xdr:graphicFrame macro="">
      <xdr:nvGraphicFramePr>
        <xdr:cNvPr id="75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379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51</xdr:row>
      <xdr:rowOff>0</xdr:rowOff>
    </xdr:from>
    <xdr:to>
      <xdr:col>30</xdr:col>
      <xdr:colOff>190500</xdr:colOff>
      <xdr:row>69</xdr:row>
      <xdr:rowOff>139700</xdr:rowOff>
    </xdr:to>
    <xdr:graphicFrame macro="">
      <xdr:nvGraphicFramePr>
        <xdr:cNvPr id="2379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564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38</xdr:row>
      <xdr:rowOff>0</xdr:rowOff>
    </xdr:from>
    <xdr:to>
      <xdr:col>30</xdr:col>
      <xdr:colOff>190500</xdr:colOff>
      <xdr:row>56</xdr:row>
      <xdr:rowOff>139700</xdr:rowOff>
    </xdr:to>
    <xdr:graphicFrame macro="">
      <xdr:nvGraphicFramePr>
        <xdr:cNvPr id="2564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83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46</xdr:row>
      <xdr:rowOff>0</xdr:rowOff>
    </xdr:from>
    <xdr:to>
      <xdr:col>30</xdr:col>
      <xdr:colOff>190500</xdr:colOff>
      <xdr:row>64</xdr:row>
      <xdr:rowOff>139700</xdr:rowOff>
    </xdr:to>
    <xdr:graphicFrame macro="">
      <xdr:nvGraphicFramePr>
        <xdr:cNvPr id="383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734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40</xdr:row>
      <xdr:rowOff>0</xdr:rowOff>
    </xdr:from>
    <xdr:to>
      <xdr:col>30</xdr:col>
      <xdr:colOff>190500</xdr:colOff>
      <xdr:row>58</xdr:row>
      <xdr:rowOff>139700</xdr:rowOff>
    </xdr:to>
    <xdr:graphicFrame macro="">
      <xdr:nvGraphicFramePr>
        <xdr:cNvPr id="1734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2574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257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xdr:wsDr xmlns:xdr="http://schemas.openxmlformats.org/drawingml/2006/spreadsheetDrawing" xmlns:a="http://schemas.openxmlformats.org/drawingml/2006/main">
  <xdr:twoCellAnchor>
    <xdr:from>
      <xdr:col>8</xdr:col>
      <xdr:colOff>254000</xdr:colOff>
      <xdr:row>0</xdr:row>
      <xdr:rowOff>63500</xdr:rowOff>
    </xdr:from>
    <xdr:to>
      <xdr:col>23</xdr:col>
      <xdr:colOff>533400</xdr:colOff>
      <xdr:row>19</xdr:row>
      <xdr:rowOff>63500</xdr:rowOff>
    </xdr:to>
    <xdr:graphicFrame macro="">
      <xdr:nvGraphicFramePr>
        <xdr:cNvPr id="526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44</xdr:row>
      <xdr:rowOff>0</xdr:rowOff>
    </xdr:from>
    <xdr:to>
      <xdr:col>30</xdr:col>
      <xdr:colOff>190500</xdr:colOff>
      <xdr:row>62</xdr:row>
      <xdr:rowOff>139700</xdr:rowOff>
    </xdr:to>
    <xdr:graphicFrame macro="">
      <xdr:nvGraphicFramePr>
        <xdr:cNvPr id="526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693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39</xdr:row>
      <xdr:rowOff>0</xdr:rowOff>
    </xdr:from>
    <xdr:to>
      <xdr:col>30</xdr:col>
      <xdr:colOff>190500</xdr:colOff>
      <xdr:row>57</xdr:row>
      <xdr:rowOff>139700</xdr:rowOff>
    </xdr:to>
    <xdr:graphicFrame macro="">
      <xdr:nvGraphicFramePr>
        <xdr:cNvPr id="1693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8</xdr:col>
      <xdr:colOff>266700</xdr:colOff>
      <xdr:row>0</xdr:row>
      <xdr:rowOff>101600</xdr:rowOff>
    </xdr:from>
    <xdr:to>
      <xdr:col>23</xdr:col>
      <xdr:colOff>508000</xdr:colOff>
      <xdr:row>19</xdr:row>
      <xdr:rowOff>50800</xdr:rowOff>
    </xdr:to>
    <xdr:graphicFrame macro="">
      <xdr:nvGraphicFramePr>
        <xdr:cNvPr id="1202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54</xdr:row>
      <xdr:rowOff>0</xdr:rowOff>
    </xdr:from>
    <xdr:to>
      <xdr:col>30</xdr:col>
      <xdr:colOff>190500</xdr:colOff>
      <xdr:row>73</xdr:row>
      <xdr:rowOff>38100</xdr:rowOff>
    </xdr:to>
    <xdr:graphicFrame macro="">
      <xdr:nvGraphicFramePr>
        <xdr:cNvPr id="1202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8</xdr:col>
      <xdr:colOff>266700</xdr:colOff>
      <xdr:row>0</xdr:row>
      <xdr:rowOff>101600</xdr:rowOff>
    </xdr:from>
    <xdr:to>
      <xdr:col>23</xdr:col>
      <xdr:colOff>571500</xdr:colOff>
      <xdr:row>19</xdr:row>
      <xdr:rowOff>101600</xdr:rowOff>
    </xdr:to>
    <xdr:graphicFrame macro="">
      <xdr:nvGraphicFramePr>
        <xdr:cNvPr id="1028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61</xdr:row>
      <xdr:rowOff>0</xdr:rowOff>
    </xdr:from>
    <xdr:to>
      <xdr:col>30</xdr:col>
      <xdr:colOff>190500</xdr:colOff>
      <xdr:row>80</xdr:row>
      <xdr:rowOff>38100</xdr:rowOff>
    </xdr:to>
    <xdr:graphicFrame macro="">
      <xdr:nvGraphicFramePr>
        <xdr:cNvPr id="1028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08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60</xdr:row>
      <xdr:rowOff>0</xdr:rowOff>
    </xdr:from>
    <xdr:to>
      <xdr:col>30</xdr:col>
      <xdr:colOff>190500</xdr:colOff>
      <xdr:row>78</xdr:row>
      <xdr:rowOff>139700</xdr:rowOff>
    </xdr:to>
    <xdr:graphicFrame macro="">
      <xdr:nvGraphicFramePr>
        <xdr:cNvPr id="108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8</xdr:col>
      <xdr:colOff>266700</xdr:colOff>
      <xdr:row>0</xdr:row>
      <xdr:rowOff>101600</xdr:rowOff>
    </xdr:from>
    <xdr:to>
      <xdr:col>23</xdr:col>
      <xdr:colOff>571500</xdr:colOff>
      <xdr:row>19</xdr:row>
      <xdr:rowOff>101600</xdr:rowOff>
    </xdr:to>
    <xdr:graphicFrame macro="">
      <xdr:nvGraphicFramePr>
        <xdr:cNvPr id="118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53</xdr:row>
      <xdr:rowOff>0</xdr:rowOff>
    </xdr:from>
    <xdr:to>
      <xdr:col>30</xdr:col>
      <xdr:colOff>190500</xdr:colOff>
      <xdr:row>72</xdr:row>
      <xdr:rowOff>38100</xdr:rowOff>
    </xdr:to>
    <xdr:graphicFrame macro="">
      <xdr:nvGraphicFramePr>
        <xdr:cNvPr id="1181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099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61</xdr:row>
      <xdr:rowOff>0</xdr:rowOff>
    </xdr:from>
    <xdr:to>
      <xdr:col>30</xdr:col>
      <xdr:colOff>190500</xdr:colOff>
      <xdr:row>79</xdr:row>
      <xdr:rowOff>139700</xdr:rowOff>
    </xdr:to>
    <xdr:graphicFrame macro="">
      <xdr:nvGraphicFramePr>
        <xdr:cNvPr id="1099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8</xdr:col>
      <xdr:colOff>266700</xdr:colOff>
      <xdr:row>0</xdr:row>
      <xdr:rowOff>101600</xdr:rowOff>
    </xdr:from>
    <xdr:to>
      <xdr:col>23</xdr:col>
      <xdr:colOff>571500</xdr:colOff>
      <xdr:row>19</xdr:row>
      <xdr:rowOff>101600</xdr:rowOff>
    </xdr:to>
    <xdr:graphicFrame macro="">
      <xdr:nvGraphicFramePr>
        <xdr:cNvPr id="1192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48</xdr:row>
      <xdr:rowOff>0</xdr:rowOff>
    </xdr:from>
    <xdr:to>
      <xdr:col>30</xdr:col>
      <xdr:colOff>190500</xdr:colOff>
      <xdr:row>67</xdr:row>
      <xdr:rowOff>38100</xdr:rowOff>
    </xdr:to>
    <xdr:graphicFrame macro="">
      <xdr:nvGraphicFramePr>
        <xdr:cNvPr id="1192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6.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111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56</xdr:row>
      <xdr:rowOff>0</xdr:rowOff>
    </xdr:from>
    <xdr:to>
      <xdr:col>30</xdr:col>
      <xdr:colOff>190500</xdr:colOff>
      <xdr:row>74</xdr:row>
      <xdr:rowOff>139700</xdr:rowOff>
    </xdr:to>
    <xdr:graphicFrame macro="">
      <xdr:nvGraphicFramePr>
        <xdr:cNvPr id="1110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xdr:from>
      <xdr:col>1</xdr:col>
      <xdr:colOff>114300</xdr:colOff>
      <xdr:row>148</xdr:row>
      <xdr:rowOff>88900</xdr:rowOff>
    </xdr:from>
    <xdr:to>
      <xdr:col>13</xdr:col>
      <xdr:colOff>558800</xdr:colOff>
      <xdr:row>170</xdr:row>
      <xdr:rowOff>25400</xdr:rowOff>
    </xdr:to>
    <xdr:graphicFrame macro="">
      <xdr:nvGraphicFramePr>
        <xdr:cNvPr id="622286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172</xdr:row>
      <xdr:rowOff>63500</xdr:rowOff>
    </xdr:from>
    <xdr:to>
      <xdr:col>12</xdr:col>
      <xdr:colOff>203200</xdr:colOff>
      <xdr:row>197</xdr:row>
      <xdr:rowOff>139700</xdr:rowOff>
    </xdr:to>
    <xdr:graphicFrame macro="">
      <xdr:nvGraphicFramePr>
        <xdr:cNvPr id="622286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123</xdr:row>
      <xdr:rowOff>88900</xdr:rowOff>
    </xdr:from>
    <xdr:to>
      <xdr:col>12</xdr:col>
      <xdr:colOff>101600</xdr:colOff>
      <xdr:row>146</xdr:row>
      <xdr:rowOff>25400</xdr:rowOff>
    </xdr:to>
    <xdr:graphicFrame macro="">
      <xdr:nvGraphicFramePr>
        <xdr:cNvPr id="622286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127000</xdr:colOff>
      <xdr:row>46</xdr:row>
      <xdr:rowOff>0</xdr:rowOff>
    </xdr:from>
    <xdr:to>
      <xdr:col>11</xdr:col>
      <xdr:colOff>220980</xdr:colOff>
      <xdr:row>66</xdr:row>
      <xdr:rowOff>139700</xdr:rowOff>
    </xdr:to>
    <xdr:graphicFrame macro="">
      <xdr:nvGraphicFramePr>
        <xdr:cNvPr id="622286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114300</xdr:colOff>
      <xdr:row>69</xdr:row>
      <xdr:rowOff>38100</xdr:rowOff>
    </xdr:from>
    <xdr:to>
      <xdr:col>15</xdr:col>
      <xdr:colOff>165100</xdr:colOff>
      <xdr:row>96</xdr:row>
      <xdr:rowOff>121920</xdr:rowOff>
    </xdr:to>
    <xdr:graphicFrame macro="">
      <xdr:nvGraphicFramePr>
        <xdr:cNvPr id="622286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63500</xdr:colOff>
      <xdr:row>98</xdr:row>
      <xdr:rowOff>38100</xdr:rowOff>
    </xdr:from>
    <xdr:to>
      <xdr:col>13</xdr:col>
      <xdr:colOff>508000</xdr:colOff>
      <xdr:row>121</xdr:row>
      <xdr:rowOff>50800</xdr:rowOff>
    </xdr:to>
    <xdr:graphicFrame macro="">
      <xdr:nvGraphicFramePr>
        <xdr:cNvPr id="6222865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91440</xdr:colOff>
      <xdr:row>201</xdr:row>
      <xdr:rowOff>22860</xdr:rowOff>
    </xdr:from>
    <xdr:to>
      <xdr:col>12</xdr:col>
      <xdr:colOff>68580</xdr:colOff>
      <xdr:row>223</xdr:row>
      <xdr:rowOff>30480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19</xdr:row>
      <xdr:rowOff>152400</xdr:rowOff>
    </xdr:from>
    <xdr:to>
      <xdr:col>15</xdr:col>
      <xdr:colOff>548640</xdr:colOff>
      <xdr:row>45</xdr:row>
      <xdr:rowOff>83820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60960</xdr:colOff>
      <xdr:row>226</xdr:row>
      <xdr:rowOff>137160</xdr:rowOff>
    </xdr:from>
    <xdr:to>
      <xdr:col>11</xdr:col>
      <xdr:colOff>266700</xdr:colOff>
      <xdr:row>247</xdr:row>
      <xdr:rowOff>129540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352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54</xdr:row>
      <xdr:rowOff>0</xdr:rowOff>
    </xdr:from>
    <xdr:to>
      <xdr:col>30</xdr:col>
      <xdr:colOff>190500</xdr:colOff>
      <xdr:row>72</xdr:row>
      <xdr:rowOff>139700</xdr:rowOff>
    </xdr:to>
    <xdr:graphicFrame macro="">
      <xdr:nvGraphicFramePr>
        <xdr:cNvPr id="35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292100</xdr:colOff>
      <xdr:row>0</xdr:row>
      <xdr:rowOff>63500</xdr:rowOff>
    </xdr:from>
    <xdr:to>
      <xdr:col>23</xdr:col>
      <xdr:colOff>571500</xdr:colOff>
      <xdr:row>19</xdr:row>
      <xdr:rowOff>63500</xdr:rowOff>
    </xdr:to>
    <xdr:graphicFrame macro="">
      <xdr:nvGraphicFramePr>
        <xdr:cNvPr id="424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94</xdr:row>
      <xdr:rowOff>0</xdr:rowOff>
    </xdr:from>
    <xdr:to>
      <xdr:col>30</xdr:col>
      <xdr:colOff>190500</xdr:colOff>
      <xdr:row>112</xdr:row>
      <xdr:rowOff>139700</xdr:rowOff>
    </xdr:to>
    <xdr:graphicFrame macro="">
      <xdr:nvGraphicFramePr>
        <xdr:cNvPr id="424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archpsyc.ama-assn.org/cgi/content/full/68/7/675" TargetMode="External"/><Relationship Id="rId1" Type="http://schemas.openxmlformats.org/officeDocument/2006/relationships/hyperlink" Target="http://www.depressiondatabase.or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ncbi.nlm.nih.gov/sites/entrez?Db=pubmed&amp;Cmd=ShowDetailView&amp;TermToSearch=9298431&amp;ordinalpos=77&amp;itool=EntrezSystem2.PEntrez.Pubmed.Pubmed_ResultsPanel.Pubmed_RVDocSum" TargetMode="External"/><Relationship Id="rId299" Type="http://schemas.openxmlformats.org/officeDocument/2006/relationships/hyperlink" Target="http://dx.doi.org/10.1016/j.jpsychires.2006.06.011" TargetMode="External"/><Relationship Id="rId21" Type="http://schemas.openxmlformats.org/officeDocument/2006/relationships/hyperlink" Target="http://www.ncbi.nlm.nih.gov/entrez/query.fcgi?db=pubmed&amp;cmd=Retrieve&amp;dopt=AbstractPlus&amp;list_uids=15545334&amp;query_hl=8&amp;itool=pubmed_DocSum" TargetMode="External"/><Relationship Id="rId63" Type="http://schemas.openxmlformats.org/officeDocument/2006/relationships/hyperlink" Target="http://www.ncbi.nlm.nih.gov/entrez/query.fcgi?db=pubmed&amp;cmd=Retrieve&amp;dopt=AbstractPlus&amp;list_uids=11750892&amp;query_hl=8&amp;itool=pubmed_DocSum" TargetMode="External"/><Relationship Id="rId159" Type="http://schemas.openxmlformats.org/officeDocument/2006/relationships/hyperlink" Target="http://www.ncbi.nlm.nih.gov/pubmed/17463189?ordinalpos=115&amp;itool=EntrezSystem2.PEntrez.Pubmed.Pubmed_ResultsPanel.Pubmed_DefaultReportPanel.Pubmed_RVDocSum" TargetMode="External"/><Relationship Id="rId324" Type="http://schemas.openxmlformats.org/officeDocument/2006/relationships/hyperlink" Target="http://www.ncbi.nlm.nih.gov/sites/entrez?Db=pubmed&amp;Cmd=ShowDetailView&amp;TermToSearch=10610044&amp;ordinalpos=199&amp;itool=EntrezSystem2.PEntrez.Pubmed.Pubmed_ResultsPanel.Pubmed_RVDocSum" TargetMode="External"/><Relationship Id="rId366" Type="http://schemas.openxmlformats.org/officeDocument/2006/relationships/hyperlink" Target="http://www.ncbi.nlm.nih.gov/pubmed/18819162" TargetMode="External"/><Relationship Id="rId170" Type="http://schemas.openxmlformats.org/officeDocument/2006/relationships/hyperlink" Target="http://www.ncbi.nlm.nih.gov/pubmed/16894588?ordinalpos=75&amp;itool=EntrezSystem2.PEntrez.Pubmed.Pubmed_ResultsPanel.Pubmed_DefaultReportPanel.Pubmed_RVDocSum" TargetMode="External"/><Relationship Id="rId226" Type="http://schemas.openxmlformats.org/officeDocument/2006/relationships/hyperlink" Target="http://www3.interscience.wiley.com/cgi-bin/fulltext/118968191/PDFSTART" TargetMode="External"/><Relationship Id="rId433" Type="http://schemas.openxmlformats.org/officeDocument/2006/relationships/hyperlink" Target="http://bjp.rcpsych.org/cgi/reprint/196/2/143" TargetMode="External"/><Relationship Id="rId268" Type="http://schemas.openxmlformats.org/officeDocument/2006/relationships/hyperlink" Target="http://dx.doi.org/10.1016/j.biopsych.2004.09.011" TargetMode="External"/><Relationship Id="rId32" Type="http://schemas.openxmlformats.org/officeDocument/2006/relationships/hyperlink" Target="http://www.ncbi.nlm.nih.gov/entrez/query.fcgi?db=pubmed&amp;cmd=Retrieve&amp;dopt=AbstractPlus&amp;list_uids=14757594&amp;query_hl=8&amp;itool=pubmed_DocSum" TargetMode="External"/><Relationship Id="rId74" Type="http://schemas.openxmlformats.org/officeDocument/2006/relationships/hyperlink" Target="http://www.ncbi.nlm.nih.gov/entrez/query.fcgi?db=pubmed&amp;cmd=Retrieve&amp;dopt=AbstractPlus&amp;list_uids=10693154&amp;query_hl=8&amp;itool=pubmed_DocSum" TargetMode="External"/><Relationship Id="rId128" Type="http://schemas.openxmlformats.org/officeDocument/2006/relationships/hyperlink" Target="http://dx.doi.org/10.1016/S0165-0327(97)00073-6" TargetMode="External"/><Relationship Id="rId335" Type="http://schemas.openxmlformats.org/officeDocument/2006/relationships/hyperlink" Target="http://www.ncbi.nlm.nih.gov/pubmed/18368034?ordinalpos=70&amp;itool=EntrezSystem2.PEntrez.Pubmed.Pubmed_ResultsPanel.Pubmed_DefaultReportPanel.Pubmed_RVDocSum" TargetMode="External"/><Relationship Id="rId377" Type="http://schemas.openxmlformats.org/officeDocument/2006/relationships/hyperlink" Target="http://www.ncbi.nlm.nih.gov/pubmed/19270763?ordinalpos=11&amp;itool=EntrezSystem2.PEntrez.Pubmed.Pubmed_ResultsPanel.Pubmed_DefaultReportPanel.Pubmed_RVDocSum" TargetMode="External"/><Relationship Id="rId5" Type="http://schemas.openxmlformats.org/officeDocument/2006/relationships/hyperlink" Target="http://www.ncbi.nlm.nih.gov/entrez/query.fcgi?db=pubmed&amp;cmd=Retrieve&amp;dopt=AbstractPlus&amp;list_uids=16414029&amp;query_hl=8&amp;itool=pubmed_DocSum" TargetMode="External"/><Relationship Id="rId181" Type="http://schemas.openxmlformats.org/officeDocument/2006/relationships/hyperlink" Target="http://www.ncbi.nlm.nih.gov/sites/entrez?Db=pubmed&amp;Cmd=ShowDetailView&amp;TermToSearch=1876637&amp;ordinalpos=150&amp;itool=EntrezSystem2.PEntrez.Pubmed.Pubmed_ResultsPanel.Pubmed_RVDocSum" TargetMode="External"/><Relationship Id="rId237" Type="http://schemas.openxmlformats.org/officeDocument/2006/relationships/hyperlink" Target="http://archpsyc.ama-assn.org/cgi/reprint/59/2/173" TargetMode="External"/><Relationship Id="rId402" Type="http://schemas.openxmlformats.org/officeDocument/2006/relationships/hyperlink" Target="http://www.ncbi.nlm.nih.gov/pubmed/19668114" TargetMode="External"/><Relationship Id="rId279" Type="http://schemas.openxmlformats.org/officeDocument/2006/relationships/hyperlink" Target="http://ajws.elsevier.com/ajws_archive/20059219A1045.pdf" TargetMode="External"/><Relationship Id="rId43" Type="http://schemas.openxmlformats.org/officeDocument/2006/relationships/hyperlink" Target="http://www.ncbi.nlm.nih.gov/entrez/query.fcgi?db=pubmed&amp;cmd=Retrieve&amp;dopt=AbstractPlus&amp;list_uids=12785469&amp;query_hl=8&amp;itool=pubmed_DocSum" TargetMode="External"/><Relationship Id="rId139" Type="http://schemas.openxmlformats.org/officeDocument/2006/relationships/hyperlink" Target="http://www.ncbi.nlm.nih.gov/pubmed/16740316?ordinalpos=191&amp;itool=EntrezSystem2.PEntrez.Pubmed.Pubmed_ResultsPanel.Pubmed_DefaultReportPanel.Pubmed_RVDocSum" TargetMode="External"/><Relationship Id="rId290" Type="http://schemas.openxmlformats.org/officeDocument/2006/relationships/hyperlink" Target="http://www.cma.ca/multimedia/staticContent/HTML/N0/l2/jpn/vol-31/issue-5/pdf/pg316.pdf" TargetMode="External"/><Relationship Id="rId304" Type="http://schemas.openxmlformats.org/officeDocument/2006/relationships/hyperlink" Target="http://www.nature.com/mp/journal/v12/n4/pdf/4001919a.pdf" TargetMode="External"/><Relationship Id="rId346" Type="http://schemas.openxmlformats.org/officeDocument/2006/relationships/hyperlink" Target="http://dx.doi.org/10.1007/s00234-008-0383-9" TargetMode="External"/><Relationship Id="rId388" Type="http://schemas.openxmlformats.org/officeDocument/2006/relationships/hyperlink" Target="http://www.ncbi.nlm.nih.gov/pubmed/19505522" TargetMode="External"/><Relationship Id="rId85" Type="http://schemas.openxmlformats.org/officeDocument/2006/relationships/hyperlink" Target="http://www.ncbi.nlm.nih.gov/entrez/query.fcgi?db=pubmed&amp;cmd=Retrieve&amp;dopt=AbstractPlus&amp;list_uids=9209723&amp;query_hl=8&amp;itool=pubmed_DocSum" TargetMode="External"/><Relationship Id="rId150" Type="http://schemas.openxmlformats.org/officeDocument/2006/relationships/hyperlink" Target="http://www.ncbi.nlm.nih.gov/pubmed/18406580?ordinalpos=17&amp;itool=EntrezSystem2.PEntrez.Pubmed.Pubmed_ResultsPanel.Pubmed_DefaultReportPanel.Pubmed_RVDocSum" TargetMode="External"/><Relationship Id="rId192" Type="http://schemas.openxmlformats.org/officeDocument/2006/relationships/hyperlink" Target="http://www.springerlink.com/content/yq33844661g65135/fulltext.pdf" TargetMode="External"/><Relationship Id="rId206" Type="http://schemas.openxmlformats.org/officeDocument/2006/relationships/hyperlink" Target="http://www.pnas.org/content/95/13/7654" TargetMode="External"/><Relationship Id="rId413" Type="http://schemas.openxmlformats.org/officeDocument/2006/relationships/hyperlink" Target="http://dx.doi.org/10.1038/mp.2009.26" TargetMode="External"/><Relationship Id="rId248" Type="http://schemas.openxmlformats.org/officeDocument/2006/relationships/hyperlink" Target="http://www.liebertonline.com/doi/pdf/10.1089/104454603321666207" TargetMode="External"/><Relationship Id="rId12" Type="http://schemas.openxmlformats.org/officeDocument/2006/relationships/hyperlink" Target="http://www.ncbi.nlm.nih.gov/entrez/query.fcgi?db=pubmed&amp;cmd=Retrieve&amp;dopt=AbstractPlus&amp;list_uids=15927454&amp;query_hl=8&amp;itool=pubmed_DocSum" TargetMode="External"/><Relationship Id="rId33" Type="http://schemas.openxmlformats.org/officeDocument/2006/relationships/hyperlink" Target="http://www.ncbi.nlm.nih.gov/entrez/query.fcgi?db=pubmed&amp;cmd=Retrieve&amp;dopt=AbstractPlus&amp;list_uids=14742592&amp;query_hl=8&amp;itool=pubmed_DocSum" TargetMode="External"/><Relationship Id="rId108" Type="http://schemas.openxmlformats.org/officeDocument/2006/relationships/hyperlink" Target="http://www.ncbi.nlm.nih.gov/entrez/query.fcgi?db=pubmed&amp;cmd=Retrieve&amp;dopt=AbstractPlus&amp;list_uids=1763144&amp;query_hl=8&amp;itool=pubmed_DocSum" TargetMode="External"/><Relationship Id="rId129" Type="http://schemas.openxmlformats.org/officeDocument/2006/relationships/hyperlink" Target="http://dx.doi.org/10.1016/0006-3223(95)00477-7" TargetMode="External"/><Relationship Id="rId280" Type="http://schemas.openxmlformats.org/officeDocument/2006/relationships/hyperlink" Target="http://dx.doi.org/10.1016/j.jpsychires.2004.06.004" TargetMode="External"/><Relationship Id="rId315" Type="http://schemas.openxmlformats.org/officeDocument/2006/relationships/hyperlink" Target="http://bjp.rcpsych.org/cgi/content/full/192/6/472" TargetMode="External"/><Relationship Id="rId336" Type="http://schemas.openxmlformats.org/officeDocument/2006/relationships/hyperlink" Target="http://www.ncbi.nlm.nih.gov/pubmed/18414838?ordinalpos=63&amp;itool=EntrezSystem2.PEntrez.Pubmed.Pubmed_ResultsPanel.Pubmed_DefaultReportPanel.Pubmed_RVDocSum" TargetMode="External"/><Relationship Id="rId357" Type="http://schemas.openxmlformats.org/officeDocument/2006/relationships/hyperlink" Target="http://journals.lww.com/ajgponline/Abstract/1994/02040/MRI_High_Intensity_Signals_in_Late_Life_Depression.8.aspx" TargetMode="External"/><Relationship Id="rId54" Type="http://schemas.openxmlformats.org/officeDocument/2006/relationships/hyperlink" Target="http://www.ncbi.nlm.nih.gov/entrez/query.fcgi?db=pubmed&amp;cmd=Retrieve&amp;dopt=AbstractPlus&amp;list_uids=12091188&amp;query_hl=8&amp;itool=pubmed_DocSum" TargetMode="External"/><Relationship Id="rId75" Type="http://schemas.openxmlformats.org/officeDocument/2006/relationships/hyperlink" Target="http://www.ncbi.nlm.nih.gov/entrez/query.fcgi?db=pubmed&amp;cmd=Retrieve&amp;dopt=AbstractPlus&amp;list_uids=10618023&amp;query_hl=8&amp;itool=pubmed_DocSum" TargetMode="External"/><Relationship Id="rId96" Type="http://schemas.openxmlformats.org/officeDocument/2006/relationships/hyperlink" Target="http://www.ncbi.nlm.nih.gov/entrez/query.fcgi?db=pubmed&amp;cmd=Retrieve&amp;dopt=AbstractPlus&amp;list_uids=7654126&amp;query_hl=8&amp;itool=pubmed_DocSum" TargetMode="External"/><Relationship Id="rId140" Type="http://schemas.openxmlformats.org/officeDocument/2006/relationships/hyperlink" Target="http://www.ncbi.nlm.nih.gov/pubmed/16930719?ordinalpos=181&amp;itool=EntrezSystem2.PEntrez.Pubmed.Pubmed_ResultsPanel.Pubmed_DefaultReportPanel.Pubmed_RVDocSum" TargetMode="External"/><Relationship Id="rId161" Type="http://schemas.openxmlformats.org/officeDocument/2006/relationships/hyperlink" Target="http://www.ncbi.nlm.nih.gov/pubmed/17389903?ordinalpos=126&amp;itool=EntrezSystem2.PEntrez.Pubmed.Pubmed_ResultsPanel.Pubmed_DefaultReportPanel.Pubmed_RVDocSum" TargetMode="External"/><Relationship Id="rId182" Type="http://schemas.openxmlformats.org/officeDocument/2006/relationships/hyperlink" Target="http://ajp.psychiatryonline.org/cgi/reprint/147/2/187" TargetMode="External"/><Relationship Id="rId217" Type="http://schemas.openxmlformats.org/officeDocument/2006/relationships/hyperlink" Target="http://ajp.psychiatryonline.org/cgi/reprint/156/12/1989" TargetMode="External"/><Relationship Id="rId378" Type="http://schemas.openxmlformats.org/officeDocument/2006/relationships/hyperlink" Target="http://www.ncbi.nlm.nih.gov/pubmed/19411368?ordinalpos=6&amp;itool=EntrezSystem2.PEntrez.Pubmed.Pubmed_ResultsPanel.Pubmed_DefaultReportPanel.Pubmed_RVDocSum" TargetMode="External"/><Relationship Id="rId399" Type="http://schemas.openxmlformats.org/officeDocument/2006/relationships/hyperlink" Target="http://dx.doi.org/10.1097/YPG.0b013e32832080ce" TargetMode="External"/><Relationship Id="rId403" Type="http://schemas.openxmlformats.org/officeDocument/2006/relationships/hyperlink" Target="http://dx.doi.org/10.1017/S003329170002417X" TargetMode="External"/><Relationship Id="rId6" Type="http://schemas.openxmlformats.org/officeDocument/2006/relationships/hyperlink" Target="http://www.ncbi.nlm.nih.gov/entrez/query.fcgi?db=pubmed&amp;cmd=Retrieve&amp;dopt=AbstractPlus&amp;list_uids=16323250&amp;query_hl=8&amp;itool=pubmed_DocSum" TargetMode="External"/><Relationship Id="rId238" Type="http://schemas.openxmlformats.org/officeDocument/2006/relationships/hyperlink" Target="http://dx.doi.org/10.1006/nimg.2001.0928" TargetMode="External"/><Relationship Id="rId259" Type="http://schemas.openxmlformats.org/officeDocument/2006/relationships/hyperlink" Target="http://dx.doi.org/10.1017/S0033291703008870" TargetMode="External"/><Relationship Id="rId424" Type="http://schemas.openxmlformats.org/officeDocument/2006/relationships/hyperlink" Target="http://www.ncbi.nlm.nih.gov/pubmed/19800203" TargetMode="External"/><Relationship Id="rId23" Type="http://schemas.openxmlformats.org/officeDocument/2006/relationships/hyperlink" Target="http://www.ncbi.nlm.nih.gov/entrez/query.fcgi?db=pubmed&amp;cmd=Retrieve&amp;dopt=AbstractPlus&amp;list_uids=15514411&amp;query_hl=8&amp;itool=pubmed_DocSum" TargetMode="External"/><Relationship Id="rId119" Type="http://schemas.openxmlformats.org/officeDocument/2006/relationships/hyperlink" Target="http://www.ncbi.nlm.nih.gov/sites/entrez?Db=pubmed&amp;Cmd=ShowDetailView&amp;TermToSearch=7480387&amp;ordinalpos=94&amp;itool=EntrezSystem2.PEntrez.Pubmed.Pubmed_ResultsPanel.Pubmed_RVDocSum" TargetMode="External"/><Relationship Id="rId270" Type="http://schemas.openxmlformats.org/officeDocument/2006/relationships/hyperlink" Target="http://www.biomedcentral.com/content/pdf/1741-7015-2-2.pdf" TargetMode="External"/><Relationship Id="rId291" Type="http://schemas.openxmlformats.org/officeDocument/2006/relationships/hyperlink" Target="http://www3.interscience.wiley.com/cgi-bin/fulltext/112775032/PDFSTART" TargetMode="External"/><Relationship Id="rId305" Type="http://schemas.openxmlformats.org/officeDocument/2006/relationships/hyperlink" Target="http://dx.doi.org/10.1016/j.biopsych.2006.11.031" TargetMode="External"/><Relationship Id="rId326" Type="http://schemas.openxmlformats.org/officeDocument/2006/relationships/hyperlink" Target="http://www.ncbi.nlm.nih.gov/pubmed/15956995" TargetMode="External"/><Relationship Id="rId347" Type="http://schemas.openxmlformats.org/officeDocument/2006/relationships/hyperlink" Target="http://dx.doi.org/10.1097/JGP.0b013e3181794629" TargetMode="External"/><Relationship Id="rId44" Type="http://schemas.openxmlformats.org/officeDocument/2006/relationships/hyperlink" Target="http://www.ncbi.nlm.nih.gov/entrez/query.fcgi?db=pubmed&amp;cmd=Retrieve&amp;dopt=AbstractPlus&amp;list_uids=12724182&amp;query_hl=8&amp;itool=pubmed_DocSum" TargetMode="External"/><Relationship Id="rId65" Type="http://schemas.openxmlformats.org/officeDocument/2006/relationships/hyperlink" Target="http://www.ncbi.nlm.nih.gov/entrez/query.fcgi?db=pubmed&amp;cmd=Retrieve&amp;dopt=AbstractPlus&amp;list_uids=11559382&amp;query_hl=8&amp;itool=pubmed_DocSum" TargetMode="External"/><Relationship Id="rId86" Type="http://schemas.openxmlformats.org/officeDocument/2006/relationships/hyperlink" Target="http://www.ncbi.nlm.nih.gov/entrez/query.fcgi?db=pubmed&amp;cmd=Retrieve&amp;dopt=AbstractPlus&amp;list_uids=9126739&amp;query_hl=8&amp;itool=pubmed_DocSum" TargetMode="External"/><Relationship Id="rId130" Type="http://schemas.openxmlformats.org/officeDocument/2006/relationships/hyperlink" Target="http://www.ncbi.nlm.nih.gov/sites/entrez?Db=pubmed&amp;Cmd=ShowDetailView&amp;TermToSearch=3381925&amp;ordinalpos=200&amp;itool=EntrezSystem2.PEntrez.Pubmed.Pubmed_ResultsPanel.Pubmed_RVDocSum" TargetMode="External"/><Relationship Id="rId151" Type="http://schemas.openxmlformats.org/officeDocument/2006/relationships/hyperlink" Target="http://www.ncbi.nlm.nih.gov/pubmed/18281408?ordinalpos=25&amp;itool=EntrezSystem2.PEntrez.Pubmed.Pubmed_ResultsPanel.Pubmed_DefaultReportPanel.Pubmed_RVDocSum" TargetMode="External"/><Relationship Id="rId368" Type="http://schemas.openxmlformats.org/officeDocument/2006/relationships/hyperlink" Target="http://www.ncbi.nlm.nih.gov/pubmed/19235787" TargetMode="External"/><Relationship Id="rId389" Type="http://schemas.openxmlformats.org/officeDocument/2006/relationships/hyperlink" Target="http://www.ncbi.nlm.nih.gov/pubmed/19488671" TargetMode="External"/><Relationship Id="rId172" Type="http://schemas.openxmlformats.org/officeDocument/2006/relationships/hyperlink" Target="http://www.ncbi.nlm.nih.gov/pubmed/15576058?ordinalpos=120&amp;itool=EntrezSystem2.PEntrez.Pubmed.Pubmed_ResultsPanel.Pubmed_DefaultReportPanel.Pubmed_RVDocSum" TargetMode="External"/><Relationship Id="rId193" Type="http://schemas.openxmlformats.org/officeDocument/2006/relationships/hyperlink" Target="http://dx.doi.org/10.1016/0165-0327(93)90073-S" TargetMode="External"/><Relationship Id="rId207" Type="http://schemas.openxmlformats.org/officeDocument/2006/relationships/hyperlink" Target="http://dx.doi.org/10.1007/s001150050371" TargetMode="External"/><Relationship Id="rId228" Type="http://schemas.openxmlformats.org/officeDocument/2006/relationships/hyperlink" Target="http://www.scielo.br/pdf/anp/v59n3B/5967.pdf" TargetMode="External"/><Relationship Id="rId249" Type="http://schemas.openxmlformats.org/officeDocument/2006/relationships/hyperlink" Target="http://www.pnas.org/content/100/3/1387.full.pdf" TargetMode="External"/><Relationship Id="rId414" Type="http://schemas.openxmlformats.org/officeDocument/2006/relationships/hyperlink" Target="http://www.ncbi.nlm.nih.gov/pubmed/19019454" TargetMode="External"/><Relationship Id="rId435" Type="http://schemas.openxmlformats.org/officeDocument/2006/relationships/hyperlink" Target="http://dx.doi.org/10.1016/j.pnpbp.2009.10.005" TargetMode="External"/><Relationship Id="rId13" Type="http://schemas.openxmlformats.org/officeDocument/2006/relationships/hyperlink" Target="http://www.ncbi.nlm.nih.gov/entrez/query.fcgi?db=pubmed&amp;cmd=Retrieve&amp;dopt=AbstractPlus&amp;list_uids=15867107&amp;query_hl=8&amp;itool=pubmed_DocSum" TargetMode="External"/><Relationship Id="rId109" Type="http://schemas.openxmlformats.org/officeDocument/2006/relationships/hyperlink" Target="http://www.ncbi.nlm.nih.gov/entrez/query.fcgi?db=pubmed&amp;cmd=Retrieve&amp;dopt=AbstractPlus&amp;list_uids=1715677&amp;query_hl=8&amp;itool=pubmed_DocSum" TargetMode="External"/><Relationship Id="rId260" Type="http://schemas.openxmlformats.org/officeDocument/2006/relationships/hyperlink" Target="http://dx.doi.org/10.1016/j.biopsych.2003.09.004" TargetMode="External"/><Relationship Id="rId281" Type="http://schemas.openxmlformats.org/officeDocument/2006/relationships/hyperlink" Target="http://dx.doi.org/10.1016/j.biopsych.2005.01.016" TargetMode="External"/><Relationship Id="rId316" Type="http://schemas.openxmlformats.org/officeDocument/2006/relationships/hyperlink" Target="http://dx.doi.org/10.1016/j.pscychresns.2007.04.004" TargetMode="External"/><Relationship Id="rId337" Type="http://schemas.openxmlformats.org/officeDocument/2006/relationships/hyperlink" Target="http://www.ncbi.nlm.nih.gov/pubmed/18573301?ordinalpos=42&amp;itool=EntrezSystem2.PEntrez.Pubmed.Pubmed_ResultsPanel.Pubmed_DefaultReportPanel.Pubmed_RVDocSum" TargetMode="External"/><Relationship Id="rId34" Type="http://schemas.openxmlformats.org/officeDocument/2006/relationships/hyperlink" Target="http://www.ncbi.nlm.nih.gov/entrez/query.fcgi?db=pubmed&amp;cmd=Retrieve&amp;dopt=AbstractPlus&amp;list_uids=14702257&amp;query_hl=8&amp;itool=pubmed_DocSum" TargetMode="External"/><Relationship Id="rId55" Type="http://schemas.openxmlformats.org/officeDocument/2006/relationships/hyperlink" Target="http://www.ncbi.nlm.nih.gov/entrez/query.fcgi?db=pubmed&amp;cmd=Retrieve&amp;dopt=AbstractPlus&amp;list_uids=11983641&amp;query_hl=8&amp;itool=pubmed_DocSum" TargetMode="External"/><Relationship Id="rId76" Type="http://schemas.openxmlformats.org/officeDocument/2006/relationships/hyperlink" Target="http://www.ncbi.nlm.nih.gov/entrez/query.fcgi?db=pubmed&amp;cmd=Retrieve&amp;dopt=AbstractPlus&amp;list_uids=10588417&amp;query_hl=8&amp;itool=pubmed_DocSum" TargetMode="External"/><Relationship Id="rId97" Type="http://schemas.openxmlformats.org/officeDocument/2006/relationships/hyperlink" Target="http://www.ncbi.nlm.nih.gov/entrez/query.fcgi?db=pubmed&amp;cmd=Retrieve&amp;dopt=AbstractPlus&amp;list_uids=7632622&amp;query_hl=8&amp;itool=pubmed_DocSum" TargetMode="External"/><Relationship Id="rId120" Type="http://schemas.openxmlformats.org/officeDocument/2006/relationships/hyperlink" Target="http://www.ncbi.nlm.nih.gov/sites/entrez?Db=pubmed&amp;Cmd=ShowDetailView&amp;TermToSearch=1486107&amp;ordinalpos=143&amp;itool=EntrezSystem2.PEntrez.Pubmed.Pubmed_ResultsPanel.Pubmed_RVDocSum" TargetMode="External"/><Relationship Id="rId141" Type="http://schemas.openxmlformats.org/officeDocument/2006/relationships/hyperlink" Target="http://www.ncbi.nlm.nih.gov/pubmed/16919335?ordinalpos=182&amp;itool=EntrezSystem2.PEntrez.Pubmed.Pubmed_ResultsPanel.Pubmed_DefaultReportPanel.Pubmed_RVDocSum" TargetMode="External"/><Relationship Id="rId358" Type="http://schemas.openxmlformats.org/officeDocument/2006/relationships/hyperlink" Target="http://journals.lww.com/ajgponline/Abstract/1994/02040/MRI_High_Intensity_Signals_in_Late_Life_Depression.8.aspx" TargetMode="External"/><Relationship Id="rId379" Type="http://schemas.openxmlformats.org/officeDocument/2006/relationships/hyperlink" Target="http://www3.interscience.wiley.com/cgi-bin/fulltext/114803833/PDFSTART" TargetMode="External"/><Relationship Id="rId7" Type="http://schemas.openxmlformats.org/officeDocument/2006/relationships/hyperlink" Target="http://www.ncbi.nlm.nih.gov/entrez/query.fcgi?db=pubmed&amp;cmd=Retrieve&amp;dopt=AbstractPlus&amp;list_uids=16298109&amp;query_hl=8&amp;itool=pubmed_DocSum" TargetMode="External"/><Relationship Id="rId162" Type="http://schemas.openxmlformats.org/officeDocument/2006/relationships/hyperlink" Target="http://www.ncbi.nlm.nih.gov/pubmed/17335636?ordinalpos=134&amp;itool=EntrezSystem2.PEntrez.Pubmed.Pubmed_ResultsPanel.Pubmed_DefaultReportPanel.Pubmed_RVDocSum" TargetMode="External"/><Relationship Id="rId183" Type="http://schemas.openxmlformats.org/officeDocument/2006/relationships/hyperlink" Target="http://dx.doi.org/10.1016/0006-3223(91)91297-5" TargetMode="External"/><Relationship Id="rId218" Type="http://schemas.openxmlformats.org/officeDocument/2006/relationships/hyperlink" Target="http://ajp.psychiatryonline.org/cgi/reprint/157/1/115" TargetMode="External"/><Relationship Id="rId239" Type="http://schemas.openxmlformats.org/officeDocument/2006/relationships/hyperlink" Target="http://bjp.rcpsych.org/cgi/reprint/181/43/s58" TargetMode="External"/><Relationship Id="rId390" Type="http://schemas.openxmlformats.org/officeDocument/2006/relationships/hyperlink" Target="http://www.ncbi.nlm.nih.gov/pubmed/19486330" TargetMode="External"/><Relationship Id="rId404" Type="http://schemas.openxmlformats.org/officeDocument/2006/relationships/hyperlink" Target="http://dx.doi.org/10.1017/S0033291700013222" TargetMode="External"/><Relationship Id="rId425" Type="http://schemas.openxmlformats.org/officeDocument/2006/relationships/hyperlink" Target="http://www.ncbi.nlm.nih.gov/pubmed/19345999" TargetMode="External"/><Relationship Id="rId250" Type="http://schemas.openxmlformats.org/officeDocument/2006/relationships/hyperlink" Target="http://ajp.psychiatryonline.org/cgi/reprint/160/1/83" TargetMode="External"/><Relationship Id="rId271" Type="http://schemas.openxmlformats.org/officeDocument/2006/relationships/hyperlink" Target="http://dx.doi.org/10.1016/j.jpsychires.2003.11.001" TargetMode="External"/><Relationship Id="rId292" Type="http://schemas.openxmlformats.org/officeDocument/2006/relationships/hyperlink" Target="http://bjp.rcpsych.org/cgi/reprint/188/2/180" TargetMode="External"/><Relationship Id="rId306" Type="http://schemas.openxmlformats.org/officeDocument/2006/relationships/hyperlink" Target="http://dx.doi.org/10.1016/j.jad.2006.06.024" TargetMode="External"/><Relationship Id="rId24" Type="http://schemas.openxmlformats.org/officeDocument/2006/relationships/hyperlink" Target="http://www.ncbi.nlm.nih.gov/entrez/query.fcgi?db=pubmed&amp;cmd=Retrieve&amp;dopt=AbstractPlus&amp;list_uids=15465296&amp;query_hl=8&amp;itool=pubmed_DocSum" TargetMode="External"/><Relationship Id="rId45" Type="http://schemas.openxmlformats.org/officeDocument/2006/relationships/hyperlink" Target="http://www.ncbi.nlm.nih.gov/entrez/query.fcgi?db=pubmed&amp;cmd=Retrieve&amp;dopt=AbstractPlus&amp;list_uids=12656939&amp;query_hl=8&amp;itool=pubmed_DocSum" TargetMode="External"/><Relationship Id="rId66" Type="http://schemas.openxmlformats.org/officeDocument/2006/relationships/hyperlink" Target="http://www.ncbi.nlm.nih.gov/entrez/query.fcgi?db=pubmed&amp;cmd=Retrieve&amp;dopt=AbstractPlus&amp;list_uids=11522262&amp;query_hl=8&amp;itool=pubmed_DocSum" TargetMode="External"/><Relationship Id="rId87" Type="http://schemas.openxmlformats.org/officeDocument/2006/relationships/hyperlink" Target="http://www.ncbi.nlm.nih.gov/entrez/query.fcgi?db=pubmed&amp;cmd=Retrieve&amp;dopt=AbstractPlus&amp;list_uids=9089834&amp;query_hl=8&amp;itool=pubmed_DocSum" TargetMode="External"/><Relationship Id="rId110" Type="http://schemas.openxmlformats.org/officeDocument/2006/relationships/hyperlink" Target="http://www.ncbi.nlm.nih.gov/entrez/query.fcgi?db=pubmed&amp;cmd=Retrieve&amp;dopt=AbstractPlus&amp;list_uids=2018163&amp;query_hl=8&amp;itool=pubmed_DocSum" TargetMode="External"/><Relationship Id="rId131" Type="http://schemas.openxmlformats.org/officeDocument/2006/relationships/hyperlink" Target="http://www.springerlink.com/content/b5pt42j150468506/fulltext.pdf" TargetMode="External"/><Relationship Id="rId327" Type="http://schemas.openxmlformats.org/officeDocument/2006/relationships/hyperlink" Target="http://archpsyc.ama-assn.org/cgi/content/full/63/2/139" TargetMode="External"/><Relationship Id="rId348" Type="http://schemas.openxmlformats.org/officeDocument/2006/relationships/hyperlink" Target="http://dx.doi.org/10.1097/JGP.0b013e31816ff72b" TargetMode="External"/><Relationship Id="rId369" Type="http://schemas.openxmlformats.org/officeDocument/2006/relationships/hyperlink" Target="http://www.ncbi.nlm.nih.gov/pubmed/19239986" TargetMode="External"/><Relationship Id="rId152" Type="http://schemas.openxmlformats.org/officeDocument/2006/relationships/hyperlink" Target="http://www.ncbi.nlm.nih.gov/pubmed/18199247?ordinalpos=31&amp;itool=EntrezSystem2.PEntrez.Pubmed.Pubmed_ResultsPanel.Pubmed_DefaultReportPanel.Pubmed_RVDocSum" TargetMode="External"/><Relationship Id="rId173" Type="http://schemas.openxmlformats.org/officeDocument/2006/relationships/hyperlink" Target="http://www.ncbi.nlm.nih.gov/pubmed/15172942?ordinalpos=134&amp;itool=EntrezSystem2.PEntrez.Pubmed.Pubmed_ResultsPanel.Pubmed_DefaultReportPanel.Pubmed_RVDocSum" TargetMode="External"/><Relationship Id="rId194" Type="http://schemas.openxmlformats.org/officeDocument/2006/relationships/hyperlink" Target="http://dx.doi.org/10.1016/0006-3223(95)00100-U" TargetMode="External"/><Relationship Id="rId208" Type="http://schemas.openxmlformats.org/officeDocument/2006/relationships/hyperlink" Target="http://www.ncbi.nlm.nih.gov/entrez/query.fcgi?cmd=Retrieve&amp;db=pubmed&amp;dopt=Abstract&amp;list_uids=11200955&amp;query_hl=11&amp;itool=pubmed_docsum" TargetMode="External"/><Relationship Id="rId229" Type="http://schemas.openxmlformats.org/officeDocument/2006/relationships/hyperlink" Target="http://dx.doi.org/10.1016/S0006-3223(01)01248-3" TargetMode="External"/><Relationship Id="rId380" Type="http://schemas.openxmlformats.org/officeDocument/2006/relationships/hyperlink" Target="http://dx.doi.org/10.1016/j.biopsych.2008.10.027" TargetMode="External"/><Relationship Id="rId415" Type="http://schemas.openxmlformats.org/officeDocument/2006/relationships/hyperlink" Target="http://www.ncbi.nlm.nih.gov/pubmed/19464154" TargetMode="External"/><Relationship Id="rId436" Type="http://schemas.openxmlformats.org/officeDocument/2006/relationships/hyperlink" Target="http://www.ncbi.nlm.nih.gov/pubmed/19910873" TargetMode="External"/><Relationship Id="rId240" Type="http://schemas.openxmlformats.org/officeDocument/2006/relationships/hyperlink" Target="http://bjp.rcpsych.org/cgi/reprint/180/5/434" TargetMode="External"/><Relationship Id="rId261" Type="http://schemas.openxmlformats.org/officeDocument/2006/relationships/hyperlink" Target="http://ajp.psychiatryonline.org/cgi/reprint/161/1/99" TargetMode="External"/><Relationship Id="rId14" Type="http://schemas.openxmlformats.org/officeDocument/2006/relationships/hyperlink" Target="http://www.ncbi.nlm.nih.gov/entrez/query.fcgi?db=pubmed&amp;cmd=Retrieve&amp;dopt=AbstractPlus&amp;list_uids=15820716&amp;query_hl=8&amp;itool=pubmed_DocSum" TargetMode="External"/><Relationship Id="rId35" Type="http://schemas.openxmlformats.org/officeDocument/2006/relationships/hyperlink" Target="http://www.ncbi.nlm.nih.gov/entrez/query.fcgi?db=pubmed&amp;cmd=Retrieve&amp;dopt=AbstractPlus&amp;list_uids=14623065&amp;query_hl=8&amp;itool=pubmed_DocSum" TargetMode="External"/><Relationship Id="rId56" Type="http://schemas.openxmlformats.org/officeDocument/2006/relationships/hyperlink" Target="http://www.ncbi.nlm.nih.gov/entrez/query.fcgi?db=pubmed&amp;cmd=Retrieve&amp;dopt=AbstractPlus&amp;list_uids=11983184&amp;query_hl=8&amp;itool=pubmed_DocSum" TargetMode="External"/><Relationship Id="rId77" Type="http://schemas.openxmlformats.org/officeDocument/2006/relationships/hyperlink" Target="http://www.ncbi.nlm.nih.gov/entrez/query.fcgi?db=pubmed&amp;cmd=Retrieve&amp;dopt=AbstractPlus&amp;list_uids=10518173&amp;query_hl=8&amp;itool=pubmed_DocSum" TargetMode="External"/><Relationship Id="rId100" Type="http://schemas.openxmlformats.org/officeDocument/2006/relationships/hyperlink" Target="http://www.ncbi.nlm.nih.gov/entrez/query.fcgi?db=pubmed&amp;cmd=Retrieve&amp;dopt=AbstractPlus&amp;list_uids=8326077&amp;query_hl=8&amp;itool=pubmed_DocSum" TargetMode="External"/><Relationship Id="rId282" Type="http://schemas.openxmlformats.org/officeDocument/2006/relationships/hyperlink" Target="http://dx.doi.org/10.1016/j.biopsych.2004.10.027" TargetMode="External"/><Relationship Id="rId317" Type="http://schemas.openxmlformats.org/officeDocument/2006/relationships/hyperlink" Target="http://dx.doi.org/10.1111/j.1399-5618.2008.00476.x" TargetMode="External"/><Relationship Id="rId338" Type="http://schemas.openxmlformats.org/officeDocument/2006/relationships/hyperlink" Target="http://www.ncbi.nlm.nih.gov/pubmed/18669941?ordinalpos=29&amp;itool=EntrezSystem2.PEntrez.Pubmed.Pubmed_ResultsPanel.Pubmed_DefaultReportPanel.Pubmed_RVDocSum" TargetMode="External"/><Relationship Id="rId359" Type="http://schemas.openxmlformats.org/officeDocument/2006/relationships/hyperlink" Target="http://www.ncbi.nlm.nih.gov/pubmed/19071222" TargetMode="External"/><Relationship Id="rId8" Type="http://schemas.openxmlformats.org/officeDocument/2006/relationships/hyperlink" Target="http://www.ncbi.nlm.nih.gov/entrez/query.fcgi?db=pubmed&amp;cmd=Retrieve&amp;dopt=AbstractPlus&amp;list_uids=16248124&amp;query_hl=8&amp;itool=pubmed_DocSum" TargetMode="External"/><Relationship Id="rId98" Type="http://schemas.openxmlformats.org/officeDocument/2006/relationships/hyperlink" Target="http://www.ncbi.nlm.nih.gov/entrez/query.fcgi?db=pubmed&amp;cmd=Retrieve&amp;dopt=AbstractPlus&amp;list_uids=8080344&amp;query_hl=8&amp;itool=pubmed_DocSum" TargetMode="External"/><Relationship Id="rId121" Type="http://schemas.openxmlformats.org/officeDocument/2006/relationships/hyperlink" Target="http://www.ncbi.nlm.nih.gov/sites/entrez?Db=pubmed&amp;Cmd=ShowDetailView&amp;TermToSearch=1827478&amp;ordinalpos=155&amp;itool=EntrezSystem2.PEntrez.Pubmed.Pubmed_ResultsPanel.Pubmed_RVDocSum" TargetMode="External"/><Relationship Id="rId142" Type="http://schemas.openxmlformats.org/officeDocument/2006/relationships/hyperlink" Target="http://www.ncbi.nlm.nih.gov/pubmed/16876144?ordinalpos=184&amp;itool=EntrezSystem2.PEntrez.Pubmed.Pubmed_ResultsPanel.Pubmed_DefaultReportPanel.Pubmed_RVDocSum" TargetMode="External"/><Relationship Id="rId163" Type="http://schemas.openxmlformats.org/officeDocument/2006/relationships/hyperlink" Target="http://www.ncbi.nlm.nih.gov/pubmed/17299509?ordinalpos=137&amp;itool=EntrezSystem2.PEntrez.Pubmed.Pubmed_ResultsPanel.Pubmed_DefaultReportPanel.Pubmed_RVDocSum" TargetMode="External"/><Relationship Id="rId184" Type="http://schemas.openxmlformats.org/officeDocument/2006/relationships/hyperlink" Target="http://dx.doi.org/10.1016/0165-1781(91)90149-J" TargetMode="External"/><Relationship Id="rId219" Type="http://schemas.openxmlformats.org/officeDocument/2006/relationships/hyperlink" Target="http://www.nature.com/npp/journal/v22/n3/pdf/1395448a.pdf" TargetMode="External"/><Relationship Id="rId370" Type="http://schemas.openxmlformats.org/officeDocument/2006/relationships/hyperlink" Target="http://bjp.rcpsych.org/cgi/reprint/193/1/25" TargetMode="External"/><Relationship Id="rId391" Type="http://schemas.openxmlformats.org/officeDocument/2006/relationships/hyperlink" Target="http://www.ncbi.nlm.nih.gov/pubmed/19464062" TargetMode="External"/><Relationship Id="rId405" Type="http://schemas.openxmlformats.org/officeDocument/2006/relationships/hyperlink" Target="http://archneur.ama-assn.org/cgi/reprint/47/10/1107" TargetMode="External"/><Relationship Id="rId426" Type="http://schemas.openxmlformats.org/officeDocument/2006/relationships/hyperlink" Target="http://www.ncbi.nlm.nih.gov/pubmed/19324095" TargetMode="External"/><Relationship Id="rId230" Type="http://schemas.openxmlformats.org/officeDocument/2006/relationships/hyperlink" Target="http://dx.doi.org/10.1016/S0006-3223(01)01086-1" TargetMode="External"/><Relationship Id="rId251" Type="http://schemas.openxmlformats.org/officeDocument/2006/relationships/hyperlink" Target="http://www.fm.viamedica.pl/en/darmowy_pdf.phtml?indeks=26&amp;indeks_art=390" TargetMode="External"/><Relationship Id="rId25" Type="http://schemas.openxmlformats.org/officeDocument/2006/relationships/hyperlink" Target="http://www.ncbi.nlm.nih.gov/entrez/query.fcgi?db=pubmed&amp;cmd=Retrieve&amp;dopt=AbstractPlus&amp;list_uids=15231442&amp;query_hl=8&amp;itool=pubmed_DocSum" TargetMode="External"/><Relationship Id="rId46" Type="http://schemas.openxmlformats.org/officeDocument/2006/relationships/hyperlink" Target="http://www.ncbi.nlm.nih.gov/entrez/query.fcgi?db=pubmed&amp;cmd=Retrieve&amp;dopt=AbstractPlus&amp;list_uids=12586453&amp;query_hl=8&amp;itool=pubmed_DocSum" TargetMode="External"/><Relationship Id="rId67" Type="http://schemas.openxmlformats.org/officeDocument/2006/relationships/hyperlink" Target="http://www.ncbi.nlm.nih.gov/entrez/query.fcgi?db=pubmed&amp;cmd=Retrieve&amp;dopt=AbstractPlus&amp;list_uids=11331089&amp;query_hl=8&amp;itool=pubmed_DocSum" TargetMode="External"/><Relationship Id="rId272" Type="http://schemas.openxmlformats.org/officeDocument/2006/relationships/hyperlink" Target="http://dx.doi.org/10.1016/j.pscychresns.2004.02.005" TargetMode="External"/><Relationship Id="rId293" Type="http://schemas.openxmlformats.org/officeDocument/2006/relationships/hyperlink" Target="http://dx.doi.org/10.1016/j.biopsych.2006.04.013" TargetMode="External"/><Relationship Id="rId307" Type="http://schemas.openxmlformats.org/officeDocument/2006/relationships/hyperlink" Target="http://www.nature.com/npp/journal/v32/n10/pdf/1301339a.pdf" TargetMode="External"/><Relationship Id="rId328" Type="http://schemas.openxmlformats.org/officeDocument/2006/relationships/hyperlink" Target="http://www.ncbi.nlm.nih.gov/pubmed/16461856" TargetMode="External"/><Relationship Id="rId349" Type="http://schemas.openxmlformats.org/officeDocument/2006/relationships/hyperlink" Target="http://dx.doi.org/10.1089/cap.2008.053" TargetMode="External"/><Relationship Id="rId88" Type="http://schemas.openxmlformats.org/officeDocument/2006/relationships/hyperlink" Target="http://www.ncbi.nlm.nih.gov/entrez/query.fcgi?db=pubmed&amp;cmd=Retrieve&amp;dopt=AbstractPlus&amp;list_uids=9169241&amp;query_hl=8&amp;itool=pubmed_DocSum" TargetMode="External"/><Relationship Id="rId111" Type="http://schemas.openxmlformats.org/officeDocument/2006/relationships/hyperlink" Target="http://www.ncbi.nlm.nih.gov/entrez/query.fcgi?db=pubmed&amp;cmd=Retrieve&amp;dopt=AbstractPlus&amp;list_uids=2015336&amp;query_hl=8&amp;itool=pubmed_DocSum" TargetMode="External"/><Relationship Id="rId132" Type="http://schemas.openxmlformats.org/officeDocument/2006/relationships/hyperlink" Target="http://ajp.psychiatryonline.org/cgi/reprint/147/7/893" TargetMode="External"/><Relationship Id="rId153" Type="http://schemas.openxmlformats.org/officeDocument/2006/relationships/hyperlink" Target="http://www.ncbi.nlm.nih.gov/pubmed/18068956?ordinalpos=43&amp;itool=EntrezSystem2.PEntrez.Pubmed.Pubmed_ResultsPanel.Pubmed_DefaultReportPanel.Pubmed_RVDocSum" TargetMode="External"/><Relationship Id="rId174" Type="http://schemas.openxmlformats.org/officeDocument/2006/relationships/hyperlink" Target="http://www.ncbi.nlm.nih.gov/pubmed/14960291?ordinalpos=144&amp;itool=EntrezSystem2.PEntrez.Pubmed.Pubmed_ResultsPanel.Pubmed_DefaultReportPanel.Pubmed_RVDocSum" TargetMode="External"/><Relationship Id="rId195" Type="http://schemas.openxmlformats.org/officeDocument/2006/relationships/hyperlink" Target="http://dx.doi.org/10.1016/0920-9964(94)00055-D" TargetMode="External"/><Relationship Id="rId209" Type="http://schemas.openxmlformats.org/officeDocument/2006/relationships/hyperlink" Target="http://dx.doi.org/10.1017/S0033291799003177" TargetMode="External"/><Relationship Id="rId360" Type="http://schemas.openxmlformats.org/officeDocument/2006/relationships/hyperlink" Target="http://www.ncbi.nlm.nih.gov/pubmed/18787661" TargetMode="External"/><Relationship Id="rId381" Type="http://schemas.openxmlformats.org/officeDocument/2006/relationships/hyperlink" Target="http://www.cma.ca/multimedia/staticContent/HTML/N0/l2/jpn/vol-34/issue-2/pdf/pg127.pdf" TargetMode="External"/><Relationship Id="rId416" Type="http://schemas.openxmlformats.org/officeDocument/2006/relationships/hyperlink" Target="http://dx.doi.org/10.1016/j.jad.2008.10.010" TargetMode="External"/><Relationship Id="rId220" Type="http://schemas.openxmlformats.org/officeDocument/2006/relationships/hyperlink" Target="http://dx.doi.org/10.1016/S0925-4927(00)00067-6" TargetMode="External"/><Relationship Id="rId241" Type="http://schemas.openxmlformats.org/officeDocument/2006/relationships/hyperlink" Target="http://dx.doi.org/10.1016/S0006-3223(02)01393-8" TargetMode="External"/><Relationship Id="rId437" Type="http://schemas.openxmlformats.org/officeDocument/2006/relationships/hyperlink" Target="http://dx.doi.org/10.1097/JGP.0b013e3181aad5b2" TargetMode="External"/><Relationship Id="rId15" Type="http://schemas.openxmlformats.org/officeDocument/2006/relationships/hyperlink" Target="http://www.ncbi.nlm.nih.gov/entrez/query.fcgi?db=pubmed&amp;cmd=Retrieve&amp;dopt=AbstractPlus&amp;list_uids=15804385&amp;query_hl=8&amp;itool=pubmed_DocSum" TargetMode="External"/><Relationship Id="rId36" Type="http://schemas.openxmlformats.org/officeDocument/2006/relationships/hyperlink" Target="http://www.ncbi.nlm.nih.gov/entrez/query.fcgi?db=pubmed&amp;cmd=Retrieve&amp;dopt=AbstractPlus&amp;list_uids=14612223&amp;query_hl=8&amp;itool=pubmed_DocSum" TargetMode="External"/><Relationship Id="rId57" Type="http://schemas.openxmlformats.org/officeDocument/2006/relationships/hyperlink" Target="http://www.ncbi.nlm.nih.gov/entrez/query.fcgi?db=pubmed&amp;cmd=Retrieve&amp;dopt=AbstractPlus&amp;list_uids=11958786&amp;query_hl=8&amp;itool=pubmed_DocSum" TargetMode="External"/><Relationship Id="rId262" Type="http://schemas.openxmlformats.org/officeDocument/2006/relationships/hyperlink" Target="http://ajp.psychiatryonline.org/cgi/reprint/161/11/2091" TargetMode="External"/><Relationship Id="rId283" Type="http://schemas.openxmlformats.org/officeDocument/2006/relationships/hyperlink" Target="http://archpsyc.ama-assn.org/cgi/reprint/62/5/537" TargetMode="External"/><Relationship Id="rId318" Type="http://schemas.openxmlformats.org/officeDocument/2006/relationships/hyperlink" Target="http://dx.doi.org/10.1016/j.biopsych.2007.05.005" TargetMode="External"/><Relationship Id="rId339" Type="http://schemas.openxmlformats.org/officeDocument/2006/relationships/hyperlink" Target="http://www.ncbi.nlm.nih.gov/pubmed/18790876?ordinalpos=23&amp;itool=EntrezSystem2.PEntrez.Pubmed.Pubmed_ResultsPanel.Pubmed_DefaultReportPanel.Pubmed_RVDocSum" TargetMode="External"/><Relationship Id="rId78" Type="http://schemas.openxmlformats.org/officeDocument/2006/relationships/hyperlink" Target="http://www.ncbi.nlm.nih.gov/entrez/query.fcgi?db=pubmed&amp;cmd=Retrieve&amp;dopt=AbstractPlus&amp;list_uids=10405084&amp;query_hl=8&amp;itool=pubmed_DocSum" TargetMode="External"/><Relationship Id="rId99" Type="http://schemas.openxmlformats.org/officeDocument/2006/relationships/hyperlink" Target="http://www.ncbi.nlm.nih.gov/entrez/query.fcgi?db=pubmed&amp;cmd=Retrieve&amp;dopt=AbstractPlus&amp;list_uids=8341769&amp;query_hl=8&amp;itool=pubmed_DocSum" TargetMode="External"/><Relationship Id="rId101" Type="http://schemas.openxmlformats.org/officeDocument/2006/relationships/hyperlink" Target="http://www.ncbi.nlm.nih.gov/entrez/query.fcgi?db=pubmed&amp;cmd=Retrieve&amp;dopt=AbstractPlus&amp;list_uids=8399409&amp;query_hl=8&amp;itool=pubmed_DocSum" TargetMode="External"/><Relationship Id="rId122" Type="http://schemas.openxmlformats.org/officeDocument/2006/relationships/hyperlink" Target="http://www.ncbi.nlm.nih.gov/sites/entrez?Db=pubmed&amp;Cmd=ShowDetailView&amp;TermToSearch=2356874&amp;ordinalpos=165&amp;itool=EntrezSystem2.PEntrez.Pubmed.Pubmed_ResultsPanel.Pubmed_RVDocSum" TargetMode="External"/><Relationship Id="rId143" Type="http://schemas.openxmlformats.org/officeDocument/2006/relationships/hyperlink" Target="http://www.ncbi.nlm.nih.gov/pubmed/16876142?ordinalpos=185&amp;itool=EntrezSystem2.PEntrez.Pubmed.Pubmed_ResultsPanel.Pubmed_DefaultReportPanel.Pubmed_RVDocSum" TargetMode="External"/><Relationship Id="rId164" Type="http://schemas.openxmlformats.org/officeDocument/2006/relationships/hyperlink" Target="http://www.ncbi.nlm.nih.gov/pubmed/17210630?ordinalpos=146&amp;itool=EntrezSystem2.PEntrez.Pubmed.Pubmed_ResultsPanel.Pubmed_DefaultReportPanel.Pubmed_RVDocSum" TargetMode="External"/><Relationship Id="rId185" Type="http://schemas.openxmlformats.org/officeDocument/2006/relationships/hyperlink" Target="http://neuro.psychiatryonline.org/cgi/reprint/3/4/387" TargetMode="External"/><Relationship Id="rId350" Type="http://schemas.openxmlformats.org/officeDocument/2006/relationships/hyperlink" Target="http://www.ncbi.nlm.nih.gov/pubmed/16341022" TargetMode="External"/><Relationship Id="rId371" Type="http://schemas.openxmlformats.org/officeDocument/2006/relationships/hyperlink" Target="http://www3.interscience.wiley.com/cgi-bin/fulltext/121421785/PDFSTART" TargetMode="External"/><Relationship Id="rId406" Type="http://schemas.openxmlformats.org/officeDocument/2006/relationships/hyperlink" Target="http://archpsyc.ama-assn.org/cgi/reprint/49/7/553" TargetMode="External"/><Relationship Id="rId9" Type="http://schemas.openxmlformats.org/officeDocument/2006/relationships/hyperlink" Target="http://www.ncbi.nlm.nih.gov/entrez/query.fcgi?db=pubmed&amp;cmd=Retrieve&amp;dopt=AbstractPlus&amp;list_uids=16223965&amp;query_hl=8&amp;itool=pubmed_DocSum" TargetMode="External"/><Relationship Id="rId210" Type="http://schemas.openxmlformats.org/officeDocument/2006/relationships/hyperlink" Target="http://dx.doi.org/10.1016/S0925-4927(98)00042-0" TargetMode="External"/><Relationship Id="rId392" Type="http://schemas.openxmlformats.org/officeDocument/2006/relationships/hyperlink" Target="http://www.ncbi.nlm.nih.gov/pubmed/19394960" TargetMode="External"/><Relationship Id="rId427" Type="http://schemas.openxmlformats.org/officeDocument/2006/relationships/hyperlink" Target="http://dx.doi.org/10.1017/S0033291709991656" TargetMode="External"/><Relationship Id="rId26" Type="http://schemas.openxmlformats.org/officeDocument/2006/relationships/hyperlink" Target="http://www.ncbi.nlm.nih.gov/entrez/query.fcgi?db=pubmed&amp;cmd=Retrieve&amp;dopt=AbstractPlus&amp;list_uids=15119911&amp;query_hl=8&amp;itool=pubmed_DocSum" TargetMode="External"/><Relationship Id="rId231" Type="http://schemas.openxmlformats.org/officeDocument/2006/relationships/hyperlink" Target="http://dx.doi.org/10.1016/S0006-3223(01)01280-X" TargetMode="External"/><Relationship Id="rId252" Type="http://schemas.openxmlformats.org/officeDocument/2006/relationships/hyperlink" Target="http://dx.doi.org/10.1016/S0165-0327(02)00170-2" TargetMode="External"/><Relationship Id="rId273" Type="http://schemas.openxmlformats.org/officeDocument/2006/relationships/hyperlink" Target="http://dx.doi.org/10.1016/j.biopsych.2004.04.002" TargetMode="External"/><Relationship Id="rId294" Type="http://schemas.openxmlformats.org/officeDocument/2006/relationships/hyperlink" Target="http://dx.doi.org/10.1016/j.biopsych.2006.04.013" TargetMode="External"/><Relationship Id="rId308" Type="http://schemas.openxmlformats.org/officeDocument/2006/relationships/hyperlink" Target="http://dx.doi.org/10.1017/S0033291707000128" TargetMode="External"/><Relationship Id="rId329" Type="http://schemas.openxmlformats.org/officeDocument/2006/relationships/hyperlink" Target="http://www.ncbi.nlm.nih.gov/sites/entrez?Db=pubmed&amp;Cmd=ShowDetailView&amp;TermToSearch=2320698&amp;ordinalpos=172&amp;itool=EntrezSystem2.PEntrez.Pubmed.Pubmed_ResultsPanel.Pubmed_RVDocSum" TargetMode="External"/><Relationship Id="rId47" Type="http://schemas.openxmlformats.org/officeDocument/2006/relationships/hyperlink" Target="http://www.ncbi.nlm.nih.gov/entrez/query.fcgi?db=pubmed&amp;cmd=Retrieve&amp;dopt=AbstractPlus&amp;list_uids=12552118&amp;query_hl=8&amp;itool=pubmed_DocSum" TargetMode="External"/><Relationship Id="rId68" Type="http://schemas.openxmlformats.org/officeDocument/2006/relationships/hyperlink" Target="http://www.ncbi.nlm.nih.gov/entrez/query.fcgi?db=pubmed&amp;cmd=Retrieve&amp;dopt=AbstractPlus&amp;list_uids=11090724&amp;query_hl=8&amp;itool=pubmed_DocSum" TargetMode="External"/><Relationship Id="rId89" Type="http://schemas.openxmlformats.org/officeDocument/2006/relationships/hyperlink" Target="http://www.ncbi.nlm.nih.gov/entrez/query.fcgi?db=pubmed&amp;cmd=Retrieve&amp;dopt=AbstractPlus&amp;list_uids=9089060&amp;query_hl=8&amp;itool=pubmed_DocSum" TargetMode="External"/><Relationship Id="rId112" Type="http://schemas.openxmlformats.org/officeDocument/2006/relationships/hyperlink" Target="http://www.ncbi.nlm.nih.gov/entrez/query.fcgi?db=pubmed&amp;cmd=Retrieve&amp;dopt=AbstractPlus&amp;list_uids=1821258&amp;query_hl=8&amp;itool=pubmed_DocSum" TargetMode="External"/><Relationship Id="rId133" Type="http://schemas.openxmlformats.org/officeDocument/2006/relationships/hyperlink" Target="http://dx.doi.org/10.1016/0165-1781(83)90095-1" TargetMode="External"/><Relationship Id="rId154" Type="http://schemas.openxmlformats.org/officeDocument/2006/relationships/hyperlink" Target="http://www.ncbi.nlm.nih.gov/pubmed/17986679?ordinalpos=52&amp;itool=EntrezSystem2.PEntrez.Pubmed.Pubmed_ResultsPanel.Pubmed_DefaultReportPanel.Pubmed_RVDocSum" TargetMode="External"/><Relationship Id="rId175" Type="http://schemas.openxmlformats.org/officeDocument/2006/relationships/hyperlink" Target="http://www.ncbi.nlm.nih.gov/pubmed/14655115?ordinalpos=148&amp;itool=EntrezSystem2.PEntrez.Pubmed.Pubmed_ResultsPanel.Pubmed_DefaultReportPanel.Pubmed_RVDocSum" TargetMode="External"/><Relationship Id="rId340" Type="http://schemas.openxmlformats.org/officeDocument/2006/relationships/hyperlink" Target="http://www.ncbi.nlm.nih.gov/pubmed/19108659?ordinalpos=2&amp;itool=EntrezSystem2.PEntrez.Pubmed.Pubmed_ResultsPanel.Pubmed_DefaultReportPanel.Pubmed_RVDocSum" TargetMode="External"/><Relationship Id="rId361" Type="http://schemas.openxmlformats.org/officeDocument/2006/relationships/hyperlink" Target="http://www.ncbi.nlm.nih.gov/pubmed/18075490" TargetMode="External"/><Relationship Id="rId196" Type="http://schemas.openxmlformats.org/officeDocument/2006/relationships/hyperlink" Target="http://ajp.psychiatryonline.org/cgi/reprint/153/9/1212" TargetMode="External"/><Relationship Id="rId200" Type="http://schemas.openxmlformats.org/officeDocument/2006/relationships/hyperlink" Target="http://www.nature.com/nature/journal/v386/n6627/pdf/386824a0.pdf" TargetMode="External"/><Relationship Id="rId382" Type="http://schemas.openxmlformats.org/officeDocument/2006/relationships/hyperlink" Target="http://ajp.psychiatryonline.org/cgi/reprint/166/6/702" TargetMode="External"/><Relationship Id="rId417" Type="http://schemas.openxmlformats.org/officeDocument/2006/relationships/hyperlink" Target="http://dx.doi.org/10.1016/j.pscychresns.2008.07.013" TargetMode="External"/><Relationship Id="rId438" Type="http://schemas.openxmlformats.org/officeDocument/2006/relationships/hyperlink" Target="http://www.ncbi.nlm.nih.gov/pubmed/20022640" TargetMode="External"/><Relationship Id="rId16" Type="http://schemas.openxmlformats.org/officeDocument/2006/relationships/hyperlink" Target="http://www.ncbi.nlm.nih.gov/entrez/query.fcgi?db=pubmed&amp;cmd=Retrieve&amp;dopt=AbstractPlus&amp;list_uids=15780703&amp;query_hl=8&amp;itool=pubmed_DocSum" TargetMode="External"/><Relationship Id="rId221" Type="http://schemas.openxmlformats.org/officeDocument/2006/relationships/hyperlink" Target="http://dx.doi.org/10.1016/S0006-3223(00)01042-8" TargetMode="External"/><Relationship Id="rId242" Type="http://schemas.openxmlformats.org/officeDocument/2006/relationships/hyperlink" Target="http://dx.doi.org/10.1016/S0022-3999(02)00425-7" TargetMode="External"/><Relationship Id="rId263" Type="http://schemas.openxmlformats.org/officeDocument/2006/relationships/hyperlink" Target="http://jnnp.bmj.com/cgi/reprint/75/2/221" TargetMode="External"/><Relationship Id="rId284" Type="http://schemas.openxmlformats.org/officeDocument/2006/relationships/hyperlink" Target="http://dx.doi.org/10.1016/j.pscychresns.2004.08.004" TargetMode="External"/><Relationship Id="rId319" Type="http://schemas.openxmlformats.org/officeDocument/2006/relationships/hyperlink" Target="http://www.liebertonline.com/doi/pdf/10.1089/cap.2007.0026" TargetMode="External"/><Relationship Id="rId37" Type="http://schemas.openxmlformats.org/officeDocument/2006/relationships/hyperlink" Target="http://www.ncbi.nlm.nih.gov/entrez/query.fcgi?db=pubmed&amp;cmd=Retrieve&amp;dopt=AbstractPlus&amp;list_uids=14532909&amp;query_hl=8&amp;itool=pubmed_DocSum" TargetMode="External"/><Relationship Id="rId58" Type="http://schemas.openxmlformats.org/officeDocument/2006/relationships/hyperlink" Target="http://www.ncbi.nlm.nih.gov/entrez/query.fcgi?db=pubmed&amp;cmd=Retrieve&amp;dopt=AbstractPlus&amp;list_uids=11958777&amp;query_hl=8&amp;itool=pubmed_DocSum" TargetMode="External"/><Relationship Id="rId79" Type="http://schemas.openxmlformats.org/officeDocument/2006/relationships/hyperlink" Target="http://www.ncbi.nlm.nih.gov/entrez/query.fcgi?db=pubmed&amp;cmd=Retrieve&amp;dopt=AbstractPlus&amp;list_uids=10080561&amp;query_hl=8&amp;itool=pubmed_DocSum" TargetMode="External"/><Relationship Id="rId102" Type="http://schemas.openxmlformats.org/officeDocument/2006/relationships/hyperlink" Target="http://www.ncbi.nlm.nih.gov/entrez/query.fcgi?db=pubmed&amp;cmd=Retrieve&amp;dopt=AbstractPlus&amp;list_uids=8294897&amp;query_hl=8&amp;itool=pubmed_DocSum" TargetMode="External"/><Relationship Id="rId123" Type="http://schemas.openxmlformats.org/officeDocument/2006/relationships/hyperlink" Target="http://www.ncbi.nlm.nih.gov/sites/entrez?Db=pubmed&amp;Cmd=ShowDetailView&amp;TermToSearch=3565615&amp;ordinalpos=211&amp;itool=EntrezSystem2.PEntrez.Pubmed.Pubmed_ResultsPanel.Pubmed_RVDocSum" TargetMode="External"/><Relationship Id="rId144" Type="http://schemas.openxmlformats.org/officeDocument/2006/relationships/hyperlink" Target="http://www.ncbi.nlm.nih.gov/pubmed/16955447?ordinalpos=174&amp;itool=EntrezSystem2.PEntrez.Pubmed.Pubmed_ResultsPanel.Pubmed_DefaultReportPanel.Pubmed_RVDocSum" TargetMode="External"/><Relationship Id="rId330" Type="http://schemas.openxmlformats.org/officeDocument/2006/relationships/hyperlink" Target="http://www.ncbi.nlm.nih.gov/pubmed/15554576" TargetMode="External"/><Relationship Id="rId90" Type="http://schemas.openxmlformats.org/officeDocument/2006/relationships/hyperlink" Target="http://www.ncbi.nlm.nih.gov/entrez/query.fcgi?db=pubmed&amp;cmd=Retrieve&amp;dopt=AbstractPlus&amp;list_uids=8831435&amp;query_hl=8&amp;itool=pubmed_DocSum" TargetMode="External"/><Relationship Id="rId165" Type="http://schemas.openxmlformats.org/officeDocument/2006/relationships/hyperlink" Target="http://www.ncbi.nlm.nih.gov/pubmed/17097277?ordinalpos=156&amp;itool=EntrezSystem2.PEntrez.Pubmed.Pubmed_ResultsPanel.Pubmed_DefaultReportPanel.Pubmed_RVDocSum" TargetMode="External"/><Relationship Id="rId186" Type="http://schemas.openxmlformats.org/officeDocument/2006/relationships/hyperlink" Target="http://neuro.psychiatryonline.org/cgi/reprint/3/1/33" TargetMode="External"/><Relationship Id="rId351" Type="http://schemas.openxmlformats.org/officeDocument/2006/relationships/hyperlink" Target="http://www.nature.com/npp/journal/v31/n7/pdf/1300986a.pdf" TargetMode="External"/><Relationship Id="rId372" Type="http://schemas.openxmlformats.org/officeDocument/2006/relationships/hyperlink" Target="http://www3.interscience.wiley.com/cgi-bin/fulltext/121544225/PDFSTART" TargetMode="External"/><Relationship Id="rId393" Type="http://schemas.openxmlformats.org/officeDocument/2006/relationships/hyperlink" Target="http://dx.doi.org/10.1016/j.jad.2009.06.003" TargetMode="External"/><Relationship Id="rId407" Type="http://schemas.openxmlformats.org/officeDocument/2006/relationships/hyperlink" Target="http://archpsyc.ama-assn.org/cgi/reprint/51/9/677" TargetMode="External"/><Relationship Id="rId428" Type="http://schemas.openxmlformats.org/officeDocument/2006/relationships/hyperlink" Target="http://dx.doi.org/10.1016/j.jad.2009.03.015" TargetMode="External"/><Relationship Id="rId211" Type="http://schemas.openxmlformats.org/officeDocument/2006/relationships/hyperlink" Target="http://dx.doi.org/10.1016/S0925-4927(98)00048-1" TargetMode="External"/><Relationship Id="rId232" Type="http://schemas.openxmlformats.org/officeDocument/2006/relationships/hyperlink" Target="http://www.nature.com/npp/journal/v27/n5/pdf/1395942a.pdf" TargetMode="External"/><Relationship Id="rId253" Type="http://schemas.openxmlformats.org/officeDocument/2006/relationships/hyperlink" Target="http://ajp.psychiatryonline.org/cgi/reprint/160/8/1516" TargetMode="External"/><Relationship Id="rId274" Type="http://schemas.openxmlformats.org/officeDocument/2006/relationships/hyperlink" Target="http://ajp.psychiatryonline.org/cgi/reprint/162/9/1706" TargetMode="External"/><Relationship Id="rId295" Type="http://schemas.openxmlformats.org/officeDocument/2006/relationships/hyperlink" Target="http://www.springerlink.com/content/y2167l4m17576560/fulltext.pdf" TargetMode="External"/><Relationship Id="rId309" Type="http://schemas.openxmlformats.org/officeDocument/2006/relationships/hyperlink" Target="http://ajp.psychiatryonline.org/cgi/reprint/165/2/229" TargetMode="External"/><Relationship Id="rId27" Type="http://schemas.openxmlformats.org/officeDocument/2006/relationships/hyperlink" Target="http://www.ncbi.nlm.nih.gov/entrez/query.fcgi?db=pubmed&amp;cmd=Retrieve&amp;dopt=AbstractPlus&amp;list_uids=15003427&amp;query_hl=8&amp;itool=pubmed_DocSum" TargetMode="External"/><Relationship Id="rId48" Type="http://schemas.openxmlformats.org/officeDocument/2006/relationships/hyperlink" Target="http://www.ncbi.nlm.nih.gov/entrez/query.fcgi?db=pubmed&amp;cmd=Retrieve&amp;dopt=AbstractPlus&amp;list_uids=12547470&amp;query_hl=8&amp;itool=pubmed_DocSum" TargetMode="External"/><Relationship Id="rId69" Type="http://schemas.openxmlformats.org/officeDocument/2006/relationships/hyperlink" Target="http://www.ncbi.nlm.nih.gov/entrez/query.fcgi?db=pubmed&amp;cmd=Retrieve&amp;dopt=AbstractPlus&amp;list_uids=11082470&amp;query_hl=8&amp;itool=pubmed_DocSum" TargetMode="External"/><Relationship Id="rId113" Type="http://schemas.openxmlformats.org/officeDocument/2006/relationships/hyperlink" Target="http://www.ncbi.nlm.nih.gov/entrez/query.fcgi?db=pubmed&amp;cmd=Retrieve&amp;dopt=AbstractPlus&amp;list_uids=2397343&amp;query_hl=8&amp;itool=pubmed_DocSum" TargetMode="External"/><Relationship Id="rId134" Type="http://schemas.openxmlformats.org/officeDocument/2006/relationships/hyperlink" Target="http://ajp.psychiatryonline.org/cgi/reprint/144/4/465" TargetMode="External"/><Relationship Id="rId320" Type="http://schemas.openxmlformats.org/officeDocument/2006/relationships/hyperlink" Target="http://ajp.psychiatryonline.org/cgi/reprint/165/4/524" TargetMode="External"/><Relationship Id="rId80" Type="http://schemas.openxmlformats.org/officeDocument/2006/relationships/hyperlink" Target="http://www.ncbi.nlm.nih.gov/entrez/query.fcgi?db=pubmed&amp;cmd=Retrieve&amp;dopt=AbstractPlus&amp;list_uids=9870413&amp;query_hl=8&amp;itool=pubmed_DocSum" TargetMode="External"/><Relationship Id="rId155" Type="http://schemas.openxmlformats.org/officeDocument/2006/relationships/hyperlink" Target="http://www.ncbi.nlm.nih.gov/pubmed/17949901?ordinalpos=56&amp;itool=EntrezSystem2.PEntrez.Pubmed.Pubmed_ResultsPanel.Pubmed_DefaultReportPanel.Pubmed_RVDocSum" TargetMode="External"/><Relationship Id="rId176" Type="http://schemas.openxmlformats.org/officeDocument/2006/relationships/hyperlink" Target="http://www.ncbi.nlm.nih.gov/pubmed/14512206?ordinalpos=160&amp;itool=EntrezSystem2.PEntrez.Pubmed.Pubmed_ResultsPanel.Pubmed_DefaultReportPanel.Pubmed_RVDocSum" TargetMode="External"/><Relationship Id="rId197" Type="http://schemas.openxmlformats.org/officeDocument/2006/relationships/hyperlink" Target="http://dx.doi.org/10.1016/0165-1781(96)02867-3" TargetMode="External"/><Relationship Id="rId341" Type="http://schemas.openxmlformats.org/officeDocument/2006/relationships/hyperlink" Target="http://www.ncbi.nlm.nih.gov/pubmed/19010425?ordinalpos=5&amp;itool=EntrezSystem2.PEntrez.Pubmed.Pubmed_ResultsPanel.Pubmed_DefaultReportPanel.Pubmed_RVDocSum" TargetMode="External"/><Relationship Id="rId362" Type="http://schemas.openxmlformats.org/officeDocument/2006/relationships/hyperlink" Target="http://dx.doi.org/10.1016/j.neuroimage.2008.11.006" TargetMode="External"/><Relationship Id="rId383" Type="http://schemas.openxmlformats.org/officeDocument/2006/relationships/hyperlink" Target="http://journals.lww.com/ajgponline/Abstract/2004/11000/A_Volumetric_Study_of_MRI_Signal_Hyperintensities.6.aspx" TargetMode="External"/><Relationship Id="rId418" Type="http://schemas.openxmlformats.org/officeDocument/2006/relationships/hyperlink" Target="http://www.ncbi.nlm.nih.gov/pubmed/20118461" TargetMode="External"/><Relationship Id="rId439" Type="http://schemas.openxmlformats.org/officeDocument/2006/relationships/printerSettings" Target="../printerSettings/printerSettings1.bin"/><Relationship Id="rId201" Type="http://schemas.openxmlformats.org/officeDocument/2006/relationships/hyperlink" Target="http://dx.doi.org/10.1017/S0033291796004576" TargetMode="External"/><Relationship Id="rId222" Type="http://schemas.openxmlformats.org/officeDocument/2006/relationships/hyperlink" Target="http://www3.interscience.wiley.com/cgi-bin/fulltext/73504977/PDFSTART" TargetMode="External"/><Relationship Id="rId243" Type="http://schemas.openxmlformats.org/officeDocument/2006/relationships/hyperlink" Target="http://dx.doi.org/10.1017/S146114570300347X" TargetMode="External"/><Relationship Id="rId264" Type="http://schemas.openxmlformats.org/officeDocument/2006/relationships/hyperlink" Target="http://dx.doi.org/10.1016/j.pscychresns.2004.08.002" TargetMode="External"/><Relationship Id="rId285" Type="http://schemas.openxmlformats.org/officeDocument/2006/relationships/hyperlink" Target="http://dx.doi.org/10.1016/j.biopsych.2006.03.052" TargetMode="External"/><Relationship Id="rId17" Type="http://schemas.openxmlformats.org/officeDocument/2006/relationships/hyperlink" Target="http://www.ncbi.nlm.nih.gov/entrez/query.fcgi?db=pubmed&amp;cmd=Retrieve&amp;dopt=AbstractPlus&amp;list_uids=15738499&amp;query_hl=8&amp;itool=pubmed_DocSum" TargetMode="External"/><Relationship Id="rId38" Type="http://schemas.openxmlformats.org/officeDocument/2006/relationships/hyperlink" Target="http://www.ncbi.nlm.nih.gov/entrez/query.fcgi?db=pubmed&amp;cmd=Retrieve&amp;dopt=AbstractPlus&amp;list_uids=12974987&amp;query_hl=8&amp;itool=pubmed_DocSum" TargetMode="External"/><Relationship Id="rId59" Type="http://schemas.openxmlformats.org/officeDocument/2006/relationships/hyperlink" Target="http://www.ncbi.nlm.nih.gov/entrez/query.fcgi?db=pubmed&amp;cmd=Retrieve&amp;dopt=AbstractPlus&amp;list_uids=11825139&amp;query_hl=8&amp;itool=pubmed_DocSum" TargetMode="External"/><Relationship Id="rId103" Type="http://schemas.openxmlformats.org/officeDocument/2006/relationships/hyperlink" Target="http://www.ncbi.nlm.nih.gov/entrez/query.fcgi?db=pubmed&amp;cmd=Retrieve&amp;dopt=AbstractPlus&amp;list_uids=1484908&amp;query_hl=8&amp;itool=pubmed_DocSum" TargetMode="External"/><Relationship Id="rId124" Type="http://schemas.openxmlformats.org/officeDocument/2006/relationships/hyperlink" Target="http://www.ncbi.nlm.nih.gov/sites/entrez?Db=pubmed&amp;Cmd=ShowDetailView&amp;TermToSearch=4023401&amp;ordinalpos=236&amp;itool=EntrezSystem2.PEntrez.Pubmed.Pubmed_ResultsPanel.Pubmed_RVDocSum" TargetMode="External"/><Relationship Id="rId310" Type="http://schemas.openxmlformats.org/officeDocument/2006/relationships/hyperlink" Target="http://www.nature.com/npp/journal/v33/n7/pdf/1301538a.pdf" TargetMode="External"/><Relationship Id="rId70" Type="http://schemas.openxmlformats.org/officeDocument/2006/relationships/hyperlink" Target="http://www.ncbi.nlm.nih.gov/entrez/query.fcgi?db=pubmed&amp;cmd=Retrieve&amp;dopt=AbstractPlus&amp;list_uids=11044878&amp;query_hl=8&amp;itool=pubmed_DocSum" TargetMode="External"/><Relationship Id="rId91" Type="http://schemas.openxmlformats.org/officeDocument/2006/relationships/hyperlink" Target="http://www.ncbi.nlm.nih.gov/entrez/query.fcgi?db=pubmed&amp;cmd=Retrieve&amp;dopt=AbstractPlus&amp;list_uids=8780429&amp;query_hl=8&amp;itool=pubmed_DocSum" TargetMode="External"/><Relationship Id="rId145" Type="http://schemas.openxmlformats.org/officeDocument/2006/relationships/hyperlink" Target="http://www.ncbi.nlm.nih.gov/pubmed/18515903?ordinalpos=6&amp;itool=EntrezSystem2.PEntrez.Pubmed.Pubmed_ResultsPanel.Pubmed_DefaultReportPanel.Pubmed_RVDocSum" TargetMode="External"/><Relationship Id="rId166" Type="http://schemas.openxmlformats.org/officeDocument/2006/relationships/hyperlink" Target="http://www.ncbi.nlm.nih.gov/pubmed/17023001?ordinalpos=166&amp;itool=EntrezSystem2.PEntrez.Pubmed.Pubmed_ResultsPanel.Pubmed_DefaultReportPanel.Pubmed_RVDocSum" TargetMode="External"/><Relationship Id="rId187" Type="http://schemas.openxmlformats.org/officeDocument/2006/relationships/hyperlink" Target="http://ajp.psychiatryonline.org/cgi/reprint/148/5/617" TargetMode="External"/><Relationship Id="rId331" Type="http://schemas.openxmlformats.org/officeDocument/2006/relationships/hyperlink" Target="http://dx.doi.org/10.1017/S0033291703001806" TargetMode="External"/><Relationship Id="rId352" Type="http://schemas.openxmlformats.org/officeDocument/2006/relationships/hyperlink" Target="http://www.ncbi.nlm.nih.gov/pubmed/8876012" TargetMode="External"/><Relationship Id="rId373" Type="http://schemas.openxmlformats.org/officeDocument/2006/relationships/hyperlink" Target="http://www3.interscience.wiley.com/cgi-bin/fulltext/122211615/PDFSTART" TargetMode="External"/><Relationship Id="rId394" Type="http://schemas.openxmlformats.org/officeDocument/2006/relationships/hyperlink" Target="http://dx.doi.org/10.1016/j.pnpbp.2009.05.020" TargetMode="External"/><Relationship Id="rId408" Type="http://schemas.openxmlformats.org/officeDocument/2006/relationships/hyperlink" Target="http://archpsyc.ama-assn.org/cgi/reprint/51/9/677" TargetMode="External"/><Relationship Id="rId429" Type="http://schemas.openxmlformats.org/officeDocument/2006/relationships/hyperlink" Target="http://dx.doi.org/10.1016/j.neuroimage.2009.03.031" TargetMode="External"/><Relationship Id="rId1" Type="http://schemas.openxmlformats.org/officeDocument/2006/relationships/hyperlink" Target="http://www.ncbi.nlm.nih.gov/entrez/query.fcgi?db=pubmed&amp;cmd=Retrieve&amp;dopt=AbstractPlus&amp;list_uids=16951734&amp;query_hl=8&amp;itool=pubmed_DocSum" TargetMode="External"/><Relationship Id="rId212" Type="http://schemas.openxmlformats.org/officeDocument/2006/relationships/hyperlink" Target="http://dx.doi.org/10.1016/S0925-4927(98)00032-8" TargetMode="External"/><Relationship Id="rId233" Type="http://schemas.openxmlformats.org/officeDocument/2006/relationships/hyperlink" Target="http://dx.doi.org/10.1016/S0006-3223(01)01336-1" TargetMode="External"/><Relationship Id="rId254" Type="http://schemas.openxmlformats.org/officeDocument/2006/relationships/hyperlink" Target="http://www3.interscience.wiley.com/cgi-bin/fulltext/120778855/PDFSTART" TargetMode="External"/><Relationship Id="rId28" Type="http://schemas.openxmlformats.org/officeDocument/2006/relationships/hyperlink" Target="http://www.ncbi.nlm.nih.gov/entrez/query.fcgi?db=pubmed&amp;cmd=Retrieve&amp;dopt=AbstractPlus&amp;list_uids=14997169&amp;query_hl=8&amp;itool=pubmed_DocSum" TargetMode="External"/><Relationship Id="rId49" Type="http://schemas.openxmlformats.org/officeDocument/2006/relationships/hyperlink" Target="http://www.ncbi.nlm.nih.gov/entrez/query.fcgi?db=pubmed&amp;cmd=Retrieve&amp;dopt=AbstractPlus&amp;list_uids=12505805&amp;query_hl=8&amp;itool=pubmed_DocSum" TargetMode="External"/><Relationship Id="rId114" Type="http://schemas.openxmlformats.org/officeDocument/2006/relationships/hyperlink" Target="http://www.ncbi.nlm.nih.gov/entrez/query.fcgi?db=pubmed&amp;cmd=Retrieve&amp;dopt=AbstractPlus&amp;list_uids=2301657&amp;query_hl=8&amp;itool=pubmed_DocSum" TargetMode="External"/><Relationship Id="rId275" Type="http://schemas.openxmlformats.org/officeDocument/2006/relationships/hyperlink" Target="http://bjp.rcpsych.org/cgi/content/full/186/3/197" TargetMode="External"/><Relationship Id="rId296" Type="http://schemas.openxmlformats.org/officeDocument/2006/relationships/hyperlink" Target="http://dx.doi.org/10.1016/j.jad.2006.04.017" TargetMode="External"/><Relationship Id="rId300" Type="http://schemas.openxmlformats.org/officeDocument/2006/relationships/hyperlink" Target="http://archpsyc.ama-assn.org/cgi/reprint/64/4/410" TargetMode="External"/><Relationship Id="rId60" Type="http://schemas.openxmlformats.org/officeDocument/2006/relationships/hyperlink" Target="http://www.ncbi.nlm.nih.gov/entrez/query.fcgi?db=pubmed&amp;cmd=Retrieve&amp;dopt=AbstractPlus&amp;list_uids=11790518&amp;query_hl=8&amp;itool=pubmed_DocSum" TargetMode="External"/><Relationship Id="rId81" Type="http://schemas.openxmlformats.org/officeDocument/2006/relationships/hyperlink" Target="http://www.ncbi.nlm.nih.gov/entrez/query.fcgi?db=pubmed&amp;cmd=Retrieve&amp;dopt=AbstractPlus&amp;list_uids=9859118&amp;query_hl=8&amp;itool=pubmed_DocSum" TargetMode="External"/><Relationship Id="rId135" Type="http://schemas.openxmlformats.org/officeDocument/2006/relationships/hyperlink" Target="http://ajp.psychiatryonline.org/cgi/reprint/145/7/820" TargetMode="External"/><Relationship Id="rId156" Type="http://schemas.openxmlformats.org/officeDocument/2006/relationships/hyperlink" Target="http://www.ncbi.nlm.nih.gov/pubmed/17640621?ordinalpos=83&amp;itool=EntrezSystem2.PEntrez.Pubmed.Pubmed_ResultsPanel.Pubmed_DefaultReportPanel.Pubmed_RVDocSum" TargetMode="External"/><Relationship Id="rId177" Type="http://schemas.openxmlformats.org/officeDocument/2006/relationships/hyperlink" Target="http://www.ncbi.nlm.nih.gov/pubmed/10366636?ordinalpos=222&amp;itool=EntrezSystem2.PEntrez.Pubmed.Pubmed_ResultsPanel.Pubmed_DefaultReportPanel.Pubmed_RVDocSum" TargetMode="External"/><Relationship Id="rId198" Type="http://schemas.openxmlformats.org/officeDocument/2006/relationships/hyperlink" Target="http://dx.doi.org/10.1016/0165-1781(96)02867-3" TargetMode="External"/><Relationship Id="rId321" Type="http://schemas.openxmlformats.org/officeDocument/2006/relationships/hyperlink" Target="http://www.plosone.org/article/info:doi/10.1371/journal.pone.0001837" TargetMode="External"/><Relationship Id="rId342" Type="http://schemas.openxmlformats.org/officeDocument/2006/relationships/hyperlink" Target="http://dx.doi.org/10.1002/ajmg.b.30680" TargetMode="External"/><Relationship Id="rId363" Type="http://schemas.openxmlformats.org/officeDocument/2006/relationships/hyperlink" Target="http://www.cma.ca/multimedia/staticContent/HTML/N0/l2/jpn/vol-33/issue-5/pdf/pg423.pdf" TargetMode="External"/><Relationship Id="rId384" Type="http://schemas.openxmlformats.org/officeDocument/2006/relationships/hyperlink" Target="http://journals.lww.com/ajgponline/Abstract/2004/11000/Sex_Differences_in_Brain_Structure_in_Geriatric.12.aspx" TargetMode="External"/><Relationship Id="rId419" Type="http://schemas.openxmlformats.org/officeDocument/2006/relationships/hyperlink" Target="http://www.ncbi.nlm.nih.gov/pubmed/20018381" TargetMode="External"/><Relationship Id="rId202" Type="http://schemas.openxmlformats.org/officeDocument/2006/relationships/hyperlink" Target="http://ajgponline.org/cgi/content/abstract/5/1/15" TargetMode="External"/><Relationship Id="rId223" Type="http://schemas.openxmlformats.org/officeDocument/2006/relationships/hyperlink" Target="http://dx.doi.org/10.1016/S0006-3223(00)00829-5" TargetMode="External"/><Relationship Id="rId244" Type="http://schemas.openxmlformats.org/officeDocument/2006/relationships/hyperlink" Target="http://dx.doi.org/10.1017/S003329170300758X" TargetMode="External"/><Relationship Id="rId430" Type="http://schemas.openxmlformats.org/officeDocument/2006/relationships/hyperlink" Target="http://dx.doi.org/10.1016/j.pscychresns.2008.08.001" TargetMode="External"/><Relationship Id="rId18" Type="http://schemas.openxmlformats.org/officeDocument/2006/relationships/hyperlink" Target="http://www.ncbi.nlm.nih.gov/entrez/query.fcgi?db=pubmed&amp;cmd=Retrieve&amp;dopt=AbstractPlus&amp;list_uids=15641704&amp;query_hl=8&amp;itool=pubmed_DocSum" TargetMode="External"/><Relationship Id="rId39" Type="http://schemas.openxmlformats.org/officeDocument/2006/relationships/hyperlink" Target="http://www.ncbi.nlm.nih.gov/entrez/query.fcgi?db=pubmed&amp;cmd=Retrieve&amp;dopt=AbstractPlus&amp;list_uids=12946881&amp;query_hl=8&amp;itool=pubmed_DocSum" TargetMode="External"/><Relationship Id="rId265" Type="http://schemas.openxmlformats.org/officeDocument/2006/relationships/hyperlink" Target="http://archpsyc.ama-assn.org/cgi/reprint/61/2/177" TargetMode="External"/><Relationship Id="rId286" Type="http://schemas.openxmlformats.org/officeDocument/2006/relationships/hyperlink" Target="http://jnnp.bmj.com/cgi/reprint/77/2/229" TargetMode="External"/><Relationship Id="rId50" Type="http://schemas.openxmlformats.org/officeDocument/2006/relationships/hyperlink" Target="http://www.ncbi.nlm.nih.gov/entrez/query.fcgi?db=pubmed&amp;cmd=Retrieve&amp;dopt=AbstractPlus&amp;list_uids=12431853&amp;query_hl=8&amp;itool=pubmed_DocSum" TargetMode="External"/><Relationship Id="rId104" Type="http://schemas.openxmlformats.org/officeDocument/2006/relationships/hyperlink" Target="http://www.ncbi.nlm.nih.gov/entrez/query.fcgi?db=pubmed&amp;cmd=Retrieve&amp;dopt=AbstractPlus&amp;list_uids=1627046&amp;query_hl=8&amp;itool=pubmed_DocSum" TargetMode="External"/><Relationship Id="rId125" Type="http://schemas.openxmlformats.org/officeDocument/2006/relationships/hyperlink" Target="http://www.ncbi.nlm.nih.gov/sites/entrez?Db=pubmed&amp;Cmd=ShowDetailView&amp;TermToSearch=6574534&amp;ordinalpos=252&amp;itool=EntrezSystem2.PEntrez.Pubmed.Pubmed_ResultsPanel.Pubmed_RVDocSum" TargetMode="External"/><Relationship Id="rId146" Type="http://schemas.openxmlformats.org/officeDocument/2006/relationships/hyperlink" Target="http://www.ncbi.nlm.nih.gov/pubmed/18511243?ordinalpos=8&amp;itool=EntrezSystem2.PEntrez.Pubmed.Pubmed_ResultsPanel.Pubmed_DefaultReportPanel.Pubmed_RVDocSum" TargetMode="External"/><Relationship Id="rId167" Type="http://schemas.openxmlformats.org/officeDocument/2006/relationships/hyperlink" Target="http://www.ncbi.nlm.nih.gov/pubmed/18350172?ordinalpos=12&amp;itool=EntrezSystem2.PEntrez.Pubmed.Pubmed_ResultsPanel.Pubmed_DefaultReportPanel.Pubmed_RVDocSum" TargetMode="External"/><Relationship Id="rId188" Type="http://schemas.openxmlformats.org/officeDocument/2006/relationships/hyperlink" Target="http://ajp.psychiatryonline.org/cgi/reprint/149/5/620" TargetMode="External"/><Relationship Id="rId311" Type="http://schemas.openxmlformats.org/officeDocument/2006/relationships/hyperlink" Target="http://dx.doi.org/10.1016/j.pscychresns.2007.04.012" TargetMode="External"/><Relationship Id="rId332" Type="http://schemas.openxmlformats.org/officeDocument/2006/relationships/hyperlink" Target="http://www.psychiatrist.com/privatepdf/2005/v66n08/v66n0801.pdf" TargetMode="External"/><Relationship Id="rId353" Type="http://schemas.openxmlformats.org/officeDocument/2006/relationships/hyperlink" Target="http://www.ncbi.nlm.nih.gov/pubmed/8929756" TargetMode="External"/><Relationship Id="rId374" Type="http://schemas.openxmlformats.org/officeDocument/2006/relationships/hyperlink" Target="http://dx.doi.org/10.1016/j.pscychresns.2008.06.006" TargetMode="External"/><Relationship Id="rId395" Type="http://schemas.openxmlformats.org/officeDocument/2006/relationships/hyperlink" Target="http://dx.doi.org/10.1007/s00406-009-0023-3" TargetMode="External"/><Relationship Id="rId409" Type="http://schemas.openxmlformats.org/officeDocument/2006/relationships/hyperlink" Target="http://bjp.rcpsych.org/cgi/reprint/157/1/107" TargetMode="External"/><Relationship Id="rId71" Type="http://schemas.openxmlformats.org/officeDocument/2006/relationships/hyperlink" Target="http://www.ncbi.nlm.nih.gov/entrez/query.fcgi?db=pubmed&amp;cmd=Retrieve&amp;dopt=AbstractPlus&amp;list_uids=10960161&amp;query_hl=8&amp;itool=pubmed_DocSum" TargetMode="External"/><Relationship Id="rId92" Type="http://schemas.openxmlformats.org/officeDocument/2006/relationships/hyperlink" Target="http://www.ncbi.nlm.nih.gov/entrez/query.fcgi?db=pubmed&amp;cmd=Retrieve&amp;dopt=AbstractPlus&amp;list_uids=8632988&amp;query_hl=8&amp;itool=pubmed_DocSum" TargetMode="External"/><Relationship Id="rId213" Type="http://schemas.openxmlformats.org/officeDocument/2006/relationships/hyperlink" Target="http://dx.doi.org/10.1017/S0033291799008405" TargetMode="External"/><Relationship Id="rId234" Type="http://schemas.openxmlformats.org/officeDocument/2006/relationships/hyperlink" Target="http://dx.doi.org/10.1016/S0006-3223(01)01359-2" TargetMode="External"/><Relationship Id="rId420" Type="http://schemas.openxmlformats.org/officeDocument/2006/relationships/hyperlink" Target="http://www.ncbi.nlm.nih.gov/pubmed/20015483" TargetMode="External"/><Relationship Id="rId2" Type="http://schemas.openxmlformats.org/officeDocument/2006/relationships/hyperlink" Target="http://www.ncbi.nlm.nih.gov/entrez/query.fcgi?db=pubmed&amp;cmd=Retrieve&amp;dopt=AbstractPlus&amp;list_uids=16478567&amp;query_hl=8&amp;itool=pubmed_DocSum" TargetMode="External"/><Relationship Id="rId29" Type="http://schemas.openxmlformats.org/officeDocument/2006/relationships/hyperlink" Target="http://www.ncbi.nlm.nih.gov/entrez/query.fcgi?db=pubmed&amp;cmd=Retrieve&amp;dopt=AbstractPlus&amp;list_uids=14971633&amp;query_hl=8&amp;itool=pubmed_DocSum" TargetMode="External"/><Relationship Id="rId255" Type="http://schemas.openxmlformats.org/officeDocument/2006/relationships/hyperlink" Target="http://www3.interscience.wiley.com/cgi-bin/fulltext/118852713/PDFSTART" TargetMode="External"/><Relationship Id="rId276" Type="http://schemas.openxmlformats.org/officeDocument/2006/relationships/hyperlink" Target="http://dx.doi.org/10.1016/j.jad.2004.11.003" TargetMode="External"/><Relationship Id="rId297" Type="http://schemas.openxmlformats.org/officeDocument/2006/relationships/hyperlink" Target="http://dx.doi.org/10.1016/j.pscychresns.2006.09.003" TargetMode="External"/><Relationship Id="rId40" Type="http://schemas.openxmlformats.org/officeDocument/2006/relationships/hyperlink" Target="http://www.ncbi.nlm.nih.gov/entrez/query.fcgi?db=pubmed&amp;cmd=Retrieve&amp;dopt=AbstractPlus&amp;list_uids=12900317&amp;query_hl=8&amp;itool=pubmed_DocSum" TargetMode="External"/><Relationship Id="rId115" Type="http://schemas.openxmlformats.org/officeDocument/2006/relationships/hyperlink" Target="http://www.ncbi.nlm.nih.gov/sites/entrez?Db=pubmed&amp;Cmd=ShowDetailView&amp;TermToSearch=11200959&amp;ordinalpos=45&amp;itool=EntrezSystem2.PEntrez.Pubmed.Pubmed_ResultsPanel.Pubmed_RVDocSum" TargetMode="External"/><Relationship Id="rId136" Type="http://schemas.openxmlformats.org/officeDocument/2006/relationships/hyperlink" Target="http://dx.doi.org/10.1016/0165-0327(91)90020-S" TargetMode="External"/><Relationship Id="rId157" Type="http://schemas.openxmlformats.org/officeDocument/2006/relationships/hyperlink" Target="http://www.ncbi.nlm.nih.gov/pubmed/17604352?ordinalpos=87&amp;itool=EntrezSystem2.PEntrez.Pubmed.Pubmed_ResultsPanel.Pubmed_DefaultReportPanel.Pubmed_RVDocSum" TargetMode="External"/><Relationship Id="rId178" Type="http://schemas.openxmlformats.org/officeDocument/2006/relationships/hyperlink" Target="http://www.ncbi.nlm.nih.gov/pubmed/9506601?ordinalpos=231&amp;itool=EntrezSystem2.PEntrez.Pubmed.Pubmed_ResultsPanel.Pubmed_DefaultReportPanel.Pubmed_RVDocSum" TargetMode="External"/><Relationship Id="rId301" Type="http://schemas.openxmlformats.org/officeDocument/2006/relationships/hyperlink" Target="http://dx.doi.org/10.1016/j.jad.2006.07.010" TargetMode="External"/><Relationship Id="rId322" Type="http://schemas.openxmlformats.org/officeDocument/2006/relationships/hyperlink" Target="http://www.neuroreport.com/pt/re/neuroreport/abstract.00001756-199806220-00021.htm" TargetMode="External"/><Relationship Id="rId343" Type="http://schemas.openxmlformats.org/officeDocument/2006/relationships/hyperlink" Target="http://dx.doi.org/10.1038/npp.2008.40" TargetMode="External"/><Relationship Id="rId364" Type="http://schemas.openxmlformats.org/officeDocument/2006/relationships/hyperlink" Target="http://www.nature.com/npp/journal/v33/n11/pdf/1301655a.pdf" TargetMode="External"/><Relationship Id="rId61" Type="http://schemas.openxmlformats.org/officeDocument/2006/relationships/hyperlink" Target="http://www.ncbi.nlm.nih.gov/entrez/query.fcgi?db=pubmed&amp;cmd=Retrieve&amp;dopt=AbstractPlus&amp;list_uids=11771978&amp;query_hl=8&amp;itool=pubmed_DocSum" TargetMode="External"/><Relationship Id="rId82" Type="http://schemas.openxmlformats.org/officeDocument/2006/relationships/hyperlink" Target="http://www.ncbi.nlm.nih.gov/entrez/query.fcgi?db=pubmed&amp;cmd=Retrieve&amp;dopt=AbstractPlus&amp;list_uids=9818735&amp;query_hl=8&amp;itool=pubmed_DocSum" TargetMode="External"/><Relationship Id="rId199" Type="http://schemas.openxmlformats.org/officeDocument/2006/relationships/hyperlink" Target="http://www.pnas.org/content/93/9/3908" TargetMode="External"/><Relationship Id="rId203" Type="http://schemas.openxmlformats.org/officeDocument/2006/relationships/hyperlink" Target="http://dx.doi.org/10.1016/S0165-0327(96)00105-X" TargetMode="External"/><Relationship Id="rId385" Type="http://schemas.openxmlformats.org/officeDocument/2006/relationships/hyperlink" Target="http://journals.lww.com/ajgponline/Abstract/2005/10000/Homocysteine_Levels,_MTHFR_C677T_Genotype,_and_MRI.6.aspx" TargetMode="External"/><Relationship Id="rId19" Type="http://schemas.openxmlformats.org/officeDocument/2006/relationships/hyperlink" Target="http://www.ncbi.nlm.nih.gov/entrez/query.fcgi?db=pubmed&amp;cmd=Retrieve&amp;dopt=AbstractPlus&amp;list_uids=15607296&amp;query_hl=8&amp;itool=pubmed_DocSum" TargetMode="External"/><Relationship Id="rId224" Type="http://schemas.openxmlformats.org/officeDocument/2006/relationships/hyperlink" Target="http://dx.doi.org/10.1016/S0006-3223(99)00296-6" TargetMode="External"/><Relationship Id="rId245" Type="http://schemas.openxmlformats.org/officeDocument/2006/relationships/hyperlink" Target="http://dx.doi.org/10.1016/S0006-3223(02)01474-9" TargetMode="External"/><Relationship Id="rId266" Type="http://schemas.openxmlformats.org/officeDocument/2006/relationships/hyperlink" Target="http://www.psychiatrist.com/abstracts/abstracts.asp?abstract=200404/040405.htm" TargetMode="External"/><Relationship Id="rId287" Type="http://schemas.openxmlformats.org/officeDocument/2006/relationships/hyperlink" Target="http://dx.doi.org/10.1016/j.biopsych.2005.10.011" TargetMode="External"/><Relationship Id="rId410" Type="http://schemas.openxmlformats.org/officeDocument/2006/relationships/hyperlink" Target="http://dx.doi.org/10.1017/S0033291700020420" TargetMode="External"/><Relationship Id="rId431" Type="http://schemas.openxmlformats.org/officeDocument/2006/relationships/hyperlink" Target="http://dx.doi.org/10.1016/j.jad.2009.11.016" TargetMode="External"/><Relationship Id="rId30" Type="http://schemas.openxmlformats.org/officeDocument/2006/relationships/hyperlink" Target="http://www.ncbi.nlm.nih.gov/entrez/query.fcgi?db=pubmed&amp;cmd=Retrieve&amp;dopt=AbstractPlus&amp;list_uids=14969587&amp;query_hl=8&amp;itool=pubmed_DocSum" TargetMode="External"/><Relationship Id="rId105" Type="http://schemas.openxmlformats.org/officeDocument/2006/relationships/hyperlink" Target="http://www.ncbi.nlm.nih.gov/entrez/query.fcgi?db=pubmed&amp;cmd=Retrieve&amp;dopt=AbstractPlus&amp;list_uids=1642132&amp;query_hl=8&amp;itool=pubmed_DocSum" TargetMode="External"/><Relationship Id="rId126" Type="http://schemas.openxmlformats.org/officeDocument/2006/relationships/hyperlink" Target="http://journals.cambridge.org/action/displayFulltext?type=1&amp;fid=64012&amp;jid=&amp;volumeId=&amp;issueId=01&amp;aid=64011" TargetMode="External"/><Relationship Id="rId147" Type="http://schemas.openxmlformats.org/officeDocument/2006/relationships/hyperlink" Target="http://www.ncbi.nlm.nih.gov/pubmed/18508244?ordinalpos=9&amp;itool=EntrezSystem2.PEntrez.Pubmed.Pubmed_ResultsPanel.Pubmed_DefaultReportPanel.Pubmed_RVDocSum" TargetMode="External"/><Relationship Id="rId168" Type="http://schemas.openxmlformats.org/officeDocument/2006/relationships/hyperlink" Target="http://www.ncbi.nlm.nih.gov/pubmed/18263664?ordinalpos=14&amp;itool=EntrezSystem2.PEntrez.Pubmed.Pubmed_ResultsPanel.Pubmed_DefaultReportPanel.Pubmed_RVDocSum" TargetMode="External"/><Relationship Id="rId312" Type="http://schemas.openxmlformats.org/officeDocument/2006/relationships/hyperlink" Target="http://dx.doi.org/10.1016/j.pscychresns.2007.11.005" TargetMode="External"/><Relationship Id="rId333" Type="http://schemas.openxmlformats.org/officeDocument/2006/relationships/hyperlink" Target="http://dx.doi.org/10.1097/JGP.0b013e3181591c30" TargetMode="External"/><Relationship Id="rId354" Type="http://schemas.openxmlformats.org/officeDocument/2006/relationships/hyperlink" Target="http://dx.doi.org/10.1016/0920-9964(95)00016-X" TargetMode="External"/><Relationship Id="rId51" Type="http://schemas.openxmlformats.org/officeDocument/2006/relationships/hyperlink" Target="http://www.ncbi.nlm.nih.gov/entrez/query.fcgi?db=pubmed&amp;cmd=Retrieve&amp;dopt=AbstractPlus&amp;list_uids=12271802&amp;query_hl=8&amp;itool=pubmed_DocSum" TargetMode="External"/><Relationship Id="rId72" Type="http://schemas.openxmlformats.org/officeDocument/2006/relationships/hyperlink" Target="http://www.ncbi.nlm.nih.gov/entrez/query.fcgi?db=pubmed&amp;cmd=Retrieve&amp;dopt=AbstractPlus&amp;list_uids=10862809&amp;query_hl=8&amp;itool=pubmed_DocSum" TargetMode="External"/><Relationship Id="rId93" Type="http://schemas.openxmlformats.org/officeDocument/2006/relationships/hyperlink" Target="http://www.ncbi.nlm.nih.gov/entrez/query.fcgi?db=pubmed&amp;cmd=Retrieve&amp;dopt=AbstractPlus&amp;list_uids=8723302&amp;query_hl=8&amp;itool=pubmed_DocSum" TargetMode="External"/><Relationship Id="rId189" Type="http://schemas.openxmlformats.org/officeDocument/2006/relationships/hyperlink" Target="http://dx.doi.org/10.1016/0925-4927(92)90024-X" TargetMode="External"/><Relationship Id="rId375" Type="http://schemas.openxmlformats.org/officeDocument/2006/relationships/hyperlink" Target="http://www.ncbi.nlm.nih.gov/pubmed/17702053?ordinalpos=135&amp;itool=EntrezSystem2.PEntrez.Pubmed.Pubmed_ResultsPanel.Pubmed_DefaultReportPanel.Pubmed_RVDocSum" TargetMode="External"/><Relationship Id="rId396" Type="http://schemas.openxmlformats.org/officeDocument/2006/relationships/hyperlink" Target="http://dx.doi.org/10.1111/j.1600-0447.2009.01389.x" TargetMode="External"/><Relationship Id="rId3" Type="http://schemas.openxmlformats.org/officeDocument/2006/relationships/hyperlink" Target="http://www.ncbi.nlm.nih.gov/entrez/query.fcgi?db=pubmed&amp;cmd=Retrieve&amp;dopt=AbstractPlus&amp;list_uids=16449707&amp;query_hl=8&amp;itool=pubmed_DocSum" TargetMode="External"/><Relationship Id="rId214" Type="http://schemas.openxmlformats.org/officeDocument/2006/relationships/hyperlink" Target="http://ajp.psychiatryonline.org/cgi/reprint/156/3/438" TargetMode="External"/><Relationship Id="rId235" Type="http://schemas.openxmlformats.org/officeDocument/2006/relationships/hyperlink" Target="http://ajp.psychiatryonline.org/cgi/reprint/159/7/1112" TargetMode="External"/><Relationship Id="rId256" Type="http://schemas.openxmlformats.org/officeDocument/2006/relationships/hyperlink" Target="http://www.nature.com/npp/journal/v28/n12/pdf/1300285a.pdf" TargetMode="External"/><Relationship Id="rId277" Type="http://schemas.openxmlformats.org/officeDocument/2006/relationships/hyperlink" Target="http://dx.doi.org/10.1016/j.pscychresns.2005.09.003" TargetMode="External"/><Relationship Id="rId298" Type="http://schemas.openxmlformats.org/officeDocument/2006/relationships/hyperlink" Target="http://dx.doi.org/10.1016/j.neulet.2007.06.014" TargetMode="External"/><Relationship Id="rId400" Type="http://schemas.openxmlformats.org/officeDocument/2006/relationships/hyperlink" Target="http://dx.doi.org/10.1016/j.euroneuro.2008.04.015" TargetMode="External"/><Relationship Id="rId421" Type="http://schemas.openxmlformats.org/officeDocument/2006/relationships/hyperlink" Target="http://www.ncbi.nlm.nih.gov/pubmed/19895719" TargetMode="External"/><Relationship Id="rId116" Type="http://schemas.openxmlformats.org/officeDocument/2006/relationships/hyperlink" Target="http://www.ncbi.nlm.nih.gov/sites/entrez?Db=pubmed&amp;Cmd=ShowDetailView&amp;TermToSearch=10448451&amp;ordinalpos=57&amp;itool=EntrezSystem2.PEntrez.Pubmed.Pubmed_ResultsPanel.Pubmed_RVDocSum" TargetMode="External"/><Relationship Id="rId137" Type="http://schemas.openxmlformats.org/officeDocument/2006/relationships/hyperlink" Target="http://dx.doi.org/10.1016/0925-4927(95)02592-L" TargetMode="External"/><Relationship Id="rId158" Type="http://schemas.openxmlformats.org/officeDocument/2006/relationships/hyperlink" Target="http://www.ncbi.nlm.nih.gov/pubmed/17511971?ordinalpos=105&amp;itool=EntrezSystem2.PEntrez.Pubmed.Pubmed_ResultsPanel.Pubmed_DefaultReportPanel.Pubmed_RVDocSum" TargetMode="External"/><Relationship Id="rId302" Type="http://schemas.openxmlformats.org/officeDocument/2006/relationships/hyperlink" Target="http://jnnp.bmj.com/cgi/reprint/78/6/638" TargetMode="External"/><Relationship Id="rId323" Type="http://schemas.openxmlformats.org/officeDocument/2006/relationships/hyperlink" Target="http://dx.doi.org/10.1016/S0167-8760(99)00077-X" TargetMode="External"/><Relationship Id="rId344" Type="http://schemas.openxmlformats.org/officeDocument/2006/relationships/hyperlink" Target="http://dx.doi.org/10.1016/j.pnpbp.2008.05.023" TargetMode="External"/><Relationship Id="rId20" Type="http://schemas.openxmlformats.org/officeDocument/2006/relationships/hyperlink" Target="http://www.ncbi.nlm.nih.gov/entrez/query.fcgi?db=pubmed&amp;cmd=Retrieve&amp;dopt=AbstractPlus&amp;list_uids=15598548&amp;query_hl=8&amp;itool=pubmed_DocSum" TargetMode="External"/><Relationship Id="rId41" Type="http://schemas.openxmlformats.org/officeDocument/2006/relationships/hyperlink" Target="http://www.ncbi.nlm.nih.gov/entrez/query.fcgi?db=pubmed&amp;cmd=Retrieve&amp;dopt=AbstractPlus&amp;list_uids=12823084&amp;query_hl=8&amp;itool=pubmed_DocSum" TargetMode="External"/><Relationship Id="rId62" Type="http://schemas.openxmlformats.org/officeDocument/2006/relationships/hyperlink" Target="http://www.ncbi.nlm.nih.gov/entrez/query.fcgi?db=pubmed&amp;cmd=Retrieve&amp;dopt=AbstractPlus&amp;list_uids=11756014&amp;query_hl=8&amp;itool=pubmed_DocSum" TargetMode="External"/><Relationship Id="rId83" Type="http://schemas.openxmlformats.org/officeDocument/2006/relationships/hyperlink" Target="http://www.ncbi.nlm.nih.gov/entrez/query.fcgi?db=pubmed&amp;cmd=Retrieve&amp;dopt=AbstractPlus&amp;list_uids=9674587&amp;query_hl=8&amp;itool=pubmed_DocSum" TargetMode="External"/><Relationship Id="rId179" Type="http://schemas.openxmlformats.org/officeDocument/2006/relationships/hyperlink" Target="http://www.ncbi.nlm.nih.gov/pubmed/2222243?ordinalpos=257&amp;itool=EntrezSystem2.PEntrez.Pubmed.Pubmed_ResultsPanel.Pubmed_DefaultReportPanel.Pubmed_RVDocSum" TargetMode="External"/><Relationship Id="rId365" Type="http://schemas.openxmlformats.org/officeDocument/2006/relationships/hyperlink" Target="http://www.ncbi.nlm.nih.gov/pubmed/18700214" TargetMode="External"/><Relationship Id="rId386" Type="http://schemas.openxmlformats.org/officeDocument/2006/relationships/hyperlink" Target="http://dx.doi.org/10.1097/JGP.0b013e3180325a16" TargetMode="External"/><Relationship Id="rId190" Type="http://schemas.openxmlformats.org/officeDocument/2006/relationships/hyperlink" Target="http://www3.interscience.wiley.com/cgi-bin/fulltext/119982938/PDFSTART" TargetMode="External"/><Relationship Id="rId204" Type="http://schemas.openxmlformats.org/officeDocument/2006/relationships/hyperlink" Target="http://dx.doi.org/10.1016/S0006-3223(96)00335-6" TargetMode="External"/><Relationship Id="rId225" Type="http://schemas.openxmlformats.org/officeDocument/2006/relationships/hyperlink" Target="http://dx.doi.org/10.1016/S0925-4927(01)00123-8" TargetMode="External"/><Relationship Id="rId246" Type="http://schemas.openxmlformats.org/officeDocument/2006/relationships/hyperlink" Target="http://dx.doi.org/10.1016/S0925-4927(03)00123-9" TargetMode="External"/><Relationship Id="rId267" Type="http://schemas.openxmlformats.org/officeDocument/2006/relationships/hyperlink" Target="http://www.nature.com/npp/journal/v29/n5/pdf/1300371a.pdf" TargetMode="External"/><Relationship Id="rId288" Type="http://schemas.openxmlformats.org/officeDocument/2006/relationships/hyperlink" Target="http://www3.interscience.wiley.com/cgi-bin/fulltext/112161700/PDFSTART" TargetMode="External"/><Relationship Id="rId411" Type="http://schemas.openxmlformats.org/officeDocument/2006/relationships/hyperlink" Target="http://dx.doi.org/10.1017/S0033291700034838" TargetMode="External"/><Relationship Id="rId432" Type="http://schemas.openxmlformats.org/officeDocument/2006/relationships/hyperlink" Target="http://dx.doi.org/10.1111/j.1600-0447.2009.01489.x" TargetMode="External"/><Relationship Id="rId106" Type="http://schemas.openxmlformats.org/officeDocument/2006/relationships/hyperlink" Target="http://www.ncbi.nlm.nih.gov/entrez/query.fcgi?db=pubmed&amp;cmd=Retrieve&amp;dopt=AbstractPlus&amp;list_uids=1575251&amp;query_hl=8&amp;itool=pubmed_DocSum" TargetMode="External"/><Relationship Id="rId127" Type="http://schemas.openxmlformats.org/officeDocument/2006/relationships/hyperlink" Target="http://bjp.rcpsych.org/cgi/reprint/174/3/249" TargetMode="External"/><Relationship Id="rId313" Type="http://schemas.openxmlformats.org/officeDocument/2006/relationships/hyperlink" Target="http://dx.doi.org/10.1016/j.pscychresns.2007.12.009" TargetMode="External"/><Relationship Id="rId10" Type="http://schemas.openxmlformats.org/officeDocument/2006/relationships/hyperlink" Target="http://www.ncbi.nlm.nih.gov/entrez/query.fcgi?db=pubmed&amp;cmd=Retrieve&amp;dopt=AbstractPlus&amp;list_uids=16135631&amp;query_hl=8&amp;itool=pubmed_DocSum" TargetMode="External"/><Relationship Id="rId31" Type="http://schemas.openxmlformats.org/officeDocument/2006/relationships/hyperlink" Target="http://www.ncbi.nlm.nih.gov/entrez/query.fcgi?db=pubmed&amp;cmd=Retrieve&amp;dopt=AbstractPlus&amp;list_uids=14960287&amp;query_hl=8&amp;itool=pubmed_DocSum" TargetMode="External"/><Relationship Id="rId52" Type="http://schemas.openxmlformats.org/officeDocument/2006/relationships/hyperlink" Target="http://www.ncbi.nlm.nih.gov/entrez/query.fcgi?db=pubmed&amp;cmd=Retrieve&amp;dopt=AbstractPlus&amp;list_uids=12242057&amp;query_hl=8&amp;itool=pubmed_DocSum" TargetMode="External"/><Relationship Id="rId73" Type="http://schemas.openxmlformats.org/officeDocument/2006/relationships/hyperlink" Target="http://www.ncbi.nlm.nih.gov/entrez/query.fcgi?db=pubmed&amp;cmd=Retrieve&amp;dopt=AbstractPlus&amp;list_uids=10710164&amp;query_hl=8&amp;itool=pubmed_DocSum" TargetMode="External"/><Relationship Id="rId94" Type="http://schemas.openxmlformats.org/officeDocument/2006/relationships/hyperlink" Target="http://www.ncbi.nlm.nih.gov/entrez/query.fcgi?db=pubmed&amp;cmd=Retrieve&amp;dopt=AbstractPlus&amp;list_uids=8685300&amp;query_hl=8&amp;itool=pubmed_DocSum" TargetMode="External"/><Relationship Id="rId148" Type="http://schemas.openxmlformats.org/officeDocument/2006/relationships/hyperlink" Target="http://www.ncbi.nlm.nih.gov/pubmed/18450931?ordinalpos=12&amp;itool=EntrezSystem2.PEntrez.Pubmed.Pubmed_ResultsPanel.Pubmed_DefaultReportPanel.Pubmed_RVDocSum" TargetMode="External"/><Relationship Id="rId169" Type="http://schemas.openxmlformats.org/officeDocument/2006/relationships/hyperlink" Target="http://www.ncbi.nlm.nih.gov/pubmed/17712348?ordinalpos=34&amp;itool=EntrezSystem2.PEntrez.Pubmed.Pubmed_ResultsPanel.Pubmed_DefaultReportPanel.Pubmed_RVDocSum" TargetMode="External"/><Relationship Id="rId334" Type="http://schemas.openxmlformats.org/officeDocument/2006/relationships/hyperlink" Target="http://www.ncbi.nlm.nih.gov/pubmed/18286634?ordinalpos=78&amp;itool=EntrezSystem2.PEntrez.Pubmed.Pubmed_ResultsPanel.Pubmed_DefaultReportPanel.Pubmed_RVDocSum" TargetMode="External"/><Relationship Id="rId355" Type="http://schemas.openxmlformats.org/officeDocument/2006/relationships/hyperlink" Target="http://radiology.rsnajnls.org/cgi/reprint/238/1/248" TargetMode="External"/><Relationship Id="rId376" Type="http://schemas.openxmlformats.org/officeDocument/2006/relationships/hyperlink" Target="http://www.ncbi.nlm.nih.gov/pubmed/19028381?ordinalpos=39&amp;itool=EntrezSystem2.PEntrez.Pubmed.Pubmed_ResultsPanel.Pubmed_DefaultReportPanel.Pubmed_RVDocSum" TargetMode="External"/><Relationship Id="rId397" Type="http://schemas.openxmlformats.org/officeDocument/2006/relationships/hyperlink" Target="http://dx.doi.org/10.1016/j.jad.2009.04.021" TargetMode="External"/><Relationship Id="rId4" Type="http://schemas.openxmlformats.org/officeDocument/2006/relationships/hyperlink" Target="http://www.ncbi.nlm.nih.gov/entrez/query.fcgi?db=pubmed&amp;cmd=Retrieve&amp;dopt=AbstractPlus&amp;list_uids=16421128&amp;query_hl=8&amp;itool=pubmed_DocSum" TargetMode="External"/><Relationship Id="rId180" Type="http://schemas.openxmlformats.org/officeDocument/2006/relationships/hyperlink" Target="http://www.ncbi.nlm.nih.gov/sites/entrez?Db=pubmed&amp;Cmd=ShowDetailView&amp;TermToSearch=2798631&amp;ordinalpos=187&amp;itool=EntrezSystem2.PEntrez.Pubmed.Pubmed_ResultsPanel.Pubmed_RVDocSum" TargetMode="External"/><Relationship Id="rId215" Type="http://schemas.openxmlformats.org/officeDocument/2006/relationships/hyperlink" Target="http://ajp.psychiatryonline.org/cgi/reprint/156/3/438" TargetMode="External"/><Relationship Id="rId236" Type="http://schemas.openxmlformats.org/officeDocument/2006/relationships/hyperlink" Target="http://www.nature.com/npp/journal/v26/n2/pdf/1395774a.pdf" TargetMode="External"/><Relationship Id="rId257" Type="http://schemas.openxmlformats.org/officeDocument/2006/relationships/hyperlink" Target="http://dx.doi.org/10.1016/S0006-3223(02)01782-1" TargetMode="External"/><Relationship Id="rId278" Type="http://schemas.openxmlformats.org/officeDocument/2006/relationships/hyperlink" Target="http://dx.doi.org/10.1016/j.jpsychires.2004.10.004" TargetMode="External"/><Relationship Id="rId401" Type="http://schemas.openxmlformats.org/officeDocument/2006/relationships/hyperlink" Target="http://www.ncbi.nlm.nih.gov/pubmed/18554875" TargetMode="External"/><Relationship Id="rId422" Type="http://schemas.openxmlformats.org/officeDocument/2006/relationships/hyperlink" Target="http://www.ncbi.nlm.nih.gov/pubmed/19878138" TargetMode="External"/><Relationship Id="rId303" Type="http://schemas.openxmlformats.org/officeDocument/2006/relationships/hyperlink" Target="http://dx.doi.org/10.1002/hipo.20339" TargetMode="External"/><Relationship Id="rId42" Type="http://schemas.openxmlformats.org/officeDocument/2006/relationships/hyperlink" Target="http://www.ncbi.nlm.nih.gov/entrez/query.fcgi?db=pubmed&amp;cmd=Retrieve&amp;dopt=AbstractPlus&amp;list_uids=12804127&amp;query_hl=8&amp;itool=pubmed_DocSum" TargetMode="External"/><Relationship Id="rId84" Type="http://schemas.openxmlformats.org/officeDocument/2006/relationships/hyperlink" Target="http://www.ncbi.nlm.nih.gov/entrez/query.fcgi?db=pubmed&amp;cmd=Retrieve&amp;dopt=AbstractPlus&amp;list_uids=9636205&amp;query_hl=8&amp;itool=pubmed_DocSum" TargetMode="External"/><Relationship Id="rId138" Type="http://schemas.openxmlformats.org/officeDocument/2006/relationships/hyperlink" Target="http://www.ncbi.nlm.nih.gov/pubmed/16395541?ordinalpos=218&amp;itool=EntrezSystem2.PEntrez.Pubmed.Pubmed_ResultsPanel.Pubmed_DefaultReportPanel.Pubmed_RVDocSum" TargetMode="External"/><Relationship Id="rId345" Type="http://schemas.openxmlformats.org/officeDocument/2006/relationships/hyperlink" Target="http://dx.doi.org/10.1016/j.neuroimage.2008.10.010" TargetMode="External"/><Relationship Id="rId387" Type="http://schemas.openxmlformats.org/officeDocument/2006/relationships/hyperlink" Target="http://www.ncbi.nlm.nih.gov/pubmed/19540599" TargetMode="External"/><Relationship Id="rId191" Type="http://schemas.openxmlformats.org/officeDocument/2006/relationships/hyperlink" Target="http://dx.doi.org/10.1016/0165-1781(93)90046-J" TargetMode="External"/><Relationship Id="rId205" Type="http://schemas.openxmlformats.org/officeDocument/2006/relationships/hyperlink" Target="http://stroke.ahajournals.org/cgi/reprint/29/3/613" TargetMode="External"/><Relationship Id="rId247" Type="http://schemas.openxmlformats.org/officeDocument/2006/relationships/hyperlink" Target="http://dx.doi.org/10.1016/S0006-3223(03)00063-5" TargetMode="External"/><Relationship Id="rId412" Type="http://schemas.openxmlformats.org/officeDocument/2006/relationships/hyperlink" Target="http://www.ncbi.nlm.nih.gov/pubmed/19274051" TargetMode="External"/><Relationship Id="rId107" Type="http://schemas.openxmlformats.org/officeDocument/2006/relationships/hyperlink" Target="http://www.ncbi.nlm.nih.gov/entrez/query.fcgi?db=pubmed&amp;cmd=Retrieve&amp;dopt=AbstractPlus&amp;list_uids=1319168&amp;query_hl=8&amp;itool=pubmed_DocSum" TargetMode="External"/><Relationship Id="rId289" Type="http://schemas.openxmlformats.org/officeDocument/2006/relationships/hyperlink" Target="http://dx.doi.org/10.1017/S1041610205002796" TargetMode="External"/><Relationship Id="rId11" Type="http://schemas.openxmlformats.org/officeDocument/2006/relationships/hyperlink" Target="http://www.ncbi.nlm.nih.gov/entrez/query.fcgi?db=pubmed&amp;cmd=Retrieve&amp;dopt=AbstractPlus&amp;list_uids=16086609&amp;query_hl=8&amp;itool=pubmed_DocSum" TargetMode="External"/><Relationship Id="rId53" Type="http://schemas.openxmlformats.org/officeDocument/2006/relationships/hyperlink" Target="http://www.ncbi.nlm.nih.gov/entrez/query.fcgi?db=pubmed&amp;cmd=Retrieve&amp;dopt=AbstractPlus&amp;list_uids=12169341&amp;query_hl=8&amp;itool=pubmed_DocSum" TargetMode="External"/><Relationship Id="rId149" Type="http://schemas.openxmlformats.org/officeDocument/2006/relationships/hyperlink" Target="http://www.ncbi.nlm.nih.gov/pubmed/18439110?ordinalpos=16&amp;itool=EntrezSystem2.PEntrez.Pubmed.Pubmed_ResultsPanel.Pubmed_DefaultReportPanel.Pubmed_RVDocSum" TargetMode="External"/><Relationship Id="rId314" Type="http://schemas.openxmlformats.org/officeDocument/2006/relationships/hyperlink" Target="http://ajp.psychiatryonline.org/cgi/content/full/165/7/872" TargetMode="External"/><Relationship Id="rId356" Type="http://schemas.openxmlformats.org/officeDocument/2006/relationships/hyperlink" Target="http://dx.doi.org/10.1016/0925-4927(96)02744-8" TargetMode="External"/><Relationship Id="rId398" Type="http://schemas.openxmlformats.org/officeDocument/2006/relationships/hyperlink" Target="http://dx.doi.org/10.1016/j.jpsychires.2009.03.007" TargetMode="External"/><Relationship Id="rId95" Type="http://schemas.openxmlformats.org/officeDocument/2006/relationships/hyperlink" Target="http://www.ncbi.nlm.nih.gov/entrez/query.fcgi?db=pubmed&amp;cmd=Retrieve&amp;dopt=AbstractPlus&amp;list_uids=8672610&amp;query_hl=8&amp;itool=pubmed_DocSum" TargetMode="External"/><Relationship Id="rId160" Type="http://schemas.openxmlformats.org/officeDocument/2006/relationships/hyperlink" Target="http://www.ncbi.nlm.nih.gov/pubmed/17404118?ordinalpos=123&amp;itool=EntrezSystem2.PEntrez.Pubmed.Pubmed_ResultsPanel.Pubmed_DefaultReportPanel.Pubmed_RVDocSum" TargetMode="External"/><Relationship Id="rId216" Type="http://schemas.openxmlformats.org/officeDocument/2006/relationships/hyperlink" Target="http://ajp.psychiatryonline.org/cgi/reprint/156/12/1989" TargetMode="External"/><Relationship Id="rId423" Type="http://schemas.openxmlformats.org/officeDocument/2006/relationships/hyperlink" Target="http://www.ncbi.nlm.nih.gov/pubmed/19835925" TargetMode="External"/><Relationship Id="rId258" Type="http://schemas.openxmlformats.org/officeDocument/2006/relationships/hyperlink" Target="http://dx.doi.org/10.1016/S0006-3223(02)01490-7" TargetMode="External"/><Relationship Id="rId22" Type="http://schemas.openxmlformats.org/officeDocument/2006/relationships/hyperlink" Target="http://www.ncbi.nlm.nih.gov/entrez/query.fcgi?db=pubmed&amp;cmd=Retrieve&amp;dopt=AbstractPlus&amp;list_uids=15545328&amp;query_hl=8&amp;itool=pubmed_DocSum" TargetMode="External"/><Relationship Id="rId64" Type="http://schemas.openxmlformats.org/officeDocument/2006/relationships/hyperlink" Target="http://www.ncbi.nlm.nih.gov/entrez/query.fcgi?db=pubmed&amp;cmd=Retrieve&amp;dopt=AbstractPlus&amp;list_uids=11593278&amp;query_hl=8&amp;itool=pubmed_DocSum" TargetMode="External"/><Relationship Id="rId118" Type="http://schemas.openxmlformats.org/officeDocument/2006/relationships/hyperlink" Target="http://www.ncbi.nlm.nih.gov/sites/entrez?Db=pubmed&amp;Cmd=ShowDetailView&amp;TermToSearch=8886297&amp;ordinalpos=88&amp;itool=EntrezSystem2.PEntrez.Pubmed.Pubmed_ResultsPanel.Pubmed_RVDocSum" TargetMode="External"/><Relationship Id="rId325" Type="http://schemas.openxmlformats.org/officeDocument/2006/relationships/hyperlink" Target="http://www.nature.com/npp/journal/v30/n10/full/1300766a.html" TargetMode="External"/><Relationship Id="rId367" Type="http://schemas.openxmlformats.org/officeDocument/2006/relationships/hyperlink" Target="http://www.ncbi.nlm.nih.gov/pubmed/19085964" TargetMode="External"/><Relationship Id="rId171" Type="http://schemas.openxmlformats.org/officeDocument/2006/relationships/hyperlink" Target="http://www.ncbi.nlm.nih.gov/pubmed/15589560?ordinalpos=119&amp;itool=EntrezSystem2.PEntrez.Pubmed.Pubmed_ResultsPanel.Pubmed_DefaultReportPanel.Pubmed_RVDocSum" TargetMode="External"/><Relationship Id="rId227" Type="http://schemas.openxmlformats.org/officeDocument/2006/relationships/hyperlink" Target="http://dx.doi.org/10.1016/S0006-3223(00)01113-6" TargetMode="External"/><Relationship Id="rId269" Type="http://schemas.openxmlformats.org/officeDocument/2006/relationships/hyperlink" Target="http://dx.doi.org/10.1016/j.biopsych.2003.08.021" TargetMode="External"/><Relationship Id="rId434" Type="http://schemas.openxmlformats.org/officeDocument/2006/relationships/hyperlink" Target="http://dx.doi.org/10.1016/j.biopsych.2009.10.017"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5.bin"/></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published="0" enableFormatConditionsCalculation="0"/>
  <dimension ref="B3:K34"/>
  <sheetViews>
    <sheetView tabSelected="1" workbookViewId="0"/>
  </sheetViews>
  <sheetFormatPr defaultColWidth="8.77734375" defaultRowHeight="13.2"/>
  <cols>
    <col min="1" max="1" width="5.109375" customWidth="1"/>
    <col min="2" max="2" width="19" customWidth="1"/>
    <col min="7" max="7" width="12.44140625" customWidth="1"/>
    <col min="11" max="11" width="12.44140625" customWidth="1"/>
  </cols>
  <sheetData>
    <row r="3" spans="2:11">
      <c r="F3" s="190"/>
    </row>
    <row r="6" spans="2:11">
      <c r="B6" s="174" t="s">
        <v>2467</v>
      </c>
      <c r="C6" s="175"/>
      <c r="D6" s="175"/>
      <c r="E6" s="175"/>
      <c r="F6" s="175"/>
      <c r="G6" s="175"/>
      <c r="H6" s="175"/>
      <c r="I6" s="175"/>
      <c r="J6" s="175"/>
      <c r="K6" s="176"/>
    </row>
    <row r="7" spans="2:11">
      <c r="B7" s="189" t="s">
        <v>85</v>
      </c>
      <c r="C7" s="177"/>
      <c r="D7" s="177"/>
      <c r="E7" s="177"/>
      <c r="F7" s="177"/>
      <c r="G7" s="177"/>
      <c r="H7" s="177"/>
      <c r="I7" s="177"/>
      <c r="J7" s="177"/>
      <c r="K7" s="178"/>
    </row>
    <row r="8" spans="2:11">
      <c r="B8" s="179"/>
      <c r="C8" s="177"/>
      <c r="D8" s="177"/>
      <c r="E8" s="177"/>
      <c r="F8" s="177"/>
      <c r="G8" s="177"/>
      <c r="H8" s="177"/>
      <c r="I8" s="177"/>
      <c r="J8" s="177"/>
      <c r="K8" s="178"/>
    </row>
    <row r="9" spans="2:11">
      <c r="B9" s="179" t="s">
        <v>86</v>
      </c>
      <c r="C9" s="177"/>
      <c r="D9" s="177"/>
      <c r="E9" s="177"/>
      <c r="F9" s="177"/>
      <c r="G9" s="177"/>
      <c r="H9" s="177"/>
      <c r="I9" s="177"/>
      <c r="J9" s="177"/>
      <c r="K9" s="178"/>
    </row>
    <row r="10" spans="2:11">
      <c r="B10" s="179" t="s">
        <v>87</v>
      </c>
      <c r="C10" s="177"/>
      <c r="D10" s="177"/>
      <c r="F10" s="177"/>
      <c r="G10" s="177"/>
      <c r="H10" s="229" t="s">
        <v>2468</v>
      </c>
      <c r="I10" s="202"/>
      <c r="J10" s="203"/>
      <c r="K10" s="204"/>
    </row>
    <row r="11" spans="2:11">
      <c r="B11" s="179"/>
      <c r="C11" s="177"/>
      <c r="D11" s="177"/>
      <c r="E11" s="177"/>
      <c r="F11" s="177"/>
      <c r="G11" s="177"/>
      <c r="H11" s="203"/>
      <c r="I11" s="203"/>
      <c r="J11" s="203"/>
      <c r="K11" s="204"/>
    </row>
    <row r="12" spans="2:11">
      <c r="B12" s="180" t="s">
        <v>122</v>
      </c>
      <c r="C12" s="177"/>
      <c r="D12" s="177"/>
      <c r="E12" s="177"/>
      <c r="F12" s="177"/>
      <c r="G12" s="177"/>
      <c r="H12" s="203"/>
      <c r="I12" s="203"/>
      <c r="J12" s="203"/>
      <c r="K12" s="204"/>
    </row>
    <row r="13" spans="2:11">
      <c r="B13" s="179" t="s">
        <v>77</v>
      </c>
      <c r="C13" s="177"/>
      <c r="D13" s="177"/>
      <c r="E13" s="177"/>
      <c r="F13" s="177"/>
      <c r="G13" s="177"/>
      <c r="H13" s="177"/>
      <c r="I13" s="177"/>
      <c r="J13" s="177"/>
      <c r="K13" s="178"/>
    </row>
    <row r="14" spans="2:11">
      <c r="B14" s="148" t="s">
        <v>88</v>
      </c>
      <c r="C14" s="181"/>
      <c r="D14" s="181"/>
      <c r="E14" s="181"/>
      <c r="F14" s="181"/>
      <c r="G14" s="181"/>
      <c r="H14" s="181"/>
      <c r="I14" s="181"/>
      <c r="J14" s="181"/>
      <c r="K14" s="182"/>
    </row>
    <row r="15" spans="2:11">
      <c r="B15" s="137"/>
      <c r="C15" s="137"/>
      <c r="D15" s="137"/>
      <c r="E15" s="137"/>
      <c r="F15" s="137"/>
      <c r="G15" s="137"/>
      <c r="H15" s="137"/>
      <c r="I15" s="137"/>
      <c r="J15" s="137"/>
      <c r="K15" s="137"/>
    </row>
    <row r="16" spans="2:11">
      <c r="B16" s="137" t="s">
        <v>78</v>
      </c>
      <c r="C16" s="137" t="s">
        <v>79</v>
      </c>
      <c r="D16" s="137"/>
      <c r="E16" s="137"/>
      <c r="F16" s="137"/>
      <c r="G16" s="137"/>
      <c r="H16" s="137"/>
      <c r="I16" s="137"/>
      <c r="J16" s="137"/>
      <c r="K16" s="137"/>
    </row>
    <row r="17" spans="2:11">
      <c r="B17" s="187" t="s">
        <v>80</v>
      </c>
      <c r="C17" s="221" t="s">
        <v>90</v>
      </c>
      <c r="D17" s="221"/>
      <c r="E17" s="221"/>
      <c r="F17" s="221"/>
      <c r="G17" s="221"/>
      <c r="H17" s="221"/>
      <c r="I17" s="221"/>
      <c r="J17" s="221"/>
      <c r="K17" s="221"/>
    </row>
    <row r="18" spans="2:11">
      <c r="B18" s="183"/>
      <c r="C18" s="221"/>
      <c r="D18" s="221"/>
      <c r="E18" s="221"/>
      <c r="F18" s="221"/>
      <c r="G18" s="221"/>
      <c r="H18" s="221"/>
      <c r="I18" s="221"/>
      <c r="J18" s="221"/>
      <c r="K18" s="221"/>
    </row>
    <row r="19" spans="2:11">
      <c r="B19" s="183"/>
      <c r="C19" s="221"/>
      <c r="D19" s="221"/>
      <c r="E19" s="221"/>
      <c r="F19" s="221"/>
      <c r="G19" s="221"/>
      <c r="H19" s="221"/>
      <c r="I19" s="221"/>
      <c r="J19" s="221"/>
      <c r="K19" s="221"/>
    </row>
    <row r="20" spans="2:11">
      <c r="B20" s="183"/>
      <c r="C20" s="221"/>
      <c r="D20" s="221"/>
      <c r="E20" s="221"/>
      <c r="F20" s="221"/>
      <c r="G20" s="221"/>
      <c r="H20" s="221"/>
      <c r="I20" s="221"/>
      <c r="J20" s="221"/>
      <c r="K20" s="221"/>
    </row>
    <row r="22" spans="2:11">
      <c r="B22" s="188" t="s">
        <v>733</v>
      </c>
      <c r="C22" s="222" t="s">
        <v>89</v>
      </c>
      <c r="D22" s="222"/>
      <c r="E22" s="222"/>
      <c r="F22" s="222"/>
      <c r="G22" s="222"/>
      <c r="H22" s="222"/>
      <c r="I22" s="222"/>
      <c r="J22" s="222"/>
      <c r="K22" s="222"/>
    </row>
    <row r="23" spans="2:11">
      <c r="B23" s="184"/>
      <c r="C23" s="222"/>
      <c r="D23" s="222"/>
      <c r="E23" s="222"/>
      <c r="F23" s="222"/>
      <c r="G23" s="222"/>
      <c r="H23" s="222"/>
      <c r="I23" s="222"/>
      <c r="J23" s="222"/>
      <c r="K23" s="222"/>
    </row>
    <row r="24" spans="2:11">
      <c r="B24" s="184"/>
      <c r="C24" s="223"/>
      <c r="D24" s="223"/>
      <c r="E24" s="223"/>
      <c r="F24" s="223"/>
      <c r="G24" s="223"/>
      <c r="H24" s="223"/>
      <c r="I24" s="223"/>
      <c r="J24" s="223"/>
      <c r="K24" s="223"/>
    </row>
    <row r="25" spans="2:11">
      <c r="B25" s="184"/>
      <c r="C25" s="223"/>
      <c r="D25" s="223"/>
      <c r="E25" s="223"/>
      <c r="F25" s="223"/>
      <c r="G25" s="223"/>
      <c r="H25" s="223"/>
      <c r="I25" s="223"/>
      <c r="J25" s="223"/>
      <c r="K25" s="223"/>
    </row>
    <row r="26" spans="2:11" ht="12.75" customHeight="1"/>
    <row r="27" spans="2:11">
      <c r="B27" s="191" t="s">
        <v>81</v>
      </c>
      <c r="C27" s="185" t="s">
        <v>82</v>
      </c>
      <c r="D27" s="185"/>
      <c r="E27" s="185"/>
      <c r="F27" s="185"/>
      <c r="G27" s="185"/>
      <c r="H27" s="185"/>
      <c r="I27" s="185"/>
      <c r="J27" s="185"/>
      <c r="K27" s="185"/>
    </row>
    <row r="29" spans="2:11" ht="12.75" customHeight="1">
      <c r="B29" s="186" t="s">
        <v>83</v>
      </c>
    </row>
    <row r="30" spans="2:11">
      <c r="B30" s="186" t="s">
        <v>84</v>
      </c>
    </row>
    <row r="32" spans="2:11" ht="12.75" customHeight="1"/>
    <row r="34" spans="2:2">
      <c r="B34" s="2"/>
    </row>
  </sheetData>
  <mergeCells count="2">
    <mergeCell ref="C17:K20"/>
    <mergeCell ref="C22:K25"/>
  </mergeCells>
  <phoneticPr fontId="54" type="noConversion"/>
  <hyperlinks>
    <hyperlink ref="B22" location="Summary!A1" display="Summary"/>
    <hyperlink ref="B17" location="Database!A1" display="Database"/>
    <hyperlink ref="B7" r:id="rId1"/>
    <hyperlink ref="B27" location="Graphs!A1" display="Graphs"/>
    <hyperlink ref="H10" r:id="rId2"/>
  </hyperlinks>
  <pageMargins left="0.75" right="0.75" top="1" bottom="1" header="0.5" footer="0.5"/>
  <drawing r:id="rId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sheetPr published="0" codeName="Sheet8" enableFormatConditionsCalculation="0"/>
  <dimension ref="A1:BM139"/>
  <sheetViews>
    <sheetView zoomScale="80" zoomScaleNormal="80" zoomScalePageLayoutView="7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1" width="5.6640625" customWidth="1"/>
    <col min="42" max="42" width="8.44140625" customWidth="1"/>
    <col min="43" max="48" width="5.6640625" customWidth="1"/>
    <col min="49" max="49" width="6.6640625" customWidth="1"/>
    <col min="50" max="50" width="7.33203125" customWidth="1"/>
    <col min="51" max="53" width="5.6640625" customWidth="1"/>
  </cols>
  <sheetData>
    <row r="1" spans="2:30">
      <c r="B1" s="4" t="s">
        <v>689</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I129-O122</f>
        <v>28</v>
      </c>
      <c r="AD7" s="89"/>
    </row>
    <row r="8" spans="2:30">
      <c r="B8" t="s">
        <v>822</v>
      </c>
      <c r="D8">
        <f>SUM(H24:H56)</f>
        <v>1187</v>
      </c>
      <c r="AD8" s="89"/>
    </row>
    <row r="9" spans="2:30">
      <c r="B9" t="s">
        <v>823</v>
      </c>
      <c r="D9">
        <f>SUM(I24:I56)</f>
        <v>1014</v>
      </c>
      <c r="AD9" s="89"/>
    </row>
    <row r="11" spans="2:30">
      <c r="B11" s="27" t="s">
        <v>516</v>
      </c>
      <c r="C11" s="28"/>
      <c r="D11" s="109">
        <f>P124</f>
        <v>36.78022044286493</v>
      </c>
      <c r="E11" s="110" t="s">
        <v>1513</v>
      </c>
      <c r="F11" s="103"/>
    </row>
    <row r="12" spans="2:30">
      <c r="B12" s="30" t="s">
        <v>826</v>
      </c>
      <c r="C12" s="31"/>
      <c r="D12" s="112">
        <f>P126</f>
        <v>12.99671504223476</v>
      </c>
      <c r="E12" s="31"/>
      <c r="F12" s="105"/>
    </row>
    <row r="13" spans="2:30">
      <c r="B13" s="35" t="s">
        <v>825</v>
      </c>
      <c r="C13" s="36"/>
      <c r="D13" s="113">
        <f>P125</f>
        <v>0.25700891031789963</v>
      </c>
      <c r="E13" s="111" t="s">
        <v>825</v>
      </c>
      <c r="F13" s="115">
        <f>Q133</f>
        <v>9.4065336617109765E-2</v>
      </c>
    </row>
    <row r="15" spans="2:30">
      <c r="B15" s="39" t="s">
        <v>879</v>
      </c>
      <c r="C15" s="40"/>
      <c r="D15" s="41">
        <f>AH126</f>
        <v>-4.6755759515829796E-2</v>
      </c>
      <c r="E15" s="116"/>
    </row>
    <row r="16" spans="2:30">
      <c r="B16" s="43" t="s">
        <v>1165</v>
      </c>
      <c r="C16" s="31"/>
      <c r="D16" s="33">
        <f>AH126-AH128</f>
        <v>-0.13407465504381205</v>
      </c>
      <c r="E16" s="117">
        <f>AH126+AH127</f>
        <v>4.0563136012152466E-2</v>
      </c>
    </row>
    <row r="17" spans="1:65">
      <c r="B17" s="45" t="s">
        <v>1166</v>
      </c>
      <c r="C17" s="46"/>
      <c r="D17" s="123">
        <f>M127</f>
        <v>0.29394748736493703</v>
      </c>
      <c r="E17" s="118"/>
    </row>
    <row r="18" spans="1:65">
      <c r="D18" s="48"/>
      <c r="F18" s="49"/>
    </row>
    <row r="19" spans="1:65">
      <c r="B19" s="50" t="s">
        <v>1167</v>
      </c>
      <c r="C19" s="51"/>
      <c r="D19" s="52">
        <f>AH130</f>
        <v>-5.8573305003196678E-2</v>
      </c>
      <c r="E19" s="120"/>
      <c r="F19" s="33"/>
      <c r="G19" s="31"/>
    </row>
    <row r="20" spans="1:65">
      <c r="B20" s="53" t="s">
        <v>1165</v>
      </c>
      <c r="C20" s="31"/>
      <c r="D20" s="33">
        <f>AH130-AH132</f>
        <v>-0.15559469661014633</v>
      </c>
      <c r="E20" s="121">
        <f>AH130+AH131</f>
        <v>3.8448086603752978E-2</v>
      </c>
      <c r="F20" s="31"/>
      <c r="G20" s="31"/>
    </row>
    <row r="21" spans="1:65">
      <c r="B21" s="54" t="s">
        <v>1440</v>
      </c>
      <c r="C21" s="55"/>
      <c r="D21" s="114">
        <f>M138</f>
        <v>0.23669735712928675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 t="shared" ref="D24:D32" si="0">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1174</v>
      </c>
      <c r="T24" s="31">
        <v>835.9</v>
      </c>
      <c r="U24">
        <v>92</v>
      </c>
      <c r="V24">
        <v>882.6</v>
      </c>
      <c r="W24">
        <v>86</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BC24" s="23"/>
      <c r="BF24" s="136"/>
      <c r="BG24" s="136"/>
      <c r="BH24" s="136"/>
      <c r="BI24" s="136"/>
    </row>
    <row r="25" spans="1:65">
      <c r="A25" t="s">
        <v>1198</v>
      </c>
      <c r="B25">
        <v>9870413</v>
      </c>
      <c r="C25" s="1" t="str">
        <f>IF($B25="","",HYPERLINK(IF(LEN(VLOOKUP($B25,Database!$B$1:$IX$10144,2,FALSE))=0,"",VLOOKUP($B25,Database!$B$1:$IX$10144,2,FALSE))))</f>
        <v/>
      </c>
      <c r="D25" s="1" t="str">
        <f t="shared" si="0"/>
        <v>http://www.ncbi.nlm.nih.gov/pubmed/9870413</v>
      </c>
      <c r="E25" s="22" t="str">
        <f>IF($B25="","",IF(LEN(VLOOKUP($B25,Database!$B$1:$IX$10144,4,FALSE))=0,"",VLOOKUP($B25,Database!$B$1:$IX$10144,4,FALSE)))</f>
        <v>Parashos IA</v>
      </c>
      <c r="F25" s="22">
        <f>IF($B25="","",IF(LEN(VLOOKUP($B25,Database!$B$1:$IX$10144,5,FALSE))=0,"",VLOOKUP($B25,Database!$B$1:$IX$10144,5,FALSE)))</f>
        <v>1998</v>
      </c>
      <c r="G25" s="1" t="str">
        <f>IF($B25="","",HYPERLINK(IF(LEN(VLOOKUP($B25,Database!$B$1:$IX$10144,6,FALSE))=0,"",VLOOKUP($B25,Database!$B$1:$IX$10144,6,FALSE))))</f>
        <v>http://dx.doi.org/10.1016/S0925-4927(98)00042-0</v>
      </c>
      <c r="H25" s="22">
        <f>IF($B25="","",IF(LEN(VLOOKUP($B25,Database!$B$1:$IX$10144,7,FALSE))=0,"",VLOOKUP($B25,Database!$B$1:$IX$10144,7,FALSE)))</f>
        <v>72</v>
      </c>
      <c r="I25" s="22">
        <f>IF($B25="","",IF(LEN(VLOOKUP($B25,Database!$B$1:$IX$10144,8,FALSE))=0,"",VLOOKUP($B25,Database!$B$1:$IX$10144,8,FALSE)))</f>
        <v>38</v>
      </c>
      <c r="J25" t="s">
        <v>1176</v>
      </c>
      <c r="T25" s="31">
        <v>1027.03</v>
      </c>
      <c r="U25">
        <v>102.89</v>
      </c>
      <c r="V25">
        <v>1059.8900000000001</v>
      </c>
      <c r="W25">
        <v>144.72999999999999</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55.4</v>
      </c>
      <c r="AC25" s="22">
        <f>IF(OR($B25="",AC$22=""),"",IF(LEN(VLOOKUP($B25,Database!$B$1:$IX$10144,AC$22,FALSE))=0,"",VLOOKUP($B25,Database!$B$1:$IX$10144,AC$22,FALSE)))</f>
        <v>16.8</v>
      </c>
      <c r="AD25" s="22">
        <f>IF(OR($B25="",AD$22=""),"",IF(LEN(VLOOKUP($B25,Database!$B$1:$IX$10144,AD$22,FALSE))=0,"",VLOOKUP($B25,Database!$B$1:$IX$10144,AD$22,FALSE)))</f>
        <v>55.1</v>
      </c>
      <c r="AE25" s="22">
        <f>IF(OR($B25="",AE$22=""),"",IF(LEN(VLOOKUP($B25,Database!$B$1:$IX$10144,AE$22,FALSE))=0,"",VLOOKUP($B25,Database!$B$1:$IX$10144,AE$22,FALSE)))</f>
        <v>17.100000000000001</v>
      </c>
      <c r="AF25" s="22">
        <f>IF(OR($B25="",AF$22=""),"",IF(LEN(VLOOKUP($B25,Database!$B$1:$IX$10144,AF$22,FALSE))=0,"",VLOOKUP($B25,Database!$B$1:$IX$10144,AF$22,FALSE)))</f>
        <v>45</v>
      </c>
      <c r="AG25" s="22">
        <f>IF(OR($B25="",AG$22=""),"",IF(LEN(VLOOKUP($B25,Database!$B$1:$IX$10144,AG$22,FALSE))=0,"",VLOOKUP($B25,Database!$B$1:$IX$10144,AG$22,FALSE)))</f>
        <v>22</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f>IF(OR($B25="",AK$22=""),"",IF(LEN(VLOOKUP($B25,Database!$B$1:$IX$10144,AK$22,FALSE))=0,"",VLOOKUP($B25,Database!$B$1:$IX$10144,AK$22,FALSE)))</f>
        <v>38.5</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Parashos IA, Tupler LA, Blitchington T, Krishnan KR.</v>
      </c>
      <c r="AR25" s="13"/>
      <c r="BC25" s="23"/>
      <c r="BF25" s="136"/>
      <c r="BG25" s="136"/>
      <c r="BH25" s="136"/>
      <c r="BI25" s="136"/>
    </row>
    <row r="26" spans="1:65">
      <c r="B26">
        <v>10405084</v>
      </c>
      <c r="C26" s="1" t="str">
        <f>IF($B26="","",HYPERLINK(IF(LEN(VLOOKUP($B26,Database!$B$1:$IX$10144,2,FALSE))=0,"",VLOOKUP($B26,Database!$B$1:$IX$10144,2,FALSE))))</f>
        <v/>
      </c>
      <c r="D26" s="1" t="str">
        <f t="shared" si="0"/>
        <v>http://www.ncbi.nlm.nih.gov/pubmed/10405084</v>
      </c>
      <c r="E26" s="22" t="str">
        <f>IF($B26="","",IF(LEN(VLOOKUP($B26,Database!$B$1:$IX$10144,4,FALSE))=0,"",VLOOKUP($B26,Database!$B$1:$IX$10144,4,FALSE)))</f>
        <v>Ashtari M</v>
      </c>
      <c r="F26" s="22">
        <f>IF($B26="","",IF(LEN(VLOOKUP($B26,Database!$B$1:$IX$10144,5,FALSE))=0,"",VLOOKUP($B26,Database!$B$1:$IX$10144,5,FALSE)))</f>
        <v>1999</v>
      </c>
      <c r="G26" s="1" t="str">
        <f>IF($B26="","",HYPERLINK(IF(LEN(VLOOKUP($B26,Database!$B$1:$IX$10144,6,FALSE))=0,"",VLOOKUP($B26,Database!$B$1:$IX$10144,6,FALSE))))</f>
        <v>http://dx.doi.org/10.1017/S0033291799008405</v>
      </c>
      <c r="H26" s="22">
        <f>IF($B26="","",IF(LEN(VLOOKUP($B26,Database!$B$1:$IX$10144,7,FALSE))=0,"",VLOOKUP($B26,Database!$B$1:$IX$10144,7,FALSE)))</f>
        <v>40</v>
      </c>
      <c r="I26" s="22">
        <f>IF($B26="","",IF(LEN(VLOOKUP($B26,Database!$B$1:$IX$10144,8,FALSE))=0,"",VLOOKUP($B26,Database!$B$1:$IX$10144,8,FALSE)))</f>
        <v>46</v>
      </c>
      <c r="J26" t="s">
        <v>1176</v>
      </c>
      <c r="T26" s="31">
        <v>1267</v>
      </c>
      <c r="U26">
        <v>126</v>
      </c>
      <c r="V26">
        <v>1249</v>
      </c>
      <c r="W26">
        <v>138</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74.3</v>
      </c>
      <c r="AC26" s="22">
        <f>IF(OR($B26="",AC$22=""),"",IF(LEN(VLOOKUP($B26,Database!$B$1:$IX$10144,AC$22,FALSE))=0,"",VLOOKUP($B26,Database!$B$1:$IX$10144,AC$22,FALSE)))</f>
        <v>6</v>
      </c>
      <c r="AD26" s="22">
        <f>IF(OR($B26="",AD$22=""),"",IF(LEN(VLOOKUP($B26,Database!$B$1:$IX$10144,AD$22,FALSE))=0,"",VLOOKUP($B26,Database!$B$1:$IX$10144,AD$22,FALSE)))</f>
        <v>71.400000000000006</v>
      </c>
      <c r="AE26" s="22">
        <f>IF(OR($B26="",AE$22=""),"",IF(LEN(VLOOKUP($B26,Database!$B$1:$IX$10144,AE$22,FALSE))=0,"",VLOOKUP($B26,Database!$B$1:$IX$10144,AE$22,FALSE)))</f>
        <v>0.3</v>
      </c>
      <c r="AF26" s="22">
        <f>IF(OR($B26="",AF$22=""),"",IF(LEN(VLOOKUP($B26,Database!$B$1:$IX$10144,AF$22,FALSE))=0,"",VLOOKUP($B26,Database!$B$1:$IX$10144,AF$22,FALSE)))</f>
        <v>28</v>
      </c>
      <c r="AG26" s="22">
        <f>IF(OR($B26="",AG$22=""),"",IF(LEN(VLOOKUP($B26,Database!$B$1:$IX$10144,AG$22,FALSE))=0,"",VLOOKUP($B26,Database!$B$1:$IX$10144,AG$22,FALSE)))</f>
        <v>28</v>
      </c>
      <c r="AH26" s="22">
        <f>IF(OR($B26="",AH$22=""),"",IF(LEN(VLOOKUP($B26,Database!$B$1:$IX$10144,AH$22,FALSE))=0,"",VLOOKUP($B26,Database!$B$1:$IX$10144,AH$22,FALSE)))</f>
        <v>1</v>
      </c>
      <c r="AI26" s="22">
        <f>IF(OR($B26="",AI$22=""),"",IF(LEN(VLOOKUP($B26,Database!$B$1:$IX$10144,AI$22,FALSE))=0,"",VLOOKUP($B26,Database!$B$1:$IX$10144,AI$22,FALSE)))</f>
        <v>3.1</v>
      </c>
      <c r="AJ26" s="22" t="str">
        <f>IF(OR($B26="",AJ$22=""),"",IF(LEN(VLOOKUP($B26,Database!$B$1:$IX$10144,AJ$22,FALSE))=0,"",VLOOKUP($B26,Database!$B$1:$IX$10144,AJ$22,FALSE)))</f>
        <v/>
      </c>
      <c r="AK26" s="22">
        <f>IF(OR($B26="",AK$22=""),"",IF(LEN(VLOOKUP($B26,Database!$B$1:$IX$10144,AK$22,FALSE))=0,"",VLOOKUP($B26,Database!$B$1:$IX$10144,AK$22,FALSE)))</f>
        <v>61.5</v>
      </c>
      <c r="AL26" s="22">
        <f>IF(OR($B26="",AL$22=""),"",IF(LEN(VLOOKUP($B26,Database!$B$1:$IX$10144,AL$22,FALSE))=0,"",VLOOKUP($B26,Database!$B$1:$IX$10144,AL$22,FALSE)))</f>
        <v>26.1</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Ashtari M, Greenwald BS, Kramer-Ginsberg E, Hu J, Wu H, Patel M, Aupperle P, Pollack S.</v>
      </c>
      <c r="AR26" s="13"/>
      <c r="BC26" s="23"/>
      <c r="BF26" s="136"/>
      <c r="BG26" s="136"/>
      <c r="BH26" s="136"/>
      <c r="BI26" s="136"/>
    </row>
    <row r="27" spans="1:65">
      <c r="A27" t="s">
        <v>1062</v>
      </c>
      <c r="B27">
        <v>10693154</v>
      </c>
      <c r="C27" s="1" t="str">
        <f>IF($B27="","",HYPERLINK(IF(LEN(VLOOKUP($B27,Database!$B$1:$IX$10144,2,FALSE))=0,"",VLOOKUP($B27,Database!$B$1:$IX$10144,2,FALSE))))</f>
        <v/>
      </c>
      <c r="D27" s="1" t="str">
        <f t="shared" si="0"/>
        <v>http://www.ncbi.nlm.nih.gov/pubmed/10693154</v>
      </c>
      <c r="E27" s="22" t="str">
        <f>IF($B27="","",IF(LEN(VLOOKUP($B27,Database!$B$1:$IX$10144,4,FALSE))=0,"",VLOOKUP($B27,Database!$B$1:$IX$10144,4,FALSE)))</f>
        <v>Kumar A (A)</v>
      </c>
      <c r="F27" s="22">
        <f>IF($B27="","",IF(LEN(VLOOKUP($B27,Database!$B$1:$IX$10144,5,FALSE))=0,"",VLOOKUP($B27,Database!$B$1:$IX$10144,5,FALSE)))</f>
        <v>2000</v>
      </c>
      <c r="G27" s="1" t="str">
        <f>IF($B27="","",HYPERLINK(IF(LEN(VLOOKUP($B27,Database!$B$1:$IX$10144,6,FALSE))=0,"",VLOOKUP($B27,Database!$B$1:$IX$10144,6,FALSE))))</f>
        <v>http://www.nature.com/npp/journal/v22/n3/pdf/1395448a.pdf</v>
      </c>
      <c r="H27" s="22">
        <f>IF($B27="","",IF(LEN(VLOOKUP($B27,Database!$B$1:$IX$10144,7,FALSE))=0,"",VLOOKUP($B27,Database!$B$1:$IX$10144,7,FALSE)))</f>
        <v>51</v>
      </c>
      <c r="I27" s="22">
        <f>IF($B27="","",IF(LEN(VLOOKUP($B27,Database!$B$1:$IX$10144,8,FALSE))=0,"",VLOOKUP($B27,Database!$B$1:$IX$10144,8,FALSE)))</f>
        <v>30</v>
      </c>
      <c r="J27" t="s">
        <v>1175</v>
      </c>
      <c r="T27" s="31">
        <v>942</v>
      </c>
      <c r="U27">
        <v>127.4</v>
      </c>
      <c r="V27">
        <v>1008.65</v>
      </c>
      <c r="W27">
        <v>128.69</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74.3</v>
      </c>
      <c r="AC27" s="22">
        <f>IF(OR($B27="",AC$22=""),"",IF(LEN(VLOOKUP($B27,Database!$B$1:$IX$10144,AC$22,FALSE))=0,"",VLOOKUP($B27,Database!$B$1:$IX$10144,AC$22,FALSE)))</f>
        <v>6.56</v>
      </c>
      <c r="AD27" s="22">
        <f>IF(OR($B27="",AD$22=""),"",IF(LEN(VLOOKUP($B27,Database!$B$1:$IX$10144,AD$22,FALSE))=0,"",VLOOKUP($B27,Database!$B$1:$IX$10144,AD$22,FALSE)))</f>
        <v>69.430000000000007</v>
      </c>
      <c r="AE27" s="22">
        <f>IF(OR($B27="",AE$22=""),"",IF(LEN(VLOOKUP($B27,Database!$B$1:$IX$10144,AE$22,FALSE))=0,"",VLOOKUP($B27,Database!$B$1:$IX$10144,AE$22,FALSE)))</f>
        <v>6.09</v>
      </c>
      <c r="AF27" s="22">
        <f>IF(OR($B27="",AF$22=""),"",IF(LEN(VLOOKUP($B27,Database!$B$1:$IX$10144,AF$22,FALSE))=0,"",VLOOKUP($B27,Database!$B$1:$IX$10144,AF$22,FALSE)))</f>
        <v>36</v>
      </c>
      <c r="AG27" s="22">
        <f>IF(OR($B27="",AG$22=""),"",IF(LEN(VLOOKUP($B27,Database!$B$1:$IX$10144,AG$22,FALSE))=0,"",VLOOKUP($B27,Database!$B$1:$IX$10144,AG$22,FALSE)))</f>
        <v>23</v>
      </c>
      <c r="AH27" s="22">
        <f>IF(OR($B27="",AH$22=""),"",IF(LEN(VLOOKUP($B27,Database!$B$1:$IX$10144,AH$22,FALSE))=0,"",VLOOKUP($B27,Database!$B$1:$IX$10144,AH$22,FALSE)))</f>
        <v>1.5</v>
      </c>
      <c r="AI27" s="22">
        <f>IF(OR($B27="",AI$22=""),"",IF(LEN(VLOOKUP($B27,Database!$B$1:$IX$10144,AI$22,FALSE))=0,"",VLOOKUP($B27,Database!$B$1:$IX$10144,AI$22,FALSE)))</f>
        <v>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19.8</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Kumar A, Bilker W, Jin Z, Udupa J.</v>
      </c>
      <c r="AR27" s="13"/>
      <c r="BC27" s="23"/>
      <c r="BF27" s="136"/>
      <c r="BG27" s="136"/>
      <c r="BH27" s="136"/>
      <c r="BI27" s="136"/>
    </row>
    <row r="28" spans="1:65">
      <c r="B28">
        <v>11200955</v>
      </c>
      <c r="C28" s="1" t="str">
        <f>IF($B28="","",HYPERLINK(IF(LEN(VLOOKUP($B28,Database!$B$1:$IX$10144,2,FALSE))=0,"",VLOOKUP($B28,Database!$B$1:$IX$10144,2,FALSE))))</f>
        <v/>
      </c>
      <c r="D28" s="1" t="str">
        <f t="shared" si="0"/>
        <v>http://www.ncbi.nlm.nih.gov/pubmed/11200955</v>
      </c>
      <c r="E28" s="22" t="str">
        <f>IF($B28="","",IF(LEN(VLOOKUP($B28,Database!$B$1:$IX$10144,4,FALSE))=0,"",VLOOKUP($B28,Database!$B$1:$IX$10144,4,FALSE)))</f>
        <v>McIntosh AM</v>
      </c>
      <c r="F28" s="22">
        <f>IF($B28="","",IF(LEN(VLOOKUP($B28,Database!$B$1:$IX$10144,5,FALSE))=0,"",VLOOKUP($B28,Database!$B$1:$IX$10144,5,FALSE)))</f>
        <v>2001</v>
      </c>
      <c r="G28" s="1" t="str">
        <f>IF($B28="","",HYPERLINK(IF(LEN(VLOOKUP($B28,Database!$B$1:$IX$10144,6,FALSE))=0,"",VLOOKUP($B28,Database!$B$1:$IX$10144,6,FALSE))))</f>
        <v>http://dx.doi.org/10.1017/S0033291799003177</v>
      </c>
      <c r="H28" s="22">
        <f>IF($B28="","",IF(LEN(VLOOKUP($B28,Database!$B$1:$IX$10144,7,FALSE))=0,"",VLOOKUP($B28,Database!$B$1:$IX$10144,7,FALSE)))</f>
        <v>9</v>
      </c>
      <c r="I28" s="22">
        <f>IF($B28="","",IF(LEN(VLOOKUP($B28,Database!$B$1:$IX$10144,8,FALSE))=0,"",VLOOKUP($B28,Database!$B$1:$IX$10144,8,FALSE)))</f>
        <v>29</v>
      </c>
      <c r="J28" t="s">
        <v>1178</v>
      </c>
      <c r="T28" s="31">
        <v>1267012</v>
      </c>
      <c r="U28">
        <v>68616</v>
      </c>
      <c r="V28">
        <v>1326664</v>
      </c>
      <c r="W28">
        <v>108035</v>
      </c>
      <c r="X28" s="152"/>
      <c r="Y28" s="22" t="str">
        <f>IF(OR($B28="",Y$22=""),"",IF(LEN(VLOOKUP($B28,Database!$B$1:$IX$10144,Y$22,FALSE))=0,"",VLOOKUP($B28,Database!$B$1:$IX$10144,Y$22,FALSE)))</f>
        <v>DSM-III-R</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43.56</v>
      </c>
      <c r="AC28" s="22">
        <f>IF(OR($B28="",AC$22=""),"",IF(LEN(VLOOKUP($B28,Database!$B$1:$IX$10144,AC$22,FALSE))=0,"",VLOOKUP($B28,Database!$B$1:$IX$10144,AC$22,FALSE)))</f>
        <v>9.3800000000000008</v>
      </c>
      <c r="AD28" s="22">
        <f>IF(OR($B28="",AD$22=""),"",IF(LEN(VLOOKUP($B28,Database!$B$1:$IX$10144,AD$22,FALSE))=0,"",VLOOKUP($B28,Database!$B$1:$IX$10144,AD$22,FALSE)))</f>
        <v>42.76</v>
      </c>
      <c r="AE28" s="22">
        <f>IF(OR($B28="",AE$22=""),"",IF(LEN(VLOOKUP($B28,Database!$B$1:$IX$10144,AE$22,FALSE))=0,"",VLOOKUP($B28,Database!$B$1:$IX$10144,AE$22,FALSE)))</f>
        <v>9.91</v>
      </c>
      <c r="AF28" s="22">
        <f>IF(OR($B28="",AF$22=""),"",IF(LEN(VLOOKUP($B28,Database!$B$1:$IX$10144,AF$22,FALSE))=0,"",VLOOKUP($B28,Database!$B$1:$IX$10144,AF$22,FALSE)))</f>
        <v>5</v>
      </c>
      <c r="AG28" s="22">
        <f>IF(OR($B28="",AG$22=""),"",IF(LEN(VLOOKUP($B28,Database!$B$1:$IX$10144,AG$22,FALSE))=0,"",VLOOKUP($B28,Database!$B$1:$IX$10144,AG$22,FALSE)))</f>
        <v>16</v>
      </c>
      <c r="AH28" s="22">
        <f>IF(OR($B28="",AH$22=""),"",IF(LEN(VLOOKUP($B28,Database!$B$1:$IX$10144,AH$22,FALSE))=0,"",VLOOKUP($B28,Database!$B$1:$IX$10144,AH$22,FALSE)))</f>
        <v>1</v>
      </c>
      <c r="AI28" s="22">
        <f>IF(OR($B28="",AI$22=""),"",IF(LEN(VLOOKUP($B28,Database!$B$1:$IX$10144,AI$22,FALSE))=0,"",VLOOKUP($B28,Database!$B$1:$IX$10144,AI$22,FALSE)))</f>
        <v>1.88</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A. M. McINTOSH, A. FORRESTER, S.M. LAWRIE, M. BYRNE, A. HARPER, J. N. KESTELMAN, J. J. K. BEST, P. MILLER, E. C. JOHNSTONE and D. G. C. OWENS</v>
      </c>
      <c r="AR28" s="13"/>
      <c r="BC28" s="23"/>
      <c r="BF28" s="136"/>
      <c r="BG28" s="136"/>
      <c r="BH28" s="136"/>
      <c r="BI28" s="136"/>
    </row>
    <row r="29" spans="1:65">
      <c r="A29" t="s">
        <v>2240</v>
      </c>
      <c r="B29">
        <v>11958777</v>
      </c>
      <c r="C29" s="1" t="str">
        <f>IF($B29="","",HYPERLINK(IF(LEN(VLOOKUP($B29,Database!$B$1:$IX$10144,2,FALSE))=0,"",VLOOKUP($B29,Database!$B$1:$IX$10144,2,FALSE))))</f>
        <v/>
      </c>
      <c r="D29" s="1" t="str">
        <f t="shared" si="0"/>
        <v>http://www.ncbi.nlm.nih.gov/pubmed/11958777</v>
      </c>
      <c r="E29" s="22" t="str">
        <f>IF($B29="","",IF(LEN(VLOOKUP($B29,Database!$B$1:$IX$10144,4,FALSE))=0,"",VLOOKUP($B29,Database!$B$1:$IX$10144,4,FALSE)))</f>
        <v>Bremner JD</v>
      </c>
      <c r="F29" s="22">
        <f>IF($B29="","",IF(LEN(VLOOKUP($B29,Database!$B$1:$IX$10144,5,FALSE))=0,"",VLOOKUP($B29,Database!$B$1:$IX$10144,5,FALSE)))</f>
        <v>2002</v>
      </c>
      <c r="G29" s="1" t="str">
        <f>IF($B29="","",HYPERLINK(IF(LEN(VLOOKUP($B29,Database!$B$1:$IX$10144,6,FALSE))=0,"",VLOOKUP($B29,Database!$B$1:$IX$10144,6,FALSE))))</f>
        <v>http://dx.doi.org/10.1016/S0006-3223(01)01336-1</v>
      </c>
      <c r="H29" s="22">
        <f>IF($B29="","",IF(LEN(VLOOKUP($B29,Database!$B$1:$IX$10144,7,FALSE))=0,"",VLOOKUP($B29,Database!$B$1:$IX$10144,7,FALSE)))</f>
        <v>15</v>
      </c>
      <c r="I29" s="22">
        <f>IF($B29="","",IF(LEN(VLOOKUP($B29,Database!$B$1:$IX$10144,8,FALSE))=0,"",VLOOKUP($B29,Database!$B$1:$IX$10144,8,FALSE)))</f>
        <v>20</v>
      </c>
      <c r="J29" t="s">
        <v>1178</v>
      </c>
      <c r="T29" s="31">
        <v>1266035</v>
      </c>
      <c r="U29">
        <v>144942</v>
      </c>
      <c r="V29">
        <v>1233333</v>
      </c>
      <c r="W29">
        <v>152098</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43</v>
      </c>
      <c r="AC29" s="22">
        <f>IF(OR($B29="",AC$22=""),"",IF(LEN(VLOOKUP($B29,Database!$B$1:$IX$10144,AC$22,FALSE))=0,"",VLOOKUP($B29,Database!$B$1:$IX$10144,AC$22,FALSE)))</f>
        <v>8</v>
      </c>
      <c r="AD29" s="22">
        <f>IF(OR($B29="",AD$22=""),"",IF(LEN(VLOOKUP($B29,Database!$B$1:$IX$10144,AD$22,FALSE))=0,"",VLOOKUP($B29,Database!$B$1:$IX$10144,AD$22,FALSE)))</f>
        <v>45</v>
      </c>
      <c r="AE29" s="22">
        <f>IF(OR($B29="",AE$22=""),"",IF(LEN(VLOOKUP($B29,Database!$B$1:$IX$10144,AE$22,FALSE))=0,"",VLOOKUP($B29,Database!$B$1:$IX$10144,AE$22,FALSE)))</f>
        <v>11</v>
      </c>
      <c r="AF29" s="22">
        <f>IF(OR($B29="",AF$22=""),"",IF(LEN(VLOOKUP($B29,Database!$B$1:$IX$10144,AF$22,FALSE))=0,"",VLOOKUP($B29,Database!$B$1:$IX$10144,AF$22,FALSE)))</f>
        <v>5</v>
      </c>
      <c r="AG29" s="22">
        <f>IF(OR($B29="",AG$22=""),"",IF(LEN(VLOOKUP($B29,Database!$B$1:$IX$10144,AG$22,FALSE))=0,"",VLOOKUP($B29,Database!$B$1:$IX$10144,AG$22,FALSE)))</f>
        <v>9</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100</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Bremner JD, Vythilingam M, Vermetten E, Nazeer A, Adil J, Khan S, Staib LH, Charney DS.</v>
      </c>
      <c r="AR29" s="13"/>
      <c r="BC29" s="23"/>
      <c r="BF29" s="136"/>
      <c r="BG29" s="136"/>
      <c r="BH29" s="136"/>
      <c r="BI29" s="136"/>
    </row>
    <row r="30" spans="1:65">
      <c r="B30">
        <v>11983184</v>
      </c>
      <c r="C30" s="1" t="str">
        <f>IF($B30="","",HYPERLINK(IF(LEN(VLOOKUP($B30,Database!$B$1:$IX$10144,2,FALSE))=0,"",VLOOKUP($B30,Database!$B$1:$IX$10144,2,FALSE))))</f>
        <v/>
      </c>
      <c r="D30" s="1" t="str">
        <f t="shared" si="0"/>
        <v>http://www.ncbi.nlm.nih.gov/pubmed/11983184</v>
      </c>
      <c r="E30" s="22" t="str">
        <f>IF($B30="","",IF(LEN(VLOOKUP($B30,Database!$B$1:$IX$10144,4,FALSE))=0,"",VLOOKUP($B30,Database!$B$1:$IX$10144,4,FALSE)))</f>
        <v>Frodl T (A)</v>
      </c>
      <c r="F30" s="22">
        <f>IF($B30="","",IF(LEN(VLOOKUP($B30,Database!$B$1:$IX$10144,5,FALSE))=0,"",VLOOKUP($B30,Database!$B$1:$IX$10144,5,FALSE)))</f>
        <v>2002</v>
      </c>
      <c r="G30" s="1" t="str">
        <f>IF($B30="","",HYPERLINK(IF(LEN(VLOOKUP($B30,Database!$B$1:$IX$10144,6,FALSE))=0,"",VLOOKUP($B30,Database!$B$1:$IX$10144,6,FALSE))))</f>
        <v>http://dx.doi.org/10.1016/S0006-3223(01)01359-2</v>
      </c>
      <c r="H30" s="22">
        <f>IF($B30="","",IF(LEN(VLOOKUP($B30,Database!$B$1:$IX$10144,7,FALSE))=0,"",VLOOKUP($B30,Database!$B$1:$IX$10144,7,FALSE)))</f>
        <v>30</v>
      </c>
      <c r="I30" s="22">
        <f>IF($B30="","",IF(LEN(VLOOKUP($B30,Database!$B$1:$IX$10144,8,FALSE))=0,"",VLOOKUP($B30,Database!$B$1:$IX$10144,8,FALSE)))</f>
        <v>30</v>
      </c>
      <c r="J30" t="s">
        <v>1175</v>
      </c>
      <c r="T30" s="31">
        <v>1265.9000000000001</v>
      </c>
      <c r="U30">
        <v>89</v>
      </c>
      <c r="V30">
        <v>1274.7</v>
      </c>
      <c r="W30">
        <v>132.1</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40.299999999999997</v>
      </c>
      <c r="AC30" s="22">
        <f>IF(OR($B30="",AC$22=""),"",IF(LEN(VLOOKUP($B30,Database!$B$1:$IX$10144,AC$22,FALSE))=0,"",VLOOKUP($B30,Database!$B$1:$IX$10144,AC$22,FALSE)))</f>
        <v>12.6</v>
      </c>
      <c r="AD30" s="22">
        <f>IF(OR($B30="",AD$22=""),"",IF(LEN(VLOOKUP($B30,Database!$B$1:$IX$10144,AD$22,FALSE))=0,"",VLOOKUP($B30,Database!$B$1:$IX$10144,AD$22,FALSE)))</f>
        <v>40.6</v>
      </c>
      <c r="AE30" s="22">
        <f>IF(OR($B30="",AE$22=""),"",IF(LEN(VLOOKUP($B30,Database!$B$1:$IX$10144,AE$22,FALSE))=0,"",VLOOKUP($B30,Database!$B$1:$IX$10144,AE$22,FALSE)))</f>
        <v>12.5</v>
      </c>
      <c r="AF30" s="22">
        <f>IF(OR($B30="",AF$22=""),"",IF(LEN(VLOOKUP($B30,Database!$B$1:$IX$10144,AF$22,FALSE))=0,"",VLOOKUP($B30,Database!$B$1:$IX$10144,AF$22,FALSE)))</f>
        <v>17</v>
      </c>
      <c r="AG30" s="22">
        <f>IF(OR($B30="",AG$22=""),"",IF(LEN(VLOOKUP($B30,Database!$B$1:$IX$10144,AG$22,FALSE))=0,"",VLOOKUP($B30,Database!$B$1:$IX$10144,AG$22,FALSE)))</f>
        <v>17</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40</v>
      </c>
      <c r="AL30" s="22">
        <f>IF(OR($B30="",AL$22=""),"",IF(LEN(VLOOKUP($B30,Database!$B$1:$IX$10144,AL$22,FALSE))=0,"",VLOOKUP($B30,Database!$B$1:$IX$10144,AL$22,FALSE)))</f>
        <v>24.8</v>
      </c>
      <c r="AM30" s="22">
        <f>IF(OR($B30="",AM$22=""),"",IF(LEN(VLOOKUP($B30,Database!$B$1:$IX$10144,AM$22,FALSE))=0,"",VLOOKUP($B30,Database!$B$1:$IX$10144,AM$22,FALSE)))</f>
        <v>86.666666666666671</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Frodl T, Meisenzahl E, Zetzsche T, Bottlender R, Born C, Groll C, Jager M, Leinsinger G, Hahn K, Moller HJ.</v>
      </c>
      <c r="AR30" s="13"/>
      <c r="BC30" s="23"/>
      <c r="BF30" s="136"/>
      <c r="BG30" s="136"/>
      <c r="BH30" s="136"/>
      <c r="BI30" s="136"/>
    </row>
    <row r="31" spans="1:65">
      <c r="B31">
        <v>11771978</v>
      </c>
      <c r="C31" s="1" t="str">
        <f>IF($B31="","",HYPERLINK(IF(LEN(VLOOKUP($B31,Database!$B$1:$IX$10144,2,FALSE))=0,"",VLOOKUP($B31,Database!$B$1:$IX$10144,2,FALSE))))</f>
        <v/>
      </c>
      <c r="D31" s="1" t="str">
        <f t="shared" si="0"/>
        <v>http://www.ncbi.nlm.nih.gov/pubmed/11771978</v>
      </c>
      <c r="E31" s="22" t="str">
        <f>IF($B31="","",IF(LEN(VLOOKUP($B31,Database!$B$1:$IX$10144,4,FALSE))=0,"",VLOOKUP($B31,Database!$B$1:$IX$10144,4,FALSE)))</f>
        <v>Pujol J</v>
      </c>
      <c r="F31" s="22">
        <f>IF($B31="","",IF(LEN(VLOOKUP($B31,Database!$B$1:$IX$10144,5,FALSE))=0,"",VLOOKUP($B31,Database!$B$1:$IX$10144,5,FALSE)))</f>
        <v>2002</v>
      </c>
      <c r="G31" s="1" t="str">
        <f>IF($B31="","",HYPERLINK(IF(LEN(VLOOKUP($B31,Database!$B$1:$IX$10144,6,FALSE))=0,"",VLOOKUP($B31,Database!$B$1:$IX$10144,6,FALSE))))</f>
        <v>http://dx.doi.org/10.1006/nimg.2001.0928</v>
      </c>
      <c r="H31" s="22">
        <f>IF($B31="","",IF(LEN(VLOOKUP($B31,Database!$B$1:$IX$10144,7,FALSE))=0,"",VLOOKUP($B31,Database!$B$1:$IX$10144,7,FALSE)))</f>
        <v>57</v>
      </c>
      <c r="I31" s="22">
        <f>IF($B31="","",IF(LEN(VLOOKUP($B31,Database!$B$1:$IX$10144,8,FALSE))=0,"",VLOOKUP($B31,Database!$B$1:$IX$10144,8,FALSE)))</f>
        <v>37</v>
      </c>
      <c r="J31" t="s">
        <v>336</v>
      </c>
      <c r="T31" s="31">
        <v>1157</v>
      </c>
      <c r="U31">
        <v>107</v>
      </c>
      <c r="V31">
        <v>1109</v>
      </c>
      <c r="W31">
        <v>121</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60.8</v>
      </c>
      <c r="AC31" s="22">
        <f>IF(OR($B31="",AC$22=""),"",IF(LEN(VLOOKUP($B31,Database!$B$1:$IX$10144,AC$22,FALSE))=0,"",VLOOKUP($B31,Database!$B$1:$IX$10144,AC$22,FALSE)))</f>
        <v>9.3000000000000007</v>
      </c>
      <c r="AD31" s="22">
        <f>IF(OR($B31="",AD$22=""),"",IF(LEN(VLOOKUP($B31,Database!$B$1:$IX$10144,AD$22,FALSE))=0,"",VLOOKUP($B31,Database!$B$1:$IX$10144,AD$22,FALSE)))</f>
        <v>58.6</v>
      </c>
      <c r="AE31" s="22">
        <f>IF(OR($B31="",AE$22=""),"",IF(LEN(VLOOKUP($B31,Database!$B$1:$IX$10144,AE$22,FALSE))=0,"",VLOOKUP($B31,Database!$B$1:$IX$10144,AE$22,FALSE)))</f>
        <v>7.3</v>
      </c>
      <c r="AF31" s="22">
        <f>IF(OR($B31="",AF$22=""),"",IF(LEN(VLOOKUP($B31,Database!$B$1:$IX$10144,AF$22,FALSE))=0,"",VLOOKUP($B31,Database!$B$1:$IX$10144,AF$22,FALSE)))</f>
        <v>34</v>
      </c>
      <c r="AG31" s="22">
        <f>IF(OR($B31="",AG$22=""),"",IF(LEN(VLOOKUP($B31,Database!$B$1:$IX$10144,AG$22,FALSE))=0,"",VLOOKUP($B31,Database!$B$1:$IX$10144,AG$22,FALSE)))</f>
        <v>22</v>
      </c>
      <c r="AH31" s="22">
        <f>IF(OR($B31="",AH$22=""),"",IF(LEN(VLOOKUP($B31,Database!$B$1:$IX$10144,AH$22,FALSE))=0,"",VLOOKUP($B31,Database!$B$1:$IX$10144,AH$22,FALSE)))</f>
        <v>1.5</v>
      </c>
      <c r="AI31" s="22">
        <f>IF(OR($B31="",AI$22=""),"",IF(LEN(VLOOKUP($B31,Database!$B$1:$IX$10144,AI$22,FALSE))=0,"",VLOOKUP($B31,Database!$B$1:$IX$10144,AI$22,FALSE)))</f>
        <v>2.2999999999999998</v>
      </c>
      <c r="AJ31" s="22" t="str">
        <f>IF(OR($B31="",AJ$22=""),"",IF(LEN(VLOOKUP($B31,Database!$B$1:$IX$10144,AJ$22,FALSE))=0,"",VLOOKUP($B31,Database!$B$1:$IX$10144,AJ$22,FALSE)))</f>
        <v/>
      </c>
      <c r="AK31" s="22">
        <f>IF(OR($B31="",AK$22=""),"",IF(LEN(VLOOKUP($B31,Database!$B$1:$IX$10144,AK$22,FALSE))=0,"",VLOOKUP($B31,Database!$B$1:$IX$10144,AK$22,FALSE)))</f>
        <v>50</v>
      </c>
      <c r="AL31" s="22">
        <f>IF(OR($B31="",AL$22=""),"",IF(LEN(VLOOKUP($B31,Database!$B$1:$IX$10144,AL$22,FALSE))=0,"",VLOOKUP($B31,Database!$B$1:$IX$10144,AL$22,FALSE)))</f>
        <v>28.8</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Pujol J, Cardoner N, Benlloch L, Urretavizcaya M, Deus J, Losilla JM, Capdevila A, Vallejo J.</v>
      </c>
      <c r="AR31" s="13"/>
      <c r="BC31" s="23"/>
      <c r="BF31" s="136"/>
      <c r="BG31" s="136"/>
      <c r="BH31" s="136"/>
      <c r="BI31" s="136"/>
    </row>
    <row r="32" spans="1:65">
      <c r="B32">
        <v>12242057</v>
      </c>
      <c r="C32" s="1" t="str">
        <f>IF($B32="","",HYPERLINK(IF(LEN(VLOOKUP($B32,Database!$B$1:$IX$10144,2,FALSE))=0,"",VLOOKUP($B32,Database!$B$1:$IX$10144,2,FALSE))))</f>
        <v/>
      </c>
      <c r="D32" s="1" t="str">
        <f t="shared" si="0"/>
        <v>http://www.ncbi.nlm.nih.gov/pubmed/12242057</v>
      </c>
      <c r="E32" s="22" t="str">
        <f>IF($B32="","",IF(LEN(VLOOKUP($B32,Database!$B$1:$IX$10144,4,FALSE))=0,"",VLOOKUP($B32,Database!$B$1:$IX$10144,4,FALSE)))</f>
        <v>Steingard RJ</v>
      </c>
      <c r="F32" s="22">
        <f>IF($B32="","",IF(LEN(VLOOKUP($B32,Database!$B$1:$IX$10144,5,FALSE))=0,"",VLOOKUP($B32,Database!$B$1:$IX$10144,5,FALSE)))</f>
        <v>2002</v>
      </c>
      <c r="G32" s="1" t="str">
        <f>IF($B32="","",HYPERLINK(IF(LEN(VLOOKUP($B32,Database!$B$1:$IX$10144,6,FALSE))=0,"",VLOOKUP($B32,Database!$B$1:$IX$10144,6,FALSE))))</f>
        <v>http://dx.doi.org/10.1016/S0006-3223(02)01393-8</v>
      </c>
      <c r="H32" s="22">
        <f>IF($B32="","",IF(LEN(VLOOKUP($B32,Database!$B$1:$IX$10144,7,FALSE))=0,"",VLOOKUP($B32,Database!$B$1:$IX$10144,7,FALSE)))</f>
        <v>19</v>
      </c>
      <c r="I32" s="22">
        <f>IF($B32="","",IF(LEN(VLOOKUP($B32,Database!$B$1:$IX$10144,8,FALSE))=0,"",VLOOKUP($B32,Database!$B$1:$IX$10144,8,FALSE)))</f>
        <v>38</v>
      </c>
      <c r="J32" t="s">
        <v>441</v>
      </c>
      <c r="T32" s="31">
        <v>1312</v>
      </c>
      <c r="U32">
        <v>122</v>
      </c>
      <c r="V32">
        <v>1382</v>
      </c>
      <c r="W32">
        <v>117</v>
      </c>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15.4</v>
      </c>
      <c r="AC32" s="22">
        <f>IF(OR($B32="",AC$22=""),"",IF(LEN(VLOOKUP($B32,Database!$B$1:$IX$10144,AC$22,FALSE))=0,"",VLOOKUP($B32,Database!$B$1:$IX$10144,AC$22,FALSE)))</f>
        <v>1.9</v>
      </c>
      <c r="AD32" s="22">
        <f>IF(OR($B32="",AD$22=""),"",IF(LEN(VLOOKUP($B32,Database!$B$1:$IX$10144,AD$22,FALSE))=0,"",VLOOKUP($B32,Database!$B$1:$IX$10144,AD$22,FALSE)))</f>
        <v>14.6</v>
      </c>
      <c r="AE32" s="22">
        <f>IF(OR($B32="",AE$22=""),"",IF(LEN(VLOOKUP($B32,Database!$B$1:$IX$10144,AE$22,FALSE))=0,"",VLOOKUP($B32,Database!$B$1:$IX$10144,AE$22,FALSE)))</f>
        <v>1.5</v>
      </c>
      <c r="AF32" s="22">
        <f>IF(OR($B32="",AF$22=""),"",IF(LEN(VLOOKUP($B32,Database!$B$1:$IX$10144,AF$22,FALSE))=0,"",VLOOKUP($B32,Database!$B$1:$IX$10144,AF$22,FALSE)))</f>
        <v>16</v>
      </c>
      <c r="AG32" s="22">
        <f>IF(OR($B32="",AG$22=""),"",IF(LEN(VLOOKUP($B32,Database!$B$1:$IX$10144,AG$22,FALSE))=0,"",VLOOKUP($B32,Database!$B$1:$IX$10144,AG$22,FALSE)))</f>
        <v>25</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17.3</v>
      </c>
      <c r="AM32" s="22">
        <f>IF(OR($B32="",AM$22=""),"",IF(LEN(VLOOKUP($B32,Database!$B$1:$IX$10144,AM$22,FALSE))=0,"",VLOOKUP($B32,Database!$B$1:$IX$10144,AM$22,FALSE)))</f>
        <v>0</v>
      </c>
      <c r="AN32" s="22" t="str">
        <f>IF(OR($B32="",AN$22=""),"",IF(LEN(VLOOKUP($B32,Database!$B$1:$IX$10144,AN$22,FALSE))=0,"",VLOOKUP($B32,Database!$B$1:$IX$10144,AN$22,FALSE)))</f>
        <v>ns</v>
      </c>
      <c r="AO32" s="22" t="str">
        <f>IF(OR($B32="",AO$22=""),"",IF(LEN(VLOOKUP($B32,Database!$B$1:$IX$10144,AO$22,FALSE))=0,"",VLOOKUP($B32,Database!$B$1:$IX$10144,AO$22,FALSE)))</f>
        <v>ns</v>
      </c>
      <c r="AP32" s="22">
        <f>IF(OR($B32="",AP$22=""),"",IF(LEN(VLOOKUP($B32,Database!$B$1:$IX$10144,AP$22,FALSE))=0,"",VLOOKUP($B32,Database!$B$1:$IX$10144,AP$22,FALSE)))</f>
        <v>100</v>
      </c>
      <c r="AQ32" s="22" t="str">
        <f>IF(OR($B32="",AQ$22=""),"",IF(LEN(VLOOKUP($B32,Database!$B$1:$IX$10144,AQ$22,FALSE))=0,"",VLOOKUP($B32,Database!$B$1:$IX$10144,AQ$22,FALSE)))</f>
        <v>Steingard RJ, Renshaw PF, Hennen J, Lenox M, Cintron CB, Young AD, Connor DF, Au TH, Yurgelun-Todd DA.</v>
      </c>
      <c r="AR32" s="13"/>
      <c r="BC32" s="23"/>
      <c r="BF32" s="136"/>
      <c r="BG32" s="136"/>
      <c r="BH32" s="136"/>
      <c r="BI32" s="136"/>
    </row>
    <row r="33" spans="1:61">
      <c r="B33">
        <v>12505805</v>
      </c>
      <c r="C33" s="1" t="str">
        <f>IF($B33="","",HYPERLINK(IF(LEN(VLOOKUP($B33,Database!$B$1:$IX$10144,2,FALSE))=0,"",VLOOKUP($B33,Database!$B$1:$IX$10144,2,FALSE))))</f>
        <v/>
      </c>
      <c r="D33" s="1" t="str">
        <f t="shared" ref="D33:D60" si="1">IF($B33="","",HYPERLINK(CONCATENATE("http://www.ncbi.nlm.nih.gov/pubmed/",B33)))</f>
        <v>http://www.ncbi.nlm.nih.gov/pubmed/12505805</v>
      </c>
      <c r="E33" s="22" t="str">
        <f>IF($B33="","",IF(LEN(VLOOKUP($B33,Database!$B$1:$IX$10144,4,FALSE))=0,"",VLOOKUP($B33,Database!$B$1:$IX$10144,4,FALSE)))</f>
        <v>Posener JA</v>
      </c>
      <c r="F33" s="22">
        <f>IF($B33="","",IF(LEN(VLOOKUP($B33,Database!$B$1:$IX$10144,5,FALSE))=0,"",VLOOKUP($B33,Database!$B$1:$IX$10144,5,FALSE)))</f>
        <v>2003</v>
      </c>
      <c r="G33" s="1" t="str">
        <f>IF($B33="","",HYPERLINK(IF(LEN(VLOOKUP($B33,Database!$B$1:$IX$10144,6,FALSE))=0,"",VLOOKUP($B33,Database!$B$1:$IX$10144,6,FALSE))))</f>
        <v>http://ajp.psychiatryonline.org/cgi/reprint/160/1/83</v>
      </c>
      <c r="H33" s="22">
        <f>IF($B33="","",IF(LEN(VLOOKUP($B33,Database!$B$1:$IX$10144,7,FALSE))=0,"",VLOOKUP($B33,Database!$B$1:$IX$10144,7,FALSE)))</f>
        <v>27</v>
      </c>
      <c r="I33" s="22">
        <f>IF($B33="","",IF(LEN(VLOOKUP($B33,Database!$B$1:$IX$10144,8,FALSE))=0,"",VLOOKUP($B33,Database!$B$1:$IX$10144,8,FALSE)))</f>
        <v>42</v>
      </c>
      <c r="J33" t="s">
        <v>444</v>
      </c>
      <c r="T33" s="31">
        <v>1002733</v>
      </c>
      <c r="U33">
        <v>130031</v>
      </c>
      <c r="V33">
        <v>992789</v>
      </c>
      <c r="W33">
        <v>105830</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33</v>
      </c>
      <c r="AC33" s="22">
        <f>IF(OR($B33="",AC$22=""),"",IF(LEN(VLOOKUP($B33,Database!$B$1:$IX$10144,AC$22,FALSE))=0,"",VLOOKUP($B33,Database!$B$1:$IX$10144,AC$22,FALSE)))</f>
        <v>10.7</v>
      </c>
      <c r="AD33" s="22">
        <f>IF(OR($B33="",AD$22=""),"",IF(LEN(VLOOKUP($B33,Database!$B$1:$IX$10144,AD$22,FALSE))=0,"",VLOOKUP($B33,Database!$B$1:$IX$10144,AD$22,FALSE)))</f>
        <v>33.200000000000003</v>
      </c>
      <c r="AE33" s="22">
        <f>IF(OR($B33="",AE$22=""),"",IF(LEN(VLOOKUP($B33,Database!$B$1:$IX$10144,AE$22,FALSE))=0,"",VLOOKUP($B33,Database!$B$1:$IX$10144,AE$22,FALSE)))</f>
        <v>10.8</v>
      </c>
      <c r="AF33" s="22">
        <f>IF(OR($B33="",AF$22=""),"",IF(LEN(VLOOKUP($B33,Database!$B$1:$IX$10144,AF$22,FALSE))=0,"",VLOOKUP($B33,Database!$B$1:$IX$10144,AF$22,FALSE)))</f>
        <v>15</v>
      </c>
      <c r="AG33" s="22">
        <f>IF(OR($B33="",AG$22=""),"",IF(LEN(VLOOKUP($B33,Database!$B$1:$IX$10144,AG$22,FALSE))=0,"",VLOOKUP($B33,Database!$B$1:$IX$10144,AG$22,FALSE)))</f>
        <v>23</v>
      </c>
      <c r="AH33" s="22">
        <f>IF(OR($B33="",AH$22=""),"",IF(LEN(VLOOKUP($B33,Database!$B$1:$IX$10144,AH$22,FALSE))=0,"",VLOOKUP($B33,Database!$B$1:$IX$10144,AH$22,FALSE)))</f>
        <v>1.5</v>
      </c>
      <c r="AI33" s="22">
        <f>IF(OR($B33="",AI$22=""),"",IF(LEN(VLOOKUP($B33,Database!$B$1:$IX$10144,AI$22,FALSE))=0,"",VLOOKUP($B33,Database!$B$1:$IX$10144,AI$22,FALSE)))</f>
        <v>1</v>
      </c>
      <c r="AJ33" s="22" t="str">
        <f>IF(OR($B33="",AJ$22=""),"",IF(LEN(VLOOKUP($B33,Database!$B$1:$IX$10144,AJ$22,FALSE))=0,"",VLOOKUP($B33,Database!$B$1:$IX$10144,AJ$22,FALSE)))</f>
        <v/>
      </c>
      <c r="AK33" s="22" t="str">
        <f>IF(OR($B33="",AK$22=""),"",IF(LEN(VLOOKUP($B33,Database!$B$1:$IX$10144,AK$22,FALSE))=0,"",VLOOKUP($B33,Database!$B$1:$IX$10144,AK$22,FALSE)))</f>
        <v>ns</v>
      </c>
      <c r="AL33" s="22">
        <f>IF(OR($B33="",AL$22=""),"",IF(LEN(VLOOKUP($B33,Database!$B$1:$IX$10144,AL$22,FALSE))=0,"",VLOOKUP($B33,Database!$B$1:$IX$10144,AL$22,FALSE)))</f>
        <v>27.3</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Posener JA, Wang L, Price JL, Gado MH, Province MA, Miller MI, Babb CM, Csernansky JG.</v>
      </c>
      <c r="AR33" s="13"/>
      <c r="BC33" s="23"/>
      <c r="BF33" s="136"/>
      <c r="BG33" s="136"/>
      <c r="BH33" s="136"/>
      <c r="BI33" s="136"/>
    </row>
    <row r="34" spans="1:61">
      <c r="B34">
        <v>15576058</v>
      </c>
      <c r="C34" s="1" t="str">
        <f>IF($B34="","",HYPERLINK(IF(LEN(VLOOKUP($B34,Database!$B$1:$IX$10144,2,FALSE))=0,"",VLOOKUP($B34,Database!$B$1:$IX$10144,2,FALSE))))</f>
        <v/>
      </c>
      <c r="D34" s="1" t="str">
        <f t="shared" si="1"/>
        <v>http://www.ncbi.nlm.nih.gov/pubmed/15576058</v>
      </c>
      <c r="E34" s="22" t="str">
        <f>IF($B34="","",IF(LEN(VLOOKUP($B34,Database!$B$1:$IX$10144,4,FALSE))=0,"",VLOOKUP($B34,Database!$B$1:$IX$10144,4,FALSE)))</f>
        <v>Janssen J</v>
      </c>
      <c r="F34" s="22">
        <f>IF($B34="","",IF(LEN(VLOOKUP($B34,Database!$B$1:$IX$10144,5,FALSE))=0,"",VLOOKUP($B34,Database!$B$1:$IX$10144,5,FALSE)))</f>
        <v>2004</v>
      </c>
      <c r="G34" s="1" t="str">
        <f>IF($B34="","",HYPERLINK(IF(LEN(VLOOKUP($B34,Database!$B$1:$IX$10144,6,FALSE))=0,"",VLOOKUP($B34,Database!$B$1:$IX$10144,6,FALSE))))</f>
        <v>http://dx.doi.org/10.1016/j.biopsych.2004.09.011</v>
      </c>
      <c r="H34" s="22">
        <f>IF($B34="","",IF(LEN(VLOOKUP($B34,Database!$B$1:$IX$10144,7,FALSE))=0,"",VLOOKUP($B34,Database!$B$1:$IX$10144,7,FALSE)))</f>
        <v>28</v>
      </c>
      <c r="I34" s="22">
        <f>IF($B34="","",IF(LEN(VLOOKUP($B34,Database!$B$1:$IX$10144,8,FALSE))=0,"",VLOOKUP($B34,Database!$B$1:$IX$10144,8,FALSE)))</f>
        <v>41</v>
      </c>
      <c r="J34" t="s">
        <v>1232</v>
      </c>
      <c r="T34" s="31">
        <v>980.71</v>
      </c>
      <c r="U34">
        <v>87.91</v>
      </c>
      <c r="V34">
        <v>965.01</v>
      </c>
      <c r="W34">
        <v>107.02</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64.040000000000006</v>
      </c>
      <c r="AC34" s="22">
        <f>IF(OR($B34="",AC$22=""),"",IF(LEN(VLOOKUP($B34,Database!$B$1:$IX$10144,AC$22,FALSE))=0,"",VLOOKUP($B34,Database!$B$1:$IX$10144,AC$22,FALSE)))</f>
        <v>10.9</v>
      </c>
      <c r="AD34" s="22">
        <f>IF(OR($B34="",AD$22=""),"",IF(LEN(VLOOKUP($B34,Database!$B$1:$IX$10144,AD$22,FALSE))=0,"",VLOOKUP($B34,Database!$B$1:$IX$10144,AD$22,FALSE)))</f>
        <v>62.37</v>
      </c>
      <c r="AE34" s="22">
        <f>IF(OR($B34="",AE$22=""),"",IF(LEN(VLOOKUP($B34,Database!$B$1:$IX$10144,AE$22,FALSE))=0,"",VLOOKUP($B34,Database!$B$1:$IX$10144,AE$22,FALSE)))</f>
        <v>11.38</v>
      </c>
      <c r="AF34" s="22">
        <f>IF(OR($B34="",AF$22=""),"",IF(LEN(VLOOKUP($B34,Database!$B$1:$IX$10144,AF$22,FALSE))=0,"",VLOOKUP($B34,Database!$B$1:$IX$10144,AF$22,FALSE)))</f>
        <v>28</v>
      </c>
      <c r="AG34" s="22">
        <f>IF(OR($B34="",AG$22=""),"",IF(LEN(VLOOKUP($B34,Database!$B$1:$IX$10144,AG$22,FALSE))=0,"",VLOOKUP($B34,Database!$B$1:$IX$10144,AG$22,FALSE)))</f>
        <v>41</v>
      </c>
      <c r="AH34" s="22">
        <f>IF(OR($B34="",AH$22=""),"",IF(LEN(VLOOKUP($B34,Database!$B$1:$IX$10144,AH$22,FALSE))=0,"",VLOOKUP($B34,Database!$B$1:$IX$10144,AH$22,FALSE)))</f>
        <v>1.5</v>
      </c>
      <c r="AI34" s="22">
        <f>IF(OR($B34="",AI$22=""),"",IF(LEN(VLOOKUP($B34,Database!$B$1:$IX$10144,AI$22,FALSE))=0,"",VLOOKUP($B34,Database!$B$1:$IX$10144,AI$22,FALSE)))</f>
        <v>1.2</v>
      </c>
      <c r="AJ34" s="22" t="str">
        <f>IF(OR($B34="",AJ$22=""),"",IF(LEN(VLOOKUP($B34,Database!$B$1:$IX$10144,AJ$22,FALSE))=0,"",VLOOKUP($B34,Database!$B$1:$IX$10144,AJ$22,FALSE)))</f>
        <v/>
      </c>
      <c r="AK34" s="22">
        <f>IF(OR($B34="",AK$22=""),"",IF(LEN(VLOOKUP($B34,Database!$B$1:$IX$10144,AK$22,FALSE))=0,"",VLOOKUP($B34,Database!$B$1:$IX$10144,AK$22,FALSE)))</f>
        <v>33.04</v>
      </c>
      <c r="AL34" s="22" t="str">
        <f>IF(OR($B34="",AL$22=""),"",IF(LEN(VLOOKUP($B34,Database!$B$1:$IX$10144,AL$22,FALSE))=0,"",VLOOKUP($B34,Database!$B$1:$IX$10144,AL$22,FALSE)))</f>
        <v>ns</v>
      </c>
      <c r="AM34" s="22">
        <f>IF(OR($B34="",AM$22=""),"",IF(LEN(VLOOKUP($B34,Database!$B$1:$IX$10144,AM$22,FALSE))=0,"",VLOOKUP($B34,Database!$B$1:$IX$10144,AM$22,FALSE)))</f>
        <v>60.714285714285708</v>
      </c>
      <c r="AN34" s="22">
        <f>IF(OR($B34="",AN$22=""),"",IF(LEN(VLOOKUP($B34,Database!$B$1:$IX$10144,AN$22,FALSE))=0,"",VLOOKUP($B34,Database!$B$1:$IX$10144,AN$22,FALSE)))</f>
        <v>25</v>
      </c>
      <c r="AO34" s="22">
        <f>IF(OR($B34="",AO$22=""),"",IF(LEN(VLOOKUP($B34,Database!$B$1:$IX$10144,AO$22,FALSE))=0,"",VLOOKUP($B34,Database!$B$1:$IX$10144,AO$22,FALSE)))</f>
        <v>14.285714285714285</v>
      </c>
      <c r="AP34" s="22">
        <f>IF(OR($B34="",AP$22=""),"",IF(LEN(VLOOKUP($B34,Database!$B$1:$IX$10144,AP$22,FALSE))=0,"",VLOOKUP($B34,Database!$B$1:$IX$10144,AP$22,FALSE)))</f>
        <v>21.428571428571427</v>
      </c>
      <c r="AQ34" s="22" t="str">
        <f>IF(OR($B34="",AQ$22=""),"",IF(LEN(VLOOKUP($B34,Database!$B$1:$IX$10144,AQ$22,FALSE))=0,"",VLOOKUP($B34,Database!$B$1:$IX$10144,AQ$22,FALSE)))</f>
        <v>Janssen J, Hulshoff Pol HE, Lampe IK, Schnack HG, de Leeuw FE, Kahn RS, Heeren TJ.</v>
      </c>
      <c r="AR34" s="13"/>
      <c r="BC34" s="23"/>
      <c r="BF34" s="136"/>
      <c r="BG34" s="136"/>
      <c r="BH34" s="136"/>
      <c r="BI34" s="136"/>
    </row>
    <row r="35" spans="1:61">
      <c r="B35">
        <v>15554576</v>
      </c>
      <c r="C35" s="1" t="str">
        <f>IF($B35="","",HYPERLINK(IF(LEN(VLOOKUP($B35,Database!$B$1:$IX$10144,2,FALSE))=0,"",VLOOKUP($B35,Database!$B$1:$IX$10144,2,FALSE))))</f>
        <v/>
      </c>
      <c r="D35" s="1" t="str">
        <f>IF($B35="","",HYPERLINK(CONCATENATE("http://www.ncbi.nlm.nih.gov/pubmed/",B35)))</f>
        <v>http://www.ncbi.nlm.nih.gov/pubmed/15554576</v>
      </c>
      <c r="E35" s="22" t="str">
        <f>IF($B35="","",IF(LEN(VLOOKUP($B35,Database!$B$1:$IX$10144,4,FALSE))=0,"",VLOOKUP($B35,Database!$B$1:$IX$10144,4,FALSE)))</f>
        <v>Lange C</v>
      </c>
      <c r="F35" s="22">
        <f>IF($B35="","",IF(LEN(VLOOKUP($B35,Database!$B$1:$IX$10144,5,FALSE))=0,"",VLOOKUP($B35,Database!$B$1:$IX$10144,5,FALSE)))</f>
        <v>2004</v>
      </c>
      <c r="G35" s="1" t="str">
        <f>IF($B35="","",HYPERLINK(IF(LEN(VLOOKUP($B35,Database!$B$1:$IX$10144,6,FALSE))=0,"",VLOOKUP($B35,Database!$B$1:$IX$10144,6,FALSE))))</f>
        <v>http://dx.doi.org/10.1017/S0033291703001806</v>
      </c>
      <c r="H35" s="22">
        <f>IF($B35="","",IF(LEN(VLOOKUP($B35,Database!$B$1:$IX$10144,7,FALSE))=0,"",VLOOKUP($B35,Database!$B$1:$IX$10144,7,FALSE)))</f>
        <v>17</v>
      </c>
      <c r="I35" s="22">
        <f>IF($B35="","",IF(LEN(VLOOKUP($B35,Database!$B$1:$IX$10144,8,FALSE))=0,"",VLOOKUP($B35,Database!$B$1:$IX$10144,8,FALSE)))</f>
        <v>17</v>
      </c>
      <c r="J35" t="s">
        <v>907</v>
      </c>
      <c r="T35" s="137">
        <v>1136</v>
      </c>
      <c r="U35">
        <v>97</v>
      </c>
      <c r="V35">
        <v>1132</v>
      </c>
      <c r="W35">
        <v>93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34</v>
      </c>
      <c r="AC35" s="22">
        <f>IF(OR($B35="",AC$22=""),"",IF(LEN(VLOOKUP($B35,Database!$B$1:$IX$10144,AC$22,FALSE))=0,"",VLOOKUP($B35,Database!$B$1:$IX$10144,AC$22,FALSE)))</f>
        <v>10</v>
      </c>
      <c r="AD35" s="22">
        <f>IF(OR($B35="",AD$22=""),"",IF(LEN(VLOOKUP($B35,Database!$B$1:$IX$10144,AD$22,FALSE))=0,"",VLOOKUP($B35,Database!$B$1:$IX$10144,AD$22,FALSE)))</f>
        <v>32</v>
      </c>
      <c r="AE35" s="22">
        <f>IF(OR($B35="",AE$22=""),"",IF(LEN(VLOOKUP($B35,Database!$B$1:$IX$10144,AE$22,FALSE))=0,"",VLOOKUP($B35,Database!$B$1:$IX$10144,AE$22,FALSE)))</f>
        <v>6</v>
      </c>
      <c r="AF35" s="22">
        <f>IF(OR($B35="",AF$22=""),"",IF(LEN(VLOOKUP($B35,Database!$B$1:$IX$10144,AF$22,FALSE))=0,"",VLOOKUP($B35,Database!$B$1:$IX$10144,AF$22,FALSE)))</f>
        <v>17</v>
      </c>
      <c r="AG35" s="22">
        <f>IF(OR($B35="",AG$22=""),"",IF(LEN(VLOOKUP($B35,Database!$B$1:$IX$10144,AG$22,FALSE))=0,"",VLOOKUP($B35,Database!$B$1:$IX$10144,AG$22,FALSE)))</f>
        <v>17</v>
      </c>
      <c r="AH35" s="22">
        <f>IF(OR($B35="",AH$22=""),"",IF(LEN(VLOOKUP($B35,Database!$B$1:$IX$10144,AH$22,FALSE))=0,"",VLOOKUP($B35,Database!$B$1:$IX$10144,AH$22,FALSE)))</f>
        <v>1.5</v>
      </c>
      <c r="AI35" s="22">
        <f>IF(OR($B35="",AI$22=""),"",IF(LEN(VLOOKUP($B35,Database!$B$1:$IX$10144,AI$22,FALSE))=0,"",VLOOKUP($B35,Database!$B$1:$IX$10144,AI$22,FALSE)))</f>
        <v>1.3</v>
      </c>
      <c r="AJ35" s="22" t="str">
        <f>IF(OR($B35="",AJ$22=""),"",IF(LEN(VLOOKUP($B35,Database!$B$1:$IX$10144,AJ$22,FALSE))=0,"",VLOOKUP($B35,Database!$B$1:$IX$10144,AJ$22,FALSE)))</f>
        <v/>
      </c>
      <c r="AK35" s="22">
        <f>IF(OR($B35="",AK$22=""),"",IF(LEN(VLOOKUP($B35,Database!$B$1:$IX$10144,AK$22,FALSE))=0,"",VLOOKUP($B35,Database!$B$1:$IX$10144,AK$22,FALSE)))</f>
        <v>29</v>
      </c>
      <c r="AL35" s="22">
        <f>IF(OR($B35="",AL$22=""),"",IF(LEN(VLOOKUP($B35,Database!$B$1:$IX$10144,AL$22,FALSE))=0,"",VLOOKUP($B35,Database!$B$1:$IX$10144,AL$22,FALSE)))</f>
        <v>22</v>
      </c>
      <c r="AM35" s="22">
        <f>IF(OR($B35="",AM$22=""),"",IF(LEN(VLOOKUP($B35,Database!$B$1:$IX$10144,AM$22,FALSE))=0,"",VLOOKUP($B35,Database!$B$1:$IX$10144,AM$22,FALSE)))</f>
        <v>100</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0</v>
      </c>
      <c r="AQ35" s="22" t="str">
        <f>IF(OR($B35="",AQ$22=""),"",IF(LEN(VLOOKUP($B35,Database!$B$1:$IX$10144,AQ$22,FALSE))=0,"",VLOOKUP($B35,Database!$B$1:$IX$10144,AQ$22,FALSE)))</f>
        <v>Lange, Irle</v>
      </c>
      <c r="AR35" s="13"/>
      <c r="BC35" s="23"/>
      <c r="BF35" s="136"/>
      <c r="BG35" s="136"/>
      <c r="BH35" s="136"/>
      <c r="BI35" s="136"/>
    </row>
    <row r="36" spans="1:61">
      <c r="B36">
        <v>15172942</v>
      </c>
      <c r="C36" s="1" t="str">
        <f>IF($B36="","",HYPERLINK(IF(LEN(VLOOKUP($B36,Database!$B$1:$IX$10144,2,FALSE))=0,"",VLOOKUP($B36,Database!$B$1:$IX$10144,2,FALSE))))</f>
        <v/>
      </c>
      <c r="D36" s="1" t="str">
        <f t="shared" si="1"/>
        <v>http://www.ncbi.nlm.nih.gov/pubmed/15172942</v>
      </c>
      <c r="E36" s="22" t="str">
        <f>IF($B36="","",IF(LEN(VLOOKUP($B36,Database!$B$1:$IX$10144,4,FALSE))=0,"",VLOOKUP($B36,Database!$B$1:$IX$10144,4,FALSE)))</f>
        <v>Lloyd AJ</v>
      </c>
      <c r="F36" s="22">
        <f>IF($B36="","",IF(LEN(VLOOKUP($B36,Database!$B$1:$IX$10144,5,FALSE))=0,"",VLOOKUP($B36,Database!$B$1:$IX$10144,5,FALSE)))</f>
        <v>2004</v>
      </c>
      <c r="G36" s="1" t="str">
        <f>IF($B36="","",HYPERLINK(IF(LEN(VLOOKUP($B36,Database!$B$1:$IX$10144,6,FALSE))=0,"",VLOOKUP($B36,Database!$B$1:$IX$10144,6,FALSE))))</f>
        <v>http://bjp.rcpsych.org/cgi/reprint/184/6/488</v>
      </c>
      <c r="H36" s="22">
        <f>IF($B36="","",IF(LEN(VLOOKUP($B36,Database!$B$1:$IX$10144,7,FALSE))=0,"",VLOOKUP($B36,Database!$B$1:$IX$10144,7,FALSE)))</f>
        <v>51</v>
      </c>
      <c r="I36" s="22">
        <f>IF($B36="","",IF(LEN(VLOOKUP($B36,Database!$B$1:$IX$10144,8,FALSE))=0,"",VLOOKUP($B36,Database!$B$1:$IX$10144,8,FALSE)))</f>
        <v>39</v>
      </c>
      <c r="J36" t="s">
        <v>1233</v>
      </c>
      <c r="T36" s="31">
        <v>962.7</v>
      </c>
      <c r="U36">
        <v>96.7</v>
      </c>
      <c r="V36">
        <v>968.9</v>
      </c>
      <c r="W36">
        <v>82.9</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74</v>
      </c>
      <c r="AC36" s="22">
        <f>IF(OR($B36="",AC$22=""),"",IF(LEN(VLOOKUP($B36,Database!$B$1:$IX$10144,AC$22,FALSE))=0,"",VLOOKUP($B36,Database!$B$1:$IX$10144,AC$22,FALSE)))</f>
        <v>6.3</v>
      </c>
      <c r="AD36" s="22">
        <f>IF(OR($B36="",AD$22=""),"",IF(LEN(VLOOKUP($B36,Database!$B$1:$IX$10144,AD$22,FALSE))=0,"",VLOOKUP($B36,Database!$B$1:$IX$10144,AD$22,FALSE)))</f>
        <v>73.099999999999994</v>
      </c>
      <c r="AE36" s="22">
        <f>IF(OR($B36="",AE$22=""),"",IF(LEN(VLOOKUP($B36,Database!$B$1:$IX$10144,AE$22,FALSE))=0,"",VLOOKUP($B36,Database!$B$1:$IX$10144,AE$22,FALSE)))</f>
        <v>6.7</v>
      </c>
      <c r="AF36" s="22">
        <f>IF(OR($B36="",AF$22=""),"",IF(LEN(VLOOKUP($B36,Database!$B$1:$IX$10144,AF$22,FALSE))=0,"",VLOOKUP($B36,Database!$B$1:$IX$10144,AF$22,FALSE)))</f>
        <v>41</v>
      </c>
      <c r="AG36" s="22">
        <f>IF(OR($B36="",AG$22=""),"",IF(LEN(VLOOKUP($B36,Database!$B$1:$IX$10144,AG$22,FALSE))=0,"",VLOOKUP($B36,Database!$B$1:$IX$10144,AG$22,FALSE)))</f>
        <v>29</v>
      </c>
      <c r="AH36" s="22">
        <f>IF(OR($B36="",AH$22=""),"",IF(LEN(VLOOKUP($B36,Database!$B$1:$IX$10144,AH$22,FALSE))=0,"",VLOOKUP($B36,Database!$B$1:$IX$10144,AH$22,FALSE)))</f>
        <v>1</v>
      </c>
      <c r="AI36" s="22">
        <f>IF(OR($B36="",AI$22=""),"",IF(LEN(VLOOKUP($B36,Database!$B$1:$IX$10144,AI$22,FALSE))=0,"",VLOOKUP($B36,Database!$B$1:$IX$10144,AI$22,FALSE)))</f>
        <v>1</v>
      </c>
      <c r="AJ36" s="22" t="str">
        <f>IF(OR($B36="",AJ$22=""),"",IF(LEN(VLOOKUP($B36,Database!$B$1:$IX$10144,AJ$22,FALSE))=0,"",VLOOKUP($B36,Database!$B$1:$IX$10144,AJ$22,FALSE)))</f>
        <v/>
      </c>
      <c r="AK36" s="22">
        <f>IF(OR($B36="",AK$22=""),"",IF(LEN(VLOOKUP($B36,Database!$B$1:$IX$10144,AK$22,FALSE))=0,"",VLOOKUP($B36,Database!$B$1:$IX$10144,AK$22,FALSE)))</f>
        <v>57</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Lloyd AJ, Ferrier IN, Barber R, Gholkar A, Young AH, O'Brien JT.</v>
      </c>
      <c r="AR36" s="13"/>
      <c r="BC36" s="23"/>
      <c r="BF36" s="136"/>
      <c r="BG36" s="136"/>
      <c r="BH36" s="136"/>
      <c r="BI36" s="136"/>
    </row>
    <row r="37" spans="1:61">
      <c r="B37">
        <v>15231442</v>
      </c>
      <c r="C37" s="1" t="str">
        <f>IF($B37="","",HYPERLINK(IF(LEN(VLOOKUP($B37,Database!$B$1:$IX$10144,2,FALSE))=0,"",VLOOKUP($B37,Database!$B$1:$IX$10144,2,FALSE))))</f>
        <v/>
      </c>
      <c r="D37" s="1" t="str">
        <f t="shared" si="1"/>
        <v>http://www.ncbi.nlm.nih.gov/pubmed/15231442</v>
      </c>
      <c r="E37" s="22" t="str">
        <f>IF($B37="","",IF(LEN(VLOOKUP($B37,Database!$B$1:$IX$10144,4,FALSE))=0,"",VLOOKUP($B37,Database!$B$1:$IX$10144,4,FALSE)))</f>
        <v>Vythilingam M</v>
      </c>
      <c r="F37" s="22">
        <f>IF($B37="","",IF(LEN(VLOOKUP($B37,Database!$B$1:$IX$10144,5,FALSE))=0,"",VLOOKUP($B37,Database!$B$1:$IX$10144,5,FALSE)))</f>
        <v>2004</v>
      </c>
      <c r="G37" s="1" t="str">
        <f>IF($B37="","",HYPERLINK(IF(LEN(VLOOKUP($B37,Database!$B$1:$IX$10144,6,FALSE))=0,"",VLOOKUP($B37,Database!$B$1:$IX$10144,6,FALSE))))</f>
        <v>http://dx.doi.org/10.1016/j.biopsych.2004.04.002</v>
      </c>
      <c r="H37" s="22">
        <f>IF($B37="","",IF(LEN(VLOOKUP($B37,Database!$B$1:$IX$10144,7,FALSE))=0,"",VLOOKUP($B37,Database!$B$1:$IX$10144,7,FALSE)))</f>
        <v>38</v>
      </c>
      <c r="I37" s="22">
        <f>IF($B37="","",IF(LEN(VLOOKUP($B37,Database!$B$1:$IX$10144,8,FALSE))=0,"",VLOOKUP($B37,Database!$B$1:$IX$10144,8,FALSE)))</f>
        <v>33</v>
      </c>
      <c r="J37" t="s">
        <v>1178</v>
      </c>
      <c r="T37" s="31">
        <v>1194407</v>
      </c>
      <c r="U37">
        <v>131457</v>
      </c>
      <c r="V37">
        <v>1239475</v>
      </c>
      <c r="W37">
        <v>120821</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41</v>
      </c>
      <c r="AC37" s="22">
        <f>IF(OR($B37="",AC$22=""),"",IF(LEN(VLOOKUP($B37,Database!$B$1:$IX$10144,AC$22,FALSE))=0,"",VLOOKUP($B37,Database!$B$1:$IX$10144,AC$22,FALSE)))</f>
        <v>11</v>
      </c>
      <c r="AD37" s="22">
        <f>IF(OR($B37="",AD$22=""),"",IF(LEN(VLOOKUP($B37,Database!$B$1:$IX$10144,AD$22,FALSE))=0,"",VLOOKUP($B37,Database!$B$1:$IX$10144,AD$22,FALSE)))</f>
        <v>34</v>
      </c>
      <c r="AE37" s="22">
        <f>IF(OR($B37="",AE$22=""),"",IF(LEN(VLOOKUP($B37,Database!$B$1:$IX$10144,AE$22,FALSE))=0,"",VLOOKUP($B37,Database!$B$1:$IX$10144,AE$22,FALSE)))</f>
        <v>10</v>
      </c>
      <c r="AF37" s="22">
        <f>IF(OR($B37="",AF$22=""),"",IF(LEN(VLOOKUP($B37,Database!$B$1:$IX$10144,AF$22,FALSE))=0,"",VLOOKUP($B37,Database!$B$1:$IX$10144,AF$22,FALSE)))</f>
        <v>23</v>
      </c>
      <c r="AG37" s="22">
        <f>IF(OR($B37="",AG$22=""),"",IF(LEN(VLOOKUP($B37,Database!$B$1:$IX$10144,AG$22,FALSE))=0,"",VLOOKUP($B37,Database!$B$1:$IX$10144,AG$22,FALSE)))</f>
        <v>21</v>
      </c>
      <c r="AH37" s="22">
        <f>IF(OR($B37="",AH$22=""),"",IF(LEN(VLOOKUP($B37,Database!$B$1:$IX$10144,AH$22,FALSE))=0,"",VLOOKUP($B37,Database!$B$1:$IX$10144,AH$22,FALSE)))</f>
        <v>1.5</v>
      </c>
      <c r="AI37" s="22">
        <f>IF(OR($B37="",AI$22=""),"",IF(LEN(VLOOKUP($B37,Database!$B$1:$IX$10144,AI$22,FALSE))=0,"",VLOOKUP($B37,Database!$B$1:$IX$10144,AI$22,FALSE)))</f>
        <v>1.5</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f>IF(OR($B37="",AM$22=""),"",IF(LEN(VLOOKUP($B37,Database!$B$1:$IX$10144,AM$22,FALSE))=0,"",VLOOKUP($B37,Database!$B$1:$IX$10144,AM$22,FALSE)))</f>
        <v>0</v>
      </c>
      <c r="AN37" s="22" t="str">
        <f>IF(OR($B37="",AN$22=""),"",IF(LEN(VLOOKUP($B37,Database!$B$1:$IX$10144,AN$22,FALSE))=0,"",VLOOKUP($B37,Database!$B$1:$IX$10144,AN$22,FALSE)))</f>
        <v>ns</v>
      </c>
      <c r="AO37" s="22" t="str">
        <f>IF(OR($B37="",AO$22=""),"",IF(LEN(VLOOKUP($B37,Database!$B$1:$IX$10144,AO$22,FALSE))=0,"",VLOOKUP($B37,Database!$B$1:$IX$10144,AO$22,FALSE)))</f>
        <v>ns</v>
      </c>
      <c r="AP37" s="22">
        <f>IF(OR($B37="",AP$22=""),"",IF(LEN(VLOOKUP($B37,Database!$B$1:$IX$10144,AP$22,FALSE))=0,"",VLOOKUP($B37,Database!$B$1:$IX$10144,AP$22,FALSE)))</f>
        <v>39.473684210526315</v>
      </c>
      <c r="AQ37" s="22" t="str">
        <f>IF(OR($B37="",AQ$22=""),"",IF(LEN(VLOOKUP($B37,Database!$B$1:$IX$10144,AQ$22,FALSE))=0,"",VLOOKUP($B37,Database!$B$1:$IX$10144,AQ$22,FALSE)))</f>
        <v>Vythilingam M, Vermetten E, Anderson GM, Luckenbaugh D, Anderson ER, Snow J, Staib LH, Charney DS, Bremner JD.</v>
      </c>
      <c r="AR37" s="13"/>
      <c r="BC37" s="23"/>
      <c r="BF37" s="136"/>
      <c r="BG37" s="136"/>
      <c r="BH37" s="136"/>
      <c r="BI37" s="136"/>
    </row>
    <row r="38" spans="1:61">
      <c r="B38">
        <v>16740316</v>
      </c>
      <c r="C38" s="1" t="str">
        <f>IF($B38="","",HYPERLINK(IF(LEN(VLOOKUP($B38,Database!$B$1:$IX$10144,2,FALSE))=0,"",VLOOKUP($B38,Database!$B$1:$IX$10144,2,FALSE))))</f>
        <v/>
      </c>
      <c r="D38" s="1" t="str">
        <f t="shared" si="1"/>
        <v>http://www.ncbi.nlm.nih.gov/pubmed/16740316</v>
      </c>
      <c r="E38" s="22" t="str">
        <f>IF($B38="","",IF(LEN(VLOOKUP($B38,Database!$B$1:$IX$10144,4,FALSE))=0,"",VLOOKUP($B38,Database!$B$1:$IX$10144,4,FALSE)))</f>
        <v>Weniger G</v>
      </c>
      <c r="F38" s="22">
        <f>IF($B38="","",IF(LEN(VLOOKUP($B38,Database!$B$1:$IX$10144,5,FALSE))=0,"",VLOOKUP($B38,Database!$B$1:$IX$10144,5,FALSE)))</f>
        <v>2006</v>
      </c>
      <c r="G38" s="1" t="str">
        <f>IF($B38="","",HYPERLINK(IF(LEN(VLOOKUP($B38,Database!$B$1:$IX$10144,6,FALSE))=0,"",VLOOKUP($B38,Database!$B$1:$IX$10144,6,FALSE))))</f>
        <v>http://dx.doi.org/10.1016/j.jad.2006.04.017</v>
      </c>
      <c r="H38" s="22">
        <f>IF($B38="","",IF(LEN(VLOOKUP($B38,Database!$B$1:$IX$10144,7,FALSE))=0,"",VLOOKUP($B38,Database!$B$1:$IX$10144,7,FALSE)))</f>
        <v>21</v>
      </c>
      <c r="I38" s="22">
        <f>IF($B38="","",IF(LEN(VLOOKUP($B38,Database!$B$1:$IX$10144,8,FALSE))=0,"",VLOOKUP($B38,Database!$B$1:$IX$10144,8,FALSE)))</f>
        <v>23</v>
      </c>
      <c r="J38" t="s">
        <v>1086</v>
      </c>
      <c r="T38" s="31">
        <v>1164</v>
      </c>
      <c r="U38">
        <v>110</v>
      </c>
      <c r="V38">
        <v>1125</v>
      </c>
      <c r="W38">
        <v>108</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34</v>
      </c>
      <c r="AC38" s="22">
        <f>IF(OR($B38="",AC$22=""),"",IF(LEN(VLOOKUP($B38,Database!$B$1:$IX$10144,AC$22,FALSE))=0,"",VLOOKUP($B38,Database!$B$1:$IX$10144,AC$22,FALSE)))</f>
        <v>9</v>
      </c>
      <c r="AD38" s="22">
        <f>IF(OR($B38="",AD$22=""),"",IF(LEN(VLOOKUP($B38,Database!$B$1:$IX$10144,AD$22,FALSE))=0,"",VLOOKUP($B38,Database!$B$1:$IX$10144,AD$22,FALSE)))</f>
        <v>32</v>
      </c>
      <c r="AE38" s="22">
        <f>IF(OR($B38="",AE$22=""),"",IF(LEN(VLOOKUP($B38,Database!$B$1:$IX$10144,AE$22,FALSE))=0,"",VLOOKUP($B38,Database!$B$1:$IX$10144,AE$22,FALSE)))</f>
        <v>7</v>
      </c>
      <c r="AF38" s="22">
        <f>IF(OR($B38="",AF$22=""),"",IF(LEN(VLOOKUP($B38,Database!$B$1:$IX$10144,AF$22,FALSE))=0,"",VLOOKUP($B38,Database!$B$1:$IX$10144,AF$22,FALSE)))</f>
        <v>21</v>
      </c>
      <c r="AG38" s="22">
        <f>IF(OR($B38="",AG$22=""),"",IF(LEN(VLOOKUP($B38,Database!$B$1:$IX$10144,AG$22,FALSE))=0,"",VLOOKUP($B38,Database!$B$1:$IX$10144,AG$22,FALSE)))</f>
        <v>23</v>
      </c>
      <c r="AH38" s="22">
        <f>IF(OR($B38="",AH$22=""),"",IF(LEN(VLOOKUP($B38,Database!$B$1:$IX$10144,AH$22,FALSE))=0,"",VLOOKUP($B38,Database!$B$1:$IX$10144,AH$22,FALSE)))</f>
        <v>1.5</v>
      </c>
      <c r="AI38" s="22">
        <f>IF(OR($B38="",AI$22=""),"",IF(LEN(VLOOKUP($B38,Database!$B$1:$IX$10144,AI$22,FALSE))=0,"",VLOOKUP($B38,Database!$B$1:$IX$10144,AI$22,FALSE)))</f>
        <v>1.3</v>
      </c>
      <c r="AJ38" s="22" t="str">
        <f>IF(OR($B38="",AJ$22=""),"",IF(LEN(VLOOKUP($B38,Database!$B$1:$IX$10144,AJ$22,FALSE))=0,"",VLOOKUP($B38,Database!$B$1:$IX$10144,AJ$22,FALSE)))</f>
        <v/>
      </c>
      <c r="AK38" s="22">
        <f>IF(OR($B38="",AK$22=""),"",IF(LEN(VLOOKUP($B38,Database!$B$1:$IX$10144,AK$22,FALSE))=0,"",VLOOKUP($B38,Database!$B$1:$IX$10144,AK$22,FALSE)))</f>
        <v>28</v>
      </c>
      <c r="AL38" s="22">
        <f>IF(OR($B38="",AL$22=""),"",IF(LEN(VLOOKUP($B38,Database!$B$1:$IX$10144,AL$22,FALSE))=0,"",VLOOKUP($B38,Database!$B$1:$IX$10144,AL$22,FALSE)))</f>
        <v>23</v>
      </c>
      <c r="AM38" s="22">
        <f>IF(OR($B38="",AM$22=""),"",IF(LEN(VLOOKUP($B38,Database!$B$1:$IX$10144,AM$22,FALSE))=0,"",VLOOKUP($B38,Database!$B$1:$IX$10144,AM$22,FALSE)))</f>
        <v>100</v>
      </c>
      <c r="AN38" s="22" t="str">
        <f>IF(OR($B38="",AN$22=""),"",IF(LEN(VLOOKUP($B38,Database!$B$1:$IX$10144,AN$22,FALSE))=0,"",VLOOKUP($B38,Database!$B$1:$IX$10144,AN$22,FALSE)))</f>
        <v>ns</v>
      </c>
      <c r="AO38" s="22" t="str">
        <f>IF(OR($B38="",AO$22=""),"",IF(LEN(VLOOKUP($B38,Database!$B$1:$IX$10144,AO$22,FALSE))=0,"",VLOOKUP($B38,Database!$B$1:$IX$10144,AO$22,FALSE)))</f>
        <v>ns</v>
      </c>
      <c r="AP38" s="22">
        <f>IF(OR($B38="",AP$22=""),"",IF(LEN(VLOOKUP($B38,Database!$B$1:$IX$10144,AP$22,FALSE))=0,"",VLOOKUP($B38,Database!$B$1:$IX$10144,AP$22,FALSE)))</f>
        <v>0</v>
      </c>
      <c r="AQ38" s="22" t="str">
        <f>IF(OR($B38="",AQ$22=""),"",IF(LEN(VLOOKUP($B38,Database!$B$1:$IX$10144,AQ$22,FALSE))=0,"",VLOOKUP($B38,Database!$B$1:$IX$10144,AQ$22,FALSE)))</f>
        <v>Weniger G, Lange C, Irle E.</v>
      </c>
      <c r="AR38" s="13"/>
      <c r="BC38" s="23"/>
      <c r="BF38" s="136"/>
      <c r="BG38" s="136"/>
      <c r="BH38" s="136"/>
      <c r="BI38" s="136"/>
    </row>
    <row r="39" spans="1:61">
      <c r="A39" t="s">
        <v>415</v>
      </c>
      <c r="B39">
        <v>16461856</v>
      </c>
      <c r="C39" s="1" t="str">
        <f>IF($B39="","",HYPERLINK(IF(LEN(VLOOKUP($B39,Database!$B$1:$IX$10144,2,FALSE))=0,"",VLOOKUP($B39,Database!$B$1:$IX$10144,2,FALSE))))</f>
        <v/>
      </c>
      <c r="D39" s="1" t="str">
        <f>IF($B39="","",HYPERLINK(CONCATENATE("http://www.ncbi.nlm.nih.gov/pubmed/",B39)))</f>
        <v>http://www.ncbi.nlm.nih.gov/pubmed/16461856</v>
      </c>
      <c r="E39" s="22" t="str">
        <f>IF($B39="","",IF(LEN(VLOOKUP($B39,Database!$B$1:$IX$10144,4,FALSE))=0,"",VLOOKUP($B39,Database!$B$1:$IX$10144,4,FALSE)))</f>
        <v>Velakoulis D</v>
      </c>
      <c r="F39" s="22">
        <f>IF($B39="","",IF(LEN(VLOOKUP($B39,Database!$B$1:$IX$10144,5,FALSE))=0,"",VLOOKUP($B39,Database!$B$1:$IX$10144,5,FALSE)))</f>
        <v>2006</v>
      </c>
      <c r="G39" s="1" t="str">
        <f>IF($B39="","",HYPERLINK(IF(LEN(VLOOKUP($B39,Database!$B$1:$IX$10144,6,FALSE))=0,"",VLOOKUP($B39,Database!$B$1:$IX$10144,6,FALSE))))</f>
        <v>http://archpsyc.ama-assn.org/cgi/content/full/63/2/139</v>
      </c>
      <c r="H39" s="22">
        <f>IF($B39="","",IF(LEN(VLOOKUP($B39,Database!$B$1:$IX$10144,7,FALSE))=0,"",VLOOKUP($B39,Database!$B$1:$IX$10144,7,FALSE)))</f>
        <v>12</v>
      </c>
      <c r="I39" s="22">
        <f>IF($B39="","",IF(LEN(VLOOKUP($B39,Database!$B$1:$IX$10144,8,FALSE))=0,"",VLOOKUP($B39,Database!$B$1:$IX$10144,8,FALSE)))</f>
        <v>87</v>
      </c>
      <c r="J39" t="s">
        <v>1178</v>
      </c>
      <c r="T39" s="137">
        <v>1270088</v>
      </c>
      <c r="U39">
        <v>92578</v>
      </c>
      <c r="V39">
        <v>1360533</v>
      </c>
      <c r="W39">
        <v>139845</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22.6</v>
      </c>
      <c r="AC39" s="22">
        <f>IF(OR($B39="",AC$22=""),"",IF(LEN(VLOOKUP($B39,Database!$B$1:$IX$10144,AC$22,FALSE))=0,"",VLOOKUP($B39,Database!$B$1:$IX$10144,AC$22,FALSE)))</f>
        <v>4.0999999999999996</v>
      </c>
      <c r="AD39" s="22">
        <f>IF(OR($B39="",AD$22=""),"",IF(LEN(VLOOKUP($B39,Database!$B$1:$IX$10144,AD$22,FALSE))=0,"",VLOOKUP($B39,Database!$B$1:$IX$10144,AD$22,FALSE)))</f>
        <v>26.9</v>
      </c>
      <c r="AE39" s="22">
        <f>IF(OR($B39="",AE$22=""),"",IF(LEN(VLOOKUP($B39,Database!$B$1:$IX$10144,AE$22,FALSE))=0,"",VLOOKUP($B39,Database!$B$1:$IX$10144,AE$22,FALSE)))</f>
        <v>10</v>
      </c>
      <c r="AF39" s="22">
        <f>IF(OR($B39="",AF$22=""),"",IF(LEN(VLOOKUP($B39,Database!$B$1:$IX$10144,AF$22,FALSE))=0,"",VLOOKUP($B39,Database!$B$1:$IX$10144,AF$22,FALSE)))</f>
        <v>5</v>
      </c>
      <c r="AG39" s="22">
        <f>IF(OR($B39="",AG$22=""),"",IF(LEN(VLOOKUP($B39,Database!$B$1:$IX$10144,AG$22,FALSE))=0,"",VLOOKUP($B39,Database!$B$1:$IX$10144,AG$22,FALSE)))</f>
        <v>32</v>
      </c>
      <c r="AH39" s="22">
        <f>IF(OR($B39="",AH$22=""),"",IF(LEN(VLOOKUP($B39,Database!$B$1:$IX$10144,AH$22,FALSE))=0,"",VLOOKUP($B39,Database!$B$1:$IX$10144,AH$22,FALSE)))</f>
        <v>1.5</v>
      </c>
      <c r="AI39" s="22">
        <f>IF(OR($B39="",AI$22=""),"",IF(LEN(VLOOKUP($B39,Database!$B$1:$IX$10144,AI$22,FALSE))=0,"",VLOOKUP($B39,Database!$B$1:$IX$10144,AI$22,FALSE)))</f>
        <v>1.5</v>
      </c>
      <c r="AJ39" s="22" t="str">
        <f>IF(OR($B39="",AJ$22=""),"",IF(LEN(VLOOKUP($B39,Database!$B$1:$IX$10144,AJ$22,FALSE))=0,"",VLOOKUP($B39,Database!$B$1:$IX$10144,AJ$22,FALSE)))</f>
        <v/>
      </c>
      <c r="AK39" s="22">
        <f>IF(OR($B39="",AK$22=""),"",IF(LEN(VLOOKUP($B39,Database!$B$1:$IX$10144,AK$22,FALSE))=0,"",VLOOKUP($B39,Database!$B$1:$IX$10144,AK$22,FALSE)))</f>
        <v>21.5</v>
      </c>
      <c r="AL39" s="22" t="str">
        <f>IF(OR($B39="",AL$22=""),"",IF(LEN(VLOOKUP($B39,Database!$B$1:$IX$10144,AL$22,FALSE))=0,"",VLOOKUP($B39,Database!$B$1:$IX$10144,AL$22,FALSE)))</f>
        <v>ns</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Velakoulis D, Wood SJ, Wong MT, McGorry PD, Yung A, Phillips L, Smith D, Brewer W, Proffitt T, Desmond P, Pantelis C.</v>
      </c>
      <c r="AR39" s="13"/>
      <c r="BC39" s="23"/>
      <c r="BF39" s="136"/>
      <c r="BG39" s="136"/>
      <c r="BH39" s="136"/>
      <c r="BI39" s="136"/>
    </row>
    <row r="40" spans="1:61">
      <c r="A40" s="13" t="s">
        <v>2334</v>
      </c>
      <c r="B40">
        <v>17949901</v>
      </c>
      <c r="C40" s="1" t="str">
        <f>IF($B40="","",HYPERLINK(IF(LEN(VLOOKUP($B40,Database!$B$1:$IX$10144,2,FALSE))=0,"",VLOOKUP($B40,Database!$B$1:$IX$10144,2,FALSE))))</f>
        <v/>
      </c>
      <c r="D40" s="1" t="str">
        <f t="shared" si="1"/>
        <v>http://www.ncbi.nlm.nih.gov/pubmed/17949901</v>
      </c>
      <c r="E40" s="22" t="str">
        <f>IF($B40="","",IF(LEN(VLOOKUP($B40,Database!$B$1:$IX$10144,4,FALSE))=0,"",VLOOKUP($B40,Database!$B$1:$IX$10144,4,FALSE)))</f>
        <v>Caetano SC</v>
      </c>
      <c r="F40" s="22">
        <f>IF($B40="","",IF(LEN(VLOOKUP($B40,Database!$B$1:$IX$10144,5,FALSE))=0,"",VLOOKUP($B40,Database!$B$1:$IX$10144,5,FALSE)))</f>
        <v>2007</v>
      </c>
      <c r="G40" s="1" t="str">
        <f>IF($B40="","",HYPERLINK(IF(LEN(VLOOKUP($B40,Database!$B$1:$IX$10144,6,FALSE))=0,"",VLOOKUP($B40,Database!$B$1:$IX$10144,6,FALSE))))</f>
        <v>http://dx.doi.org/10.1016/j.neulet.2007.06.014</v>
      </c>
      <c r="H40" s="22">
        <f>IF($B40="","",IF(LEN(VLOOKUP($B40,Database!$B$1:$IX$10144,7,FALSE))=0,"",VLOOKUP($B40,Database!$B$1:$IX$10144,7,FALSE)))</f>
        <v>19</v>
      </c>
      <c r="I40" s="22">
        <f>IF($B40="","",IF(LEN(VLOOKUP($B40,Database!$B$1:$IX$10144,8,FALSE))=0,"",VLOOKUP($B40,Database!$B$1:$IX$10144,8,FALSE)))</f>
        <v>24</v>
      </c>
      <c r="J40" t="s">
        <v>1175</v>
      </c>
      <c r="K40" s="10"/>
      <c r="T40" s="31">
        <v>1282</v>
      </c>
      <c r="U40">
        <v>125.87</v>
      </c>
      <c r="V40">
        <v>1248.51</v>
      </c>
      <c r="W40">
        <v>124.82</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13</v>
      </c>
      <c r="AC40" s="22">
        <f>IF(OR($B40="",AC$22=""),"",IF(LEN(VLOOKUP($B40,Database!$B$1:$IX$10144,AC$22,FALSE))=0,"",VLOOKUP($B40,Database!$B$1:$IX$10144,AC$22,FALSE)))</f>
        <v>2.4</v>
      </c>
      <c r="AD40" s="22">
        <f>IF(OR($B40="",AD$22=""),"",IF(LEN(VLOOKUP($B40,Database!$B$1:$IX$10144,AD$22,FALSE))=0,"",VLOOKUP($B40,Database!$B$1:$IX$10144,AD$22,FALSE)))</f>
        <v>13.9</v>
      </c>
      <c r="AE40" s="22">
        <f>IF(OR($B40="",AE$22=""),"",IF(LEN(VLOOKUP($B40,Database!$B$1:$IX$10144,AE$22,FALSE))=0,"",VLOOKUP($B40,Database!$B$1:$IX$10144,AE$22,FALSE)))</f>
        <v>2.9</v>
      </c>
      <c r="AF40" s="22">
        <f>IF(OR($B40="",AF$22=""),"",IF(LEN(VLOOKUP($B40,Database!$B$1:$IX$10144,AF$22,FALSE))=0,"",VLOOKUP($B40,Database!$B$1:$IX$10144,AF$22,FALSE)))</f>
        <v>6</v>
      </c>
      <c r="AG40" s="22">
        <f>IF(OR($B40="",AG$22=""),"",IF(LEN(VLOOKUP($B40,Database!$B$1:$IX$10144,AG$22,FALSE))=0,"",VLOOKUP($B40,Database!$B$1:$IX$10144,AG$22,FALSE)))</f>
        <v>11</v>
      </c>
      <c r="AH40" s="22">
        <f>IF(OR($B40="",AH$22=""),"",IF(LEN(VLOOKUP($B40,Database!$B$1:$IX$10144,AH$22,FALSE))=0,"",VLOOKUP($B40,Database!$B$1:$IX$10144,AH$22,FALSE)))</f>
        <v>1.5</v>
      </c>
      <c r="AI40" s="22">
        <f>IF(OR($B40="",AI$22=""),"",IF(LEN(VLOOKUP($B40,Database!$B$1:$IX$10144,AI$22,FALSE))=0,"",VLOOKUP($B40,Database!$B$1:$IX$10144,AI$22,FALSE)))</f>
        <v>1</v>
      </c>
      <c r="AJ40" s="22" t="str">
        <f>IF(OR($B40="",AJ$22=""),"",IF(LEN(VLOOKUP($B40,Database!$B$1:$IX$10144,AJ$22,FALSE))=0,"",VLOOKUP($B40,Database!$B$1:$IX$10144,AJ$22,FALSE)))</f>
        <v/>
      </c>
      <c r="AK40" s="22">
        <f>IF(OR($B40="",AK$22=""),"",IF(LEN(VLOOKUP($B40,Database!$B$1:$IX$10144,AK$22,FALSE))=0,"",VLOOKUP($B40,Database!$B$1:$IX$10144,AK$22,FALSE)))</f>
        <v>10.3</v>
      </c>
      <c r="AL40" s="22" t="str">
        <f>IF(OR($B40="",AL$22=""),"",IF(LEN(VLOOKUP($B40,Database!$B$1:$IX$10144,AL$22,FALSE))=0,"",VLOOKUP($B40,Database!$B$1:$IX$10144,AL$22,FALSE)))</f>
        <v>ns</v>
      </c>
      <c r="AM40" s="22">
        <f>IF(OR($B40="",AM$22=""),"",IF(LEN(VLOOKUP($B40,Database!$B$1:$IX$10144,AM$22,FALSE))=0,"",VLOOKUP($B40,Database!$B$1:$IX$10144,AM$22,FALSE)))</f>
        <v>47.368421052631575</v>
      </c>
      <c r="AN40" s="22" t="str">
        <f>IF(OR($B40="",AN$22=""),"",IF(LEN(VLOOKUP($B40,Database!$B$1:$IX$10144,AN$22,FALSE))=0,"",VLOOKUP($B40,Database!$B$1:$IX$10144,AN$22,FALSE)))</f>
        <v>ns</v>
      </c>
      <c r="AO40" s="22" t="str">
        <f>IF(OR($B40="",AO$22=""),"",IF(LEN(VLOOKUP($B40,Database!$B$1:$IX$10144,AO$22,FALSE))=0,"",VLOOKUP($B40,Database!$B$1:$IX$10144,AO$22,FALSE)))</f>
        <v>ns</v>
      </c>
      <c r="AP40" s="22">
        <f>IF(OR($B40="",AP$22=""),"",IF(LEN(VLOOKUP($B40,Database!$B$1:$IX$10144,AP$22,FALSE))=0,"",VLOOKUP($B40,Database!$B$1:$IX$10144,AP$22,FALSE)))</f>
        <v>52.631578947368418</v>
      </c>
      <c r="AQ40" s="22" t="str">
        <f>IF(OR($B40="",AQ$22=""),"",IF(LEN(VLOOKUP($B40,Database!$B$1:$IX$10144,AQ$22,FALSE))=0,"",VLOOKUP($B40,Database!$B$1:$IX$10144,AQ$22,FALSE)))</f>
        <v>Caetano SC, Fonseca M, Hatch JP, Olvera RL, Nicoletti M, Hunter K, Lafer B, Pliszka SR, Soares JC.</v>
      </c>
      <c r="AR40" s="13"/>
      <c r="BC40" s="23"/>
      <c r="BF40" s="136"/>
      <c r="BG40" s="136"/>
      <c r="BH40" s="136"/>
      <c r="BI40" s="136"/>
    </row>
    <row r="41" spans="1:61">
      <c r="A41" t="s">
        <v>713</v>
      </c>
      <c r="B41">
        <v>17604352</v>
      </c>
      <c r="C41" s="1" t="str">
        <f>IF($B41="","",HYPERLINK(IF(LEN(VLOOKUP($B41,Database!$B$1:$IX$10144,2,FALSE))=0,"",VLOOKUP($B41,Database!$B$1:$IX$10144,2,FALSE))))</f>
        <v/>
      </c>
      <c r="D41" s="1" t="str">
        <f t="shared" si="1"/>
        <v>http://www.ncbi.nlm.nih.gov/pubmed/17604352</v>
      </c>
      <c r="E41" s="22" t="str">
        <f>IF($B41="","",IF(LEN(VLOOKUP($B41,Database!$B$1:$IX$10144,4,FALSE))=0,"",VLOOKUP($B41,Database!$B$1:$IX$10144,4,FALSE)))</f>
        <v>Maller JJ</v>
      </c>
      <c r="F41" s="22">
        <f>IF($B41="","",IF(LEN(VLOOKUP($B41,Database!$B$1:$IX$10144,5,FALSE))=0,"",VLOOKUP($B41,Database!$B$1:$IX$10144,5,FALSE)))</f>
        <v>2007</v>
      </c>
      <c r="G41" s="1" t="str">
        <f>IF($B41="","",HYPERLINK(IF(LEN(VLOOKUP($B41,Database!$B$1:$IX$10144,6,FALSE))=0,"",VLOOKUP($B41,Database!$B$1:$IX$10144,6,FALSE))))</f>
        <v>http://dx.doi.org/10.1002/hipo.20339</v>
      </c>
      <c r="H41" s="83">
        <v>22</v>
      </c>
      <c r="I41" s="83">
        <v>13</v>
      </c>
      <c r="J41" t="s">
        <v>511</v>
      </c>
      <c r="K41" t="s">
        <v>1367</v>
      </c>
      <c r="T41" s="31">
        <v>1.2569999999999999</v>
      </c>
      <c r="U41" s="13">
        <v>8.5800000000000001E-2</v>
      </c>
      <c r="V41">
        <v>1.2270000000000001</v>
      </c>
      <c r="W41" s="13">
        <v>0.12939999999999999</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83">
        <v>37.29</v>
      </c>
      <c r="AC41" s="83">
        <v>8.76</v>
      </c>
      <c r="AD41" s="83">
        <v>39.29</v>
      </c>
      <c r="AE41" s="83">
        <v>12.67</v>
      </c>
      <c r="AF41" s="83">
        <v>0</v>
      </c>
      <c r="AG41" s="83">
        <v>0</v>
      </c>
      <c r="AH41" s="22">
        <f>IF(OR($B41="",AH$22=""),"",IF(LEN(VLOOKUP($B41,Database!$B$1:$IX$10144,AH$22,FALSE))=0,"",VLOOKUP($B41,Database!$B$1:$IX$10144,AH$22,FALSE)))</f>
        <v>1.5</v>
      </c>
      <c r="AI41" s="22">
        <f>IF(OR($B41="",AI$22=""),"",IF(LEN(VLOOKUP($B41,Database!$B$1:$IX$10144,AI$22,FALSE))=0,"",VLOOKUP($B41,Database!$B$1:$IX$10144,AI$22,FALSE)))</f>
        <v>0.94</v>
      </c>
      <c r="AJ41" s="22" t="str">
        <f>IF(OR($B41="",AJ$22=""),"",IF(LEN(VLOOKUP($B41,Database!$B$1:$IX$10144,AJ$22,FALSE))=0,"",VLOOKUP($B41,Database!$B$1:$IX$10144,AJ$22,FALSE)))</f>
        <v/>
      </c>
      <c r="AK41" s="22" t="str">
        <f>IF(OR($B41="",AK$22=""),"",IF(LEN(VLOOKUP($B41,Database!$B$1:$IX$10144,AK$22,FALSE))=0,"",VLOOKUP($B41,Database!$B$1:$IX$10144,AK$22,FALSE)))</f>
        <v>ns</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Maller JJ, Daskalakis ZJ, Fitzgerald PB.</v>
      </c>
      <c r="AR41" s="13"/>
      <c r="AU41" s="13"/>
      <c r="BC41" s="23"/>
      <c r="BF41" s="136"/>
      <c r="BG41" s="136"/>
      <c r="BH41" s="136"/>
      <c r="BI41" s="136"/>
    </row>
    <row r="42" spans="1:61">
      <c r="A42" t="s">
        <v>713</v>
      </c>
      <c r="B42">
        <v>17604352</v>
      </c>
      <c r="C42" s="1" t="str">
        <f>IF($B42="","",HYPERLINK(IF(LEN(VLOOKUP($B42,Database!$B$1:$IX$10144,2,FALSE))=0,"",VLOOKUP($B42,Database!$B$1:$IX$10144,2,FALSE))))</f>
        <v/>
      </c>
      <c r="D42" s="1" t="str">
        <f t="shared" si="1"/>
        <v>http://www.ncbi.nlm.nih.gov/pubmed/17604352</v>
      </c>
      <c r="E42" s="22" t="str">
        <f>IF($B42="","",IF(LEN(VLOOKUP($B42,Database!$B$1:$IX$10144,4,FALSE))=0,"",VLOOKUP($B42,Database!$B$1:$IX$10144,4,FALSE)))</f>
        <v>Maller JJ</v>
      </c>
      <c r="F42" s="22">
        <f>IF($B42="","",IF(LEN(VLOOKUP($B42,Database!$B$1:$IX$10144,5,FALSE))=0,"",VLOOKUP($B42,Database!$B$1:$IX$10144,5,FALSE)))</f>
        <v>2007</v>
      </c>
      <c r="G42" s="1" t="str">
        <f>IF($B42="","",HYPERLINK(IF(LEN(VLOOKUP($B42,Database!$B$1:$IX$10144,6,FALSE))=0,"",VLOOKUP($B42,Database!$B$1:$IX$10144,6,FALSE))))</f>
        <v>http://dx.doi.org/10.1002/hipo.20339</v>
      </c>
      <c r="H42" s="83">
        <v>23</v>
      </c>
      <c r="I42" s="83">
        <v>17</v>
      </c>
      <c r="J42" t="s">
        <v>511</v>
      </c>
      <c r="K42" t="s">
        <v>1368</v>
      </c>
      <c r="T42" s="31">
        <v>1.1299999999999999</v>
      </c>
      <c r="U42" s="13">
        <v>9.8100000000000007E-2</v>
      </c>
      <c r="V42">
        <v>1.1919999999999999</v>
      </c>
      <c r="W42" s="13">
        <v>9.6699999999999994E-2</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83">
        <v>37.47</v>
      </c>
      <c r="AC42" s="83">
        <v>12.96</v>
      </c>
      <c r="AD42" s="83">
        <v>35.67</v>
      </c>
      <c r="AE42" s="83">
        <v>11.03</v>
      </c>
      <c r="AF42" s="83">
        <f>IF(OR($B42="",AF$22=""),"",IF(LEN(VLOOKUP($B42,Database!$B$1:$IX$10144,AF$22,FALSE))=0,"",VLOOKUP($B42,Database!$B$1:$IX$10144,AF$22,FALSE)))</f>
        <v>23</v>
      </c>
      <c r="AG42" s="83">
        <f>IF(OR($B42="",AG$22=""),"",IF(LEN(VLOOKUP($B42,Database!$B$1:$IX$10144,AG$22,FALSE))=0,"",VLOOKUP($B42,Database!$B$1:$IX$10144,AG$22,FALSE)))</f>
        <v>17</v>
      </c>
      <c r="AH42" s="22">
        <f>IF(OR($B42="",AH$22=""),"",IF(LEN(VLOOKUP($B42,Database!$B$1:$IX$10144,AH$22,FALSE))=0,"",VLOOKUP($B42,Database!$B$1:$IX$10144,AH$22,FALSE)))</f>
        <v>1.5</v>
      </c>
      <c r="AI42" s="22">
        <f>IF(OR($B42="",AI$22=""),"",IF(LEN(VLOOKUP($B42,Database!$B$1:$IX$10144,AI$22,FALSE))=0,"",VLOOKUP($B42,Database!$B$1:$IX$10144,AI$22,FALSE)))</f>
        <v>0.94</v>
      </c>
      <c r="AJ42" s="22" t="str">
        <f>IF(OR($B42="",AJ$22=""),"",IF(LEN(VLOOKUP($B42,Database!$B$1:$IX$10144,AJ$22,FALSE))=0,"",VLOOKUP($B42,Database!$B$1:$IX$10144,AJ$22,FALSE)))</f>
        <v/>
      </c>
      <c r="AK42" s="22" t="str">
        <f>IF(OR($B42="",AK$22=""),"",IF(LEN(VLOOKUP($B42,Database!$B$1:$IX$10144,AK$22,FALSE))=0,"",VLOOKUP($B42,Database!$B$1:$IX$10144,AK$22,FALSE)))</f>
        <v>ns</v>
      </c>
      <c r="AL42" s="22" t="str">
        <f>IF(OR($B42="",AL$22=""),"",IF(LEN(VLOOKUP($B42,Database!$B$1:$IX$10144,AL$22,FALSE))=0,"",VLOOKUP($B42,Database!$B$1:$IX$10144,AL$22,FALSE)))</f>
        <v>ns</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Maller JJ, Daskalakis ZJ, Fitzgerald PB.</v>
      </c>
      <c r="AR42" s="13"/>
      <c r="AU42" s="13"/>
      <c r="BC42" s="23"/>
      <c r="BF42" s="136"/>
      <c r="BG42" s="136"/>
      <c r="BH42" s="136"/>
      <c r="BI42" s="136"/>
    </row>
    <row r="43" spans="1:61">
      <c r="B43">
        <v>17335636</v>
      </c>
      <c r="C43" s="1" t="str">
        <f>IF($B43="","",HYPERLINK(IF(LEN(VLOOKUP($B43,Database!$B$1:$IX$10144,2,FALSE))=0,"",VLOOKUP($B43,Database!$B$1:$IX$10144,2,FALSE))))</f>
        <v/>
      </c>
      <c r="D43" s="1" t="str">
        <f t="shared" si="1"/>
        <v>http://www.ncbi.nlm.nih.gov/pubmed/17335636</v>
      </c>
      <c r="E43" s="22" t="str">
        <f>IF($B43="","",IF(LEN(VLOOKUP($B43,Database!$B$1:$IX$10144,4,FALSE))=0,"",VLOOKUP($B43,Database!$B$1:$IX$10144,4,FALSE)))</f>
        <v>Taylor WD</v>
      </c>
      <c r="F43" s="22">
        <f>IF($B43="","",IF(LEN(VLOOKUP($B43,Database!$B$1:$IX$10144,5,FALSE))=0,"",VLOOKUP($B43,Database!$B$1:$IX$10144,5,FALSE)))</f>
        <v>2007</v>
      </c>
      <c r="G43" s="1" t="str">
        <f>IF($B43="","",HYPERLINK(IF(LEN(VLOOKUP($B43,Database!$B$1:$IX$10144,6,FALSE))=0,"",VLOOKUP($B43,Database!$B$1:$IX$10144,6,FALSE))))</f>
        <v>http://dx.doi.org/10.1017/S0033291707000128</v>
      </c>
      <c r="H43" s="22">
        <f>IF($B43="","",IF(LEN(VLOOKUP($B43,Database!$B$1:$IX$10144,7,FALSE))=0,"",VLOOKUP($B43,Database!$B$1:$IX$10144,7,FALSE)))</f>
        <v>226</v>
      </c>
      <c r="I43" s="22">
        <f>IF($B43="","",IF(LEN(VLOOKUP($B43,Database!$B$1:$IX$10144,8,FALSE))=0,"",VLOOKUP($B43,Database!$B$1:$IX$10144,8,FALSE)))</f>
        <v>144</v>
      </c>
      <c r="J43" t="s">
        <v>707</v>
      </c>
      <c r="T43" s="31">
        <v>1149.2</v>
      </c>
      <c r="U43">
        <v>134.4</v>
      </c>
      <c r="V43">
        <v>1138.8</v>
      </c>
      <c r="W43">
        <v>119.9</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70</v>
      </c>
      <c r="AC43" s="22">
        <f>IF(OR($B43="",AC$22=""),"",IF(LEN(VLOOKUP($B43,Database!$B$1:$IX$10144,AC$22,FALSE))=0,"",VLOOKUP($B43,Database!$B$1:$IX$10144,AC$22,FALSE)))</f>
        <v>7.4</v>
      </c>
      <c r="AD43" s="22">
        <f>IF(OR($B43="",AD$22=""),"",IF(LEN(VLOOKUP($B43,Database!$B$1:$IX$10144,AD$22,FALSE))=0,"",VLOOKUP($B43,Database!$B$1:$IX$10144,AD$22,FALSE)))</f>
        <v>70.3</v>
      </c>
      <c r="AE43" s="22">
        <f>IF(OR($B43="",AE$22=""),"",IF(LEN(VLOOKUP($B43,Database!$B$1:$IX$10144,AE$22,FALSE))=0,"",VLOOKUP($B43,Database!$B$1:$IX$10144,AE$22,FALSE)))</f>
        <v>6.5</v>
      </c>
      <c r="AF43" s="22">
        <f>IF(OR($B43="",AF$22=""),"",IF(LEN(VLOOKUP($B43,Database!$B$1:$IX$10144,AF$22,FALSE))=0,"",VLOOKUP($B43,Database!$B$1:$IX$10144,AF$22,FALSE)))</f>
        <v>150</v>
      </c>
      <c r="AG43" s="22">
        <f>IF(OR($B43="",AG$22=""),"",IF(LEN(VLOOKUP($B43,Database!$B$1:$IX$10144,AG$22,FALSE))=0,"",VLOOKUP($B43,Database!$B$1:$IX$10144,AG$22,FALSE)))</f>
        <v>100</v>
      </c>
      <c r="AH43" s="22">
        <f>IF(OR($B43="",AH$22=""),"",IF(LEN(VLOOKUP($B43,Database!$B$1:$IX$10144,AH$22,FALSE))=0,"",VLOOKUP($B43,Database!$B$1:$IX$10144,AH$22,FALSE)))</f>
        <v>1.5</v>
      </c>
      <c r="AI43" s="22">
        <f>IF(OR($B43="",AI$22=""),"",IF(LEN(VLOOKUP($B43,Database!$B$1:$IX$10144,AI$22,FALSE))=0,"",VLOOKUP($B43,Database!$B$1:$IX$10144,AI$22,FALSE)))</f>
        <v>3</v>
      </c>
      <c r="AJ43" s="22" t="str">
        <f>IF(OR($B43="",AJ$22=""),"",IF(LEN(VLOOKUP($B43,Database!$B$1:$IX$10144,AJ$22,FALSE))=0,"",VLOOKUP($B43,Database!$B$1:$IX$10144,AJ$22,FALSE)))</f>
        <v/>
      </c>
      <c r="AK43" s="22">
        <f>IF(OR($B43="",AK$22=""),"",IF(LEN(VLOOKUP($B43,Database!$B$1:$IX$10144,AK$22,FALSE))=0,"",VLOOKUP($B43,Database!$B$1:$IX$10144,AK$22,FALSE)))</f>
        <v>45.4</v>
      </c>
      <c r="AL43" s="22" t="str">
        <f>IF(OR($B43="",AL$22=""),"",IF(LEN(VLOOKUP($B43,Database!$B$1:$IX$10144,AL$22,FALSE))=0,"",VLOOKUP($B43,Database!$B$1:$IX$10144,AL$22,FALSE)))</f>
        <v>ns</v>
      </c>
      <c r="AM43" s="22"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t="str">
        <f>IF(OR($B43="",AP$22=""),"",IF(LEN(VLOOKUP($B43,Database!$B$1:$IX$10144,AP$22,FALSE))=0,"",VLOOKUP($B43,Database!$B$1:$IX$10144,AP$22,FALSE)))</f>
        <v>ns</v>
      </c>
      <c r="AQ43" s="22" t="str">
        <f>IF(OR($B43="",AQ$22=""),"",IF(LEN(VLOOKUP($B43,Database!$B$1:$IX$10144,AQ$22,FALSE))=0,"",VLOOKUP($B43,Database!$B$1:$IX$10144,AQ$22,FALSE)))</f>
        <v>Taylor WD, Macfall JR, Payne ME, McQuoid DR, Steffens DC, Provenzale JM, Krishnan KR.</v>
      </c>
      <c r="AR43" s="13"/>
      <c r="BC43" s="23"/>
      <c r="BF43" s="136"/>
      <c r="BG43" s="136"/>
      <c r="BH43" s="136"/>
      <c r="BI43" s="136"/>
    </row>
    <row r="44" spans="1:61">
      <c r="B44">
        <v>17712348</v>
      </c>
      <c r="C44" s="1" t="str">
        <f>IF($B44="","",HYPERLINK(IF(LEN(VLOOKUP($B44,Database!$B$1:$IX$10144,2,FALSE))=0,"",VLOOKUP($B44,Database!$B$1:$IX$10144,2,FALSE))))</f>
        <v/>
      </c>
      <c r="D44" s="1" t="str">
        <f t="shared" si="1"/>
        <v>http://www.ncbi.nlm.nih.gov/pubmed/17712348</v>
      </c>
      <c r="E44" s="22" t="str">
        <f>IF($B44="","",IF(LEN(VLOOKUP($B44,Database!$B$1:$IX$10144,4,FALSE))=0,"",VLOOKUP($B44,Database!$B$1:$IX$10144,4,FALSE)))</f>
        <v>Ballmaier M (B)</v>
      </c>
      <c r="F44" s="22">
        <f>IF($B44="","",IF(LEN(VLOOKUP($B44,Database!$B$1:$IX$10144,5,FALSE))=0,"",VLOOKUP($B44,Database!$B$1:$IX$10144,5,FALSE)))</f>
        <v>2008</v>
      </c>
      <c r="G44" s="1" t="str">
        <f>IF($B44="","",HYPERLINK(IF(LEN(VLOOKUP($B44,Database!$B$1:$IX$10144,6,FALSE))=0,"",VLOOKUP($B44,Database!$B$1:$IX$10144,6,FALSE))))</f>
        <v>http://www.nature.com/npp/journal/v33/n7/pdf/1301538a.pdf</v>
      </c>
      <c r="H44" s="22">
        <f>IF($B44="","",IF(LEN(VLOOKUP($B44,Database!$B$1:$IX$10144,7,FALSE))=0,"",VLOOKUP($B44,Database!$B$1:$IX$10144,7,FALSE)))</f>
        <v>46</v>
      </c>
      <c r="I44" s="22">
        <f>IF($B44="","",IF(LEN(VLOOKUP($B44,Database!$B$1:$IX$10144,8,FALSE))=0,"",VLOOKUP($B44,Database!$B$1:$IX$10144,8,FALSE)))</f>
        <v>34</v>
      </c>
      <c r="J44" t="s">
        <v>444</v>
      </c>
      <c r="T44" s="31">
        <v>1295.68</v>
      </c>
      <c r="U44">
        <v>129.61000000000001</v>
      </c>
      <c r="V44">
        <v>1286.93</v>
      </c>
      <c r="W44">
        <v>138.72</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71.099999999999994</v>
      </c>
      <c r="AC44" s="22">
        <f>IF(OR($B44="",AC$22=""),"",IF(LEN(VLOOKUP($B44,Database!$B$1:$IX$10144,AC$22,FALSE))=0,"",VLOOKUP($B44,Database!$B$1:$IX$10144,AC$22,FALSE)))</f>
        <v>7.66</v>
      </c>
      <c r="AD44" s="22">
        <f>IF(OR($B44="",AD$22=""),"",IF(LEN(VLOOKUP($B44,Database!$B$1:$IX$10144,AD$22,FALSE))=0,"",VLOOKUP($B44,Database!$B$1:$IX$10144,AD$22,FALSE)))</f>
        <v>72.38</v>
      </c>
      <c r="AE44" s="22">
        <f>IF(OR($B44="",AE$22=""),"",IF(LEN(VLOOKUP($B44,Database!$B$1:$IX$10144,AE$22,FALSE))=0,"",VLOOKUP($B44,Database!$B$1:$IX$10144,AE$22,FALSE)))</f>
        <v>6.93</v>
      </c>
      <c r="AF44" s="22">
        <f>IF(OR($B44="",AF$22=""),"",IF(LEN(VLOOKUP($B44,Database!$B$1:$IX$10144,AF$22,FALSE))=0,"",VLOOKUP($B44,Database!$B$1:$IX$10144,AF$22,FALSE)))</f>
        <v>34</v>
      </c>
      <c r="AG44" s="22">
        <f>IF(OR($B44="",AG$22=""),"",IF(LEN(VLOOKUP($B44,Database!$B$1:$IX$10144,AG$22,FALSE))=0,"",VLOOKUP($B44,Database!$B$1:$IX$10144,AG$22,FALSE)))</f>
        <v>19</v>
      </c>
      <c r="AH44" s="22">
        <f>IF(OR($B44="",AH$22=""),"",IF(LEN(VLOOKUP($B44,Database!$B$1:$IX$10144,AH$22,FALSE))=0,"",VLOOKUP($B44,Database!$B$1:$IX$10144,AH$22,FALSE)))</f>
        <v>1.5</v>
      </c>
      <c r="AI44" s="22">
        <f>IF(OR($B44="",AI$22=""),"",IF(LEN(VLOOKUP($B44,Database!$B$1:$IX$10144,AI$22,FALSE))=0,"",VLOOKUP($B44,Database!$B$1:$IX$10144,AI$22,FALSE)))</f>
        <v>1.4</v>
      </c>
      <c r="AJ44" s="22" t="str">
        <f>IF(OR($B44="",AJ$22=""),"",IF(LEN(VLOOKUP($B44,Database!$B$1:$IX$10144,AJ$22,FALSE))=0,"",VLOOKUP($B44,Database!$B$1:$IX$10144,AJ$22,FALSE)))</f>
        <v/>
      </c>
      <c r="AK44" s="22">
        <f>IF(OR($B44="",AK$22=""),"",IF(LEN(VLOOKUP($B44,Database!$B$1:$IX$10144,AK$22,FALSE))=0,"",VLOOKUP($B44,Database!$B$1:$IX$10144,AK$22,FALSE)))</f>
        <v>51.43</v>
      </c>
      <c r="AL44" s="22">
        <f>IF(OR($B44="",AL$22=""),"",IF(LEN(VLOOKUP($B44,Database!$B$1:$IX$10144,AL$22,FALSE))=0,"",VLOOKUP($B44,Database!$B$1:$IX$10144,AL$22,FALSE)))</f>
        <v>17.73</v>
      </c>
      <c r="AM44" s="22">
        <f>IF(OR($B44="",AM$22=""),"",IF(LEN(VLOOKUP($B44,Database!$B$1:$IX$10144,AM$22,FALSE))=0,"",VLOOKUP($B44,Database!$B$1:$IX$10144,AM$22,FALSE)))</f>
        <v>0</v>
      </c>
      <c r="AN44" s="22">
        <f>IF(OR($B44="",AN$22=""),"",IF(LEN(VLOOKUP($B44,Database!$B$1:$IX$10144,AN$22,FALSE))=0,"",VLOOKUP($B44,Database!$B$1:$IX$10144,AN$22,FALSE)))</f>
        <v>0</v>
      </c>
      <c r="AO44" s="22">
        <f>IF(OR($B44="",AO$22=""),"",IF(LEN(VLOOKUP($B44,Database!$B$1:$IX$10144,AO$22,FALSE))=0,"",VLOOKUP($B44,Database!$B$1:$IX$10144,AO$22,FALSE)))</f>
        <v>0</v>
      </c>
      <c r="AP44" s="22">
        <f>IF(OR($B44="",AP$22=""),"",IF(LEN(VLOOKUP($B44,Database!$B$1:$IX$10144,AP$22,FALSE))=0,"",VLOOKUP($B44,Database!$B$1:$IX$10144,AP$22,FALSE)))</f>
        <v>100</v>
      </c>
      <c r="AQ44" s="22" t="str">
        <f>IF(OR($B44="",AQ$22=""),"",IF(LEN(VLOOKUP($B44,Database!$B$1:$IX$10144,AQ$22,FALSE))=0,"",VLOOKUP($B44,Database!$B$1:$IX$10144,AQ$22,FALSE)))</f>
        <v>Ballmaier M, Kumar A, Elderkin-Thompson V, Narr KL, Luders E, Thompson PM, Hojatkashani C, Pham D, Heinz A, Toga AW.</v>
      </c>
      <c r="AR44" s="13"/>
      <c r="BC44" s="23"/>
      <c r="BF44" s="136"/>
      <c r="BG44" s="136"/>
      <c r="BH44" s="136"/>
      <c r="BI44" s="136"/>
    </row>
    <row r="45" spans="1:61">
      <c r="B45">
        <v>18068956</v>
      </c>
      <c r="C45" s="1" t="str">
        <f>IF($B45="","",HYPERLINK(IF(LEN(VLOOKUP($B45,Database!$B$1:$IX$10144,2,FALSE))=0,"",VLOOKUP($B45,Database!$B$1:$IX$10144,2,FALSE))))</f>
        <v/>
      </c>
      <c r="D45" s="1" t="str">
        <f t="shared" si="1"/>
        <v>http://www.ncbi.nlm.nih.gov/pubmed/18068956</v>
      </c>
      <c r="E45" s="22" t="str">
        <f>IF($B45="","",IF(LEN(VLOOKUP($B45,Database!$B$1:$IX$10144,4,FALSE))=0,"",VLOOKUP($B45,Database!$B$1:$IX$10144,4,FALSE)))</f>
        <v>Lenze SN</v>
      </c>
      <c r="F45" s="22">
        <f>IF($B45="","",IF(LEN(VLOOKUP($B45,Database!$B$1:$IX$10144,5,FALSE))=0,"",VLOOKUP($B45,Database!$B$1:$IX$10144,5,FALSE)))</f>
        <v>2008</v>
      </c>
      <c r="G45" s="1" t="str">
        <f>IF($B45="","",HYPERLINK(IF(LEN(VLOOKUP($B45,Database!$B$1:$IX$10144,6,FALSE))=0,"",VLOOKUP($B45,Database!$B$1:$IX$10144,6,FALSE))))</f>
        <v>http://dx.doi.org/10.1016/j.pscychresns.2007.04.004</v>
      </c>
      <c r="H45" s="22">
        <f>IF($B45="","",IF(LEN(VLOOKUP($B45,Database!$B$1:$IX$10144,7,FALSE))=0,"",VLOOKUP($B45,Database!$B$1:$IX$10144,7,FALSE)))</f>
        <v>31</v>
      </c>
      <c r="I45" s="22">
        <f>IF($B45="","",IF(LEN(VLOOKUP($B45,Database!$B$1:$IX$10144,8,FALSE))=0,"",VLOOKUP($B45,Database!$B$1:$IX$10144,8,FALSE)))</f>
        <v>24</v>
      </c>
      <c r="J45" t="s">
        <v>1176</v>
      </c>
      <c r="T45" s="31">
        <v>1018</v>
      </c>
      <c r="U45">
        <v>148</v>
      </c>
      <c r="V45">
        <v>1005</v>
      </c>
      <c r="W45">
        <v>109</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50</v>
      </c>
      <c r="AC45" s="22">
        <f>IF(OR($B45="",AC$22=""),"",IF(LEN(VLOOKUP($B45,Database!$B$1:$IX$10144,AC$22,FALSE))=0,"",VLOOKUP($B45,Database!$B$1:$IX$10144,AC$22,FALSE)))</f>
        <v>15</v>
      </c>
      <c r="AD45" s="22">
        <f>IF(OR($B45="",AD$22=""),"",IF(LEN(VLOOKUP($B45,Database!$B$1:$IX$10144,AD$22,FALSE))=0,"",VLOOKUP($B45,Database!$B$1:$IX$10144,AD$22,FALSE)))</f>
        <v>46</v>
      </c>
      <c r="AE45" s="22">
        <f>IF(OR($B45="",AE$22=""),"",IF(LEN(VLOOKUP($B45,Database!$B$1:$IX$10144,AE$22,FALSE))=0,"",VLOOKUP($B45,Database!$B$1:$IX$10144,AE$22,FALSE)))</f>
        <v>14</v>
      </c>
      <c r="AF45" s="22">
        <f>IF(OR($B45="",AF$22=""),"",IF(LEN(VLOOKUP($B45,Database!$B$1:$IX$10144,AF$22,FALSE))=0,"",VLOOKUP($B45,Database!$B$1:$IX$10144,AF$22,FALSE)))</f>
        <v>31</v>
      </c>
      <c r="AG45" s="22">
        <f>IF(OR($B45="",AG$22=""),"",IF(LEN(VLOOKUP($B45,Database!$B$1:$IX$10144,AG$22,FALSE))=0,"",VLOOKUP($B45,Database!$B$1:$IX$10144,AG$22,FALSE)))</f>
        <v>24</v>
      </c>
      <c r="AH45" s="22">
        <f>IF(OR($B45="",AH$22=""),"",IF(LEN(VLOOKUP($B45,Database!$B$1:$IX$10144,AH$22,FALSE))=0,"",VLOOKUP($B45,Database!$B$1:$IX$10144,AH$22,FALSE)))</f>
        <v>1.5</v>
      </c>
      <c r="AI45" s="22">
        <f>IF(OR($B45="",AI$22=""),"",IF(LEN(VLOOKUP($B45,Database!$B$1:$IX$10144,AI$22,FALSE))=0,"",VLOOKUP($B45,Database!$B$1:$IX$10144,AI$22,FALSE)))</f>
        <v>1.25</v>
      </c>
      <c r="AJ45" s="22" t="str">
        <f>IF(OR($B45="",AJ$22=""),"",IF(LEN(VLOOKUP($B45,Database!$B$1:$IX$10144,AJ$22,FALSE))=0,"",VLOOKUP($B45,Database!$B$1:$IX$10144,AJ$22,FALSE)))</f>
        <v/>
      </c>
      <c r="AK45" s="22">
        <f>IF(OR($B45="",AK$22=""),"",IF(LEN(VLOOKUP($B45,Database!$B$1:$IX$10144,AK$22,FALSE))=0,"",VLOOKUP($B45,Database!$B$1:$IX$10144,AK$22,FALSE)))</f>
        <v>29</v>
      </c>
      <c r="AL45" s="22">
        <f>IF(OR($B45="",AL$22=""),"",IF(LEN(VLOOKUP($B45,Database!$B$1:$IX$10144,AL$22,FALSE))=0,"",VLOOKUP($B45,Database!$B$1:$IX$10144,AL$22,FALSE)))</f>
        <v>7</v>
      </c>
      <c r="AM45" s="22">
        <f>IF(OR($B45="",AM$22=""),"",IF(LEN(VLOOKUP($B45,Database!$B$1:$IX$10144,AM$22,FALSE))=0,"",VLOOKUP($B45,Database!$B$1:$IX$10144,AM$22,FALSE)))</f>
        <v>77.41935483870968</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Lenze SN, Xiong C, Sheline YI.</v>
      </c>
      <c r="AR45" s="13"/>
      <c r="BC45" s="23"/>
      <c r="BF45" s="136"/>
      <c r="BG45" s="136"/>
      <c r="BH45" s="136"/>
      <c r="BI45" s="136"/>
    </row>
    <row r="46" spans="1:61">
      <c r="B46">
        <v>18439110</v>
      </c>
      <c r="C46" s="1" t="str">
        <f>IF($B46="","",HYPERLINK(IF(LEN(VLOOKUP($B46,Database!$B$1:$IX$10144,2,FALSE))=0,"",VLOOKUP($B46,Database!$B$1:$IX$10144,2,FALSE))))</f>
        <v/>
      </c>
      <c r="D46" s="1" t="str">
        <f t="shared" si="1"/>
        <v>http://www.ncbi.nlm.nih.gov/pubmed/18439110</v>
      </c>
      <c r="E46" s="22" t="str">
        <f>IF($B46="","",IF(LEN(VLOOKUP($B46,Database!$B$1:$IX$10144,4,FALSE))=0,"",VLOOKUP($B46,Database!$B$1:$IX$10144,4,FALSE)))</f>
        <v>Matsuo K</v>
      </c>
      <c r="F46" s="22">
        <f>IF($B46="","",IF(LEN(VLOOKUP($B46,Database!$B$1:$IX$10144,5,FALSE))=0,"",VLOOKUP($B46,Database!$B$1:$IX$10144,5,FALSE)))</f>
        <v>2008</v>
      </c>
      <c r="G46" s="1" t="str">
        <f>IF($B46="","",HYPERLINK(IF(LEN(VLOOKUP($B46,Database!$B$1:$IX$10144,6,FALSE))=0,"",VLOOKUP($B46,Database!$B$1:$IX$10144,6,FALSE))))</f>
        <v>http://www.liebertonline.com/doi/pdf/10.1089/cap.2007.0026</v>
      </c>
      <c r="H46" s="22">
        <f>IF($B46="","",IF(LEN(VLOOKUP($B46,Database!$B$1:$IX$10144,7,FALSE))=0,"",VLOOKUP($B46,Database!$B$1:$IX$10144,7,FALSE)))</f>
        <v>27</v>
      </c>
      <c r="I46" s="22">
        <f>IF($B46="","",IF(LEN(VLOOKUP($B46,Database!$B$1:$IX$10144,8,FALSE))=0,"",VLOOKUP($B46,Database!$B$1:$IX$10144,8,FALSE)))</f>
        <v>26</v>
      </c>
      <c r="J46" t="s">
        <v>1175</v>
      </c>
      <c r="T46" s="31">
        <v>1205.9000000000001</v>
      </c>
      <c r="U46">
        <v>139.4</v>
      </c>
      <c r="V46">
        <v>1183.5</v>
      </c>
      <c r="W46">
        <v>120.2</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14.4</v>
      </c>
      <c r="AC46" s="22">
        <f>IF(OR($B46="",AC$22=""),"",IF(LEN(VLOOKUP($B46,Database!$B$1:$IX$10144,AC$22,FALSE))=0,"",VLOOKUP($B46,Database!$B$1:$IX$10144,AC$22,FALSE)))</f>
        <v>2.2000000000000002</v>
      </c>
      <c r="AD46" s="22">
        <f>IF(OR($B46="",AD$22=""),"",IF(LEN(VLOOKUP($B46,Database!$B$1:$IX$10144,AD$22,FALSE))=0,"",VLOOKUP($B46,Database!$B$1:$IX$10144,AD$22,FALSE)))</f>
        <v>14.4</v>
      </c>
      <c r="AE46" s="22">
        <f>IF(OR($B46="",AE$22=""),"",IF(LEN(VLOOKUP($B46,Database!$B$1:$IX$10144,AE$22,FALSE))=0,"",VLOOKUP($B46,Database!$B$1:$IX$10144,AE$22,FALSE)))</f>
        <v>2.2999999999999998</v>
      </c>
      <c r="AF46" s="22">
        <f>IF(OR($B46="",AF$22=""),"",IF(LEN(VLOOKUP($B46,Database!$B$1:$IX$10144,AF$22,FALSE))=0,"",VLOOKUP($B46,Database!$B$1:$IX$10144,AF$22,FALSE)))</f>
        <v>17</v>
      </c>
      <c r="AG46" s="22">
        <f>IF(OR($B46="",AG$22=""),"",IF(LEN(VLOOKUP($B46,Database!$B$1:$IX$10144,AG$22,FALSE))=0,"",VLOOKUP($B46,Database!$B$1:$IX$10144,AG$22,FALSE)))</f>
        <v>14</v>
      </c>
      <c r="AH46" s="22">
        <f>IF(OR($B46="",AH$22=""),"",IF(LEN(VLOOKUP($B46,Database!$B$1:$IX$10144,AH$22,FALSE))=0,"",VLOOKUP($B46,Database!$B$1:$IX$10144,AH$22,FALSE)))</f>
        <v>1.5</v>
      </c>
      <c r="AI46" s="22">
        <f>IF(OR($B46="",AI$22=""),"",IF(LEN(VLOOKUP($B46,Database!$B$1:$IX$10144,AI$22,FALSE))=0,"",VLOOKUP($B46,Database!$B$1:$IX$10144,AI$22,FALSE)))</f>
        <v>1.5</v>
      </c>
      <c r="AJ46" s="22" t="str">
        <f>IF(OR($B46="",AJ$22=""),"",IF(LEN(VLOOKUP($B46,Database!$B$1:$IX$10144,AJ$22,FALSE))=0,"",VLOOKUP($B46,Database!$B$1:$IX$10144,AJ$22,FALSE)))</f>
        <v/>
      </c>
      <c r="AK46" s="22">
        <f>IF(OR($B46="",AK$22=""),"",IF(LEN(VLOOKUP($B46,Database!$B$1:$IX$10144,AK$22,FALSE))=0,"",VLOOKUP($B46,Database!$B$1:$IX$10144,AK$22,FALSE)))</f>
        <v>11.75</v>
      </c>
      <c r="AL46" s="22" t="str">
        <f>IF(OR($B46="",AL$22=""),"",IF(LEN(VLOOKUP($B46,Database!$B$1:$IX$10144,AL$22,FALSE))=0,"",VLOOKUP($B46,Database!$B$1:$IX$10144,AL$22,FALSE)))</f>
        <v>ns</v>
      </c>
      <c r="AM46" s="22">
        <f>IF(OR($B46="",AM$22=""),"",IF(LEN(VLOOKUP($B46,Database!$B$1:$IX$10144,AM$22,FALSE))=0,"",VLOOKUP($B46,Database!$B$1:$IX$10144,AM$22,FALSE)))</f>
        <v>0</v>
      </c>
      <c r="AN46" s="22">
        <f>IF(OR($B46="",AN$22=""),"",IF(LEN(VLOOKUP($B46,Database!$B$1:$IX$10144,AN$22,FALSE))=0,"",VLOOKUP($B46,Database!$B$1:$IX$10144,AN$22,FALSE)))</f>
        <v>0</v>
      </c>
      <c r="AO46" s="22">
        <f>IF(OR($B46="",AO$22=""),"",IF(LEN(VLOOKUP($B46,Database!$B$1:$IX$10144,AO$22,FALSE))=0,"",VLOOKUP($B46,Database!$B$1:$IX$10144,AO$22,FALSE)))</f>
        <v>0</v>
      </c>
      <c r="AP46" s="22">
        <f>IF(OR($B46="",AP$22=""),"",IF(LEN(VLOOKUP($B46,Database!$B$1:$IX$10144,AP$22,FALSE))=0,"",VLOOKUP($B46,Database!$B$1:$IX$10144,AP$22,FALSE)))</f>
        <v>100</v>
      </c>
      <c r="AQ46" s="22" t="str">
        <f>IF(OR($B46="",AQ$22=""),"",IF(LEN(VLOOKUP($B46,Database!$B$1:$IX$10144,AQ$22,FALSE))=0,"",VLOOKUP($B46,Database!$B$1:$IX$10144,AQ$22,FALSE)))</f>
        <v>Matsuo K, Rosenberg DR, Easter PC, MacMaster FP, Chen HH, Nicoletti M, Caetano SC, Hatch JP, Soares JC.</v>
      </c>
      <c r="AR46" s="13"/>
      <c r="BC46" s="23"/>
      <c r="BF46" s="136"/>
      <c r="BG46" s="136"/>
      <c r="BH46" s="136"/>
      <c r="BI46" s="136"/>
    </row>
    <row r="47" spans="1:61">
      <c r="B47">
        <v>18075490</v>
      </c>
      <c r="C47" s="1" t="str">
        <f>IF($B47="","",HYPERLINK(IF(LEN(VLOOKUP($B47,Database!$B$1:$IX$10144,2,FALSE))=0,"",VLOOKUP($B47,Database!$B$1:$IX$10144,2,FALSE))))</f>
        <v/>
      </c>
      <c r="D47" s="1" t="str">
        <f>IF($B47="","",HYPERLINK(CONCATENATE("http://www.ncbi.nlm.nih.gov/pubmed/",B47)))</f>
        <v>http://www.ncbi.nlm.nih.gov/pubmed/18075490</v>
      </c>
      <c r="E47" s="22" t="str">
        <f>IF($B47="","",IF(LEN(VLOOKUP($B47,Database!$B$1:$IX$10144,4,FALSE))=0,"",VLOOKUP($B47,Database!$B$1:$IX$10144,4,FALSE)))</f>
        <v>Andreescu C</v>
      </c>
      <c r="F47" s="22">
        <f>IF($B47="","",IF(LEN(VLOOKUP($B47,Database!$B$1:$IX$10144,5,FALSE))=0,"",VLOOKUP($B47,Database!$B$1:$IX$10144,5,FALSE)))</f>
        <v>2008</v>
      </c>
      <c r="G47" s="1" t="str">
        <f>IF($B47="","",HYPERLINK(IF(LEN(VLOOKUP($B47,Database!$B$1:$IX$10144,6,FALSE))=0,"",VLOOKUP($B47,Database!$B$1:$IX$10144,6,FALSE))))</f>
        <v>http://www.nature.com/npp/journal/v33/n11/pdf/1301655a.pdf</v>
      </c>
      <c r="H47" s="22">
        <f>IF($B47="","",IF(LEN(VLOOKUP($B47,Database!$B$1:$IX$10144,7,FALSE))=0,"",VLOOKUP($B47,Database!$B$1:$IX$10144,7,FALSE)))</f>
        <v>71</v>
      </c>
      <c r="I47" s="22">
        <f>IF($B47="","",IF(LEN(VLOOKUP($B47,Database!$B$1:$IX$10144,8,FALSE))=0,"",VLOOKUP($B47,Database!$B$1:$IX$10144,8,FALSE)))</f>
        <v>32</v>
      </c>
      <c r="J47" t="s">
        <v>655</v>
      </c>
      <c r="T47" s="137">
        <v>518236.03</v>
      </c>
      <c r="U47">
        <v>63063.89</v>
      </c>
      <c r="V47">
        <v>515438.44</v>
      </c>
      <c r="W47">
        <v>61121.120000000003</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f>IF(OR($B47="",AB$22=""),"",IF(LEN(VLOOKUP($B47,Database!$B$1:$IX$10144,AB$22,FALSE))=0,"",VLOOKUP($B47,Database!$B$1:$IX$10144,AB$22,FALSE)))</f>
        <v>72.2</v>
      </c>
      <c r="AC47" s="22">
        <f>IF(OR($B47="",AC$22=""),"",IF(LEN(VLOOKUP($B47,Database!$B$1:$IX$10144,AC$22,FALSE))=0,"",VLOOKUP($B47,Database!$B$1:$IX$10144,AC$22,FALSE)))</f>
        <v>6.2</v>
      </c>
      <c r="AD47" s="22">
        <f>IF(OR($B47="",AD$22=""),"",IF(LEN(VLOOKUP($B47,Database!$B$1:$IX$10144,AD$22,FALSE))=0,"",VLOOKUP($B47,Database!$B$1:$IX$10144,AD$22,FALSE)))</f>
        <v>71</v>
      </c>
      <c r="AE47" s="22">
        <f>IF(OR($B47="",AE$22=""),"",IF(LEN(VLOOKUP($B47,Database!$B$1:$IX$10144,AE$22,FALSE))=0,"",VLOOKUP($B47,Database!$B$1:$IX$10144,AE$22,FALSE)))</f>
        <v>6.7</v>
      </c>
      <c r="AF47" s="22">
        <f>IF(OR($B47="",AF$22=""),"",IF(LEN(VLOOKUP($B47,Database!$B$1:$IX$10144,AF$22,FALSE))=0,"",VLOOKUP($B47,Database!$B$1:$IX$10144,AF$22,FALSE)))</f>
        <v>49</v>
      </c>
      <c r="AG47" s="22">
        <f>IF(OR($B47="",AG$22=""),"",IF(LEN(VLOOKUP($B47,Database!$B$1:$IX$10144,AG$22,FALSE))=0,"",VLOOKUP($B47,Database!$B$1:$IX$10144,AG$22,FALSE)))</f>
        <v>17</v>
      </c>
      <c r="AH47" s="22">
        <f>IF(OR($B47="",AH$22=""),"",IF(LEN(VLOOKUP($B47,Database!$B$1:$IX$10144,AH$22,FALSE))=0,"",VLOOKUP($B47,Database!$B$1:$IX$10144,AH$22,FALSE)))</f>
        <v>1.5</v>
      </c>
      <c r="AI47" s="22">
        <f>IF(OR($B47="",AI$22=""),"",IF(LEN(VLOOKUP($B47,Database!$B$1:$IX$10144,AI$22,FALSE))=0,"",VLOOKUP($B47,Database!$B$1:$IX$10144,AI$22,FALSE)))</f>
        <v>1.5</v>
      </c>
      <c r="AJ47" s="22" t="str">
        <f>IF(OR($B47="",AJ$22=""),"",IF(LEN(VLOOKUP($B47,Database!$B$1:$IX$10144,AJ$22,FALSE))=0,"",VLOOKUP($B47,Database!$B$1:$IX$10144,AJ$22,FALSE)))</f>
        <v/>
      </c>
      <c r="AK47" s="22">
        <f>IF(OR($B47="",AK$22=""),"",IF(LEN(VLOOKUP($B47,Database!$B$1:$IX$10144,AK$22,FALSE))=0,"",VLOOKUP($B47,Database!$B$1:$IX$10144,AK$22,FALSE)))</f>
        <v>52.3</v>
      </c>
      <c r="AL47" s="22">
        <f>IF(OR($B47="",AL$22=""),"",IF(LEN(VLOOKUP($B47,Database!$B$1:$IX$10144,AL$22,FALSE))=0,"",VLOOKUP($B47,Database!$B$1:$IX$10144,AL$22,FALSE)))</f>
        <v>18.3</v>
      </c>
      <c r="AM47" s="22">
        <f>IF(OR($B47="",AM$22=""),"",IF(LEN(VLOOKUP($B47,Database!$B$1:$IX$10144,AM$22,FALSE))=0,"",VLOOKUP($B47,Database!$B$1:$IX$10144,AM$22,FALSE)))</f>
        <v>16.901408450704224</v>
      </c>
      <c r="AN47" s="22" t="str">
        <f>IF(OR($B47="",AN$22=""),"",IF(LEN(VLOOKUP($B47,Database!$B$1:$IX$10144,AN$22,FALSE))=0,"",VLOOKUP($B47,Database!$B$1:$IX$10144,AN$22,FALSE)))</f>
        <v>ns</v>
      </c>
      <c r="AO47" s="22">
        <f>IF(OR($B47="",AO$22=""),"",IF(LEN(VLOOKUP($B47,Database!$B$1:$IX$10144,AO$22,FALSE))=0,"",VLOOKUP($B47,Database!$B$1:$IX$10144,AO$22,FALSE)))</f>
        <v>1.4084507042253522</v>
      </c>
      <c r="AP47" s="22" t="str">
        <f>IF(OR($B47="",AP$22=""),"",IF(LEN(VLOOKUP($B47,Database!$B$1:$IX$10144,AP$22,FALSE))=0,"",VLOOKUP($B47,Database!$B$1:$IX$10144,AP$22,FALSE)))</f>
        <v>ns</v>
      </c>
      <c r="AQ47" s="22" t="str">
        <f>IF(OR($B47="",AQ$22=""),"",IF(LEN(VLOOKUP($B47,Database!$B$1:$IX$10144,AQ$22,FALSE))=0,"",VLOOKUP($B47,Database!$B$1:$IX$10144,AQ$22,FALSE)))</f>
        <v>Andreescu C, Butters MA, Begley A, Rajji T, Wu M, Meltzer CC, Reynolds CF 3rd, Aizenstein H.</v>
      </c>
      <c r="AR47" s="13"/>
      <c r="BC47" s="23"/>
      <c r="BF47" s="136"/>
      <c r="BG47" s="136"/>
      <c r="BH47" s="136"/>
      <c r="BI47" s="136"/>
    </row>
    <row r="48" spans="1:61">
      <c r="A48" t="s">
        <v>416</v>
      </c>
      <c r="B48">
        <v>19239986</v>
      </c>
      <c r="C48" s="1" t="str">
        <f>IF($B48="","",HYPERLINK(IF(LEN(VLOOKUP($B48,Database!$B$1:$IX$10144,2,FALSE))=0,"",VLOOKUP($B48,Database!$B$1:$IX$10144,2,FALSE))))</f>
        <v/>
      </c>
      <c r="D48" s="1" t="str">
        <f>IF($B48="","",HYPERLINK(CONCATENATE("http://www.ncbi.nlm.nih.gov/pubmed/",B48)))</f>
        <v>http://www.ncbi.nlm.nih.gov/pubmed/19239986</v>
      </c>
      <c r="E48" s="22" t="str">
        <f>IF($B48="","",IF(LEN(VLOOKUP($B48,Database!$B$1:$IX$10144,4,FALSE))=0,"",VLOOKUP($B48,Database!$B$1:$IX$10144,4,FALSE)))</f>
        <v>Lorenzetti V</v>
      </c>
      <c r="F48" s="22">
        <f>IF($B48="","",IF(LEN(VLOOKUP($B48,Database!$B$1:$IX$10144,5,FALSE))=0,"",VLOOKUP($B48,Database!$B$1:$IX$10144,5,FALSE)))</f>
        <v>2009</v>
      </c>
      <c r="G48" s="1" t="str">
        <f>IF($B48="","",HYPERLINK(IF(LEN(VLOOKUP($B48,Database!$B$1:$IX$10144,6,FALSE))=0,"",VLOOKUP($B48,Database!$B$1:$IX$10144,6,FALSE))))</f>
        <v>http://dx.doi.org/10.1016/j.pscychresns.2008.06.006</v>
      </c>
      <c r="H48" s="83">
        <v>31</v>
      </c>
      <c r="I48" s="83">
        <v>16.5</v>
      </c>
      <c r="J48" t="s">
        <v>656</v>
      </c>
      <c r="K48" t="s">
        <v>657</v>
      </c>
      <c r="T48" s="137">
        <v>1237176</v>
      </c>
      <c r="U48">
        <v>124113.14780000001</v>
      </c>
      <c r="V48">
        <v>1250567</v>
      </c>
      <c r="W48">
        <v>141214.81640000001</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83">
        <v>32.520000000000003</v>
      </c>
      <c r="AC48" s="83">
        <v>8.3800000000000008</v>
      </c>
      <c r="AD48" s="22">
        <f>IF(OR($B48="",AD$22=""),"",IF(LEN(VLOOKUP($B48,Database!$B$1:$IX$10144,AD$22,FALSE))=0,"",VLOOKUP($B48,Database!$B$1:$IX$10144,AD$22,FALSE)))</f>
        <v>34.03</v>
      </c>
      <c r="AE48" s="22">
        <f>IF(OR($B48="",AE$22=""),"",IF(LEN(VLOOKUP($B48,Database!$B$1:$IX$10144,AE$22,FALSE))=0,"",VLOOKUP($B48,Database!$B$1:$IX$10144,AE$22,FALSE)))</f>
        <v>9.91</v>
      </c>
      <c r="AF48" s="83">
        <v>22</v>
      </c>
      <c r="AG48" s="22">
        <f>IF(OR($B48="",AG$22=""),"",IF(LEN(VLOOKUP($B48,Database!$B$1:$IX$10144,AG$22,FALSE))=0,"",VLOOKUP($B48,Database!$B$1:$IX$10144,AG$22,FALSE)))</f>
        <v>21</v>
      </c>
      <c r="AH48" s="22">
        <f>IF(OR($B48="",AH$22=""),"",IF(LEN(VLOOKUP($B48,Database!$B$1:$IX$10144,AH$22,FALSE))=0,"",VLOOKUP($B48,Database!$B$1:$IX$10144,AH$22,FALSE)))</f>
        <v>1.5</v>
      </c>
      <c r="AI48" s="22">
        <f>IF(OR($B48="",AI$22=""),"",IF(LEN(VLOOKUP($B48,Database!$B$1:$IX$10144,AI$22,FALSE))=0,"",VLOOKUP($B48,Database!$B$1:$IX$10144,AI$22,FALSE)))</f>
        <v>1</v>
      </c>
      <c r="AJ48" s="22" t="str">
        <f>IF(OR($B48="",AJ$22=""),"",IF(LEN(VLOOKUP($B48,Database!$B$1:$IX$10144,AJ$22,FALSE))=0,"",VLOOKUP($B48,Database!$B$1:$IX$10144,AJ$22,FALSE)))</f>
        <v/>
      </c>
      <c r="AK48" s="83">
        <v>21.07</v>
      </c>
      <c r="AL48" s="22" t="str">
        <f>IF(OR($B48="",AL$22=""),"",IF(LEN(VLOOKUP($B48,Database!$B$1:$IX$10144,AL$22,FALSE))=0,"",VLOOKUP($B48,Database!$B$1:$IX$10144,AL$22,FALSE)))</f>
        <v>ns</v>
      </c>
      <c r="AM48" s="22" t="str">
        <f>IF(OR($B48="",AM$22=""),"",IF(LEN(VLOOKUP($B48,Database!$B$1:$IX$10144,AM$22,FALSE))=0,"",VLOOKUP($B48,Database!$B$1:$IX$10144,AM$22,FALSE)))</f>
        <v>ns</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Lorenzetti V, Allen NB, Fornito A, Pantelis C, De Plato G, Ang A, Yücel M.</v>
      </c>
      <c r="AR48" s="13"/>
      <c r="AU48" s="13"/>
      <c r="BC48" s="23"/>
      <c r="BF48" s="136"/>
      <c r="BG48" s="136"/>
      <c r="BH48" s="136"/>
      <c r="BI48" s="136"/>
    </row>
    <row r="49" spans="1:61">
      <c r="A49" t="s">
        <v>416</v>
      </c>
      <c r="B49">
        <v>19239986</v>
      </c>
      <c r="C49" s="1" t="str">
        <f>IF($B49="","",HYPERLINK(IF(LEN(VLOOKUP($B49,Database!$B$1:$IX$10144,2,FALSE))=0,"",VLOOKUP($B49,Database!$B$1:$IX$10144,2,FALSE))))</f>
        <v/>
      </c>
      <c r="D49" s="1" t="str">
        <f t="shared" si="1"/>
        <v>http://www.ncbi.nlm.nih.gov/pubmed/19239986</v>
      </c>
      <c r="E49" s="22" t="str">
        <f>IF($B49="","",IF(LEN(VLOOKUP($B49,Database!$B$1:$IX$10144,4,FALSE))=0,"",VLOOKUP($B49,Database!$B$1:$IX$10144,4,FALSE)))</f>
        <v>Lorenzetti V</v>
      </c>
      <c r="F49" s="22">
        <f>IF($B49="","",IF(LEN(VLOOKUP($B49,Database!$B$1:$IX$10144,5,FALSE))=0,"",VLOOKUP($B49,Database!$B$1:$IX$10144,5,FALSE)))</f>
        <v>2009</v>
      </c>
      <c r="G49" s="1" t="str">
        <f>IF($B49="","",HYPERLINK(IF(LEN(VLOOKUP($B49,Database!$B$1:$IX$10144,6,FALSE))=0,"",VLOOKUP($B49,Database!$B$1:$IX$10144,6,FALSE))))</f>
        <v>http://dx.doi.org/10.1016/j.pscychresns.2008.06.006</v>
      </c>
      <c r="H49" s="83">
        <v>31</v>
      </c>
      <c r="I49" s="83">
        <v>16.5</v>
      </c>
      <c r="J49" t="s">
        <v>656</v>
      </c>
      <c r="K49" t="s">
        <v>658</v>
      </c>
      <c r="T49">
        <v>1232334</v>
      </c>
      <c r="U49">
        <v>132954.97717999999</v>
      </c>
      <c r="V49">
        <v>1250567</v>
      </c>
      <c r="W49">
        <v>141214.81640000001</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83">
        <v>35.07</v>
      </c>
      <c r="AC49" s="83">
        <v>9.9600000000000009</v>
      </c>
      <c r="AD49" s="22">
        <f>IF(OR($B49="",AD$22=""),"",IF(LEN(VLOOKUP($B49,Database!$B$1:$IX$10144,AD$22,FALSE))=0,"",VLOOKUP($B49,Database!$B$1:$IX$10144,AD$22,FALSE)))</f>
        <v>34.03</v>
      </c>
      <c r="AE49" s="22">
        <f>IF(OR($B49="",AE$22=""),"",IF(LEN(VLOOKUP($B49,Database!$B$1:$IX$10144,AE$22,FALSE))=0,"",VLOOKUP($B49,Database!$B$1:$IX$10144,AE$22,FALSE)))</f>
        <v>9.91</v>
      </c>
      <c r="AF49" s="83">
        <v>18</v>
      </c>
      <c r="AG49" s="22">
        <f>IF(OR($B49="",AG$22=""),"",IF(LEN(VLOOKUP($B49,Database!$B$1:$IX$10144,AG$22,FALSE))=0,"",VLOOKUP($B49,Database!$B$1:$IX$10144,AG$22,FALSE)))</f>
        <v>21</v>
      </c>
      <c r="AH49" s="22">
        <f>IF(OR($B49="",AH$22=""),"",IF(LEN(VLOOKUP($B49,Database!$B$1:$IX$10144,AH$22,FALSE))=0,"",VLOOKUP($B49,Database!$B$1:$IX$10144,AH$22,FALSE)))</f>
        <v>1.5</v>
      </c>
      <c r="AI49" s="22">
        <f>IF(OR($B49="",AI$22=""),"",IF(LEN(VLOOKUP($B49,Database!$B$1:$IX$10144,AI$22,FALSE))=0,"",VLOOKUP($B49,Database!$B$1:$IX$10144,AI$22,FALSE)))</f>
        <v>1</v>
      </c>
      <c r="AJ49" s="22" t="str">
        <f>IF(OR($B49="",AJ$22=""),"",IF(LEN(VLOOKUP($B49,Database!$B$1:$IX$10144,AJ$22,FALSE))=0,"",VLOOKUP($B49,Database!$B$1:$IX$10144,AJ$22,FALSE)))</f>
        <v/>
      </c>
      <c r="AK49" s="83">
        <v>26.04</v>
      </c>
      <c r="AL49" s="22" t="str">
        <f>IF(OR($B49="",AL$22=""),"",IF(LEN(VLOOKUP($B49,Database!$B$1:$IX$10144,AL$22,FALSE))=0,"",VLOOKUP($B49,Database!$B$1:$IX$10144,AL$22,FALSE)))</f>
        <v>ns</v>
      </c>
      <c r="AM49" s="22" t="str">
        <f>IF(OR($B49="",AM$22=""),"",IF(LEN(VLOOKUP($B49,Database!$B$1:$IX$10144,AM$22,FALSE))=0,"",VLOOKUP($B49,Database!$B$1:$IX$10144,AM$22,FALSE)))</f>
        <v>ns</v>
      </c>
      <c r="AN49" s="22" t="str">
        <f>IF(OR($B49="",AN$22=""),"",IF(LEN(VLOOKUP($B49,Database!$B$1:$IX$10144,AN$22,FALSE))=0,"",VLOOKUP($B49,Database!$B$1:$IX$10144,AN$22,FALSE)))</f>
        <v>ns</v>
      </c>
      <c r="AO49" s="22" t="str">
        <f>IF(OR($B49="",AO$22=""),"",IF(LEN(VLOOKUP($B49,Database!$B$1:$IX$10144,AO$22,FALSE))=0,"",VLOOKUP($B49,Database!$B$1:$IX$10144,AO$22,FALSE)))</f>
        <v>ns</v>
      </c>
      <c r="AP49" s="22" t="str">
        <f>IF(OR($B49="",AP$22=""),"",IF(LEN(VLOOKUP($B49,Database!$B$1:$IX$10144,AP$22,FALSE))=0,"",VLOOKUP($B49,Database!$B$1:$IX$10144,AP$22,FALSE)))</f>
        <v>ns</v>
      </c>
      <c r="AQ49" s="22" t="str">
        <f>IF(OR($B49="",AQ$22=""),"",IF(LEN(VLOOKUP($B49,Database!$B$1:$IX$10144,AQ$22,FALSE))=0,"",VLOOKUP($B49,Database!$B$1:$IX$10144,AQ$22,FALSE)))</f>
        <v>Lorenzetti V, Allen NB, Fornito A, Pantelis C, De Plato G, Ang A, Yücel M.</v>
      </c>
      <c r="AR49" s="13"/>
      <c r="AU49" s="13"/>
      <c r="BC49" s="23"/>
      <c r="BF49" s="136"/>
      <c r="BG49" s="136"/>
      <c r="BH49" s="136"/>
      <c r="BI49" s="136"/>
    </row>
    <row r="50" spans="1:61">
      <c r="B50">
        <v>19028381</v>
      </c>
      <c r="C50" s="1" t="str">
        <f>IF($B50="","",HYPERLINK(IF(LEN(VLOOKUP($B50,Database!$B$1:$IX$10144,2,FALSE))=0,"",VLOOKUP($B50,Database!$B$1:$IX$10144,2,FALSE))))</f>
        <v/>
      </c>
      <c r="D50" s="1" t="str">
        <f t="shared" ref="D50:D57" si="2">IF($B50="","",HYPERLINK(CONCATENATE("http://www.ncbi.nlm.nih.gov/pubmed/",B50)))</f>
        <v>http://www.ncbi.nlm.nih.gov/pubmed/19028381</v>
      </c>
      <c r="E50" s="22" t="str">
        <f>IF($B50="","",IF(LEN(VLOOKUP($B50,Database!$B$1:$IX$10144,4,FALSE))=0,"",VLOOKUP($B50,Database!$B$1:$IX$10144,4,FALSE)))</f>
        <v>van Eijndhoven P</v>
      </c>
      <c r="F50" s="22">
        <f>IF($B50="","",IF(LEN(VLOOKUP($B50,Database!$B$1:$IX$10144,5,FALSE))=0,"",VLOOKUP($B50,Database!$B$1:$IX$10144,5,FALSE)))</f>
        <v>2009</v>
      </c>
      <c r="G50" s="1" t="str">
        <f>IF($B50="","",HYPERLINK(IF(LEN(VLOOKUP($B50,Database!$B$1:$IX$10144,6,FALSE))=0,"",VLOOKUP($B50,Database!$B$1:$IX$10144,6,FALSE))))</f>
        <v>http://dx.doi.org/10.1016/j.biopsych.2008.10.027</v>
      </c>
      <c r="H50" s="83">
        <v>20</v>
      </c>
      <c r="I50" s="83">
        <v>10</v>
      </c>
      <c r="J50" t="s">
        <v>649</v>
      </c>
      <c r="K50" t="s">
        <v>864</v>
      </c>
      <c r="T50">
        <v>1171</v>
      </c>
      <c r="U50">
        <v>106</v>
      </c>
      <c r="V50">
        <v>1214</v>
      </c>
      <c r="W50">
        <v>99</v>
      </c>
      <c r="Y50" s="22" t="str">
        <f>IF(OR($B50="",Y$22=""),"",IF(LEN(VLOOKUP($B50,Database!$B$1:$IX$10144,Y$22,FALSE))=0,"",VLOOKUP($B50,Database!$B$1:$IX$10144,Y$22,FALSE)))</f>
        <v>DSM-IV</v>
      </c>
      <c r="Z50" s="22" t="str">
        <f>IF(OR($B50="",Z$22=""),"",IF(LEN(VLOOKUP($B50,Database!$B$1:$IX$10144,Z$22,FALSE))=0,"",VLOOKUP($B50,Database!$B$1:$IX$10144,Z$22,FALSE)))</f>
        <v>MRI</v>
      </c>
      <c r="AA50" s="214" t="s">
        <v>2447</v>
      </c>
      <c r="AB50" s="83">
        <v>34.1</v>
      </c>
      <c r="AC50" s="83">
        <v>11.6</v>
      </c>
      <c r="AD50" s="22">
        <f>IF(OR($B50="",AD$22=""),"",IF(LEN(VLOOKUP($B50,Database!$B$1:$IX$10144,AD$22,FALSE))=0,"",VLOOKUP($B50,Database!$B$1:$IX$10144,AD$22,FALSE)))</f>
        <v>37.299999999999997</v>
      </c>
      <c r="AE50" s="22">
        <f>IF(OR($B50="",AE$22=""),"",IF(LEN(VLOOKUP($B50,Database!$B$1:$IX$10144,AE$22,FALSE))=0,"",VLOOKUP($B50,Database!$B$1:$IX$10144,AE$22,FALSE)))</f>
        <v>12.7</v>
      </c>
      <c r="AF50" s="214">
        <v>13</v>
      </c>
      <c r="AG50" s="22">
        <f>IF(OR($B50="",AG$22=""),"",IF(LEN(VLOOKUP($B50,Database!$B$1:$IX$10144,AG$22,FALSE))=0,"",VLOOKUP($B50,Database!$B$1:$IX$10144,AG$22,FALSE)))</f>
        <v>13</v>
      </c>
      <c r="AH50" s="22">
        <f>IF(OR($B50="",AH$22=""),"",IF(LEN(VLOOKUP($B50,Database!$B$1:$IX$10144,AH$22,FALSE))=0,"",VLOOKUP($B50,Database!$B$1:$IX$10144,AH$22,FALSE)))</f>
        <v>1.5</v>
      </c>
      <c r="AI50" s="22">
        <f>IF(OR($B50="",AI$22=""),"",IF(LEN(VLOOKUP($B50,Database!$B$1:$IX$10144,AI$22,FALSE))=0,"",VLOOKUP($B50,Database!$B$1:$IX$10144,AI$22,FALSE)))</f>
        <v>1</v>
      </c>
      <c r="AJ50" s="22" t="str">
        <f>IF(OR($B50="",AJ$22=""),"",IF(LEN(VLOOKUP($B50,Database!$B$1:$IX$10144,AJ$22,FALSE))=0,"",VLOOKUP($B50,Database!$B$1:$IX$10144,AJ$22,FALSE)))</f>
        <v/>
      </c>
      <c r="AK50" s="83">
        <v>34.1</v>
      </c>
      <c r="AL50" s="83">
        <v>21.08</v>
      </c>
      <c r="AM50" s="22">
        <f>IF(OR($B50="",AM$22=""),"",IF(LEN(VLOOKUP($B50,Database!$B$1:$IX$10144,AM$22,FALSE))=0,"",VLOOKUP($B50,Database!$B$1:$IX$10144,AM$22,FALSE)))</f>
        <v>0</v>
      </c>
      <c r="AN50" s="22" t="str">
        <f>IF(OR($B50="",AN$22=""),"",IF(LEN(VLOOKUP($B50,Database!$B$1:$IX$10144,AN$22,FALSE))=0,"",VLOOKUP($B50,Database!$B$1:$IX$10144,AN$22,FALSE)))</f>
        <v>ns</v>
      </c>
      <c r="AO50" s="22" t="str">
        <f>IF(OR($B50="",AO$22=""),"",IF(LEN(VLOOKUP($B50,Database!$B$1:$IX$10144,AO$22,FALSE))=0,"",VLOOKUP($B50,Database!$B$1:$IX$10144,AO$22,FALSE)))</f>
        <v>ns</v>
      </c>
      <c r="AP50" s="22" t="str">
        <f>IF(OR($B50="",AP$22=""),"",IF(LEN(VLOOKUP($B50,Database!$B$1:$IX$10144,AP$22,FALSE))=0,"",VLOOKUP($B50,Database!$B$1:$IX$10144,AP$22,FALSE)))</f>
        <v>ns</v>
      </c>
      <c r="AQ50" s="22" t="str">
        <f>IF(OR($B50="",AQ$22=""),"",IF(LEN(VLOOKUP($B50,Database!$B$1:$IX$10144,AQ$22,FALSE))=0,"",VLOOKUP($B50,Database!$B$1:$IX$10144,AQ$22,FALSE)))</f>
        <v>van Eijndhoven P, van Wingen G, van Oijen K, Rijpkema M, Goraj B, Jan Verkes R, Oude Voshaar R, Fernández G, Buitelaar J, Tendolkar I.</v>
      </c>
      <c r="AR50" s="13"/>
      <c r="AU50" s="13"/>
      <c r="BC50" s="23"/>
      <c r="BF50" s="136"/>
      <c r="BG50" s="136"/>
      <c r="BH50" s="136"/>
      <c r="BI50" s="136"/>
    </row>
    <row r="51" spans="1:61">
      <c r="B51">
        <v>19028381</v>
      </c>
      <c r="C51" s="1" t="str">
        <f>IF($B51="","",HYPERLINK(IF(LEN(VLOOKUP($B51,Database!$B$1:$IX$10144,2,FALSE))=0,"",VLOOKUP($B51,Database!$B$1:$IX$10144,2,FALSE))))</f>
        <v/>
      </c>
      <c r="D51" s="1" t="str">
        <f t="shared" si="2"/>
        <v>http://www.ncbi.nlm.nih.gov/pubmed/19028381</v>
      </c>
      <c r="E51" s="22" t="str">
        <f>IF($B51="","",IF(LEN(VLOOKUP($B51,Database!$B$1:$IX$10144,4,FALSE))=0,"",VLOOKUP($B51,Database!$B$1:$IX$10144,4,FALSE)))</f>
        <v>van Eijndhoven P</v>
      </c>
      <c r="F51" s="22">
        <f>IF($B51="","",IF(LEN(VLOOKUP($B51,Database!$B$1:$IX$10144,5,FALSE))=0,"",VLOOKUP($B51,Database!$B$1:$IX$10144,5,FALSE)))</f>
        <v>2009</v>
      </c>
      <c r="G51" s="1" t="str">
        <f>IF($B51="","",HYPERLINK(IF(LEN(VLOOKUP($B51,Database!$B$1:$IX$10144,6,FALSE))=0,"",VLOOKUP($B51,Database!$B$1:$IX$10144,6,FALSE))))</f>
        <v>http://dx.doi.org/10.1016/j.biopsych.2008.10.027</v>
      </c>
      <c r="H51" s="83">
        <v>20</v>
      </c>
      <c r="I51" s="83">
        <v>10</v>
      </c>
      <c r="J51" t="s">
        <v>649</v>
      </c>
      <c r="K51" t="s">
        <v>357</v>
      </c>
      <c r="T51">
        <v>1203</v>
      </c>
      <c r="U51">
        <v>112</v>
      </c>
      <c r="V51">
        <v>1214</v>
      </c>
      <c r="W51">
        <v>99</v>
      </c>
      <c r="Y51" s="22" t="str">
        <f>IF(OR($B51="",Y$22=""),"",IF(LEN(VLOOKUP($B51,Database!$B$1:$IX$10144,Y$22,FALSE))=0,"",VLOOKUP($B51,Database!$B$1:$IX$10144,Y$22,FALSE)))</f>
        <v>DSM-IV</v>
      </c>
      <c r="Z51" s="22" t="str">
        <f>IF(OR($B51="",Z$22=""),"",IF(LEN(VLOOKUP($B51,Database!$B$1:$IX$10144,Z$22,FALSE))=0,"",VLOOKUP($B51,Database!$B$1:$IX$10144,Z$22,FALSE)))</f>
        <v>MRI</v>
      </c>
      <c r="AA51" s="214" t="s">
        <v>2448</v>
      </c>
      <c r="AB51" s="83">
        <v>35.799999999999997</v>
      </c>
      <c r="AC51" s="83">
        <v>11.7</v>
      </c>
      <c r="AD51" s="22">
        <f>IF(OR($B51="",AD$22=""),"",IF(LEN(VLOOKUP($B51,Database!$B$1:$IX$10144,AD$22,FALSE))=0,"",VLOOKUP($B51,Database!$B$1:$IX$10144,AD$22,FALSE)))</f>
        <v>37.299999999999997</v>
      </c>
      <c r="AE51" s="22">
        <f>IF(OR($B51="",AE$22=""),"",IF(LEN(VLOOKUP($B51,Database!$B$1:$IX$10144,AE$22,FALSE))=0,"",VLOOKUP($B51,Database!$B$1:$IX$10144,AE$22,FALSE)))</f>
        <v>12.7</v>
      </c>
      <c r="AF51" s="214">
        <v>14</v>
      </c>
      <c r="AG51" s="22">
        <f>IF(OR($B51="",AG$22=""),"",IF(LEN(VLOOKUP($B51,Database!$B$1:$IX$10144,AG$22,FALSE))=0,"",VLOOKUP($B51,Database!$B$1:$IX$10144,AG$22,FALSE)))</f>
        <v>13</v>
      </c>
      <c r="AH51" s="22">
        <f>IF(OR($B51="",AH$22=""),"",IF(LEN(VLOOKUP($B51,Database!$B$1:$IX$10144,AH$22,FALSE))=0,"",VLOOKUP($B51,Database!$B$1:$IX$10144,AH$22,FALSE)))</f>
        <v>1.5</v>
      </c>
      <c r="AI51" s="22">
        <f>IF(OR($B51="",AI$22=""),"",IF(LEN(VLOOKUP($B51,Database!$B$1:$IX$10144,AI$22,FALSE))=0,"",VLOOKUP($B51,Database!$B$1:$IX$10144,AI$22,FALSE)))</f>
        <v>1</v>
      </c>
      <c r="AJ51" s="22" t="str">
        <f>IF(OR($B51="",AJ$22=""),"",IF(LEN(VLOOKUP($B51,Database!$B$1:$IX$10144,AJ$22,FALSE))=0,"",VLOOKUP($B51,Database!$B$1:$IX$10144,AJ$22,FALSE)))</f>
        <v/>
      </c>
      <c r="AK51" s="83">
        <v>33.4</v>
      </c>
      <c r="AL51" s="83">
        <v>3.4</v>
      </c>
      <c r="AM51" s="22">
        <f>IF(OR($B51="",AM$22=""),"",IF(LEN(VLOOKUP($B51,Database!$B$1:$IX$10144,AM$22,FALSE))=0,"",VLOOKUP($B51,Database!$B$1:$IX$10144,AM$22,FALSE)))</f>
        <v>0</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2" t="str">
        <f>IF(OR($B51="",AQ$22=""),"",IF(LEN(VLOOKUP($B51,Database!$B$1:$IX$10144,AQ$22,FALSE))=0,"",VLOOKUP($B51,Database!$B$1:$IX$10144,AQ$22,FALSE)))</f>
        <v>van Eijndhoven P, van Wingen G, van Oijen K, Rijpkema M, Goraj B, Jan Verkes R, Oude Voshaar R, Fernández G, Buitelaar J, Tendolkar I.</v>
      </c>
      <c r="AR51" s="13"/>
      <c r="AU51" s="13"/>
      <c r="BC51" s="23"/>
      <c r="BF51" s="136"/>
      <c r="BG51" s="136"/>
      <c r="BH51" s="136"/>
      <c r="BI51" s="136"/>
    </row>
    <row r="52" spans="1:61">
      <c r="B52" s="2">
        <v>19394960</v>
      </c>
      <c r="C52" s="1" t="str">
        <f>IF($B52="","",HYPERLINK(IF(LEN(VLOOKUP($B52,Database!$B$1:$IX$10144,2,FALSE))=0,"",VLOOKUP($B52,Database!$B$1:$IX$10144,2,FALSE))))</f>
        <v/>
      </c>
      <c r="D52" s="1" t="str">
        <f t="shared" si="2"/>
        <v>http://www.ncbi.nlm.nih.gov/pubmed/19394960</v>
      </c>
      <c r="E52" s="22" t="str">
        <f>IF($B52="","",IF(LEN(VLOOKUP($B52,Database!$B$1:$IX$10144,4,FALSE))=0,"",VLOOKUP($B52,Database!$B$1:$IX$10144,4,FALSE)))</f>
        <v>Kronenberg G</v>
      </c>
      <c r="F52" s="22">
        <f>IF($B52="","",IF(LEN(VLOOKUP($B52,Database!$B$1:$IX$10144,5,FALSE))=0,"",VLOOKUP($B52,Database!$B$1:$IX$10144,5,FALSE)))</f>
        <v>2009</v>
      </c>
      <c r="G52" s="1" t="str">
        <f>IF($B52="","",HYPERLINK(IF(LEN(VLOOKUP($B52,Database!$B$1:$IX$10144,6,FALSE))=0,"",VLOOKUP($B52,Database!$B$1:$IX$10144,6,FALSE))))</f>
        <v>http://dx.doi.org/10.1016/j.jpsychires.2009.03.007</v>
      </c>
      <c r="H52" s="22">
        <f>IF($B52="","",IF(LEN(VLOOKUP($B52,Database!$B$1:$IX$10144,7,FALSE))=0,"",VLOOKUP($B52,Database!$B$1:$IX$10144,7,FALSE)))</f>
        <v>24</v>
      </c>
      <c r="I52" s="22">
        <f>IF($B52="","",IF(LEN(VLOOKUP($B52,Database!$B$1:$IX$10144,8,FALSE))=0,"",VLOOKUP($B52,Database!$B$1:$IX$10144,8,FALSE)))</f>
        <v>14</v>
      </c>
      <c r="J52" t="s">
        <v>273</v>
      </c>
      <c r="T52">
        <v>1057.5</v>
      </c>
      <c r="U52">
        <v>96.1</v>
      </c>
      <c r="V52">
        <v>1096.7</v>
      </c>
      <c r="W52">
        <v>113.5</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54.5</v>
      </c>
      <c r="AC52" s="22">
        <f>IF(OR($B52="",AC$22=""),"",IF(LEN(VLOOKUP($B52,Database!$B$1:$IX$10144,AC$22,FALSE))=0,"",VLOOKUP($B52,Database!$B$1:$IX$10144,AC$22,FALSE)))</f>
        <v>11.9</v>
      </c>
      <c r="AD52" s="22">
        <f>IF(OR($B52="",AD$22=""),"",IF(LEN(VLOOKUP($B52,Database!$B$1:$IX$10144,AD$22,FALSE))=0,"",VLOOKUP($B52,Database!$B$1:$IX$10144,AD$22,FALSE)))</f>
        <v>53.8</v>
      </c>
      <c r="AE52" s="22">
        <f>IF(OR($B52="",AE$22=""),"",IF(LEN(VLOOKUP($B52,Database!$B$1:$IX$10144,AE$22,FALSE))=0,"",VLOOKUP($B52,Database!$B$1:$IX$10144,AE$22,FALSE)))</f>
        <v>17.7</v>
      </c>
      <c r="AF52" s="22">
        <f>IF(OR($B52="",AF$22=""),"",IF(LEN(VLOOKUP($B52,Database!$B$1:$IX$10144,AF$22,FALSE))=0,"",VLOOKUP($B52,Database!$B$1:$IX$10144,AF$22,FALSE)))</f>
        <v>15</v>
      </c>
      <c r="AG52" s="22">
        <f>IF(OR($B52="",AG$22=""),"",IF(LEN(VLOOKUP($B52,Database!$B$1:$IX$10144,AG$22,FALSE))=0,"",VLOOKUP($B52,Database!$B$1:$IX$10144,AG$22,FALSE)))</f>
        <v>8</v>
      </c>
      <c r="AH52" s="22">
        <f>IF(OR($B52="",AH$22=""),"",IF(LEN(VLOOKUP($B52,Database!$B$1:$IX$10144,AH$22,FALSE))=0,"",VLOOKUP($B52,Database!$B$1:$IX$10144,AH$22,FALSE)))</f>
        <v>1.5</v>
      </c>
      <c r="AI52" s="22">
        <f>IF(OR($B52="",AI$22=""),"",IF(LEN(VLOOKUP($B52,Database!$B$1:$IX$10144,AI$22,FALSE))=0,"",VLOOKUP($B52,Database!$B$1:$IX$10144,AI$22,FALSE)))</f>
        <v>1.05</v>
      </c>
      <c r="AJ52" s="22" t="str">
        <f>IF(OR($B52="",AJ$22=""),"",IF(LEN(VLOOKUP($B52,Database!$B$1:$IX$10144,AJ$22,FALSE))=0,"",VLOOKUP($B52,Database!$B$1:$IX$10144,AJ$22,FALSE)))</f>
        <v/>
      </c>
      <c r="AK52" s="22" t="str">
        <f>IF(OR($B52="",AK$22=""),"",IF(LEN(VLOOKUP($B52,Database!$B$1:$IX$10144,AK$22,FALSE))=0,"",VLOOKUP($B52,Database!$B$1:$IX$10144,AK$22,FALSE)))</f>
        <v>ns</v>
      </c>
      <c r="AL52" s="22">
        <f>IF(OR($B52="",AL$22=""),"",IF(LEN(VLOOKUP($B52,Database!$B$1:$IX$10144,AL$22,FALSE))=0,"",VLOOKUP($B52,Database!$B$1:$IX$10144,AL$22,FALSE)))</f>
        <v>25.3</v>
      </c>
      <c r="AM52" s="22">
        <f>IF(OR($B52="",AM$22=""),"",IF(LEN(VLOOKUP($B52,Database!$B$1:$IX$10144,AM$22,FALSE))=0,"",VLOOKUP($B52,Database!$B$1:$IX$10144,AM$22,FALSE)))</f>
        <v>0</v>
      </c>
      <c r="AN52" s="22">
        <f>IF(OR($B52="",AN$22=""),"",IF(LEN(VLOOKUP($B52,Database!$B$1:$IX$10144,AN$22,FALSE))=0,"",VLOOKUP($B52,Database!$B$1:$IX$10144,AN$22,FALSE)))</f>
        <v>0</v>
      </c>
      <c r="AO52" s="22">
        <f>IF(OR($B52="",AO$22=""),"",IF(LEN(VLOOKUP($B52,Database!$B$1:$IX$10144,AO$22,FALSE))=0,"",VLOOKUP($B52,Database!$B$1:$IX$10144,AO$22,FALSE)))</f>
        <v>0</v>
      </c>
      <c r="AP52" s="22" t="str">
        <f>IF(OR($B52="",AP$22=""),"",IF(LEN(VLOOKUP($B52,Database!$B$1:$IX$10144,AP$22,FALSE))=0,"",VLOOKUP($B52,Database!$B$1:$IX$10144,AP$22,FALSE)))</f>
        <v>ns</v>
      </c>
      <c r="AQ52" s="22" t="str">
        <f>IF(OR($B52="",AQ$22=""),"",IF(LEN(VLOOKUP($B52,Database!$B$1:$IX$10144,AQ$22,FALSE))=0,"",VLOOKUP($B52,Database!$B$1:$IX$10144,AQ$22,FALSE)))</f>
        <v>Kronenberg G, Tebartz van Elst L, Regen F, Deuschle M, Heuser I, Colla M.</v>
      </c>
      <c r="AR52" s="13"/>
      <c r="BC52" s="23"/>
      <c r="BF52" s="136"/>
      <c r="BG52" s="136"/>
      <c r="BH52" s="136"/>
      <c r="BI52" s="136"/>
    </row>
    <row r="53" spans="1:61">
      <c r="B53" s="2">
        <v>19345999</v>
      </c>
      <c r="C53" s="1" t="str">
        <f>IF($B53="","",HYPERLINK(IF(LEN(VLOOKUP($B53,Database!$B$1:$IX$10144,2,FALSE))=0,"",VLOOKUP($B53,Database!$B$1:$IX$10144,2,FALSE))))</f>
        <v/>
      </c>
      <c r="D53" s="1" t="str">
        <f t="shared" si="2"/>
        <v>http://www.ncbi.nlm.nih.gov/pubmed/19345999</v>
      </c>
      <c r="E53" s="22" t="str">
        <f>IF($B53="","",IF(LEN(VLOOKUP($B53,Database!$B$1:$IX$10144,4,FALSE))=0,"",VLOOKUP($B53,Database!$B$1:$IX$10144,4,FALSE)))</f>
        <v>Exner C</v>
      </c>
      <c r="F53" s="22">
        <f>IF($B53="","",IF(LEN(VLOOKUP($B53,Database!$B$1:$IX$10144,5,FALSE))=0,"",VLOOKUP($B53,Database!$B$1:$IX$10144,5,FALSE)))</f>
        <v>2009</v>
      </c>
      <c r="G53" s="1" t="str">
        <f>IF($B53="","",HYPERLINK(IF(LEN(VLOOKUP($B53,Database!$B$1:$IX$10144,6,FALSE))=0,"",VLOOKUP($B53,Database!$B$1:$IX$10144,6,FALSE))))</f>
        <v>http://dx.doi.org/10.1016/j.jad.2009.03.015</v>
      </c>
      <c r="H53" s="83">
        <v>26</v>
      </c>
      <c r="I53" s="83">
        <v>13</v>
      </c>
      <c r="J53" t="s">
        <v>707</v>
      </c>
      <c r="K53" s="13" t="s">
        <v>131</v>
      </c>
      <c r="T53">
        <v>1207</v>
      </c>
      <c r="U53">
        <v>130</v>
      </c>
      <c r="V53">
        <v>1212</v>
      </c>
      <c r="W53">
        <v>131</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83">
        <v>35</v>
      </c>
      <c r="AC53" s="83">
        <v>10.5</v>
      </c>
      <c r="AD53" s="22">
        <f>IF(OR($B53="",AD$22=""),"",IF(LEN(VLOOKUP($B53,Database!$B$1:$IX$10144,AD$22,FALSE))=0,"",VLOOKUP($B53,Database!$B$1:$IX$10144,AD$22,FALSE)))</f>
        <v>33</v>
      </c>
      <c r="AE53" s="22">
        <f>IF(OR($B53="",AE$22=""),"",IF(LEN(VLOOKUP($B53,Database!$B$1:$IX$10144,AE$22,FALSE))=0,"",VLOOKUP($B53,Database!$B$1:$IX$10144,AE$22,FALSE)))</f>
        <v>8.9</v>
      </c>
      <c r="AF53" s="83">
        <v>20</v>
      </c>
      <c r="AG53" s="22">
        <f>IF(OR($B53="",AG$22=""),"",IF(LEN(VLOOKUP($B53,Database!$B$1:$IX$10144,AG$22,FALSE))=0,"",VLOOKUP($B53,Database!$B$1:$IX$10144,AG$22,FALSE)))</f>
        <v>18</v>
      </c>
      <c r="AH53" s="22">
        <f>IF(OR($B53="",AH$22=""),"",IF(LEN(VLOOKUP($B53,Database!$B$1:$IX$10144,AH$22,FALSE))=0,"",VLOOKUP($B53,Database!$B$1:$IX$10144,AH$22,FALSE)))</f>
        <v>1.5</v>
      </c>
      <c r="AI53" s="22">
        <f>IF(OR($B53="",AI$22=""),"",IF(LEN(VLOOKUP($B53,Database!$B$1:$IX$10144,AI$22,FALSE))=0,"",VLOOKUP($B53,Database!$B$1:$IX$10144,AI$22,FALSE)))</f>
        <v>1.3</v>
      </c>
      <c r="AJ53" s="22" t="str">
        <f>IF(OR($B53="",AJ$22=""),"",IF(LEN(VLOOKUP($B53,Database!$B$1:$IX$10144,AJ$22,FALSE))=0,"",VLOOKUP($B53,Database!$B$1:$IX$10144,AJ$22,FALSE)))</f>
        <v/>
      </c>
      <c r="AK53" s="217">
        <v>29.7</v>
      </c>
      <c r="AL53" s="214">
        <v>22.1</v>
      </c>
      <c r="AM53" s="22">
        <f>IF(OR($B53="",AM$22=""),"",IF(LEN(VLOOKUP($B53,Database!$B$1:$IX$10144,AM$22,FALSE))=0,"",VLOOKUP($B53,Database!$B$1:$IX$10144,AM$22,FALSE)))</f>
        <v>85.714285714285708</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Exner C, Lange C, Irle E.</v>
      </c>
      <c r="AR53" s="13"/>
      <c r="AU53" s="13"/>
      <c r="BC53" s="23"/>
      <c r="BF53" s="136"/>
      <c r="BG53" s="136"/>
      <c r="BH53" s="136"/>
      <c r="BI53" s="136"/>
    </row>
    <row r="54" spans="1:61">
      <c r="B54" s="2">
        <v>19345999</v>
      </c>
      <c r="C54" s="1" t="str">
        <f>IF($B54="","",HYPERLINK(IF(LEN(VLOOKUP($B54,Database!$B$1:$IX$10144,2,FALSE))=0,"",VLOOKUP($B54,Database!$B$1:$IX$10144,2,FALSE))))</f>
        <v/>
      </c>
      <c r="D54" s="1" t="str">
        <f t="shared" si="2"/>
        <v>http://www.ncbi.nlm.nih.gov/pubmed/19345999</v>
      </c>
      <c r="E54" s="22" t="str">
        <f>IF($B54="","",IF(LEN(VLOOKUP($B54,Database!$B$1:$IX$10144,4,FALSE))=0,"",VLOOKUP($B54,Database!$B$1:$IX$10144,4,FALSE)))</f>
        <v>Exner C</v>
      </c>
      <c r="F54" s="22">
        <f>IF($B54="","",IF(LEN(VLOOKUP($B54,Database!$B$1:$IX$10144,5,FALSE))=0,"",VLOOKUP($B54,Database!$B$1:$IX$10144,5,FALSE)))</f>
        <v>2009</v>
      </c>
      <c r="G54" s="1" t="str">
        <f>IF($B54="","",HYPERLINK(IF(LEN(VLOOKUP($B54,Database!$B$1:$IX$10144,6,FALSE))=0,"",VLOOKUP($B54,Database!$B$1:$IX$10144,6,FALSE))))</f>
        <v>http://dx.doi.org/10.1016/j.jad.2009.03.015</v>
      </c>
      <c r="H54" s="83">
        <v>9</v>
      </c>
      <c r="I54" s="83">
        <v>13</v>
      </c>
      <c r="J54" t="s">
        <v>707</v>
      </c>
      <c r="K54" t="s">
        <v>130</v>
      </c>
      <c r="T54">
        <v>1233</v>
      </c>
      <c r="U54">
        <v>127</v>
      </c>
      <c r="V54">
        <v>1212</v>
      </c>
      <c r="W54">
        <v>131</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83">
        <v>33</v>
      </c>
      <c r="AC54" s="83">
        <v>10</v>
      </c>
      <c r="AD54" s="22">
        <f>IF(OR($B54="",AD$22=""),"",IF(LEN(VLOOKUP($B54,Database!$B$1:$IX$10144,AD$22,FALSE))=0,"",VLOOKUP($B54,Database!$B$1:$IX$10144,AD$22,FALSE)))</f>
        <v>33</v>
      </c>
      <c r="AE54" s="22">
        <f>IF(OR($B54="",AE$22=""),"",IF(LEN(VLOOKUP($B54,Database!$B$1:$IX$10144,AE$22,FALSE))=0,"",VLOOKUP($B54,Database!$B$1:$IX$10144,AE$22,FALSE)))</f>
        <v>8.9</v>
      </c>
      <c r="AF54" s="83">
        <v>4</v>
      </c>
      <c r="AG54" s="22">
        <f>IF(OR($B54="",AG$22=""),"",IF(LEN(VLOOKUP($B54,Database!$B$1:$IX$10144,AG$22,FALSE))=0,"",VLOOKUP($B54,Database!$B$1:$IX$10144,AG$22,FALSE)))</f>
        <v>18</v>
      </c>
      <c r="AH54" s="22">
        <f>IF(OR($B54="",AH$22=""),"",IF(LEN(VLOOKUP($B54,Database!$B$1:$IX$10144,AH$22,FALSE))=0,"",VLOOKUP($B54,Database!$B$1:$IX$10144,AH$22,FALSE)))</f>
        <v>1.5</v>
      </c>
      <c r="AI54" s="22">
        <f>IF(OR($B54="",AI$22=""),"",IF(LEN(VLOOKUP($B54,Database!$B$1:$IX$10144,AI$22,FALSE))=0,"",VLOOKUP($B54,Database!$B$1:$IX$10144,AI$22,FALSE)))</f>
        <v>1.3</v>
      </c>
      <c r="AJ54" s="22" t="str">
        <f>IF(OR($B54="",AJ$22=""),"",IF(LEN(VLOOKUP($B54,Database!$B$1:$IX$10144,AJ$22,FALSE))=0,"",VLOOKUP($B54,Database!$B$1:$IX$10144,AJ$22,FALSE)))</f>
        <v/>
      </c>
      <c r="AK54" s="214">
        <v>30.3</v>
      </c>
      <c r="AL54" s="214">
        <v>16.3</v>
      </c>
      <c r="AM54" s="22">
        <f>IF(OR($B54="",AM$22=""),"",IF(LEN(VLOOKUP($B54,Database!$B$1:$IX$10144,AM$22,FALSE))=0,"",VLOOKUP($B54,Database!$B$1:$IX$10144,AM$22,FALSE)))</f>
        <v>85.714285714285708</v>
      </c>
      <c r="AN54" s="22" t="str">
        <f>IF(OR($B54="",AN$22=""),"",IF(LEN(VLOOKUP($B54,Database!$B$1:$IX$10144,AN$22,FALSE))=0,"",VLOOKUP($B54,Database!$B$1:$IX$10144,AN$22,FALSE)))</f>
        <v>ns</v>
      </c>
      <c r="AO54" s="22" t="str">
        <f>IF(OR($B54="",AO$22=""),"",IF(LEN(VLOOKUP($B54,Database!$B$1:$IX$10144,AO$22,FALSE))=0,"",VLOOKUP($B54,Database!$B$1:$IX$10144,AO$22,FALSE)))</f>
        <v>ns</v>
      </c>
      <c r="AP54" s="22" t="str">
        <f>IF(OR($B54="",AP$22=""),"",IF(LEN(VLOOKUP($B54,Database!$B$1:$IX$10144,AP$22,FALSE))=0,"",VLOOKUP($B54,Database!$B$1:$IX$10144,AP$22,FALSE)))</f>
        <v>ns</v>
      </c>
      <c r="AQ54" s="22" t="str">
        <f>IF(OR($B54="",AQ$22=""),"",IF(LEN(VLOOKUP($B54,Database!$B$1:$IX$10144,AQ$22,FALSE))=0,"",VLOOKUP($B54,Database!$B$1:$IX$10144,AQ$22,FALSE)))</f>
        <v>Exner C, Lange C, Irle E.</v>
      </c>
      <c r="AR54" s="13"/>
      <c r="AU54" s="13"/>
      <c r="BC54" s="23"/>
      <c r="BF54" s="136"/>
      <c r="BG54" s="136"/>
      <c r="BH54" s="136"/>
      <c r="BI54" s="136"/>
    </row>
    <row r="55" spans="1:61">
      <c r="B55" s="2">
        <v>19756819</v>
      </c>
      <c r="C55" s="1" t="str">
        <f>IF($B55="","",HYPERLINK(IF(LEN(VLOOKUP($B55,Database!$B$1:$IX$10144,2,FALSE))=0,"",VLOOKUP($B55,Database!$B$1:$IX$10144,2,FALSE))))</f>
        <v/>
      </c>
      <c r="D55" s="1" t="str">
        <f t="shared" si="2"/>
        <v>http://www.ncbi.nlm.nih.gov/pubmed/19756819</v>
      </c>
      <c r="E55" s="22" t="str">
        <f>IF($B55="","",IF(LEN(VLOOKUP($B55,Database!$B$1:$IX$10144,4,FALSE))=0,"",VLOOKUP($B55,Database!$B$1:$IX$10144,4,FALSE)))</f>
        <v>Kaymak SU</v>
      </c>
      <c r="F55" s="22">
        <f>IF($B55="","",IF(LEN(VLOOKUP($B55,Database!$B$1:$IX$10144,5,FALSE))=0,"",VLOOKUP($B55,Database!$B$1:$IX$10144,5,FALSE)))</f>
        <v>2009</v>
      </c>
      <c r="G55" s="1" t="str">
        <f>IF($B55="","",HYPERLINK(IF(LEN(VLOOKUP($B55,Database!$B$1:$IX$10144,6,FALSE))=0,"",VLOOKUP($B55,Database!$B$1:$IX$10144,6,FALSE))))</f>
        <v>http://dx.doi.org/10.1007/s00406-009-0045-x</v>
      </c>
      <c r="H55" s="22">
        <f>IF($B55="","",IF(LEN(VLOOKUP($B55,Database!$B$1:$IX$10144,7,FALSE))=0,"",VLOOKUP($B55,Database!$B$1:$IX$10144,7,FALSE)))</f>
        <v>20</v>
      </c>
      <c r="I55" s="22">
        <f>IF($B55="","",IF(LEN(VLOOKUP($B55,Database!$B$1:$IX$10144,8,FALSE))=0,"",VLOOKUP($B55,Database!$B$1:$IX$10144,8,FALSE)))</f>
        <v>15</v>
      </c>
      <c r="J55" t="s">
        <v>1174</v>
      </c>
      <c r="T55">
        <v>877.32</v>
      </c>
      <c r="U55">
        <v>54.54</v>
      </c>
      <c r="V55">
        <v>889.26</v>
      </c>
      <c r="W55">
        <v>45.51</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32</v>
      </c>
      <c r="AC55" s="22">
        <f>IF(OR($B55="",AC$22=""),"",IF(LEN(VLOOKUP($B55,Database!$B$1:$IX$10144,AC$22,FALSE))=0,"",VLOOKUP($B55,Database!$B$1:$IX$10144,AC$22,FALSE)))</f>
        <v>8.52</v>
      </c>
      <c r="AD55" s="22">
        <f>IF(OR($B55="",AD$22=""),"",IF(LEN(VLOOKUP($B55,Database!$B$1:$IX$10144,AD$22,FALSE))=0,"",VLOOKUP($B55,Database!$B$1:$IX$10144,AD$22,FALSE)))</f>
        <v>29.3</v>
      </c>
      <c r="AE55" s="22">
        <f>IF(OR($B55="",AE$22=""),"",IF(LEN(VLOOKUP($B55,Database!$B$1:$IX$10144,AE$22,FALSE))=0,"",VLOOKUP($B55,Database!$B$1:$IX$10144,AE$22,FALSE)))</f>
        <v>5.8</v>
      </c>
      <c r="AF55" s="22">
        <f>IF(OR($B55="",AF$22=""),"",IF(LEN(VLOOKUP($B55,Database!$B$1:$IX$10144,AF$22,FALSE))=0,"",VLOOKUP($B55,Database!$B$1:$IX$10144,AF$22,FALSE)))</f>
        <v>20</v>
      </c>
      <c r="AG55" s="22">
        <f>IF(OR($B55="",AG$22=""),"",IF(LEN(VLOOKUP($B55,Database!$B$1:$IX$10144,AG$22,FALSE))=0,"",VLOOKUP($B55,Database!$B$1:$IX$10144,AG$22,FALSE)))</f>
        <v>15</v>
      </c>
      <c r="AH55" s="22">
        <f>IF(OR($B55="",AH$22=""),"",IF(LEN(VLOOKUP($B55,Database!$B$1:$IX$10144,AH$22,FALSE))=0,"",VLOOKUP($B55,Database!$B$1:$IX$10144,AH$22,FALSE)))</f>
        <v>3</v>
      </c>
      <c r="AI55" s="22">
        <f>IF(OR($B55="",AI$22=""),"",IF(LEN(VLOOKUP($B55,Database!$B$1:$IX$10144,AI$22,FALSE))=0,"",VLOOKUP($B55,Database!$B$1:$IX$10144,AI$22,FALSE)))</f>
        <v>1</v>
      </c>
      <c r="AJ55" s="22" t="str">
        <f>IF(OR($B55="",AJ$22=""),"",IF(LEN(VLOOKUP($B55,Database!$B$1:$IX$10144,AJ$22,FALSE))=0,"",VLOOKUP($B55,Database!$B$1:$IX$10144,AJ$22,FALSE)))</f>
        <v/>
      </c>
      <c r="AK55" s="22" t="str">
        <f>IF(OR($B55="",AK$22=""),"",IF(LEN(VLOOKUP($B55,Database!$B$1:$IX$10144,AK$22,FALSE))=0,"",VLOOKUP($B55,Database!$B$1:$IX$10144,AK$22,FALSE)))</f>
        <v>ns</v>
      </c>
      <c r="AL55" s="22">
        <f>IF(OR($B55="",AL$22=""),"",IF(LEN(VLOOKUP($B55,Database!$B$1:$IX$10144,AL$22,FALSE))=0,"",VLOOKUP($B55,Database!$B$1:$IX$10144,AL$22,FALSE)))</f>
        <v>23.1</v>
      </c>
      <c r="AM55" s="22">
        <f>IF(OR($B55="",AM$22=""),"",IF(LEN(VLOOKUP($B55,Database!$B$1:$IX$10144,AM$22,FALSE))=0,"",VLOOKUP($B55,Database!$B$1:$IX$10144,AM$22,FALSE)))</f>
        <v>0</v>
      </c>
      <c r="AN55" s="22">
        <f>IF(OR($B55="",AN$22=""),"",IF(LEN(VLOOKUP($B55,Database!$B$1:$IX$10144,AN$22,FALSE))=0,"",VLOOKUP($B55,Database!$B$1:$IX$10144,AN$22,FALSE)))</f>
        <v>0</v>
      </c>
      <c r="AO55" s="22">
        <f>IF(OR($B55="",AO$22=""),"",IF(LEN(VLOOKUP($B55,Database!$B$1:$IX$10144,AO$22,FALSE))=0,"",VLOOKUP($B55,Database!$B$1:$IX$10144,AO$22,FALSE)))</f>
        <v>0</v>
      </c>
      <c r="AP55" s="22">
        <f>IF(OR($B55="",AP$22=""),"",IF(LEN(VLOOKUP($B55,Database!$B$1:$IX$10144,AP$22,FALSE))=0,"",VLOOKUP($B55,Database!$B$1:$IX$10144,AP$22,FALSE)))</f>
        <v>100</v>
      </c>
      <c r="AQ55" s="22" t="str">
        <f>IF(OR($B55="",AQ$22=""),"",IF(LEN(VLOOKUP($B55,Database!$B$1:$IX$10144,AQ$22,FALSE))=0,"",VLOOKUP($B55,Database!$B$1:$IX$10144,AQ$22,FALSE)))</f>
        <v>Kaymak SU, Demir B, Sentürk S, Tatar I, Aldur MM, Uluğ B.</v>
      </c>
      <c r="AR55" s="13"/>
      <c r="BC55" s="23"/>
      <c r="BF55" s="136"/>
      <c r="BG55" s="136"/>
      <c r="BH55" s="136"/>
      <c r="BI55" s="136"/>
    </row>
    <row r="56" spans="1:61">
      <c r="A56" s="10"/>
      <c r="B56" s="2">
        <v>20118461</v>
      </c>
      <c r="C56" s="1" t="str">
        <f>IF($B56="","",HYPERLINK(IF(LEN(VLOOKUP($B56,Database!$B$1:$IX$10144,2,FALSE))=0,"",VLOOKUP($B56,Database!$B$1:$IX$10144,2,FALSE))))</f>
        <v/>
      </c>
      <c r="D56" s="1" t="str">
        <f t="shared" si="2"/>
        <v>http://www.ncbi.nlm.nih.gov/pubmed/20118461</v>
      </c>
      <c r="E56" s="22" t="str">
        <f>IF($B56="","",IF(LEN(VLOOKUP($B56,Database!$B$1:$IX$10144,4,FALSE))=0,"",VLOOKUP($B56,Database!$B$1:$IX$10144,4,FALSE)))</f>
        <v>Köhler S</v>
      </c>
      <c r="F56" s="22">
        <f>IF($B56="","",IF(LEN(VLOOKUP($B56,Database!$B$1:$IX$10144,5,FALSE))=0,"",VLOOKUP($B56,Database!$B$1:$IX$10144,5,FALSE)))</f>
        <v>2010</v>
      </c>
      <c r="G56" s="1" t="str">
        <f>IF($B56="","",HYPERLINK(IF(LEN(VLOOKUP($B56,Database!$B$1:$IX$10144,6,FALSE))=0,"",VLOOKUP($B56,Database!$B$1:$IX$10144,6,FALSE))))</f>
        <v>http://bjp.rcpsych.org/cgi/reprint/196/2/143</v>
      </c>
      <c r="H56" s="22">
        <f>IF($B56="","",IF(LEN(VLOOKUP($B56,Database!$B$1:$IX$10144,7,FALSE))=0,"",VLOOKUP($B56,Database!$B$1:$IX$10144,7,FALSE)))</f>
        <v>35</v>
      </c>
      <c r="I56" s="22">
        <f>IF($B56="","",IF(LEN(VLOOKUP($B56,Database!$B$1:$IX$10144,8,FALSE))=0,"",VLOOKUP($B56,Database!$B$1:$IX$10144,8,FALSE)))</f>
        <v>29</v>
      </c>
      <c r="J56" t="s">
        <v>132</v>
      </c>
      <c r="T56">
        <v>965</v>
      </c>
      <c r="U56">
        <v>81</v>
      </c>
      <c r="V56">
        <v>969</v>
      </c>
      <c r="W56">
        <v>88</v>
      </c>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f>IF(OR($B56="",AB$22=""),"",IF(LEN(VLOOKUP($B56,Database!$B$1:$IX$10144,AB$22,FALSE))=0,"",VLOOKUP($B56,Database!$B$1:$IX$10144,AB$22,FALSE)))</f>
        <v>74.099999999999994</v>
      </c>
      <c r="AC56" s="22">
        <f>IF(OR($B56="",AC$22=""),"",IF(LEN(VLOOKUP($B56,Database!$B$1:$IX$10144,AC$22,FALSE))=0,"",VLOOKUP($B56,Database!$B$1:$IX$10144,AC$22,FALSE)))</f>
        <v>6.5</v>
      </c>
      <c r="AD56" s="22">
        <f>IF(OR($B56="",AD$22=""),"",IF(LEN(VLOOKUP($B56,Database!$B$1:$IX$10144,AD$22,FALSE))=0,"",VLOOKUP($B56,Database!$B$1:$IX$10144,AD$22,FALSE)))</f>
        <v>72.8</v>
      </c>
      <c r="AE56" s="22">
        <f>IF(OR($B56="",AE$22=""),"",IF(LEN(VLOOKUP($B56,Database!$B$1:$IX$10144,AE$22,FALSE))=0,"",VLOOKUP($B56,Database!$B$1:$IX$10144,AE$22,FALSE)))</f>
        <v>6.9</v>
      </c>
      <c r="AF56" s="22">
        <f>IF(OR($B56="",AF$22=""),"",IF(LEN(VLOOKUP($B56,Database!$B$1:$IX$10144,AF$22,FALSE))=0,"",VLOOKUP($B56,Database!$B$1:$IX$10144,AF$22,FALSE)))</f>
        <v>28</v>
      </c>
      <c r="AG56" s="22">
        <f>IF(OR($B56="",AG$22=""),"",IF(LEN(VLOOKUP($B56,Database!$B$1:$IX$10144,AG$22,FALSE))=0,"",VLOOKUP($B56,Database!$B$1:$IX$10144,AG$22,FALSE)))</f>
        <v>22</v>
      </c>
      <c r="AH56" s="22">
        <f>IF(OR($B56="",AH$22=""),"",IF(LEN(VLOOKUP($B56,Database!$B$1:$IX$10144,AH$22,FALSE))=0,"",VLOOKUP($B56,Database!$B$1:$IX$10144,AH$22,FALSE)))</f>
        <v>1</v>
      </c>
      <c r="AI56" s="22">
        <f>IF(OR($B56="",AI$22=""),"",IF(LEN(VLOOKUP($B56,Database!$B$1:$IX$10144,AI$22,FALSE))=0,"",VLOOKUP($B56,Database!$B$1:$IX$10144,AI$22,FALSE)))</f>
        <v>1</v>
      </c>
      <c r="AJ56" s="22" t="str">
        <f>IF(OR($B56="",AJ$22=""),"",IF(LEN(VLOOKUP($B56,Database!$B$1:$IX$10144,AJ$22,FALSE))=0,"",VLOOKUP($B56,Database!$B$1:$IX$10144,AJ$22,FALSE)))</f>
        <v/>
      </c>
      <c r="AK56" s="22" t="str">
        <f>IF(OR($B56="",AK$22=""),"",IF(LEN(VLOOKUP($B56,Database!$B$1:$IX$10144,AK$22,FALSE))=0,"",VLOOKUP($B56,Database!$B$1:$IX$10144,AK$22,FALSE)))</f>
        <v>ns</v>
      </c>
      <c r="AL56" s="22" t="str">
        <f>IF(OR($B56="",AL$22=""),"",IF(LEN(VLOOKUP($B56,Database!$B$1:$IX$10144,AL$22,FALSE))=0,"",VLOOKUP($B56,Database!$B$1:$IX$10144,AL$22,FALSE)))</f>
        <v>ns</v>
      </c>
      <c r="AM56" s="22">
        <f>IF(OR($B56="",AM$22=""),"",IF(LEN(VLOOKUP($B56,Database!$B$1:$IX$10144,AM$22,FALSE))=0,"",VLOOKUP($B56,Database!$B$1:$IX$10144,AM$22,FALSE)))</f>
        <v>80</v>
      </c>
      <c r="AN56" s="22" t="str">
        <f>IF(OR($B56="",AN$22=""),"",IF(LEN(VLOOKUP($B56,Database!$B$1:$IX$10144,AN$22,FALSE))=0,"",VLOOKUP($B56,Database!$B$1:$IX$10144,AN$22,FALSE)))</f>
        <v>ns</v>
      </c>
      <c r="AO56" s="22">
        <f>IF(OR($B56="",AO$22=""),"",IF(LEN(VLOOKUP($B56,Database!$B$1:$IX$10144,AO$22,FALSE))=0,"",VLOOKUP($B56,Database!$B$1:$IX$10144,AO$22,FALSE)))</f>
        <v>0</v>
      </c>
      <c r="AP56" s="22" t="str">
        <f>IF(OR($B56="",AP$22=""),"",IF(LEN(VLOOKUP($B56,Database!$B$1:$IX$10144,AP$22,FALSE))=0,"",VLOOKUP($B56,Database!$B$1:$IX$10144,AP$22,FALSE)))</f>
        <v>ns</v>
      </c>
      <c r="AQ56" s="22" t="str">
        <f>IF(OR($B56="",AQ$22=""),"",IF(LEN(VLOOKUP($B56,Database!$B$1:$IX$10144,AQ$22,FALSE))=0,"",VLOOKUP($B56,Database!$B$1:$IX$10144,AQ$22,FALSE)))</f>
        <v>Köhler S, Thomas AJ, Lloyd A, Barber R, Almeida OP, O'Brien JT.</v>
      </c>
      <c r="AR56" s="13"/>
      <c r="BC56" s="23"/>
      <c r="BF56" s="136"/>
      <c r="BG56" s="136"/>
      <c r="BH56" s="136"/>
      <c r="BI56" s="136"/>
    </row>
    <row r="57" spans="1:61">
      <c r="C57" s="1" t="str">
        <f>IF($B57="","",HYPERLINK(IF(LEN(VLOOKUP($B57,Database!$B$1:$IX$10144,2,FALSE))=0,"",VLOOKUP($B57,Database!$B$1:$IX$10144,2,FALSE))))</f>
        <v/>
      </c>
      <c r="D57" s="1" t="str">
        <f t="shared" si="2"/>
        <v/>
      </c>
      <c r="E57" s="22" t="str">
        <f>IF($B57="","",IF(LEN(VLOOKUP($B57,Database!$B$1:$IX$10144,4,FALSE))=0,"",VLOOKUP($B57,Database!$B$1:$IX$10144,4,FALSE)))</f>
        <v/>
      </c>
      <c r="F57" s="22" t="str">
        <f>IF($B57="","",IF(LEN(VLOOKUP($B57,Database!$B$1:$IX$10144,5,FALSE))=0,"",VLOOKUP($B57,Database!$B$1:$IX$10144,5,FALSE)))</f>
        <v/>
      </c>
      <c r="G57" s="1" t="str">
        <f>IF($B57="","",HYPERLINK(IF(LEN(VLOOKUP($B57,Database!$B$1:$IX$10144,6,FALSE))=0,"",VLOOKUP($B57,Database!$B$1:$IX$10144,6,FALSE))))</f>
        <v/>
      </c>
      <c r="H57" s="22" t="str">
        <f>IF($B57="","",IF(LEN(VLOOKUP($B57,Database!$B$1:$IX$10144,7,FALSE))=0,"",VLOOKUP($B57,Database!$B$1:$IX$10144,7,FALSE)))</f>
        <v/>
      </c>
      <c r="I57" s="22" t="str">
        <f>IF($B57="","",IF(LEN(VLOOKUP($B57,Database!$B$1:$IX$10144,8,FALSE))=0,"",VLOOKUP($B57,Database!$B$1:$IX$10144,8,FALSE)))</f>
        <v/>
      </c>
      <c r="Y57" s="22"/>
      <c r="Z57" s="22" t="str">
        <f>IF(OR($B57="",Z$22=""),"",IF(LEN(VLOOKUP($B57,Database!$B$1:$IX$10144,Z$22,FALSE))=0,"",VLOOKUP($B57,Database!$B$1:$IX$10144,Z$22,FALSE)))</f>
        <v/>
      </c>
      <c r="AA57" s="22" t="str">
        <f>IF(OR($B57="",AA$22=""),"",IF(LEN(VLOOKUP($B57,Database!$B$1:$IX$10144,AA$22,FALSE))=0,"",VLOOKUP($B57,Database!$B$1:$IX$10144,AA$22,FALSE)))</f>
        <v/>
      </c>
      <c r="AB57" s="22" t="str">
        <f>IF(OR($B57="",AB$22=""),"",IF(LEN(VLOOKUP($B57,Database!$B$1:$IX$10144,AB$22,FALSE))=0,"",VLOOKUP($B57,Database!$B$1:$IX$10144,AB$22,FALSE)))</f>
        <v/>
      </c>
      <c r="AC57" s="22" t="str">
        <f>IF(OR($B57="",AC$22=""),"",IF(LEN(VLOOKUP($B57,Database!$B$1:$IX$10144,AC$22,FALSE))=0,"",VLOOKUP($B57,Database!$B$1:$IX$10144,AC$22,FALSE)))</f>
        <v/>
      </c>
      <c r="AD57" s="22" t="str">
        <f>IF(OR($B57="",AD$22=""),"",IF(LEN(VLOOKUP($B57,Database!$B$1:$IX$10144,AD$22,FALSE))=0,"",VLOOKUP($B57,Database!$B$1:$IX$10144,AD$22,FALSE)))</f>
        <v/>
      </c>
      <c r="AE57" s="22" t="str">
        <f>IF(OR($B57="",AE$22=""),"",IF(LEN(VLOOKUP($B57,Database!$B$1:$IX$10144,AE$22,FALSE))=0,"",VLOOKUP($B57,Database!$B$1:$IX$10144,AE$22,FALSE)))</f>
        <v/>
      </c>
      <c r="AF57" s="22" t="str">
        <f>IF(OR($B57="",AF$22=""),"",IF(LEN(VLOOKUP($B57,Database!$B$1:$IX$10144,AF$22,FALSE))=0,"",VLOOKUP($B57,Database!$B$1:$IX$10144,AF$22,FALSE)))</f>
        <v/>
      </c>
      <c r="AG57" s="22" t="str">
        <f>IF(OR($B57="",AG$22=""),"",IF(LEN(VLOOKUP($B57,Database!$B$1:$IX$10144,AG$22,FALSE))=0,"",VLOOKUP($B57,Database!$B$1:$IX$10144,AG$22,FALSE)))</f>
        <v/>
      </c>
      <c r="AH57" s="22" t="str">
        <f>IF(OR($B57="",AH$22=""),"",IF(LEN(VLOOKUP($B57,Database!$B$1:$IX$10144,AH$22,FALSE))=0,"",VLOOKUP($B57,Database!$B$1:$IX$10144,AH$22,FALSE)))</f>
        <v/>
      </c>
      <c r="AI57" s="22" t="str">
        <f>IF(OR($B57="",AI$22=""),"",IF(LEN(VLOOKUP($B57,Database!$B$1:$IX$10144,AI$22,FALSE))=0,"",VLOOKUP($B57,Database!$B$1:$IX$10144,AI$22,FALSE)))</f>
        <v/>
      </c>
      <c r="AJ57" s="22" t="str">
        <f>IF(OR($B57="",AJ$22=""),"",IF(LEN(VLOOKUP($B57,Database!$B$1:$IX$10144,AJ$22,FALSE))=0,"",VLOOKUP($B57,Database!$B$1:$IX$10144,AJ$22,FALSE)))</f>
        <v/>
      </c>
      <c r="AK57" s="22" t="str">
        <f>IF(OR($B57="",AK$22=""),"",IF(LEN(VLOOKUP($B57,Database!$B$1:$IX$10144,AK$22,FALSE))=0,"",VLOOKUP($B57,Database!$B$1:$IX$10144,AK$22,FALSE)))</f>
        <v/>
      </c>
      <c r="AL57" s="22" t="str">
        <f>IF(OR($B57="",AL$22=""),"",IF(LEN(VLOOKUP($B57,Database!$B$1:$IX$10144,AL$22,FALSE))=0,"",VLOOKUP($B57,Database!$B$1:$IX$10144,AL$22,FALSE)))</f>
        <v/>
      </c>
      <c r="AM57" s="22" t="str">
        <f>IF(OR($B57="",AM$22=""),"",IF(LEN(VLOOKUP($B57,Database!$B$1:$IX$10144,AM$22,FALSE))=0,"",VLOOKUP($B57,Database!$B$1:$IX$10144,AM$22,FALSE)))</f>
        <v/>
      </c>
      <c r="AN57" s="22" t="str">
        <f>IF(OR($B57="",AN$22=""),"",IF(LEN(VLOOKUP($B57,Database!$B$1:$IX$10144,AN$22,FALSE))=0,"",VLOOKUP($B57,Database!$B$1:$IX$10144,AN$22,FALSE)))</f>
        <v/>
      </c>
      <c r="AO57" s="22" t="str">
        <f>IF(OR($B57="",AO$22=""),"",IF(LEN(VLOOKUP($B57,Database!$B$1:$IX$10144,AO$22,FALSE))=0,"",VLOOKUP($B57,Database!$B$1:$IX$10144,AO$22,FALSE)))</f>
        <v/>
      </c>
      <c r="AP57" s="22" t="str">
        <f>IF(OR($B57="",AP$22=""),"",IF(LEN(VLOOKUP($B57,Database!$B$1:$IX$10144,AP$22,FALSE))=0,"",VLOOKUP($B57,Database!$B$1:$IX$10144,AP$22,FALSE)))</f>
        <v/>
      </c>
      <c r="AQ57" s="22" t="str">
        <f>IF(OR($B57="",AQ$22=""),"",IF(LEN(VLOOKUP($B57,Database!$B$1:$IX$10144,AQ$22,FALSE))=0,"",VLOOKUP($B57,Database!$B$1:$IX$10144,AQ$22,FALSE)))</f>
        <v/>
      </c>
    </row>
    <row r="58" spans="1:61">
      <c r="A58" s="4" t="s">
        <v>1510</v>
      </c>
      <c r="C58" s="1" t="str">
        <f>IF($B58="","",HYPERLINK(IF(LEN(VLOOKUP($B58,Database!$B$1:$IX$10144,2,FALSE))=0,"",VLOOKUP($B58,Database!$B$1:$IX$10144,2,FALSE))))</f>
        <v/>
      </c>
      <c r="D58" s="1" t="str">
        <f t="shared" si="1"/>
        <v/>
      </c>
      <c r="E58" s="22" t="str">
        <f>IF($B58="","",IF(LEN(VLOOKUP($B58,Database!$B$1:$IX$10144,4,FALSE))=0,"",VLOOKUP($B58,Database!$B$1:$IX$10144,4,FALSE)))</f>
        <v/>
      </c>
      <c r="F58" s="22" t="str">
        <f>IF($B58="","",IF(LEN(VLOOKUP($B58,Database!$B$1:$IX$10144,5,FALSE))=0,"",VLOOKUP($B58,Database!$B$1:$IX$10144,5,FALSE)))</f>
        <v/>
      </c>
      <c r="G58" s="1" t="str">
        <f>IF($B58="","",HYPERLINK(IF(LEN(VLOOKUP($B58,Database!$B$1:$IX$10144,6,FALSE))=0,"",VLOOKUP($B58,Database!$B$1:$IX$10144,6,FALSE))))</f>
        <v/>
      </c>
      <c r="H58" s="22" t="str">
        <f>IF($B58="","",IF(LEN(VLOOKUP($B58,Database!$B$1:$IX$10144,7,FALSE))=0,"",VLOOKUP($B58,Database!$B$1:$IX$10144,7,FALSE)))</f>
        <v/>
      </c>
      <c r="I58" s="22" t="str">
        <f>IF($B58="","",IF(LEN(VLOOKUP($B58,Database!$B$1:$IX$10144,8,FALSE))=0,"",VLOOKUP($B58,Database!$B$1:$IX$10144,8,FALSE)))</f>
        <v/>
      </c>
      <c r="Y58" s="22" t="str">
        <f>IF(OR($B58="",Y$22=""),"",IF(LEN(VLOOKUP($B58,Database!$B$1:$IX$10144,Y$22,FALSE))=0,"",VLOOKUP($B58,Database!$B$1:$IX$10144,Y$22,FALSE)))</f>
        <v/>
      </c>
      <c r="Z58" s="22" t="str">
        <f>IF(OR($B58="",Z$22=""),"",IF(LEN(VLOOKUP($B58,Database!$B$1:$IX$10144,Z$22,FALSE))=0,"",VLOOKUP($B58,Database!$B$1:$IX$10144,Z$22,FALSE)))</f>
        <v/>
      </c>
      <c r="AA58" s="22" t="str">
        <f>IF(OR($B58="",AA$22=""),"",IF(LEN(VLOOKUP($B58,Database!$B$1:$IX$10144,AA$22,FALSE))=0,"",VLOOKUP($B58,Database!$B$1:$IX$10144,AA$22,FALSE)))</f>
        <v/>
      </c>
      <c r="AB58" s="22" t="str">
        <f>IF(OR($B58="",AB$22=""),"",IF(LEN(VLOOKUP($B58,Database!$B$1:$IX$10144,AB$22,FALSE))=0,"",VLOOKUP($B58,Database!$B$1:$IX$10144,AB$22,FALSE)))</f>
        <v/>
      </c>
      <c r="AC58" s="22" t="str">
        <f>IF(OR($B58="",AC$22=""),"",IF(LEN(VLOOKUP($B58,Database!$B$1:$IX$10144,AC$22,FALSE))=0,"",VLOOKUP($B58,Database!$B$1:$IX$10144,AC$22,FALSE)))</f>
        <v/>
      </c>
      <c r="AD58" s="22" t="str">
        <f>IF(OR($B58="",AD$22=""),"",IF(LEN(VLOOKUP($B58,Database!$B$1:$IX$10144,AD$22,FALSE))=0,"",VLOOKUP($B58,Database!$B$1:$IX$10144,AD$22,FALSE)))</f>
        <v/>
      </c>
      <c r="AE58" s="22" t="str">
        <f>IF(OR($B58="",AE$22=""),"",IF(LEN(VLOOKUP($B58,Database!$B$1:$IX$10144,AE$22,FALSE))=0,"",VLOOKUP($B58,Database!$B$1:$IX$10144,AE$22,FALSE)))</f>
        <v/>
      </c>
      <c r="AF58" s="22" t="str">
        <f>IF(OR($B58="",AF$22=""),"",IF(LEN(VLOOKUP($B58,Database!$B$1:$IX$10144,AF$22,FALSE))=0,"",VLOOKUP($B58,Database!$B$1:$IX$10144,AF$22,FALSE)))</f>
        <v/>
      </c>
      <c r="AG58" s="22" t="str">
        <f>IF(OR($B58="",AG$22=""),"",IF(LEN(VLOOKUP($B58,Database!$B$1:$IX$10144,AG$22,FALSE))=0,"",VLOOKUP($B58,Database!$B$1:$IX$10144,AG$22,FALSE)))</f>
        <v/>
      </c>
      <c r="AH58" s="22" t="str">
        <f>IF(OR($B58="",AH$22=""),"",IF(LEN(VLOOKUP($B58,Database!$B$1:$IX$10144,AH$22,FALSE))=0,"",VLOOKUP($B58,Database!$B$1:$IX$10144,AH$22,FALSE)))</f>
        <v/>
      </c>
      <c r="AI58" s="22" t="str">
        <f>IF(OR($B58="",AI$22=""),"",IF(LEN(VLOOKUP($B58,Database!$B$1:$IX$10144,AI$22,FALSE))=0,"",VLOOKUP($B58,Database!$B$1:$IX$10144,AI$22,FALSE)))</f>
        <v/>
      </c>
      <c r="AJ58" s="22" t="str">
        <f>IF(OR($B58="",AJ$22=""),"",IF(LEN(VLOOKUP($B58,Database!$B$1:$IX$10144,AJ$22,FALSE))=0,"",VLOOKUP($B58,Database!$B$1:$IX$10144,AJ$22,FALSE)))</f>
        <v/>
      </c>
      <c r="AK58" s="22" t="str">
        <f>IF(OR($B58="",AK$22=""),"",IF(LEN(VLOOKUP($B58,Database!$B$1:$IX$10144,AK$22,FALSE))=0,"",VLOOKUP($B58,Database!$B$1:$IX$10144,AK$22,FALSE)))</f>
        <v/>
      </c>
      <c r="AL58" s="22" t="str">
        <f>IF(OR($B58="",AL$22=""),"",IF(LEN(VLOOKUP($B58,Database!$B$1:$IX$10144,AL$22,FALSE))=0,"",VLOOKUP($B58,Database!$B$1:$IX$10144,AL$22,FALSE)))</f>
        <v/>
      </c>
      <c r="AM58" s="22" t="str">
        <f>IF(OR($B58="",AM$22=""),"",IF(LEN(VLOOKUP($B58,Database!$B$1:$IX$10144,AM$22,FALSE))=0,"",VLOOKUP($B58,Database!$B$1:$IX$10144,AM$22,FALSE)))</f>
        <v/>
      </c>
      <c r="AN58" s="22" t="str">
        <f>IF(OR($B58="",AN$22=""),"",IF(LEN(VLOOKUP($B58,Database!$B$1:$IX$10144,AN$22,FALSE))=0,"",VLOOKUP($B58,Database!$B$1:$IX$10144,AN$22,FALSE)))</f>
        <v/>
      </c>
      <c r="AO58" s="22" t="str">
        <f>IF(OR($B58="",AO$22=""),"",IF(LEN(VLOOKUP($B58,Database!$B$1:$IX$10144,AO$22,FALSE))=0,"",VLOOKUP($B58,Database!$B$1:$IX$10144,AO$22,FALSE)))</f>
        <v/>
      </c>
      <c r="AP58" s="22" t="str">
        <f>IF(OR($B58="",AP$22=""),"",IF(LEN(VLOOKUP($B58,Database!$B$1:$IX$10144,AP$22,FALSE))=0,"",VLOOKUP($B58,Database!$B$1:$IX$10144,AP$22,FALSE)))</f>
        <v/>
      </c>
      <c r="AQ58" s="22" t="str">
        <f>IF(OR($B58="",AQ$22=""),"",IF(LEN(VLOOKUP($B58,Database!$B$1:$IX$10144,AQ$22,FALSE))=0,"",VLOOKUP($B58,Database!$B$1:$IX$10144,AQ$22,FALSE)))</f>
        <v/>
      </c>
    </row>
    <row r="59" spans="1:61">
      <c r="A59" s="7" t="s">
        <v>120</v>
      </c>
      <c r="B59" s="2">
        <v>19464062</v>
      </c>
      <c r="C59" s="1" t="str">
        <f>IF($B59="","",HYPERLINK(IF(LEN(VLOOKUP($B59,Database!$B$1:$IX$10144,2,FALSE))=0,"",VLOOKUP($B59,Database!$B$1:$IX$10144,2,FALSE))))</f>
        <v/>
      </c>
      <c r="D59" s="1" t="str">
        <f t="shared" si="1"/>
        <v>http://www.ncbi.nlm.nih.gov/pubmed/19464062</v>
      </c>
      <c r="E59" s="22" t="str">
        <f>IF($B59="","",IF(LEN(VLOOKUP($B59,Database!$B$1:$IX$10144,4,FALSE))=0,"",VLOOKUP($B59,Database!$B$1:$IX$10144,4,FALSE)))</f>
        <v>Lorenzetti V (B)</v>
      </c>
      <c r="F59" s="22">
        <f>IF($B59="","",IF(LEN(VLOOKUP($B59,Database!$B$1:$IX$10144,5,FALSE))=0,"",VLOOKUP($B59,Database!$B$1:$IX$10144,5,FALSE)))</f>
        <v>2009</v>
      </c>
      <c r="G59" s="1" t="str">
        <f>IF($B59="","",HYPERLINK(IF(LEN(VLOOKUP($B59,Database!$B$1:$IX$10144,6,FALSE))=0,"",VLOOKUP($B59,Database!$B$1:$IX$10144,6,FALSE))))</f>
        <v>http://dx.doi.org/10.1016/j.jad.2009.04.021</v>
      </c>
      <c r="H59" s="83">
        <v>29</v>
      </c>
      <c r="I59" s="83">
        <v>15.5</v>
      </c>
      <c r="J59" t="s">
        <v>274</v>
      </c>
      <c r="K59" t="s">
        <v>345</v>
      </c>
      <c r="T59">
        <v>1237176.17</v>
      </c>
      <c r="U59">
        <v>124113.14</v>
      </c>
      <c r="V59">
        <v>1236513.53</v>
      </c>
      <c r="W59">
        <v>132405.54</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83">
        <v>32.520000000000003</v>
      </c>
      <c r="AC59" s="83">
        <v>8.2799999999999994</v>
      </c>
      <c r="AD59" s="22">
        <f>IF(OR($B59="",AD$22=""),"",IF(LEN(VLOOKUP($B59,Database!$B$1:$IX$10144,AD$22,FALSE))=0,"",VLOOKUP($B59,Database!$B$1:$IX$10144,AD$22,FALSE)))</f>
        <v>34.68</v>
      </c>
      <c r="AE59" s="22">
        <f>IF(OR($B59="",AE$22=""),"",IF(LEN(VLOOKUP($B59,Database!$B$1:$IX$10144,AE$22,FALSE))=0,"",VLOOKUP($B59,Database!$B$1:$IX$10144,AE$22,FALSE)))</f>
        <v>9.86</v>
      </c>
      <c r="AF59" s="83">
        <v>22</v>
      </c>
      <c r="AG59" s="22">
        <f>IF(OR($B59="",AG$22=""),"",IF(LEN(VLOOKUP($B59,Database!$B$1:$IX$10144,AG$22,FALSE))=0,"",VLOOKUP($B59,Database!$B$1:$IX$10144,AG$22,FALSE)))</f>
        <v>21</v>
      </c>
      <c r="AH59" s="22">
        <f>IF(OR($B59="",AH$22=""),"",IF(LEN(VLOOKUP($B59,Database!$B$1:$IX$10144,AH$22,FALSE))=0,"",VLOOKUP($B59,Database!$B$1:$IX$10144,AH$22,FALSE)))</f>
        <v>1.5</v>
      </c>
      <c r="AI59" s="22">
        <f>IF(OR($B59="",AI$22=""),"",IF(LEN(VLOOKUP($B59,Database!$B$1:$IX$10144,AI$22,FALSE))=0,"",VLOOKUP($B59,Database!$B$1:$IX$10144,AI$22,FALSE)))</f>
        <v>1</v>
      </c>
      <c r="AJ59" s="22" t="str">
        <f>IF(OR($B59="",AJ$22=""),"",IF(LEN(VLOOKUP($B59,Database!$B$1:$IX$10144,AJ$22,FALSE))=0,"",VLOOKUP($B59,Database!$B$1:$IX$10144,AJ$22,FALSE)))</f>
        <v/>
      </c>
      <c r="AK59" s="83">
        <v>21.07</v>
      </c>
      <c r="AL59" s="22" t="str">
        <f>IF(OR($B59="",AL$22=""),"",IF(LEN(VLOOKUP($B59,Database!$B$1:$IX$10144,AL$22,FALSE))=0,"",VLOOKUP($B59,Database!$B$1:$IX$10144,AL$22,FALSE)))</f>
        <v>ns</v>
      </c>
      <c r="AM59" s="22" t="str">
        <f>IF(OR($B59="",AM$22=""),"",IF(LEN(VLOOKUP($B59,Database!$B$1:$IX$10144,AM$22,FALSE))=0,"",VLOOKUP($B59,Database!$B$1:$IX$10144,AM$22,FALSE)))</f>
        <v/>
      </c>
      <c r="AN59" s="22" t="str">
        <f>IF(OR($B59="",AN$22=""),"",IF(LEN(VLOOKUP($B59,Database!$B$1:$IX$10144,AN$22,FALSE))=0,"",VLOOKUP($B59,Database!$B$1:$IX$10144,AN$22,FALSE)))</f>
        <v/>
      </c>
      <c r="AO59" s="22" t="str">
        <f>IF(OR($B59="",AO$22=""),"",IF(LEN(VLOOKUP($B59,Database!$B$1:$IX$10144,AO$22,FALSE))=0,"",VLOOKUP($B59,Database!$B$1:$IX$10144,AO$22,FALSE)))</f>
        <v/>
      </c>
      <c r="AP59" s="22">
        <f>IF(OR($B59="",AP$22=""),"",IF(LEN(VLOOKUP($B59,Database!$B$1:$IX$10144,AP$22,FALSE))=0,"",VLOOKUP($B59,Database!$B$1:$IX$10144,AP$22,FALSE)))</f>
        <v>16.071428571428573</v>
      </c>
      <c r="AQ59" s="22" t="str">
        <f>IF(OR($B59="",AQ$22=""),"",IF(LEN(VLOOKUP($B59,Database!$B$1:$IX$10144,AQ$22,FALSE))=0,"",VLOOKUP($B59,Database!$B$1:$IX$10144,AQ$22,FALSE)))</f>
        <v>Lorenzetti V, Allen NB, Whittle S, Yücel M.</v>
      </c>
    </row>
    <row r="60" spans="1:61">
      <c r="A60" s="7" t="s">
        <v>120</v>
      </c>
      <c r="B60" s="2">
        <v>19464062</v>
      </c>
      <c r="C60" s="1" t="str">
        <f>IF($B60="","",HYPERLINK(IF(LEN(VLOOKUP($B60,Database!$B$1:$IX$10144,2,FALSE))=0,"",VLOOKUP($B60,Database!$B$1:$IX$10144,2,FALSE))))</f>
        <v/>
      </c>
      <c r="D60" s="1" t="str">
        <f t="shared" si="1"/>
        <v>http://www.ncbi.nlm.nih.gov/pubmed/19464062</v>
      </c>
      <c r="E60" s="22" t="str">
        <f>IF($B60="","",IF(LEN(VLOOKUP($B60,Database!$B$1:$IX$10144,4,FALSE))=0,"",VLOOKUP($B60,Database!$B$1:$IX$10144,4,FALSE)))</f>
        <v>Lorenzetti V (B)</v>
      </c>
      <c r="F60" s="22">
        <f>IF($B60="","",IF(LEN(VLOOKUP($B60,Database!$B$1:$IX$10144,5,FALSE))=0,"",VLOOKUP($B60,Database!$B$1:$IX$10144,5,FALSE)))</f>
        <v>2009</v>
      </c>
      <c r="G60" s="1" t="str">
        <f>IF($B60="","",HYPERLINK(IF(LEN(VLOOKUP($B60,Database!$B$1:$IX$10144,6,FALSE))=0,"",VLOOKUP($B60,Database!$B$1:$IX$10144,6,FALSE))))</f>
        <v>http://dx.doi.org/10.1016/j.jad.2009.04.021</v>
      </c>
      <c r="H60" s="83">
        <v>27</v>
      </c>
      <c r="I60" s="83">
        <v>15.5</v>
      </c>
      <c r="J60" t="s">
        <v>274</v>
      </c>
      <c r="K60" t="s">
        <v>272</v>
      </c>
      <c r="T60">
        <v>1232334.47</v>
      </c>
      <c r="U60">
        <v>132954.97</v>
      </c>
      <c r="V60">
        <v>1236513.53</v>
      </c>
      <c r="W60">
        <v>132405.54</v>
      </c>
      <c r="Y60" s="22" t="str">
        <f>IF(OR($B60="",Y$22=""),"",IF(LEN(VLOOKUP($B60,Database!$B$1:$IX$10144,Y$22,FALSE))=0,"",VLOOKUP($B60,Database!$B$1:$IX$10144,Y$22,FALSE)))</f>
        <v>DSM-IV</v>
      </c>
      <c r="Z60" s="22" t="str">
        <f>IF(OR($B60="",Z$22=""),"",IF(LEN(VLOOKUP($B60,Database!$B$1:$IX$10144,Z$22,FALSE))=0,"",VLOOKUP($B60,Database!$B$1:$IX$10144,Z$22,FALSE)))</f>
        <v>MRI</v>
      </c>
      <c r="AA60" s="22" t="str">
        <f>IF(OR($B60="",AA$22=""),"",IF(LEN(VLOOKUP($B60,Database!$B$1:$IX$10144,AA$22,FALSE))=0,"",VLOOKUP($B60,Database!$B$1:$IX$10144,AA$22,FALSE)))</f>
        <v/>
      </c>
      <c r="AB60" s="83">
        <v>35.07</v>
      </c>
      <c r="AC60" s="83">
        <v>9.9600000000000009</v>
      </c>
      <c r="AD60" s="22">
        <f>IF(OR($B60="",AD$22=""),"",IF(LEN(VLOOKUP($B60,Database!$B$1:$IX$10144,AD$22,FALSE))=0,"",VLOOKUP($B60,Database!$B$1:$IX$10144,AD$22,FALSE)))</f>
        <v>34.68</v>
      </c>
      <c r="AE60" s="22">
        <f>IF(OR($B60="",AE$22=""),"",IF(LEN(VLOOKUP($B60,Database!$B$1:$IX$10144,AE$22,FALSE))=0,"",VLOOKUP($B60,Database!$B$1:$IX$10144,AE$22,FALSE)))</f>
        <v>9.86</v>
      </c>
      <c r="AF60" s="83">
        <v>18</v>
      </c>
      <c r="AG60" s="22">
        <f>IF(OR($B60="",AG$22=""),"",IF(LEN(VLOOKUP($B60,Database!$B$1:$IX$10144,AG$22,FALSE))=0,"",VLOOKUP($B60,Database!$B$1:$IX$10144,AG$22,FALSE)))</f>
        <v>21</v>
      </c>
      <c r="AH60" s="22">
        <f>IF(OR($B60="",AH$22=""),"",IF(LEN(VLOOKUP($B60,Database!$B$1:$IX$10144,AH$22,FALSE))=0,"",VLOOKUP($B60,Database!$B$1:$IX$10144,AH$22,FALSE)))</f>
        <v>1.5</v>
      </c>
      <c r="AI60" s="22">
        <f>IF(OR($B60="",AI$22=""),"",IF(LEN(VLOOKUP($B60,Database!$B$1:$IX$10144,AI$22,FALSE))=0,"",VLOOKUP($B60,Database!$B$1:$IX$10144,AI$22,FALSE)))</f>
        <v>1</v>
      </c>
      <c r="AJ60" s="22" t="str">
        <f>IF(OR($B60="",AJ$22=""),"",IF(LEN(VLOOKUP($B60,Database!$B$1:$IX$10144,AJ$22,FALSE))=0,"",VLOOKUP($B60,Database!$B$1:$IX$10144,AJ$22,FALSE)))</f>
        <v/>
      </c>
      <c r="AK60" s="83">
        <v>26.04</v>
      </c>
      <c r="AL60" s="22" t="str">
        <f>IF(OR($B60="",AL$22=""),"",IF(LEN(VLOOKUP($B60,Database!$B$1:$IX$10144,AL$22,FALSE))=0,"",VLOOKUP($B60,Database!$B$1:$IX$10144,AL$22,FALSE)))</f>
        <v>ns</v>
      </c>
      <c r="AM60" s="22" t="str">
        <f>IF(OR($B60="",AM$22=""),"",IF(LEN(VLOOKUP($B60,Database!$B$1:$IX$10144,AM$22,FALSE))=0,"",VLOOKUP($B60,Database!$B$1:$IX$10144,AM$22,FALSE)))</f>
        <v/>
      </c>
      <c r="AN60" s="22" t="str">
        <f>IF(OR($B60="",AN$22=""),"",IF(LEN(VLOOKUP($B60,Database!$B$1:$IX$10144,AN$22,FALSE))=0,"",VLOOKUP($B60,Database!$B$1:$IX$10144,AN$22,FALSE)))</f>
        <v/>
      </c>
      <c r="AO60" s="22" t="str">
        <f>IF(OR($B60="",AO$22=""),"",IF(LEN(VLOOKUP($B60,Database!$B$1:$IX$10144,AO$22,FALSE))=0,"",VLOOKUP($B60,Database!$B$1:$IX$10144,AO$22,FALSE)))</f>
        <v/>
      </c>
      <c r="AP60" s="22">
        <f>IF(OR($B60="",AP$22=""),"",IF(LEN(VLOOKUP($B60,Database!$B$1:$IX$10144,AP$22,FALSE))=0,"",VLOOKUP($B60,Database!$B$1:$IX$10144,AP$22,FALSE)))</f>
        <v>16.071428571428573</v>
      </c>
      <c r="AQ60" s="22" t="str">
        <f>IF(OR($B60="",AQ$22=""),"",IF(LEN(VLOOKUP($B60,Database!$B$1:$IX$10144,AQ$22,FALSE))=0,"",VLOOKUP($B60,Database!$B$1:$IX$10144,AQ$22,FALSE)))</f>
        <v>Lorenzetti V, Allen NB, Whittle S, Yücel M.</v>
      </c>
    </row>
    <row r="61" spans="1:61">
      <c r="A61" s="7" t="s">
        <v>62</v>
      </c>
      <c r="B61">
        <v>17210630</v>
      </c>
      <c r="C61" s="1" t="str">
        <f>IF($B61="","",HYPERLINK(IF(LEN(VLOOKUP($B61,Database!$B$1:$IX$10144,2,FALSE))=0,"",VLOOKUP($B61,Database!$B$1:$IX$10144,2,FALSE))))</f>
        <v/>
      </c>
      <c r="D61" s="1" t="str">
        <f>IF($B61="","",HYPERLINK(CONCATENATE("http://www.ncbi.nlm.nih.gov/pubmed/",B61)))</f>
        <v>http://www.ncbi.nlm.nih.gov/pubmed/17210630</v>
      </c>
      <c r="E61" s="22" t="str">
        <f>IF($B61="","",IF(LEN(VLOOKUP($B61,Database!$B$1:$IX$10144,4,FALSE))=0,"",VLOOKUP($B61,Database!$B$1:$IX$10144,4,FALSE)))</f>
        <v>Janssen J</v>
      </c>
      <c r="F61" s="22">
        <f>IF($B61="","",IF(LEN(VLOOKUP($B61,Database!$B$1:$IX$10144,5,FALSE))=0,"",VLOOKUP($B61,Database!$B$1:$IX$10144,5,FALSE)))</f>
        <v>2007</v>
      </c>
      <c r="G61" s="1" t="str">
        <f>IF($B61="","",HYPERLINK(IF(LEN(VLOOKUP($B61,Database!$B$1:$IX$10144,6,FALSE))=0,"",VLOOKUP($B61,Database!$B$1:$IX$10144,6,FALSE))))</f>
        <v>http://jnnp.bmj.com/cgi/reprint/78/6/638</v>
      </c>
      <c r="H61" s="83">
        <v>13</v>
      </c>
      <c r="I61" s="83">
        <v>11</v>
      </c>
      <c r="J61" t="s">
        <v>707</v>
      </c>
      <c r="K61" t="s">
        <v>442</v>
      </c>
      <c r="T61" s="31">
        <v>1058.6199999999999</v>
      </c>
      <c r="U61" s="10"/>
      <c r="V61">
        <v>1081.47</v>
      </c>
      <c r="W61" s="10"/>
      <c r="X61" s="10"/>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t="str">
        <f>IF(OR($B61="",AB$22=""),"",IF(LEN(VLOOKUP($B61,Database!$B$1:$IX$10144,AB$22,FALSE))=0,"",VLOOKUP($B61,Database!$B$1:$IX$10144,AB$22,FALSE)))</f>
        <v/>
      </c>
      <c r="AC61" s="22" t="str">
        <f>IF(OR($B61="",AC$22=""),"",IF(LEN(VLOOKUP($B61,Database!$B$1:$IX$10144,AC$22,FALSE))=0,"",VLOOKUP($B61,Database!$B$1:$IX$10144,AC$22,FALSE)))</f>
        <v/>
      </c>
      <c r="AD61" s="22">
        <f>IF(OR($B61="",AD$22=""),"",IF(LEN(VLOOKUP($B61,Database!$B$1:$IX$10144,AD$22,FALSE))=0,"",VLOOKUP($B61,Database!$B$1:$IX$10144,AD$22,FALSE)))</f>
        <v>71.05</v>
      </c>
      <c r="AE61" s="22">
        <f>IF(OR($B61="",AE$22=""),"",IF(LEN(VLOOKUP($B61,Database!$B$1:$IX$10144,AE$22,FALSE))=0,"",VLOOKUP($B61,Database!$B$1:$IX$10144,AE$22,FALSE)))</f>
        <v>7.5</v>
      </c>
      <c r="AF61" s="22">
        <f>IF(OR($B61="",AF$22=""),"",IF(LEN(VLOOKUP($B61,Database!$B$1:$IX$10144,AF$22,FALSE))=0,"",VLOOKUP($B61,Database!$B$1:$IX$10144,AF$22,FALSE)))</f>
        <v>28</v>
      </c>
      <c r="AG61" s="22">
        <f>IF(OR($B61="",AG$22=""),"",IF(LEN(VLOOKUP($B61,Database!$B$1:$IX$10144,AG$22,FALSE))=0,"",VLOOKUP($B61,Database!$B$1:$IX$10144,AG$22,FALSE)))</f>
        <v>22</v>
      </c>
      <c r="AH61" s="22">
        <f>IF(OR($B61="",AH$22=""),"",IF(LEN(VLOOKUP($B61,Database!$B$1:$IX$10144,AH$22,FALSE))=0,"",VLOOKUP($B61,Database!$B$1:$IX$10144,AH$22,FALSE)))</f>
        <v>1.5</v>
      </c>
      <c r="AI61" s="22" t="str">
        <f>IF(OR($B61="",AI$22=""),"",IF(LEN(VLOOKUP($B61,Database!$B$1:$IX$10144,AI$22,FALSE))=0,"",VLOOKUP($B61,Database!$B$1:$IX$10144,AI$22,FALSE)))</f>
        <v>ns</v>
      </c>
      <c r="AJ61" s="22" t="str">
        <f>IF(OR($B61="",AJ$22=""),"",IF(LEN(VLOOKUP($B61,Database!$B$1:$IX$10144,AJ$22,FALSE))=0,"",VLOOKUP($B61,Database!$B$1:$IX$10144,AJ$22,FALSE)))</f>
        <v/>
      </c>
      <c r="AK61" s="22">
        <f>IF(OR($B61="",AK$22=""),"",IF(LEN(VLOOKUP($B61,Database!$B$1:$IX$10144,AK$22,FALSE))=0,"",VLOOKUP($B61,Database!$B$1:$IX$10144,AK$22,FALSE)))</f>
        <v>33.619999999999997</v>
      </c>
      <c r="AL61" s="22" t="str">
        <f>IF(OR($B61="",AL$22=""),"",IF(LEN(VLOOKUP($B61,Database!$B$1:$IX$10144,AL$22,FALSE))=0,"",VLOOKUP($B61,Database!$B$1:$IX$10144,AL$22,FALSE)))</f>
        <v>ns</v>
      </c>
      <c r="AM61" s="22" t="str">
        <f>IF(OR($B61="",AM$22=""),"",IF(LEN(VLOOKUP($B61,Database!$B$1:$IX$10144,AM$22,FALSE))=0,"",VLOOKUP($B61,Database!$B$1:$IX$10144,AM$22,FALSE)))</f>
        <v>ns</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Janssen J, Hulshoff Pol HE, de Leeuw FE, Schnack HG, Lampe IK, Kok RM, Kahn RS, Heeren TJ.</v>
      </c>
      <c r="AV61">
        <f>W61/V61</f>
        <v>0</v>
      </c>
      <c r="AW61">
        <f>U61/T61</f>
        <v>0</v>
      </c>
    </row>
    <row r="62" spans="1:61">
      <c r="A62" s="7" t="s">
        <v>62</v>
      </c>
      <c r="B62">
        <v>17210630</v>
      </c>
      <c r="C62" s="1" t="str">
        <f>IF($B62="","",HYPERLINK(IF(LEN(VLOOKUP($B62,Database!$B$1:$IX$10144,2,FALSE))=0,"",VLOOKUP($B62,Database!$B$1:$IX$10144,2,FALSE))))</f>
        <v/>
      </c>
      <c r="D62" s="1" t="str">
        <f>IF($B62="","",HYPERLINK(CONCATENATE("http://www.ncbi.nlm.nih.gov/pubmed/",B62)))</f>
        <v>http://www.ncbi.nlm.nih.gov/pubmed/17210630</v>
      </c>
      <c r="E62" s="22" t="str">
        <f>IF($B62="","",IF(LEN(VLOOKUP($B62,Database!$B$1:$IX$10144,4,FALSE))=0,"",VLOOKUP($B62,Database!$B$1:$IX$10144,4,FALSE)))</f>
        <v>Janssen J</v>
      </c>
      <c r="F62" s="22">
        <f>IF($B62="","",IF(LEN(VLOOKUP($B62,Database!$B$1:$IX$10144,5,FALSE))=0,"",VLOOKUP($B62,Database!$B$1:$IX$10144,5,FALSE)))</f>
        <v>2007</v>
      </c>
      <c r="G62" s="1" t="str">
        <f>IF($B62="","",HYPERLINK(IF(LEN(VLOOKUP($B62,Database!$B$1:$IX$10144,6,FALSE))=0,"",VLOOKUP($B62,Database!$B$1:$IX$10144,6,FALSE))))</f>
        <v>http://jnnp.bmj.com/cgi/reprint/78/6/638</v>
      </c>
      <c r="H62" s="83">
        <v>15</v>
      </c>
      <c r="I62" s="83">
        <v>11</v>
      </c>
      <c r="J62" t="s">
        <v>707</v>
      </c>
      <c r="K62" t="s">
        <v>443</v>
      </c>
      <c r="T62" s="31">
        <v>1031.95</v>
      </c>
      <c r="U62" s="10"/>
      <c r="V62">
        <v>1081.47</v>
      </c>
      <c r="W62" s="10"/>
      <c r="X62" s="10"/>
      <c r="Y62" s="22" t="str">
        <f>IF(OR($B62="",Y$22=""),"",IF(LEN(VLOOKUP($B62,Database!$B$1:$IX$10144,Y$22,FALSE))=0,"",VLOOKUP($B62,Database!$B$1:$IX$10144,Y$22,FALSE)))</f>
        <v>DSM-IV</v>
      </c>
      <c r="Z62" s="22" t="str">
        <f>IF(OR($B62="",Z$22=""),"",IF(LEN(VLOOKUP($B62,Database!$B$1:$IX$10144,Z$22,FALSE))=0,"",VLOOKUP($B62,Database!$B$1:$IX$10144,Z$22,FALSE)))</f>
        <v>MRI</v>
      </c>
      <c r="AA62" s="22" t="str">
        <f>IF(OR($B62="",AA$22=""),"",IF(LEN(VLOOKUP($B62,Database!$B$1:$IX$10144,AA$22,FALSE))=0,"",VLOOKUP($B62,Database!$B$1:$IX$10144,AA$22,FALSE)))</f>
        <v/>
      </c>
      <c r="AB62" s="22" t="str">
        <f>IF(OR($B62="",AB$22=""),"",IF(LEN(VLOOKUP($B62,Database!$B$1:$IX$10144,AB$22,FALSE))=0,"",VLOOKUP($B62,Database!$B$1:$IX$10144,AB$22,FALSE)))</f>
        <v/>
      </c>
      <c r="AC62" s="22" t="str">
        <f>IF(OR($B62="",AC$22=""),"",IF(LEN(VLOOKUP($B62,Database!$B$1:$IX$10144,AC$22,FALSE))=0,"",VLOOKUP($B62,Database!$B$1:$IX$10144,AC$22,FALSE)))</f>
        <v/>
      </c>
      <c r="AD62" s="22">
        <f>IF(OR($B62="",AD$22=""),"",IF(LEN(VLOOKUP($B62,Database!$B$1:$IX$10144,AD$22,FALSE))=0,"",VLOOKUP($B62,Database!$B$1:$IX$10144,AD$22,FALSE)))</f>
        <v>71.05</v>
      </c>
      <c r="AE62" s="22">
        <f>IF(OR($B62="",AE$22=""),"",IF(LEN(VLOOKUP($B62,Database!$B$1:$IX$10144,AE$22,FALSE))=0,"",VLOOKUP($B62,Database!$B$1:$IX$10144,AE$22,FALSE)))</f>
        <v>7.5</v>
      </c>
      <c r="AF62" s="22">
        <f>IF(OR($B62="",AF$22=""),"",IF(LEN(VLOOKUP($B62,Database!$B$1:$IX$10144,AF$22,FALSE))=0,"",VLOOKUP($B62,Database!$B$1:$IX$10144,AF$22,FALSE)))</f>
        <v>28</v>
      </c>
      <c r="AG62" s="22">
        <f>IF(OR($B62="",AG$22=""),"",IF(LEN(VLOOKUP($B62,Database!$B$1:$IX$10144,AG$22,FALSE))=0,"",VLOOKUP($B62,Database!$B$1:$IX$10144,AG$22,FALSE)))</f>
        <v>22</v>
      </c>
      <c r="AH62" s="22">
        <f>IF(OR($B62="",AH$22=""),"",IF(LEN(VLOOKUP($B62,Database!$B$1:$IX$10144,AH$22,FALSE))=0,"",VLOOKUP($B62,Database!$B$1:$IX$10144,AH$22,FALSE)))</f>
        <v>1.5</v>
      </c>
      <c r="AI62" s="22" t="str">
        <f>IF(OR($B62="",AI$22=""),"",IF(LEN(VLOOKUP($B62,Database!$B$1:$IX$10144,AI$22,FALSE))=0,"",VLOOKUP($B62,Database!$B$1:$IX$10144,AI$22,FALSE)))</f>
        <v>ns</v>
      </c>
      <c r="AJ62" s="22" t="str">
        <f>IF(OR($B62="",AJ$22=""),"",IF(LEN(VLOOKUP($B62,Database!$B$1:$IX$10144,AJ$22,FALSE))=0,"",VLOOKUP($B62,Database!$B$1:$IX$10144,AJ$22,FALSE)))</f>
        <v/>
      </c>
      <c r="AK62" s="22">
        <f>IF(OR($B62="",AK$22=""),"",IF(LEN(VLOOKUP($B62,Database!$B$1:$IX$10144,AK$22,FALSE))=0,"",VLOOKUP($B62,Database!$B$1:$IX$10144,AK$22,FALSE)))</f>
        <v>33.619999999999997</v>
      </c>
      <c r="AL62" s="22" t="str">
        <f>IF(OR($B62="",AL$22=""),"",IF(LEN(VLOOKUP($B62,Database!$B$1:$IX$10144,AL$22,FALSE))=0,"",VLOOKUP($B62,Database!$B$1:$IX$10144,AL$22,FALSE)))</f>
        <v>ns</v>
      </c>
      <c r="AM62" s="22" t="str">
        <f>IF(OR($B62="",AM$22=""),"",IF(LEN(VLOOKUP($B62,Database!$B$1:$IX$10144,AM$22,FALSE))=0,"",VLOOKUP($B62,Database!$B$1:$IX$10144,AM$22,FALSE)))</f>
        <v>ns</v>
      </c>
      <c r="AN62" s="22" t="str">
        <f>IF(OR($B62="",AN$22=""),"",IF(LEN(VLOOKUP($B62,Database!$B$1:$IX$10144,AN$22,FALSE))=0,"",VLOOKUP($B62,Database!$B$1:$IX$10144,AN$22,FALSE)))</f>
        <v>ns</v>
      </c>
      <c r="AO62" s="22" t="str">
        <f>IF(OR($B62="",AO$22=""),"",IF(LEN(VLOOKUP($B62,Database!$B$1:$IX$10144,AO$22,FALSE))=0,"",VLOOKUP($B62,Database!$B$1:$IX$10144,AO$22,FALSE)))</f>
        <v>ns</v>
      </c>
      <c r="AP62" s="22" t="str">
        <f>IF(OR($B62="",AP$22=""),"",IF(LEN(VLOOKUP($B62,Database!$B$1:$IX$10144,AP$22,FALSE))=0,"",VLOOKUP($B62,Database!$B$1:$IX$10144,AP$22,FALSE)))</f>
        <v>ns</v>
      </c>
      <c r="AQ62" s="22" t="str">
        <f>IF(OR($B62="",AQ$22=""),"",IF(LEN(VLOOKUP($B62,Database!$B$1:$IX$10144,AQ$22,FALSE))=0,"",VLOOKUP($B62,Database!$B$1:$IX$10144,AQ$22,FALSE)))</f>
        <v>Janssen J, Hulshoff Pol HE, de Leeuw FE, Schnack HG, Lampe IK, Kok RM, Kahn RS, Heeren TJ.</v>
      </c>
      <c r="AV62">
        <f>W62/V62</f>
        <v>0</v>
      </c>
      <c r="AW62">
        <f>U62/T62</f>
        <v>0</v>
      </c>
    </row>
    <row r="63" spans="1:61">
      <c r="A63" s="10" t="s">
        <v>2163</v>
      </c>
      <c r="B63">
        <v>1827478</v>
      </c>
      <c r="C63" s="1" t="str">
        <f>IF($B63="","",HYPERLINK(IF(LEN(VLOOKUP($B63,Database!$B$1:$IX$10144,2,FALSE))=0,"",VLOOKUP($B63,Database!$B$1:$IX$10144,2,FALSE))))</f>
        <v/>
      </c>
      <c r="D63" s="1" t="str">
        <f>IF($B63="","",HYPERLINK(CONCATENATE("http://www.ncbi.nlm.nih.gov/pubmed/",B63)))</f>
        <v>http://www.ncbi.nlm.nih.gov/pubmed/1827478</v>
      </c>
      <c r="E63" s="22" t="str">
        <f>IF($B63="","",IF(LEN(VLOOKUP($B63,Database!$B$1:$IX$10144,4,FALSE))=0,"",VLOOKUP($B63,Database!$B$1:$IX$10144,4,FALSE)))</f>
        <v>Van den Bossche B</v>
      </c>
      <c r="F63" s="22">
        <f>IF($B63="","",IF(LEN(VLOOKUP($B63,Database!$B$1:$IX$10144,5,FALSE))=0,"",VLOOKUP($B63,Database!$B$1:$IX$10144,5,FALSE)))</f>
        <v>1991</v>
      </c>
      <c r="G63" s="1" t="str">
        <f>IF($B63="","",HYPERLINK(IF(LEN(VLOOKUP($B63,Database!$B$1:$IX$10144,6,FALSE))=0,"",VLOOKUP($B63,Database!$B$1:$IX$10144,6,FALSE))))</f>
        <v>http://dx.doi.org/10.1016/0165-0327(91)90020-S</v>
      </c>
      <c r="H63" s="22">
        <f>IF($B63="","",IF(LEN(VLOOKUP($B63,Database!$B$1:$IX$10144,7,FALSE))=0,"",VLOOKUP($B63,Database!$B$1:$IX$10144,7,FALSE)))</f>
        <v>22</v>
      </c>
      <c r="I63" s="22">
        <f>IF($B63="","",IF(LEN(VLOOKUP($B63,Database!$B$1:$IX$10144,8,FALSE))=0,"",VLOOKUP($B63,Database!$B$1:$IX$10144,8,FALSE)))</f>
        <v>10</v>
      </c>
      <c r="K63" s="10"/>
      <c r="Y63" s="22" t="str">
        <f>IF(OR($B63="",Y$22=""),"",IF(LEN(VLOOKUP($B63,Database!$B$1:$IX$10144,Y$22,FALSE))=0,"",VLOOKUP($B63,Database!$B$1:$IX$10144,Y$22,FALSE)))</f>
        <v>DSM-III-R</v>
      </c>
      <c r="Z63" s="22" t="str">
        <f>IF(OR($B63="",Z$22=""),"",IF(LEN(VLOOKUP($B63,Database!$B$1:$IX$10144,Z$22,FALSE))=0,"",VLOOKUP($B63,Database!$B$1:$IX$10144,Z$22,FALSE)))</f>
        <v>CT</v>
      </c>
      <c r="AA63" s="22" t="str">
        <f>IF(OR($B63="",AA$22=""),"",IF(LEN(VLOOKUP($B63,Database!$B$1:$IX$10144,AA$22,FALSE))=0,"",VLOOKUP($B63,Database!$B$1:$IX$10144,AA$22,FALSE)))</f>
        <v/>
      </c>
      <c r="AB63" s="22">
        <f>IF(OR($B63="",AB$22=""),"",IF(LEN(VLOOKUP($B63,Database!$B$1:$IX$10144,AB$22,FALSE))=0,"",VLOOKUP($B63,Database!$B$1:$IX$10144,AB$22,FALSE)))</f>
        <v>51.2</v>
      </c>
      <c r="AC63" s="22">
        <f>IF(OR($B63="",AC$22=""),"",IF(LEN(VLOOKUP($B63,Database!$B$1:$IX$10144,AC$22,FALSE))=0,"",VLOOKUP($B63,Database!$B$1:$IX$10144,AC$22,FALSE)))</f>
        <v>13.9</v>
      </c>
      <c r="AD63" s="22">
        <f>IF(OR($B63="",AD$22=""),"",IF(LEN(VLOOKUP($B63,Database!$B$1:$IX$10144,AD$22,FALSE))=0,"",VLOOKUP($B63,Database!$B$1:$IX$10144,AD$22,FALSE)))</f>
        <v>49.1</v>
      </c>
      <c r="AE63" s="22">
        <f>IF(OR($B63="",AE$22=""),"",IF(LEN(VLOOKUP($B63,Database!$B$1:$IX$10144,AE$22,FALSE))=0,"",VLOOKUP($B63,Database!$B$1:$IX$10144,AE$22,FALSE)))</f>
        <v>15.7</v>
      </c>
      <c r="AF63" s="22">
        <f>IF(OR($B63="",AF$22=""),"",IF(LEN(VLOOKUP($B63,Database!$B$1:$IX$10144,AF$22,FALSE))=0,"",VLOOKUP($B63,Database!$B$1:$IX$10144,AF$22,FALSE)))</f>
        <v>16</v>
      </c>
      <c r="AG63" s="22">
        <f>IF(OR($B63="",AG$22=""),"",IF(LEN(VLOOKUP($B63,Database!$B$1:$IX$10144,AG$22,FALSE))=0,"",VLOOKUP($B63,Database!$B$1:$IX$10144,AG$22,FALSE)))</f>
        <v>6</v>
      </c>
      <c r="AH63" s="22" t="str">
        <f>IF(OR($B63="",AH$22=""),"",IF(LEN(VLOOKUP($B63,Database!$B$1:$IX$10144,AH$22,FALSE))=0,"",VLOOKUP($B63,Database!$B$1:$IX$10144,AH$22,FALSE)))</f>
        <v/>
      </c>
      <c r="AI63" s="22">
        <f>IF(OR($B63="",AI$22=""),"",IF(LEN(VLOOKUP($B63,Database!$B$1:$IX$10144,AI$22,FALSE))=0,"",VLOOKUP($B63,Database!$B$1:$IX$10144,AI$22,FALSE)))</f>
        <v>10</v>
      </c>
      <c r="AJ63" s="22" t="str">
        <f>IF(OR($B63="",AJ$22=""),"",IF(LEN(VLOOKUP($B63,Database!$B$1:$IX$10144,AJ$22,FALSE))=0,"",VLOOKUP($B63,Database!$B$1:$IX$10144,AJ$22,FALSE)))</f>
        <v/>
      </c>
      <c r="AK63" s="22" t="str">
        <f>IF(OR($B63="",AK$22=""),"",IF(LEN(VLOOKUP($B63,Database!$B$1:$IX$10144,AK$22,FALSE))=0,"",VLOOKUP($B63,Database!$B$1:$IX$10144,AK$22,FALSE)))</f>
        <v>ns</v>
      </c>
      <c r="AL63" s="22">
        <f>IF(OR($B63="",AL$22=""),"",IF(LEN(VLOOKUP($B63,Database!$B$1:$IX$10144,AL$22,FALSE))=0,"",VLOOKUP($B63,Database!$B$1:$IX$10144,AL$22,FALSE)))</f>
        <v>24.4</v>
      </c>
      <c r="AM63" s="22">
        <f>IF(OR($B63="",AM$22=""),"",IF(LEN(VLOOKUP($B63,Database!$B$1:$IX$10144,AM$22,FALSE))=0,"",VLOOKUP($B63,Database!$B$1:$IX$10144,AM$22,FALSE)))</f>
        <v>0</v>
      </c>
      <c r="AN63" s="22">
        <f>IF(OR($B63="",AN$22=""),"",IF(LEN(VLOOKUP($B63,Database!$B$1:$IX$10144,AN$22,FALSE))=0,"",VLOOKUP($B63,Database!$B$1:$IX$10144,AN$22,FALSE)))</f>
        <v>0</v>
      </c>
      <c r="AO63" s="22">
        <f>IF(OR($B63="",AO$22=""),"",IF(LEN(VLOOKUP($B63,Database!$B$1:$IX$10144,AO$22,FALSE))=0,"",VLOOKUP($B63,Database!$B$1:$IX$10144,AO$22,FALSE)))</f>
        <v>0</v>
      </c>
      <c r="AP63" s="22" t="str">
        <f>IF(OR($B63="",AP$22=""),"",IF(LEN(VLOOKUP($B63,Database!$B$1:$IX$10144,AP$22,FALSE))=0,"",VLOOKUP($B63,Database!$B$1:$IX$10144,AP$22,FALSE)))</f>
        <v>ns</v>
      </c>
      <c r="AQ63" s="22" t="str">
        <f>IF(OR($B63="",AQ$22=""),"",IF(LEN(VLOOKUP($B63,Database!$B$1:$IX$10144,AQ$22,FALSE))=0,"",VLOOKUP($B63,Database!$B$1:$IX$10144,AQ$22,FALSE)))</f>
        <v>Van den Bossche B, Maes M, Brussaard C, Schotte C, Cosyns P, De Moor J, De Schepper A.</v>
      </c>
    </row>
    <row r="64" spans="1:61">
      <c r="A64" s="10" t="s">
        <v>266</v>
      </c>
      <c r="B64">
        <v>9169241</v>
      </c>
      <c r="C64" s="1" t="s">
        <v>1313</v>
      </c>
      <c r="D64" s="1" t="s">
        <v>263</v>
      </c>
      <c r="E64" s="22" t="s">
        <v>1019</v>
      </c>
      <c r="F64" s="22">
        <v>1997</v>
      </c>
      <c r="G64" s="1" t="s">
        <v>810</v>
      </c>
      <c r="H64" s="22">
        <v>28</v>
      </c>
      <c r="I64" s="22">
        <v>29</v>
      </c>
      <c r="J64" t="s">
        <v>1174</v>
      </c>
      <c r="T64" s="31">
        <v>960.4</v>
      </c>
      <c r="U64">
        <v>107.8</v>
      </c>
      <c r="V64">
        <v>1028.5999999999999</v>
      </c>
      <c r="W64">
        <v>129.30000000000001</v>
      </c>
      <c r="Y64" s="22" t="s">
        <v>568</v>
      </c>
      <c r="Z64" s="22" t="s">
        <v>1119</v>
      </c>
      <c r="AA64" s="22" t="s">
        <v>1836</v>
      </c>
      <c r="AB64" s="22">
        <v>74.2</v>
      </c>
      <c r="AC64" s="22">
        <v>8.1999999999999993</v>
      </c>
      <c r="AD64" s="22">
        <v>67.2</v>
      </c>
      <c r="AE64" s="22">
        <v>8.4</v>
      </c>
      <c r="AF64" s="22">
        <v>17</v>
      </c>
      <c r="AG64" s="22">
        <v>17</v>
      </c>
      <c r="AH64" s="22" t="s">
        <v>1836</v>
      </c>
      <c r="AI64" s="22" t="s">
        <v>1836</v>
      </c>
      <c r="AJ64" s="22" t="s">
        <v>1836</v>
      </c>
      <c r="AK64" s="22" t="s">
        <v>1688</v>
      </c>
      <c r="AL64" s="22">
        <v>19.57</v>
      </c>
      <c r="AM64" s="22">
        <v>5</v>
      </c>
      <c r="AN64" s="22" t="s">
        <v>1060</v>
      </c>
      <c r="AO64" s="22" t="s">
        <v>1836</v>
      </c>
      <c r="AP64" s="22" t="s">
        <v>264</v>
      </c>
      <c r="AQ64" s="22" t="s">
        <v>891</v>
      </c>
    </row>
    <row r="65" spans="1:49">
      <c r="A65" s="10" t="s">
        <v>266</v>
      </c>
      <c r="B65">
        <v>9636205</v>
      </c>
      <c r="C65" s="1" t="s">
        <v>1265</v>
      </c>
      <c r="D65" s="1" t="s">
        <v>265</v>
      </c>
      <c r="E65" s="22" t="s">
        <v>1019</v>
      </c>
      <c r="F65" s="22">
        <v>1998</v>
      </c>
      <c r="G65" s="1" t="s">
        <v>814</v>
      </c>
      <c r="H65" s="22">
        <v>35</v>
      </c>
      <c r="I65" s="22">
        <v>30</v>
      </c>
      <c r="J65" t="s">
        <v>1175</v>
      </c>
      <c r="T65" s="31">
        <v>950.26</v>
      </c>
      <c r="U65">
        <v>139.54</v>
      </c>
      <c r="V65">
        <v>1008.65</v>
      </c>
      <c r="W65">
        <v>128.69999999999999</v>
      </c>
      <c r="Y65" s="22" t="s">
        <v>1292</v>
      </c>
      <c r="Z65" s="22" t="s">
        <v>1119</v>
      </c>
      <c r="AA65" s="22" t="s">
        <v>1717</v>
      </c>
      <c r="AB65" s="22"/>
      <c r="AC65" s="22"/>
      <c r="AD65" s="22">
        <v>69.430000000000007</v>
      </c>
      <c r="AE65" s="22">
        <v>6.09</v>
      </c>
      <c r="AF65" s="22">
        <v>25</v>
      </c>
      <c r="AG65" s="22">
        <v>23</v>
      </c>
      <c r="AH65" s="22" t="s">
        <v>1836</v>
      </c>
      <c r="AI65" s="22" t="s">
        <v>1836</v>
      </c>
      <c r="AJ65" s="22" t="s">
        <v>1836</v>
      </c>
      <c r="AK65" s="22">
        <v>71.260000000000005</v>
      </c>
      <c r="AL65" s="22">
        <v>19.739999999999998</v>
      </c>
      <c r="AM65" s="22">
        <v>5</v>
      </c>
      <c r="AN65" s="22" t="s">
        <v>1061</v>
      </c>
      <c r="AO65" s="22">
        <v>3000</v>
      </c>
      <c r="AP65" s="22" t="s">
        <v>264</v>
      </c>
      <c r="AQ65" s="22" t="s">
        <v>926</v>
      </c>
    </row>
    <row r="66" spans="1:49">
      <c r="A66" s="10" t="s">
        <v>2071</v>
      </c>
      <c r="B66">
        <v>9859118</v>
      </c>
      <c r="C66" s="1" t="str">
        <f>IF($B66="","",HYPERLINK(IF(LEN(VLOOKUP($B66,Database!$B$1:$IX$10144,2,FALSE))=0,"",VLOOKUP($B66,Database!$B$1:$IX$10144,2,FALSE))))</f>
        <v/>
      </c>
      <c r="D66" s="1" t="str">
        <f t="shared" ref="D66:D71" si="3">IF($B66="","",HYPERLINK(CONCATENATE("http://www.ncbi.nlm.nih.gov/pubmed/",B66)))</f>
        <v>http://www.ncbi.nlm.nih.gov/pubmed/9859118</v>
      </c>
      <c r="E66" s="22" t="str">
        <f>IF($B66="","",IF(LEN(VLOOKUP($B66,Database!$B$1:$IX$10144,4,FALSE))=0,"",VLOOKUP($B66,Database!$B$1:$IX$10144,4,FALSE)))</f>
        <v>Pantel J</v>
      </c>
      <c r="F66" s="22">
        <f>IF($B66="","",IF(LEN(VLOOKUP($B66,Database!$B$1:$IX$10144,5,FALSE))=0,"",VLOOKUP($B66,Database!$B$1:$IX$10144,5,FALSE)))</f>
        <v>1998</v>
      </c>
      <c r="G66" s="1" t="str">
        <f>IF($B66="","",HYPERLINK(IF(LEN(VLOOKUP($B66,Database!$B$1:$IX$10144,6,FALSE))=0,"",VLOOKUP($B66,Database!$B$1:$IX$10144,6,FALSE))))</f>
        <v>http://dx.doi.org/10.1007/s001150050371</v>
      </c>
      <c r="H66" s="22">
        <f>IF($B66="","",IF(LEN(VLOOKUP($B66,Database!$B$1:$IX$10144,7,FALSE))=0,"",VLOOKUP($B66,Database!$B$1:$IX$10144,7,FALSE)))</f>
        <v>19</v>
      </c>
      <c r="I66" s="22">
        <f>IF($B66="","",IF(LEN(VLOOKUP($B66,Database!$B$1:$IX$10144,8,FALSE))=0,"",VLOOKUP($B66,Database!$B$1:$IX$10144,8,FALSE)))</f>
        <v>13</v>
      </c>
      <c r="K66" s="10"/>
      <c r="Y66" s="22" t="str">
        <f>IF(OR($B66="",Y$22=""),"",IF(LEN(VLOOKUP($B66,Database!$B$1:$IX$10144,Y$22,FALSE))=0,"",VLOOKUP($B66,Database!$B$1:$IX$10144,Y$22,FALSE)))</f>
        <v>DSM-III-R</v>
      </c>
      <c r="Z66" s="22" t="str">
        <f>IF(OR($B66="",Z$22=""),"",IF(LEN(VLOOKUP($B66,Database!$B$1:$IX$10144,Z$22,FALSE))=0,"",VLOOKUP($B66,Database!$B$1:$IX$10144,Z$22,FALSE)))</f>
        <v>MRI</v>
      </c>
      <c r="AA66" s="22" t="str">
        <f>IF(OR($B66="",AA$22=""),"",IF(LEN(VLOOKUP($B66,Database!$B$1:$IX$10144,AA$22,FALSE))=0,"",VLOOKUP($B66,Database!$B$1:$IX$10144,AA$22,FALSE)))</f>
        <v/>
      </c>
      <c r="AB66" s="22">
        <f>IF(OR($B66="",AB$22=""),"",IF(LEN(VLOOKUP($B66,Database!$B$1:$IX$10144,AB$22,FALSE))=0,"",VLOOKUP($B66,Database!$B$1:$IX$10144,AB$22,FALSE)))</f>
        <v>72.400000000000006</v>
      </c>
      <c r="AC66" s="22">
        <f>IF(OR($B66="",AC$22=""),"",IF(LEN(VLOOKUP($B66,Database!$B$1:$IX$10144,AC$22,FALSE))=0,"",VLOOKUP($B66,Database!$B$1:$IX$10144,AC$22,FALSE)))</f>
        <v>8.8000000000000007</v>
      </c>
      <c r="AD66" s="22">
        <f>IF(OR($B66="",AD$22=""),"",IF(LEN(VLOOKUP($B66,Database!$B$1:$IX$10144,AD$22,FALSE))=0,"",VLOOKUP($B66,Database!$B$1:$IX$10144,AD$22,FALSE)))</f>
        <v>68.2</v>
      </c>
      <c r="AE66" s="22">
        <f>IF(OR($B66="",AE$22=""),"",IF(LEN(VLOOKUP($B66,Database!$B$1:$IX$10144,AE$22,FALSE))=0,"",VLOOKUP($B66,Database!$B$1:$IX$10144,AE$22,FALSE)))</f>
        <v>5.3</v>
      </c>
      <c r="AF66" s="22">
        <f>IF(OR($B66="",AF$22=""),"",IF(LEN(VLOOKUP($B66,Database!$B$1:$IX$10144,AF$22,FALSE))=0,"",VLOOKUP($B66,Database!$B$1:$IX$10144,AF$22,FALSE)))</f>
        <v>15</v>
      </c>
      <c r="AG66" s="22">
        <f>IF(OR($B66="",AG$22=""),"",IF(LEN(VLOOKUP($B66,Database!$B$1:$IX$10144,AG$22,FALSE))=0,"",VLOOKUP($B66,Database!$B$1:$IX$10144,AG$22,FALSE)))</f>
        <v>10</v>
      </c>
      <c r="AH66" s="22">
        <f>IF(OR($B66="",AH$22=""),"",IF(LEN(VLOOKUP($B66,Database!$B$1:$IX$10144,AH$22,FALSE))=0,"",VLOOKUP($B66,Database!$B$1:$IX$10144,AH$22,FALSE)))</f>
        <v>1.5</v>
      </c>
      <c r="AI66" s="22">
        <f>IF(OR($B66="",AI$22=""),"",IF(LEN(VLOOKUP($B66,Database!$B$1:$IX$10144,AI$22,FALSE))=0,"",VLOOKUP($B66,Database!$B$1:$IX$10144,AI$22,FALSE)))</f>
        <v>1.2</v>
      </c>
      <c r="AJ66" s="22" t="str">
        <f>IF(OR($B66="",AJ$22=""),"",IF(LEN(VLOOKUP($B66,Database!$B$1:$IX$10144,AJ$22,FALSE))=0,"",VLOOKUP($B66,Database!$B$1:$IX$10144,AJ$22,FALSE)))</f>
        <v/>
      </c>
      <c r="AK66" s="22" t="str">
        <f>IF(OR($B66="",AK$22=""),"",IF(LEN(VLOOKUP($B66,Database!$B$1:$IX$10144,AK$22,FALSE))=0,"",VLOOKUP($B66,Database!$B$1:$IX$10144,AK$22,FALSE)))</f>
        <v>ns</v>
      </c>
      <c r="AL66" s="22">
        <f>IF(OR($B66="",AL$22=""),"",IF(LEN(VLOOKUP($B66,Database!$B$1:$IX$10144,AL$22,FALSE))=0,"",VLOOKUP($B66,Database!$B$1:$IX$10144,AL$22,FALSE)))</f>
        <v>26.7</v>
      </c>
      <c r="AM66" s="22" t="str">
        <f>IF(OR($B66="",AM$22=""),"",IF(LEN(VLOOKUP($B66,Database!$B$1:$IX$10144,AM$22,FALSE))=0,"",VLOOKUP($B66,Database!$B$1:$IX$10144,AM$22,FALSE)))</f>
        <v/>
      </c>
      <c r="AN66" s="22" t="str">
        <f>IF(OR($B66="",AN$22=""),"",IF(LEN(VLOOKUP($B66,Database!$B$1:$IX$10144,AN$22,FALSE))=0,"",VLOOKUP($B66,Database!$B$1:$IX$10144,AN$22,FALSE)))</f>
        <v/>
      </c>
      <c r="AO66" s="22" t="str">
        <f>IF(OR($B66="",AO$22=""),"",IF(LEN(VLOOKUP($B66,Database!$B$1:$IX$10144,AO$22,FALSE))=0,"",VLOOKUP($B66,Database!$B$1:$IX$10144,AO$22,FALSE)))</f>
        <v/>
      </c>
      <c r="AP66" s="22" t="str">
        <f>IF(OR($B66="",AP$22=""),"",IF(LEN(VLOOKUP($B66,Database!$B$1:$IX$10144,AP$22,FALSE))=0,"",VLOOKUP($B66,Database!$B$1:$IX$10144,AP$22,FALSE)))</f>
        <v/>
      </c>
      <c r="AQ66" s="22" t="str">
        <f>IF(OR($B66="",AQ$22=""),"",IF(LEN(VLOOKUP($B66,Database!$B$1:$IX$10144,AQ$22,FALSE))=0,"",VLOOKUP($B66,Database!$B$1:$IX$10144,AQ$22,FALSE)))</f>
        <v>Pantel J, Schroder J, Essig M, Schad LR, Popp D, Eysenbach K, Jauss M, Knopp MV.</v>
      </c>
    </row>
    <row r="67" spans="1:49">
      <c r="A67" s="10" t="s">
        <v>417</v>
      </c>
      <c r="B67">
        <v>10366636</v>
      </c>
      <c r="C67" s="1" t="str">
        <f>IF($B67="","",HYPERLINK(IF(LEN(VLOOKUP($B67,Database!$B$1:$IX$10144,2,FALSE))=0,"",VLOOKUP($B67,Database!$B$1:$IX$10144,2,FALSE))))</f>
        <v/>
      </c>
      <c r="D67" s="1" t="str">
        <f t="shared" si="3"/>
        <v>http://www.ncbi.nlm.nih.gov/pubmed/10366636</v>
      </c>
      <c r="E67" s="22" t="str">
        <f>IF($B67="","",IF(LEN(VLOOKUP($B67,Database!$B$1:$IX$10144,4,FALSE))=0,"",VLOOKUP($B67,Database!$B$1:$IX$10144,4,FALSE)))</f>
        <v>Sheline YI</v>
      </c>
      <c r="F67" s="22">
        <f>IF($B67="","",IF(LEN(VLOOKUP($B67,Database!$B$1:$IX$10144,5,FALSE))=0,"",VLOOKUP($B67,Database!$B$1:$IX$10144,5,FALSE)))</f>
        <v>1999</v>
      </c>
      <c r="G67" s="1" t="str">
        <f>IF($B67="","",HYPERLINK(IF(LEN(VLOOKUP($B67,Database!$B$1:$IX$10144,6,FALSE))=0,"",VLOOKUP($B67,Database!$B$1:$IX$10144,6,FALSE))))</f>
        <v>http://ajp.psychiatryonline.org/cgi/reprint/156/12/1989</v>
      </c>
      <c r="H67" s="22">
        <f>IF($B67="","",IF(LEN(VLOOKUP($B67,Database!$B$1:$IX$10144,7,FALSE))=0,"",VLOOKUP($B67,Database!$B$1:$IX$10144,7,FALSE)))</f>
        <v>24</v>
      </c>
      <c r="I67" s="22">
        <f>IF($B67="","",IF(LEN(VLOOKUP($B67,Database!$B$1:$IX$10144,8,FALSE))=0,"",VLOOKUP($B67,Database!$B$1:$IX$10144,8,FALSE)))</f>
        <v>24</v>
      </c>
      <c r="J67" t="s">
        <v>1177</v>
      </c>
      <c r="T67" s="31">
        <v>1075</v>
      </c>
      <c r="U67">
        <v>170</v>
      </c>
      <c r="V67">
        <v>1078</v>
      </c>
      <c r="W67">
        <v>168</v>
      </c>
      <c r="Y67" s="22" t="str">
        <f>IF(OR($B67="",Y$22=""),"",IF(LEN(VLOOKUP($B67,Database!$B$1:$IX$10144,Y$22,FALSE))=0,"",VLOOKUP($B67,Database!$B$1:$IX$10144,Y$22,FALSE)))</f>
        <v>DSM-IV</v>
      </c>
      <c r="Z67" s="22" t="str">
        <f>IF(OR($B67="",Z$22=""),"",IF(LEN(VLOOKUP($B67,Database!$B$1:$IX$10144,Z$22,FALSE))=0,"",VLOOKUP($B67,Database!$B$1:$IX$10144,Z$22,FALSE)))</f>
        <v>MRI</v>
      </c>
      <c r="AA67" s="22" t="str">
        <f>IF(OR($B67="",AA$22=""),"",IF(LEN(VLOOKUP($B67,Database!$B$1:$IX$10144,AA$22,FALSE))=0,"",VLOOKUP($B67,Database!$B$1:$IX$10144,AA$22,FALSE)))</f>
        <v/>
      </c>
      <c r="AB67" s="22">
        <f>IF(OR($B67="",AB$22=""),"",IF(LEN(VLOOKUP($B67,Database!$B$1:$IX$10144,AB$22,FALSE))=0,"",VLOOKUP($B67,Database!$B$1:$IX$10144,AB$22,FALSE)))</f>
        <v>52.8</v>
      </c>
      <c r="AC67" s="22">
        <f>IF(OR($B67="",AC$22=""),"",IF(LEN(VLOOKUP($B67,Database!$B$1:$IX$10144,AC$22,FALSE))=0,"",VLOOKUP($B67,Database!$B$1:$IX$10144,AC$22,FALSE)))</f>
        <v>18.399999999999999</v>
      </c>
      <c r="AD67" s="22">
        <f>IF(OR($B67="",AD$22=""),"",IF(LEN(VLOOKUP($B67,Database!$B$1:$IX$10144,AD$22,FALSE))=0,"",VLOOKUP($B67,Database!$B$1:$IX$10144,AD$22,FALSE)))</f>
        <v>52.8</v>
      </c>
      <c r="AE67" s="22">
        <f>IF(OR($B67="",AE$22=""),"",IF(LEN(VLOOKUP($B67,Database!$B$1:$IX$10144,AE$22,FALSE))=0,"",VLOOKUP($B67,Database!$B$1:$IX$10144,AE$22,FALSE)))</f>
        <v>17.8</v>
      </c>
      <c r="AF67" s="22">
        <f>IF(OR($B67="",AF$22=""),"",IF(LEN(VLOOKUP($B67,Database!$B$1:$IX$10144,AF$22,FALSE))=0,"",VLOOKUP($B67,Database!$B$1:$IX$10144,AF$22,FALSE)))</f>
        <v>24</v>
      </c>
      <c r="AG67" s="22">
        <f>IF(OR($B67="",AG$22=""),"",IF(LEN(VLOOKUP($B67,Database!$B$1:$IX$10144,AG$22,FALSE))=0,"",VLOOKUP($B67,Database!$B$1:$IX$10144,AG$22,FALSE)))</f>
        <v>24</v>
      </c>
      <c r="AH67" s="22">
        <f>IF(OR($B67="",AH$22=""),"",IF(LEN(VLOOKUP($B67,Database!$B$1:$IX$10144,AH$22,FALSE))=0,"",VLOOKUP($B67,Database!$B$1:$IX$10144,AH$22,FALSE)))</f>
        <v>1.5</v>
      </c>
      <c r="AI67" s="22">
        <f>IF(OR($B67="",AI$22=""),"",IF(LEN(VLOOKUP($B67,Database!$B$1:$IX$10144,AI$22,FALSE))=0,"",VLOOKUP($B67,Database!$B$1:$IX$10144,AI$22,FALSE)))</f>
        <v>1.25</v>
      </c>
      <c r="AJ67" s="22" t="str">
        <f>IF(OR($B67="",AJ$22=""),"",IF(LEN(VLOOKUP($B67,Database!$B$1:$IX$10144,AJ$22,FALSE))=0,"",VLOOKUP($B67,Database!$B$1:$IX$10144,AJ$22,FALSE)))</f>
        <v/>
      </c>
      <c r="AK67" s="22" t="str">
        <f>IF(OR($B67="",AK$22=""),"",IF(LEN(VLOOKUP($B67,Database!$B$1:$IX$10144,AK$22,FALSE))=0,"",VLOOKUP($B67,Database!$B$1:$IX$10144,AK$22,FALSE)))</f>
        <v>ns</v>
      </c>
      <c r="AL67" s="22" t="str">
        <f>IF(OR($B67="",AL$22=""),"",IF(LEN(VLOOKUP($B67,Database!$B$1:$IX$10144,AL$22,FALSE))=0,"",VLOOKUP($B67,Database!$B$1:$IX$10144,AL$22,FALSE)))</f>
        <v>ns</v>
      </c>
      <c r="AM67" s="22">
        <f>IF(OR($B67="",AM$22=""),"",IF(LEN(VLOOKUP($B67,Database!$B$1:$IX$10144,AM$22,FALSE))=0,"",VLOOKUP($B67,Database!$B$1:$IX$10144,AM$22,FALSE)))</f>
        <v>66.666666666666657</v>
      </c>
      <c r="AN67" s="22" t="str">
        <f>IF(OR($B67="",AN$22=""),"",IF(LEN(VLOOKUP($B67,Database!$B$1:$IX$10144,AN$22,FALSE))=0,"",VLOOKUP($B67,Database!$B$1:$IX$10144,AN$22,FALSE)))</f>
        <v>ns</v>
      </c>
      <c r="AO67" s="22" t="str">
        <f>IF(OR($B67="",AO$22=""),"",IF(LEN(VLOOKUP($B67,Database!$B$1:$IX$10144,AO$22,FALSE))=0,"",VLOOKUP($B67,Database!$B$1:$IX$10144,AO$22,FALSE)))</f>
        <v>ns</v>
      </c>
      <c r="AP67" s="22" t="str">
        <f>IF(OR($B67="",AP$22=""),"",IF(LEN(VLOOKUP($B67,Database!$B$1:$IX$10144,AP$22,FALSE))=0,"",VLOOKUP($B67,Database!$B$1:$IX$10144,AP$22,FALSE)))</f>
        <v>ns</v>
      </c>
      <c r="AQ67" s="22" t="str">
        <f>IF(OR($B67="",AQ$22=""),"",IF(LEN(VLOOKUP($B67,Database!$B$1:$IX$10144,AQ$22,FALSE))=0,"",VLOOKUP($B67,Database!$B$1:$IX$10144,AQ$22,FALSE)))</f>
        <v>Sheline YI, Sanghavi M, Mintun MA, Gado MH.</v>
      </c>
      <c r="AV67">
        <f>W67/V67</f>
        <v>0.15584415584415584</v>
      </c>
      <c r="AW67">
        <f>U67/T67</f>
        <v>0.15813953488372093</v>
      </c>
    </row>
    <row r="68" spans="1:49">
      <c r="A68" s="10" t="s">
        <v>2352</v>
      </c>
      <c r="B68">
        <v>10618023</v>
      </c>
      <c r="C68" s="1" t="str">
        <f>IF($B68="","",HYPERLINK(IF(LEN(VLOOKUP($B68,Database!$B$1:$IX$10144,2,FALSE))=0,"",VLOOKUP($B68,Database!$B$1:$IX$10144,2,FALSE))))</f>
        <v/>
      </c>
      <c r="D68" s="1" t="str">
        <f t="shared" si="3"/>
        <v>http://www.ncbi.nlm.nih.gov/pubmed/10618023</v>
      </c>
      <c r="E68" s="22" t="str">
        <f>IF($B68="","",IF(LEN(VLOOKUP($B68,Database!$B$1:$IX$10144,4,FALSE))=0,"",VLOOKUP($B68,Database!$B$1:$IX$10144,4,FALSE)))</f>
        <v>Bremner JD</v>
      </c>
      <c r="F68" s="22">
        <f>IF($B68="","",IF(LEN(VLOOKUP($B68,Database!$B$1:$IX$10144,5,FALSE))=0,"",VLOOKUP($B68,Database!$B$1:$IX$10144,5,FALSE)))</f>
        <v>2000</v>
      </c>
      <c r="G68" s="1" t="str">
        <f>IF($B68="","",HYPERLINK(IF(LEN(VLOOKUP($B68,Database!$B$1:$IX$10144,6,FALSE))=0,"",VLOOKUP($B68,Database!$B$1:$IX$10144,6,FALSE))))</f>
        <v>http://ajp.psychiatryonline.org/cgi/reprint/157/1/115</v>
      </c>
      <c r="H68" s="22">
        <f>IF($B68="","",IF(LEN(VLOOKUP($B68,Database!$B$1:$IX$10144,7,FALSE))=0,"",VLOOKUP($B68,Database!$B$1:$IX$10144,7,FALSE)))</f>
        <v>16</v>
      </c>
      <c r="I68" s="22">
        <f>IF($B68="","",IF(LEN(VLOOKUP($B68,Database!$B$1:$IX$10144,8,FALSE))=0,"",VLOOKUP($B68,Database!$B$1:$IX$10144,8,FALSE)))</f>
        <v>16</v>
      </c>
      <c r="J68" t="s">
        <v>1178</v>
      </c>
      <c r="T68" s="31">
        <v>1404586</v>
      </c>
      <c r="U68">
        <v>179994</v>
      </c>
      <c r="V68">
        <v>1390789</v>
      </c>
      <c r="W68">
        <v>153948</v>
      </c>
      <c r="Y68" s="22" t="str">
        <f>IF(OR($B68="",Y$22=""),"",IF(LEN(VLOOKUP($B68,Database!$B$1:$IX$10144,Y$22,FALSE))=0,"",VLOOKUP($B68,Database!$B$1:$IX$10144,Y$22,FALSE)))</f>
        <v>DSM-IV</v>
      </c>
      <c r="Z68" s="22" t="str">
        <f>IF(OR($B68="",Z$22=""),"",IF(LEN(VLOOKUP($B68,Database!$B$1:$IX$10144,Z$22,FALSE))=0,"",VLOOKUP($B68,Database!$B$1:$IX$10144,Z$22,FALSE)))</f>
        <v>MRI</v>
      </c>
      <c r="AA68" s="22" t="str">
        <f>IF(OR($B68="",AA$22=""),"",IF(LEN(VLOOKUP($B68,Database!$B$1:$IX$10144,AA$22,FALSE))=0,"",VLOOKUP($B68,Database!$B$1:$IX$10144,AA$22,FALSE)))</f>
        <v/>
      </c>
      <c r="AB68" s="22">
        <f>IF(OR($B68="",AB$22=""),"",IF(LEN(VLOOKUP($B68,Database!$B$1:$IX$10144,AB$22,FALSE))=0,"",VLOOKUP($B68,Database!$B$1:$IX$10144,AB$22,FALSE)))</f>
        <v>43</v>
      </c>
      <c r="AC68" s="22">
        <f>IF(OR($B68="",AC$22=""),"",IF(LEN(VLOOKUP($B68,Database!$B$1:$IX$10144,AC$22,FALSE))=0,"",VLOOKUP($B68,Database!$B$1:$IX$10144,AC$22,FALSE)))</f>
        <v>8</v>
      </c>
      <c r="AD68" s="22">
        <f>IF(OR($B68="",AD$22=""),"",IF(LEN(VLOOKUP($B68,Database!$B$1:$IX$10144,AD$22,FALSE))=0,"",VLOOKUP($B68,Database!$B$1:$IX$10144,AD$22,FALSE)))</f>
        <v>45</v>
      </c>
      <c r="AE68" s="22">
        <f>IF(OR($B68="",AE$22=""),"",IF(LEN(VLOOKUP($B68,Database!$B$1:$IX$10144,AE$22,FALSE))=0,"",VLOOKUP($B68,Database!$B$1:$IX$10144,AE$22,FALSE)))</f>
        <v>10</v>
      </c>
      <c r="AF68" s="22">
        <f>IF(OR($B68="",AF$22=""),"",IF(LEN(VLOOKUP($B68,Database!$B$1:$IX$10144,AF$22,FALSE))=0,"",VLOOKUP($B68,Database!$B$1:$IX$10144,AF$22,FALSE)))</f>
        <v>6</v>
      </c>
      <c r="AG68" s="22">
        <f>IF(OR($B68="",AG$22=""),"",IF(LEN(VLOOKUP($B68,Database!$B$1:$IX$10144,AG$22,FALSE))=0,"",VLOOKUP($B68,Database!$B$1:$IX$10144,AG$22,FALSE)))</f>
        <v>6</v>
      </c>
      <c r="AH68" s="22">
        <f>IF(OR($B68="",AH$22=""),"",IF(LEN(VLOOKUP($B68,Database!$B$1:$IX$10144,AH$22,FALSE))=0,"",VLOOKUP($B68,Database!$B$1:$IX$10144,AH$22,FALSE)))</f>
        <v>1.5</v>
      </c>
      <c r="AI68" s="22">
        <f>IF(OR($B68="",AI$22=""),"",IF(LEN(VLOOKUP($B68,Database!$B$1:$IX$10144,AI$22,FALSE))=0,"",VLOOKUP($B68,Database!$B$1:$IX$10144,AI$22,FALSE)))</f>
        <v>3</v>
      </c>
      <c r="AJ68" s="22" t="str">
        <f>IF(OR($B68="",AJ$22=""),"",IF(LEN(VLOOKUP($B68,Database!$B$1:$IX$10144,AJ$22,FALSE))=0,"",VLOOKUP($B68,Database!$B$1:$IX$10144,AJ$22,FALSE)))</f>
        <v/>
      </c>
      <c r="AK68" s="22" t="str">
        <f>IF(OR($B68="",AK$22=""),"",IF(LEN(VLOOKUP($B68,Database!$B$1:$IX$10144,AK$22,FALSE))=0,"",VLOOKUP($B68,Database!$B$1:$IX$10144,AK$22,FALSE)))</f>
        <v>ns</v>
      </c>
      <c r="AL68" s="22" t="str">
        <f>IF(OR($B68="",AL$22=""),"",IF(LEN(VLOOKUP($B68,Database!$B$1:$IX$10144,AL$22,FALSE))=0,"",VLOOKUP($B68,Database!$B$1:$IX$10144,AL$22,FALSE)))</f>
        <v>ns</v>
      </c>
      <c r="AM68" s="22">
        <f>IF(OR($B68="",AM$22=""),"",IF(LEN(VLOOKUP($B68,Database!$B$1:$IX$10144,AM$22,FALSE))=0,"",VLOOKUP($B68,Database!$B$1:$IX$10144,AM$22,FALSE)))</f>
        <v>100</v>
      </c>
      <c r="AN68" s="22">
        <f>IF(OR($B68="",AN$22=""),"",IF(LEN(VLOOKUP($B68,Database!$B$1:$IX$10144,AN$22,FALSE))=0,"",VLOOKUP($B68,Database!$B$1:$IX$10144,AN$22,FALSE)))</f>
        <v>0</v>
      </c>
      <c r="AO68" s="22">
        <f>IF(OR($B68="",AO$22=""),"",IF(LEN(VLOOKUP($B68,Database!$B$1:$IX$10144,AO$22,FALSE))=0,"",VLOOKUP($B68,Database!$B$1:$IX$10144,AO$22,FALSE)))</f>
        <v>0</v>
      </c>
      <c r="AP68" s="22">
        <f>IF(OR($B68="",AP$22=""),"",IF(LEN(VLOOKUP($B68,Database!$B$1:$IX$10144,AP$22,FALSE))=0,"",VLOOKUP($B68,Database!$B$1:$IX$10144,AP$22,FALSE)))</f>
        <v>0</v>
      </c>
      <c r="AQ68" s="22" t="str">
        <f>IF(OR($B68="",AQ$22=""),"",IF(LEN(VLOOKUP($B68,Database!$B$1:$IX$10144,AQ$22,FALSE))=0,"",VLOOKUP($B68,Database!$B$1:$IX$10144,AQ$22,FALSE)))</f>
        <v>Bremner JD, Narayan M, Anderson ER, Staib LH, Miller HL, Charney DS.</v>
      </c>
      <c r="AV68">
        <f>W68/V68</f>
        <v>0.11069112568477317</v>
      </c>
      <c r="AW68">
        <f>U68/T68</f>
        <v>0.12814736869084556</v>
      </c>
    </row>
    <row r="69" spans="1:49">
      <c r="A69" s="10" t="s">
        <v>2165</v>
      </c>
      <c r="B69">
        <v>12785469</v>
      </c>
      <c r="C69" s="1" t="str">
        <f>IF($B69="","",HYPERLINK(IF(LEN(VLOOKUP($B69,Database!$B$1:$IX$10144,2,FALSE))=0,"",VLOOKUP($B69,Database!$B$1:$IX$10144,2,FALSE))))</f>
        <v/>
      </c>
      <c r="D69" s="1" t="str">
        <f t="shared" si="3"/>
        <v>http://www.ncbi.nlm.nih.gov/pubmed/12785469</v>
      </c>
      <c r="E69" s="22" t="str">
        <f>IF($B69="","",IF(LEN(VLOOKUP($B69,Database!$B$1:$IX$10144,4,FALSE))=0,"",VLOOKUP($B69,Database!$B$1:$IX$10144,4,FALSE)))</f>
        <v>Almeida OP</v>
      </c>
      <c r="F69" s="22">
        <f>IF($B69="","",IF(LEN(VLOOKUP($B69,Database!$B$1:$IX$10144,5,FALSE))=0,"",VLOOKUP($B69,Database!$B$1:$IX$10144,5,FALSE)))</f>
        <v>2003</v>
      </c>
      <c r="G69" s="1" t="str">
        <f>IF($B69="","",HYPERLINK(IF(LEN(VLOOKUP($B69,Database!$B$1:$IX$10144,6,FALSE))=0,"",VLOOKUP($B69,Database!$B$1:$IX$10144,6,FALSE))))</f>
        <v>http://dx.doi.org/10.1017/S003329170300758X</v>
      </c>
      <c r="H69" s="83">
        <v>24</v>
      </c>
      <c r="I69" s="83">
        <v>18.5</v>
      </c>
      <c r="J69" t="s">
        <v>444</v>
      </c>
      <c r="K69" t="s">
        <v>681</v>
      </c>
      <c r="T69" s="31">
        <v>1053932</v>
      </c>
      <c r="U69" s="13">
        <v>93627</v>
      </c>
      <c r="V69">
        <v>1062517</v>
      </c>
      <c r="W69" s="13">
        <v>89303</v>
      </c>
      <c r="Y69" s="22" t="str">
        <f>IF(OR($B69="",Y$22=""),"",IF(LEN(VLOOKUP($B69,Database!$B$1:$IX$10144,Y$22,FALSE))=0,"",VLOOKUP($B69,Database!$B$1:$IX$10144,Y$22,FALSE)))</f>
        <v>DSM-IV</v>
      </c>
      <c r="Z69" s="22" t="str">
        <f>IF(OR($B69="",Z$22=""),"",IF(LEN(VLOOKUP($B69,Database!$B$1:$IX$10144,Z$22,FALSE))=0,"",VLOOKUP($B69,Database!$B$1:$IX$10144,Z$22,FALSE)))</f>
        <v>MRI</v>
      </c>
      <c r="AA69" s="22" t="str">
        <f>IF(OR($B69="",AA$22=""),"",IF(LEN(VLOOKUP($B69,Database!$B$1:$IX$10144,AA$22,FALSE))=0,"",VLOOKUP($B69,Database!$B$1:$IX$10144,AA$22,FALSE)))</f>
        <v/>
      </c>
      <c r="AB69" s="22" t="str">
        <f>IF(OR($B69="",AB$22=""),"",IF(LEN(VLOOKUP($B69,Database!$B$1:$IX$10144,AB$22,FALSE))=0,"",VLOOKUP($B69,Database!$B$1:$IX$10144,AB$22,FALSE)))</f>
        <v/>
      </c>
      <c r="AC69" s="22" t="str">
        <f>IF(OR($B69="",AC$22=""),"",IF(LEN(VLOOKUP($B69,Database!$B$1:$IX$10144,AC$22,FALSE))=0,"",VLOOKUP($B69,Database!$B$1:$IX$10144,AC$22,FALSE)))</f>
        <v/>
      </c>
      <c r="AD69" s="22">
        <f>IF(OR($B69="",AD$22=""),"",IF(LEN(VLOOKUP($B69,Database!$B$1:$IX$10144,AD$22,FALSE))=0,"",VLOOKUP($B69,Database!$B$1:$IX$10144,AD$22,FALSE)))</f>
        <v>72.900000000000006</v>
      </c>
      <c r="AE69" s="22">
        <f>IF(OR($B69="",AE$22=""),"",IF(LEN(VLOOKUP($B69,Database!$B$1:$IX$10144,AE$22,FALSE))=0,"",VLOOKUP($B69,Database!$B$1:$IX$10144,AE$22,FALSE)))</f>
        <v>6.83</v>
      </c>
      <c r="AF69" s="22">
        <f>IF(OR($B69="",AF$22=""),"",IF(LEN(VLOOKUP($B69,Database!$B$1:$IX$10144,AF$22,FALSE))=0,"",VLOOKUP($B69,Database!$B$1:$IX$10144,AF$22,FALSE)))</f>
        <v>41</v>
      </c>
      <c r="AG69" s="22">
        <f>IF(OR($B69="",AG$22=""),"",IF(LEN(VLOOKUP($B69,Database!$B$1:$IX$10144,AG$22,FALSE))=0,"",VLOOKUP($B69,Database!$B$1:$IX$10144,AG$22,FALSE)))</f>
        <v>27</v>
      </c>
      <c r="AH69" s="22">
        <f>IF(OR($B69="",AH$22=""),"",IF(LEN(VLOOKUP($B69,Database!$B$1:$IX$10144,AH$22,FALSE))=0,"",VLOOKUP($B69,Database!$B$1:$IX$10144,AH$22,FALSE)))</f>
        <v>1</v>
      </c>
      <c r="AI69" s="22">
        <f>IF(OR($B69="",AI$22=""),"",IF(LEN(VLOOKUP($B69,Database!$B$1:$IX$10144,AI$22,FALSE))=0,"",VLOOKUP($B69,Database!$B$1:$IX$10144,AI$22,FALSE)))</f>
        <v>1</v>
      </c>
      <c r="AJ69" s="22" t="str">
        <f>IF(OR($B69="",AJ$22=""),"",IF(LEN(VLOOKUP($B69,Database!$B$1:$IX$10144,AJ$22,FALSE))=0,"",VLOOKUP($B69,Database!$B$1:$IX$10144,AJ$22,FALSE)))</f>
        <v/>
      </c>
      <c r="AK69" s="22" t="str">
        <f>IF(OR($B69="",AK$22=""),"",IF(LEN(VLOOKUP($B69,Database!$B$1:$IX$10144,AK$22,FALSE))=0,"",VLOOKUP($B69,Database!$B$1:$IX$10144,AK$22,FALSE)))</f>
        <v>divided into 2 sub-groups</v>
      </c>
      <c r="AL69" s="22" t="str">
        <f>IF(OR($B69="",AL$22=""),"",IF(LEN(VLOOKUP($B69,Database!$B$1:$IX$10144,AL$22,FALSE))=0,"",VLOOKUP($B69,Database!$B$1:$IX$10144,AL$22,FALSE)))</f>
        <v>ns</v>
      </c>
      <c r="AM69" s="22" t="str">
        <f>IF(OR($B69="",AM$22=""),"",IF(LEN(VLOOKUP($B69,Database!$B$1:$IX$10144,AM$22,FALSE))=0,"",VLOOKUP($B69,Database!$B$1:$IX$10144,AM$22,FALSE)))</f>
        <v>ns</v>
      </c>
      <c r="AN69" s="22" t="str">
        <f>IF(OR($B69="",AN$22=""),"",IF(LEN(VLOOKUP($B69,Database!$B$1:$IX$10144,AN$22,FALSE))=0,"",VLOOKUP($B69,Database!$B$1:$IX$10144,AN$22,FALSE)))</f>
        <v>ns</v>
      </c>
      <c r="AO69" s="22" t="str">
        <f>IF(OR($B69="",AO$22=""),"",IF(LEN(VLOOKUP($B69,Database!$B$1:$IX$10144,AO$22,FALSE))=0,"",VLOOKUP($B69,Database!$B$1:$IX$10144,AO$22,FALSE)))</f>
        <v>ns</v>
      </c>
      <c r="AP69" s="22" t="str">
        <f>IF(OR($B69="",AP$22=""),"",IF(LEN(VLOOKUP($B69,Database!$B$1:$IX$10144,AP$22,FALSE))=0,"",VLOOKUP($B69,Database!$B$1:$IX$10144,AP$22,FALSE)))</f>
        <v>ns</v>
      </c>
      <c r="AQ69" s="22" t="str">
        <f>IF(OR($B69="",AQ$22=""),"",IF(LEN(VLOOKUP($B69,Database!$B$1:$IX$10144,AQ$22,FALSE))=0,"",VLOOKUP($B69,Database!$B$1:$IX$10144,AQ$22,FALSE)))</f>
        <v>Almeida OP, Burton EJ, Ferrier N, McKeith IG, O'Brien JT.</v>
      </c>
      <c r="AV69">
        <f>W69/V69</f>
        <v>8.4048537576339954E-2</v>
      </c>
      <c r="AW69">
        <f>U69/T69</f>
        <v>8.8835902126512906E-2</v>
      </c>
    </row>
    <row r="70" spans="1:49">
      <c r="A70" s="10" t="s">
        <v>2165</v>
      </c>
      <c r="B70">
        <v>12785469</v>
      </c>
      <c r="C70" s="1" t="str">
        <f>IF($B70="","",HYPERLINK(IF(LEN(VLOOKUP($B70,Database!$B$1:$IX$10144,2,FALSE))=0,"",VLOOKUP($B70,Database!$B$1:$IX$10144,2,FALSE))))</f>
        <v/>
      </c>
      <c r="D70" s="1" t="str">
        <f t="shared" si="3"/>
        <v>http://www.ncbi.nlm.nih.gov/pubmed/12785469</v>
      </c>
      <c r="E70" s="22" t="str">
        <f>IF($B70="","",IF(LEN(VLOOKUP($B70,Database!$B$1:$IX$10144,4,FALSE))=0,"",VLOOKUP($B70,Database!$B$1:$IX$10144,4,FALSE)))</f>
        <v>Almeida OP</v>
      </c>
      <c r="F70" s="22">
        <f>IF($B70="","",IF(LEN(VLOOKUP($B70,Database!$B$1:$IX$10144,5,FALSE))=0,"",VLOOKUP($B70,Database!$B$1:$IX$10144,5,FALSE)))</f>
        <v>2003</v>
      </c>
      <c r="G70" s="1" t="str">
        <f>IF($B70="","",HYPERLINK(IF(LEN(VLOOKUP($B70,Database!$B$1:$IX$10144,6,FALSE))=0,"",VLOOKUP($B70,Database!$B$1:$IX$10144,6,FALSE))))</f>
        <v>http://dx.doi.org/10.1017/S003329170300758X</v>
      </c>
      <c r="H70" s="83">
        <v>27</v>
      </c>
      <c r="I70" s="83">
        <v>18.5</v>
      </c>
      <c r="J70" t="s">
        <v>705</v>
      </c>
      <c r="K70" t="s">
        <v>682</v>
      </c>
      <c r="T70" s="31">
        <v>1052080</v>
      </c>
      <c r="U70" s="13">
        <v>92156</v>
      </c>
      <c r="V70">
        <v>1062517</v>
      </c>
      <c r="W70" s="13">
        <v>89303</v>
      </c>
      <c r="Y70" s="22" t="str">
        <f>IF(OR($B70="",Y$22=""),"",IF(LEN(VLOOKUP($B70,Database!$B$1:$IX$10144,Y$22,FALSE))=0,"",VLOOKUP($B70,Database!$B$1:$IX$10144,Y$22,FALSE)))</f>
        <v>DSM-IV</v>
      </c>
      <c r="Z70" s="22" t="str">
        <f>IF(OR($B70="",Z$22=""),"",IF(LEN(VLOOKUP($B70,Database!$B$1:$IX$10144,Z$22,FALSE))=0,"",VLOOKUP($B70,Database!$B$1:$IX$10144,Z$22,FALSE)))</f>
        <v>MRI</v>
      </c>
      <c r="AA70" s="22" t="str">
        <f>IF(OR($B70="",AA$22=""),"",IF(LEN(VLOOKUP($B70,Database!$B$1:$IX$10144,AA$22,FALSE))=0,"",VLOOKUP($B70,Database!$B$1:$IX$10144,AA$22,FALSE)))</f>
        <v/>
      </c>
      <c r="AB70" s="22" t="str">
        <f>IF(OR($B70="",AB$22=""),"",IF(LEN(VLOOKUP($B70,Database!$B$1:$IX$10144,AB$22,FALSE))=0,"",VLOOKUP($B70,Database!$B$1:$IX$10144,AB$22,FALSE)))</f>
        <v/>
      </c>
      <c r="AC70" s="22" t="str">
        <f>IF(OR($B70="",AC$22=""),"",IF(LEN(VLOOKUP($B70,Database!$B$1:$IX$10144,AC$22,FALSE))=0,"",VLOOKUP($B70,Database!$B$1:$IX$10144,AC$22,FALSE)))</f>
        <v/>
      </c>
      <c r="AD70" s="22">
        <f>IF(OR($B70="",AD$22=""),"",IF(LEN(VLOOKUP($B70,Database!$B$1:$IX$10144,AD$22,FALSE))=0,"",VLOOKUP($B70,Database!$B$1:$IX$10144,AD$22,FALSE)))</f>
        <v>72.900000000000006</v>
      </c>
      <c r="AE70" s="22">
        <f>IF(OR($B70="",AE$22=""),"",IF(LEN(VLOOKUP($B70,Database!$B$1:$IX$10144,AE$22,FALSE))=0,"",VLOOKUP($B70,Database!$B$1:$IX$10144,AE$22,FALSE)))</f>
        <v>6.83</v>
      </c>
      <c r="AF70" s="22">
        <f>IF(OR($B70="",AF$22=""),"",IF(LEN(VLOOKUP($B70,Database!$B$1:$IX$10144,AF$22,FALSE))=0,"",VLOOKUP($B70,Database!$B$1:$IX$10144,AF$22,FALSE)))</f>
        <v>41</v>
      </c>
      <c r="AG70" s="22">
        <f>IF(OR($B70="",AG$22=""),"",IF(LEN(VLOOKUP($B70,Database!$B$1:$IX$10144,AG$22,FALSE))=0,"",VLOOKUP($B70,Database!$B$1:$IX$10144,AG$22,FALSE)))</f>
        <v>27</v>
      </c>
      <c r="AH70" s="22">
        <f>IF(OR($B70="",AH$22=""),"",IF(LEN(VLOOKUP($B70,Database!$B$1:$IX$10144,AH$22,FALSE))=0,"",VLOOKUP($B70,Database!$B$1:$IX$10144,AH$22,FALSE)))</f>
        <v>1</v>
      </c>
      <c r="AI70" s="22">
        <f>IF(OR($B70="",AI$22=""),"",IF(LEN(VLOOKUP($B70,Database!$B$1:$IX$10144,AI$22,FALSE))=0,"",VLOOKUP($B70,Database!$B$1:$IX$10144,AI$22,FALSE)))</f>
        <v>1</v>
      </c>
      <c r="AJ70" s="22" t="str">
        <f>IF(OR($B70="",AJ$22=""),"",IF(LEN(VLOOKUP($B70,Database!$B$1:$IX$10144,AJ$22,FALSE))=0,"",VLOOKUP($B70,Database!$B$1:$IX$10144,AJ$22,FALSE)))</f>
        <v/>
      </c>
      <c r="AK70" s="22" t="str">
        <f>IF(OR($B70="",AK$22=""),"",IF(LEN(VLOOKUP($B70,Database!$B$1:$IX$10144,AK$22,FALSE))=0,"",VLOOKUP($B70,Database!$B$1:$IX$10144,AK$22,FALSE)))</f>
        <v>divided into 2 sub-groups</v>
      </c>
      <c r="AL70" s="22" t="str">
        <f>IF(OR($B70="",AL$22=""),"",IF(LEN(VLOOKUP($B70,Database!$B$1:$IX$10144,AL$22,FALSE))=0,"",VLOOKUP($B70,Database!$B$1:$IX$10144,AL$22,FALSE)))</f>
        <v>ns</v>
      </c>
      <c r="AM70" s="22" t="str">
        <f>IF(OR($B70="",AM$22=""),"",IF(LEN(VLOOKUP($B70,Database!$B$1:$IX$10144,AM$22,FALSE))=0,"",VLOOKUP($B70,Database!$B$1:$IX$10144,AM$22,FALSE)))</f>
        <v>ns</v>
      </c>
      <c r="AN70" s="22" t="str">
        <f>IF(OR($B70="",AN$22=""),"",IF(LEN(VLOOKUP($B70,Database!$B$1:$IX$10144,AN$22,FALSE))=0,"",VLOOKUP($B70,Database!$B$1:$IX$10144,AN$22,FALSE)))</f>
        <v>ns</v>
      </c>
      <c r="AO70" s="22" t="str">
        <f>IF(OR($B70="",AO$22=""),"",IF(LEN(VLOOKUP($B70,Database!$B$1:$IX$10144,AO$22,FALSE))=0,"",VLOOKUP($B70,Database!$B$1:$IX$10144,AO$22,FALSE)))</f>
        <v>ns</v>
      </c>
      <c r="AP70" s="22" t="str">
        <f>IF(OR($B70="",AP$22=""),"",IF(LEN(VLOOKUP($B70,Database!$B$1:$IX$10144,AP$22,FALSE))=0,"",VLOOKUP($B70,Database!$B$1:$IX$10144,AP$22,FALSE)))</f>
        <v>ns</v>
      </c>
      <c r="AQ70" s="22" t="str">
        <f>IF(OR($B70="",AQ$22=""),"",IF(LEN(VLOOKUP($B70,Database!$B$1:$IX$10144,AQ$22,FALSE))=0,"",VLOOKUP($B70,Database!$B$1:$IX$10144,AQ$22,FALSE)))</f>
        <v>Almeida OP, Burton EJ, Ferrier N, McKeith IG, O'Brien JT.</v>
      </c>
      <c r="AV70">
        <f>W70/V70</f>
        <v>8.4048537576339954E-2</v>
      </c>
      <c r="AW70">
        <f>U70/T70</f>
        <v>8.759409930803741E-2</v>
      </c>
    </row>
    <row r="71" spans="1:49">
      <c r="A71" s="10" t="s">
        <v>706</v>
      </c>
      <c r="B71">
        <v>12823084</v>
      </c>
      <c r="C71" s="1" t="str">
        <f>IF($B71="","",HYPERLINK(IF(LEN(VLOOKUP($B71,Database!$B$1:$IX$10144,2,FALSE))=0,"",VLOOKUP($B71,Database!$B$1:$IX$10144,2,FALSE))))</f>
        <v/>
      </c>
      <c r="D71" s="1" t="str">
        <f t="shared" si="3"/>
        <v>http://www.ncbi.nlm.nih.gov/pubmed/12823084</v>
      </c>
      <c r="E71" s="22" t="str">
        <f>IF($B71="","",IF(LEN(VLOOKUP($B71,Database!$B$1:$IX$10144,4,FALSE))=0,"",VLOOKUP($B71,Database!$B$1:$IX$10144,4,FALSE)))</f>
        <v>Cardoner N</v>
      </c>
      <c r="F71" s="22">
        <f>IF($B71="","",IF(LEN(VLOOKUP($B71,Database!$B$1:$IX$10144,5,FALSE))=0,"",VLOOKUP($B71,Database!$B$1:$IX$10144,5,FALSE)))</f>
        <v>2003</v>
      </c>
      <c r="G71" s="1" t="str">
        <f>IF($B71="","",HYPERLINK(IF(LEN(VLOOKUP($B71,Database!$B$1:$IX$10144,6,FALSE))=0,"",VLOOKUP($B71,Database!$B$1:$IX$10144,6,FALSE))))</f>
        <v>http://www.psychiatrist.com/abstracts/abstracts.asp?abstract=200306/060310.htm</v>
      </c>
      <c r="H71" s="22">
        <f>IF($B71="","",IF(LEN(VLOOKUP($B71,Database!$B$1:$IX$10144,7,FALSE))=0,"",VLOOKUP($B71,Database!$B$1:$IX$10144,7,FALSE)))</f>
        <v>55</v>
      </c>
      <c r="I71" s="22">
        <f>IF($B71="","",IF(LEN(VLOOKUP($B71,Database!$B$1:$IX$10144,8,FALSE))=0,"",VLOOKUP($B71,Database!$B$1:$IX$10144,8,FALSE)))</f>
        <v>37</v>
      </c>
      <c r="K71" s="10"/>
      <c r="Y71" s="22" t="str">
        <f>IF(OR($B71="",Y$22=""),"",IF(LEN(VLOOKUP($B71,Database!$B$1:$IX$10144,Y$22,FALSE))=0,"",VLOOKUP($B71,Database!$B$1:$IX$10144,Y$22,FALSE)))</f>
        <v>DSM-IV</v>
      </c>
      <c r="Z71" s="22" t="str">
        <f>IF(OR($B71="",Z$22=""),"",IF(LEN(VLOOKUP($B71,Database!$B$1:$IX$10144,Z$22,FALSE))=0,"",VLOOKUP($B71,Database!$B$1:$IX$10144,Z$22,FALSE)))</f>
        <v>MRI</v>
      </c>
      <c r="AA71" s="22" t="str">
        <f>IF(OR($B71="",AA$22=""),"",IF(LEN(VLOOKUP($B71,Database!$B$1:$IX$10144,AA$22,FALSE))=0,"",VLOOKUP($B71,Database!$B$1:$IX$10144,AA$22,FALSE)))</f>
        <v/>
      </c>
      <c r="AB71" s="22">
        <f>IF(OR($B71="",AB$22=""),"",IF(LEN(VLOOKUP($B71,Database!$B$1:$IX$10144,AB$22,FALSE))=0,"",VLOOKUP($B71,Database!$B$1:$IX$10144,AB$22,FALSE)))</f>
        <v>60.6</v>
      </c>
      <c r="AC71" s="22">
        <f>IF(OR($B71="",AC$22=""),"",IF(LEN(VLOOKUP($B71,Database!$B$1:$IX$10144,AC$22,FALSE))=0,"",VLOOKUP($B71,Database!$B$1:$IX$10144,AC$22,FALSE)))</f>
        <v>9.4</v>
      </c>
      <c r="AD71" s="22">
        <f>IF(OR($B71="",AD$22=""),"",IF(LEN(VLOOKUP($B71,Database!$B$1:$IX$10144,AD$22,FALSE))=0,"",VLOOKUP($B71,Database!$B$1:$IX$10144,AD$22,FALSE)))</f>
        <v>58.6</v>
      </c>
      <c r="AE71" s="22">
        <f>IF(OR($B71="",AE$22=""),"",IF(LEN(VLOOKUP($B71,Database!$B$1:$IX$10144,AE$22,FALSE))=0,"",VLOOKUP($B71,Database!$B$1:$IX$10144,AE$22,FALSE)))</f>
        <v>7.3</v>
      </c>
      <c r="AF71" s="22">
        <f>IF(OR($B71="",AF$22=""),"",IF(LEN(VLOOKUP($B71,Database!$B$1:$IX$10144,AF$22,FALSE))=0,"",VLOOKUP($B71,Database!$B$1:$IX$10144,AF$22,FALSE)))</f>
        <v>33</v>
      </c>
      <c r="AG71" s="22">
        <f>IF(OR($B71="",AG$22=""),"",IF(LEN(VLOOKUP($B71,Database!$B$1:$IX$10144,AG$22,FALSE))=0,"",VLOOKUP($B71,Database!$B$1:$IX$10144,AG$22,FALSE)))</f>
        <v>22</v>
      </c>
      <c r="AH71" s="22">
        <f>IF(OR($B71="",AH$22=""),"",IF(LEN(VLOOKUP($B71,Database!$B$1:$IX$10144,AH$22,FALSE))=0,"",VLOOKUP($B71,Database!$B$1:$IX$10144,AH$22,FALSE)))</f>
        <v>1.5</v>
      </c>
      <c r="AI71" s="22">
        <f>IF(OR($B71="",AI$22=""),"",IF(LEN(VLOOKUP($B71,Database!$B$1:$IX$10144,AI$22,FALSE))=0,"",VLOOKUP($B71,Database!$B$1:$IX$10144,AI$22,FALSE)))</f>
        <v>2.2999999999999998</v>
      </c>
      <c r="AJ71" s="22" t="str">
        <f>IF(OR($B71="",AJ$22=""),"",IF(LEN(VLOOKUP($B71,Database!$B$1:$IX$10144,AJ$22,FALSE))=0,"",VLOOKUP($B71,Database!$B$1:$IX$10144,AJ$22,FALSE)))</f>
        <v/>
      </c>
      <c r="AK71" s="22">
        <f>IF(OR($B71="",AK$22=""),"",IF(LEN(VLOOKUP($B71,Database!$B$1:$IX$10144,AK$22,FALSE))=0,"",VLOOKUP($B71,Database!$B$1:$IX$10144,AK$22,FALSE)))</f>
        <v>50.5</v>
      </c>
      <c r="AL71" s="22">
        <f>IF(OR($B71="",AL$22=""),"",IF(LEN(VLOOKUP($B71,Database!$B$1:$IX$10144,AL$22,FALSE))=0,"",VLOOKUP($B71,Database!$B$1:$IX$10144,AL$22,FALSE)))</f>
        <v>28.9</v>
      </c>
      <c r="AM71" s="22" t="str">
        <f>IF(OR($B71="",AM$22=""),"",IF(LEN(VLOOKUP($B71,Database!$B$1:$IX$10144,AM$22,FALSE))=0,"",VLOOKUP($B71,Database!$B$1:$IX$10144,AM$22,FALSE)))</f>
        <v>ns</v>
      </c>
      <c r="AN71" s="22" t="str">
        <f>IF(OR($B71="",AN$22=""),"",IF(LEN(VLOOKUP($B71,Database!$B$1:$IX$10144,AN$22,FALSE))=0,"",VLOOKUP($B71,Database!$B$1:$IX$10144,AN$22,FALSE)))</f>
        <v>ns</v>
      </c>
      <c r="AO71" s="22" t="str">
        <f>IF(OR($B71="",AO$22=""),"",IF(LEN(VLOOKUP($B71,Database!$B$1:$IX$10144,AO$22,FALSE))=0,"",VLOOKUP($B71,Database!$B$1:$IX$10144,AO$22,FALSE)))</f>
        <v>ns</v>
      </c>
      <c r="AP71" s="22" t="str">
        <f>IF(OR($B71="",AP$22=""),"",IF(LEN(VLOOKUP($B71,Database!$B$1:$IX$10144,AP$22,FALSE))=0,"",VLOOKUP($B71,Database!$B$1:$IX$10144,AP$22,FALSE)))</f>
        <v>ns</v>
      </c>
      <c r="AQ71" s="22" t="str">
        <f>IF(OR($B71="",AQ$22=""),"",IF(LEN(VLOOKUP($B71,Database!$B$1:$IX$10144,AQ$22,FALSE))=0,"",VLOOKUP($B71,Database!$B$1:$IX$10144,AQ$22,FALSE)))</f>
        <v>Cardoner N, Pujol J, Vallejo J, Urretavizcaya M, Deus J, Lopez-Sala A, Benlloch L, Menchon JM.</v>
      </c>
    </row>
    <row r="72" spans="1:49">
      <c r="A72" s="10" t="s">
        <v>1226</v>
      </c>
      <c r="B72">
        <v>12946881</v>
      </c>
      <c r="C72" s="1" t="s">
        <v>840</v>
      </c>
      <c r="D72" s="1" t="s">
        <v>1180</v>
      </c>
      <c r="E72" s="22" t="s">
        <v>1660</v>
      </c>
      <c r="F72" s="22">
        <v>2003</v>
      </c>
      <c r="G72" s="1" t="s">
        <v>473</v>
      </c>
      <c r="H72" s="22">
        <v>41</v>
      </c>
      <c r="I72" s="22">
        <v>41</v>
      </c>
      <c r="J72" t="s">
        <v>707</v>
      </c>
      <c r="T72" s="31">
        <v>1352.16</v>
      </c>
      <c r="U72">
        <v>184.55</v>
      </c>
      <c r="V72">
        <v>1299.0999999999999</v>
      </c>
      <c r="W72">
        <v>130.91</v>
      </c>
      <c r="Y72" s="22" t="s">
        <v>1115</v>
      </c>
      <c r="Z72" s="22" t="s">
        <v>1119</v>
      </c>
      <c r="AA72" s="22" t="s">
        <v>1836</v>
      </c>
      <c r="AB72" s="22">
        <v>68.73</v>
      </c>
      <c r="AC72" s="22">
        <v>6.98</v>
      </c>
      <c r="AD72" s="22">
        <v>71.150000000000006</v>
      </c>
      <c r="AE72" s="22">
        <v>6.25</v>
      </c>
      <c r="AF72" s="22">
        <v>21</v>
      </c>
      <c r="AG72" s="22">
        <v>34</v>
      </c>
      <c r="AH72" s="22" t="s">
        <v>1836</v>
      </c>
      <c r="AI72" s="22" t="s">
        <v>1836</v>
      </c>
      <c r="AJ72" s="22" t="s">
        <v>1836</v>
      </c>
      <c r="AK72" s="22">
        <v>47.92</v>
      </c>
      <c r="AL72" s="22">
        <v>20.2</v>
      </c>
      <c r="AM72" s="22" t="s">
        <v>1688</v>
      </c>
      <c r="AN72" s="22" t="s">
        <v>1688</v>
      </c>
      <c r="AO72" s="22" t="s">
        <v>1688</v>
      </c>
      <c r="AP72" s="22" t="s">
        <v>1181</v>
      </c>
      <c r="AQ72" s="22" t="s">
        <v>1053</v>
      </c>
    </row>
    <row r="73" spans="1:49">
      <c r="A73" s="10" t="s">
        <v>708</v>
      </c>
      <c r="B73">
        <v>14512206</v>
      </c>
      <c r="C73" s="1" t="str">
        <f>IF($B73="","",HYPERLINK(IF(LEN(VLOOKUP($B73,Database!$B$1:$IX$10144,2,FALSE))=0,"",VLOOKUP($B73,Database!$B$1:$IX$10144,2,FALSE))))</f>
        <v/>
      </c>
      <c r="D73" s="1" t="str">
        <f>IF($B73="","",HYPERLINK(CONCATENATE("http://www.ncbi.nlm.nih.gov/pubmed/",B73)))</f>
        <v>http://www.ncbi.nlm.nih.gov/pubmed/14512206</v>
      </c>
      <c r="E73" s="22" t="str">
        <f>IF($B73="","",IF(LEN(VLOOKUP($B73,Database!$B$1:$IX$10144,4,FALSE))=0,"",VLOOKUP($B73,Database!$B$1:$IX$10144,4,FALSE)))</f>
        <v>Steffens DC (A)</v>
      </c>
      <c r="F73" s="22">
        <f>IF($B73="","",IF(LEN(VLOOKUP($B73,Database!$B$1:$IX$10144,5,FALSE))=0,"",VLOOKUP($B73,Database!$B$1:$IX$10144,5,FALSE)))</f>
        <v>2003</v>
      </c>
      <c r="G73" s="1" t="str">
        <f>IF($B73="","",HYPERLINK(IF(LEN(VLOOKUP($B73,Database!$B$1:$IX$10144,6,FALSE))=0,"",VLOOKUP($B73,Database!$B$1:$IX$10144,6,FALSE))))</f>
        <v>http://dx.doi.org/10.1016/S0006-3223(02)01782-1</v>
      </c>
      <c r="H73" s="22">
        <f>IF($B73="","",IF(LEN(VLOOKUP($B73,Database!$B$1:$IX$10144,7,FALSE))=0,"",VLOOKUP($B73,Database!$B$1:$IX$10144,7,FALSE)))</f>
        <v>145</v>
      </c>
      <c r="I73" s="22">
        <f>IF($B73="","",IF(LEN(VLOOKUP($B73,Database!$B$1:$IX$10144,8,FALSE))=0,"",VLOOKUP($B73,Database!$B$1:$IX$10144,8,FALSE)))</f>
        <v>100</v>
      </c>
      <c r="J73" t="s">
        <v>707</v>
      </c>
      <c r="K73" s="10"/>
      <c r="Y73" s="22" t="str">
        <f>IF(OR($B73="",Y$22=""),"",IF(LEN(VLOOKUP($B73,Database!$B$1:$IX$10144,Y$22,FALSE))=0,"",VLOOKUP($B73,Database!$B$1:$IX$10144,Y$22,FALSE)))</f>
        <v>DSM-IV</v>
      </c>
      <c r="Z73" s="22" t="str">
        <f>IF(OR($B73="",Z$22=""),"",IF(LEN(VLOOKUP($B73,Database!$B$1:$IX$10144,Z$22,FALSE))=0,"",VLOOKUP($B73,Database!$B$1:$IX$10144,Z$22,FALSE)))</f>
        <v>MRI</v>
      </c>
      <c r="AA73" s="22" t="str">
        <f>IF(OR($B73="",AA$22=""),"",IF(LEN(VLOOKUP($B73,Database!$B$1:$IX$10144,AA$22,FALSE))=0,"",VLOOKUP($B73,Database!$B$1:$IX$10144,AA$22,FALSE)))</f>
        <v/>
      </c>
      <c r="AB73" s="22">
        <f>IF(OR($B73="",AB$22=""),"",IF(LEN(VLOOKUP($B73,Database!$B$1:$IX$10144,AB$22,FALSE))=0,"",VLOOKUP($B73,Database!$B$1:$IX$10144,AB$22,FALSE)))</f>
        <v>69.7</v>
      </c>
      <c r="AC73" s="22" t="str">
        <f>IF(OR($B73="",AC$22=""),"",IF(LEN(VLOOKUP($B73,Database!$B$1:$IX$10144,AC$22,FALSE))=0,"",VLOOKUP($B73,Database!$B$1:$IX$10144,AC$22,FALSE)))</f>
        <v/>
      </c>
      <c r="AD73" s="22">
        <f>IF(OR($B73="",AD$22=""),"",IF(LEN(VLOOKUP($B73,Database!$B$1:$IX$10144,AD$22,FALSE))=0,"",VLOOKUP($B73,Database!$B$1:$IX$10144,AD$22,FALSE)))</f>
        <v>70.8</v>
      </c>
      <c r="AE73" s="22" t="str">
        <f>IF(OR($B73="",AE$22=""),"",IF(LEN(VLOOKUP($B73,Database!$B$1:$IX$10144,AE$22,FALSE))=0,"",VLOOKUP($B73,Database!$B$1:$IX$10144,AE$22,FALSE)))</f>
        <v/>
      </c>
      <c r="AF73" s="22">
        <f>IF(OR($B73="",AF$22=""),"",IF(LEN(VLOOKUP($B73,Database!$B$1:$IX$10144,AF$22,FALSE))=0,"",VLOOKUP($B73,Database!$B$1:$IX$10144,AF$22,FALSE)))</f>
        <v>95</v>
      </c>
      <c r="AG73" s="22">
        <f>IF(OR($B73="",AG$22=""),"",IF(LEN(VLOOKUP($B73,Database!$B$1:$IX$10144,AG$22,FALSE))=0,"",VLOOKUP($B73,Database!$B$1:$IX$10144,AG$22,FALSE)))</f>
        <v>69</v>
      </c>
      <c r="AH73" s="22">
        <f>IF(OR($B73="",AH$22=""),"",IF(LEN(VLOOKUP($B73,Database!$B$1:$IX$10144,AH$22,FALSE))=0,"",VLOOKUP($B73,Database!$B$1:$IX$10144,AH$22,FALSE)))</f>
        <v>1.5</v>
      </c>
      <c r="AI73" s="22">
        <f>IF(OR($B73="",AI$22=""),"",IF(LEN(VLOOKUP($B73,Database!$B$1:$IX$10144,AI$22,FALSE))=0,"",VLOOKUP($B73,Database!$B$1:$IX$10144,AI$22,FALSE)))</f>
        <v>3</v>
      </c>
      <c r="AJ73" s="22" t="str">
        <f>IF(OR($B73="",AJ$22=""),"",IF(LEN(VLOOKUP($B73,Database!$B$1:$IX$10144,AJ$22,FALSE))=0,"",VLOOKUP($B73,Database!$B$1:$IX$10144,AJ$22,FALSE)))</f>
        <v/>
      </c>
      <c r="AK73" s="22" t="str">
        <f>IF(OR($B73="",AK$22=""),"",IF(LEN(VLOOKUP($B73,Database!$B$1:$IX$10144,AK$22,FALSE))=0,"",VLOOKUP($B73,Database!$B$1:$IX$10144,AK$22,FALSE)))</f>
        <v>ns</v>
      </c>
      <c r="AL73" s="22" t="str">
        <f>IF(OR($B73="",AL$22=""),"",IF(LEN(VLOOKUP($B73,Database!$B$1:$IX$10144,AL$22,FALSE))=0,"",VLOOKUP($B73,Database!$B$1:$IX$10144,AL$22,FALSE)))</f>
        <v>ns</v>
      </c>
      <c r="AM73" s="22" t="str">
        <f>IF(OR($B73="",AM$22=""),"",IF(LEN(VLOOKUP($B73,Database!$B$1:$IX$10144,AM$22,FALSE))=0,"",VLOOKUP($B73,Database!$B$1:$IX$10144,AM$22,FALSE)))</f>
        <v>ns</v>
      </c>
      <c r="AN73" s="22" t="str">
        <f>IF(OR($B73="",AN$22=""),"",IF(LEN(VLOOKUP($B73,Database!$B$1:$IX$10144,AN$22,FALSE))=0,"",VLOOKUP($B73,Database!$B$1:$IX$10144,AN$22,FALSE)))</f>
        <v>ns</v>
      </c>
      <c r="AO73" s="22" t="str">
        <f>IF(OR($B73="",AO$22=""),"",IF(LEN(VLOOKUP($B73,Database!$B$1:$IX$10144,AO$22,FALSE))=0,"",VLOOKUP($B73,Database!$B$1:$IX$10144,AO$22,FALSE)))</f>
        <v>ns</v>
      </c>
      <c r="AP73" s="22" t="str">
        <f>IF(OR($B73="",AP$22=""),"",IF(LEN(VLOOKUP($B73,Database!$B$1:$IX$10144,AP$22,FALSE))=0,"",VLOOKUP($B73,Database!$B$1:$IX$10144,AP$22,FALSE)))</f>
        <v>ns</v>
      </c>
      <c r="AQ73" s="22" t="str">
        <f>IF(OR($B73="",AQ$22=""),"",IF(LEN(VLOOKUP($B73,Database!$B$1:$IX$10144,AQ$22,FALSE))=0,"",VLOOKUP($B73,Database!$B$1:$IX$10144,AQ$22,FALSE)))</f>
        <v>Steffens DC, Trost WT, Payne ME, Hybels CF, MacFall JR.</v>
      </c>
    </row>
    <row r="74" spans="1:49">
      <c r="A74" s="10" t="s">
        <v>1226</v>
      </c>
      <c r="B74">
        <v>14532909</v>
      </c>
      <c r="C74" s="1" t="s">
        <v>1922</v>
      </c>
      <c r="D74" s="1" t="s">
        <v>1182</v>
      </c>
      <c r="E74" s="22" t="s">
        <v>1921</v>
      </c>
      <c r="F74" s="22">
        <v>2003</v>
      </c>
      <c r="G74" s="1" t="s">
        <v>1249</v>
      </c>
      <c r="H74" s="22">
        <v>30</v>
      </c>
      <c r="I74" s="22">
        <v>40</v>
      </c>
      <c r="J74" t="s">
        <v>707</v>
      </c>
      <c r="T74" s="31">
        <v>1031.5</v>
      </c>
      <c r="U74">
        <v>144.03</v>
      </c>
      <c r="V74">
        <v>989.07</v>
      </c>
      <c r="W74">
        <v>101.57</v>
      </c>
      <c r="Y74" s="22" t="s">
        <v>1118</v>
      </c>
      <c r="Z74" s="22" t="s">
        <v>1119</v>
      </c>
      <c r="AA74" s="22" t="s">
        <v>1836</v>
      </c>
      <c r="AB74" s="22">
        <v>69.599999999999994</v>
      </c>
      <c r="AC74" s="22">
        <v>7.15</v>
      </c>
      <c r="AD74" s="22">
        <v>70.900000000000006</v>
      </c>
      <c r="AE74" s="22">
        <v>6.13</v>
      </c>
      <c r="AF74" s="22">
        <v>16</v>
      </c>
      <c r="AG74" s="22">
        <v>33</v>
      </c>
      <c r="AH74" s="22" t="s">
        <v>1836</v>
      </c>
      <c r="AI74" s="22" t="s">
        <v>1836</v>
      </c>
      <c r="AJ74" s="22" t="s">
        <v>1836</v>
      </c>
      <c r="AK74" s="22" t="s">
        <v>1688</v>
      </c>
      <c r="AL74" s="22" t="s">
        <v>1688</v>
      </c>
      <c r="AM74" s="22">
        <v>3</v>
      </c>
      <c r="AN74" s="22">
        <v>30</v>
      </c>
      <c r="AO74" s="22">
        <v>4000</v>
      </c>
      <c r="AP74" s="22" t="s">
        <v>1181</v>
      </c>
      <c r="AQ74" s="22" t="s">
        <v>1723</v>
      </c>
    </row>
    <row r="75" spans="1:49">
      <c r="A75" s="10" t="s">
        <v>709</v>
      </c>
      <c r="B75">
        <v>12547470</v>
      </c>
      <c r="C75" s="1" t="str">
        <f>IF($B75="","",HYPERLINK(IF(LEN(VLOOKUP($B75,Database!$B$1:$IX$10144,2,FALSE))=0,"",VLOOKUP($B75,Database!$B$1:$IX$10144,2,FALSE))))</f>
        <v/>
      </c>
      <c r="D75" s="1" t="str">
        <f>IF($B75="","",HYPERLINK(CONCATENATE("http://www.ncbi.nlm.nih.gov/pubmed/",B75)))</f>
        <v>http://www.ncbi.nlm.nih.gov/pubmed/12547470</v>
      </c>
      <c r="E75" s="22" t="str">
        <f>IF($B75="","",IF(LEN(VLOOKUP($B75,Database!$B$1:$IX$10144,4,FALSE))=0,"",VLOOKUP($B75,Database!$B$1:$IX$10144,4,FALSE)))</f>
        <v>Taylor WD (A)</v>
      </c>
      <c r="F75" s="22">
        <f>IF($B75="","",IF(LEN(VLOOKUP($B75,Database!$B$1:$IX$10144,5,FALSE))=0,"",VLOOKUP($B75,Database!$B$1:$IX$10144,5,FALSE)))</f>
        <v>2003</v>
      </c>
      <c r="G75" s="1" t="str">
        <f>IF($B75="","",HYPERLINK(IF(LEN(VLOOKUP($B75,Database!$B$1:$IX$10144,6,FALSE))=0,"",VLOOKUP($B75,Database!$B$1:$IX$10144,6,FALSE))))</f>
        <v>http://dx.doi.org/10.1016/S0006-3223(02)01490-7</v>
      </c>
      <c r="H75" s="22">
        <f>IF($B75="","",IF(LEN(VLOOKUP($B75,Database!$B$1:$IX$10144,7,FALSE))=0,"",VLOOKUP($B75,Database!$B$1:$IX$10144,7,FALSE)))</f>
        <v>41</v>
      </c>
      <c r="I75" s="22">
        <f>IF($B75="","",IF(LEN(VLOOKUP($B75,Database!$B$1:$IX$10144,8,FALSE))=0,"",VLOOKUP($B75,Database!$B$1:$IX$10144,8,FALSE)))</f>
        <v>40</v>
      </c>
      <c r="K75" s="10"/>
      <c r="Y75" s="22" t="str">
        <f>IF(OR($B75="",Y$22=""),"",IF(LEN(VLOOKUP($B75,Database!$B$1:$IX$10144,Y$22,FALSE))=0,"",VLOOKUP($B75,Database!$B$1:$IX$10144,Y$22,FALSE)))</f>
        <v>DSM-IV</v>
      </c>
      <c r="Z75" s="22" t="str">
        <f>IF(OR($B75="",Z$22=""),"",IF(LEN(VLOOKUP($B75,Database!$B$1:$IX$10144,Z$22,FALSE))=0,"",VLOOKUP($B75,Database!$B$1:$IX$10144,Z$22,FALSE)))</f>
        <v>MRI</v>
      </c>
      <c r="AA75" s="22" t="str">
        <f>IF(OR($B75="",AA$22=""),"",IF(LEN(VLOOKUP($B75,Database!$B$1:$IX$10144,AA$22,FALSE))=0,"",VLOOKUP($B75,Database!$B$1:$IX$10144,AA$22,FALSE)))</f>
        <v/>
      </c>
      <c r="AB75" s="22">
        <f>IF(OR($B75="",AB$22=""),"",IF(LEN(VLOOKUP($B75,Database!$B$1:$IX$10144,AB$22,FALSE))=0,"",VLOOKUP($B75,Database!$B$1:$IX$10144,AB$22,FALSE)))</f>
        <v>68.73</v>
      </c>
      <c r="AC75" s="22">
        <f>IF(OR($B75="",AC$22=""),"",IF(LEN(VLOOKUP($B75,Database!$B$1:$IX$10144,AC$22,FALSE))=0,"",VLOOKUP($B75,Database!$B$1:$IX$10144,AC$22,FALSE)))</f>
        <v>6.98</v>
      </c>
      <c r="AD75" s="22">
        <f>IF(OR($B75="",AD$22=""),"",IF(LEN(VLOOKUP($B75,Database!$B$1:$IX$10144,AD$22,FALSE))=0,"",VLOOKUP($B75,Database!$B$1:$IX$10144,AD$22,FALSE)))</f>
        <v>71.42</v>
      </c>
      <c r="AE75" s="22">
        <f>IF(OR($B75="",AE$22=""),"",IF(LEN(VLOOKUP($B75,Database!$B$1:$IX$10144,AE$22,FALSE))=0,"",VLOOKUP($B75,Database!$B$1:$IX$10144,AE$22,FALSE)))</f>
        <v>6.07</v>
      </c>
      <c r="AF75" s="22">
        <f>IF(OR($B75="",AF$22=""),"",IF(LEN(VLOOKUP($B75,Database!$B$1:$IX$10144,AF$22,FALSE))=0,"",VLOOKUP($B75,Database!$B$1:$IX$10144,AF$22,FALSE)))</f>
        <v>21</v>
      </c>
      <c r="AG75" s="22">
        <f>IF(OR($B75="",AG$22=""),"",IF(LEN(VLOOKUP($B75,Database!$B$1:$IX$10144,AG$22,FALSE))=0,"",VLOOKUP($B75,Database!$B$1:$IX$10144,AG$22,FALSE)))</f>
        <v>33</v>
      </c>
      <c r="AH75" s="22">
        <f>IF(OR($B75="",AH$22=""),"",IF(LEN(VLOOKUP($B75,Database!$B$1:$IX$10144,AH$22,FALSE))=0,"",VLOOKUP($B75,Database!$B$1:$IX$10144,AH$22,FALSE)))</f>
        <v>1.5</v>
      </c>
      <c r="AI75" s="22">
        <f>IF(OR($B75="",AI$22=""),"",IF(LEN(VLOOKUP($B75,Database!$B$1:$IX$10144,AI$22,FALSE))=0,"",VLOOKUP($B75,Database!$B$1:$IX$10144,AI$22,FALSE)))</f>
        <v>3</v>
      </c>
      <c r="AJ75" s="22" t="str">
        <f>IF(OR($B75="",AJ$22=""),"",IF(LEN(VLOOKUP($B75,Database!$B$1:$IX$10144,AJ$22,FALSE))=0,"",VLOOKUP($B75,Database!$B$1:$IX$10144,AJ$22,FALSE)))</f>
        <v/>
      </c>
      <c r="AK75" s="22" t="str">
        <f>IF(OR($B75="",AK$22=""),"",IF(LEN(VLOOKUP($B75,Database!$B$1:$IX$10144,AK$22,FALSE))=0,"",VLOOKUP($B75,Database!$B$1:$IX$10144,AK$22,FALSE)))</f>
        <v>ns</v>
      </c>
      <c r="AL75" s="22" t="str">
        <f>IF(OR($B75="",AL$22=""),"",IF(LEN(VLOOKUP($B75,Database!$B$1:$IX$10144,AL$22,FALSE))=0,"",VLOOKUP($B75,Database!$B$1:$IX$10144,AL$22,FALSE)))</f>
        <v>ns</v>
      </c>
      <c r="AM75" s="22" t="str">
        <f>IF(OR($B75="",AM$22=""),"",IF(LEN(VLOOKUP($B75,Database!$B$1:$IX$10144,AM$22,FALSE))=0,"",VLOOKUP($B75,Database!$B$1:$IX$10144,AM$22,FALSE)))</f>
        <v>ns</v>
      </c>
      <c r="AN75" s="22" t="str">
        <f>IF(OR($B75="",AN$22=""),"",IF(LEN(VLOOKUP($B75,Database!$B$1:$IX$10144,AN$22,FALSE))=0,"",VLOOKUP($B75,Database!$B$1:$IX$10144,AN$22,FALSE)))</f>
        <v>ns</v>
      </c>
      <c r="AO75" s="22" t="str">
        <f>IF(OR($B75="",AO$22=""),"",IF(LEN(VLOOKUP($B75,Database!$B$1:$IX$10144,AO$22,FALSE))=0,"",VLOOKUP($B75,Database!$B$1:$IX$10144,AO$22,FALSE)))</f>
        <v>ns</v>
      </c>
      <c r="AP75" s="22" t="str">
        <f>IF(OR($B75="",AP$22=""),"",IF(LEN(VLOOKUP($B75,Database!$B$1:$IX$10144,AP$22,FALSE))=0,"",VLOOKUP($B75,Database!$B$1:$IX$10144,AP$22,FALSE)))</f>
        <v>ns</v>
      </c>
      <c r="AQ75" s="22" t="str">
        <f>IF(OR($B75="",AQ$22=""),"",IF(LEN(VLOOKUP($B75,Database!$B$1:$IX$10144,AQ$22,FALSE))=0,"",VLOOKUP($B75,Database!$B$1:$IX$10144,AQ$22,FALSE)))</f>
        <v>Taylor WD, Steffens DC, McQuoid DR, Payne ME, Lee SH, Lai TJ, Krishnan KR.</v>
      </c>
    </row>
    <row r="76" spans="1:49">
      <c r="A76" s="10" t="s">
        <v>267</v>
      </c>
      <c r="B76">
        <v>15514411</v>
      </c>
      <c r="C76" s="1" t="str">
        <f>IF($B76="","",HYPERLINK(IF(LEN(VLOOKUP($B76,Database!$B$1:$IX$10144,2,FALSE))=0,"",VLOOKUP($B76,Database!$B$1:$IX$10144,2,FALSE))))</f>
        <v/>
      </c>
      <c r="D76" s="1" t="str">
        <f>IF($B76="","",HYPERLINK(CONCATENATE("http://www.ncbi.nlm.nih.gov/pubmed/",B76)))</f>
        <v>http://www.ncbi.nlm.nih.gov/pubmed/15514411</v>
      </c>
      <c r="E76" s="22" t="str">
        <f>IF($B76="","",IF(LEN(VLOOKUP($B76,Database!$B$1:$IX$10144,4,FALSE))=0,"",VLOOKUP($B76,Database!$B$1:$IX$10144,4,FALSE)))</f>
        <v>Ballmaier M (B)</v>
      </c>
      <c r="F76" s="22">
        <f>IF($B76="","",IF(LEN(VLOOKUP($B76,Database!$B$1:$IX$10144,5,FALSE))=0,"",VLOOKUP($B76,Database!$B$1:$IX$10144,5,FALSE)))</f>
        <v>2004</v>
      </c>
      <c r="G76" s="1" t="str">
        <f>IF($B76="","",HYPERLINK(IF(LEN(VLOOKUP($B76,Database!$B$1:$IX$10144,6,FALSE))=0,"",VLOOKUP($B76,Database!$B$1:$IX$10144,6,FALSE))))</f>
        <v>http://ajp.psychiatryonline.org/cgi/reprint/161/11/2091</v>
      </c>
      <c r="H76" s="22">
        <f>IF($B76="","",IF(LEN(VLOOKUP($B76,Database!$B$1:$IX$10144,7,FALSE))=0,"",VLOOKUP($B76,Database!$B$1:$IX$10144,7,FALSE)))</f>
        <v>17</v>
      </c>
      <c r="I76" s="22">
        <f>IF($B76="","",IF(LEN(VLOOKUP($B76,Database!$B$1:$IX$10144,8,FALSE))=0,"",VLOOKUP($B76,Database!$B$1:$IX$10144,8,FALSE)))</f>
        <v>17</v>
      </c>
      <c r="J76" t="s">
        <v>1175</v>
      </c>
      <c r="T76" s="31">
        <v>1311.76</v>
      </c>
      <c r="U76">
        <v>130.13999999999999</v>
      </c>
      <c r="V76">
        <v>1273.71</v>
      </c>
      <c r="W76">
        <v>113.69</v>
      </c>
      <c r="Y76" s="22" t="str">
        <f>IF(OR($B76="",Y$22=""),"",IF(LEN(VLOOKUP($B76,Database!$B$1:$IX$10144,Y$22,FALSE))=0,"",VLOOKUP($B76,Database!$B$1:$IX$10144,Y$22,FALSE)))</f>
        <v>DSM-IV</v>
      </c>
      <c r="Z76" s="22" t="str">
        <f>IF(OR($B76="",Z$22=""),"",IF(LEN(VLOOKUP($B76,Database!$B$1:$IX$10144,Z$22,FALSE))=0,"",VLOOKUP($B76,Database!$B$1:$IX$10144,Z$22,FALSE)))</f>
        <v>MRI</v>
      </c>
      <c r="AA76" s="22" t="str">
        <f>IF(OR($B76="",AA$22=""),"",IF(LEN(VLOOKUP($B76,Database!$B$1:$IX$10144,AA$22,FALSE))=0,"",VLOOKUP($B76,Database!$B$1:$IX$10144,AA$22,FALSE)))</f>
        <v/>
      </c>
      <c r="AB76" s="22">
        <f>IF(OR($B76="",AB$22=""),"",IF(LEN(VLOOKUP($B76,Database!$B$1:$IX$10144,AB$22,FALSE))=0,"",VLOOKUP($B76,Database!$B$1:$IX$10144,AB$22,FALSE)))</f>
        <v>75.239999999999995</v>
      </c>
      <c r="AC76" s="22">
        <f>IF(OR($B76="",AC$22=""),"",IF(LEN(VLOOKUP($B76,Database!$B$1:$IX$10144,AC$22,FALSE))=0,"",VLOOKUP($B76,Database!$B$1:$IX$10144,AC$22,FALSE)))</f>
        <v>8.52</v>
      </c>
      <c r="AD76" s="22">
        <f>IF(OR($B76="",AD$22=""),"",IF(LEN(VLOOKUP($B76,Database!$B$1:$IX$10144,AD$22,FALSE))=0,"",VLOOKUP($B76,Database!$B$1:$IX$10144,AD$22,FALSE)))</f>
        <v>73.88</v>
      </c>
      <c r="AE76" s="22">
        <f>IF(OR($B76="",AE$22=""),"",IF(LEN(VLOOKUP($B76,Database!$B$1:$IX$10144,AE$22,FALSE))=0,"",VLOOKUP($B76,Database!$B$1:$IX$10144,AE$22,FALSE)))</f>
        <v>7.61</v>
      </c>
      <c r="AF76" s="22">
        <f>IF(OR($B76="",AF$22=""),"",IF(LEN(VLOOKUP($B76,Database!$B$1:$IX$10144,AF$22,FALSE))=0,"",VLOOKUP($B76,Database!$B$1:$IX$10144,AF$22,FALSE)))</f>
        <v>11</v>
      </c>
      <c r="AG76" s="22">
        <f>IF(OR($B76="",AG$22=""),"",IF(LEN(VLOOKUP($B76,Database!$B$1:$IX$10144,AG$22,FALSE))=0,"",VLOOKUP($B76,Database!$B$1:$IX$10144,AG$22,FALSE)))</f>
        <v>11</v>
      </c>
      <c r="AH76" s="22">
        <f>IF(OR($B76="",AH$22=""),"",IF(LEN(VLOOKUP($B76,Database!$B$1:$IX$10144,AH$22,FALSE))=0,"",VLOOKUP($B76,Database!$B$1:$IX$10144,AH$22,FALSE)))</f>
        <v>1.5</v>
      </c>
      <c r="AI76" s="22">
        <f>IF(OR($B76="",AI$22=""),"",IF(LEN(VLOOKUP($B76,Database!$B$1:$IX$10144,AI$22,FALSE))=0,"",VLOOKUP($B76,Database!$B$1:$IX$10144,AI$22,FALSE)))</f>
        <v>1.4</v>
      </c>
      <c r="AJ76" s="22" t="str">
        <f>IF(OR($B76="",AJ$22=""),"",IF(LEN(VLOOKUP($B76,Database!$B$1:$IX$10144,AJ$22,FALSE))=0,"",VLOOKUP($B76,Database!$B$1:$IX$10144,AJ$22,FALSE)))</f>
        <v/>
      </c>
      <c r="AK76" s="22">
        <f>IF(OR($B76="",AK$22=""),"",IF(LEN(VLOOKUP($B76,Database!$B$1:$IX$10144,AK$22,FALSE))=0,"",VLOOKUP($B76,Database!$B$1:$IX$10144,AK$22,FALSE)))</f>
        <v>71.88</v>
      </c>
      <c r="AL76" s="22">
        <f>IF(OR($B76="",AL$22=""),"",IF(LEN(VLOOKUP($B76,Database!$B$1:$IX$10144,AL$22,FALSE))=0,"",VLOOKUP($B76,Database!$B$1:$IX$10144,AL$22,FALSE)))</f>
        <v>18.41</v>
      </c>
      <c r="AM76" s="22">
        <f>IF(OR($B76="",AM$22=""),"",IF(LEN(VLOOKUP($B76,Database!$B$1:$IX$10144,AM$22,FALSE))=0,"",VLOOKUP($B76,Database!$B$1:$IX$10144,AM$22,FALSE)))</f>
        <v>0</v>
      </c>
      <c r="AN76" s="22">
        <f>IF(OR($B76="",AN$22=""),"",IF(LEN(VLOOKUP($B76,Database!$B$1:$IX$10144,AN$22,FALSE))=0,"",VLOOKUP($B76,Database!$B$1:$IX$10144,AN$22,FALSE)))</f>
        <v>0</v>
      </c>
      <c r="AO76" s="22">
        <f>IF(OR($B76="",AO$22=""),"",IF(LEN(VLOOKUP($B76,Database!$B$1:$IX$10144,AO$22,FALSE))=0,"",VLOOKUP($B76,Database!$B$1:$IX$10144,AO$22,FALSE)))</f>
        <v>0</v>
      </c>
      <c r="AP76" s="22">
        <f>IF(OR($B76="",AP$22=""),"",IF(LEN(VLOOKUP($B76,Database!$B$1:$IX$10144,AP$22,FALSE))=0,"",VLOOKUP($B76,Database!$B$1:$IX$10144,AP$22,FALSE)))</f>
        <v>100</v>
      </c>
      <c r="AQ76" s="22" t="str">
        <f>IF(OR($B76="",AQ$22=""),"",IF(LEN(VLOOKUP($B76,Database!$B$1:$IX$10144,AQ$22,FALSE))=0,"",VLOOKUP($B76,Database!$B$1:$IX$10144,AQ$22,FALSE)))</f>
        <v>Ballmaier M, Kumar A, Thompson PM, Narr KL, Lavretsky H, Estanol L, Deluca H, Toga AW.</v>
      </c>
    </row>
    <row r="77" spans="1:49">
      <c r="A77" s="10" t="s">
        <v>267</v>
      </c>
      <c r="B77">
        <v>14960291</v>
      </c>
      <c r="C77" s="1" t="str">
        <f>IF($B77="","",HYPERLINK(IF(LEN(VLOOKUP($B77,Database!$B$1:$IX$10144,2,FALSE))=0,"",VLOOKUP($B77,Database!$B$1:$IX$10144,2,FALSE))))</f>
        <v/>
      </c>
      <c r="D77" s="1" t="str">
        <f>IF($B77="","",HYPERLINK(CONCATENATE("http://www.ncbi.nlm.nih.gov/pubmed/",B77)))</f>
        <v>http://www.ncbi.nlm.nih.gov/pubmed/14960291</v>
      </c>
      <c r="E77" s="22" t="str">
        <f>IF($B77="","",IF(LEN(VLOOKUP($B77,Database!$B$1:$IX$10144,4,FALSE))=0,"",VLOOKUP($B77,Database!$B$1:$IX$10144,4,FALSE)))</f>
        <v>Ballmaier M (C)</v>
      </c>
      <c r="F77" s="22">
        <f>IF($B77="","",IF(LEN(VLOOKUP($B77,Database!$B$1:$IX$10144,5,FALSE))=0,"",VLOOKUP($B77,Database!$B$1:$IX$10144,5,FALSE)))</f>
        <v>2004</v>
      </c>
      <c r="G77" s="1" t="str">
        <f>IF($B77="","",HYPERLINK(IF(LEN(VLOOKUP($B77,Database!$B$1:$IX$10144,6,FALSE))=0,"",VLOOKUP($B77,Database!$B$1:$IX$10144,6,FALSE))))</f>
        <v>http://dx.doi.org/10.1016/j.biopsych.2003.09.004</v>
      </c>
      <c r="H77" s="22">
        <f>IF($B77="","",IF(LEN(VLOOKUP($B77,Database!$B$1:$IX$10144,7,FALSE))=0,"",VLOOKUP($B77,Database!$B$1:$IX$10144,7,FALSE)))</f>
        <v>24</v>
      </c>
      <c r="I77" s="22">
        <f>IF($B77="","",IF(LEN(VLOOKUP($B77,Database!$B$1:$IX$10144,8,FALSE))=0,"",VLOOKUP($B77,Database!$B$1:$IX$10144,8,FALSE)))</f>
        <v>19</v>
      </c>
      <c r="J77" t="s">
        <v>710</v>
      </c>
      <c r="T77" s="31">
        <v>1197.126</v>
      </c>
      <c r="U77">
        <v>203.256</v>
      </c>
      <c r="V77">
        <v>1237.3689999999999</v>
      </c>
      <c r="W77">
        <v>177.28200000000001</v>
      </c>
      <c r="Y77" s="22" t="str">
        <f>IF(OR($B77="",Y$22=""),"",IF(LEN(VLOOKUP($B77,Database!$B$1:$IX$10144,Y$22,FALSE))=0,"",VLOOKUP($B77,Database!$B$1:$IX$10144,Y$22,FALSE)))</f>
        <v>DSM-IV</v>
      </c>
      <c r="Z77" s="22" t="str">
        <f>IF(OR($B77="",Z$22=""),"",IF(LEN(VLOOKUP($B77,Database!$B$1:$IX$10144,Z$22,FALSE))=0,"",VLOOKUP($B77,Database!$B$1:$IX$10144,Z$22,FALSE)))</f>
        <v>MRI</v>
      </c>
      <c r="AA77" s="22" t="str">
        <f>IF(OR($B77="",AA$22=""),"",IF(LEN(VLOOKUP($B77,Database!$B$1:$IX$10144,AA$22,FALSE))=0,"",VLOOKUP($B77,Database!$B$1:$IX$10144,AA$22,FALSE)))</f>
        <v/>
      </c>
      <c r="AB77" s="22">
        <f>IF(OR($B77="",AB$22=""),"",IF(LEN(VLOOKUP($B77,Database!$B$1:$IX$10144,AB$22,FALSE))=0,"",VLOOKUP($B77,Database!$B$1:$IX$10144,AB$22,FALSE)))</f>
        <v>65.849999999999994</v>
      </c>
      <c r="AC77" s="22">
        <f>IF(OR($B77="",AC$22=""),"",IF(LEN(VLOOKUP($B77,Database!$B$1:$IX$10144,AC$22,FALSE))=0,"",VLOOKUP($B77,Database!$B$1:$IX$10144,AC$22,FALSE)))</f>
        <v>8.18</v>
      </c>
      <c r="AD77" s="22">
        <f>IF(OR($B77="",AD$22=""),"",IF(LEN(VLOOKUP($B77,Database!$B$1:$IX$10144,AD$22,FALSE))=0,"",VLOOKUP($B77,Database!$B$1:$IX$10144,AD$22,FALSE)))</f>
        <v>66.239999999999995</v>
      </c>
      <c r="AE77" s="22">
        <f>IF(OR($B77="",AE$22=""),"",IF(LEN(VLOOKUP($B77,Database!$B$1:$IX$10144,AE$22,FALSE))=0,"",VLOOKUP($B77,Database!$B$1:$IX$10144,AE$22,FALSE)))</f>
        <v>7.25</v>
      </c>
      <c r="AF77" s="22">
        <f>IF(OR($B77="",AF$22=""),"",IF(LEN(VLOOKUP($B77,Database!$B$1:$IX$10144,AF$22,FALSE))=0,"",VLOOKUP($B77,Database!$B$1:$IX$10144,AF$22,FALSE)))</f>
        <v>18</v>
      </c>
      <c r="AG77" s="22">
        <f>IF(OR($B77="",AG$22=""),"",IF(LEN(VLOOKUP($B77,Database!$B$1:$IX$10144,AG$22,FALSE))=0,"",VLOOKUP($B77,Database!$B$1:$IX$10144,AG$22,FALSE)))</f>
        <v>15</v>
      </c>
      <c r="AH77" s="22">
        <f>IF(OR($B77="",AH$22=""),"",IF(LEN(VLOOKUP($B77,Database!$B$1:$IX$10144,AH$22,FALSE))=0,"",VLOOKUP($B77,Database!$B$1:$IX$10144,AH$22,FALSE)))</f>
        <v>1.5</v>
      </c>
      <c r="AI77" s="22">
        <f>IF(OR($B77="",AI$22=""),"",IF(LEN(VLOOKUP($B77,Database!$B$1:$IX$10144,AI$22,FALSE))=0,"",VLOOKUP($B77,Database!$B$1:$IX$10144,AI$22,FALSE)))</f>
        <v>1.4</v>
      </c>
      <c r="AJ77" s="22" t="str">
        <f>IF(OR($B77="",AJ$22=""),"",IF(LEN(VLOOKUP($B77,Database!$B$1:$IX$10144,AJ$22,FALSE))=0,"",VLOOKUP($B77,Database!$B$1:$IX$10144,AJ$22,FALSE)))</f>
        <v/>
      </c>
      <c r="AK77" s="22">
        <f>IF(OR($B77="",AK$22=""),"",IF(LEN(VLOOKUP($B77,Database!$B$1:$IX$10144,AK$22,FALSE))=0,"",VLOOKUP($B77,Database!$B$1:$IX$10144,AK$22,FALSE)))</f>
        <v>35</v>
      </c>
      <c r="AL77" s="22">
        <f>IF(OR($B77="",AL$22=""),"",IF(LEN(VLOOKUP($B77,Database!$B$1:$IX$10144,AL$22,FALSE))=0,"",VLOOKUP($B77,Database!$B$1:$IX$10144,AL$22,FALSE)))</f>
        <v>17.329999999999998</v>
      </c>
      <c r="AM77" s="22">
        <f>IF(OR($B77="",AM$22=""),"",IF(LEN(VLOOKUP($B77,Database!$B$1:$IX$10144,AM$22,FALSE))=0,"",VLOOKUP($B77,Database!$B$1:$IX$10144,AM$22,FALSE)))</f>
        <v>0</v>
      </c>
      <c r="AN77" s="22">
        <f>IF(OR($B77="",AN$22=""),"",IF(LEN(VLOOKUP($B77,Database!$B$1:$IX$10144,AN$22,FALSE))=0,"",VLOOKUP($B77,Database!$B$1:$IX$10144,AN$22,FALSE)))</f>
        <v>0</v>
      </c>
      <c r="AO77" s="22">
        <f>IF(OR($B77="",AO$22=""),"",IF(LEN(VLOOKUP($B77,Database!$B$1:$IX$10144,AO$22,FALSE))=0,"",VLOOKUP($B77,Database!$B$1:$IX$10144,AO$22,FALSE)))</f>
        <v>0</v>
      </c>
      <c r="AP77" s="22">
        <f>IF(OR($B77="",AP$22=""),"",IF(LEN(VLOOKUP($B77,Database!$B$1:$IX$10144,AP$22,FALSE))=0,"",VLOOKUP($B77,Database!$B$1:$IX$10144,AP$22,FALSE)))</f>
        <v>100</v>
      </c>
      <c r="AQ77" s="22" t="str">
        <f>IF(OR($B77="",AQ$22=""),"",IF(LEN(VLOOKUP($B77,Database!$B$1:$IX$10144,AQ$22,FALSE))=0,"",VLOOKUP($B77,Database!$B$1:$IX$10144,AQ$22,FALSE)))</f>
        <v>Ballmaier M, Sowell ER, Thompson PM, Kumar A, Narr KL, Lavretsky H, Welcome SE, DeLuca H, Toga AW.</v>
      </c>
    </row>
    <row r="78" spans="1:49">
      <c r="A78" s="10" t="s">
        <v>2070</v>
      </c>
      <c r="B78">
        <v>15607296</v>
      </c>
      <c r="C78" s="1" t="str">
        <f>IF($B78="","",HYPERLINK(IF(LEN(VLOOKUP($B78,Database!$B$1:$IX$10144,2,FALSE))=0,"",VLOOKUP($B78,Database!$B$1:$IX$10144,2,FALSE))))</f>
        <v/>
      </c>
      <c r="D78" s="1" t="str">
        <f>IF($B78="","",HYPERLINK(CONCATENATE("http://www.ncbi.nlm.nih.gov/pubmed/",B78)))</f>
        <v>http://www.ncbi.nlm.nih.gov/pubmed/15607296</v>
      </c>
      <c r="E78" s="22" t="str">
        <f>IF($B78="","",IF(LEN(VLOOKUP($B78,Database!$B$1:$IX$10144,4,FALSE))=0,"",VLOOKUP($B78,Database!$B$1:$IX$10144,4,FALSE)))</f>
        <v>Rosso IM</v>
      </c>
      <c r="F78" s="22">
        <f>IF($B78="","",IF(LEN(VLOOKUP($B78,Database!$B$1:$IX$10144,5,FALSE))=0,"",VLOOKUP($B78,Database!$B$1:$IX$10144,5,FALSE)))</f>
        <v>2005</v>
      </c>
      <c r="G78" s="1" t="str">
        <f>IF($B78="","",HYPERLINK(IF(LEN(VLOOKUP($B78,Database!$B$1:$IX$10144,6,FALSE))=0,"",VLOOKUP($B78,Database!$B$1:$IX$10144,6,FALSE))))</f>
        <v>http://dx.doi.org/10.1016/j.biopsych.2004.10.027</v>
      </c>
      <c r="H78" s="22">
        <f>IF($B78="","",IF(LEN(VLOOKUP($B78,Database!$B$1:$IX$10144,7,FALSE))=0,"",VLOOKUP($B78,Database!$B$1:$IX$10144,7,FALSE)))</f>
        <v>20</v>
      </c>
      <c r="I78" s="22">
        <f>IF($B78="","",IF(LEN(VLOOKUP($B78,Database!$B$1:$IX$10144,8,FALSE))=0,"",VLOOKUP($B78,Database!$B$1:$IX$10144,8,FALSE)))</f>
        <v>24</v>
      </c>
      <c r="J78" t="s">
        <v>1084</v>
      </c>
      <c r="T78" s="31">
        <v>1367.65</v>
      </c>
      <c r="U78">
        <v>107.87</v>
      </c>
      <c r="V78">
        <v>1317.01</v>
      </c>
      <c r="W78">
        <v>129.43</v>
      </c>
      <c r="Y78" s="22" t="str">
        <f>IF(OR($B78="",Y$22=""),"",IF(LEN(VLOOKUP($B78,Database!$B$1:$IX$10144,Y$22,FALSE))=0,"",VLOOKUP($B78,Database!$B$1:$IX$10144,Y$22,FALSE)))</f>
        <v>DSM-IV</v>
      </c>
      <c r="Z78" s="22" t="str">
        <f>IF(OR($B78="",Z$22=""),"",IF(LEN(VLOOKUP($B78,Database!$B$1:$IX$10144,Z$22,FALSE))=0,"",VLOOKUP($B78,Database!$B$1:$IX$10144,Z$22,FALSE)))</f>
        <v>MRI</v>
      </c>
      <c r="AA78" s="22" t="str">
        <f>IF(OR($B78="",AA$22=""),"",IF(LEN(VLOOKUP($B78,Database!$B$1:$IX$10144,AA$22,FALSE))=0,"",VLOOKUP($B78,Database!$B$1:$IX$10144,AA$22,FALSE)))</f>
        <v/>
      </c>
      <c r="AB78" s="22">
        <f>IF(OR($B78="",AB$22=""),"",IF(LEN(VLOOKUP($B78,Database!$B$1:$IX$10144,AB$22,FALSE))=0,"",VLOOKUP($B78,Database!$B$1:$IX$10144,AB$22,FALSE)))</f>
        <v>15.35</v>
      </c>
      <c r="AC78" s="22">
        <f>IF(OR($B78="",AC$22=""),"",IF(LEN(VLOOKUP($B78,Database!$B$1:$IX$10144,AC$22,FALSE))=0,"",VLOOKUP($B78,Database!$B$1:$IX$10144,AC$22,FALSE)))</f>
        <v>1.5209999999999999</v>
      </c>
      <c r="AD78" s="22">
        <f>IF(OR($B78="",AD$22=""),"",IF(LEN(VLOOKUP($B78,Database!$B$1:$IX$10144,AD$22,FALSE))=0,"",VLOOKUP($B78,Database!$B$1:$IX$10144,AD$22,FALSE)))</f>
        <v>14.08</v>
      </c>
      <c r="AE78" s="22">
        <f>IF(OR($B78="",AE$22=""),"",IF(LEN(VLOOKUP($B78,Database!$B$1:$IX$10144,AE$22,FALSE))=0,"",VLOOKUP($B78,Database!$B$1:$IX$10144,AE$22,FALSE)))</f>
        <v>1.5189999999999999</v>
      </c>
      <c r="AF78" s="22">
        <f>IF(OR($B78="",AF$22=""),"",IF(LEN(VLOOKUP($B78,Database!$B$1:$IX$10144,AF$22,FALSE))=0,"",VLOOKUP($B78,Database!$B$1:$IX$10144,AF$22,FALSE)))</f>
        <v>17</v>
      </c>
      <c r="AG78" s="22">
        <f>IF(OR($B78="",AG$22=""),"",IF(LEN(VLOOKUP($B78,Database!$B$1:$IX$10144,AG$22,FALSE))=0,"",VLOOKUP($B78,Database!$B$1:$IX$10144,AG$22,FALSE)))</f>
        <v>16</v>
      </c>
      <c r="AH78" s="22">
        <f>IF(OR($B78="",AH$22=""),"",IF(LEN(VLOOKUP($B78,Database!$B$1:$IX$10144,AH$22,FALSE))=0,"",VLOOKUP($B78,Database!$B$1:$IX$10144,AH$22,FALSE)))</f>
        <v>1.5</v>
      </c>
      <c r="AI78" s="22">
        <f>IF(OR($B78="",AI$22=""),"",IF(LEN(VLOOKUP($B78,Database!$B$1:$IX$10144,AI$22,FALSE))=0,"",VLOOKUP($B78,Database!$B$1:$IX$10144,AI$22,FALSE)))</f>
        <v>1.5</v>
      </c>
      <c r="AJ78" s="22" t="str">
        <f>IF(OR($B78="",AJ$22=""),"",IF(LEN(VLOOKUP($B78,Database!$B$1:$IX$10144,AJ$22,FALSE))=0,"",VLOOKUP($B78,Database!$B$1:$IX$10144,AJ$22,FALSE)))</f>
        <v/>
      </c>
      <c r="AK78" s="22">
        <f>IF(OR($B78="",AK$22=""),"",IF(LEN(VLOOKUP($B78,Database!$B$1:$IX$10144,AK$22,FALSE))=0,"",VLOOKUP($B78,Database!$B$1:$IX$10144,AK$22,FALSE)))</f>
        <v>12.8</v>
      </c>
      <c r="AL78" s="22">
        <f>IF(OR($B78="",AL$22=""),"",IF(LEN(VLOOKUP($B78,Database!$B$1:$IX$10144,AL$22,FALSE))=0,"",VLOOKUP($B78,Database!$B$1:$IX$10144,AL$22,FALSE)))</f>
        <v>16.55</v>
      </c>
      <c r="AM78" s="22">
        <f>IF(OR($B78="",AM$22=""),"",IF(LEN(VLOOKUP($B78,Database!$B$1:$IX$10144,AM$22,FALSE))=0,"",VLOOKUP($B78,Database!$B$1:$IX$10144,AM$22,FALSE)))</f>
        <v>0</v>
      </c>
      <c r="AN78" s="22">
        <f>IF(OR($B78="",AN$22=""),"",IF(LEN(VLOOKUP($B78,Database!$B$1:$IX$10144,AN$22,FALSE))=0,"",VLOOKUP($B78,Database!$B$1:$IX$10144,AN$22,FALSE)))</f>
        <v>0</v>
      </c>
      <c r="AO78" s="22">
        <f>IF(OR($B78="",AO$22=""),"",IF(LEN(VLOOKUP($B78,Database!$B$1:$IX$10144,AO$22,FALSE))=0,"",VLOOKUP($B78,Database!$B$1:$IX$10144,AO$22,FALSE)))</f>
        <v>0</v>
      </c>
      <c r="AP78" s="22">
        <f>IF(OR($B78="",AP$22=""),"",IF(LEN(VLOOKUP($B78,Database!$B$1:$IX$10144,AP$22,FALSE))=0,"",VLOOKUP($B78,Database!$B$1:$IX$10144,AP$22,FALSE)))</f>
        <v>100</v>
      </c>
      <c r="AQ78" s="22" t="str">
        <f>IF(OR($B78="",AQ$22=""),"",IF(LEN(VLOOKUP($B78,Database!$B$1:$IX$10144,AQ$22,FALSE))=0,"",VLOOKUP($B78,Database!$B$1:$IX$10144,AQ$22,FALSE)))</f>
        <v>Rosso IM, Cintron CM, Steingard RJ, Renshaw PF, Young AD, Yurgelun-Todd DA.</v>
      </c>
      <c r="AV78">
        <f>W78/V78</f>
        <v>9.8275639516784238E-2</v>
      </c>
      <c r="AW78">
        <f>U78/T78</f>
        <v>7.8872518553723542E-2</v>
      </c>
    </row>
    <row r="79" spans="1:49">
      <c r="A79" s="10" t="s">
        <v>1226</v>
      </c>
      <c r="B79">
        <v>16955447</v>
      </c>
      <c r="C79" s="1" t="s">
        <v>1361</v>
      </c>
      <c r="D79" s="1" t="s">
        <v>1183</v>
      </c>
      <c r="E79" s="22" t="s">
        <v>1636</v>
      </c>
      <c r="F79" s="22">
        <v>2006</v>
      </c>
      <c r="G79" s="1" t="s">
        <v>757</v>
      </c>
      <c r="H79" s="22">
        <v>182</v>
      </c>
      <c r="I79" s="22">
        <v>64</v>
      </c>
      <c r="J79" t="s">
        <v>1085</v>
      </c>
      <c r="T79" s="31">
        <v>1134.5999999999999</v>
      </c>
      <c r="U79">
        <v>125.1</v>
      </c>
      <c r="V79">
        <v>1123.9000000000001</v>
      </c>
      <c r="W79">
        <v>133.30000000000001</v>
      </c>
      <c r="Y79" s="22" t="s">
        <v>1242</v>
      </c>
      <c r="Z79" s="22" t="s">
        <v>1119</v>
      </c>
      <c r="AA79" s="22" t="s">
        <v>1836</v>
      </c>
      <c r="AB79" s="22">
        <v>70.2</v>
      </c>
      <c r="AC79" s="22">
        <v>5.8</v>
      </c>
      <c r="AD79" s="22">
        <v>70</v>
      </c>
      <c r="AE79" s="22">
        <v>7.7</v>
      </c>
      <c r="AF79" s="22">
        <v>129</v>
      </c>
      <c r="AG79" s="22">
        <v>41</v>
      </c>
      <c r="AH79" s="22" t="s">
        <v>1836</v>
      </c>
      <c r="AI79" s="22" t="s">
        <v>1836</v>
      </c>
      <c r="AJ79" s="22" t="s">
        <v>1836</v>
      </c>
      <c r="AK79" s="22">
        <v>43.7</v>
      </c>
      <c r="AL79" s="22" t="s">
        <v>1688</v>
      </c>
      <c r="AM79" s="22">
        <v>3</v>
      </c>
      <c r="AN79" s="22" t="s">
        <v>929</v>
      </c>
      <c r="AO79" s="22">
        <v>4000</v>
      </c>
      <c r="AP79" s="22" t="s">
        <v>1181</v>
      </c>
      <c r="AQ79" s="22" t="s">
        <v>1087</v>
      </c>
    </row>
    <row r="80" spans="1:49">
      <c r="A80" s="10" t="s">
        <v>2162</v>
      </c>
      <c r="B80">
        <v>17986679</v>
      </c>
      <c r="C80" s="1" t="str">
        <f>IF($B80="","",HYPERLINK(IF(LEN(VLOOKUP($B80,Database!$B$1:$IX$10144,2,FALSE))=0,"",VLOOKUP($B80,Database!$B$1:$IX$10144,2,FALSE))))</f>
        <v/>
      </c>
      <c r="D80" s="1" t="str">
        <f>IF($B80="","",HYPERLINK(CONCATENATE("http://www.ncbi.nlm.nih.gov/pubmed/",B80)))</f>
        <v>http://www.ncbi.nlm.nih.gov/pubmed/17986679</v>
      </c>
      <c r="E80" s="22" t="str">
        <f>IF($B80="","",IF(LEN(VLOOKUP($B80,Database!$B$1:$IX$10144,4,FALSE))=0,"",VLOOKUP($B80,Database!$B$1:$IX$10144,4,FALSE)))</f>
        <v>Ballmaier M (A)</v>
      </c>
      <c r="F80" s="22">
        <f>IF($B80="","",IF(LEN(VLOOKUP($B80,Database!$B$1:$IX$10144,5,FALSE))=0,"",VLOOKUP($B80,Database!$B$1:$IX$10144,5,FALSE)))</f>
        <v>2008</v>
      </c>
      <c r="G80" s="1" t="str">
        <f>IF($B80="","",HYPERLINK(IF(LEN(VLOOKUP($B80,Database!$B$1:$IX$10144,6,FALSE))=0,"",VLOOKUP($B80,Database!$B$1:$IX$10144,6,FALSE))))</f>
        <v>http://ajp.psychiatryonline.org/cgi/reprint/165/2/229</v>
      </c>
      <c r="H80" s="22">
        <f>IF($B80="","",IF(LEN(VLOOKUP($B80,Database!$B$1:$IX$10144,7,FALSE))=0,"",VLOOKUP($B80,Database!$B$1:$IX$10144,7,FALSE)))</f>
        <v>46</v>
      </c>
      <c r="I80" s="22">
        <f>IF($B80="","",IF(LEN(VLOOKUP($B80,Database!$B$1:$IX$10144,8,FALSE))=0,"",VLOOKUP($B80,Database!$B$1:$IX$10144,8,FALSE)))</f>
        <v>34</v>
      </c>
      <c r="K80" s="10"/>
      <c r="Y80" s="22" t="str">
        <f>IF(OR($B80="",Y$22=""),"",IF(LEN(VLOOKUP($B80,Database!$B$1:$IX$10144,Y$22,FALSE))=0,"",VLOOKUP($B80,Database!$B$1:$IX$10144,Y$22,FALSE)))</f>
        <v>DSM-IV</v>
      </c>
      <c r="Z80" s="22" t="str">
        <f>IF(OR($B80="",Z$22=""),"",IF(LEN(VLOOKUP($B80,Database!$B$1:$IX$10144,Z$22,FALSE))=0,"",VLOOKUP($B80,Database!$B$1:$IX$10144,Z$22,FALSE)))</f>
        <v>MRI</v>
      </c>
      <c r="AA80" s="22" t="str">
        <f>IF(OR($B80="",AA$22=""),"",IF(LEN(VLOOKUP($B80,Database!$B$1:$IX$10144,AA$22,FALSE))=0,"",VLOOKUP($B80,Database!$B$1:$IX$10144,AA$22,FALSE)))</f>
        <v/>
      </c>
      <c r="AB80" s="22">
        <f>IF(OR($B80="",AB$22=""),"",IF(LEN(VLOOKUP($B80,Database!$B$1:$IX$10144,AB$22,FALSE))=0,"",VLOOKUP($B80,Database!$B$1:$IX$10144,AB$22,FALSE)))</f>
        <v>71.099999999999994</v>
      </c>
      <c r="AC80" s="22">
        <f>IF(OR($B80="",AC$22=""),"",IF(LEN(VLOOKUP($B80,Database!$B$1:$IX$10144,AC$22,FALSE))=0,"",VLOOKUP($B80,Database!$B$1:$IX$10144,AC$22,FALSE)))</f>
        <v>7.66</v>
      </c>
      <c r="AD80" s="22">
        <f>IF(OR($B80="",AD$22=""),"",IF(LEN(VLOOKUP($B80,Database!$B$1:$IX$10144,AD$22,FALSE))=0,"",VLOOKUP($B80,Database!$B$1:$IX$10144,AD$22,FALSE)))</f>
        <v>72.38</v>
      </c>
      <c r="AE80" s="22">
        <f>IF(OR($B80="",AE$22=""),"",IF(LEN(VLOOKUP($B80,Database!$B$1:$IX$10144,AE$22,FALSE))=0,"",VLOOKUP($B80,Database!$B$1:$IX$10144,AE$22,FALSE)))</f>
        <v>6.93</v>
      </c>
      <c r="AF80" s="22">
        <f>IF(OR($B80="",AF$22=""),"",IF(LEN(VLOOKUP($B80,Database!$B$1:$IX$10144,AF$22,FALSE))=0,"",VLOOKUP($B80,Database!$B$1:$IX$10144,AF$22,FALSE)))</f>
        <v>34</v>
      </c>
      <c r="AG80" s="22">
        <f>IF(OR($B80="",AG$22=""),"",IF(LEN(VLOOKUP($B80,Database!$B$1:$IX$10144,AG$22,FALSE))=0,"",VLOOKUP($B80,Database!$B$1:$IX$10144,AG$22,FALSE)))</f>
        <v>19</v>
      </c>
      <c r="AH80" s="22">
        <f>IF(OR($B80="",AH$22=""),"",IF(LEN(VLOOKUP($B80,Database!$B$1:$IX$10144,AH$22,FALSE))=0,"",VLOOKUP($B80,Database!$B$1:$IX$10144,AH$22,FALSE)))</f>
        <v>1.5</v>
      </c>
      <c r="AI80" s="22">
        <f>IF(OR($B80="",AI$22=""),"",IF(LEN(VLOOKUP($B80,Database!$B$1:$IX$10144,AI$22,FALSE))=0,"",VLOOKUP($B80,Database!$B$1:$IX$10144,AI$22,FALSE)))</f>
        <v>1.4</v>
      </c>
      <c r="AJ80" s="22" t="str">
        <f>IF(OR($B80="",AJ$22=""),"",IF(LEN(VLOOKUP($B80,Database!$B$1:$IX$10144,AJ$22,FALSE))=0,"",VLOOKUP($B80,Database!$B$1:$IX$10144,AJ$22,FALSE)))</f>
        <v/>
      </c>
      <c r="AK80" s="22">
        <f>IF(OR($B80="",AK$22=""),"",IF(LEN(VLOOKUP($B80,Database!$B$1:$IX$10144,AK$22,FALSE))=0,"",VLOOKUP($B80,Database!$B$1:$IX$10144,AK$22,FALSE)))</f>
        <v>51.43</v>
      </c>
      <c r="AL80" s="22">
        <f>IF(OR($B80="",AL$22=""),"",IF(LEN(VLOOKUP($B80,Database!$B$1:$IX$10144,AL$22,FALSE))=0,"",VLOOKUP($B80,Database!$B$1:$IX$10144,AL$22,FALSE)))</f>
        <v>17.73</v>
      </c>
      <c r="AM80" s="22">
        <f>IF(OR($B80="",AM$22=""),"",IF(LEN(VLOOKUP($B80,Database!$B$1:$IX$10144,AM$22,FALSE))=0,"",VLOOKUP($B80,Database!$B$1:$IX$10144,AM$22,FALSE)))</f>
        <v>0</v>
      </c>
      <c r="AN80" s="22">
        <f>IF(OR($B80="",AN$22=""),"",IF(LEN(VLOOKUP($B80,Database!$B$1:$IX$10144,AN$22,FALSE))=0,"",VLOOKUP($B80,Database!$B$1:$IX$10144,AN$22,FALSE)))</f>
        <v>0</v>
      </c>
      <c r="AO80" s="22">
        <f>IF(OR($B80="",AO$22=""),"",IF(LEN(VLOOKUP($B80,Database!$B$1:$IX$10144,AO$22,FALSE))=0,"",VLOOKUP($B80,Database!$B$1:$IX$10144,AO$22,FALSE)))</f>
        <v>0</v>
      </c>
      <c r="AP80" s="22">
        <f>IF(OR($B80="",AP$22=""),"",IF(LEN(VLOOKUP($B80,Database!$B$1:$IX$10144,AP$22,FALSE))=0,"",VLOOKUP($B80,Database!$B$1:$IX$10144,AP$22,FALSE)))</f>
        <v>100</v>
      </c>
      <c r="AQ80" s="22" t="str">
        <f>IF(OR($B80="",AQ$22=""),"",IF(LEN(VLOOKUP($B80,Database!$B$1:$IX$10144,AQ$22,FALSE))=0,"",VLOOKUP($B80,Database!$B$1:$IX$10144,AQ$22,FALSE)))</f>
        <v>Ballmaier M, Narr KL, Toga AW, Elderkin-Thompson V, Thompson PM, Hamilton L, Haroon E, Pham D, Heinz A, Kumar A.</v>
      </c>
    </row>
    <row r="81" spans="1:51">
      <c r="A81" s="10" t="s">
        <v>2072</v>
      </c>
      <c r="B81">
        <v>19108659</v>
      </c>
      <c r="C81" s="1" t="str">
        <f>IF($B81="","",HYPERLINK(IF(LEN(VLOOKUP($B81,Database!$B$1:$IX$10144,2,FALSE))=0,"",VLOOKUP($B81,Database!$B$1:$IX$10144,2,FALSE))))</f>
        <v/>
      </c>
      <c r="D81" s="1" t="str">
        <f>IF($B81="","",HYPERLINK(CONCATENATE("http://www.ncbi.nlm.nih.gov/pubmed/",B81)))</f>
        <v>http://www.ncbi.nlm.nih.gov/pubmed/19108659</v>
      </c>
      <c r="E81" s="22" t="str">
        <f>IF($B81="","",IF(LEN(VLOOKUP($B81,Database!$B$1:$IX$10144,4,FALSE))=0,"",VLOOKUP($B81,Database!$B$1:$IX$10144,4,FALSE)))</f>
        <v>Chen HH</v>
      </c>
      <c r="F81" s="22">
        <f>IF($B81="","",IF(LEN(VLOOKUP($B81,Database!$B$1:$IX$10144,5,FALSE))=0,"",VLOOKUP($B81,Database!$B$1:$IX$10144,5,FALSE)))</f>
        <v>2008</v>
      </c>
      <c r="G81" s="1" t="str">
        <f>IF($B81="","",HYPERLINK(IF(LEN(VLOOKUP($B81,Database!$B$1:$IX$10144,6,FALSE))=0,"",VLOOKUP($B81,Database!$B$1:$IX$10144,6,FALSE))))</f>
        <v>http://dx.doi.org/10.1089/cap.2008.053</v>
      </c>
      <c r="H81" s="22">
        <f>IF($B81="","",IF(LEN(VLOOKUP($B81,Database!$B$1:$IX$10144,7,FALSE))=0,"",VLOOKUP($B81,Database!$B$1:$IX$10144,7,FALSE)))</f>
        <v>27</v>
      </c>
      <c r="I81" s="22">
        <f>IF($B81="","",IF(LEN(VLOOKUP($B81,Database!$B$1:$IX$10144,8,FALSE))=0,"",VLOOKUP($B81,Database!$B$1:$IX$10144,8,FALSE)))</f>
        <v>26</v>
      </c>
      <c r="J81" t="s">
        <v>1175</v>
      </c>
      <c r="K81" s="10"/>
      <c r="L81" s="10"/>
      <c r="M81" s="10"/>
      <c r="N81" s="10"/>
      <c r="O81" s="10"/>
      <c r="T81" s="137">
        <v>1205.9000000000001</v>
      </c>
      <c r="U81">
        <v>139.4</v>
      </c>
      <c r="V81">
        <v>1183.5</v>
      </c>
      <c r="W81">
        <v>120.2</v>
      </c>
      <c r="Y81" s="22" t="str">
        <f>IF(OR($B81="",Y$22=""),"",IF(LEN(VLOOKUP($B81,Database!$B$1:$IX$10144,Y$22,FALSE))=0,"",VLOOKUP($B81,Database!$B$1:$IX$10144,Y$22,FALSE)))</f>
        <v>DSM-IV</v>
      </c>
      <c r="Z81" s="22" t="str">
        <f>IF(OR($B81="",Z$22=""),"",IF(LEN(VLOOKUP($B81,Database!$B$1:$IX$10144,Z$22,FALSE))=0,"",VLOOKUP($B81,Database!$B$1:$IX$10144,Z$22,FALSE)))</f>
        <v>MRI</v>
      </c>
      <c r="AA81" s="22" t="str">
        <f>IF(OR($B81="",AA$22=""),"",IF(LEN(VLOOKUP($B81,Database!$B$1:$IX$10144,AA$22,FALSE))=0,"",VLOOKUP($B81,Database!$B$1:$IX$10144,AA$22,FALSE)))</f>
        <v/>
      </c>
      <c r="AB81" s="22">
        <f>IF(OR($B81="",AB$22=""),"",IF(LEN(VLOOKUP($B81,Database!$B$1:$IX$10144,AB$22,FALSE))=0,"",VLOOKUP($B81,Database!$B$1:$IX$10144,AB$22,FALSE)))</f>
        <v>14.4</v>
      </c>
      <c r="AC81" s="22">
        <f>IF(OR($B81="",AC$22=""),"",IF(LEN(VLOOKUP($B81,Database!$B$1:$IX$10144,AC$22,FALSE))=0,"",VLOOKUP($B81,Database!$B$1:$IX$10144,AC$22,FALSE)))</f>
        <v>2.2000000000000002</v>
      </c>
      <c r="AD81" s="22">
        <f>IF(OR($B81="",AD$22=""),"",IF(LEN(VLOOKUP($B81,Database!$B$1:$IX$10144,AD$22,FALSE))=0,"",VLOOKUP($B81,Database!$B$1:$IX$10144,AD$22,FALSE)))</f>
        <v>14.4</v>
      </c>
      <c r="AE81" s="22">
        <f>IF(OR($B81="",AE$22=""),"",IF(LEN(VLOOKUP($B81,Database!$B$1:$IX$10144,AE$22,FALSE))=0,"",VLOOKUP($B81,Database!$B$1:$IX$10144,AE$22,FALSE)))</f>
        <v>2.4</v>
      </c>
      <c r="AF81" s="22">
        <f>IF(OR($B81="",AF$22=""),"",IF(LEN(VLOOKUP($B81,Database!$B$1:$IX$10144,AF$22,FALSE))=0,"",VLOOKUP($B81,Database!$B$1:$IX$10144,AF$22,FALSE)))</f>
        <v>17</v>
      </c>
      <c r="AG81" s="22">
        <f>IF(OR($B81="",AG$22=""),"",IF(LEN(VLOOKUP($B81,Database!$B$1:$IX$10144,AG$22,FALSE))=0,"",VLOOKUP($B81,Database!$B$1:$IX$10144,AG$22,FALSE)))</f>
        <v>14</v>
      </c>
      <c r="AH81" s="22">
        <f>IF(OR($B81="",AH$22=""),"",IF(LEN(VLOOKUP($B81,Database!$B$1:$IX$10144,AH$22,FALSE))=0,"",VLOOKUP($B81,Database!$B$1:$IX$10144,AH$22,FALSE)))</f>
        <v>1.5</v>
      </c>
      <c r="AI81" s="22">
        <f>IF(OR($B81="",AI$22=""),"",IF(LEN(VLOOKUP($B81,Database!$B$1:$IX$10144,AI$22,FALSE))=0,"",VLOOKUP($B81,Database!$B$1:$IX$10144,AI$22,FALSE)))</f>
        <v>1.5</v>
      </c>
      <c r="AJ81" s="22" t="str">
        <f>IF(OR($B81="",AJ$22=""),"",IF(LEN(VLOOKUP($B81,Database!$B$1:$IX$10144,AJ$22,FALSE))=0,"",VLOOKUP($B81,Database!$B$1:$IX$10144,AJ$22,FALSE)))</f>
        <v/>
      </c>
      <c r="AK81" s="22">
        <f>IF(OR($B81="",AK$22=""),"",IF(LEN(VLOOKUP($B81,Database!$B$1:$IX$10144,AK$22,FALSE))=0,"",VLOOKUP($B81,Database!$B$1:$IX$10144,AK$22,FALSE)))</f>
        <v>11.75</v>
      </c>
      <c r="AL81" s="22">
        <f>IF(OR($B81="",AL$22=""),"",IF(LEN(VLOOKUP($B81,Database!$B$1:$IX$10144,AL$22,FALSE))=0,"",VLOOKUP($B81,Database!$B$1:$IX$10144,AL$22,FALSE)))</f>
        <v>20.100000000000001</v>
      </c>
      <c r="AM81" s="22">
        <f>IF(OR($B81="",AM$22=""),"",IF(LEN(VLOOKUP($B81,Database!$B$1:$IX$10144,AM$22,FALSE))=0,"",VLOOKUP($B81,Database!$B$1:$IX$10144,AM$22,FALSE)))</f>
        <v>0</v>
      </c>
      <c r="AN81" s="22">
        <f>IF(OR($B81="",AN$22=""),"",IF(LEN(VLOOKUP($B81,Database!$B$1:$IX$10144,AN$22,FALSE))=0,"",VLOOKUP($B81,Database!$B$1:$IX$10144,AN$22,FALSE)))</f>
        <v>0</v>
      </c>
      <c r="AO81" s="22">
        <f>IF(OR($B81="",AO$22=""),"",IF(LEN(VLOOKUP($B81,Database!$B$1:$IX$10144,AO$22,FALSE))=0,"",VLOOKUP($B81,Database!$B$1:$IX$10144,AO$22,FALSE)))</f>
        <v>0</v>
      </c>
      <c r="AP81" s="22">
        <f>IF(OR($B81="",AP$22=""),"",IF(LEN(VLOOKUP($B81,Database!$B$1:$IX$10144,AP$22,FALSE))=0,"",VLOOKUP($B81,Database!$B$1:$IX$10144,AP$22,FALSE)))</f>
        <v>100</v>
      </c>
      <c r="AQ81" s="22" t="str">
        <f>IF(OR($B81="",AQ$22=""),"",IF(LEN(VLOOKUP($B81,Database!$B$1:$IX$10144,AQ$22,FALSE))=0,"",VLOOKUP($B81,Database!$B$1:$IX$10144,AQ$22,FALSE)))</f>
        <v>Chen HH, Rosenberg DR, MacMaster FP, Easter PC, Caetano SC, Nicoletti M, Hatch JP, Nery FG, Soares JC.</v>
      </c>
    </row>
    <row r="82" spans="1:51">
      <c r="A82" s="10" t="s">
        <v>306</v>
      </c>
      <c r="B82">
        <v>18511243</v>
      </c>
      <c r="C82" s="1" t="str">
        <f>IF($B82="","",HYPERLINK(IF(LEN(VLOOKUP($B82,Database!$B$1:$IX$10144,2,FALSE))=0,"",VLOOKUP($B82,Database!$B$1:$IX$10144,2,FALSE))))</f>
        <v/>
      </c>
      <c r="D82" s="1" t="str">
        <f>IF($B82="","",HYPERLINK(CONCATENATE("http://www.ncbi.nlm.nih.gov/pubmed/",B82)))</f>
        <v>http://www.ncbi.nlm.nih.gov/pubmed/18511243</v>
      </c>
      <c r="E82" s="22" t="str">
        <f>IF($B82="","",IF(LEN(VLOOKUP($B82,Database!$B$1:$IX$10144,4,FALSE))=0,"",VLOOKUP($B82,Database!$B$1:$IX$10144,4,FALSE)))</f>
        <v>Furtado CP</v>
      </c>
      <c r="F82" s="22">
        <f>IF($B82="","",IF(LEN(VLOOKUP($B82,Database!$B$1:$IX$10144,5,FALSE))=0,"",VLOOKUP($B82,Database!$B$1:$IX$10144,5,FALSE)))</f>
        <v>2008</v>
      </c>
      <c r="G82" s="1" t="str">
        <f>IF($B82="","",HYPERLINK(IF(LEN(VLOOKUP($B82,Database!$B$1:$IX$10144,6,FALSE))=0,"",VLOOKUP($B82,Database!$B$1:$IX$10144,6,FALSE))))</f>
        <v>http://dx.doi.org/10.1016/j.pscychresns.2007.11.005</v>
      </c>
      <c r="H82" s="83">
        <v>22</v>
      </c>
      <c r="I82" s="83">
        <v>13</v>
      </c>
      <c r="J82" t="s">
        <v>511</v>
      </c>
      <c r="K82" t="s">
        <v>1367</v>
      </c>
      <c r="T82" s="31">
        <v>1.26</v>
      </c>
      <c r="U82" s="10"/>
      <c r="V82">
        <v>1.23</v>
      </c>
      <c r="W82" s="10"/>
      <c r="Y82" s="22" t="str">
        <f>IF(OR($B82="",Y$22=""),"",IF(LEN(VLOOKUP($B82,Database!$B$1:$IX$10144,Y$22,FALSE))=0,"",VLOOKUP($B82,Database!$B$1:$IX$10144,Y$22,FALSE)))</f>
        <v>DSM-IV</v>
      </c>
      <c r="Z82" s="22" t="str">
        <f>IF(OR($B82="",Z$22=""),"",IF(LEN(VLOOKUP($B82,Database!$B$1:$IX$10144,Z$22,FALSE))=0,"",VLOOKUP($B82,Database!$B$1:$IX$10144,Z$22,FALSE)))</f>
        <v>MRI</v>
      </c>
      <c r="AA82" s="22" t="str">
        <f>IF(OR($B82="",AA$22=""),"",IF(LEN(VLOOKUP($B82,Database!$B$1:$IX$10144,AA$22,FALSE))=0,"",VLOOKUP($B82,Database!$B$1:$IX$10144,AA$22,FALSE)))</f>
        <v/>
      </c>
      <c r="AB82" s="22">
        <f>IF(OR($B82="",AB$22=""),"",IF(LEN(VLOOKUP($B82,Database!$B$1:$IX$10144,AB$22,FALSE))=0,"",VLOOKUP($B82,Database!$B$1:$IX$10144,AB$22,FALSE)))</f>
        <v>37.53</v>
      </c>
      <c r="AC82" s="22">
        <f>IF(OR($B82="",AC$22=""),"",IF(LEN(VLOOKUP($B82,Database!$B$1:$IX$10144,AC$22,FALSE))=0,"",VLOOKUP($B82,Database!$B$1:$IX$10144,AC$22,FALSE)))</f>
        <v>11.33</v>
      </c>
      <c r="AD82" s="22">
        <f>IF(OR($B82="",AD$22=""),"",IF(LEN(VLOOKUP($B82,Database!$B$1:$IX$10144,AD$22,FALSE))=0,"",VLOOKUP($B82,Database!$B$1:$IX$10144,AD$22,FALSE)))</f>
        <v>36.6</v>
      </c>
      <c r="AE82" s="22">
        <f>IF(OR($B82="",AE$22=""),"",IF(LEN(VLOOKUP($B82,Database!$B$1:$IX$10144,AE$22,FALSE))=0,"",VLOOKUP($B82,Database!$B$1:$IX$10144,AE$22,FALSE)))</f>
        <v>11.09</v>
      </c>
      <c r="AF82" s="83">
        <v>0</v>
      </c>
      <c r="AG82" s="83">
        <v>0</v>
      </c>
      <c r="AH82" s="22">
        <f>IF(OR($B82="",AH$22=""),"",IF(LEN(VLOOKUP($B82,Database!$B$1:$IX$10144,AH$22,FALSE))=0,"",VLOOKUP($B82,Database!$B$1:$IX$10144,AH$22,FALSE)))</f>
        <v>1.5</v>
      </c>
      <c r="AI82" s="22">
        <f>IF(OR($B82="",AI$22=""),"",IF(LEN(VLOOKUP($B82,Database!$B$1:$IX$10144,AI$22,FALSE))=0,"",VLOOKUP($B82,Database!$B$1:$IX$10144,AI$22,FALSE)))</f>
        <v>1.4</v>
      </c>
      <c r="AJ82" s="22" t="str">
        <f>IF(OR($B82="",AJ$22=""),"",IF(LEN(VLOOKUP($B82,Database!$B$1:$IX$10144,AJ$22,FALSE))=0,"",VLOOKUP($B82,Database!$B$1:$IX$10144,AJ$22,FALSE)))</f>
        <v/>
      </c>
      <c r="AK82" s="22">
        <f>IF(OR($B82="",AK$22=""),"",IF(LEN(VLOOKUP($B82,Database!$B$1:$IX$10144,AK$22,FALSE))=0,"",VLOOKUP($B82,Database!$B$1:$IX$10144,AK$22,FALSE)))</f>
        <v>26.16</v>
      </c>
      <c r="AL82" s="22" t="str">
        <f>IF(OR($B82="",AL$22=""),"",IF(LEN(VLOOKUP($B82,Database!$B$1:$IX$10144,AL$22,FALSE))=0,"",VLOOKUP($B82,Database!$B$1:$IX$10144,AL$22,FALSE)))</f>
        <v>ns</v>
      </c>
      <c r="AM82" s="22" t="str">
        <f>IF(OR($B82="",AM$22=""),"",IF(LEN(VLOOKUP($B82,Database!$B$1:$IX$10144,AM$22,FALSE))=0,"",VLOOKUP($B82,Database!$B$1:$IX$10144,AM$22,FALSE)))</f>
        <v/>
      </c>
      <c r="AN82" s="22" t="str">
        <f>IF(OR($B82="",AN$22=""),"",IF(LEN(VLOOKUP($B82,Database!$B$1:$IX$10144,AN$22,FALSE))=0,"",VLOOKUP($B82,Database!$B$1:$IX$10144,AN$22,FALSE)))</f>
        <v/>
      </c>
      <c r="AO82" s="22" t="str">
        <f>IF(OR($B82="",AO$22=""),"",IF(LEN(VLOOKUP($B82,Database!$B$1:$IX$10144,AO$22,FALSE))=0,"",VLOOKUP($B82,Database!$B$1:$IX$10144,AO$22,FALSE)))</f>
        <v/>
      </c>
      <c r="AP82" s="22" t="str">
        <f>IF(OR($B82="",AP$22=""),"",IF(LEN(VLOOKUP($B82,Database!$B$1:$IX$10144,AP$22,FALSE))=0,"",VLOOKUP($B82,Database!$B$1:$IX$10144,AP$22,FALSE)))</f>
        <v/>
      </c>
      <c r="AQ82" s="22" t="str">
        <f>IF(OR($B82="",AQ$22=""),"",IF(LEN(VLOOKUP($B82,Database!$B$1:$IX$10144,AQ$22,FALSE))=0,"",VLOOKUP($B82,Database!$B$1:$IX$10144,AQ$22,FALSE)))</f>
        <v>Furtado CP, Maller JJ, Fitzgerald PB.</v>
      </c>
      <c r="AV82">
        <f>W82/V82</f>
        <v>0</v>
      </c>
      <c r="AW82">
        <f>U82/T82</f>
        <v>0</v>
      </c>
    </row>
    <row r="83" spans="1:51">
      <c r="A83" s="10" t="s">
        <v>1226</v>
      </c>
      <c r="B83">
        <v>19010425</v>
      </c>
      <c r="C83" s="1" t="s">
        <v>1383</v>
      </c>
      <c r="D83" s="1" t="s">
        <v>1184</v>
      </c>
      <c r="E83" s="22" t="s">
        <v>1632</v>
      </c>
      <c r="F83" s="22">
        <v>2009</v>
      </c>
      <c r="G83" s="1" t="s">
        <v>1243</v>
      </c>
      <c r="H83" s="83">
        <v>38</v>
      </c>
      <c r="I83" s="22">
        <v>31</v>
      </c>
      <c r="J83" t="s">
        <v>649</v>
      </c>
      <c r="K83" t="s">
        <v>644</v>
      </c>
      <c r="T83" s="137">
        <v>1548.5</v>
      </c>
      <c r="U83">
        <v>161.19999999999999</v>
      </c>
      <c r="V83">
        <v>1547.7</v>
      </c>
      <c r="W83">
        <v>161.69999999999999</v>
      </c>
      <c r="Y83" s="22" t="s">
        <v>1292</v>
      </c>
      <c r="Z83" s="22" t="s">
        <v>1119</v>
      </c>
      <c r="AA83" s="22" t="s">
        <v>1538</v>
      </c>
      <c r="AB83" s="22" t="s">
        <v>1836</v>
      </c>
      <c r="AC83" s="22" t="s">
        <v>1836</v>
      </c>
      <c r="AD83" s="22">
        <v>68.900000000000006</v>
      </c>
      <c r="AE83" s="22">
        <v>5.9</v>
      </c>
      <c r="AF83" s="22">
        <v>21</v>
      </c>
      <c r="AG83" s="22">
        <v>34</v>
      </c>
      <c r="AH83" s="22" t="s">
        <v>1836</v>
      </c>
      <c r="AI83" s="22" t="s">
        <v>1836</v>
      </c>
      <c r="AJ83" s="22" t="s">
        <v>1836</v>
      </c>
      <c r="AK83" s="22" t="s">
        <v>1688</v>
      </c>
      <c r="AL83" s="22" t="s">
        <v>1688</v>
      </c>
      <c r="AM83" s="22">
        <v>1</v>
      </c>
      <c r="AN83" s="22">
        <v>7</v>
      </c>
      <c r="AO83" s="22">
        <v>22</v>
      </c>
      <c r="AP83" s="22" t="s">
        <v>1181</v>
      </c>
      <c r="AQ83" s="22" t="s">
        <v>1215</v>
      </c>
    </row>
    <row r="84" spans="1:51">
      <c r="C84" s="1"/>
      <c r="D84" s="1"/>
      <c r="E84" s="22"/>
      <c r="F84" s="22"/>
      <c r="G84" s="1"/>
      <c r="H84" s="83"/>
      <c r="I84" s="83"/>
      <c r="T84" s="31"/>
      <c r="U84" s="13"/>
      <c r="W84" s="13"/>
      <c r="Y84" s="22"/>
      <c r="Z84" s="22"/>
      <c r="AA84" s="22"/>
      <c r="AB84" s="22"/>
      <c r="AC84" s="22"/>
      <c r="AD84" s="22"/>
      <c r="AE84" s="22"/>
      <c r="AF84" s="22"/>
      <c r="AG84" s="22"/>
      <c r="AH84" s="22"/>
      <c r="AI84" s="22"/>
      <c r="AJ84" s="22"/>
      <c r="AK84" s="22"/>
      <c r="AL84" s="22"/>
      <c r="AM84" s="22"/>
      <c r="AN84" s="22"/>
      <c r="AO84" s="22"/>
      <c r="AP84" s="22"/>
      <c r="AQ84" s="22"/>
    </row>
    <row r="85" spans="1:51">
      <c r="I85" s="22" t="str">
        <f>IF($B85="","",IF(LEN(VLOOKUP($B85,Database!$B$1:$IX$10144,8,FALSE))=0,"",VLOOKUP($B85,Database!$B$1:$IX$10144,8,FALSE)))</f>
        <v/>
      </c>
      <c r="AF85" t="s">
        <v>602</v>
      </c>
      <c r="AJ85" t="s">
        <v>329</v>
      </c>
      <c r="AN85" t="s">
        <v>330</v>
      </c>
    </row>
    <row r="86" spans="1:51" ht="45" customHeight="1">
      <c r="E86" s="60" t="s">
        <v>617</v>
      </c>
      <c r="F86" s="60" t="s">
        <v>740</v>
      </c>
      <c r="G86" s="60" t="s">
        <v>244</v>
      </c>
      <c r="H86" s="60" t="s">
        <v>245</v>
      </c>
      <c r="I86" s="60" t="s">
        <v>246</v>
      </c>
      <c r="J86" s="60" t="s">
        <v>593</v>
      </c>
      <c r="K86" s="60" t="s">
        <v>1039</v>
      </c>
      <c r="L86" s="60" t="s">
        <v>594</v>
      </c>
      <c r="M86" s="60" t="s">
        <v>1299</v>
      </c>
      <c r="N86" s="61" t="s">
        <v>595</v>
      </c>
      <c r="O86" s="61" t="s">
        <v>596</v>
      </c>
      <c r="P86" s="61" t="s">
        <v>597</v>
      </c>
      <c r="Q86" s="61" t="s">
        <v>598</v>
      </c>
      <c r="R86" s="61" t="s">
        <v>599</v>
      </c>
      <c r="S86" s="61" t="s">
        <v>600</v>
      </c>
      <c r="T86" s="61" t="s">
        <v>601</v>
      </c>
      <c r="U86" s="61" t="s">
        <v>484</v>
      </c>
      <c r="V86" s="61" t="s">
        <v>485</v>
      </c>
      <c r="W86" s="61" t="s">
        <v>486</v>
      </c>
      <c r="AF86" s="61" t="s">
        <v>1517</v>
      </c>
      <c r="AG86" s="62" t="s">
        <v>834</v>
      </c>
      <c r="AH86" s="62" t="s">
        <v>835</v>
      </c>
      <c r="AJ86" s="61" t="s">
        <v>836</v>
      </c>
      <c r="AK86" s="61" t="s">
        <v>837</v>
      </c>
      <c r="AL86" s="61" t="s">
        <v>487</v>
      </c>
      <c r="AN86" t="s">
        <v>488</v>
      </c>
      <c r="AO86" t="s">
        <v>489</v>
      </c>
      <c r="AP86" t="s">
        <v>490</v>
      </c>
      <c r="AQ86" t="s">
        <v>491</v>
      </c>
      <c r="AR86" t="s">
        <v>492</v>
      </c>
      <c r="AS86" t="s">
        <v>493</v>
      </c>
      <c r="AT86" t="s">
        <v>494</v>
      </c>
      <c r="AU86" t="s">
        <v>495</v>
      </c>
      <c r="AV86" t="s">
        <v>496</v>
      </c>
      <c r="AW86" t="s">
        <v>497</v>
      </c>
      <c r="AX86" t="s">
        <v>498</v>
      </c>
      <c r="AY86" t="s">
        <v>499</v>
      </c>
    </row>
    <row r="87" spans="1:51">
      <c r="E87" t="str">
        <f t="shared" ref="E87:F89" si="4">E24</f>
        <v>Pantel J</v>
      </c>
      <c r="F87">
        <f t="shared" si="4"/>
        <v>1997</v>
      </c>
      <c r="G87">
        <v>33</v>
      </c>
      <c r="H87">
        <f t="shared" ref="H87:I89" si="5">H24</f>
        <v>19</v>
      </c>
      <c r="I87">
        <f t="shared" si="5"/>
        <v>13</v>
      </c>
      <c r="J87">
        <f t="shared" ref="J87:M89" si="6">IF($D$4="Total",T24,IF($D$4="Left",L24,IF($D$4="Right",P24,"error")))</f>
        <v>835.9</v>
      </c>
      <c r="K87">
        <f t="shared" si="6"/>
        <v>92</v>
      </c>
      <c r="L87">
        <f t="shared" si="6"/>
        <v>882.6</v>
      </c>
      <c r="M87">
        <f t="shared" si="6"/>
        <v>86</v>
      </c>
      <c r="N87">
        <f t="shared" ref="N87:N95" si="7">IF($D$3=1,SQRT((((I87-1)*(M87)^2)+((H87-1)*(K87)^2))/(H87+I87-2)),M87)</f>
        <v>89.648201320494991</v>
      </c>
      <c r="O87" s="59">
        <f t="shared" ref="O87:O95" si="8">IF($D$6=1,LN(J87/L87),IF($D$5=1,(1-3/(4*(H87+I87)-9))*((J87-L87)/N87),(J87-L87)/N87))</f>
        <v>-0.50779255361616604</v>
      </c>
      <c r="P87" s="63">
        <f t="shared" ref="P87:P95" si="9">IF($D$6=1,(K87^2)/(H87*J87^2)+(M87^2)/(I87*L87^2),(IF($D$5=1,((H87+I87)/(H87*I87))+(O87*O87)/(2*(H87+I87-3.94)),((H87+I87)/(H87*I87))+((O87^2)/(2*(H87+I87-2))))))</f>
        <v>0.13414933294649714</v>
      </c>
      <c r="Q87" s="59">
        <f t="shared" ref="Q87:Q119" si="10">$R$136*SQRT(P87)</f>
        <v>0.71787748080522995</v>
      </c>
      <c r="R87" s="59">
        <f t="shared" ref="R87:R95" si="11">1/P87</f>
        <v>7.4543792207959063</v>
      </c>
      <c r="S87" s="59">
        <f t="shared" ref="S87:S95" si="12">O87*R87</f>
        <v>-3.7852782601512391</v>
      </c>
      <c r="T87" s="59">
        <f t="shared" ref="T87:T95" si="13">R87*(O87^2)</f>
        <v>1.922136113869956</v>
      </c>
      <c r="U87" s="23">
        <f t="shared" ref="U87:U95" si="14">R87^2</f>
        <v>55.567769567433785</v>
      </c>
      <c r="V87" s="59">
        <f t="shared" ref="V87:V119" si="15">1/((1/R87)+$I$133)</f>
        <v>6.9350916634712396</v>
      </c>
      <c r="W87" s="59">
        <f t="shared" ref="W87:W95" si="16">V87*O87</f>
        <v>-3.5215879053562458</v>
      </c>
      <c r="AF87" s="59">
        <f t="shared" ref="AF87:AF95" si="17">IF($D$6=1,100*((EXP(O87))-1),O87)</f>
        <v>-0.50779255361616604</v>
      </c>
      <c r="AG87" s="59">
        <f t="shared" ref="AG87:AG95" si="18">IF($D$6=1,100*(EXP(O87+Q87)-EXP(O87)),Q87)</f>
        <v>0.71787748080522995</v>
      </c>
      <c r="AH87" s="59">
        <f t="shared" ref="AH87:AH95" si="19">IF($D$6=1,100*(EXP(O87)-EXP(O87-Q87)),Q87)</f>
        <v>0.71787748080522995</v>
      </c>
      <c r="AJ87">
        <f t="shared" ref="AJ87:AJ95" si="20">SQRT(P87)</f>
        <v>0.3662640208189949</v>
      </c>
      <c r="AK87">
        <f t="shared" ref="AK87:AK119" si="21">1/AJ87</f>
        <v>2.7302709061182751</v>
      </c>
      <c r="AL87">
        <f t="shared" ref="AL87:AL95" si="22">O87/AJ87</f>
        <v>-1.3864112354817224</v>
      </c>
      <c r="AN87" t="str">
        <f t="shared" ref="AN87:AN95" si="23">E87</f>
        <v>Pantel J</v>
      </c>
      <c r="AO87">
        <f t="shared" ref="AO87:AO95" si="24">F87</f>
        <v>1997</v>
      </c>
      <c r="AP87" t="str">
        <f t="shared" ref="AP87:AP95" si="25">CONCATENATE(AN87," ",AO87)</f>
        <v>Pantel J 1997</v>
      </c>
      <c r="AQ87">
        <f t="shared" ref="AQ87:AQ95" si="26">INT(H87)</f>
        <v>19</v>
      </c>
      <c r="AR87">
        <f t="shared" ref="AR87:AR95" si="27">J87</f>
        <v>835.9</v>
      </c>
      <c r="AS87">
        <f t="shared" ref="AS87:AS95" si="28">K87</f>
        <v>92</v>
      </c>
      <c r="AT87">
        <f t="shared" ref="AT87:AT95" si="29">INT(I87)</f>
        <v>13</v>
      </c>
      <c r="AU87">
        <f t="shared" ref="AU87:AU95" si="30">L87</f>
        <v>882.6</v>
      </c>
      <c r="AV87">
        <f t="shared" ref="AV87:AV95" si="31">M87</f>
        <v>86</v>
      </c>
      <c r="AW87" s="65">
        <f t="shared" ref="AW87:AW95" si="32">O87</f>
        <v>-0.50779255361616604</v>
      </c>
      <c r="AX87">
        <f t="shared" ref="AX87:AX95" si="33">SQRT(P87)</f>
        <v>0.3662640208189949</v>
      </c>
      <c r="AY87" t="str">
        <f>$F$4</f>
        <v>Total</v>
      </c>
    </row>
    <row r="88" spans="1:51">
      <c r="E88" t="str">
        <f t="shared" si="4"/>
        <v>Parashos IA</v>
      </c>
      <c r="F88">
        <f t="shared" si="4"/>
        <v>1998</v>
      </c>
      <c r="G88">
        <v>32</v>
      </c>
      <c r="H88">
        <f t="shared" si="5"/>
        <v>72</v>
      </c>
      <c r="I88">
        <f t="shared" si="5"/>
        <v>38</v>
      </c>
      <c r="J88">
        <f t="shared" si="6"/>
        <v>1027.03</v>
      </c>
      <c r="K88">
        <f t="shared" si="6"/>
        <v>102.89</v>
      </c>
      <c r="L88">
        <f t="shared" si="6"/>
        <v>1059.8900000000001</v>
      </c>
      <c r="M88">
        <f t="shared" si="6"/>
        <v>144.72999999999999</v>
      </c>
      <c r="N88">
        <f t="shared" si="7"/>
        <v>118.89388345168233</v>
      </c>
      <c r="O88" s="59">
        <f t="shared" si="8"/>
        <v>-0.2744571474557766</v>
      </c>
      <c r="P88" s="63">
        <f t="shared" si="9"/>
        <v>4.0559792099088096E-2</v>
      </c>
      <c r="Q88" s="59">
        <f t="shared" si="10"/>
        <v>0.39473345098668394</v>
      </c>
      <c r="R88" s="59">
        <f t="shared" si="11"/>
        <v>24.654958722593722</v>
      </c>
      <c r="S88" s="59">
        <f t="shared" si="12"/>
        <v>-6.766729641642991</v>
      </c>
      <c r="T88" s="59">
        <f t="shared" si="13"/>
        <v>1.8571773150497846</v>
      </c>
      <c r="U88" s="23">
        <f t="shared" si="14"/>
        <v>607.86698961280024</v>
      </c>
      <c r="V88" s="59">
        <f t="shared" si="15"/>
        <v>19.761025973112005</v>
      </c>
      <c r="W88" s="59">
        <f t="shared" si="16"/>
        <v>-5.4235548193798326</v>
      </c>
      <c r="AF88" s="59">
        <f t="shared" si="17"/>
        <v>-0.2744571474557766</v>
      </c>
      <c r="AG88" s="59">
        <f t="shared" si="18"/>
        <v>0.39473345098668394</v>
      </c>
      <c r="AH88" s="59">
        <f t="shared" si="19"/>
        <v>0.39473345098668394</v>
      </c>
      <c r="AJ88">
        <f t="shared" si="20"/>
        <v>0.20139461785034896</v>
      </c>
      <c r="AK88">
        <f t="shared" si="21"/>
        <v>4.9653759900528902</v>
      </c>
      <c r="AL88">
        <f t="shared" si="22"/>
        <v>-1.3627829302753189</v>
      </c>
      <c r="AN88" t="str">
        <f t="shared" si="23"/>
        <v>Parashos IA</v>
      </c>
      <c r="AO88">
        <f t="shared" si="24"/>
        <v>1998</v>
      </c>
      <c r="AP88" t="str">
        <f t="shared" si="25"/>
        <v>Parashos IA 1998</v>
      </c>
      <c r="AQ88">
        <f t="shared" si="26"/>
        <v>72</v>
      </c>
      <c r="AR88">
        <f t="shared" si="27"/>
        <v>1027.03</v>
      </c>
      <c r="AS88">
        <f t="shared" si="28"/>
        <v>102.89</v>
      </c>
      <c r="AT88">
        <f t="shared" si="29"/>
        <v>38</v>
      </c>
      <c r="AU88">
        <f t="shared" si="30"/>
        <v>1059.8900000000001</v>
      </c>
      <c r="AV88">
        <f t="shared" si="31"/>
        <v>144.72999999999999</v>
      </c>
      <c r="AW88" s="65">
        <f t="shared" si="32"/>
        <v>-0.2744571474557766</v>
      </c>
      <c r="AX88">
        <f t="shared" si="33"/>
        <v>0.20139461785034896</v>
      </c>
      <c r="AY88" t="str">
        <f>$F$5</f>
        <v>H Correction</v>
      </c>
    </row>
    <row r="89" spans="1:51">
      <c r="E89" t="str">
        <f t="shared" si="4"/>
        <v>Ashtari M</v>
      </c>
      <c r="F89">
        <f t="shared" si="4"/>
        <v>1999</v>
      </c>
      <c r="G89">
        <v>31</v>
      </c>
      <c r="H89">
        <f t="shared" si="5"/>
        <v>40</v>
      </c>
      <c r="I89">
        <f t="shared" si="5"/>
        <v>46</v>
      </c>
      <c r="J89">
        <f t="shared" si="6"/>
        <v>1267</v>
      </c>
      <c r="K89">
        <f t="shared" si="6"/>
        <v>126</v>
      </c>
      <c r="L89">
        <f t="shared" si="6"/>
        <v>1249</v>
      </c>
      <c r="M89">
        <f t="shared" si="6"/>
        <v>138</v>
      </c>
      <c r="N89">
        <f t="shared" si="7"/>
        <v>132.56373130363696</v>
      </c>
      <c r="O89" s="59">
        <f t="shared" si="8"/>
        <v>0.13456777200461797</v>
      </c>
      <c r="P89" s="63">
        <f t="shared" si="9"/>
        <v>4.6849467293558426E-2</v>
      </c>
      <c r="Q89" s="59">
        <f t="shared" si="10"/>
        <v>0.42423686020304036</v>
      </c>
      <c r="R89" s="59">
        <f t="shared" si="11"/>
        <v>21.344959884687849</v>
      </c>
      <c r="S89" s="59">
        <f t="shared" si="12"/>
        <v>2.8723436952103913</v>
      </c>
      <c r="T89" s="59">
        <f t="shared" si="13"/>
        <v>0.38652489149597385</v>
      </c>
      <c r="U89" s="23">
        <f t="shared" si="14"/>
        <v>455.60731247893352</v>
      </c>
      <c r="V89" s="59">
        <f t="shared" si="15"/>
        <v>17.576442314227052</v>
      </c>
      <c r="W89" s="59">
        <f t="shared" si="16"/>
        <v>2.3652226819932256</v>
      </c>
      <c r="AF89" s="59">
        <f t="shared" si="17"/>
        <v>0.13456777200461797</v>
      </c>
      <c r="AG89" s="59">
        <f t="shared" si="18"/>
        <v>0.42423686020304036</v>
      </c>
      <c r="AH89" s="59">
        <f t="shared" si="19"/>
        <v>0.42423686020304036</v>
      </c>
      <c r="AJ89">
        <f t="shared" si="20"/>
        <v>0.21644737765461244</v>
      </c>
      <c r="AK89">
        <f t="shared" si="21"/>
        <v>4.6200605931835836</v>
      </c>
      <c r="AL89">
        <f t="shared" si="22"/>
        <v>0.62171126055104864</v>
      </c>
      <c r="AN89" t="str">
        <f t="shared" si="23"/>
        <v>Ashtari M</v>
      </c>
      <c r="AO89">
        <f t="shared" si="24"/>
        <v>1999</v>
      </c>
      <c r="AP89" t="str">
        <f t="shared" si="25"/>
        <v>Ashtari M 1999</v>
      </c>
      <c r="AQ89">
        <f t="shared" si="26"/>
        <v>40</v>
      </c>
      <c r="AR89">
        <f t="shared" si="27"/>
        <v>1267</v>
      </c>
      <c r="AS89">
        <f t="shared" si="28"/>
        <v>126</v>
      </c>
      <c r="AT89">
        <f t="shared" si="29"/>
        <v>46</v>
      </c>
      <c r="AU89">
        <f t="shared" si="30"/>
        <v>1249</v>
      </c>
      <c r="AV89">
        <f t="shared" si="31"/>
        <v>138</v>
      </c>
      <c r="AW89" s="65">
        <f t="shared" si="32"/>
        <v>0.13456777200461797</v>
      </c>
      <c r="AX89">
        <f t="shared" si="33"/>
        <v>0.21644737765461244</v>
      </c>
    </row>
    <row r="90" spans="1:51">
      <c r="E90" t="str">
        <f t="shared" ref="E90:F95" si="34">E27</f>
        <v>Kumar A (A)</v>
      </c>
      <c r="F90">
        <f t="shared" si="34"/>
        <v>2000</v>
      </c>
      <c r="G90">
        <v>30</v>
      </c>
      <c r="H90">
        <f t="shared" ref="H90:I95" si="35">H27</f>
        <v>51</v>
      </c>
      <c r="I90">
        <f t="shared" si="35"/>
        <v>30</v>
      </c>
      <c r="J90">
        <f t="shared" ref="J90:M95" si="36">IF($D$4="Total",T27,IF($D$4="Left",L27,IF($D$4="Right",P27,"error")))</f>
        <v>942</v>
      </c>
      <c r="K90">
        <f t="shared" si="36"/>
        <v>127.4</v>
      </c>
      <c r="L90">
        <f t="shared" si="36"/>
        <v>1008.65</v>
      </c>
      <c r="M90">
        <f t="shared" si="36"/>
        <v>128.69</v>
      </c>
      <c r="N90">
        <f t="shared" si="7"/>
        <v>127.87505605378827</v>
      </c>
      <c r="O90" s="59">
        <f t="shared" si="8"/>
        <v>-0.51624796995177846</v>
      </c>
      <c r="P90" s="63">
        <f t="shared" si="9"/>
        <v>5.4670426188206535E-2</v>
      </c>
      <c r="Q90" s="59">
        <f t="shared" si="10"/>
        <v>0.45828147381779921</v>
      </c>
      <c r="R90" s="59">
        <f t="shared" si="11"/>
        <v>18.291424993787945</v>
      </c>
      <c r="S90" s="59">
        <f t="shared" si="12"/>
        <v>-9.442911020568248</v>
      </c>
      <c r="T90" s="59">
        <f t="shared" si="13"/>
        <v>4.874883644803635</v>
      </c>
      <c r="U90" s="23">
        <f t="shared" si="14"/>
        <v>334.57622830337033</v>
      </c>
      <c r="V90" s="59">
        <f t="shared" si="15"/>
        <v>15.452297861895246</v>
      </c>
      <c r="W90" s="59">
        <f t="shared" si="16"/>
        <v>-7.9772174022936282</v>
      </c>
      <c r="AF90" s="59">
        <f t="shared" si="17"/>
        <v>-0.51624796995177846</v>
      </c>
      <c r="AG90" s="59">
        <f t="shared" si="18"/>
        <v>0.45828147381779921</v>
      </c>
      <c r="AH90" s="59">
        <f t="shared" si="19"/>
        <v>0.45828147381779921</v>
      </c>
      <c r="AJ90">
        <f t="shared" si="20"/>
        <v>0.233817078478469</v>
      </c>
      <c r="AK90">
        <f t="shared" si="21"/>
        <v>4.2768475532555454</v>
      </c>
      <c r="AL90">
        <f t="shared" si="22"/>
        <v>-2.2079138671614063</v>
      </c>
      <c r="AN90" t="str">
        <f t="shared" si="23"/>
        <v>Kumar A (A)</v>
      </c>
      <c r="AO90">
        <f t="shared" si="24"/>
        <v>2000</v>
      </c>
      <c r="AP90" t="str">
        <f t="shared" si="25"/>
        <v>Kumar A (A) 2000</v>
      </c>
      <c r="AQ90">
        <f t="shared" si="26"/>
        <v>51</v>
      </c>
      <c r="AR90">
        <f t="shared" si="27"/>
        <v>942</v>
      </c>
      <c r="AS90">
        <f t="shared" si="28"/>
        <v>127.4</v>
      </c>
      <c r="AT90">
        <f t="shared" si="29"/>
        <v>30</v>
      </c>
      <c r="AU90">
        <f t="shared" si="30"/>
        <v>1008.65</v>
      </c>
      <c r="AV90">
        <f t="shared" si="31"/>
        <v>128.69</v>
      </c>
      <c r="AW90" s="65">
        <f t="shared" si="32"/>
        <v>-0.51624796995177846</v>
      </c>
      <c r="AX90">
        <f t="shared" si="33"/>
        <v>0.233817078478469</v>
      </c>
    </row>
    <row r="91" spans="1:51">
      <c r="E91" t="str">
        <f t="shared" si="34"/>
        <v>McIntosh AM</v>
      </c>
      <c r="F91">
        <f t="shared" si="34"/>
        <v>2001</v>
      </c>
      <c r="G91">
        <v>29</v>
      </c>
      <c r="H91">
        <f t="shared" si="35"/>
        <v>9</v>
      </c>
      <c r="I91">
        <f t="shared" si="35"/>
        <v>29</v>
      </c>
      <c r="J91">
        <f t="shared" si="36"/>
        <v>1267012</v>
      </c>
      <c r="K91">
        <f t="shared" si="36"/>
        <v>68616</v>
      </c>
      <c r="L91">
        <f t="shared" si="36"/>
        <v>1326664</v>
      </c>
      <c r="M91">
        <f t="shared" si="36"/>
        <v>108035</v>
      </c>
      <c r="N91">
        <f t="shared" si="7"/>
        <v>100618.7741963585</v>
      </c>
      <c r="O91" s="59">
        <f t="shared" si="8"/>
        <v>-0.58041414146618597</v>
      </c>
      <c r="P91" s="63">
        <f t="shared" si="9"/>
        <v>0.15053926866917497</v>
      </c>
      <c r="Q91" s="59">
        <f t="shared" si="10"/>
        <v>0.7604680496375259</v>
      </c>
      <c r="R91" s="59">
        <f t="shared" si="11"/>
        <v>6.642785027723229</v>
      </c>
      <c r="S91" s="59">
        <f t="shared" si="12"/>
        <v>-3.8555663688104125</v>
      </c>
      <c r="T91" s="59">
        <f t="shared" si="13"/>
        <v>2.2378252438189956</v>
      </c>
      <c r="U91" s="23">
        <f t="shared" si="14"/>
        <v>44.1265929245439</v>
      </c>
      <c r="V91" s="59">
        <f t="shared" si="15"/>
        <v>6.2272651679955233</v>
      </c>
      <c r="W91" s="59">
        <f t="shared" si="16"/>
        <v>-3.6143927661644062</v>
      </c>
      <c r="AF91" s="59">
        <f t="shared" si="17"/>
        <v>-0.58041414146618597</v>
      </c>
      <c r="AG91" s="59">
        <f t="shared" si="18"/>
        <v>0.7604680496375259</v>
      </c>
      <c r="AH91" s="59">
        <f t="shared" si="19"/>
        <v>0.7604680496375259</v>
      </c>
      <c r="AJ91">
        <f t="shared" si="20"/>
        <v>0.38799390287628871</v>
      </c>
      <c r="AK91">
        <f t="shared" si="21"/>
        <v>2.5773600888745114</v>
      </c>
      <c r="AL91">
        <f t="shared" si="22"/>
        <v>-1.4959362432333123</v>
      </c>
      <c r="AN91" t="str">
        <f t="shared" si="23"/>
        <v>McIntosh AM</v>
      </c>
      <c r="AO91">
        <f t="shared" si="24"/>
        <v>2001</v>
      </c>
      <c r="AP91" t="str">
        <f t="shared" si="25"/>
        <v>McIntosh AM 2001</v>
      </c>
      <c r="AQ91">
        <f t="shared" si="26"/>
        <v>9</v>
      </c>
      <c r="AR91">
        <f t="shared" si="27"/>
        <v>1267012</v>
      </c>
      <c r="AS91">
        <f t="shared" si="28"/>
        <v>68616</v>
      </c>
      <c r="AT91">
        <f t="shared" si="29"/>
        <v>29</v>
      </c>
      <c r="AU91">
        <f t="shared" si="30"/>
        <v>1326664</v>
      </c>
      <c r="AV91">
        <f t="shared" si="31"/>
        <v>108035</v>
      </c>
      <c r="AW91" s="65">
        <f t="shared" si="32"/>
        <v>-0.58041414146618597</v>
      </c>
      <c r="AX91">
        <f t="shared" si="33"/>
        <v>0.38799390287628871</v>
      </c>
    </row>
    <row r="92" spans="1:51">
      <c r="E92" t="str">
        <f t="shared" si="34"/>
        <v>Bremner JD</v>
      </c>
      <c r="F92">
        <f t="shared" si="34"/>
        <v>2002</v>
      </c>
      <c r="G92">
        <v>28</v>
      </c>
      <c r="H92">
        <f t="shared" si="35"/>
        <v>15</v>
      </c>
      <c r="I92">
        <f t="shared" si="35"/>
        <v>20</v>
      </c>
      <c r="J92">
        <f t="shared" si="36"/>
        <v>1266035</v>
      </c>
      <c r="K92">
        <f t="shared" si="36"/>
        <v>144942</v>
      </c>
      <c r="L92">
        <f t="shared" si="36"/>
        <v>1233333</v>
      </c>
      <c r="M92">
        <f t="shared" si="36"/>
        <v>152098</v>
      </c>
      <c r="N92">
        <f t="shared" si="7"/>
        <v>149104.07160385823</v>
      </c>
      <c r="O92" s="59">
        <f t="shared" si="8"/>
        <v>0.21430064848621075</v>
      </c>
      <c r="P92" s="63">
        <f t="shared" si="9"/>
        <v>0.11740595784409118</v>
      </c>
      <c r="Q92" s="59">
        <f t="shared" si="10"/>
        <v>0.67158523483907884</v>
      </c>
      <c r="R92" s="59">
        <f t="shared" si="11"/>
        <v>8.5174553179656041</v>
      </c>
      <c r="S92" s="59">
        <f t="shared" si="12"/>
        <v>1.8252961980923532</v>
      </c>
      <c r="T92" s="59">
        <f t="shared" si="13"/>
        <v>0.3911621589306063</v>
      </c>
      <c r="U92" s="23">
        <f t="shared" si="14"/>
        <v>72.547045093540547</v>
      </c>
      <c r="V92" s="59">
        <f t="shared" si="15"/>
        <v>7.8461633685066854</v>
      </c>
      <c r="W92" s="59">
        <f t="shared" si="16"/>
        <v>1.6814378979997344</v>
      </c>
      <c r="AF92" s="59">
        <f t="shared" si="17"/>
        <v>0.21430064848621075</v>
      </c>
      <c r="AG92" s="59">
        <f t="shared" si="18"/>
        <v>0.67158523483907884</v>
      </c>
      <c r="AH92" s="59">
        <f t="shared" si="19"/>
        <v>0.67158523483907884</v>
      </c>
      <c r="AJ92">
        <f t="shared" si="20"/>
        <v>0.34264552797912184</v>
      </c>
      <c r="AK92">
        <f t="shared" si="21"/>
        <v>2.9184679744629038</v>
      </c>
      <c r="AL92">
        <f t="shared" si="22"/>
        <v>0.62542957951363831</v>
      </c>
      <c r="AN92" t="str">
        <f t="shared" si="23"/>
        <v>Bremner JD</v>
      </c>
      <c r="AO92">
        <f t="shared" si="24"/>
        <v>2002</v>
      </c>
      <c r="AP92" t="str">
        <f t="shared" si="25"/>
        <v>Bremner JD 2002</v>
      </c>
      <c r="AQ92">
        <f t="shared" si="26"/>
        <v>15</v>
      </c>
      <c r="AR92">
        <f t="shared" si="27"/>
        <v>1266035</v>
      </c>
      <c r="AS92">
        <f t="shared" si="28"/>
        <v>144942</v>
      </c>
      <c r="AT92">
        <f t="shared" si="29"/>
        <v>20</v>
      </c>
      <c r="AU92">
        <f t="shared" si="30"/>
        <v>1233333</v>
      </c>
      <c r="AV92">
        <f t="shared" si="31"/>
        <v>152098</v>
      </c>
      <c r="AW92" s="65">
        <f t="shared" si="32"/>
        <v>0.21430064848621075</v>
      </c>
      <c r="AX92">
        <f t="shared" si="33"/>
        <v>0.34264552797912184</v>
      </c>
    </row>
    <row r="93" spans="1:51">
      <c r="E93" t="str">
        <f t="shared" si="34"/>
        <v>Frodl T (A)</v>
      </c>
      <c r="F93">
        <f t="shared" si="34"/>
        <v>2002</v>
      </c>
      <c r="G93">
        <v>27</v>
      </c>
      <c r="H93">
        <f t="shared" si="35"/>
        <v>30</v>
      </c>
      <c r="I93">
        <f t="shared" si="35"/>
        <v>30</v>
      </c>
      <c r="J93">
        <f t="shared" si="36"/>
        <v>1265.9000000000001</v>
      </c>
      <c r="K93">
        <f t="shared" si="36"/>
        <v>89</v>
      </c>
      <c r="L93">
        <f t="shared" si="36"/>
        <v>1274.7</v>
      </c>
      <c r="M93">
        <f t="shared" si="36"/>
        <v>132.1</v>
      </c>
      <c r="N93">
        <f t="shared" si="7"/>
        <v>112.63083503197515</v>
      </c>
      <c r="O93" s="59">
        <f t="shared" si="8"/>
        <v>-7.7116664217648956E-2</v>
      </c>
      <c r="P93" s="63">
        <f t="shared" si="9"/>
        <v>6.6719707871626149E-2</v>
      </c>
      <c r="Q93" s="59">
        <f t="shared" si="10"/>
        <v>0.50627110302647038</v>
      </c>
      <c r="R93" s="59">
        <f t="shared" si="11"/>
        <v>14.988075216457435</v>
      </c>
      <c r="S93" s="59">
        <f t="shared" si="12"/>
        <v>-1.1558303637364142</v>
      </c>
      <c r="T93" s="59">
        <f t="shared" si="13"/>
        <v>8.9133782052824115E-2</v>
      </c>
      <c r="U93" s="23">
        <f t="shared" si="14"/>
        <v>224.6423986941856</v>
      </c>
      <c r="V93" s="59">
        <f t="shared" si="15"/>
        <v>13.02684200811788</v>
      </c>
      <c r="W93" s="59">
        <f t="shared" si="16"/>
        <v>-1.0045866009563904</v>
      </c>
      <c r="AF93" s="59">
        <f t="shared" si="17"/>
        <v>-7.7116664217648956E-2</v>
      </c>
      <c r="AG93" s="59">
        <f t="shared" si="18"/>
        <v>0.50627110302647038</v>
      </c>
      <c r="AH93" s="59">
        <f t="shared" si="19"/>
        <v>0.50627110302647038</v>
      </c>
      <c r="AJ93">
        <f t="shared" si="20"/>
        <v>0.2583015831767706</v>
      </c>
      <c r="AK93">
        <f t="shared" si="21"/>
        <v>3.8714435571834751</v>
      </c>
      <c r="AL93">
        <f t="shared" si="22"/>
        <v>-0.2985528128368985</v>
      </c>
      <c r="AN93" t="str">
        <f t="shared" si="23"/>
        <v>Frodl T (A)</v>
      </c>
      <c r="AO93">
        <f t="shared" si="24"/>
        <v>2002</v>
      </c>
      <c r="AP93" t="str">
        <f t="shared" si="25"/>
        <v>Frodl T (A) 2002</v>
      </c>
      <c r="AQ93">
        <f t="shared" si="26"/>
        <v>30</v>
      </c>
      <c r="AR93">
        <f t="shared" si="27"/>
        <v>1265.9000000000001</v>
      </c>
      <c r="AS93">
        <f t="shared" si="28"/>
        <v>89</v>
      </c>
      <c r="AT93">
        <f t="shared" si="29"/>
        <v>30</v>
      </c>
      <c r="AU93">
        <f t="shared" si="30"/>
        <v>1274.7</v>
      </c>
      <c r="AV93">
        <f t="shared" si="31"/>
        <v>132.1</v>
      </c>
      <c r="AW93" s="65">
        <f t="shared" si="32"/>
        <v>-7.7116664217648956E-2</v>
      </c>
      <c r="AX93">
        <f t="shared" si="33"/>
        <v>0.2583015831767706</v>
      </c>
    </row>
    <row r="94" spans="1:51">
      <c r="E94" t="str">
        <f t="shared" si="34"/>
        <v>Pujol J</v>
      </c>
      <c r="F94">
        <f t="shared" si="34"/>
        <v>2002</v>
      </c>
      <c r="G94">
        <v>26</v>
      </c>
      <c r="H94">
        <f t="shared" si="35"/>
        <v>57</v>
      </c>
      <c r="I94">
        <f t="shared" si="35"/>
        <v>37</v>
      </c>
      <c r="J94">
        <f t="shared" si="36"/>
        <v>1157</v>
      </c>
      <c r="K94">
        <f t="shared" si="36"/>
        <v>107</v>
      </c>
      <c r="L94">
        <f t="shared" si="36"/>
        <v>1109</v>
      </c>
      <c r="M94">
        <f t="shared" si="36"/>
        <v>121</v>
      </c>
      <c r="N94">
        <f t="shared" si="7"/>
        <v>112.68559569998673</v>
      </c>
      <c r="O94" s="59">
        <f t="shared" si="8"/>
        <v>0.42248194307410064</v>
      </c>
      <c r="P94" s="63">
        <f t="shared" si="9"/>
        <v>4.5561842662290561E-2</v>
      </c>
      <c r="Q94" s="59">
        <f t="shared" si="10"/>
        <v>0.41836631648766304</v>
      </c>
      <c r="R94" s="59">
        <f t="shared" si="11"/>
        <v>21.94819044989271</v>
      </c>
      <c r="S94" s="59">
        <f t="shared" si="12"/>
        <v>9.272714148231092</v>
      </c>
      <c r="T94" s="59">
        <f t="shared" si="13"/>
        <v>3.9175542909153758</v>
      </c>
      <c r="U94" s="23">
        <f t="shared" si="14"/>
        <v>481.72306402476158</v>
      </c>
      <c r="V94" s="59">
        <f t="shared" si="15"/>
        <v>17.983441035018384</v>
      </c>
      <c r="W94" s="59">
        <f t="shared" si="16"/>
        <v>7.5976791116330826</v>
      </c>
      <c r="AF94" s="59">
        <f t="shared" si="17"/>
        <v>0.42248194307410064</v>
      </c>
      <c r="AG94" s="59">
        <f t="shared" si="18"/>
        <v>0.41836631648766304</v>
      </c>
      <c r="AH94" s="59">
        <f t="shared" si="19"/>
        <v>0.41836631648766304</v>
      </c>
      <c r="AJ94">
        <f t="shared" si="20"/>
        <v>0.213452202289624</v>
      </c>
      <c r="AK94">
        <f t="shared" si="21"/>
        <v>4.6848895878016918</v>
      </c>
      <c r="AL94">
        <f t="shared" si="22"/>
        <v>1.9792812561420814</v>
      </c>
      <c r="AN94" t="str">
        <f t="shared" si="23"/>
        <v>Pujol J</v>
      </c>
      <c r="AO94">
        <f t="shared" si="24"/>
        <v>2002</v>
      </c>
      <c r="AP94" t="str">
        <f t="shared" si="25"/>
        <v>Pujol J 2002</v>
      </c>
      <c r="AQ94">
        <f t="shared" si="26"/>
        <v>57</v>
      </c>
      <c r="AR94">
        <f t="shared" si="27"/>
        <v>1157</v>
      </c>
      <c r="AS94">
        <f t="shared" si="28"/>
        <v>107</v>
      </c>
      <c r="AT94">
        <f t="shared" si="29"/>
        <v>37</v>
      </c>
      <c r="AU94">
        <f t="shared" si="30"/>
        <v>1109</v>
      </c>
      <c r="AV94">
        <f t="shared" si="31"/>
        <v>121</v>
      </c>
      <c r="AW94" s="65">
        <f t="shared" si="32"/>
        <v>0.42248194307410064</v>
      </c>
      <c r="AX94">
        <f t="shared" si="33"/>
        <v>0.213452202289624</v>
      </c>
    </row>
    <row r="95" spans="1:51">
      <c r="E95" t="str">
        <f t="shared" si="34"/>
        <v>Steingard RJ</v>
      </c>
      <c r="F95">
        <f t="shared" si="34"/>
        <v>2002</v>
      </c>
      <c r="G95">
        <v>25</v>
      </c>
      <c r="H95">
        <f t="shared" si="35"/>
        <v>19</v>
      </c>
      <c r="I95">
        <f t="shared" si="35"/>
        <v>38</v>
      </c>
      <c r="J95">
        <f t="shared" si="36"/>
        <v>1312</v>
      </c>
      <c r="K95">
        <f t="shared" si="36"/>
        <v>122</v>
      </c>
      <c r="L95">
        <f t="shared" si="36"/>
        <v>1382</v>
      </c>
      <c r="M95">
        <f t="shared" si="36"/>
        <v>117</v>
      </c>
      <c r="N95">
        <f t="shared" si="7"/>
        <v>118.65955886101595</v>
      </c>
      <c r="O95" s="59">
        <f t="shared" si="8"/>
        <v>-0.58184183855999072</v>
      </c>
      <c r="P95" s="63">
        <f t="shared" si="9"/>
        <v>8.2137529795900638E-2</v>
      </c>
      <c r="Q95" s="59">
        <f t="shared" si="10"/>
        <v>0.56172905787748939</v>
      </c>
      <c r="R95" s="59">
        <f t="shared" si="11"/>
        <v>12.174702629660876</v>
      </c>
      <c r="S95" s="59">
        <f t="shared" si="12"/>
        <v>-7.0837513619630377</v>
      </c>
      <c r="T95" s="59">
        <f t="shared" si="13"/>
        <v>4.1216229163464124</v>
      </c>
      <c r="U95" s="23">
        <f t="shared" si="14"/>
        <v>148.22338412067145</v>
      </c>
      <c r="V95" s="59">
        <f t="shared" si="15"/>
        <v>10.848058038473109</v>
      </c>
      <c r="W95" s="59">
        <f t="shared" si="16"/>
        <v>-6.3118540339106808</v>
      </c>
      <c r="AF95" s="59">
        <f t="shared" si="17"/>
        <v>-0.58184183855999072</v>
      </c>
      <c r="AG95" s="59">
        <f t="shared" si="18"/>
        <v>0.56172905787748939</v>
      </c>
      <c r="AH95" s="59">
        <f t="shared" si="19"/>
        <v>0.56172905787748939</v>
      </c>
      <c r="AJ95">
        <f t="shared" si="20"/>
        <v>0.2865964581007599</v>
      </c>
      <c r="AK95">
        <f t="shared" si="21"/>
        <v>3.4892266520908151</v>
      </c>
      <c r="AL95">
        <f t="shared" si="22"/>
        <v>-2.0301780504050408</v>
      </c>
      <c r="AN95" t="str">
        <f t="shared" si="23"/>
        <v>Steingard RJ</v>
      </c>
      <c r="AO95">
        <f t="shared" si="24"/>
        <v>2002</v>
      </c>
      <c r="AP95" t="str">
        <f t="shared" si="25"/>
        <v>Steingard RJ 2002</v>
      </c>
      <c r="AQ95">
        <f t="shared" si="26"/>
        <v>19</v>
      </c>
      <c r="AR95">
        <f t="shared" si="27"/>
        <v>1312</v>
      </c>
      <c r="AS95">
        <f t="shared" si="28"/>
        <v>122</v>
      </c>
      <c r="AT95">
        <f t="shared" si="29"/>
        <v>38</v>
      </c>
      <c r="AU95">
        <f t="shared" si="30"/>
        <v>1382</v>
      </c>
      <c r="AV95">
        <f t="shared" si="31"/>
        <v>117</v>
      </c>
      <c r="AW95" s="65">
        <f t="shared" si="32"/>
        <v>-0.58184183855999072</v>
      </c>
      <c r="AX95">
        <f t="shared" si="33"/>
        <v>0.2865964581007599</v>
      </c>
    </row>
    <row r="96" spans="1:51">
      <c r="E96" t="str">
        <f t="shared" ref="E96:F100" si="37">E33</f>
        <v>Posener JA</v>
      </c>
      <c r="F96">
        <f t="shared" si="37"/>
        <v>2003</v>
      </c>
      <c r="G96">
        <v>24</v>
      </c>
      <c r="H96">
        <f t="shared" ref="H96:I100" si="38">H33</f>
        <v>27</v>
      </c>
      <c r="I96">
        <f t="shared" si="38"/>
        <v>42</v>
      </c>
      <c r="J96">
        <f t="shared" ref="J96:M100" si="39">IF($D$4="Total",T33,IF($D$4="Left",L33,IF($D$4="Right",P33,"error")))</f>
        <v>1002733</v>
      </c>
      <c r="K96">
        <f t="shared" si="39"/>
        <v>130031</v>
      </c>
      <c r="L96">
        <f t="shared" si="39"/>
        <v>992789</v>
      </c>
      <c r="M96">
        <f t="shared" si="39"/>
        <v>105830</v>
      </c>
      <c r="N96">
        <f t="shared" ref="N96:N105" si="40">IF($D$3=1,SQRT((((I96-1)*(M96)^2)+((H96-1)*(K96)^2))/(H96+I96-2)),M96)</f>
        <v>115823.40713383263</v>
      </c>
      <c r="O96" s="59">
        <f t="shared" ref="O96:O105" si="41">IF($D$6=1,LN(J96/L96),IF($D$5=1,(1-3/(4*(H96+I96)-9))*((J96-L96)/N96),(J96-L96)/N96))</f>
        <v>8.4890178127468421E-2</v>
      </c>
      <c r="P96" s="63">
        <f t="shared" ref="P96:P105" si="42">IF($D$6=1,(K96^2)/(H96*J96^2)+(M96^2)/(I96*L96^2),(IF($D$5=1,((H96+I96)/(H96*I96))+(O96*O96)/(2*(H96+I96-3.94)),((H96+I96)/(H96*I96))+((O96^2)/(2*(H96+I96-2))))))</f>
        <v>6.0901943127090456E-2</v>
      </c>
      <c r="Q96" s="59">
        <f t="shared" si="10"/>
        <v>0.48369505343452779</v>
      </c>
      <c r="R96" s="59">
        <f t="shared" ref="R96:R105" si="43">1/P96</f>
        <v>16.419837342680434</v>
      </c>
      <c r="S96" s="59">
        <f t="shared" ref="S96:S105" si="44">O96*R96</f>
        <v>1.3938829168441997</v>
      </c>
      <c r="T96" s="59">
        <f t="shared" ref="T96:T105" si="45">R96*(O96^2)</f>
        <v>0.11832696909973937</v>
      </c>
      <c r="U96" s="23">
        <f t="shared" ref="U96:U105" si="46">R96^2</f>
        <v>269.61105836008289</v>
      </c>
      <c r="V96" s="59">
        <f t="shared" si="15"/>
        <v>14.095066232757018</v>
      </c>
      <c r="W96" s="59">
        <f t="shared" ref="W96:W105" si="47">V96*O96</f>
        <v>1.1965326832172085</v>
      </c>
      <c r="AF96" s="59">
        <f t="shared" ref="AF96:AF105" si="48">IF($D$6=1,100*((EXP(O96))-1),O96)</f>
        <v>8.4890178127468421E-2</v>
      </c>
      <c r="AG96" s="59">
        <f t="shared" ref="AG96:AG105" si="49">IF($D$6=1,100*(EXP(O96+Q96)-EXP(O96)),Q96)</f>
        <v>0.48369505343452779</v>
      </c>
      <c r="AH96" s="59">
        <f t="shared" ref="AH96:AH105" si="50">IF($D$6=1,100*(EXP(O96)-EXP(O96-Q96)),Q96)</f>
        <v>0.48369505343452779</v>
      </c>
      <c r="AJ96">
        <f t="shared" ref="AJ96:AJ105" si="51">SQRT(P96)</f>
        <v>0.2467831905278203</v>
      </c>
      <c r="AK96">
        <f t="shared" si="21"/>
        <v>4.0521398473745247</v>
      </c>
      <c r="AL96">
        <f t="shared" ref="AL96:AL105" si="52">O96/AJ96</f>
        <v>0.34398687344103612</v>
      </c>
      <c r="AN96" t="str">
        <f t="shared" ref="AN96:AO98" si="53">E96</f>
        <v>Posener JA</v>
      </c>
      <c r="AO96">
        <f t="shared" si="53"/>
        <v>2003</v>
      </c>
      <c r="AP96" t="str">
        <f t="shared" ref="AP96:AP105" si="54">CONCATENATE(AN96," ",AO96)</f>
        <v>Posener JA 2003</v>
      </c>
      <c r="AQ96">
        <f t="shared" ref="AQ96:AQ105" si="55">INT(H96)</f>
        <v>27</v>
      </c>
      <c r="AR96">
        <f t="shared" ref="AR96:AS98" si="56">J96</f>
        <v>1002733</v>
      </c>
      <c r="AS96">
        <f t="shared" si="56"/>
        <v>130031</v>
      </c>
      <c r="AT96">
        <f t="shared" ref="AT96:AT105" si="57">INT(I96)</f>
        <v>42</v>
      </c>
      <c r="AU96">
        <f t="shared" ref="AU96:AV98" si="58">L96</f>
        <v>992789</v>
      </c>
      <c r="AV96">
        <f t="shared" si="58"/>
        <v>105830</v>
      </c>
      <c r="AW96" s="65">
        <f t="shared" ref="AW96:AW105" si="59">O96</f>
        <v>8.4890178127468421E-2</v>
      </c>
      <c r="AX96">
        <f t="shared" ref="AX96:AX105" si="60">SQRT(P96)</f>
        <v>0.2467831905278203</v>
      </c>
    </row>
    <row r="97" spans="5:50">
      <c r="E97" t="str">
        <f t="shared" si="37"/>
        <v>Janssen J</v>
      </c>
      <c r="F97">
        <f t="shared" si="37"/>
        <v>2004</v>
      </c>
      <c r="G97">
        <v>23</v>
      </c>
      <c r="H97">
        <f t="shared" si="38"/>
        <v>28</v>
      </c>
      <c r="I97">
        <f t="shared" si="38"/>
        <v>41</v>
      </c>
      <c r="J97">
        <f t="shared" si="39"/>
        <v>980.71</v>
      </c>
      <c r="K97">
        <f t="shared" si="39"/>
        <v>87.91</v>
      </c>
      <c r="L97">
        <f t="shared" si="39"/>
        <v>965.01</v>
      </c>
      <c r="M97">
        <f t="shared" si="39"/>
        <v>107.02</v>
      </c>
      <c r="N97">
        <f t="shared" si="40"/>
        <v>99.760291407909605</v>
      </c>
      <c r="O97" s="59">
        <f t="shared" si="41"/>
        <v>0.15560896311081962</v>
      </c>
      <c r="P97" s="63">
        <f t="shared" si="42"/>
        <v>6.0290620528194339E-2</v>
      </c>
      <c r="Q97" s="59">
        <f t="shared" si="10"/>
        <v>0.48126130929164812</v>
      </c>
      <c r="R97" s="59">
        <f t="shared" si="43"/>
        <v>16.586327877192097</v>
      </c>
      <c r="S97" s="59">
        <f t="shared" si="44"/>
        <v>2.5809812827859444</v>
      </c>
      <c r="T97" s="59">
        <f t="shared" si="45"/>
        <v>0.40162382122275386</v>
      </c>
      <c r="U97" s="23">
        <f t="shared" si="46"/>
        <v>275.10627244971971</v>
      </c>
      <c r="V97" s="59">
        <f t="shared" si="15"/>
        <v>14.217573841893106</v>
      </c>
      <c r="W97" s="59">
        <f t="shared" si="47"/>
        <v>2.2123819234884983</v>
      </c>
      <c r="AF97" s="59">
        <f t="shared" si="48"/>
        <v>0.15560896311081962</v>
      </c>
      <c r="AG97" s="59">
        <f t="shared" si="49"/>
        <v>0.48126130929164812</v>
      </c>
      <c r="AH97" s="59">
        <f t="shared" si="50"/>
        <v>0.48126130929164812</v>
      </c>
      <c r="AJ97">
        <f t="shared" si="51"/>
        <v>0.24554148433247353</v>
      </c>
      <c r="AK97">
        <f t="shared" si="21"/>
        <v>4.0726315665908324</v>
      </c>
      <c r="AL97">
        <f t="shared" si="52"/>
        <v>0.63373797520959241</v>
      </c>
      <c r="AN97" t="str">
        <f t="shared" si="53"/>
        <v>Janssen J</v>
      </c>
      <c r="AO97">
        <f t="shared" si="53"/>
        <v>2004</v>
      </c>
      <c r="AP97" t="str">
        <f t="shared" si="54"/>
        <v>Janssen J 2004</v>
      </c>
      <c r="AQ97">
        <f t="shared" si="55"/>
        <v>28</v>
      </c>
      <c r="AR97">
        <f t="shared" si="56"/>
        <v>980.71</v>
      </c>
      <c r="AS97">
        <f t="shared" si="56"/>
        <v>87.91</v>
      </c>
      <c r="AT97">
        <f t="shared" si="57"/>
        <v>41</v>
      </c>
      <c r="AU97">
        <f t="shared" si="58"/>
        <v>965.01</v>
      </c>
      <c r="AV97">
        <f t="shared" si="58"/>
        <v>107.02</v>
      </c>
      <c r="AW97" s="65">
        <f t="shared" si="59"/>
        <v>0.15560896311081962</v>
      </c>
      <c r="AX97">
        <f t="shared" si="60"/>
        <v>0.24554148433247353</v>
      </c>
    </row>
    <row r="98" spans="5:50">
      <c r="E98" t="str">
        <f t="shared" si="37"/>
        <v>Lange C</v>
      </c>
      <c r="F98">
        <f t="shared" si="37"/>
        <v>2004</v>
      </c>
      <c r="G98">
        <v>22</v>
      </c>
      <c r="H98">
        <f t="shared" si="38"/>
        <v>17</v>
      </c>
      <c r="I98">
        <f t="shared" si="38"/>
        <v>17</v>
      </c>
      <c r="J98">
        <f t="shared" si="39"/>
        <v>1136</v>
      </c>
      <c r="K98">
        <f t="shared" si="39"/>
        <v>97</v>
      </c>
      <c r="L98">
        <f t="shared" si="39"/>
        <v>1132</v>
      </c>
      <c r="M98">
        <f t="shared" si="39"/>
        <v>93</v>
      </c>
      <c r="N98">
        <f t="shared" si="40"/>
        <v>95.02105029939419</v>
      </c>
      <c r="O98" s="59">
        <f t="shared" si="41"/>
        <v>4.1101543276127334E-2</v>
      </c>
      <c r="P98" s="63">
        <f t="shared" si="42"/>
        <v>0.11767515823902641</v>
      </c>
      <c r="Q98" s="59">
        <f t="shared" si="10"/>
        <v>0.672354733671924</v>
      </c>
      <c r="R98" s="59">
        <f t="shared" si="43"/>
        <v>8.4979703020136217</v>
      </c>
      <c r="S98" s="59">
        <f t="shared" si="44"/>
        <v>0.34927969412745774</v>
      </c>
      <c r="T98" s="59">
        <f t="shared" si="45"/>
        <v>1.4355934463652223E-2</v>
      </c>
      <c r="U98" s="23">
        <f t="shared" si="46"/>
        <v>72.215499253905492</v>
      </c>
      <c r="V98" s="59">
        <f t="shared" si="15"/>
        <v>7.8296257092070123</v>
      </c>
      <c r="W98" s="59">
        <f t="shared" si="47"/>
        <v>0.32180969992285119</v>
      </c>
      <c r="AF98" s="59">
        <f t="shared" si="48"/>
        <v>4.1101543276127334E-2</v>
      </c>
      <c r="AG98" s="59">
        <f t="shared" si="49"/>
        <v>0.672354733671924</v>
      </c>
      <c r="AH98" s="59">
        <f t="shared" si="50"/>
        <v>0.672354733671924</v>
      </c>
      <c r="AJ98">
        <f t="shared" si="51"/>
        <v>0.343038129424451</v>
      </c>
      <c r="AK98">
        <f t="shared" si="21"/>
        <v>2.9151278363072901</v>
      </c>
      <c r="AL98">
        <f t="shared" si="52"/>
        <v>0.11981625291942752</v>
      </c>
      <c r="AN98" t="str">
        <f t="shared" si="53"/>
        <v>Lange C</v>
      </c>
      <c r="AO98">
        <f t="shared" si="53"/>
        <v>2004</v>
      </c>
      <c r="AP98" t="str">
        <f t="shared" si="54"/>
        <v>Lange C 2004</v>
      </c>
      <c r="AQ98">
        <f t="shared" si="55"/>
        <v>17</v>
      </c>
      <c r="AR98">
        <f t="shared" si="56"/>
        <v>1136</v>
      </c>
      <c r="AS98">
        <f t="shared" si="56"/>
        <v>97</v>
      </c>
      <c r="AT98">
        <f t="shared" si="57"/>
        <v>17</v>
      </c>
      <c r="AU98">
        <f t="shared" si="58"/>
        <v>1132</v>
      </c>
      <c r="AV98">
        <f t="shared" si="58"/>
        <v>93</v>
      </c>
      <c r="AW98" s="65">
        <f t="shared" si="59"/>
        <v>4.1101543276127334E-2</v>
      </c>
      <c r="AX98">
        <f t="shared" si="60"/>
        <v>0.343038129424451</v>
      </c>
    </row>
    <row r="99" spans="5:50">
      <c r="E99" t="str">
        <f t="shared" si="37"/>
        <v>Lloyd AJ</v>
      </c>
      <c r="F99">
        <f t="shared" si="37"/>
        <v>2004</v>
      </c>
      <c r="G99">
        <v>21</v>
      </c>
      <c r="H99">
        <f t="shared" si="38"/>
        <v>51</v>
      </c>
      <c r="I99">
        <f t="shared" si="38"/>
        <v>39</v>
      </c>
      <c r="J99">
        <f t="shared" si="39"/>
        <v>962.7</v>
      </c>
      <c r="K99">
        <f t="shared" si="39"/>
        <v>96.7</v>
      </c>
      <c r="L99">
        <f t="shared" si="39"/>
        <v>968.9</v>
      </c>
      <c r="M99">
        <f t="shared" si="39"/>
        <v>82.9</v>
      </c>
      <c r="N99">
        <f t="shared" si="40"/>
        <v>90.998006971181923</v>
      </c>
      <c r="O99" s="59">
        <f t="shared" si="41"/>
        <v>-6.7551023935668933E-2</v>
      </c>
      <c r="P99" s="63">
        <f t="shared" si="42"/>
        <v>4.5275380170534535E-2</v>
      </c>
      <c r="Q99" s="59">
        <f t="shared" si="10"/>
        <v>0.41704903843927693</v>
      </c>
      <c r="R99" s="59">
        <f t="shared" si="43"/>
        <v>22.08705915297439</v>
      </c>
      <c r="S99" s="59">
        <f t="shared" si="44"/>
        <v>-1.4920034615111086</v>
      </c>
      <c r="T99" s="59">
        <f t="shared" si="45"/>
        <v>0.1007863615406378</v>
      </c>
      <c r="U99" s="23">
        <f t="shared" si="46"/>
        <v>487.83818202698978</v>
      </c>
      <c r="V99" s="59">
        <f t="shared" si="15"/>
        <v>18.076563924227226</v>
      </c>
      <c r="W99" s="59">
        <f t="shared" si="47"/>
        <v>-1.221090402320123</v>
      </c>
      <c r="AF99" s="59">
        <f t="shared" si="48"/>
        <v>-6.7551023935668933E-2</v>
      </c>
      <c r="AG99" s="59">
        <f t="shared" si="49"/>
        <v>0.41704903843927693</v>
      </c>
      <c r="AH99" s="59">
        <f t="shared" si="50"/>
        <v>0.41704903843927693</v>
      </c>
      <c r="AJ99">
        <f t="shared" si="51"/>
        <v>0.21278012165269231</v>
      </c>
      <c r="AK99">
        <f t="shared" si="21"/>
        <v>4.6996871335201016</v>
      </c>
      <c r="AL99">
        <f t="shared" si="52"/>
        <v>-0.3174686780465717</v>
      </c>
      <c r="AN99" t="str">
        <f t="shared" ref="AN99:AO105" si="61">E99</f>
        <v>Lloyd AJ</v>
      </c>
      <c r="AO99">
        <f t="shared" si="61"/>
        <v>2004</v>
      </c>
      <c r="AP99" t="str">
        <f t="shared" si="54"/>
        <v>Lloyd AJ 2004</v>
      </c>
      <c r="AQ99">
        <f t="shared" si="55"/>
        <v>51</v>
      </c>
      <c r="AR99">
        <f t="shared" ref="AR99:AS105" si="62">J99</f>
        <v>962.7</v>
      </c>
      <c r="AS99">
        <f t="shared" si="62"/>
        <v>96.7</v>
      </c>
      <c r="AT99">
        <f t="shared" si="57"/>
        <v>39</v>
      </c>
      <c r="AU99">
        <f t="shared" ref="AU99:AV105" si="63">L99</f>
        <v>968.9</v>
      </c>
      <c r="AV99">
        <f t="shared" si="63"/>
        <v>82.9</v>
      </c>
      <c r="AW99" s="65">
        <f t="shared" si="59"/>
        <v>-6.7551023935668933E-2</v>
      </c>
      <c r="AX99">
        <f t="shared" si="60"/>
        <v>0.21278012165269231</v>
      </c>
    </row>
    <row r="100" spans="5:50">
      <c r="E100" t="str">
        <f t="shared" si="37"/>
        <v>Vythilingam M</v>
      </c>
      <c r="F100">
        <f t="shared" si="37"/>
        <v>2004</v>
      </c>
      <c r="G100">
        <v>20</v>
      </c>
      <c r="H100">
        <f t="shared" si="38"/>
        <v>38</v>
      </c>
      <c r="I100">
        <f t="shared" si="38"/>
        <v>33</v>
      </c>
      <c r="J100">
        <f t="shared" si="39"/>
        <v>1194407</v>
      </c>
      <c r="K100">
        <f t="shared" si="39"/>
        <v>131457</v>
      </c>
      <c r="L100">
        <f t="shared" si="39"/>
        <v>1239475</v>
      </c>
      <c r="M100">
        <f t="shared" si="39"/>
        <v>120821</v>
      </c>
      <c r="N100">
        <f t="shared" si="40"/>
        <v>126635.48823324552</v>
      </c>
      <c r="O100" s="59">
        <f t="shared" si="41"/>
        <v>-0.35200518995753749</v>
      </c>
      <c r="P100" s="63">
        <f t="shared" si="42"/>
        <v>5.7542676425663526E-2</v>
      </c>
      <c r="Q100" s="59">
        <f t="shared" si="10"/>
        <v>0.47016587047214409</v>
      </c>
      <c r="R100" s="59">
        <f t="shared" si="43"/>
        <v>17.378406117272792</v>
      </c>
      <c r="S100" s="59">
        <f t="shared" si="44"/>
        <v>-6.1172891464698411</v>
      </c>
      <c r="T100" s="59">
        <f t="shared" si="45"/>
        <v>2.1533175280282988</v>
      </c>
      <c r="U100" s="23">
        <f t="shared" si="46"/>
        <v>302.00899917686439</v>
      </c>
      <c r="V100" s="59">
        <f t="shared" si="15"/>
        <v>14.795625590903247</v>
      </c>
      <c r="W100" s="59">
        <f t="shared" si="47"/>
        <v>-5.2081369966665001</v>
      </c>
      <c r="AF100" s="59">
        <f t="shared" si="48"/>
        <v>-0.35200518995753749</v>
      </c>
      <c r="AG100" s="59">
        <f t="shared" si="49"/>
        <v>0.47016587047214409</v>
      </c>
      <c r="AH100" s="59">
        <f t="shared" si="50"/>
        <v>0.47016587047214409</v>
      </c>
      <c r="AJ100">
        <f t="shared" si="51"/>
        <v>0.23988054615925719</v>
      </c>
      <c r="AK100">
        <f t="shared" si="21"/>
        <v>4.1687415507887744</v>
      </c>
      <c r="AL100">
        <f t="shared" si="52"/>
        <v>-1.4674186614692819</v>
      </c>
      <c r="AN100" t="str">
        <f t="shared" si="61"/>
        <v>Vythilingam M</v>
      </c>
      <c r="AO100">
        <f t="shared" si="61"/>
        <v>2004</v>
      </c>
      <c r="AP100" t="str">
        <f t="shared" si="54"/>
        <v>Vythilingam M 2004</v>
      </c>
      <c r="AQ100">
        <f t="shared" si="55"/>
        <v>38</v>
      </c>
      <c r="AR100">
        <f t="shared" si="62"/>
        <v>1194407</v>
      </c>
      <c r="AS100">
        <f t="shared" si="62"/>
        <v>131457</v>
      </c>
      <c r="AT100">
        <f t="shared" si="57"/>
        <v>33</v>
      </c>
      <c r="AU100">
        <f t="shared" si="63"/>
        <v>1239475</v>
      </c>
      <c r="AV100">
        <f t="shared" si="63"/>
        <v>120821</v>
      </c>
      <c r="AW100" s="65">
        <f t="shared" si="59"/>
        <v>-0.35200518995753749</v>
      </c>
      <c r="AX100">
        <f t="shared" si="60"/>
        <v>0.23988054615925719</v>
      </c>
    </row>
    <row r="101" spans="5:50">
      <c r="E101" t="str">
        <f t="shared" ref="E101:F103" si="64">E38</f>
        <v>Weniger G</v>
      </c>
      <c r="F101">
        <f t="shared" si="64"/>
        <v>2006</v>
      </c>
      <c r="G101">
        <v>19</v>
      </c>
      <c r="H101">
        <f t="shared" ref="H101:I103" si="65">H38</f>
        <v>21</v>
      </c>
      <c r="I101">
        <f t="shared" si="65"/>
        <v>23</v>
      </c>
      <c r="J101">
        <f t="shared" ref="J101:M103" si="66">IF($D$4="Total",T38,IF($D$4="Left",L38,IF($D$4="Right",P38,"error")))</f>
        <v>1164</v>
      </c>
      <c r="K101">
        <f t="shared" si="66"/>
        <v>110</v>
      </c>
      <c r="L101">
        <f t="shared" si="66"/>
        <v>1125</v>
      </c>
      <c r="M101">
        <f t="shared" si="66"/>
        <v>108</v>
      </c>
      <c r="N101">
        <f t="shared" si="40"/>
        <v>108.95695961075202</v>
      </c>
      <c r="O101" s="59">
        <f t="shared" si="41"/>
        <v>0.35150945230510405</v>
      </c>
      <c r="P101" s="63">
        <f t="shared" si="42"/>
        <v>9.2639481417467473E-2</v>
      </c>
      <c r="Q101" s="59">
        <f t="shared" si="10"/>
        <v>0.59655999850253372</v>
      </c>
      <c r="R101" s="59">
        <f t="shared" si="43"/>
        <v>10.79453365561961</v>
      </c>
      <c r="S101" s="59">
        <f t="shared" si="44"/>
        <v>3.7943806131758615</v>
      </c>
      <c r="T101" s="59">
        <f t="shared" si="45"/>
        <v>1.3337606511745521</v>
      </c>
      <c r="U101" s="23">
        <f t="shared" si="46"/>
        <v>116.52195684230445</v>
      </c>
      <c r="V101" s="59">
        <f t="shared" si="15"/>
        <v>9.7385824319267069</v>
      </c>
      <c r="W101" s="59">
        <f t="shared" si="47"/>
        <v>3.423203776874665</v>
      </c>
      <c r="AF101" s="59">
        <f t="shared" si="48"/>
        <v>0.35150945230510405</v>
      </c>
      <c r="AG101" s="59">
        <f t="shared" si="49"/>
        <v>0.59655999850253372</v>
      </c>
      <c r="AH101" s="59">
        <f t="shared" si="50"/>
        <v>0.59655999850253372</v>
      </c>
      <c r="AJ101">
        <f t="shared" si="51"/>
        <v>0.30436734617476213</v>
      </c>
      <c r="AK101">
        <f t="shared" si="21"/>
        <v>3.2855035619550934</v>
      </c>
      <c r="AL101">
        <f t="shared" si="52"/>
        <v>1.1548855576093033</v>
      </c>
      <c r="AN101" t="str">
        <f t="shared" si="61"/>
        <v>Weniger G</v>
      </c>
      <c r="AO101">
        <f t="shared" si="61"/>
        <v>2006</v>
      </c>
      <c r="AP101" t="str">
        <f t="shared" si="54"/>
        <v>Weniger G 2006</v>
      </c>
      <c r="AQ101">
        <f t="shared" si="55"/>
        <v>21</v>
      </c>
      <c r="AR101">
        <f t="shared" si="62"/>
        <v>1164</v>
      </c>
      <c r="AS101">
        <f t="shared" si="62"/>
        <v>110</v>
      </c>
      <c r="AT101">
        <f t="shared" si="57"/>
        <v>23</v>
      </c>
      <c r="AU101">
        <f t="shared" si="63"/>
        <v>1125</v>
      </c>
      <c r="AV101">
        <f t="shared" si="63"/>
        <v>108</v>
      </c>
      <c r="AW101" s="65">
        <f t="shared" si="59"/>
        <v>0.35150945230510405</v>
      </c>
      <c r="AX101">
        <f t="shared" si="60"/>
        <v>0.30436734617476213</v>
      </c>
    </row>
    <row r="102" spans="5:50">
      <c r="E102" t="str">
        <f t="shared" si="64"/>
        <v>Velakoulis D</v>
      </c>
      <c r="F102">
        <f t="shared" si="64"/>
        <v>2006</v>
      </c>
      <c r="G102">
        <v>18</v>
      </c>
      <c r="H102">
        <f t="shared" si="65"/>
        <v>12</v>
      </c>
      <c r="I102">
        <f t="shared" si="65"/>
        <v>87</v>
      </c>
      <c r="J102">
        <f t="shared" si="66"/>
        <v>1270088</v>
      </c>
      <c r="K102">
        <f t="shared" si="66"/>
        <v>92578</v>
      </c>
      <c r="L102">
        <f t="shared" si="66"/>
        <v>1360533</v>
      </c>
      <c r="M102">
        <f t="shared" si="66"/>
        <v>139845</v>
      </c>
      <c r="N102">
        <f t="shared" si="40"/>
        <v>135317.38990636854</v>
      </c>
      <c r="O102" s="59">
        <f t="shared" si="41"/>
        <v>-0.66321022029089971</v>
      </c>
      <c r="P102" s="63">
        <f t="shared" si="42"/>
        <v>9.7141113433376156E-2</v>
      </c>
      <c r="Q102" s="59">
        <f t="shared" si="10"/>
        <v>0.6108823956913948</v>
      </c>
      <c r="R102" s="59">
        <f t="shared" si="43"/>
        <v>10.294302429278268</v>
      </c>
      <c r="S102" s="59">
        <f t="shared" si="44"/>
        <v>-6.8272865818627846</v>
      </c>
      <c r="T102" s="59">
        <f t="shared" si="45"/>
        <v>4.5279262379463212</v>
      </c>
      <c r="U102" s="23">
        <f t="shared" si="46"/>
        <v>105.97266250544445</v>
      </c>
      <c r="V102" s="59">
        <f t="shared" si="15"/>
        <v>9.3295782512284422</v>
      </c>
      <c r="W102" s="59">
        <f t="shared" si="47"/>
        <v>-6.1874716472184019</v>
      </c>
      <c r="AF102" s="59">
        <f t="shared" si="48"/>
        <v>-0.66321022029089971</v>
      </c>
      <c r="AG102" s="59">
        <f t="shared" si="49"/>
        <v>0.6108823956913948</v>
      </c>
      <c r="AH102" s="59">
        <f t="shared" si="50"/>
        <v>0.6108823956913948</v>
      </c>
      <c r="AJ102">
        <f t="shared" si="51"/>
        <v>0.31167469167928308</v>
      </c>
      <c r="AK102">
        <f t="shared" si="21"/>
        <v>3.2084735356985985</v>
      </c>
      <c r="AL102">
        <f t="shared" si="52"/>
        <v>-2.1278924404081896</v>
      </c>
      <c r="AN102" t="str">
        <f t="shared" si="61"/>
        <v>Velakoulis D</v>
      </c>
      <c r="AO102">
        <f t="shared" si="61"/>
        <v>2006</v>
      </c>
      <c r="AP102" t="str">
        <f t="shared" si="54"/>
        <v>Velakoulis D 2006</v>
      </c>
      <c r="AQ102">
        <f t="shared" si="55"/>
        <v>12</v>
      </c>
      <c r="AR102">
        <f t="shared" si="62"/>
        <v>1270088</v>
      </c>
      <c r="AS102">
        <f t="shared" si="62"/>
        <v>92578</v>
      </c>
      <c r="AT102">
        <f t="shared" si="57"/>
        <v>87</v>
      </c>
      <c r="AU102">
        <f t="shared" si="63"/>
        <v>1360533</v>
      </c>
      <c r="AV102">
        <f t="shared" si="63"/>
        <v>139845</v>
      </c>
      <c r="AW102" s="65">
        <f t="shared" si="59"/>
        <v>-0.66321022029089971</v>
      </c>
      <c r="AX102">
        <f t="shared" si="60"/>
        <v>0.31167469167928308</v>
      </c>
    </row>
    <row r="103" spans="5:50">
      <c r="E103" t="str">
        <f t="shared" si="64"/>
        <v>Caetano SC</v>
      </c>
      <c r="F103">
        <f t="shared" si="64"/>
        <v>2007</v>
      </c>
      <c r="G103">
        <v>17</v>
      </c>
      <c r="H103">
        <f t="shared" si="65"/>
        <v>19</v>
      </c>
      <c r="I103">
        <f t="shared" si="65"/>
        <v>24</v>
      </c>
      <c r="J103">
        <f t="shared" si="66"/>
        <v>1282</v>
      </c>
      <c r="K103">
        <f t="shared" si="66"/>
        <v>125.87</v>
      </c>
      <c r="L103">
        <f t="shared" si="66"/>
        <v>1248.51</v>
      </c>
      <c r="M103">
        <f t="shared" si="66"/>
        <v>124.82</v>
      </c>
      <c r="N103">
        <f t="shared" si="40"/>
        <v>125.28205927270574</v>
      </c>
      <c r="O103" s="59">
        <f t="shared" si="41"/>
        <v>0.26239686530331308</v>
      </c>
      <c r="P103" s="63">
        <f t="shared" si="42"/>
        <v>9.5179609092286566E-2</v>
      </c>
      <c r="Q103" s="59">
        <f t="shared" si="10"/>
        <v>0.60468337689151663</v>
      </c>
      <c r="R103" s="59">
        <f t="shared" si="43"/>
        <v>10.506452059814572</v>
      </c>
      <c r="S103" s="59">
        <f t="shared" si="44"/>
        <v>2.7568600859548806</v>
      </c>
      <c r="T103" s="59">
        <f t="shared" si="45"/>
        <v>0.72339144463438287</v>
      </c>
      <c r="U103" s="23">
        <f t="shared" si="46"/>
        <v>110.38553488518187</v>
      </c>
      <c r="V103" s="59">
        <f t="shared" si="15"/>
        <v>9.5034922374862543</v>
      </c>
      <c r="W103" s="59">
        <f t="shared" si="47"/>
        <v>2.4936865725507622</v>
      </c>
      <c r="AF103" s="59">
        <f t="shared" si="48"/>
        <v>0.26239686530331308</v>
      </c>
      <c r="AG103" s="59">
        <f t="shared" si="49"/>
        <v>0.60468337689151663</v>
      </c>
      <c r="AH103" s="59">
        <f t="shared" si="50"/>
        <v>0.60468337689151663</v>
      </c>
      <c r="AJ103">
        <f t="shared" si="51"/>
        <v>0.3085119269854677</v>
      </c>
      <c r="AK103">
        <f t="shared" si="21"/>
        <v>3.2413657707538306</v>
      </c>
      <c r="AL103">
        <f t="shared" si="52"/>
        <v>0.85052421754726248</v>
      </c>
      <c r="AN103" t="str">
        <f t="shared" si="61"/>
        <v>Caetano SC</v>
      </c>
      <c r="AO103">
        <f t="shared" si="61"/>
        <v>2007</v>
      </c>
      <c r="AP103" t="str">
        <f t="shared" si="54"/>
        <v>Caetano SC 2007</v>
      </c>
      <c r="AQ103">
        <f t="shared" si="55"/>
        <v>19</v>
      </c>
      <c r="AR103">
        <f t="shared" si="62"/>
        <v>1282</v>
      </c>
      <c r="AS103">
        <f t="shared" si="62"/>
        <v>125.87</v>
      </c>
      <c r="AT103">
        <f t="shared" si="57"/>
        <v>24</v>
      </c>
      <c r="AU103">
        <f t="shared" si="63"/>
        <v>1248.51</v>
      </c>
      <c r="AV103">
        <f t="shared" si="63"/>
        <v>124.82</v>
      </c>
      <c r="AW103" s="65">
        <f t="shared" si="59"/>
        <v>0.26239686530331308</v>
      </c>
      <c r="AX103">
        <f t="shared" si="60"/>
        <v>0.3085119269854677</v>
      </c>
    </row>
    <row r="104" spans="5:50">
      <c r="E104" t="str">
        <f t="shared" ref="E104:F107" si="67">E41</f>
        <v>Maller JJ</v>
      </c>
      <c r="F104">
        <f t="shared" si="67"/>
        <v>2007</v>
      </c>
      <c r="G104">
        <v>16</v>
      </c>
      <c r="H104">
        <f t="shared" ref="H104:I107" si="68">H41</f>
        <v>22</v>
      </c>
      <c r="I104">
        <f t="shared" si="68"/>
        <v>13</v>
      </c>
      <c r="J104">
        <f t="shared" ref="J104:M105" si="69">IF($D$4="Total",T41,IF($D$4="Left",L41,IF($D$4="Right",P41,"error")))</f>
        <v>1.2569999999999999</v>
      </c>
      <c r="K104">
        <f t="shared" si="69"/>
        <v>8.5800000000000001E-2</v>
      </c>
      <c r="L104">
        <f t="shared" si="69"/>
        <v>1.2270000000000001</v>
      </c>
      <c r="M104">
        <f t="shared" si="69"/>
        <v>0.12939999999999999</v>
      </c>
      <c r="N104">
        <f t="shared" si="40"/>
        <v>0.10379565589088099</v>
      </c>
      <c r="O104" s="59">
        <f t="shared" si="41"/>
        <v>0.28241044239898438</v>
      </c>
      <c r="P104" s="63">
        <f t="shared" si="42"/>
        <v>0.12366151899668211</v>
      </c>
      <c r="Q104" s="59">
        <f t="shared" si="10"/>
        <v>0.68924458023088875</v>
      </c>
      <c r="R104" s="59">
        <f t="shared" si="43"/>
        <v>8.0865899765215605</v>
      </c>
      <c r="S104" s="59">
        <f t="shared" si="44"/>
        <v>2.2837374527686465</v>
      </c>
      <c r="T104" s="59">
        <f t="shared" si="45"/>
        <v>0.64495130435952319</v>
      </c>
      <c r="U104" s="23">
        <f t="shared" si="46"/>
        <v>65.392937448378973</v>
      </c>
      <c r="V104" s="59">
        <f t="shared" si="15"/>
        <v>7.4790742868607119</v>
      </c>
      <c r="W104" s="59">
        <f t="shared" si="47"/>
        <v>2.1121686780872024</v>
      </c>
      <c r="AF104" s="59">
        <f t="shared" si="48"/>
        <v>0.28241044239898438</v>
      </c>
      <c r="AG104" s="59">
        <f t="shared" si="49"/>
        <v>0.68924458023088875</v>
      </c>
      <c r="AH104" s="59">
        <f t="shared" si="50"/>
        <v>0.68924458023088875</v>
      </c>
      <c r="AJ104">
        <f t="shared" si="51"/>
        <v>0.35165539807698404</v>
      </c>
      <c r="AK104">
        <f t="shared" si="21"/>
        <v>2.8436930172790382</v>
      </c>
      <c r="AL104">
        <f t="shared" si="52"/>
        <v>0.80308860305667595</v>
      </c>
      <c r="AN104" t="str">
        <f t="shared" si="61"/>
        <v>Maller JJ</v>
      </c>
      <c r="AO104">
        <f t="shared" si="61"/>
        <v>2007</v>
      </c>
      <c r="AP104" t="str">
        <f t="shared" si="54"/>
        <v>Maller JJ 2007</v>
      </c>
      <c r="AQ104">
        <f t="shared" si="55"/>
        <v>22</v>
      </c>
      <c r="AR104">
        <f t="shared" si="62"/>
        <v>1.2569999999999999</v>
      </c>
      <c r="AS104">
        <f t="shared" si="62"/>
        <v>8.5800000000000001E-2</v>
      </c>
      <c r="AT104">
        <f t="shared" si="57"/>
        <v>13</v>
      </c>
      <c r="AU104">
        <f t="shared" si="63"/>
        <v>1.2270000000000001</v>
      </c>
      <c r="AV104">
        <f t="shared" si="63"/>
        <v>0.12939999999999999</v>
      </c>
      <c r="AW104" s="65">
        <f t="shared" si="59"/>
        <v>0.28241044239898438</v>
      </c>
      <c r="AX104">
        <f t="shared" si="60"/>
        <v>0.35165539807698404</v>
      </c>
    </row>
    <row r="105" spans="5:50">
      <c r="E105" t="str">
        <f t="shared" si="67"/>
        <v>Maller JJ</v>
      </c>
      <c r="F105">
        <f t="shared" si="67"/>
        <v>2007</v>
      </c>
      <c r="G105">
        <v>15</v>
      </c>
      <c r="H105">
        <f t="shared" si="68"/>
        <v>23</v>
      </c>
      <c r="I105">
        <f t="shared" si="68"/>
        <v>17</v>
      </c>
      <c r="J105">
        <f t="shared" si="69"/>
        <v>1.1299999999999999</v>
      </c>
      <c r="K105">
        <f t="shared" si="69"/>
        <v>9.8100000000000007E-2</v>
      </c>
      <c r="L105">
        <f t="shared" si="69"/>
        <v>1.1919999999999999</v>
      </c>
      <c r="M105">
        <f t="shared" si="69"/>
        <v>9.6699999999999994E-2</v>
      </c>
      <c r="N105">
        <f t="shared" si="40"/>
        <v>9.7512976194534182E-2</v>
      </c>
      <c r="O105" s="59">
        <f t="shared" si="41"/>
        <v>-0.62318077339060907</v>
      </c>
      <c r="P105" s="63">
        <f t="shared" si="42"/>
        <v>0.10768662495026667</v>
      </c>
      <c r="Q105" s="59">
        <f t="shared" si="10"/>
        <v>0.64318655023946536</v>
      </c>
      <c r="R105" s="59">
        <f t="shared" si="43"/>
        <v>9.2862043031048085</v>
      </c>
      <c r="S105" s="59">
        <f t="shared" si="44"/>
        <v>-5.7869839794720566</v>
      </c>
      <c r="T105" s="59">
        <f t="shared" si="45"/>
        <v>3.6063371519264606</v>
      </c>
      <c r="U105" s="23">
        <f t="shared" si="46"/>
        <v>86.233590359002264</v>
      </c>
      <c r="V105" s="59">
        <f t="shared" si="15"/>
        <v>8.4939040187894843</v>
      </c>
      <c r="W105" s="59">
        <f t="shared" si="47"/>
        <v>-5.2932376755348329</v>
      </c>
      <c r="AF105" s="59">
        <f t="shared" si="48"/>
        <v>-0.62318077339060907</v>
      </c>
      <c r="AG105" s="59">
        <f t="shared" si="49"/>
        <v>0.64318655023946536</v>
      </c>
      <c r="AH105" s="59">
        <f t="shared" si="50"/>
        <v>0.64318655023946536</v>
      </c>
      <c r="AJ105">
        <f t="shared" si="51"/>
        <v>0.32815640318340072</v>
      </c>
      <c r="AK105">
        <f t="shared" si="21"/>
        <v>3.0473274033330928</v>
      </c>
      <c r="AL105">
        <f t="shared" si="52"/>
        <v>-1.8990358479835132</v>
      </c>
      <c r="AN105" t="str">
        <f t="shared" si="61"/>
        <v>Maller JJ</v>
      </c>
      <c r="AO105">
        <f t="shared" si="61"/>
        <v>2007</v>
      </c>
      <c r="AP105" t="str">
        <f t="shared" si="54"/>
        <v>Maller JJ 2007</v>
      </c>
      <c r="AQ105">
        <f t="shared" si="55"/>
        <v>23</v>
      </c>
      <c r="AR105">
        <f t="shared" si="62"/>
        <v>1.1299999999999999</v>
      </c>
      <c r="AS105">
        <f t="shared" si="62"/>
        <v>9.8100000000000007E-2</v>
      </c>
      <c r="AT105">
        <f t="shared" si="57"/>
        <v>17</v>
      </c>
      <c r="AU105">
        <f t="shared" si="63"/>
        <v>1.1919999999999999</v>
      </c>
      <c r="AV105">
        <f t="shared" si="63"/>
        <v>9.6699999999999994E-2</v>
      </c>
      <c r="AW105" s="65">
        <f t="shared" si="59"/>
        <v>-0.62318077339060907</v>
      </c>
      <c r="AX105">
        <f t="shared" si="60"/>
        <v>0.32815640318340072</v>
      </c>
    </row>
    <row r="106" spans="5:50">
      <c r="E106" t="str">
        <f t="shared" si="67"/>
        <v>Taylor WD</v>
      </c>
      <c r="F106">
        <f t="shared" si="67"/>
        <v>2007</v>
      </c>
      <c r="G106">
        <v>14</v>
      </c>
      <c r="H106">
        <f t="shared" si="68"/>
        <v>226</v>
      </c>
      <c r="I106">
        <f t="shared" si="68"/>
        <v>144</v>
      </c>
      <c r="J106">
        <f t="shared" ref="J106:M107" si="70">IF($D$4="Total",T43,IF($D$4="Left",L43,IF($D$4="Right",P43,"error")))</f>
        <v>1149.2</v>
      </c>
      <c r="K106">
        <f t="shared" si="70"/>
        <v>134.4</v>
      </c>
      <c r="L106">
        <f t="shared" si="70"/>
        <v>1138.8</v>
      </c>
      <c r="M106">
        <f t="shared" si="70"/>
        <v>119.9</v>
      </c>
      <c r="N106">
        <f t="shared" ref="N106:N111" si="71">IF($D$3=1,SQRT((((I106-1)*(M106)^2)+((H106-1)*(K106)^2))/(H106+I106-2)),M106)</f>
        <v>128.95931097004808</v>
      </c>
      <c r="O106" s="59">
        <f t="shared" ref="O106:O111" si="72">IF($D$6=1,LN(J106/L106),IF($D$5=1,(1-3/(4*(H106+I106)-9))*((J106-L106)/N106),(J106-L106)/N106))</f>
        <v>8.0481121221466417E-2</v>
      </c>
      <c r="P106" s="63">
        <f t="shared" ref="P106:P111" si="73">IF($D$6=1,(K106^2)/(H106*J106^2)+(M106^2)/(I106*L106^2),(IF($D$5=1,((H106+I106)/(H106*I106))+(O106*O106)/(2*(H106+I106-3.94)),((H106+I106)/(H106*I106))+((O106^2)/(2*(H106+I106-2))))))</f>
        <v>1.1378070403879696E-2</v>
      </c>
      <c r="Q106" s="59">
        <f t="shared" si="10"/>
        <v>0.20906935515169181</v>
      </c>
      <c r="R106" s="59">
        <f t="shared" ref="R106:R111" si="74">1/P106</f>
        <v>87.888364591154215</v>
      </c>
      <c r="S106" s="59">
        <f t="shared" ref="S106:S111" si="75">O106*R106</f>
        <v>7.0733541246171194</v>
      </c>
      <c r="T106" s="59">
        <f t="shared" ref="T106:T111" si="76">R106*(O106^2)</f>
        <v>0.56927147074566986</v>
      </c>
      <c r="U106" s="23">
        <f t="shared" ref="U106:U111" si="77">R106^2</f>
        <v>7724.36463050765</v>
      </c>
      <c r="V106" s="59">
        <f t="shared" si="15"/>
        <v>46.678937652640592</v>
      </c>
      <c r="W106" s="59">
        <f t="shared" ref="W106:W111" si="78">V106*O106</f>
        <v>3.7567732397114404</v>
      </c>
      <c r="AF106" s="59">
        <f t="shared" ref="AF106:AF111" si="79">IF($D$6=1,100*((EXP(O106))-1),O106)</f>
        <v>8.0481121221466417E-2</v>
      </c>
      <c r="AG106" s="59">
        <f t="shared" ref="AG106:AG111" si="80">IF($D$6=1,100*(EXP(O106+Q106)-EXP(O106)),Q106)</f>
        <v>0.20906935515169181</v>
      </c>
      <c r="AH106" s="59">
        <f t="shared" ref="AH106:AH111" si="81">IF($D$6=1,100*(EXP(O106)-EXP(O106-Q106)),Q106)</f>
        <v>0.20906935515169181</v>
      </c>
      <c r="AJ106">
        <f t="shared" ref="AJ106:AJ111" si="82">SQRT(P106)</f>
        <v>0.1066680383426999</v>
      </c>
      <c r="AK106">
        <f t="shared" si="21"/>
        <v>9.3748794440864263</v>
      </c>
      <c r="AL106">
        <f t="shared" ref="AL106:AL111" si="83">O106/AJ106</f>
        <v>0.75450080897615335</v>
      </c>
      <c r="AN106" t="str">
        <f t="shared" ref="AN106:AO108" si="84">E106</f>
        <v>Taylor WD</v>
      </c>
      <c r="AO106">
        <f t="shared" si="84"/>
        <v>2007</v>
      </c>
      <c r="AP106" t="str">
        <f t="shared" ref="AP106:AP111" si="85">CONCATENATE(AN106," ",AO106)</f>
        <v>Taylor WD 2007</v>
      </c>
      <c r="AQ106">
        <f t="shared" ref="AQ106:AQ111" si="86">INT(H106)</f>
        <v>226</v>
      </c>
      <c r="AR106">
        <f t="shared" ref="AR106:AS108" si="87">J106</f>
        <v>1149.2</v>
      </c>
      <c r="AS106">
        <f t="shared" si="87"/>
        <v>134.4</v>
      </c>
      <c r="AT106">
        <f t="shared" ref="AT106:AT111" si="88">INT(I106)</f>
        <v>144</v>
      </c>
      <c r="AU106">
        <f t="shared" ref="AU106:AV108" si="89">L106</f>
        <v>1138.8</v>
      </c>
      <c r="AV106">
        <f t="shared" si="89"/>
        <v>119.9</v>
      </c>
      <c r="AW106" s="65">
        <f t="shared" ref="AW106:AW111" si="90">O106</f>
        <v>8.0481121221466417E-2</v>
      </c>
      <c r="AX106">
        <f t="shared" ref="AX106:AX111" si="91">SQRT(P106)</f>
        <v>0.1066680383426999</v>
      </c>
    </row>
    <row r="107" spans="5:50">
      <c r="E107" t="str">
        <f t="shared" si="67"/>
        <v>Ballmaier M (B)</v>
      </c>
      <c r="F107">
        <f t="shared" si="67"/>
        <v>2008</v>
      </c>
      <c r="G107">
        <v>13</v>
      </c>
      <c r="H107">
        <f t="shared" si="68"/>
        <v>46</v>
      </c>
      <c r="I107">
        <f t="shared" si="68"/>
        <v>34</v>
      </c>
      <c r="J107">
        <f t="shared" si="70"/>
        <v>1295.68</v>
      </c>
      <c r="K107">
        <f t="shared" si="70"/>
        <v>129.61000000000001</v>
      </c>
      <c r="L107">
        <f t="shared" si="70"/>
        <v>1286.93</v>
      </c>
      <c r="M107">
        <f t="shared" si="70"/>
        <v>138.72</v>
      </c>
      <c r="N107">
        <f t="shared" si="71"/>
        <v>133.54009825632036</v>
      </c>
      <c r="O107" s="59">
        <f t="shared" si="72"/>
        <v>6.489133203026777E-2</v>
      </c>
      <c r="P107" s="63">
        <f t="shared" si="73"/>
        <v>5.1178576477587535E-2</v>
      </c>
      <c r="Q107" s="59">
        <f t="shared" si="10"/>
        <v>0.44340457755451768</v>
      </c>
      <c r="R107" s="59">
        <f t="shared" si="74"/>
        <v>19.539425846241087</v>
      </c>
      <c r="S107" s="59">
        <f t="shared" si="75"/>
        <v>1.2679393702692263</v>
      </c>
      <c r="T107" s="59">
        <f t="shared" si="76"/>
        <v>8.2278274670388979E-2</v>
      </c>
      <c r="U107" s="23">
        <f t="shared" si="77"/>
        <v>381.78916240075426</v>
      </c>
      <c r="V107" s="59">
        <f t="shared" si="15"/>
        <v>16.333612240608637</v>
      </c>
      <c r="W107" s="59">
        <f t="shared" si="78"/>
        <v>1.059909855158981</v>
      </c>
      <c r="AF107" s="59">
        <f t="shared" si="79"/>
        <v>6.489133203026777E-2</v>
      </c>
      <c r="AG107" s="59">
        <f t="shared" si="80"/>
        <v>0.44340457755451768</v>
      </c>
      <c r="AH107" s="59">
        <f t="shared" si="81"/>
        <v>0.44340457755451768</v>
      </c>
      <c r="AJ107">
        <f t="shared" si="82"/>
        <v>0.22622682528291718</v>
      </c>
      <c r="AK107">
        <f t="shared" si="21"/>
        <v>4.4203422770460987</v>
      </c>
      <c r="AL107">
        <f t="shared" si="83"/>
        <v>0.28684189838722823</v>
      </c>
      <c r="AN107" t="str">
        <f t="shared" si="84"/>
        <v>Ballmaier M (B)</v>
      </c>
      <c r="AO107">
        <f t="shared" si="84"/>
        <v>2008</v>
      </c>
      <c r="AP107" t="str">
        <f t="shared" si="85"/>
        <v>Ballmaier M (B) 2008</v>
      </c>
      <c r="AQ107">
        <f t="shared" si="86"/>
        <v>46</v>
      </c>
      <c r="AR107">
        <f t="shared" si="87"/>
        <v>1295.68</v>
      </c>
      <c r="AS107">
        <f t="shared" si="87"/>
        <v>129.61000000000001</v>
      </c>
      <c r="AT107">
        <f t="shared" si="88"/>
        <v>34</v>
      </c>
      <c r="AU107">
        <f t="shared" si="89"/>
        <v>1286.93</v>
      </c>
      <c r="AV107">
        <f t="shared" si="89"/>
        <v>138.72</v>
      </c>
      <c r="AW107" s="65">
        <f t="shared" si="90"/>
        <v>6.489133203026777E-2</v>
      </c>
      <c r="AX107">
        <f t="shared" si="91"/>
        <v>0.22622682528291718</v>
      </c>
    </row>
    <row r="108" spans="5:50">
      <c r="E108" t="str">
        <f t="shared" ref="E108:F111" si="92">E45</f>
        <v>Lenze SN</v>
      </c>
      <c r="F108">
        <f t="shared" si="92"/>
        <v>2008</v>
      </c>
      <c r="G108">
        <v>12</v>
      </c>
      <c r="H108">
        <f t="shared" ref="H108:I111" si="93">H45</f>
        <v>31</v>
      </c>
      <c r="I108">
        <f t="shared" si="93"/>
        <v>24</v>
      </c>
      <c r="J108">
        <f t="shared" ref="J108:M109" si="94">IF($D$4="Total",T45,IF($D$4="Left",L45,IF($D$4="Right",P45,"error")))</f>
        <v>1018</v>
      </c>
      <c r="K108">
        <f t="shared" si="94"/>
        <v>148</v>
      </c>
      <c r="L108">
        <f t="shared" si="94"/>
        <v>1005</v>
      </c>
      <c r="M108">
        <f t="shared" si="94"/>
        <v>109</v>
      </c>
      <c r="N108">
        <f t="shared" si="71"/>
        <v>132.4930044433105</v>
      </c>
      <c r="O108" s="59">
        <f t="shared" si="72"/>
        <v>9.6723339701006245E-2</v>
      </c>
      <c r="P108" s="63">
        <f t="shared" si="73"/>
        <v>7.4016343055523043E-2</v>
      </c>
      <c r="Q108" s="59">
        <f t="shared" si="10"/>
        <v>0.53323651739363964</v>
      </c>
      <c r="R108" s="59">
        <f t="shared" si="74"/>
        <v>13.510529684638085</v>
      </c>
      <c r="S108" s="59">
        <f t="shared" si="75"/>
        <v>1.3067835522277782</v>
      </c>
      <c r="T108" s="59">
        <f t="shared" si="76"/>
        <v>0.12639646943781502</v>
      </c>
      <c r="U108" s="23">
        <f t="shared" si="77"/>
        <v>182.53441235948688</v>
      </c>
      <c r="V108" s="59">
        <f t="shared" si="15"/>
        <v>11.89609320393677</v>
      </c>
      <c r="W108" s="59">
        <f t="shared" si="78"/>
        <v>1.1506298640792081</v>
      </c>
      <c r="AF108" s="59">
        <f t="shared" si="79"/>
        <v>9.6723339701006245E-2</v>
      </c>
      <c r="AG108" s="59">
        <f t="shared" si="80"/>
        <v>0.53323651739363964</v>
      </c>
      <c r="AH108" s="59">
        <f t="shared" si="81"/>
        <v>0.53323651739363964</v>
      </c>
      <c r="AJ108">
        <f t="shared" si="82"/>
        <v>0.27205944764981616</v>
      </c>
      <c r="AK108">
        <f t="shared" si="21"/>
        <v>3.6756672434590816</v>
      </c>
      <c r="AL108">
        <f t="shared" si="83"/>
        <v>0.35552281141695397</v>
      </c>
      <c r="AN108" t="str">
        <f t="shared" si="84"/>
        <v>Lenze SN</v>
      </c>
      <c r="AO108">
        <f t="shared" si="84"/>
        <v>2008</v>
      </c>
      <c r="AP108" t="str">
        <f t="shared" si="85"/>
        <v>Lenze SN 2008</v>
      </c>
      <c r="AQ108">
        <f t="shared" si="86"/>
        <v>31</v>
      </c>
      <c r="AR108">
        <f t="shared" si="87"/>
        <v>1018</v>
      </c>
      <c r="AS108">
        <f t="shared" si="87"/>
        <v>148</v>
      </c>
      <c r="AT108">
        <f t="shared" si="88"/>
        <v>24</v>
      </c>
      <c r="AU108">
        <f t="shared" si="89"/>
        <v>1005</v>
      </c>
      <c r="AV108">
        <f t="shared" si="89"/>
        <v>109</v>
      </c>
      <c r="AW108" s="65">
        <f t="shared" si="90"/>
        <v>9.6723339701006245E-2</v>
      </c>
      <c r="AX108">
        <f t="shared" si="91"/>
        <v>0.27205944764981616</v>
      </c>
    </row>
    <row r="109" spans="5:50">
      <c r="E109" t="str">
        <f t="shared" si="92"/>
        <v>Matsuo K</v>
      </c>
      <c r="F109">
        <f t="shared" si="92"/>
        <v>2008</v>
      </c>
      <c r="G109">
        <v>11</v>
      </c>
      <c r="H109">
        <f t="shared" si="93"/>
        <v>27</v>
      </c>
      <c r="I109">
        <f t="shared" si="93"/>
        <v>26</v>
      </c>
      <c r="J109">
        <f t="shared" si="94"/>
        <v>1205.9000000000001</v>
      </c>
      <c r="K109">
        <f t="shared" si="94"/>
        <v>139.4</v>
      </c>
      <c r="L109">
        <f t="shared" si="94"/>
        <v>1183.5</v>
      </c>
      <c r="M109">
        <f t="shared" si="94"/>
        <v>120.2</v>
      </c>
      <c r="N109">
        <f t="shared" si="71"/>
        <v>130.34211093254913</v>
      </c>
      <c r="O109" s="59">
        <f t="shared" si="72"/>
        <v>0.16931569819873457</v>
      </c>
      <c r="P109" s="63">
        <f t="shared" si="73"/>
        <v>7.5790746367476083E-2</v>
      </c>
      <c r="Q109" s="59">
        <f t="shared" si="10"/>
        <v>0.53959033650103116</v>
      </c>
      <c r="R109" s="59">
        <f t="shared" si="74"/>
        <v>13.194222882453731</v>
      </c>
      <c r="S109" s="59">
        <f t="shared" si="75"/>
        <v>2.2339890595323735</v>
      </c>
      <c r="T109" s="59">
        <f t="shared" si="76"/>
        <v>0.37824941738305828</v>
      </c>
      <c r="U109" s="23">
        <f t="shared" si="77"/>
        <v>174.08751747186565</v>
      </c>
      <c r="V109" s="59">
        <f t="shared" si="15"/>
        <v>11.650175849374733</v>
      </c>
      <c r="W109" s="59">
        <f t="shared" si="78"/>
        <v>1.9725576580749185</v>
      </c>
      <c r="AF109" s="59">
        <f t="shared" si="79"/>
        <v>0.16931569819873457</v>
      </c>
      <c r="AG109" s="59">
        <f t="shared" si="80"/>
        <v>0.53959033650103116</v>
      </c>
      <c r="AH109" s="59">
        <f t="shared" si="81"/>
        <v>0.53959033650103116</v>
      </c>
      <c r="AJ109">
        <f t="shared" si="82"/>
        <v>0.27530119209236287</v>
      </c>
      <c r="AK109">
        <f t="shared" si="21"/>
        <v>3.6323852882718448</v>
      </c>
      <c r="AL109">
        <f t="shared" si="83"/>
        <v>0.61501985121055913</v>
      </c>
      <c r="AN109" t="str">
        <f t="shared" ref="AN109:AO111" si="95">E109</f>
        <v>Matsuo K</v>
      </c>
      <c r="AO109">
        <f t="shared" si="95"/>
        <v>2008</v>
      </c>
      <c r="AP109" t="str">
        <f t="shared" si="85"/>
        <v>Matsuo K 2008</v>
      </c>
      <c r="AQ109">
        <f t="shared" si="86"/>
        <v>27</v>
      </c>
      <c r="AR109">
        <f t="shared" ref="AR109:AS111" si="96">J109</f>
        <v>1205.9000000000001</v>
      </c>
      <c r="AS109">
        <f t="shared" si="96"/>
        <v>139.4</v>
      </c>
      <c r="AT109">
        <f t="shared" si="88"/>
        <v>26</v>
      </c>
      <c r="AU109">
        <f t="shared" ref="AU109:AV111" si="97">L109</f>
        <v>1183.5</v>
      </c>
      <c r="AV109">
        <f t="shared" si="97"/>
        <v>120.2</v>
      </c>
      <c r="AW109" s="65">
        <f t="shared" si="90"/>
        <v>0.16931569819873457</v>
      </c>
      <c r="AX109">
        <f t="shared" si="91"/>
        <v>0.27530119209236287</v>
      </c>
    </row>
    <row r="110" spans="5:50">
      <c r="E110" t="str">
        <f t="shared" si="92"/>
        <v>Andreescu C</v>
      </c>
      <c r="F110">
        <f t="shared" si="92"/>
        <v>2008</v>
      </c>
      <c r="G110">
        <v>10</v>
      </c>
      <c r="H110">
        <f t="shared" si="93"/>
        <v>71</v>
      </c>
      <c r="I110">
        <f t="shared" si="93"/>
        <v>32</v>
      </c>
      <c r="J110">
        <f t="shared" ref="J110:M111" si="98">IF($D$4="Total",T47,IF($D$4="Left",L47,IF($D$4="Right",P47,"error")))</f>
        <v>518236.03</v>
      </c>
      <c r="K110">
        <f t="shared" si="98"/>
        <v>63063.89</v>
      </c>
      <c r="L110">
        <f t="shared" si="98"/>
        <v>515438.44</v>
      </c>
      <c r="M110">
        <f t="shared" si="98"/>
        <v>61121.120000000003</v>
      </c>
      <c r="N110">
        <f t="shared" si="71"/>
        <v>62474.020433917634</v>
      </c>
      <c r="O110" s="59">
        <f t="shared" si="72"/>
        <v>4.4446703585008476E-2</v>
      </c>
      <c r="P110" s="63">
        <f t="shared" si="73"/>
        <v>4.5344478319558054E-2</v>
      </c>
      <c r="Q110" s="59">
        <f t="shared" si="10"/>
        <v>0.41736716199578305</v>
      </c>
      <c r="R110" s="59">
        <f t="shared" si="74"/>
        <v>22.05340180457382</v>
      </c>
      <c r="S110" s="59">
        <f t="shared" si="75"/>
        <v>0.98020101304898366</v>
      </c>
      <c r="T110" s="59">
        <f t="shared" si="76"/>
        <v>4.3566703880713195E-2</v>
      </c>
      <c r="U110" s="23">
        <f t="shared" si="77"/>
        <v>486.35253115397984</v>
      </c>
      <c r="V110" s="59">
        <f t="shared" si="15"/>
        <v>18.054013430426384</v>
      </c>
      <c r="W110" s="59">
        <f t="shared" si="78"/>
        <v>0.80244138346192351</v>
      </c>
      <c r="AF110" s="59">
        <f t="shared" si="79"/>
        <v>4.4446703585008476E-2</v>
      </c>
      <c r="AG110" s="59">
        <f t="shared" si="80"/>
        <v>0.41736716199578305</v>
      </c>
      <c r="AH110" s="59">
        <f t="shared" si="81"/>
        <v>0.41736716199578305</v>
      </c>
      <c r="AJ110">
        <f t="shared" si="82"/>
        <v>0.21294242958968523</v>
      </c>
      <c r="AK110">
        <f t="shared" si="21"/>
        <v>4.6961049609834982</v>
      </c>
      <c r="AL110">
        <f t="shared" si="83"/>
        <v>0.20872638520492132</v>
      </c>
      <c r="AN110" t="str">
        <f t="shared" si="95"/>
        <v>Andreescu C</v>
      </c>
      <c r="AO110">
        <f t="shared" si="95"/>
        <v>2008</v>
      </c>
      <c r="AP110" t="str">
        <f t="shared" si="85"/>
        <v>Andreescu C 2008</v>
      </c>
      <c r="AQ110">
        <f t="shared" si="86"/>
        <v>71</v>
      </c>
      <c r="AR110">
        <f t="shared" si="96"/>
        <v>518236.03</v>
      </c>
      <c r="AS110">
        <f t="shared" si="96"/>
        <v>63063.89</v>
      </c>
      <c r="AT110">
        <f t="shared" si="88"/>
        <v>32</v>
      </c>
      <c r="AU110">
        <f t="shared" si="97"/>
        <v>515438.44</v>
      </c>
      <c r="AV110">
        <f t="shared" si="97"/>
        <v>61121.120000000003</v>
      </c>
      <c r="AW110" s="65">
        <f t="shared" si="90"/>
        <v>4.4446703585008476E-2</v>
      </c>
      <c r="AX110">
        <f t="shared" si="91"/>
        <v>0.21294242958968523</v>
      </c>
    </row>
    <row r="111" spans="5:50">
      <c r="E111" t="str">
        <f t="shared" si="92"/>
        <v>Lorenzetti V</v>
      </c>
      <c r="F111">
        <f t="shared" si="92"/>
        <v>2009</v>
      </c>
      <c r="G111">
        <v>9</v>
      </c>
      <c r="H111">
        <f t="shared" si="93"/>
        <v>31</v>
      </c>
      <c r="I111">
        <f t="shared" si="93"/>
        <v>16.5</v>
      </c>
      <c r="J111">
        <f t="shared" si="98"/>
        <v>1237176</v>
      </c>
      <c r="K111">
        <f t="shared" si="98"/>
        <v>124113.14780000001</v>
      </c>
      <c r="L111">
        <f t="shared" si="98"/>
        <v>1250567</v>
      </c>
      <c r="M111">
        <f t="shared" si="98"/>
        <v>141214.81640000001</v>
      </c>
      <c r="N111">
        <f t="shared" si="71"/>
        <v>130191.52260964182</v>
      </c>
      <c r="O111" s="59">
        <f t="shared" si="72"/>
        <v>-0.10115136116229448</v>
      </c>
      <c r="P111" s="63">
        <f t="shared" si="73"/>
        <v>9.2981567705580193E-2</v>
      </c>
      <c r="Q111" s="59">
        <f t="shared" si="10"/>
        <v>0.59766043076127839</v>
      </c>
      <c r="R111" s="59">
        <f t="shared" si="74"/>
        <v>10.754819741977592</v>
      </c>
      <c r="S111" s="59">
        <f t="shared" si="75"/>
        <v>-1.08786465595615</v>
      </c>
      <c r="T111" s="59">
        <f t="shared" si="76"/>
        <v>0.11003899071031577</v>
      </c>
      <c r="U111" s="23">
        <f t="shared" si="77"/>
        <v>115.66614768243095</v>
      </c>
      <c r="V111" s="59">
        <f t="shared" si="15"/>
        <v>9.7062466969571179</v>
      </c>
      <c r="W111" s="59">
        <f t="shared" si="78"/>
        <v>-0.98180006517423724</v>
      </c>
      <c r="AF111" s="59">
        <f t="shared" si="79"/>
        <v>-0.10115136116229448</v>
      </c>
      <c r="AG111" s="59">
        <f t="shared" si="80"/>
        <v>0.59766043076127839</v>
      </c>
      <c r="AH111" s="59">
        <f t="shared" si="81"/>
        <v>0.59766043076127839</v>
      </c>
      <c r="AJ111">
        <f t="shared" si="82"/>
        <v>0.30492879120473387</v>
      </c>
      <c r="AK111">
        <f t="shared" si="21"/>
        <v>3.2794541835460351</v>
      </c>
      <c r="AL111">
        <f t="shared" si="83"/>
        <v>-0.33172125453506257</v>
      </c>
      <c r="AN111" t="str">
        <f t="shared" si="95"/>
        <v>Lorenzetti V</v>
      </c>
      <c r="AO111">
        <f t="shared" si="95"/>
        <v>2009</v>
      </c>
      <c r="AP111" t="str">
        <f t="shared" si="85"/>
        <v>Lorenzetti V 2009</v>
      </c>
      <c r="AQ111">
        <f t="shared" si="86"/>
        <v>31</v>
      </c>
      <c r="AR111">
        <f t="shared" si="96"/>
        <v>1237176</v>
      </c>
      <c r="AS111">
        <f t="shared" si="96"/>
        <v>124113.14780000001</v>
      </c>
      <c r="AT111">
        <f t="shared" si="88"/>
        <v>16</v>
      </c>
      <c r="AU111">
        <f t="shared" si="97"/>
        <v>1250567</v>
      </c>
      <c r="AV111">
        <f t="shared" si="97"/>
        <v>141214.81640000001</v>
      </c>
      <c r="AW111" s="65">
        <f t="shared" si="90"/>
        <v>-0.10115136116229448</v>
      </c>
      <c r="AX111">
        <f t="shared" si="91"/>
        <v>0.30492879120473387</v>
      </c>
    </row>
    <row r="112" spans="5:50">
      <c r="E112" t="str">
        <f t="shared" ref="E112:F115" si="99">E49</f>
        <v>Lorenzetti V</v>
      </c>
      <c r="F112">
        <f t="shared" si="99"/>
        <v>2009</v>
      </c>
      <c r="G112">
        <v>8</v>
      </c>
      <c r="H112">
        <f t="shared" ref="H112:I115" si="100">H49</f>
        <v>31</v>
      </c>
      <c r="I112">
        <f t="shared" si="100"/>
        <v>16.5</v>
      </c>
      <c r="J112">
        <f t="shared" ref="J112:M113" si="101">IF($D$4="Total",T49,IF($D$4="Left",L49,IF($D$4="Right",P49,"error")))</f>
        <v>1232334</v>
      </c>
      <c r="K112">
        <f t="shared" si="101"/>
        <v>132954.97717999999</v>
      </c>
      <c r="L112">
        <f t="shared" si="101"/>
        <v>1250567</v>
      </c>
      <c r="M112">
        <f t="shared" si="101"/>
        <v>141214.81640000001</v>
      </c>
      <c r="N112">
        <f t="shared" ref="N112:N119" si="102">IF($D$3=1,SQRT((((I112-1)*(M112)^2)+((H112-1)*(K112)^2))/(H112+I112-2)),M112)</f>
        <v>135825.19118149325</v>
      </c>
      <c r="O112" s="59">
        <f t="shared" ref="O112:O119" si="103">IF($D$6=1,LN(J112/L112),IF($D$5=1,(1-3/(4*(H112+I112)-9))*((J112-L112)/N112),(J112-L112)/N112))</f>
        <v>-0.13201377023022842</v>
      </c>
      <c r="P112" s="63">
        <f t="shared" ref="P112:P119" si="104">IF($D$6=1,(K112^2)/(H112*J112^2)+(M112^2)/(I112*L112^2),(IF($D$5=1,((H112+I112)/(H112*I112))+(O112*O112)/(2*(H112+I112-3.94)),((H112+I112)/(H112*I112))+((O112^2)/(2*(H112+I112-2))))))</f>
        <v>9.3064166852336552E-2</v>
      </c>
      <c r="Q112" s="59">
        <f t="shared" si="10"/>
        <v>0.59792583434731783</v>
      </c>
      <c r="R112" s="59">
        <f t="shared" ref="R112:R119" si="105">1/P112</f>
        <v>10.745274296461325</v>
      </c>
      <c r="S112" s="59">
        <f t="shared" ref="S112:S119" si="106">O112*R112</f>
        <v>-1.4185241720338246</v>
      </c>
      <c r="T112" s="59">
        <f t="shared" ref="T112:T119" si="107">R112*(O112^2)</f>
        <v>0.18726472411289835</v>
      </c>
      <c r="U112" s="23">
        <f t="shared" ref="U112:U119" si="108">R112^2</f>
        <v>115.46091970619243</v>
      </c>
      <c r="V112" s="59">
        <f t="shared" si="15"/>
        <v>9.6984711640221217</v>
      </c>
      <c r="W112" s="59">
        <f t="shared" ref="W112:W119" si="109">V112*O112</f>
        <v>-1.2803317438317123</v>
      </c>
      <c r="AF112" s="59">
        <f t="shared" ref="AF112:AF119" si="110">IF($D$6=1,100*((EXP(O112))-1),O112)</f>
        <v>-0.13201377023022842</v>
      </c>
      <c r="AG112" s="59">
        <f t="shared" ref="AG112:AG119" si="111">IF($D$6=1,100*(EXP(O112+Q112)-EXP(O112)),Q112)</f>
        <v>0.59792583434731783</v>
      </c>
      <c r="AH112" s="59">
        <f t="shared" ref="AH112:AH119" si="112">IF($D$6=1,100*(EXP(O112)-EXP(O112-Q112)),Q112)</f>
        <v>0.59792583434731783</v>
      </c>
      <c r="AJ112">
        <f t="shared" ref="AJ112:AJ119" si="113">SQRT(P112)</f>
        <v>0.30506420119761113</v>
      </c>
      <c r="AK112">
        <f t="shared" si="21"/>
        <v>3.2779985198991968</v>
      </c>
      <c r="AL112">
        <f t="shared" ref="AL112:AL119" si="114">O112/AJ112</f>
        <v>-0.43274094342100139</v>
      </c>
      <c r="AN112" t="str">
        <f t="shared" ref="AN112:AO114" si="115">E112</f>
        <v>Lorenzetti V</v>
      </c>
      <c r="AO112">
        <f t="shared" si="115"/>
        <v>2009</v>
      </c>
      <c r="AP112" t="str">
        <f t="shared" ref="AP112:AP119" si="116">CONCATENATE(AN112," ",AO112)</f>
        <v>Lorenzetti V 2009</v>
      </c>
      <c r="AQ112">
        <f t="shared" ref="AQ112:AQ119" si="117">INT(H112)</f>
        <v>31</v>
      </c>
      <c r="AR112">
        <f t="shared" ref="AR112:AS114" si="118">J112</f>
        <v>1232334</v>
      </c>
      <c r="AS112">
        <f t="shared" si="118"/>
        <v>132954.97717999999</v>
      </c>
      <c r="AT112">
        <f t="shared" ref="AT112:AT119" si="119">INT(I112)</f>
        <v>16</v>
      </c>
      <c r="AU112">
        <f t="shared" ref="AU112:AV114" si="120">L112</f>
        <v>1250567</v>
      </c>
      <c r="AV112">
        <f t="shared" si="120"/>
        <v>141214.81640000001</v>
      </c>
      <c r="AW112" s="65">
        <f t="shared" ref="AW112:AW119" si="121">O112</f>
        <v>-0.13201377023022842</v>
      </c>
      <c r="AX112">
        <f t="shared" ref="AX112:AX119" si="122">SQRT(P112)</f>
        <v>0.30506420119761113</v>
      </c>
    </row>
    <row r="113" spans="5:50">
      <c r="E113" t="str">
        <f t="shared" si="99"/>
        <v>van Eijndhoven P</v>
      </c>
      <c r="F113">
        <f t="shared" si="99"/>
        <v>2009</v>
      </c>
      <c r="G113">
        <v>7</v>
      </c>
      <c r="H113">
        <f t="shared" si="100"/>
        <v>20</v>
      </c>
      <c r="I113">
        <f t="shared" si="100"/>
        <v>10</v>
      </c>
      <c r="J113">
        <f t="shared" si="101"/>
        <v>1171</v>
      </c>
      <c r="K113">
        <f t="shared" si="101"/>
        <v>106</v>
      </c>
      <c r="L113">
        <f t="shared" si="101"/>
        <v>1214</v>
      </c>
      <c r="M113">
        <f t="shared" si="101"/>
        <v>99</v>
      </c>
      <c r="N113">
        <f t="shared" si="102"/>
        <v>103.80149324552129</v>
      </c>
      <c r="O113" s="59">
        <f t="shared" si="103"/>
        <v>-0.40305622327492879</v>
      </c>
      <c r="P113" s="63">
        <f t="shared" si="104"/>
        <v>0.15311692860937545</v>
      </c>
      <c r="Q113" s="59">
        <f t="shared" si="10"/>
        <v>0.76695110205656303</v>
      </c>
      <c r="R113" s="59">
        <f t="shared" si="105"/>
        <v>6.530956498945665</v>
      </c>
      <c r="S113" s="59">
        <f t="shared" si="106"/>
        <v>-2.632342660837891</v>
      </c>
      <c r="T113" s="59">
        <f t="shared" si="107"/>
        <v>1.0609820912427972</v>
      </c>
      <c r="U113" s="23">
        <f t="shared" si="108"/>
        <v>42.653392791120616</v>
      </c>
      <c r="V113" s="59">
        <f t="shared" si="15"/>
        <v>6.12888569248745</v>
      </c>
      <c r="W113" s="59">
        <f t="shared" si="109"/>
        <v>-2.4702855200977383</v>
      </c>
      <c r="AF113" s="59">
        <f t="shared" si="110"/>
        <v>-0.40305622327492879</v>
      </c>
      <c r="AG113" s="59">
        <f t="shared" si="111"/>
        <v>0.76695110205656303</v>
      </c>
      <c r="AH113" s="59">
        <f t="shared" si="112"/>
        <v>0.76695110205656303</v>
      </c>
      <c r="AJ113">
        <f t="shared" si="113"/>
        <v>0.39130158268191995</v>
      </c>
      <c r="AK113">
        <f t="shared" si="21"/>
        <v>2.5555736144642096</v>
      </c>
      <c r="AL113">
        <f t="shared" si="114"/>
        <v>-1.0300398493470033</v>
      </c>
      <c r="AN113" t="str">
        <f t="shared" si="115"/>
        <v>van Eijndhoven P</v>
      </c>
      <c r="AO113">
        <f t="shared" si="115"/>
        <v>2009</v>
      </c>
      <c r="AP113" t="str">
        <f t="shared" si="116"/>
        <v>van Eijndhoven P 2009</v>
      </c>
      <c r="AQ113">
        <f t="shared" si="117"/>
        <v>20</v>
      </c>
      <c r="AR113">
        <f t="shared" si="118"/>
        <v>1171</v>
      </c>
      <c r="AS113">
        <f t="shared" si="118"/>
        <v>106</v>
      </c>
      <c r="AT113">
        <f t="shared" si="119"/>
        <v>10</v>
      </c>
      <c r="AU113">
        <f t="shared" si="120"/>
        <v>1214</v>
      </c>
      <c r="AV113">
        <f t="shared" si="120"/>
        <v>99</v>
      </c>
      <c r="AW113" s="65">
        <f t="shared" si="121"/>
        <v>-0.40305622327492879</v>
      </c>
      <c r="AX113">
        <f t="shared" si="122"/>
        <v>0.39130158268191995</v>
      </c>
    </row>
    <row r="114" spans="5:50">
      <c r="E114" t="str">
        <f t="shared" si="99"/>
        <v>van Eijndhoven P</v>
      </c>
      <c r="F114">
        <f t="shared" si="99"/>
        <v>2009</v>
      </c>
      <c r="G114">
        <v>6</v>
      </c>
      <c r="H114">
        <f t="shared" si="100"/>
        <v>20</v>
      </c>
      <c r="I114">
        <f t="shared" si="100"/>
        <v>10</v>
      </c>
      <c r="J114">
        <f>IF($D$4="Total",T51,IF($D$4="Left",L51,IF($D$4="Right",P51,"error")))</f>
        <v>1203</v>
      </c>
      <c r="K114">
        <f>IF($D$4="Total",U51,IF($D$4="Left",M51,IF($D$4="Right",Q51,"error")))</f>
        <v>112</v>
      </c>
      <c r="L114">
        <f>IF($D$4="Total",V51,IF($D$4="Left",N51,IF($D$4="Right",R51,"error")))</f>
        <v>1214</v>
      </c>
      <c r="M114">
        <f>IF($D$4="Total",W51,IF($D$4="Left",O51,IF($D$4="Right",S51,"error")))</f>
        <v>99</v>
      </c>
      <c r="N114">
        <f t="shared" si="102"/>
        <v>107.9922285563708</v>
      </c>
      <c r="O114" s="59">
        <f t="shared" si="103"/>
        <v>-9.9106230566544926E-2</v>
      </c>
      <c r="P114" s="63">
        <f t="shared" si="104"/>
        <v>0.15018845059357461</v>
      </c>
      <c r="Q114" s="59">
        <f t="shared" si="10"/>
        <v>0.75958143197439754</v>
      </c>
      <c r="R114" s="59">
        <f t="shared" si="105"/>
        <v>6.6583015940826424</v>
      </c>
      <c r="S114" s="59">
        <f t="shared" si="106"/>
        <v>-0.65987917296474796</v>
      </c>
      <c r="T114" s="59">
        <f t="shared" si="107"/>
        <v>6.5398137461905287E-2</v>
      </c>
      <c r="U114" s="23">
        <f t="shared" si="108"/>
        <v>44.332980117763455</v>
      </c>
      <c r="V114" s="59">
        <f t="shared" si="15"/>
        <v>6.240899268589855</v>
      </c>
      <c r="W114" s="59">
        <f t="shared" si="109"/>
        <v>-0.61851200185544775</v>
      </c>
      <c r="AF114" s="59">
        <f t="shared" si="110"/>
        <v>-9.9106230566544926E-2</v>
      </c>
      <c r="AG114" s="59">
        <f t="shared" si="111"/>
        <v>0.75958143197439754</v>
      </c>
      <c r="AH114" s="59">
        <f t="shared" si="112"/>
        <v>0.75958143197439754</v>
      </c>
      <c r="AJ114">
        <f t="shared" si="113"/>
        <v>0.38754154692571302</v>
      </c>
      <c r="AK114">
        <f t="shared" si="21"/>
        <v>2.5803684996687277</v>
      </c>
      <c r="AL114">
        <f t="shared" si="114"/>
        <v>-0.25573059547481852</v>
      </c>
      <c r="AN114" t="str">
        <f t="shared" si="115"/>
        <v>van Eijndhoven P</v>
      </c>
      <c r="AO114">
        <f t="shared" si="115"/>
        <v>2009</v>
      </c>
      <c r="AP114" t="str">
        <f t="shared" si="116"/>
        <v>van Eijndhoven P 2009</v>
      </c>
      <c r="AQ114">
        <f t="shared" si="117"/>
        <v>20</v>
      </c>
      <c r="AR114">
        <f t="shared" si="118"/>
        <v>1203</v>
      </c>
      <c r="AS114">
        <f t="shared" si="118"/>
        <v>112</v>
      </c>
      <c r="AT114">
        <f t="shared" si="119"/>
        <v>10</v>
      </c>
      <c r="AU114">
        <f t="shared" si="120"/>
        <v>1214</v>
      </c>
      <c r="AV114">
        <f t="shared" si="120"/>
        <v>99</v>
      </c>
      <c r="AW114" s="65">
        <f t="shared" si="121"/>
        <v>-9.9106230566544926E-2</v>
      </c>
      <c r="AX114">
        <f t="shared" si="122"/>
        <v>0.38754154692571302</v>
      </c>
    </row>
    <row r="115" spans="5:50">
      <c r="E115" t="str">
        <f t="shared" si="99"/>
        <v>Kronenberg G</v>
      </c>
      <c r="F115">
        <f t="shared" si="99"/>
        <v>2009</v>
      </c>
      <c r="G115">
        <v>5</v>
      </c>
      <c r="H115">
        <f t="shared" si="100"/>
        <v>24</v>
      </c>
      <c r="I115">
        <f t="shared" si="100"/>
        <v>14</v>
      </c>
      <c r="J115">
        <f t="shared" ref="J115:M119" si="123">IF($D$4="Total",T52,IF($D$4="Left",L52,IF($D$4="Right",P52,"error")))</f>
        <v>1057.5</v>
      </c>
      <c r="K115">
        <f t="shared" si="123"/>
        <v>96.1</v>
      </c>
      <c r="L115">
        <f t="shared" si="123"/>
        <v>1096.7</v>
      </c>
      <c r="M115">
        <f t="shared" si="123"/>
        <v>113.5</v>
      </c>
      <c r="N115">
        <f t="shared" si="102"/>
        <v>102.72388557033202</v>
      </c>
      <c r="O115" s="59">
        <f t="shared" si="103"/>
        <v>-0.37359979292592471</v>
      </c>
      <c r="P115" s="63">
        <f t="shared" si="104"/>
        <v>0.11514422231828997</v>
      </c>
      <c r="Q115" s="59">
        <f t="shared" si="10"/>
        <v>0.66508499040193558</v>
      </c>
      <c r="R115" s="59">
        <f t="shared" si="105"/>
        <v>8.6847605539054129</v>
      </c>
      <c r="S115" s="59">
        <f t="shared" si="106"/>
        <v>-3.2446247445503014</v>
      </c>
      <c r="T115" s="59">
        <f t="shared" si="107"/>
        <v>1.2121911326863242</v>
      </c>
      <c r="U115" s="23">
        <f t="shared" si="108"/>
        <v>75.425065878671461</v>
      </c>
      <c r="V115" s="59">
        <f t="shared" si="15"/>
        <v>7.9879165069404756</v>
      </c>
      <c r="W115" s="59">
        <f t="shared" si="109"/>
        <v>-2.9842839529025373</v>
      </c>
      <c r="AF115" s="59">
        <f t="shared" si="110"/>
        <v>-0.37359979292592471</v>
      </c>
      <c r="AG115" s="59">
        <f t="shared" si="111"/>
        <v>0.66508499040193558</v>
      </c>
      <c r="AH115" s="59">
        <f t="shared" si="112"/>
        <v>0.66508499040193558</v>
      </c>
      <c r="AJ115">
        <f t="shared" si="113"/>
        <v>0.33932907673568141</v>
      </c>
      <c r="AK115">
        <f t="shared" si="21"/>
        <v>2.9469917804271888</v>
      </c>
      <c r="AL115">
        <f t="shared" si="114"/>
        <v>-1.100995518922</v>
      </c>
      <c r="AN115" t="str">
        <f t="shared" ref="AN115:AO119" si="124">E115</f>
        <v>Kronenberg G</v>
      </c>
      <c r="AO115">
        <f t="shared" si="124"/>
        <v>2009</v>
      </c>
      <c r="AP115" t="str">
        <f t="shared" si="116"/>
        <v>Kronenberg G 2009</v>
      </c>
      <c r="AQ115">
        <f t="shared" si="117"/>
        <v>24</v>
      </c>
      <c r="AR115">
        <f t="shared" ref="AR115:AS119" si="125">J115</f>
        <v>1057.5</v>
      </c>
      <c r="AS115">
        <f t="shared" si="125"/>
        <v>96.1</v>
      </c>
      <c r="AT115">
        <f t="shared" si="119"/>
        <v>14</v>
      </c>
      <c r="AU115">
        <f t="shared" ref="AU115:AV119" si="126">L115</f>
        <v>1096.7</v>
      </c>
      <c r="AV115">
        <f t="shared" si="126"/>
        <v>113.5</v>
      </c>
      <c r="AW115" s="65">
        <f t="shared" si="121"/>
        <v>-0.37359979292592471</v>
      </c>
      <c r="AX115">
        <f t="shared" si="122"/>
        <v>0.33932907673568141</v>
      </c>
    </row>
    <row r="116" spans="5:50">
      <c r="E116" t="str">
        <f t="shared" ref="E116:F119" si="127">E53</f>
        <v>Exner C</v>
      </c>
      <c r="F116">
        <f t="shared" si="127"/>
        <v>2009</v>
      </c>
      <c r="G116">
        <v>4</v>
      </c>
      <c r="H116">
        <f t="shared" ref="H116:I119" si="128">H53</f>
        <v>26</v>
      </c>
      <c r="I116">
        <f t="shared" si="128"/>
        <v>13</v>
      </c>
      <c r="J116">
        <f t="shared" si="123"/>
        <v>1207</v>
      </c>
      <c r="K116">
        <f t="shared" si="123"/>
        <v>130</v>
      </c>
      <c r="L116">
        <f t="shared" si="123"/>
        <v>1212</v>
      </c>
      <c r="M116">
        <f t="shared" si="123"/>
        <v>131</v>
      </c>
      <c r="N116">
        <f t="shared" si="102"/>
        <v>130.3251650628099</v>
      </c>
      <c r="O116" s="59">
        <f t="shared" si="103"/>
        <v>-3.7582604873839291E-2</v>
      </c>
      <c r="P116" s="63">
        <f t="shared" si="104"/>
        <v>0.1154047587415621</v>
      </c>
      <c r="Q116" s="59">
        <f t="shared" si="10"/>
        <v>0.66583700796935652</v>
      </c>
      <c r="R116" s="59">
        <f t="shared" si="105"/>
        <v>8.6651539408301534</v>
      </c>
      <c r="S116" s="59">
        <f t="shared" si="106"/>
        <v>-0.32565905672921108</v>
      </c>
      <c r="T116" s="59">
        <f t="shared" si="107"/>
        <v>1.2239115652641153E-2</v>
      </c>
      <c r="U116" s="23">
        <f t="shared" si="108"/>
        <v>75.084892818284345</v>
      </c>
      <c r="V116" s="59">
        <f t="shared" si="15"/>
        <v>7.9713270339198274</v>
      </c>
      <c r="W116" s="59">
        <f t="shared" si="109"/>
        <v>-0.29958323423596223</v>
      </c>
      <c r="AF116" s="59">
        <f t="shared" si="110"/>
        <v>-3.7582604873839291E-2</v>
      </c>
      <c r="AG116" s="59">
        <f t="shared" si="111"/>
        <v>0.66583700796935652</v>
      </c>
      <c r="AH116" s="59">
        <f t="shared" si="112"/>
        <v>0.66583700796935652</v>
      </c>
      <c r="AJ116">
        <f t="shared" si="113"/>
        <v>0.33971275916803906</v>
      </c>
      <c r="AK116">
        <f t="shared" si="21"/>
        <v>2.9436633538552184</v>
      </c>
      <c r="AL116">
        <f t="shared" si="114"/>
        <v>-0.11063053670954125</v>
      </c>
      <c r="AN116" t="str">
        <f t="shared" si="124"/>
        <v>Exner C</v>
      </c>
      <c r="AO116">
        <f t="shared" si="124"/>
        <v>2009</v>
      </c>
      <c r="AP116" t="str">
        <f t="shared" si="116"/>
        <v>Exner C 2009</v>
      </c>
      <c r="AQ116">
        <f t="shared" si="117"/>
        <v>26</v>
      </c>
      <c r="AR116">
        <f t="shared" si="125"/>
        <v>1207</v>
      </c>
      <c r="AS116">
        <f t="shared" si="125"/>
        <v>130</v>
      </c>
      <c r="AT116">
        <f t="shared" si="119"/>
        <v>13</v>
      </c>
      <c r="AU116">
        <f t="shared" si="126"/>
        <v>1212</v>
      </c>
      <c r="AV116">
        <f t="shared" si="126"/>
        <v>131</v>
      </c>
      <c r="AW116" s="65">
        <f t="shared" si="121"/>
        <v>-3.7582604873839291E-2</v>
      </c>
      <c r="AX116">
        <f t="shared" si="122"/>
        <v>0.33971275916803906</v>
      </c>
    </row>
    <row r="117" spans="5:50">
      <c r="E117" t="str">
        <f t="shared" si="127"/>
        <v>Exner C</v>
      </c>
      <c r="F117">
        <f t="shared" si="127"/>
        <v>2009</v>
      </c>
      <c r="G117">
        <v>3</v>
      </c>
      <c r="H117">
        <f t="shared" si="128"/>
        <v>9</v>
      </c>
      <c r="I117">
        <f t="shared" si="128"/>
        <v>13</v>
      </c>
      <c r="J117">
        <f t="shared" si="123"/>
        <v>1233</v>
      </c>
      <c r="K117">
        <f t="shared" si="123"/>
        <v>127</v>
      </c>
      <c r="L117">
        <f t="shared" si="123"/>
        <v>1212</v>
      </c>
      <c r="M117">
        <f t="shared" si="123"/>
        <v>131</v>
      </c>
      <c r="N117">
        <f t="shared" si="102"/>
        <v>129.41483686193018</v>
      </c>
      <c r="O117" s="59">
        <f t="shared" si="103"/>
        <v>0.15610676592764441</v>
      </c>
      <c r="P117" s="63">
        <f t="shared" si="104"/>
        <v>0.18870886473320211</v>
      </c>
      <c r="Q117" s="59">
        <f t="shared" si="10"/>
        <v>0.85143641850643736</v>
      </c>
      <c r="R117" s="59">
        <f t="shared" si="105"/>
        <v>5.2991681202354055</v>
      </c>
      <c r="S117" s="59">
        <f t="shared" si="106"/>
        <v>0.82723599735682385</v>
      </c>
      <c r="T117" s="59">
        <f t="shared" si="107"/>
        <v>0.12913713620630318</v>
      </c>
      <c r="U117" s="23">
        <f t="shared" si="108"/>
        <v>28.081182766519241</v>
      </c>
      <c r="V117" s="59">
        <f t="shared" si="15"/>
        <v>5.0313520501216811</v>
      </c>
      <c r="W117" s="59">
        <f t="shared" si="109"/>
        <v>0.78542809678791914</v>
      </c>
      <c r="AF117" s="59">
        <f t="shared" si="110"/>
        <v>0.15610676592764441</v>
      </c>
      <c r="AG117" s="59">
        <f t="shared" si="111"/>
        <v>0.85143641850643736</v>
      </c>
      <c r="AH117" s="59">
        <f t="shared" si="112"/>
        <v>0.85143641850643736</v>
      </c>
      <c r="AJ117">
        <f t="shared" si="113"/>
        <v>0.43440633597267214</v>
      </c>
      <c r="AK117">
        <f t="shared" si="21"/>
        <v>2.301992206814655</v>
      </c>
      <c r="AL117">
        <f t="shared" si="114"/>
        <v>0.35935655859647697</v>
      </c>
      <c r="AN117" t="str">
        <f t="shared" si="124"/>
        <v>Exner C</v>
      </c>
      <c r="AO117">
        <f t="shared" si="124"/>
        <v>2009</v>
      </c>
      <c r="AP117" t="str">
        <f t="shared" si="116"/>
        <v>Exner C 2009</v>
      </c>
      <c r="AQ117">
        <f t="shared" si="117"/>
        <v>9</v>
      </c>
      <c r="AR117">
        <f t="shared" si="125"/>
        <v>1233</v>
      </c>
      <c r="AS117">
        <f t="shared" si="125"/>
        <v>127</v>
      </c>
      <c r="AT117">
        <f t="shared" si="119"/>
        <v>13</v>
      </c>
      <c r="AU117">
        <f t="shared" si="126"/>
        <v>1212</v>
      </c>
      <c r="AV117">
        <f t="shared" si="126"/>
        <v>131</v>
      </c>
      <c r="AW117" s="65">
        <f t="shared" si="121"/>
        <v>0.15610676592764441</v>
      </c>
      <c r="AX117">
        <f t="shared" si="122"/>
        <v>0.43440633597267214</v>
      </c>
    </row>
    <row r="118" spans="5:50">
      <c r="E118" t="str">
        <f t="shared" si="127"/>
        <v>Kaymak SU</v>
      </c>
      <c r="F118">
        <f t="shared" si="127"/>
        <v>2009</v>
      </c>
      <c r="G118">
        <v>2</v>
      </c>
      <c r="H118">
        <f t="shared" si="128"/>
        <v>20</v>
      </c>
      <c r="I118">
        <f t="shared" si="128"/>
        <v>15</v>
      </c>
      <c r="J118">
        <f t="shared" si="123"/>
        <v>877.32</v>
      </c>
      <c r="K118">
        <f t="shared" si="123"/>
        <v>54.54</v>
      </c>
      <c r="L118">
        <f t="shared" si="123"/>
        <v>889.26</v>
      </c>
      <c r="M118">
        <f t="shared" si="123"/>
        <v>45.51</v>
      </c>
      <c r="N118">
        <f t="shared" si="102"/>
        <v>50.905099405212297</v>
      </c>
      <c r="O118" s="59">
        <f t="shared" si="103"/>
        <v>-0.22918263635296146</v>
      </c>
      <c r="P118" s="63">
        <f t="shared" si="104"/>
        <v>0.1175122024169193</v>
      </c>
      <c r="Q118" s="59">
        <f t="shared" si="10"/>
        <v>0.67188903608024231</v>
      </c>
      <c r="R118" s="59">
        <f t="shared" si="105"/>
        <v>8.5097545568256745</v>
      </c>
      <c r="S118" s="59">
        <f t="shared" si="106"/>
        <v>-1.9502879840499352</v>
      </c>
      <c r="T118" s="59">
        <f t="shared" si="107"/>
        <v>0.44697214183206663</v>
      </c>
      <c r="U118" s="23">
        <f t="shared" si="108"/>
        <v>72.415922617415333</v>
      </c>
      <c r="V118" s="59">
        <f t="shared" si="15"/>
        <v>7.839628158239198</v>
      </c>
      <c r="W118" s="59">
        <f t="shared" si="109"/>
        <v>-1.7967066493321711</v>
      </c>
      <c r="AF118" s="59">
        <f t="shared" si="110"/>
        <v>-0.22918263635296146</v>
      </c>
      <c r="AG118" s="59">
        <f t="shared" si="111"/>
        <v>0.67188903608024231</v>
      </c>
      <c r="AH118" s="59">
        <f t="shared" si="112"/>
        <v>0.67188903608024231</v>
      </c>
      <c r="AJ118">
        <f t="shared" si="113"/>
        <v>0.34280052861236854</v>
      </c>
      <c r="AK118">
        <f t="shared" si="21"/>
        <v>2.9171483604413528</v>
      </c>
      <c r="AL118">
        <f t="shared" si="114"/>
        <v>-0.66855975187866834</v>
      </c>
      <c r="AN118" t="str">
        <f t="shared" si="124"/>
        <v>Kaymak SU</v>
      </c>
      <c r="AO118">
        <f t="shared" si="124"/>
        <v>2009</v>
      </c>
      <c r="AP118" t="str">
        <f t="shared" si="116"/>
        <v>Kaymak SU 2009</v>
      </c>
      <c r="AQ118">
        <f t="shared" si="117"/>
        <v>20</v>
      </c>
      <c r="AR118">
        <f t="shared" si="125"/>
        <v>877.32</v>
      </c>
      <c r="AS118">
        <f t="shared" si="125"/>
        <v>54.54</v>
      </c>
      <c r="AT118">
        <f t="shared" si="119"/>
        <v>15</v>
      </c>
      <c r="AU118">
        <f t="shared" si="126"/>
        <v>889.26</v>
      </c>
      <c r="AV118">
        <f t="shared" si="126"/>
        <v>45.51</v>
      </c>
      <c r="AW118" s="65">
        <f t="shared" si="121"/>
        <v>-0.22918263635296146</v>
      </c>
      <c r="AX118">
        <f t="shared" si="122"/>
        <v>0.34280052861236854</v>
      </c>
    </row>
    <row r="119" spans="5:50">
      <c r="E119" t="str">
        <f t="shared" si="127"/>
        <v>Köhler S</v>
      </c>
      <c r="F119">
        <f t="shared" si="127"/>
        <v>2010</v>
      </c>
      <c r="G119">
        <v>1</v>
      </c>
      <c r="H119">
        <f t="shared" si="128"/>
        <v>35</v>
      </c>
      <c r="I119">
        <f t="shared" si="128"/>
        <v>29</v>
      </c>
      <c r="J119">
        <f t="shared" si="123"/>
        <v>965</v>
      </c>
      <c r="K119">
        <f t="shared" si="123"/>
        <v>81</v>
      </c>
      <c r="L119">
        <f t="shared" si="123"/>
        <v>969</v>
      </c>
      <c r="M119">
        <f t="shared" si="123"/>
        <v>88</v>
      </c>
      <c r="N119">
        <f t="shared" si="102"/>
        <v>84.233354821686461</v>
      </c>
      <c r="O119" s="59">
        <f t="shared" si="103"/>
        <v>-4.6910360063579744E-2</v>
      </c>
      <c r="P119" s="63">
        <f t="shared" si="104"/>
        <v>6.3072507054599866E-2</v>
      </c>
      <c r="Q119" s="59">
        <f t="shared" si="10"/>
        <v>0.49223911171396245</v>
      </c>
      <c r="R119" s="59">
        <f t="shared" si="105"/>
        <v>15.854768530674257</v>
      </c>
      <c r="S119" s="59">
        <f t="shared" si="106"/>
        <v>-0.74375290049864251</v>
      </c>
      <c r="T119" s="59">
        <f t="shared" si="107"/>
        <v>3.4889716360723119E-2</v>
      </c>
      <c r="U119" s="23">
        <f t="shared" si="108"/>
        <v>251.37368516125872</v>
      </c>
      <c r="V119" s="59">
        <f t="shared" si="15"/>
        <v>13.676639800565873</v>
      </c>
      <c r="W119" s="59">
        <f t="shared" si="109"/>
        <v>-0.64157609750443056</v>
      </c>
      <c r="AF119" s="59">
        <f t="shared" si="110"/>
        <v>-4.6910360063579744E-2</v>
      </c>
      <c r="AG119" s="59">
        <f t="shared" si="111"/>
        <v>0.49223911171396245</v>
      </c>
      <c r="AH119" s="59">
        <f t="shared" si="112"/>
        <v>0.49223911171396245</v>
      </c>
      <c r="AJ119">
        <f t="shared" si="113"/>
        <v>0.25114240393569515</v>
      </c>
      <c r="AK119">
        <f t="shared" si="21"/>
        <v>3.9818046826375419</v>
      </c>
      <c r="AL119">
        <f t="shared" si="114"/>
        <v>-0.18678789136537496</v>
      </c>
      <c r="AN119" t="str">
        <f t="shared" si="124"/>
        <v>Köhler S</v>
      </c>
      <c r="AO119">
        <f t="shared" si="124"/>
        <v>2010</v>
      </c>
      <c r="AP119" t="str">
        <f t="shared" si="116"/>
        <v>Köhler S 2010</v>
      </c>
      <c r="AQ119">
        <f t="shared" si="117"/>
        <v>35</v>
      </c>
      <c r="AR119">
        <f t="shared" si="125"/>
        <v>965</v>
      </c>
      <c r="AS119">
        <f t="shared" si="125"/>
        <v>81</v>
      </c>
      <c r="AT119">
        <f t="shared" si="119"/>
        <v>29</v>
      </c>
      <c r="AU119">
        <f t="shared" si="126"/>
        <v>969</v>
      </c>
      <c r="AV119">
        <f t="shared" si="126"/>
        <v>88</v>
      </c>
      <c r="AW119" s="65">
        <f t="shared" si="121"/>
        <v>-4.6910360063579744E-2</v>
      </c>
      <c r="AX119">
        <f t="shared" si="122"/>
        <v>0.25114240393569515</v>
      </c>
    </row>
    <row r="120" spans="5:50">
      <c r="U120" s="23"/>
    </row>
    <row r="121" spans="5:50">
      <c r="L121" t="s">
        <v>500</v>
      </c>
      <c r="N121" s="7"/>
      <c r="O121" s="66">
        <f>COUNT(O87:O119)</f>
        <v>33</v>
      </c>
      <c r="Q121" t="s">
        <v>885</v>
      </c>
      <c r="R121" s="59">
        <f t="shared" ref="R121:W121" si="129">SUM(R87:R119)</f>
        <v>503.84351732303639</v>
      </c>
      <c r="S121" s="59">
        <f t="shared" si="129"/>
        <v>-23.557586329565712</v>
      </c>
      <c r="T121" s="59">
        <f t="shared" si="129"/>
        <v>37.881673284063503</v>
      </c>
      <c r="U121" s="23">
        <f t="shared" si="129"/>
        <v>14085.789921561509</v>
      </c>
      <c r="V121" s="59">
        <f t="shared" si="129"/>
        <v>408.10991270492701</v>
      </c>
      <c r="W121" s="59">
        <f t="shared" si="129"/>
        <v>-23.904346391693661</v>
      </c>
    </row>
    <row r="122" spans="5:50">
      <c r="L122" t="s">
        <v>501</v>
      </c>
      <c r="N122" s="7"/>
      <c r="O122" s="2">
        <v>5</v>
      </c>
    </row>
    <row r="123" spans="5:50">
      <c r="N123" s="7"/>
      <c r="O123" s="7"/>
    </row>
    <row r="124" spans="5:50">
      <c r="G124" s="67" t="s">
        <v>502</v>
      </c>
      <c r="H124" s="40"/>
      <c r="I124" s="40">
        <f>S121/R121</f>
        <v>-4.6755759515829796E-2</v>
      </c>
      <c r="J124" s="40"/>
      <c r="K124" s="68" t="s">
        <v>879</v>
      </c>
      <c r="L124" s="40"/>
      <c r="M124" s="42"/>
      <c r="N124" s="7"/>
      <c r="O124" s="69" t="s">
        <v>503</v>
      </c>
      <c r="P124" s="70">
        <f>T121-((S121^2)/R121)</f>
        <v>36.78022044286493</v>
      </c>
      <c r="Q124" s="71" t="s">
        <v>824</v>
      </c>
      <c r="R124" s="28"/>
      <c r="S124" s="29"/>
      <c r="T124" s="30"/>
      <c r="U124" s="31"/>
      <c r="AF124" s="2" t="s">
        <v>1518</v>
      </c>
    </row>
    <row r="125" spans="5:50">
      <c r="G125" s="43" t="s">
        <v>504</v>
      </c>
      <c r="H125" s="31"/>
      <c r="I125" s="31">
        <f>1/R121</f>
        <v>1.9847432101797904E-3</v>
      </c>
      <c r="J125" s="31"/>
      <c r="K125" s="31"/>
      <c r="L125" s="31"/>
      <c r="M125" s="44"/>
      <c r="N125" s="7"/>
      <c r="O125" s="30" t="s">
        <v>505</v>
      </c>
      <c r="P125" s="31">
        <f>CHIDIST(P124,I129-1)</f>
        <v>0.25700891031789963</v>
      </c>
      <c r="Q125" s="31"/>
      <c r="R125" s="31"/>
      <c r="S125" s="34"/>
      <c r="T125" s="30"/>
      <c r="U125" s="31"/>
      <c r="AF125" s="2"/>
    </row>
    <row r="126" spans="5:50">
      <c r="G126" s="72" t="s">
        <v>506</v>
      </c>
      <c r="H126" s="31"/>
      <c r="I126" s="31">
        <f>$R$136*SQRT(I125)</f>
        <v>8.7318895527982263E-2</v>
      </c>
      <c r="J126" s="31"/>
      <c r="K126" s="31" t="s">
        <v>507</v>
      </c>
      <c r="L126" s="31"/>
      <c r="M126" s="44">
        <f>ABS(I124/SQRT(I125))</f>
        <v>1.04950123449121</v>
      </c>
      <c r="N126" s="7"/>
      <c r="O126" s="35" t="s">
        <v>508</v>
      </c>
      <c r="P126" s="37">
        <f>IF(((P124-(I129-1))/P124)&lt;0,0,100*((P124-(I129-1))/P124))</f>
        <v>12.99671504223476</v>
      </c>
      <c r="Q126" s="36"/>
      <c r="R126" s="36"/>
      <c r="S126" s="38"/>
      <c r="T126" s="30"/>
      <c r="U126" s="31"/>
      <c r="AF126" s="2" t="s">
        <v>1535</v>
      </c>
      <c r="AH126">
        <f>IF($D$6=1,100*((EXP(I124))-1),I124)</f>
        <v>-4.6755759515829796E-2</v>
      </c>
    </row>
    <row r="127" spans="5:50">
      <c r="G127" s="45" t="s">
        <v>509</v>
      </c>
      <c r="H127" s="46"/>
      <c r="I127" s="46">
        <v>-2</v>
      </c>
      <c r="J127" s="46"/>
      <c r="K127" s="46" t="s">
        <v>825</v>
      </c>
      <c r="L127" s="46"/>
      <c r="M127" s="47">
        <f>2*(1-NORMDIST(M126,0,1,1))</f>
        <v>0.29394748736493703</v>
      </c>
      <c r="N127" s="7"/>
      <c r="O127" s="7"/>
      <c r="AF127" s="79" t="s">
        <v>834</v>
      </c>
      <c r="AH127">
        <f>IF($D$6=1,100*(EXP(I124+I126)-EXP(I124)),I126)</f>
        <v>8.7318895527982263E-2</v>
      </c>
    </row>
    <row r="128" spans="5:50">
      <c r="G128" s="40"/>
      <c r="H128" s="40"/>
      <c r="I128" s="40"/>
      <c r="J128" s="40"/>
      <c r="K128" s="40"/>
      <c r="L128" s="40"/>
      <c r="M128" s="40"/>
      <c r="N128" s="7"/>
      <c r="O128" s="7"/>
      <c r="AF128" s="79" t="s">
        <v>835</v>
      </c>
      <c r="AH128">
        <f>IF($D$6=1,100*(EXP(I124)-EXP(I124-I126)),I126)</f>
        <v>8.7318895527982263E-2</v>
      </c>
    </row>
    <row r="129" spans="7:34">
      <c r="G129" s="73" t="s">
        <v>1110</v>
      </c>
      <c r="H129" s="74"/>
      <c r="I129" s="74">
        <f>O121</f>
        <v>33</v>
      </c>
      <c r="J129" s="74"/>
      <c r="K129" s="75" t="s">
        <v>1167</v>
      </c>
      <c r="L129" s="74"/>
      <c r="M129" s="76"/>
      <c r="N129" s="77"/>
      <c r="O129" s="101" t="s">
        <v>1513</v>
      </c>
      <c r="P129" s="102"/>
      <c r="Q129" s="103"/>
      <c r="AF129" s="7"/>
    </row>
    <row r="130" spans="7:34">
      <c r="G130" s="77" t="s">
        <v>1531</v>
      </c>
      <c r="H130" s="31"/>
      <c r="I130" s="31">
        <f>R121/I129</f>
        <v>15.267985373425345</v>
      </c>
      <c r="J130" s="31"/>
      <c r="K130" s="31"/>
      <c r="L130" s="31"/>
      <c r="M130" s="78"/>
      <c r="N130" s="77"/>
      <c r="O130" s="104" t="s">
        <v>1514</v>
      </c>
      <c r="P130" s="31"/>
      <c r="Q130" s="105">
        <f>INDEX(LINEST(AL87:AL119,AK87:AK119,TRUE,TRUE),1,2)</f>
        <v>-0.98378692964340009</v>
      </c>
      <c r="AF130" s="2" t="s">
        <v>1687</v>
      </c>
      <c r="AH130">
        <f>IF($D$6=1,100*((EXP(I135))-1),I135)</f>
        <v>-5.8573305003196678E-2</v>
      </c>
    </row>
    <row r="131" spans="7:34">
      <c r="G131" s="77" t="s">
        <v>1532</v>
      </c>
      <c r="H131" s="31"/>
      <c r="I131" s="31">
        <f>(1/(I129-1))*(U121-(I129*I130^2))</f>
        <v>199.78482714306904</v>
      </c>
      <c r="J131" s="31"/>
      <c r="K131" s="31"/>
      <c r="L131" s="31"/>
      <c r="M131" s="78"/>
      <c r="N131" s="77"/>
      <c r="O131" s="104" t="s">
        <v>1516</v>
      </c>
      <c r="P131" s="31"/>
      <c r="Q131" s="105">
        <f>INDEX(LINEST(AL87:AL119,AK87:AK119,TRUE,TRUE),2,2)</f>
        <v>0.56954969635656838</v>
      </c>
      <c r="AF131" s="79" t="s">
        <v>834</v>
      </c>
      <c r="AG131" s="7"/>
      <c r="AH131">
        <f>IF($D$6=1,100*(EXP(I135+I137)-EXP(I135)),I137)</f>
        <v>9.7021391606949656E-2</v>
      </c>
    </row>
    <row r="132" spans="7:34">
      <c r="G132" s="77" t="s">
        <v>1669</v>
      </c>
      <c r="H132" s="31"/>
      <c r="I132" s="31">
        <f>(I129-1)*(I130-(I131/(I129*I130)))</f>
        <v>475.88684141619825</v>
      </c>
      <c r="J132" s="31"/>
      <c r="K132" s="31"/>
      <c r="L132" s="31"/>
      <c r="M132" s="78"/>
      <c r="N132" s="77"/>
      <c r="O132" s="104" t="s">
        <v>1349</v>
      </c>
      <c r="P132" s="31"/>
      <c r="Q132" s="105">
        <f>ABS(Q130/Q131)</f>
        <v>1.7273065650578403</v>
      </c>
      <c r="AF132" s="79" t="s">
        <v>835</v>
      </c>
      <c r="AH132">
        <f>IF($D$6=1,100*(EXP(I135)-EXP(I135-I137)),I137)</f>
        <v>9.7021391606949656E-2</v>
      </c>
    </row>
    <row r="133" spans="7:34">
      <c r="G133" s="77" t="s">
        <v>1685</v>
      </c>
      <c r="H133" s="31"/>
      <c r="I133" s="31">
        <f>IF(P124&gt;(I129-1),(P124-(I129-1))/I132,0)</f>
        <v>1.0044867869511597E-2</v>
      </c>
      <c r="J133" s="31"/>
      <c r="K133" s="31"/>
      <c r="L133" s="31"/>
      <c r="M133" s="78"/>
      <c r="N133" s="77"/>
      <c r="O133" s="106" t="s">
        <v>1515</v>
      </c>
      <c r="P133" s="107"/>
      <c r="Q133" s="108">
        <f>TDIST(Q132,I129-2,2)</f>
        <v>9.4065336617109765E-2</v>
      </c>
    </row>
    <row r="134" spans="7:34">
      <c r="G134" s="77"/>
      <c r="H134" s="31"/>
      <c r="I134" s="31"/>
      <c r="J134" s="31"/>
      <c r="K134" s="31"/>
      <c r="L134" s="31"/>
      <c r="M134" s="78"/>
      <c r="N134" s="77"/>
    </row>
    <row r="135" spans="7:34">
      <c r="G135" s="77" t="s">
        <v>1686</v>
      </c>
      <c r="H135" s="31"/>
      <c r="I135" s="31">
        <f>W121/V121</f>
        <v>-5.8573305003196678E-2</v>
      </c>
      <c r="J135" s="31"/>
      <c r="N135" s="77"/>
    </row>
    <row r="136" spans="7:34">
      <c r="G136" s="77" t="s">
        <v>504</v>
      </c>
      <c r="H136" s="31"/>
      <c r="I136" s="31">
        <f>1/V121</f>
        <v>2.4503202908551336E-3</v>
      </c>
      <c r="J136" s="31"/>
      <c r="N136" s="77"/>
      <c r="O136" t="s">
        <v>805</v>
      </c>
      <c r="R136">
        <v>1.96</v>
      </c>
    </row>
    <row r="137" spans="7:34">
      <c r="G137" s="80" t="s">
        <v>506</v>
      </c>
      <c r="H137" s="31"/>
      <c r="I137" s="31">
        <f>$R$136*SQRT(I136)</f>
        <v>9.7021391606949656E-2</v>
      </c>
      <c r="J137" s="31"/>
      <c r="K137" s="31" t="s">
        <v>507</v>
      </c>
      <c r="L137" s="31"/>
      <c r="M137" s="78">
        <f>ABS(I135/(SQRT(I136)))</f>
        <v>1.183282118559533</v>
      </c>
      <c r="N137" s="77"/>
    </row>
    <row r="138" spans="7:34">
      <c r="G138" s="81" t="s">
        <v>509</v>
      </c>
      <c r="H138" s="82"/>
      <c r="I138" s="82">
        <v>-3</v>
      </c>
      <c r="J138" s="82"/>
      <c r="K138" s="31" t="s">
        <v>825</v>
      </c>
      <c r="L138" s="31"/>
      <c r="M138" s="78">
        <f>2*(1-NORMDIST(M137,0,1,1))</f>
        <v>0.23669735712928675</v>
      </c>
      <c r="N138" s="77"/>
    </row>
    <row r="139" spans="7:34">
      <c r="G139" s="74"/>
      <c r="H139" s="74"/>
      <c r="I139" s="74"/>
      <c r="J139" s="74"/>
      <c r="K139" s="74"/>
      <c r="L139" s="74"/>
      <c r="M139" s="74"/>
      <c r="N139" s="31"/>
      <c r="O139" s="7"/>
    </row>
  </sheetData>
  <phoneticPr fontId="10" type="noConversion"/>
  <conditionalFormatting sqref="D17 D13 F13">
    <cfRule type="cellIs" dxfId="136" priority="0" stopIfTrue="1" operator="lessThan">
      <formula>0.05</formula>
    </cfRule>
  </conditionalFormatting>
  <conditionalFormatting sqref="D21">
    <cfRule type="cellIs" dxfId="13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sheetPr published="0" codeName="Sheet11" enableFormatConditionsCalculation="0"/>
  <dimension ref="A1:BM65"/>
  <sheetViews>
    <sheetView zoomScale="80" zoomScaleNormal="80" zoomScalePageLayoutView="7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688</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I55-O48</f>
        <v>7</v>
      </c>
      <c r="AD7" s="89"/>
    </row>
    <row r="8" spans="2:30">
      <c r="B8" t="s">
        <v>822</v>
      </c>
      <c r="D8">
        <f>SUM(H24:H30)</f>
        <v>392</v>
      </c>
      <c r="AD8" s="89"/>
    </row>
    <row r="9" spans="2:30">
      <c r="B9" t="s">
        <v>823</v>
      </c>
      <c r="D9">
        <f>SUM(I24:I30)</f>
        <v>283</v>
      </c>
      <c r="AD9" s="89"/>
    </row>
    <row r="11" spans="2:30">
      <c r="B11" s="27" t="s">
        <v>516</v>
      </c>
      <c r="C11" s="28"/>
      <c r="D11" s="109">
        <f>P50</f>
        <v>4.8870008037195714</v>
      </c>
      <c r="E11" s="110" t="s">
        <v>1513</v>
      </c>
      <c r="F11" s="103"/>
    </row>
    <row r="12" spans="2:30">
      <c r="B12" s="30" t="s">
        <v>826</v>
      </c>
      <c r="C12" s="31"/>
      <c r="D12" s="112">
        <f>P52</f>
        <v>0</v>
      </c>
      <c r="E12" s="31"/>
      <c r="F12" s="105"/>
    </row>
    <row r="13" spans="2:30">
      <c r="B13" s="35" t="s">
        <v>825</v>
      </c>
      <c r="C13" s="36"/>
      <c r="D13" s="113">
        <f>P51</f>
        <v>0.55838583088464722</v>
      </c>
      <c r="E13" s="111" t="s">
        <v>825</v>
      </c>
      <c r="F13" s="115">
        <f>Q59</f>
        <v>0.6004565110022333</v>
      </c>
    </row>
    <row r="15" spans="2:30">
      <c r="B15" s="39" t="s">
        <v>879</v>
      </c>
      <c r="C15" s="40"/>
      <c r="D15" s="41">
        <f>AH52</f>
        <v>-0.11484379453279246</v>
      </c>
      <c r="E15" s="116"/>
    </row>
    <row r="16" spans="2:30">
      <c r="B16" s="43" t="s">
        <v>1165</v>
      </c>
      <c r="C16" s="31"/>
      <c r="D16" s="33">
        <f>AH52-AH54</f>
        <v>-0.27033235858836241</v>
      </c>
      <c r="E16" s="117">
        <f>AH52+AH53</f>
        <v>4.0644769522777471E-2</v>
      </c>
    </row>
    <row r="17" spans="1:65">
      <c r="B17" s="45" t="s">
        <v>1166</v>
      </c>
      <c r="C17" s="46"/>
      <c r="D17" s="123">
        <f>M53</f>
        <v>0.14771348886020652</v>
      </c>
      <c r="E17" s="118"/>
    </row>
    <row r="18" spans="1:65">
      <c r="D18" s="48"/>
      <c r="F18" s="49"/>
    </row>
    <row r="19" spans="1:65">
      <c r="B19" s="50" t="s">
        <v>1167</v>
      </c>
      <c r="C19" s="51"/>
      <c r="D19" s="52">
        <f>AH56</f>
        <v>-0.11484379453279246</v>
      </c>
      <c r="E19" s="120"/>
      <c r="F19" s="33"/>
      <c r="G19" s="31"/>
    </row>
    <row r="20" spans="1:65">
      <c r="B20" s="53" t="s">
        <v>1165</v>
      </c>
      <c r="C20" s="31"/>
      <c r="D20" s="33">
        <f>AH56-AH58</f>
        <v>-0.27033235858836241</v>
      </c>
      <c r="E20" s="121">
        <f>AH56+AH57</f>
        <v>4.0644769522777471E-2</v>
      </c>
      <c r="F20" s="31"/>
      <c r="G20" s="31"/>
    </row>
    <row r="21" spans="1:65">
      <c r="B21" s="54" t="s">
        <v>1440</v>
      </c>
      <c r="C21" s="55"/>
      <c r="D21" s="114">
        <f>M64</f>
        <v>0.14771348886020652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1627046</v>
      </c>
      <c r="C24" s="1" t="str">
        <f>IF($B24="","",HYPERLINK(IF(LEN(VLOOKUP($B24,Database!$B$1:$IX$10144,2,FALSE))=0,"",VLOOKUP($B24,Database!$B$1:$IX$10144,2,FALSE))))</f>
        <v/>
      </c>
      <c r="D24" s="1" t="str">
        <f t="shared" ref="D24:D30" si="0">IF($B24="","",HYPERLINK(CONCATENATE("http://www.ncbi.nlm.nih.gov/pubmed/",B24)))</f>
        <v>http://www.ncbi.nlm.nih.gov/pubmed/1627046</v>
      </c>
      <c r="E24" s="22" t="str">
        <f>IF($B24="","",IF(LEN(VLOOKUP($B24,Database!$B$1:$IX$10144,4,FALSE))=0,"",VLOOKUP($B24,Database!$B$1:$IX$10144,4,FALSE)))</f>
        <v>Krishnan KR</v>
      </c>
      <c r="F24" s="22">
        <f>IF($B24="","",IF(LEN(VLOOKUP($B24,Database!$B$1:$IX$10144,5,FALSE))=0,"",VLOOKUP($B24,Database!$B$1:$IX$10144,5,FALSE)))</f>
        <v>1992</v>
      </c>
      <c r="G24" s="1" t="str">
        <f>IF($B24="","",HYPERLINK(IF(LEN(VLOOKUP($B24,Database!$B$1:$IX$10144,6,FALSE))=0,"",VLOOKUP($B24,Database!$B$1:$IX$10144,6,FALSE))))</f>
        <v>http://archpsyc.ama-assn.org/cgi/reprint/49/7/553</v>
      </c>
      <c r="H24" s="22">
        <f>IF($B24="","",IF(LEN(VLOOKUP($B24,Database!$B$1:$IX$10144,7,FALSE))=0,"",VLOOKUP($B24,Database!$B$1:$IX$10144,7,FALSE)))</f>
        <v>50</v>
      </c>
      <c r="I24" s="22">
        <f>IF($B24="","",IF(LEN(VLOOKUP($B24,Database!$B$1:$IX$10144,8,FALSE))=0,"",VLOOKUP($B24,Database!$B$1:$IX$10144,8,FALSE)))</f>
        <v>50</v>
      </c>
      <c r="J24" t="s">
        <v>614</v>
      </c>
      <c r="K24" s="10"/>
      <c r="T24">
        <v>907</v>
      </c>
      <c r="U24">
        <v>142</v>
      </c>
      <c r="V24">
        <v>963</v>
      </c>
      <c r="W24">
        <v>156</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48.3</v>
      </c>
      <c r="AC24" s="22">
        <f>IF(OR($B24="",AC$22=""),"",IF(LEN(VLOOKUP($B24,Database!$B$1:$IX$10144,AC$22,FALSE))=0,"",VLOOKUP($B24,Database!$B$1:$IX$10144,AC$22,FALSE)))</f>
        <v>16.8</v>
      </c>
      <c r="AD24" s="22">
        <f>IF(OR($B24="",AD$22=""),"",IF(LEN(VLOOKUP($B24,Database!$B$1:$IX$10144,AD$22,FALSE))=0,"",VLOOKUP($B24,Database!$B$1:$IX$10144,AD$22,FALSE)))</f>
        <v>49.2</v>
      </c>
      <c r="AE24" s="22">
        <f>IF(OR($B24="",AE$22=""),"",IF(LEN(VLOOKUP($B24,Database!$B$1:$IX$10144,AE$22,FALSE))=0,"",VLOOKUP($B24,Database!$B$1:$IX$10144,AE$22,FALSE)))</f>
        <v>17.899999999999999</v>
      </c>
      <c r="AF24" s="22">
        <f>IF(OR($B24="",AF$22=""),"",IF(LEN(VLOOKUP($B24,Database!$B$1:$IX$10144,AF$22,FALSE))=0,"",VLOOKUP($B24,Database!$B$1:$IX$10144,AF$22,FALSE)))</f>
        <v>27</v>
      </c>
      <c r="AG24" s="22">
        <f>IF(OR($B24="",AG$22=""),"",IF(LEN(VLOOKUP($B24,Database!$B$1:$IX$10144,AG$22,FALSE))=0,"",VLOOKUP($B24,Database!$B$1:$IX$10144,AG$22,FALSE)))</f>
        <v>27</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Krishnan KR, McDonald WM, Escalona PR, Doraiswamy PM, Na C, Husain MM, Figiel GS, Boyko OB, Ellinwood EH, Nemeroff CB.</v>
      </c>
      <c r="AR24" s="13"/>
      <c r="BC24" s="23"/>
      <c r="BF24" s="136"/>
      <c r="BG24" s="136"/>
      <c r="BH24" s="136"/>
      <c r="BI24" s="136"/>
    </row>
    <row r="25" spans="1:65">
      <c r="A25" s="10"/>
      <c r="B25">
        <v>7654126</v>
      </c>
      <c r="C25" s="1" t="str">
        <f>IF($B25="","",HYPERLINK(IF(LEN(VLOOKUP($B25,Database!$B$1:$IX$10144,2,FALSE))=0,"",VLOOKUP($B25,Database!$B$1:$IX$10144,2,FALSE))))</f>
        <v/>
      </c>
      <c r="D25" s="1" t="str">
        <f t="shared" si="0"/>
        <v>http://www.ncbi.nlm.nih.gov/pubmed/7654126</v>
      </c>
      <c r="E25" s="22" t="str">
        <f>IF($B25="","",IF(LEN(VLOOKUP($B25,Database!$B$1:$IX$10144,4,FALSE))=0,"",VLOOKUP($B25,Database!$B$1:$IX$10144,4,FALSE)))</f>
        <v>Dupont RM (A)</v>
      </c>
      <c r="F25" s="22">
        <f>IF($B25="","",IF(LEN(VLOOKUP($B25,Database!$B$1:$IX$10144,5,FALSE))=0,"",VLOOKUP($B25,Database!$B$1:$IX$10144,5,FALSE)))</f>
        <v>1995</v>
      </c>
      <c r="G25" s="1" t="str">
        <f>IF($B25="","",HYPERLINK(IF(LEN(VLOOKUP($B25,Database!$B$1:$IX$10144,6,FALSE))=0,"",VLOOKUP($B25,Database!$B$1:$IX$10144,6,FALSE))))</f>
        <v>http://archpsyc.ama-assn.org/cgi/reprint/51/9/677</v>
      </c>
      <c r="H25" s="22">
        <f>IF($B25="","",IF(LEN(VLOOKUP($B25,Database!$B$1:$IX$10144,7,FALSE))=0,"",VLOOKUP($B25,Database!$B$1:$IX$10144,7,FALSE)))</f>
        <v>30</v>
      </c>
      <c r="I25" s="22">
        <f>IF($B25="","",IF(LEN(VLOOKUP($B25,Database!$B$1:$IX$10144,8,FALSE))=0,"",VLOOKUP($B25,Database!$B$1:$IX$10144,8,FALSE)))</f>
        <v>26</v>
      </c>
      <c r="J25" t="s">
        <v>523</v>
      </c>
      <c r="K25" s="10"/>
      <c r="T25">
        <v>192060.67</v>
      </c>
      <c r="U25">
        <v>19334.8</v>
      </c>
      <c r="V25">
        <v>193525.65</v>
      </c>
      <c r="W25">
        <v>15901.37</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38.6</v>
      </c>
      <c r="AC25" s="22">
        <f>IF(OR($B25="",AC$22=""),"",IF(LEN(VLOOKUP($B25,Database!$B$1:$IX$10144,AC$22,FALSE))=0,"",VLOOKUP($B25,Database!$B$1:$IX$10144,AC$22,FALSE)))</f>
        <v>10.6</v>
      </c>
      <c r="AD25" s="22">
        <f>IF(OR($B25="",AD$22=""),"",IF(LEN(VLOOKUP($B25,Database!$B$1:$IX$10144,AD$22,FALSE))=0,"",VLOOKUP($B25,Database!$B$1:$IX$10144,AD$22,FALSE)))</f>
        <v>39.1</v>
      </c>
      <c r="AE25" s="22">
        <f>IF(OR($B25="",AE$22=""),"",IF(LEN(VLOOKUP($B25,Database!$B$1:$IX$10144,AE$22,FALSE))=0,"",VLOOKUP($B25,Database!$B$1:$IX$10144,AE$22,FALSE)))</f>
        <v>9.4</v>
      </c>
      <c r="AF25" s="22">
        <f>IF(OR($B25="",AF$22=""),"",IF(LEN(VLOOKUP($B25,Database!$B$1:$IX$10144,AF$22,FALSE))=0,"",VLOOKUP($B25,Database!$B$1:$IX$10144,AF$22,FALSE)))</f>
        <v>21</v>
      </c>
      <c r="AG25" s="22">
        <f>IF(OR($B25="",AG$22=""),"",IF(LEN(VLOOKUP($B25,Database!$B$1:$IX$10144,AG$22,FALSE))=0,"",VLOOKUP($B25,Database!$B$1:$IX$10144,AG$22,FALSE)))</f>
        <v>11</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12.5</v>
      </c>
      <c r="AM25" s="22">
        <f>IF(OR($B25="",AM$22=""),"",IF(LEN(VLOOKUP($B25,Database!$B$1:$IX$10144,AM$22,FALSE))=0,"",VLOOKUP($B25,Database!$B$1:$IX$10144,AM$22,FALSE)))</f>
        <v>40</v>
      </c>
      <c r="AN25" s="22">
        <f>IF(OR($B25="",AN$22=""),"",IF(LEN(VLOOKUP($B25,Database!$B$1:$IX$10144,AN$22,FALSE))=0,"",VLOOKUP($B25,Database!$B$1:$IX$10144,AN$22,FALSE)))</f>
        <v>3.3333333333333335</v>
      </c>
      <c r="AO25" s="22">
        <f>IF(OR($B25="",AO$22=""),"",IF(LEN(VLOOKUP($B25,Database!$B$1:$IX$10144,AO$22,FALSE))=0,"",VLOOKUP($B25,Database!$B$1:$IX$10144,AO$22,FALSE)))</f>
        <v>0</v>
      </c>
      <c r="AP25" s="22">
        <f>IF(OR($B25="",AP$22=""),"",IF(LEN(VLOOKUP($B25,Database!$B$1:$IX$10144,AP$22,FALSE))=0,"",VLOOKUP($B25,Database!$B$1:$IX$10144,AP$22,FALSE)))</f>
        <v>56.666666666666664</v>
      </c>
      <c r="AQ25" s="22" t="str">
        <f>IF(OR($B25="",AQ$22=""),"",IF(LEN(VLOOKUP($B25,Database!$B$1:$IX$10144,AQ$22,FALSE))=0,"",VLOOKUP($B25,Database!$B$1:$IX$10144,AQ$22,FALSE)))</f>
        <v>Dupont RM, Jernigan TL, Heindel W, Butters N, Shafer K, Wilson T, Hesselink J, Gillin JC.</v>
      </c>
      <c r="AR25" s="13"/>
      <c r="BC25" s="23"/>
      <c r="BF25" s="136"/>
      <c r="BG25" s="136"/>
      <c r="BH25" s="136"/>
      <c r="BI25" s="136"/>
    </row>
    <row r="26" spans="1:65">
      <c r="B26">
        <v>9209723</v>
      </c>
      <c r="C26" s="1" t="str">
        <f>IF($B26="","",HYPERLINK(IF(LEN(VLOOKUP($B26,Database!$B$1:$IX$10144,2,FALSE))=0,"",VLOOKUP($B26,Database!$B$1:$IX$10144,2,FALSE))))</f>
        <v/>
      </c>
      <c r="D26" s="1" t="str">
        <f t="shared" si="0"/>
        <v>http://www.ncbi.nlm.nih.gov/pubmed/9209723</v>
      </c>
      <c r="E26" s="22" t="str">
        <f>IF($B26="","",IF(LEN(VLOOKUP($B26,Database!$B$1:$IX$10144,4,FALSE))=0,"",VLOOKUP($B26,Database!$B$1:$IX$10144,4,FALSE)))</f>
        <v>Pillay SS</v>
      </c>
      <c r="F26" s="22">
        <f>IF($B26="","",IF(LEN(VLOOKUP($B26,Database!$B$1:$IX$10144,5,FALSE))=0,"",VLOOKUP($B26,Database!$B$1:$IX$10144,5,FALSE)))</f>
        <v>1997</v>
      </c>
      <c r="G26" s="1" t="str">
        <f>IF($B26="","",HYPERLINK(IF(LEN(VLOOKUP($B26,Database!$B$1:$IX$10144,6,FALSE))=0,"",VLOOKUP($B26,Database!$B$1:$IX$10144,6,FALSE))))</f>
        <v>http://dx.doi.org/10.1016/S0006-3223(96)00335-6</v>
      </c>
      <c r="H26" s="22">
        <f>IF($B26="","",IF(LEN(VLOOKUP($B26,Database!$B$1:$IX$10144,7,FALSE))=0,"",VLOOKUP($B26,Database!$B$1:$IX$10144,7,FALSE)))</f>
        <v>38</v>
      </c>
      <c r="I26" s="22">
        <f>IF($B26="","",IF(LEN(VLOOKUP($B26,Database!$B$1:$IX$10144,8,FALSE))=0,"",VLOOKUP($B26,Database!$B$1:$IX$10144,8,FALSE)))</f>
        <v>20</v>
      </c>
      <c r="J26" t="s">
        <v>1343</v>
      </c>
      <c r="T26">
        <v>1071.3</v>
      </c>
      <c r="U26">
        <v>142.4</v>
      </c>
      <c r="V26">
        <v>1052.9000000000001</v>
      </c>
      <c r="W26">
        <v>106.5</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38.5</v>
      </c>
      <c r="AC26" s="22">
        <f>IF(OR($B26="",AC$22=""),"",IF(LEN(VLOOKUP($B26,Database!$B$1:$IX$10144,AC$22,FALSE))=0,"",VLOOKUP($B26,Database!$B$1:$IX$10144,AC$22,FALSE)))</f>
        <v>10</v>
      </c>
      <c r="AD26" s="22">
        <f>IF(OR($B26="",AD$22=""),"",IF(LEN(VLOOKUP($B26,Database!$B$1:$IX$10144,AD$22,FALSE))=0,"",VLOOKUP($B26,Database!$B$1:$IX$10144,AD$22,FALSE)))</f>
        <v>40.299999999999997</v>
      </c>
      <c r="AE26" s="22">
        <f>IF(OR($B26="",AE$22=""),"",IF(LEN(VLOOKUP($B26,Database!$B$1:$IX$10144,AE$22,FALSE))=0,"",VLOOKUP($B26,Database!$B$1:$IX$10144,AE$22,FALSE)))</f>
        <v>10.4</v>
      </c>
      <c r="AF26" s="22">
        <f>IF(OR($B26="",AF$22=""),"",IF(LEN(VLOOKUP($B26,Database!$B$1:$IX$10144,AF$22,FALSE))=0,"",VLOOKUP($B26,Database!$B$1:$IX$10144,AF$22,FALSE)))</f>
        <v>21</v>
      </c>
      <c r="AG26" s="22">
        <f>IF(OR($B26="",AG$22=""),"",IF(LEN(VLOOKUP($B26,Database!$B$1:$IX$10144,AG$22,FALSE))=0,"",VLOOKUP($B26,Database!$B$1:$IX$10144,AG$22,FALSE)))</f>
        <v>11</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Pillay SS, Yurgelun-Todd DA, Bonello CM, Lafer B, Fava M, Renshaw PF.</v>
      </c>
      <c r="AR26" s="13"/>
      <c r="BC26" s="23"/>
      <c r="BF26" s="136"/>
      <c r="BG26" s="136"/>
      <c r="BH26" s="136"/>
      <c r="BI26" s="136"/>
    </row>
    <row r="27" spans="1:65">
      <c r="B27">
        <v>11958786</v>
      </c>
      <c r="C27" s="1" t="str">
        <f>IF($B27="","",HYPERLINK(IF(LEN(VLOOKUP($B27,Database!$B$1:$IX$10144,2,FALSE))=0,"",VLOOKUP($B27,Database!$B$1:$IX$10144,2,FALSE))))</f>
        <v/>
      </c>
      <c r="D27" s="1" t="str">
        <f t="shared" si="0"/>
        <v>http://www.ncbi.nlm.nih.gov/pubmed/11958786</v>
      </c>
      <c r="E27" s="22" t="str">
        <f>IF($B27="","",IF(LEN(VLOOKUP($B27,Database!$B$1:$IX$10144,4,FALSE))=0,"",VLOOKUP($B27,Database!$B$1:$IX$10144,4,FALSE)))</f>
        <v>Botteron KN</v>
      </c>
      <c r="F27" s="22">
        <f>IF($B27="","",IF(LEN(VLOOKUP($B27,Database!$B$1:$IX$10144,5,FALSE))=0,"",VLOOKUP($B27,Database!$B$1:$IX$10144,5,FALSE)))</f>
        <v>2002</v>
      </c>
      <c r="G27" s="1" t="str">
        <f>IF($B27="","",HYPERLINK(IF(LEN(VLOOKUP($B27,Database!$B$1:$IX$10144,6,FALSE))=0,"",VLOOKUP($B27,Database!$B$1:$IX$10144,6,FALSE))))</f>
        <v>http://dx.doi.org/10.1016/S0006-3223(01)01280-X</v>
      </c>
      <c r="H27" s="22">
        <f>IF($B27="","",IF(LEN(VLOOKUP($B27,Database!$B$1:$IX$10144,7,FALSE))=0,"",VLOOKUP($B27,Database!$B$1:$IX$10144,7,FALSE)))</f>
        <v>48</v>
      </c>
      <c r="I27" s="22">
        <f>IF($B27="","",IF(LEN(VLOOKUP($B27,Database!$B$1:$IX$10144,8,FALSE))=0,"",VLOOKUP($B27,Database!$B$1:$IX$10144,8,FALSE)))</f>
        <v>48</v>
      </c>
      <c r="J27" t="s">
        <v>1346</v>
      </c>
      <c r="T27">
        <v>1038</v>
      </c>
      <c r="U27">
        <v>225</v>
      </c>
      <c r="V27">
        <v>1097</v>
      </c>
      <c r="W27">
        <v>74</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f>IF(OR($B27="",AF$22=""),"",IF(LEN(VLOOKUP($B27,Database!$B$1:$IX$10144,AF$22,FALSE))=0,"",VLOOKUP($B27,Database!$B$1:$IX$10144,AF$22,FALSE)))</f>
        <v>48</v>
      </c>
      <c r="AG27" s="22">
        <f>IF(OR($B27="",AG$22=""),"",IF(LEN(VLOOKUP($B27,Database!$B$1:$IX$10144,AG$22,FALSE))=0,"",VLOOKUP($B27,Database!$B$1:$IX$10144,AG$22,FALSE)))</f>
        <v>48</v>
      </c>
      <c r="AH27" s="22">
        <f>IF(OR($B27="",AH$22=""),"",IF(LEN(VLOOKUP($B27,Database!$B$1:$IX$10144,AH$22,FALSE))=0,"",VLOOKUP($B27,Database!$B$1:$IX$10144,AH$22,FALSE)))</f>
        <v>1.5</v>
      </c>
      <c r="AI27" s="22">
        <f>IF(OR($B27="",AI$22=""),"",IF(LEN(VLOOKUP($B27,Database!$B$1:$IX$10144,AI$22,FALSE))=0,"",VLOOKUP($B27,Database!$B$1:$IX$10144,AI$22,FALSE)))</f>
        <v>1</v>
      </c>
      <c r="AJ27" s="22" t="str">
        <f>IF(OR($B27="",AJ$22=""),"",IF(LEN(VLOOKUP($B27,Database!$B$1:$IX$10144,AJ$22,FALSE))=0,"",VLOOKUP($B27,Database!$B$1:$IX$10144,AJ$22,FALSE)))</f>
        <v/>
      </c>
      <c r="AK27" s="22">
        <f>IF(OR($B27="",AK$22=""),"",IF(LEN(VLOOKUP($B27,Database!$B$1:$IX$10144,AK$22,FALSE))=0,"",VLOOKUP($B27,Database!$B$1:$IX$10144,AK$22,FALSE)))</f>
        <v>15.2</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Botteron KN, Raichle ME, Drevets WC, Heath AC, Todd RD.</v>
      </c>
      <c r="AR27" s="13"/>
      <c r="BC27" s="23"/>
      <c r="BF27" s="136"/>
      <c r="BG27" s="136"/>
      <c r="BH27" s="136"/>
      <c r="BI27" s="136"/>
    </row>
    <row r="28" spans="1:65">
      <c r="A28" s="10"/>
      <c r="B28">
        <v>12900317</v>
      </c>
      <c r="C28" s="1" t="str">
        <f>IF($B28="","",HYPERLINK(IF(LEN(VLOOKUP($B28,Database!$B$1:$IX$10144,2,FALSE))=0,"",VLOOKUP($B28,Database!$B$1:$IX$10144,2,FALSE))))</f>
        <v/>
      </c>
      <c r="D28" s="1" t="str">
        <f t="shared" si="0"/>
        <v>http://www.ncbi.nlm.nih.gov/pubmed/12900317</v>
      </c>
      <c r="E28" s="22" t="str">
        <f>IF($B28="","",IF(LEN(VLOOKUP($B28,Database!$B$1:$IX$10144,4,FALSE))=0,"",VLOOKUP($B28,Database!$B$1:$IX$10144,4,FALSE)))</f>
        <v>Sheline YI</v>
      </c>
      <c r="F28" s="22">
        <f>IF($B28="","",IF(LEN(VLOOKUP($B28,Database!$B$1:$IX$10144,5,FALSE))=0,"",VLOOKUP($B28,Database!$B$1:$IX$10144,5,FALSE)))</f>
        <v>2003</v>
      </c>
      <c r="G28" s="1" t="str">
        <f>IF($B28="","",HYPERLINK(IF(LEN(VLOOKUP($B28,Database!$B$1:$IX$10144,6,FALSE))=0,"",VLOOKUP($B28,Database!$B$1:$IX$10144,6,FALSE))))</f>
        <v>http://ajp.psychiatryonline.org/cgi/reprint/160/8/1516</v>
      </c>
      <c r="H28" s="22">
        <f>IF($B28="","",IF(LEN(VLOOKUP($B28,Database!$B$1:$IX$10144,7,FALSE))=0,"",VLOOKUP($B28,Database!$B$1:$IX$10144,7,FALSE)))</f>
        <v>38</v>
      </c>
      <c r="I28" s="22">
        <f>IF($B28="","",IF(LEN(VLOOKUP($B28,Database!$B$1:$IX$10144,8,FALSE))=0,"",VLOOKUP($B28,Database!$B$1:$IX$10144,8,FALSE)))</f>
        <v>38</v>
      </c>
      <c r="J28" t="s">
        <v>1465</v>
      </c>
      <c r="K28" s="13" t="s">
        <v>419</v>
      </c>
      <c r="T28">
        <v>1057</v>
      </c>
      <c r="U28">
        <v>152</v>
      </c>
      <c r="V28">
        <v>1054</v>
      </c>
      <c r="W28">
        <v>154</v>
      </c>
      <c r="X28" s="151"/>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50.8</v>
      </c>
      <c r="AC28" s="22">
        <f>IF(OR($B28="",AC$22=""),"",IF(LEN(VLOOKUP($B28,Database!$B$1:$IX$10144,AC$22,FALSE))=0,"",VLOOKUP($B28,Database!$B$1:$IX$10144,AC$22,FALSE)))</f>
        <v>17.100000000000001</v>
      </c>
      <c r="AD28" s="22" t="str">
        <f>IF(OR($B28="",AD$22=""),"",IF(LEN(VLOOKUP($B28,Database!$B$1:$IX$10144,AD$22,FALSE))=0,"",VLOOKUP($B28,Database!$B$1:$IX$10144,AD$22,FALSE)))</f>
        <v>ns</v>
      </c>
      <c r="AE28" s="22" t="str">
        <f>IF(OR($B28="",AE$22=""),"",IF(LEN(VLOOKUP($B28,Database!$B$1:$IX$10144,AE$22,FALSE))=0,"",VLOOKUP($B28,Database!$B$1:$IX$10144,AE$22,FALSE)))</f>
        <v>ns</v>
      </c>
      <c r="AF28" s="22">
        <f>IF(OR($B28="",AF$22=""),"",IF(LEN(VLOOKUP($B28,Database!$B$1:$IX$10144,AF$22,FALSE))=0,"",VLOOKUP($B28,Database!$B$1:$IX$10144,AF$22,FALSE)))</f>
        <v>38</v>
      </c>
      <c r="AG28" s="22" t="str">
        <f>IF(OR($B28="",AG$22=""),"",IF(LEN(VLOOKUP($B28,Database!$B$1:$IX$10144,AG$22,FALSE))=0,"",VLOOKUP($B28,Database!$B$1:$IX$10144,AG$22,FALSE)))</f>
        <v>ns</v>
      </c>
      <c r="AH28" s="22">
        <f>IF(OR($B28="",AH$22=""),"",IF(LEN(VLOOKUP($B28,Database!$B$1:$IX$10144,AH$22,FALSE))=0,"",VLOOKUP($B28,Database!$B$1:$IX$10144,AH$22,FALSE)))</f>
        <v>1.5</v>
      </c>
      <c r="AI28" s="22" t="str">
        <f>IF(OR($B28="",AI$22=""),"",IF(LEN(VLOOKUP($B28,Database!$B$1:$IX$10144,AI$22,FALSE))=0,"",VLOOKUP($B28,Database!$B$1:$IX$10144,AI$22,FALSE)))</f>
        <v>ns</v>
      </c>
      <c r="AJ28" s="22" t="str">
        <f>IF(OR($B28="",AJ$22=""),"",IF(LEN(VLOOKUP($B28,Database!$B$1:$IX$10144,AJ$22,FALSE))=0,"",VLOOKUP($B28,Database!$B$1:$IX$10144,AJ$22,FALSE)))</f>
        <v/>
      </c>
      <c r="AK28" s="22" t="str">
        <f>IF(OR($B28="",AK$22=""),"",IF(LEN(VLOOKUP($B28,Database!$B$1:$IX$10144,AK$22,FALSE))=0,"",VLOOKUP($B28,Database!$B$1:$IX$10144,AK$22,FALSE)))</f>
        <v>ns</v>
      </c>
      <c r="AL28" s="22">
        <f>IF(OR($B28="",AL$22=""),"",IF(LEN(VLOOKUP($B28,Database!$B$1:$IX$10144,AL$22,FALSE))=0,"",VLOOKUP($B28,Database!$B$1:$IX$10144,AL$22,FALSE)))</f>
        <v>6.7</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Sheline YI, Gado MH, Kraemer HC.</v>
      </c>
      <c r="AR28" s="13"/>
      <c r="BC28" s="23"/>
      <c r="BF28" s="136"/>
      <c r="BG28" s="136"/>
      <c r="BH28" s="136"/>
      <c r="BI28" s="136"/>
    </row>
    <row r="29" spans="1:65">
      <c r="A29" s="10"/>
      <c r="B29">
        <v>14997169</v>
      </c>
      <c r="C29" s="1" t="str">
        <f>IF($B29="","",HYPERLINK(IF(LEN(VLOOKUP($B29,Database!$B$1:$IX$10144,2,FALSE))=0,"",VLOOKUP($B29,Database!$B$1:$IX$10144,2,FALSE))))</f>
        <v/>
      </c>
      <c r="D29" s="1" t="str">
        <f t="shared" si="0"/>
        <v>http://www.ncbi.nlm.nih.gov/pubmed/14997169</v>
      </c>
      <c r="E29" s="22" t="str">
        <f>IF($B29="","",IF(LEN(VLOOKUP($B29,Database!$B$1:$IX$10144,4,FALSE))=0,"",VLOOKUP($B29,Database!$B$1:$IX$10144,4,FALSE)))</f>
        <v>Hastings RS</v>
      </c>
      <c r="F29" s="22">
        <f>IF($B29="","",IF(LEN(VLOOKUP($B29,Database!$B$1:$IX$10144,5,FALSE))=0,"",VLOOKUP($B29,Database!$B$1:$IX$10144,5,FALSE)))</f>
        <v>2004</v>
      </c>
      <c r="G29" s="1" t="str">
        <f>IF($B29="","",HYPERLINK(IF(LEN(VLOOKUP($B29,Database!$B$1:$IX$10144,6,FALSE))=0,"",VLOOKUP($B29,Database!$B$1:$IX$10144,6,FALSE))))</f>
        <v>http://www.nature.com/npp/journal/v29/n5/pdf/1300371a.pdf</v>
      </c>
      <c r="H29" s="22">
        <f>IF($B29="","",IF(LEN(VLOOKUP($B29,Database!$B$1:$IX$10144,7,FALSE))=0,"",VLOOKUP($B29,Database!$B$1:$IX$10144,7,FALSE)))</f>
        <v>18</v>
      </c>
      <c r="I29" s="22">
        <f>IF($B29="","",IF(LEN(VLOOKUP($B29,Database!$B$1:$IX$10144,8,FALSE))=0,"",VLOOKUP($B29,Database!$B$1:$IX$10144,8,FALSE)))</f>
        <v>18</v>
      </c>
      <c r="J29" t="s">
        <v>1466</v>
      </c>
      <c r="T29">
        <v>1.43</v>
      </c>
      <c r="U29">
        <v>0.14000000000000001</v>
      </c>
      <c r="V29">
        <v>1.4</v>
      </c>
      <c r="W29">
        <v>0.27</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38.9</v>
      </c>
      <c r="AC29" s="22">
        <f>IF(OR($B29="",AC$22=""),"",IF(LEN(VLOOKUP($B29,Database!$B$1:$IX$10144,AC$22,FALSE))=0,"",VLOOKUP($B29,Database!$B$1:$IX$10144,AC$22,FALSE)))</f>
        <v>11.4</v>
      </c>
      <c r="AD29" s="22">
        <f>IF(OR($B29="",AD$22=""),"",IF(LEN(VLOOKUP($B29,Database!$B$1:$IX$10144,AD$22,FALSE))=0,"",VLOOKUP($B29,Database!$B$1:$IX$10144,AD$22,FALSE)))</f>
        <v>34.799999999999997</v>
      </c>
      <c r="AE29" s="22">
        <f>IF(OR($B29="",AE$22=""),"",IF(LEN(VLOOKUP($B29,Database!$B$1:$IX$10144,AE$22,FALSE))=0,"",VLOOKUP($B29,Database!$B$1:$IX$10144,AE$22,FALSE)))</f>
        <v>13.6</v>
      </c>
      <c r="AF29" s="22">
        <f>IF(OR($B29="",AF$22=""),"",IF(LEN(VLOOKUP($B29,Database!$B$1:$IX$10144,AF$22,FALSE))=0,"",VLOOKUP($B29,Database!$B$1:$IX$10144,AF$22,FALSE)))</f>
        <v>10</v>
      </c>
      <c r="AG29" s="22">
        <f>IF(OR($B29="",AG$22=""),"",IF(LEN(VLOOKUP($B29,Database!$B$1:$IX$10144,AG$22,FALSE))=0,"",VLOOKUP($B29,Database!$B$1:$IX$10144,AG$22,FALSE)))</f>
        <v>10</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23</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Hastings RS, Parsey RV, Oquendo MA, Arango V, Mann JJ.</v>
      </c>
      <c r="AR29" s="13"/>
      <c r="BC29" s="23"/>
      <c r="BF29" s="136"/>
      <c r="BG29" s="136"/>
      <c r="BH29" s="136"/>
      <c r="BI29" s="136"/>
    </row>
    <row r="30" spans="1:65">
      <c r="B30">
        <v>19235787</v>
      </c>
      <c r="C30" s="1" t="str">
        <f>IF($B30="","",HYPERLINK(IF(LEN(VLOOKUP($B30,Database!$B$1:$IX$10144,2,FALSE))=0,"",VLOOKUP($B30,Database!$B$1:$IX$10144,2,FALSE))))</f>
        <v/>
      </c>
      <c r="D30" s="1" t="str">
        <f t="shared" si="0"/>
        <v>http://www.ncbi.nlm.nih.gov/pubmed/19235787</v>
      </c>
      <c r="E30" s="22" t="str">
        <f>IF($B30="","",IF(LEN(VLOOKUP($B30,Database!$B$1:$IX$10144,4,FALSE))=0,"",VLOOKUP($B30,Database!$B$1:$IX$10144,4,FALSE)))</f>
        <v>Pan CC</v>
      </c>
      <c r="F30" s="22">
        <f>IF($B30="","",IF(LEN(VLOOKUP($B30,Database!$B$1:$IX$10144,5,FALSE))=0,"",VLOOKUP($B30,Database!$B$1:$IX$10144,5,FALSE)))</f>
        <v>2009</v>
      </c>
      <c r="G30" s="1" t="str">
        <f>IF($B30="","",HYPERLINK(IF(LEN(VLOOKUP($B30,Database!$B$1:$IX$10144,6,FALSE))=0,"",VLOOKUP($B30,Database!$B$1:$IX$10144,6,FALSE))))</f>
        <v>http://www3.interscience.wiley.com/cgi-bin/fulltext/122211615/PDFSTART</v>
      </c>
      <c r="H30" s="22">
        <f>IF($B30="","",IF(LEN(VLOOKUP($B30,Database!$B$1:$IX$10144,7,FALSE))=0,"",VLOOKUP($B30,Database!$B$1:$IX$10144,7,FALSE)))</f>
        <v>170</v>
      </c>
      <c r="I30" s="22">
        <f>IF($B30="","",IF(LEN(VLOOKUP($B30,Database!$B$1:$IX$10144,8,FALSE))=0,"",VLOOKUP($B30,Database!$B$1:$IX$10144,8,FALSE)))</f>
        <v>83</v>
      </c>
      <c r="J30" t="s">
        <v>964</v>
      </c>
      <c r="T30">
        <v>1156.4000000000001</v>
      </c>
      <c r="U30">
        <v>130.80000000000001</v>
      </c>
      <c r="V30">
        <v>1163.5999999999999</v>
      </c>
      <c r="W30">
        <v>123.3</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69.400000000000006</v>
      </c>
      <c r="AC30" s="22">
        <f>IF(OR($B30="",AC$22=""),"",IF(LEN(VLOOKUP($B30,Database!$B$1:$IX$10144,AC$22,FALSE))=0,"",VLOOKUP($B30,Database!$B$1:$IX$10144,AC$22,FALSE)))</f>
        <v>7.5</v>
      </c>
      <c r="AD30" s="22">
        <f>IF(OR($B30="",AD$22=""),"",IF(LEN(VLOOKUP($B30,Database!$B$1:$IX$10144,AD$22,FALSE))=0,"",VLOOKUP($B30,Database!$B$1:$IX$10144,AD$22,FALSE)))</f>
        <v>69.8</v>
      </c>
      <c r="AE30" s="22">
        <f>IF(OR($B30="",AE$22=""),"",IF(LEN(VLOOKUP($B30,Database!$B$1:$IX$10144,AE$22,FALSE))=0,"",VLOOKUP($B30,Database!$B$1:$IX$10144,AE$22,FALSE)))</f>
        <v>5.6</v>
      </c>
      <c r="AF30" s="22">
        <f>IF(OR($B30="",AF$22=""),"",IF(LEN(VLOOKUP($B30,Database!$B$1:$IX$10144,AF$22,FALSE))=0,"",VLOOKUP($B30,Database!$B$1:$IX$10144,AF$22,FALSE)))</f>
        <v>112</v>
      </c>
      <c r="AG30" s="22">
        <f>IF(OR($B30="",AG$22=""),"",IF(LEN(VLOOKUP($B30,Database!$B$1:$IX$10144,AG$22,FALSE))=0,"",VLOOKUP($B30,Database!$B$1:$IX$10144,AG$22,FALSE)))</f>
        <v>61</v>
      </c>
      <c r="AH30" s="22">
        <f>IF(OR($B30="",AH$22=""),"",IF(LEN(VLOOKUP($B30,Database!$B$1:$IX$10144,AH$22,FALSE))=0,"",VLOOKUP($B30,Database!$B$1:$IX$10144,AH$22,FALSE)))</f>
        <v>1.5</v>
      </c>
      <c r="AI30" s="22">
        <f>IF(OR($B30="",AI$22=""),"",IF(LEN(VLOOKUP($B30,Database!$B$1:$IX$10144,AI$22,FALSE))=0,"",VLOOKUP($B30,Database!$B$1:$IX$10144,AI$22,FALSE)))</f>
        <v>3</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Pan CC, McQuoid DR, Taylor WD, Payne ME, Ashley-Koch A, Steffens DC.</v>
      </c>
      <c r="AR30" s="13"/>
      <c r="BC30" s="23"/>
      <c r="BF30" s="136"/>
      <c r="BG30" s="136"/>
      <c r="BH30" s="136"/>
      <c r="BI30" s="136"/>
    </row>
    <row r="31" spans="1:65">
      <c r="A31" s="4" t="s">
        <v>1510</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c r="AR31" s="13" t="s">
        <v>1404</v>
      </c>
      <c r="BC31" s="23"/>
      <c r="BF31" s="136"/>
      <c r="BG31" s="136"/>
      <c r="BH31" s="136"/>
      <c r="BI31" s="136"/>
    </row>
    <row r="32" spans="1:65">
      <c r="A32" s="10" t="s">
        <v>1186</v>
      </c>
      <c r="B32">
        <v>1763144</v>
      </c>
      <c r="C32" s="1" t="str">
        <f>IF($B32="","",HYPERLINK(IF(LEN(VLOOKUP($B32,Database!$B$1:$IX$10144,2,FALSE))=0,"",VLOOKUP($B32,Database!$B$1:$IX$10144,2,FALSE))))</f>
        <v/>
      </c>
      <c r="D32" s="1" t="str">
        <f>IF($B32="","",HYPERLINK(CONCATENATE("http://www.ncbi.nlm.nih.gov/pubmed/",B32)))</f>
        <v>http://www.ncbi.nlm.nih.gov/pubmed/1763144</v>
      </c>
      <c r="E32" s="22" t="str">
        <f>IF($B32="","",IF(LEN(VLOOKUP($B32,Database!$B$1:$IX$10144,4,FALSE))=0,"",VLOOKUP($B32,Database!$B$1:$IX$10144,4,FALSE)))</f>
        <v>Husain MM (B)</v>
      </c>
      <c r="F32" s="22">
        <f>IF($B32="","",IF(LEN(VLOOKUP($B32,Database!$B$1:$IX$10144,5,FALSE))=0,"",VLOOKUP($B32,Database!$B$1:$IX$10144,5,FALSE)))</f>
        <v>1991</v>
      </c>
      <c r="G32" s="1" t="str">
        <f>IF($B32="","",HYPERLINK(IF(LEN(VLOOKUP($B32,Database!$B$1:$IX$10144,6,FALSE))=0,"",VLOOKUP($B32,Database!$B$1:$IX$10144,6,FALSE))))</f>
        <v>http://dx.doi.org/10.1016/0165-1781(91)90149-J</v>
      </c>
      <c r="H32" s="22">
        <f>IF($B32="","",IF(LEN(VLOOKUP($B32,Database!$B$1:$IX$10144,7,FALSE))=0,"",VLOOKUP($B32,Database!$B$1:$IX$10144,7,FALSE)))</f>
        <v>41</v>
      </c>
      <c r="I32" s="22">
        <f>IF($B32="","",IF(LEN(VLOOKUP($B32,Database!$B$1:$IX$10144,8,FALSE))=0,"",VLOOKUP($B32,Database!$B$1:$IX$10144,8,FALSE)))</f>
        <v>44</v>
      </c>
      <c r="J32" t="s">
        <v>1340</v>
      </c>
      <c r="K32" s="10"/>
      <c r="T32">
        <v>925.5</v>
      </c>
      <c r="U32">
        <v>168.7</v>
      </c>
      <c r="V32">
        <v>942.31</v>
      </c>
      <c r="W32">
        <v>126.6</v>
      </c>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55.3</v>
      </c>
      <c r="AC32" s="22">
        <f>IF(OR($B32="",AC$22=""),"",IF(LEN(VLOOKUP($B32,Database!$B$1:$IX$10144,AC$22,FALSE))=0,"",VLOOKUP($B32,Database!$B$1:$IX$10144,AC$22,FALSE)))</f>
        <v>18.8</v>
      </c>
      <c r="AD32" s="22">
        <f>IF(OR($B32="",AD$22=""),"",IF(LEN(VLOOKUP($B32,Database!$B$1:$IX$10144,AD$22,FALSE))=0,"",VLOOKUP($B32,Database!$B$1:$IX$10144,AD$22,FALSE)))</f>
        <v>56.4</v>
      </c>
      <c r="AE32" s="22">
        <f>IF(OR($B32="",AE$22=""),"",IF(LEN(VLOOKUP($B32,Database!$B$1:$IX$10144,AE$22,FALSE))=0,"",VLOOKUP($B32,Database!$B$1:$IX$10144,AE$22,FALSE)))</f>
        <v>19.2</v>
      </c>
      <c r="AF32" s="22" t="str">
        <f>IF(OR($B32="",AF$22=""),"",IF(LEN(VLOOKUP($B32,Database!$B$1:$IX$10144,AF$22,FALSE))=0,"",VLOOKUP($B32,Database!$B$1:$IX$10144,AF$22,FALSE)))</f>
        <v>ns</v>
      </c>
      <c r="AG32" s="22" t="str">
        <f>IF(OR($B32="",AG$22=""),"",IF(LEN(VLOOKUP($B32,Database!$B$1:$IX$10144,AG$22,FALSE))=0,"",VLOOKUP($B32,Database!$B$1:$IX$10144,AG$22,FALSE)))</f>
        <v>ns</v>
      </c>
      <c r="AH32" s="22">
        <f>IF(OR($B32="",AH$22=""),"",IF(LEN(VLOOKUP($B32,Database!$B$1:$IX$10144,AH$22,FALSE))=0,"",VLOOKUP($B32,Database!$B$1:$IX$10144,AH$22,FALSE)))</f>
        <v>1.5</v>
      </c>
      <c r="AI32" s="22">
        <f>IF(OR($B32="",AI$22=""),"",IF(LEN(VLOOKUP($B32,Database!$B$1:$IX$10144,AI$22,FALSE))=0,"",VLOOKUP($B32,Database!$B$1:$IX$10144,AI$22,FALSE)))</f>
        <v>5</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Husain MM, McDonald WM, Doraiswamy PM, Figiel GS, Na C, Escalona PR, Boyko OB, Nemeroff CB, Krishnan KR.</v>
      </c>
      <c r="AR32" s="13"/>
      <c r="BC32" s="23"/>
      <c r="BF32" s="136"/>
      <c r="BG32" s="136"/>
      <c r="BH32" s="136"/>
      <c r="BI32" s="136"/>
    </row>
    <row r="33" spans="1:61">
      <c r="A33" s="10" t="s">
        <v>1186</v>
      </c>
      <c r="B33">
        <v>8341769</v>
      </c>
      <c r="C33" s="1" t="str">
        <f>IF($B33="","",HYPERLINK(IF(LEN(VLOOKUP($B33,Database!$B$1:$IX$10144,2,FALSE))=0,"",VLOOKUP($B33,Database!$B$1:$IX$10144,2,FALSE))))</f>
        <v/>
      </c>
      <c r="D33" s="1" t="str">
        <f>IF($B33="","",HYPERLINK(CONCATENATE("http://www.ncbi.nlm.nih.gov/pubmed/",B33)))</f>
        <v>http://www.ncbi.nlm.nih.gov/pubmed/8341769</v>
      </c>
      <c r="E33" s="22" t="str">
        <f>IF($B33="","",IF(LEN(VLOOKUP($B33,Database!$B$1:$IX$10144,4,FALSE))=0,"",VLOOKUP($B33,Database!$B$1:$IX$10144,4,FALSE)))</f>
        <v>Axelson DA</v>
      </c>
      <c r="F33" s="22">
        <f>IF($B33="","",IF(LEN(VLOOKUP($B33,Database!$B$1:$IX$10144,5,FALSE))=0,"",VLOOKUP($B33,Database!$B$1:$IX$10144,5,FALSE)))</f>
        <v>1993</v>
      </c>
      <c r="G33" s="1" t="str">
        <f>IF($B33="","",HYPERLINK(IF(LEN(VLOOKUP($B33,Database!$B$1:$IX$10144,6,FALSE))=0,"",VLOOKUP($B33,Database!$B$1:$IX$10144,6,FALSE))))</f>
        <v>http://dx.doi.org/10.1016/0165-1781(93)90046-J</v>
      </c>
      <c r="H33" s="22">
        <f>IF($B33="","",IF(LEN(VLOOKUP($B33,Database!$B$1:$IX$10144,7,FALSE))=0,"",VLOOKUP($B33,Database!$B$1:$IX$10144,7,FALSE)))</f>
        <v>19</v>
      </c>
      <c r="I33" s="22">
        <f>IF($B33="","",IF(LEN(VLOOKUP($B33,Database!$B$1:$IX$10144,8,FALSE))=0,"",VLOOKUP($B33,Database!$B$1:$IX$10144,8,FALSE)))</f>
        <v>30</v>
      </c>
      <c r="J33" t="s">
        <v>1341</v>
      </c>
      <c r="T33">
        <v>1181</v>
      </c>
      <c r="U33">
        <v>188</v>
      </c>
      <c r="V33">
        <v>1130</v>
      </c>
      <c r="W33">
        <v>149</v>
      </c>
      <c r="Y33" s="22" t="str">
        <f>IF(OR($B33="",Y$22=""),"",IF(LEN(VLOOKUP($B33,Database!$B$1:$IX$10144,Y$22,FALSE))=0,"",VLOOKUP($B33,Database!$B$1:$IX$10144,Y$22,FALSE)))</f>
        <v>DSM-III</v>
      </c>
      <c r="Z33" s="22" t="str">
        <f>IF(OR($B33="",Z$22=""),"",IF(LEN(VLOOKUP($B33,Database!$B$1:$IX$10144,Z$22,FALSE))=0,"",VLOOKUP($B33,Database!$B$1:$IX$10144,Z$22,FALSE)))</f>
        <v>MRI</v>
      </c>
      <c r="AA33" s="22" t="str">
        <f>IF(OR($B33="",AA$22=""),"",IF(LEN(VLOOKUP($B33,Database!$B$1:$IX$10144,AA$22,FALSE))=0,"",VLOOKUP($B33,Database!$B$1:$IX$10144,AA$22,FALSE)))</f>
        <v/>
      </c>
      <c r="AB33" s="22"/>
      <c r="AC33" s="22"/>
      <c r="AD33" s="22">
        <f>IF(OR($B33="",AD$22=""),"",IF(LEN(VLOOKUP($B33,Database!$B$1:$IX$10144,AD$22,FALSE))=0,"",VLOOKUP($B33,Database!$B$1:$IX$10144,AD$22,FALSE)))</f>
        <v>56.6</v>
      </c>
      <c r="AE33" s="22">
        <f>IF(OR($B33="",AE$22=""),"",IF(LEN(VLOOKUP($B33,Database!$B$1:$IX$10144,AE$22,FALSE))=0,"",VLOOKUP($B33,Database!$B$1:$IX$10144,AE$22,FALSE)))</f>
        <v>19.100000000000001</v>
      </c>
      <c r="AF33" s="22">
        <f>IF(OR($B33="",AF$22=""),"",IF(LEN(VLOOKUP($B33,Database!$B$1:$IX$10144,AF$22,FALSE))=0,"",VLOOKUP($B33,Database!$B$1:$IX$10144,AF$22,FALSE)))</f>
        <v>14</v>
      </c>
      <c r="AG33" s="22">
        <f>IF(OR($B33="",AG$22=""),"",IF(LEN(VLOOKUP($B33,Database!$B$1:$IX$10144,AG$22,FALSE))=0,"",VLOOKUP($B33,Database!$B$1:$IX$10144,AG$22,FALSE)))</f>
        <v>15</v>
      </c>
      <c r="AH33" s="22">
        <f>IF(OR($B33="",AH$22=""),"",IF(LEN(VLOOKUP($B33,Database!$B$1:$IX$10144,AH$22,FALSE))=0,"",VLOOKUP($B33,Database!$B$1:$IX$10144,AH$22,FALSE)))</f>
        <v>1.5</v>
      </c>
      <c r="AI33" s="22">
        <f>IF(OR($B33="",AI$22=""),"",IF(LEN(VLOOKUP($B33,Database!$B$1:$IX$10144,AI$22,FALSE))=0,"",VLOOKUP($B33,Database!$B$1:$IX$10144,AI$22,FALSE)))</f>
        <v>5</v>
      </c>
      <c r="AJ33" s="22" t="str">
        <f>IF(OR($B33="",AJ$22=""),"",IF(LEN(VLOOKUP($B33,Database!$B$1:$IX$10144,AJ$22,FALSE))=0,"",VLOOKUP($B33,Database!$B$1:$IX$10144,AJ$22,FALSE)))</f>
        <v/>
      </c>
      <c r="AK33" s="22">
        <f>IF(OR($B33="",AK$22=""),"",IF(LEN(VLOOKUP($B33,Database!$B$1:$IX$10144,AK$22,FALSE))=0,"",VLOOKUP($B33,Database!$B$1:$IX$10144,AK$22,FALSE)))</f>
        <v>34</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Axelson DA, Doraiswamy PM, McDonald WM, Boyko OB, Tupler LA, Patterson LJ, Nemeroff CB, Ellinwood EH Jr, Krishnan KR.</v>
      </c>
      <c r="AR33" s="13"/>
      <c r="BC33" s="23"/>
      <c r="BF33" s="136"/>
      <c r="BG33" s="136"/>
      <c r="BH33" s="136"/>
      <c r="BI33" s="136"/>
    </row>
    <row r="34" spans="1:61">
      <c r="A34" s="10" t="s">
        <v>418</v>
      </c>
      <c r="B34">
        <v>8632988</v>
      </c>
      <c r="C34" s="1" t="str">
        <f>IF($B34="","",HYPERLINK(IF(LEN(VLOOKUP($B34,Database!$B$1:$IX$10144,2,FALSE))=0,"",VLOOKUP($B34,Database!$B$1:$IX$10144,2,FALSE))))</f>
        <v/>
      </c>
      <c r="D34" s="1" t="str">
        <f>IF($B34="","",HYPERLINK(CONCATENATE("http://www.ncbi.nlm.nih.gov/pubmed/",B34)))</f>
        <v>http://www.ncbi.nlm.nih.gov/pubmed/8632988</v>
      </c>
      <c r="E34" s="22" t="str">
        <f>IF($B34="","",IF(LEN(VLOOKUP($B34,Database!$B$1:$IX$10144,4,FALSE))=0,"",VLOOKUP($B34,Database!$B$1:$IX$10144,4,FALSE)))</f>
        <v>Sheline YI</v>
      </c>
      <c r="F34" s="22">
        <f>IF($B34="","",IF(LEN(VLOOKUP($B34,Database!$B$1:$IX$10144,5,FALSE))=0,"",VLOOKUP($B34,Database!$B$1:$IX$10144,5,FALSE)))</f>
        <v>1996</v>
      </c>
      <c r="G34" s="1" t="str">
        <f>IF($B34="","",HYPERLINK(IF(LEN(VLOOKUP($B34,Database!$B$1:$IX$10144,6,FALSE))=0,"",VLOOKUP($B34,Database!$B$1:$IX$10144,6,FALSE))))</f>
        <v>http://www.pnas.org/content/93/9/3908</v>
      </c>
      <c r="H34" s="22">
        <f>IF($B34="","",IF(LEN(VLOOKUP($B34,Database!$B$1:$IX$10144,7,FALSE))=0,"",VLOOKUP($B34,Database!$B$1:$IX$10144,7,FALSE)))</f>
        <v>10</v>
      </c>
      <c r="I34" s="22">
        <f>IF($B34="","",IF(LEN(VLOOKUP($B34,Database!$B$1:$IX$10144,8,FALSE))=0,"",VLOOKUP($B34,Database!$B$1:$IX$10144,8,FALSE)))</f>
        <v>10</v>
      </c>
      <c r="J34" t="s">
        <v>1342</v>
      </c>
      <c r="T34">
        <v>1167</v>
      </c>
      <c r="U34">
        <v>133</v>
      </c>
      <c r="V34">
        <v>1159</v>
      </c>
      <c r="W34">
        <v>104</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68.5</v>
      </c>
      <c r="AC34" s="22">
        <f>IF(OR($B34="",AC$22=""),"",IF(LEN(VLOOKUP($B34,Database!$B$1:$IX$10144,AC$22,FALSE))=0,"",VLOOKUP($B34,Database!$B$1:$IX$10144,AC$22,FALSE)))</f>
        <v>10.4</v>
      </c>
      <c r="AD34" s="22">
        <f>IF(OR($B34="",AD$22=""),"",IF(LEN(VLOOKUP($B34,Database!$B$1:$IX$10144,AD$22,FALSE))=0,"",VLOOKUP($B34,Database!$B$1:$IX$10144,AD$22,FALSE)))</f>
        <v>68</v>
      </c>
      <c r="AE34" s="22">
        <f>IF(OR($B34="",AE$22=""),"",IF(LEN(VLOOKUP($B34,Database!$B$1:$IX$10144,AE$22,FALSE))=0,"",VLOOKUP($B34,Database!$B$1:$IX$10144,AE$22,FALSE)))</f>
        <v>9.5</v>
      </c>
      <c r="AF34" s="22">
        <f>IF(OR($B34="",AF$22=""),"",IF(LEN(VLOOKUP($B34,Database!$B$1:$IX$10144,AF$22,FALSE))=0,"",VLOOKUP($B34,Database!$B$1:$IX$10144,AF$22,FALSE)))</f>
        <v>10</v>
      </c>
      <c r="AG34" s="22">
        <f>IF(OR($B34="",AG$22=""),"",IF(LEN(VLOOKUP($B34,Database!$B$1:$IX$10144,AG$22,FALSE))=0,"",VLOOKUP($B34,Database!$B$1:$IX$10144,AG$22,FALSE)))</f>
        <v>10</v>
      </c>
      <c r="AH34" s="22">
        <f>IF(OR($B34="",AH$22=""),"",IF(LEN(VLOOKUP($B34,Database!$B$1:$IX$10144,AH$22,FALSE))=0,"",VLOOKUP($B34,Database!$B$1:$IX$10144,AH$22,FALSE)))</f>
        <v>1.5</v>
      </c>
      <c r="AI34" s="22">
        <f>IF(OR($B34="",AI$22=""),"",IF(LEN(VLOOKUP($B34,Database!$B$1:$IX$10144,AI$22,FALSE))=0,"",VLOOKUP($B34,Database!$B$1:$IX$10144,AI$22,FALSE)))</f>
        <v>1.25</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f>IF(OR($B34="",AM$22=""),"",IF(LEN(VLOOKUP($B34,Database!$B$1:$IX$10144,AM$22,FALSE))=0,"",VLOOKUP($B34,Database!$B$1:$IX$10144,AM$22,FALSE)))</f>
        <v>80</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Sheline YI, Wang PW, Gado MH, Csernansky JG, Vannier MW.</v>
      </c>
      <c r="AR34" s="13"/>
      <c r="BC34" s="23"/>
      <c r="BF34" s="136"/>
      <c r="BG34" s="136"/>
      <c r="BH34" s="136"/>
      <c r="BI34" s="136"/>
    </row>
    <row r="35" spans="1:61">
      <c r="A35" s="10" t="s">
        <v>418</v>
      </c>
      <c r="B35">
        <v>9674587</v>
      </c>
      <c r="C35" s="1" t="str">
        <f>IF($B35="","",HYPERLINK(IF(LEN(VLOOKUP($B35,Database!$B$1:$IX$10144,2,FALSE))=0,"",VLOOKUP($B35,Database!$B$1:$IX$10144,2,FALSE))))</f>
        <v/>
      </c>
      <c r="D35" s="1" t="str">
        <f>IF($B35="","",HYPERLINK(CONCATENATE("http://www.ncbi.nlm.nih.gov/pubmed/",B35)))</f>
        <v>http://www.ncbi.nlm.nih.gov/pubmed/9674587</v>
      </c>
      <c r="E35" s="22" t="str">
        <f>IF($B35="","",IF(LEN(VLOOKUP($B35,Database!$B$1:$IX$10144,4,FALSE))=0,"",VLOOKUP($B35,Database!$B$1:$IX$10144,4,FALSE)))</f>
        <v>Sheline YI</v>
      </c>
      <c r="F35" s="22">
        <f>IF($B35="","",IF(LEN(VLOOKUP($B35,Database!$B$1:$IX$10144,5,FALSE))=0,"",VLOOKUP($B35,Database!$B$1:$IX$10144,5,FALSE)))</f>
        <v>1998</v>
      </c>
      <c r="G35" s="1" t="str">
        <f>IF($B35="","",HYPERLINK(IF(LEN(VLOOKUP($B35,Database!$B$1:$IX$10144,6,FALSE))=0,"",VLOOKUP($B35,Database!$B$1:$IX$10144,6,FALSE))))</f>
        <v>http://www.neuroreport.com/pt/re/neuroreport/abstract.00001756-199806220-00021.htm</v>
      </c>
      <c r="H35" s="22">
        <f>IF($B35="","",IF(LEN(VLOOKUP($B35,Database!$B$1:$IX$10144,7,FALSE))=0,"",VLOOKUP($B35,Database!$B$1:$IX$10144,7,FALSE)))</f>
        <v>20</v>
      </c>
      <c r="I35" s="22">
        <f>IF($B35="","",IF(LEN(VLOOKUP($B35,Database!$B$1:$IX$10144,8,FALSE))=0,"",VLOOKUP($B35,Database!$B$1:$IX$10144,8,FALSE)))</f>
        <v>20</v>
      </c>
      <c r="J35" t="s">
        <v>1345</v>
      </c>
      <c r="K35" t="s">
        <v>1344</v>
      </c>
      <c r="T35">
        <v>1153</v>
      </c>
      <c r="U35">
        <v>116</v>
      </c>
      <c r="V35">
        <v>1152</v>
      </c>
      <c r="W35">
        <v>125</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54</v>
      </c>
      <c r="AC35" s="22">
        <f>IF(OR($B35="",AC$22=""),"",IF(LEN(VLOOKUP($B35,Database!$B$1:$IX$10144,AC$22,FALSE))=0,"",VLOOKUP($B35,Database!$B$1:$IX$10144,AC$22,FALSE)))</f>
        <v>18</v>
      </c>
      <c r="AD35" s="22">
        <f>IF(OR($B35="",AD$22=""),"",IF(LEN(VLOOKUP($B35,Database!$B$1:$IX$10144,AD$22,FALSE))=0,"",VLOOKUP($B35,Database!$B$1:$IX$10144,AD$22,FALSE)))</f>
        <v>53</v>
      </c>
      <c r="AE35" s="22">
        <f>IF(OR($B35="",AE$22=""),"",IF(LEN(VLOOKUP($B35,Database!$B$1:$IX$10144,AE$22,FALSE))=0,"",VLOOKUP($B35,Database!$B$1:$IX$10144,AE$22,FALSE)))</f>
        <v>17</v>
      </c>
      <c r="AF35" s="22">
        <f>IF(OR($B35="",AF$22=""),"",IF(LEN(VLOOKUP($B35,Database!$B$1:$IX$10144,AF$22,FALSE))=0,"",VLOOKUP($B35,Database!$B$1:$IX$10144,AF$22,FALSE)))</f>
        <v>20</v>
      </c>
      <c r="AG35" s="22">
        <f>IF(OR($B35="",AG$22=""),"",IF(LEN(VLOOKUP($B35,Database!$B$1:$IX$10144,AG$22,FALSE))=0,"",VLOOKUP($B35,Database!$B$1:$IX$10144,AG$22,FALSE)))</f>
        <v>20</v>
      </c>
      <c r="AH35" s="22">
        <f>IF(OR($B35="",AH$22=""),"",IF(LEN(VLOOKUP($B35,Database!$B$1:$IX$10144,AH$22,FALSE))=0,"",VLOOKUP($B35,Database!$B$1:$IX$10144,AH$22,FALSE)))</f>
        <v>1.5</v>
      </c>
      <c r="AI35" s="22">
        <f>IF(OR($B35="",AI$22=""),"",IF(LEN(VLOOKUP($B35,Database!$B$1:$IX$10144,AI$22,FALSE))=0,"",VLOOKUP($B35,Database!$B$1:$IX$10144,AI$22,FALSE)))</f>
        <v>1.25</v>
      </c>
      <c r="AJ35" s="22" t="str">
        <f>IF(OR($B35="",AJ$22=""),"",IF(LEN(VLOOKUP($B35,Database!$B$1:$IX$10144,AJ$22,FALSE))=0,"",VLOOKUP($B35,Database!$B$1:$IX$10144,AJ$22,FALSE)))</f>
        <v/>
      </c>
      <c r="AK35" s="22" t="str">
        <f>IF(OR($B35="",AK$22=""),"",IF(LEN(VLOOKUP($B35,Database!$B$1:$IX$10144,AK$22,FALSE))=0,"",VLOOKUP($B35,Database!$B$1:$IX$10144,AK$22,FALSE)))</f>
        <v>ns</v>
      </c>
      <c r="AL35" s="22">
        <f>IF(OR($B35="",AL$22=""),"",IF(LEN(VLOOKUP($B35,Database!$B$1:$IX$10144,AL$22,FALSE))=0,"",VLOOKUP($B35,Database!$B$1:$IX$10144,AL$22,FALSE)))</f>
        <v>5</v>
      </c>
      <c r="AM35" s="22">
        <f>IF(OR($B35="",AM$22=""),"",IF(LEN(VLOOKUP($B35,Database!$B$1:$IX$10144,AM$22,FALSE))=0,"",VLOOKUP($B35,Database!$B$1:$IX$10144,AM$22,FALSE)))</f>
        <v>70</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Sheline YI, Gado MH, Price JL.</v>
      </c>
      <c r="AR35" s="13"/>
      <c r="BC35" s="23"/>
      <c r="BF35" s="136"/>
      <c r="BG35" s="136"/>
      <c r="BH35" s="136"/>
      <c r="BI35" s="136"/>
    </row>
    <row r="36" spans="1:61">
      <c r="A36" s="10" t="s">
        <v>1187</v>
      </c>
      <c r="B36">
        <v>16876144</v>
      </c>
      <c r="C36" s="1" t="str">
        <f>IF($B36="","",HYPERLINK(IF(LEN(VLOOKUP($B36,Database!$B$1:$IX$10144,2,FALSE))=0,"",VLOOKUP($B36,Database!$B$1:$IX$10144,2,FALSE))))</f>
        <v/>
      </c>
      <c r="D36" s="1" t="str">
        <f>IF($B36="","",HYPERLINK(CONCATENATE("http://www.ncbi.nlm.nih.gov/pubmed/",B36)))</f>
        <v>http://www.ncbi.nlm.nih.gov/pubmed/16876144</v>
      </c>
      <c r="E36" s="22" t="str">
        <f>IF($B36="","",IF(LEN(VLOOKUP($B36,Database!$B$1:$IX$10144,4,FALSE))=0,"",VLOOKUP($B36,Database!$B$1:$IX$10144,4,FALSE)))</f>
        <v>Bae JN</v>
      </c>
      <c r="F36" s="22">
        <f>IF($B36="","",IF(LEN(VLOOKUP($B36,Database!$B$1:$IX$10144,5,FALSE))=0,"",VLOOKUP($B36,Database!$B$1:$IX$10144,5,FALSE)))</f>
        <v>2006</v>
      </c>
      <c r="G36" s="1" t="str">
        <f>IF($B36="","",HYPERLINK(IF(LEN(VLOOKUP($B36,Database!$B$1:$IX$10144,6,FALSE))=0,"",VLOOKUP($B36,Database!$B$1:$IX$10144,6,FALSE))))</f>
        <v>http://dx.doi.org/10.1016/j.biopsych.2006.03.052</v>
      </c>
      <c r="H36" s="22">
        <f>IF($B36="","",IF(LEN(VLOOKUP($B36,Database!$B$1:$IX$10144,7,FALSE))=0,"",VLOOKUP($B36,Database!$B$1:$IX$10144,7,FALSE)))</f>
        <v>106</v>
      </c>
      <c r="I36" s="22">
        <f>IF($B36="","",IF(LEN(VLOOKUP($B36,Database!$B$1:$IX$10144,8,FALSE))=0,"",VLOOKUP($B36,Database!$B$1:$IX$10144,8,FALSE)))</f>
        <v>84</v>
      </c>
      <c r="J36" t="s">
        <v>1346</v>
      </c>
      <c r="T36">
        <v>1176.8</v>
      </c>
      <c r="U36">
        <v>129.1</v>
      </c>
      <c r="V36">
        <v>1151.2</v>
      </c>
      <c r="W36">
        <v>129.19999999999999</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70</v>
      </c>
      <c r="AC36" s="22">
        <f>IF(OR($B36="",AC$22=""),"",IF(LEN(VLOOKUP($B36,Database!$B$1:$IX$10144,AC$22,FALSE))=0,"",VLOOKUP($B36,Database!$B$1:$IX$10144,AC$22,FALSE)))</f>
        <v>6.4</v>
      </c>
      <c r="AD36" s="22">
        <f>IF(OR($B36="",AD$22=""),"",IF(LEN(VLOOKUP($B36,Database!$B$1:$IX$10144,AD$22,FALSE))=0,"",VLOOKUP($B36,Database!$B$1:$IX$10144,AD$22,FALSE)))</f>
        <v>71.7</v>
      </c>
      <c r="AE36" s="22">
        <f>IF(OR($B36="",AE$22=""),"",IF(LEN(VLOOKUP($B36,Database!$B$1:$IX$10144,AE$22,FALSE))=0,"",VLOOKUP($B36,Database!$B$1:$IX$10144,AE$22,FALSE)))</f>
        <v>6</v>
      </c>
      <c r="AF36" s="22">
        <f>IF(OR($B36="",AF$22=""),"",IF(LEN(VLOOKUP($B36,Database!$B$1:$IX$10144,AF$22,FALSE))=0,"",VLOOKUP($B36,Database!$B$1:$IX$10144,AF$22,FALSE)))</f>
        <v>73</v>
      </c>
      <c r="AG36" s="22">
        <f>IF(OR($B36="",AG$22=""),"",IF(LEN(VLOOKUP($B36,Database!$B$1:$IX$10144,AG$22,FALSE))=0,"",VLOOKUP($B36,Database!$B$1:$IX$10144,AG$22,FALSE)))</f>
        <v>54</v>
      </c>
      <c r="AH36" s="22">
        <f>IF(OR($B36="",AH$22=""),"",IF(LEN(VLOOKUP($B36,Database!$B$1:$IX$10144,AH$22,FALSE))=0,"",VLOOKUP($B36,Database!$B$1:$IX$10144,AH$22,FALSE)))</f>
        <v>1.5</v>
      </c>
      <c r="AI36" s="22">
        <f>IF(OR($B36="",AI$22=""),"",IF(LEN(VLOOKUP($B36,Database!$B$1:$IX$10144,AI$22,FALSE))=0,"",VLOOKUP($B36,Database!$B$1:$IX$10144,AI$22,FALSE)))</f>
        <v>3</v>
      </c>
      <c r="AJ36" s="22" t="str">
        <f>IF(OR($B36="",AJ$22=""),"",IF(LEN(VLOOKUP($B36,Database!$B$1:$IX$10144,AJ$22,FALSE))=0,"",VLOOKUP($B36,Database!$B$1:$IX$10144,AJ$22,FALSE)))</f>
        <v/>
      </c>
      <c r="AK36" s="22">
        <f>IF(OR($B36="",AK$22=""),"",IF(LEN(VLOOKUP($B36,Database!$B$1:$IX$10144,AK$22,FALSE))=0,"",VLOOKUP($B36,Database!$B$1:$IX$10144,AK$22,FALSE)))</f>
        <v>42.6</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Bae JN, MacFall JR, Krishnan KR, Payne ME, Steffens DC, Taylor WD.</v>
      </c>
      <c r="AR36" s="13"/>
      <c r="BC36" s="23"/>
      <c r="BF36" s="136"/>
      <c r="BG36" s="136"/>
      <c r="BH36" s="136"/>
      <c r="BI36" s="136"/>
    </row>
    <row r="37" spans="1:61">
      <c r="I37" s="22" t="str">
        <f>IF($B37="","",IF(LEN(VLOOKUP($B37,Database!$B$1:$IX$10144,8,FALSE))=0,"",VLOOKUP($B37,Database!$B$1:$IX$10144,8,FALSE)))</f>
        <v/>
      </c>
      <c r="AF37" t="s">
        <v>602</v>
      </c>
      <c r="AJ37" t="s">
        <v>329</v>
      </c>
      <c r="AN37" t="s">
        <v>330</v>
      </c>
      <c r="AR37" s="13"/>
      <c r="BB37" s="23"/>
      <c r="BE37" s="136"/>
      <c r="BF37" s="136"/>
      <c r="BG37" s="136"/>
      <c r="BH37" s="136"/>
    </row>
    <row r="38" spans="1:61" ht="45" customHeight="1">
      <c r="E38" s="60" t="s">
        <v>617</v>
      </c>
      <c r="F38" s="60" t="s">
        <v>740</v>
      </c>
      <c r="G38" s="60" t="s">
        <v>244</v>
      </c>
      <c r="H38" s="60" t="s">
        <v>245</v>
      </c>
      <c r="I38" s="60" t="s">
        <v>246</v>
      </c>
      <c r="J38" s="60" t="s">
        <v>593</v>
      </c>
      <c r="K38" s="60" t="s">
        <v>1039</v>
      </c>
      <c r="L38" s="60" t="s">
        <v>594</v>
      </c>
      <c r="M38" s="60" t="s">
        <v>1299</v>
      </c>
      <c r="N38" s="61" t="s">
        <v>595</v>
      </c>
      <c r="O38" s="61" t="s">
        <v>596</v>
      </c>
      <c r="P38" s="61" t="s">
        <v>597</v>
      </c>
      <c r="Q38" s="61" t="s">
        <v>598</v>
      </c>
      <c r="R38" s="61" t="s">
        <v>599</v>
      </c>
      <c r="S38" s="61" t="s">
        <v>600</v>
      </c>
      <c r="T38" s="61" t="s">
        <v>601</v>
      </c>
      <c r="U38" s="61" t="s">
        <v>484</v>
      </c>
      <c r="V38" s="61" t="s">
        <v>485</v>
      </c>
      <c r="W38" s="61" t="s">
        <v>486</v>
      </c>
      <c r="AF38" s="61" t="s">
        <v>1517</v>
      </c>
      <c r="AG38" s="62" t="s">
        <v>834</v>
      </c>
      <c r="AH38" s="62" t="s">
        <v>835</v>
      </c>
      <c r="AJ38" s="61" t="s">
        <v>836</v>
      </c>
      <c r="AK38" s="61" t="s">
        <v>837</v>
      </c>
      <c r="AL38" s="61" t="s">
        <v>487</v>
      </c>
      <c r="AN38" t="s">
        <v>488</v>
      </c>
      <c r="AO38" t="s">
        <v>489</v>
      </c>
      <c r="AP38" t="s">
        <v>490</v>
      </c>
      <c r="AQ38" t="s">
        <v>491</v>
      </c>
      <c r="AR38" t="s">
        <v>492</v>
      </c>
      <c r="AS38" t="s">
        <v>493</v>
      </c>
      <c r="AT38" t="s">
        <v>494</v>
      </c>
      <c r="AU38" t="s">
        <v>495</v>
      </c>
      <c r="AV38" t="s">
        <v>496</v>
      </c>
      <c r="AW38" t="s">
        <v>497</v>
      </c>
      <c r="AX38" t="s">
        <v>498</v>
      </c>
      <c r="AY38" t="s">
        <v>499</v>
      </c>
    </row>
    <row r="39" spans="1:61">
      <c r="E39" t="str">
        <f t="shared" ref="E39:F41" si="1">E24</f>
        <v>Krishnan KR</v>
      </c>
      <c r="F39">
        <f t="shared" si="1"/>
        <v>1992</v>
      </c>
      <c r="G39">
        <v>11</v>
      </c>
      <c r="H39">
        <f t="shared" ref="H39:I41" si="2">H24</f>
        <v>50</v>
      </c>
      <c r="I39">
        <f t="shared" si="2"/>
        <v>50</v>
      </c>
      <c r="J39">
        <f t="shared" ref="J39:M45" si="3">IF($D$4="Total",T24,IF($D$4="Left",L24,IF($D$4="Right",P24,"error")))</f>
        <v>907</v>
      </c>
      <c r="K39">
        <f t="shared" si="3"/>
        <v>142</v>
      </c>
      <c r="L39">
        <f t="shared" si="3"/>
        <v>963</v>
      </c>
      <c r="M39">
        <f t="shared" si="3"/>
        <v>156</v>
      </c>
      <c r="N39">
        <f t="shared" ref="N39:N44" si="4">IF($D$3=1,SQRT((((I39-1)*(M39)^2)+((H39-1)*(K39)^2))/(H39+I39-2)),M39)</f>
        <v>149.16433890176299</v>
      </c>
      <c r="O39" s="59">
        <f t="shared" ref="O39:O44" si="5">IF($D$6=1,LN(J39/L39),IF($D$5=1,(1-3/(4*(H39+I39)-9))*((J39-L39)/N39),(J39-L39)/N39))</f>
        <v>-0.37254435537314357</v>
      </c>
      <c r="P39" s="63">
        <f t="shared" ref="P39:P44" si="6">IF($D$6=1,(K39^2)/(H39*J39^2)+(M39^2)/(I39*L39^2),(IF($D$5=1,((H39+I39)/(H39*I39))+(O39*O39)/(2*(H39+I39-3.94)),((H39+I39)/(H39*I39))+((O39^2)/(2*(H39+I39-2))))))</f>
        <v>4.0722409414534623E-2</v>
      </c>
      <c r="Q39" s="59">
        <f t="shared" ref="Q39:Q45" si="7">$R$62*SQRT(P39)</f>
        <v>0.39552396641275256</v>
      </c>
      <c r="R39" s="59">
        <f t="shared" ref="R39:R44" si="8">1/P39</f>
        <v>24.556503762350577</v>
      </c>
      <c r="S39" s="59">
        <f t="shared" ref="S39:S44" si="9">O39*R39</f>
        <v>-9.1483868643630704</v>
      </c>
      <c r="T39" s="59">
        <f t="shared" ref="T39:T44" si="10">R39*(O39^2)</f>
        <v>3.4081798870882745</v>
      </c>
      <c r="U39" s="23">
        <f t="shared" ref="U39:U44" si="11">R39^2</f>
        <v>603.02187703033803</v>
      </c>
      <c r="V39" s="59">
        <f t="shared" ref="V39:V45" si="12">1/((1/R39)+$I$59)</f>
        <v>24.556503762350577</v>
      </c>
      <c r="W39" s="59">
        <f t="shared" ref="W39:W44" si="13">V39*O39</f>
        <v>-9.1483868643630704</v>
      </c>
      <c r="AF39" s="59">
        <f t="shared" ref="AF39:AF44" si="14">IF($D$6=1,100*((EXP(O39))-1),O39)</f>
        <v>-0.37254435537314357</v>
      </c>
      <c r="AG39" s="59">
        <f t="shared" ref="AG39:AG44" si="15">IF($D$6=1,100*(EXP(O39+Q39)-EXP(O39)),Q39)</f>
        <v>0.39552396641275256</v>
      </c>
      <c r="AH39" s="59">
        <f t="shared" ref="AH39:AH44" si="16">IF($D$6=1,100*(EXP(O39)-EXP(O39-Q39)),Q39)</f>
        <v>0.39552396641275256</v>
      </c>
      <c r="AJ39">
        <f t="shared" ref="AJ39:AJ44" si="17">SQRT(P39)</f>
        <v>0.20179794204732274</v>
      </c>
      <c r="AK39">
        <f t="shared" ref="AK39:AK45" si="18">1/AJ39</f>
        <v>4.9554519231196839</v>
      </c>
      <c r="AL39">
        <f t="shared" ref="AL39:AL44" si="19">O39/AJ39</f>
        <v>-1.8461256422812273</v>
      </c>
      <c r="AN39" t="str">
        <f t="shared" ref="AN39:AN44" si="20">E39</f>
        <v>Krishnan KR</v>
      </c>
      <c r="AO39">
        <f t="shared" ref="AO39:AO44" si="21">F39</f>
        <v>1992</v>
      </c>
      <c r="AP39" t="str">
        <f t="shared" ref="AP39:AP44" si="22">CONCATENATE(AN39," ",AO39)</f>
        <v>Krishnan KR 1992</v>
      </c>
      <c r="AQ39">
        <f t="shared" ref="AQ39:AQ44" si="23">INT(H39)</f>
        <v>50</v>
      </c>
      <c r="AR39">
        <f t="shared" ref="AR39:AR44" si="24">J39</f>
        <v>907</v>
      </c>
      <c r="AS39">
        <f t="shared" ref="AS39:AS44" si="25">K39</f>
        <v>142</v>
      </c>
      <c r="AT39">
        <f t="shared" ref="AT39:AT44" si="26">INT(I39)</f>
        <v>50</v>
      </c>
      <c r="AU39">
        <f t="shared" ref="AU39:AU44" si="27">L39</f>
        <v>963</v>
      </c>
      <c r="AV39">
        <f t="shared" ref="AV39:AV44" si="28">M39</f>
        <v>156</v>
      </c>
      <c r="AW39" s="65">
        <f t="shared" ref="AW39:AW44" si="29">O39</f>
        <v>-0.37254435537314357</v>
      </c>
      <c r="AX39">
        <f t="shared" ref="AX39:AX44" si="30">SQRT(P39)</f>
        <v>0.20179794204732274</v>
      </c>
      <c r="AY39" t="str">
        <f>$F$4</f>
        <v>Total</v>
      </c>
    </row>
    <row r="40" spans="1:61">
      <c r="E40" t="str">
        <f t="shared" si="1"/>
        <v>Dupont RM (A)</v>
      </c>
      <c r="F40">
        <f t="shared" si="1"/>
        <v>1995</v>
      </c>
      <c r="G40">
        <v>9</v>
      </c>
      <c r="H40">
        <f t="shared" si="2"/>
        <v>30</v>
      </c>
      <c r="I40">
        <f t="shared" si="2"/>
        <v>26</v>
      </c>
      <c r="J40">
        <f t="shared" si="3"/>
        <v>192060.67</v>
      </c>
      <c r="K40">
        <f t="shared" si="3"/>
        <v>19334.8</v>
      </c>
      <c r="L40">
        <f t="shared" si="3"/>
        <v>193525.65</v>
      </c>
      <c r="M40">
        <f t="shared" si="3"/>
        <v>15901.37</v>
      </c>
      <c r="N40">
        <f t="shared" si="4"/>
        <v>17827.641582397169</v>
      </c>
      <c r="O40" s="59">
        <f t="shared" si="5"/>
        <v>-8.1028015507724552E-2</v>
      </c>
      <c r="P40" s="63">
        <f t="shared" si="6"/>
        <v>7.1857929221851427E-2</v>
      </c>
      <c r="Q40" s="59">
        <f t="shared" si="7"/>
        <v>0.52540405489362607</v>
      </c>
      <c r="R40" s="59">
        <f t="shared" si="8"/>
        <v>13.916348701235714</v>
      </c>
      <c r="S40" s="59">
        <f t="shared" si="9"/>
        <v>-1.1276141183746298</v>
      </c>
      <c r="T40" s="59">
        <f t="shared" si="10"/>
        <v>9.1368334270388651E-2</v>
      </c>
      <c r="U40" s="23">
        <f t="shared" si="11"/>
        <v>193.66476117438495</v>
      </c>
      <c r="V40" s="59">
        <f t="shared" si="12"/>
        <v>13.916348701235714</v>
      </c>
      <c r="W40" s="59">
        <f t="shared" si="13"/>
        <v>-1.1276141183746298</v>
      </c>
      <c r="AF40" s="59">
        <f t="shared" si="14"/>
        <v>-8.1028015507724552E-2</v>
      </c>
      <c r="AG40" s="59">
        <f t="shared" si="15"/>
        <v>0.52540405489362607</v>
      </c>
      <c r="AH40" s="59">
        <f t="shared" si="16"/>
        <v>0.52540405489362607</v>
      </c>
      <c r="AJ40">
        <f t="shared" si="17"/>
        <v>0.26806329331307455</v>
      </c>
      <c r="AK40">
        <f t="shared" si="18"/>
        <v>3.7304622637463729</v>
      </c>
      <c r="AL40">
        <f t="shared" si="19"/>
        <v>-0.30227195415782232</v>
      </c>
      <c r="AN40" t="str">
        <f t="shared" si="20"/>
        <v>Dupont RM (A)</v>
      </c>
      <c r="AO40">
        <f t="shared" si="21"/>
        <v>1995</v>
      </c>
      <c r="AP40" t="str">
        <f t="shared" si="22"/>
        <v>Dupont RM (A) 1995</v>
      </c>
      <c r="AQ40">
        <f t="shared" si="23"/>
        <v>30</v>
      </c>
      <c r="AR40">
        <f t="shared" si="24"/>
        <v>192060.67</v>
      </c>
      <c r="AS40">
        <f t="shared" si="25"/>
        <v>19334.8</v>
      </c>
      <c r="AT40">
        <f t="shared" si="26"/>
        <v>26</v>
      </c>
      <c r="AU40">
        <f t="shared" si="27"/>
        <v>193525.65</v>
      </c>
      <c r="AV40">
        <f t="shared" si="28"/>
        <v>15901.37</v>
      </c>
      <c r="AW40" s="65">
        <f t="shared" si="29"/>
        <v>-8.1028015507724552E-2</v>
      </c>
      <c r="AX40">
        <f t="shared" si="30"/>
        <v>0.26806329331307455</v>
      </c>
      <c r="AY40" t="str">
        <f>$F$5</f>
        <v>H Correction</v>
      </c>
    </row>
    <row r="41" spans="1:61">
      <c r="E41" t="str">
        <f t="shared" si="1"/>
        <v>Pillay SS</v>
      </c>
      <c r="F41">
        <f t="shared" si="1"/>
        <v>1997</v>
      </c>
      <c r="G41">
        <v>7</v>
      </c>
      <c r="H41">
        <f t="shared" si="2"/>
        <v>38</v>
      </c>
      <c r="I41">
        <f t="shared" si="2"/>
        <v>20</v>
      </c>
      <c r="J41">
        <f t="shared" si="3"/>
        <v>1071.3</v>
      </c>
      <c r="K41">
        <f t="shared" si="3"/>
        <v>142.4</v>
      </c>
      <c r="L41">
        <f t="shared" si="3"/>
        <v>1052.9000000000001</v>
      </c>
      <c r="M41">
        <f t="shared" si="3"/>
        <v>106.5</v>
      </c>
      <c r="N41">
        <f t="shared" si="4"/>
        <v>131.32428985965566</v>
      </c>
      <c r="O41" s="59">
        <f t="shared" si="5"/>
        <v>0.13822626710650515</v>
      </c>
      <c r="P41" s="63">
        <f t="shared" si="6"/>
        <v>7.649250516845113E-2</v>
      </c>
      <c r="Q41" s="59">
        <f t="shared" si="7"/>
        <v>0.54208265777012443</v>
      </c>
      <c r="R41" s="59">
        <f t="shared" si="8"/>
        <v>13.073176225537505</v>
      </c>
      <c r="S41" s="59">
        <f t="shared" si="9"/>
        <v>1.8070563488815601</v>
      </c>
      <c r="T41" s="59">
        <f t="shared" si="10"/>
        <v>0.24978265355700849</v>
      </c>
      <c r="U41" s="23">
        <f t="shared" si="11"/>
        <v>170.90793662395905</v>
      </c>
      <c r="V41" s="59">
        <f t="shared" si="12"/>
        <v>13.073176225537505</v>
      </c>
      <c r="W41" s="59">
        <f t="shared" si="13"/>
        <v>1.8070563488815601</v>
      </c>
      <c r="AF41" s="59">
        <f t="shared" si="14"/>
        <v>0.13822626710650515</v>
      </c>
      <c r="AG41" s="59">
        <f t="shared" si="15"/>
        <v>0.54208265777012443</v>
      </c>
      <c r="AH41" s="59">
        <f t="shared" si="16"/>
        <v>0.54208265777012443</v>
      </c>
      <c r="AJ41">
        <f t="shared" si="17"/>
        <v>0.27657278457659412</v>
      </c>
      <c r="AK41">
        <f t="shared" si="18"/>
        <v>3.6156847519574358</v>
      </c>
      <c r="AL41">
        <f t="shared" si="19"/>
        <v>0.49978260629698634</v>
      </c>
      <c r="AN41" t="str">
        <f t="shared" si="20"/>
        <v>Pillay SS</v>
      </c>
      <c r="AO41">
        <f t="shared" si="21"/>
        <v>1997</v>
      </c>
      <c r="AP41" t="str">
        <f t="shared" si="22"/>
        <v>Pillay SS 1997</v>
      </c>
      <c r="AQ41">
        <f t="shared" si="23"/>
        <v>38</v>
      </c>
      <c r="AR41">
        <f t="shared" si="24"/>
        <v>1071.3</v>
      </c>
      <c r="AS41">
        <f t="shared" si="25"/>
        <v>142.4</v>
      </c>
      <c r="AT41">
        <f t="shared" si="26"/>
        <v>20</v>
      </c>
      <c r="AU41">
        <f t="shared" si="27"/>
        <v>1052.9000000000001</v>
      </c>
      <c r="AV41">
        <f t="shared" si="28"/>
        <v>106.5</v>
      </c>
      <c r="AW41" s="65">
        <f t="shared" si="29"/>
        <v>0.13822626710650515</v>
      </c>
      <c r="AX41">
        <f t="shared" si="30"/>
        <v>0.27657278457659412</v>
      </c>
    </row>
    <row r="42" spans="1:61">
      <c r="E42" t="str">
        <f t="shared" ref="E42:F44" si="31">E27</f>
        <v>Botteron KN</v>
      </c>
      <c r="F42">
        <f t="shared" si="31"/>
        <v>2002</v>
      </c>
      <c r="G42">
        <v>5</v>
      </c>
      <c r="H42">
        <f t="shared" ref="H42:I44" si="32">H27</f>
        <v>48</v>
      </c>
      <c r="I42">
        <f t="shared" si="32"/>
        <v>48</v>
      </c>
      <c r="J42">
        <f t="shared" si="3"/>
        <v>1038</v>
      </c>
      <c r="K42">
        <f t="shared" si="3"/>
        <v>225</v>
      </c>
      <c r="L42">
        <f t="shared" si="3"/>
        <v>1097</v>
      </c>
      <c r="M42">
        <f t="shared" si="3"/>
        <v>74</v>
      </c>
      <c r="N42">
        <f t="shared" si="4"/>
        <v>167.48283494137542</v>
      </c>
      <c r="O42" s="59">
        <f t="shared" si="5"/>
        <v>-0.34945670713352062</v>
      </c>
      <c r="P42" s="63">
        <f t="shared" si="6"/>
        <v>4.2329929702516131E-2</v>
      </c>
      <c r="Q42" s="59">
        <f t="shared" si="7"/>
        <v>0.40325507801537475</v>
      </c>
      <c r="R42" s="59">
        <f t="shared" si="8"/>
        <v>23.623946626600684</v>
      </c>
      <c r="S42" s="59">
        <f t="shared" si="9"/>
        <v>-8.2555465976299178</v>
      </c>
      <c r="T42" s="59">
        <f t="shared" si="10"/>
        <v>2.8849561295950905</v>
      </c>
      <c r="U42" s="23">
        <f t="shared" si="11"/>
        <v>558.09085421647785</v>
      </c>
      <c r="V42" s="59">
        <f t="shared" si="12"/>
        <v>23.623946626600684</v>
      </c>
      <c r="W42" s="59">
        <f t="shared" si="13"/>
        <v>-8.2555465976299178</v>
      </c>
      <c r="AF42" s="59">
        <f t="shared" si="14"/>
        <v>-0.34945670713352062</v>
      </c>
      <c r="AG42" s="59">
        <f t="shared" si="15"/>
        <v>0.40325507801537475</v>
      </c>
      <c r="AH42" s="59">
        <f t="shared" si="16"/>
        <v>0.40325507801537475</v>
      </c>
      <c r="AJ42">
        <f t="shared" si="17"/>
        <v>0.20574238674253814</v>
      </c>
      <c r="AK42">
        <f t="shared" si="18"/>
        <v>4.8604471632351567</v>
      </c>
      <c r="AL42">
        <f t="shared" si="19"/>
        <v>-1.6985158608606192</v>
      </c>
      <c r="AN42" t="str">
        <f t="shared" si="20"/>
        <v>Botteron KN</v>
      </c>
      <c r="AO42">
        <f t="shared" si="21"/>
        <v>2002</v>
      </c>
      <c r="AP42" t="str">
        <f t="shared" si="22"/>
        <v>Botteron KN 2002</v>
      </c>
      <c r="AQ42">
        <f t="shared" si="23"/>
        <v>48</v>
      </c>
      <c r="AR42">
        <f t="shared" si="24"/>
        <v>1038</v>
      </c>
      <c r="AS42">
        <f t="shared" si="25"/>
        <v>225</v>
      </c>
      <c r="AT42">
        <f t="shared" si="26"/>
        <v>48</v>
      </c>
      <c r="AU42">
        <f t="shared" si="27"/>
        <v>1097</v>
      </c>
      <c r="AV42">
        <f t="shared" si="28"/>
        <v>74</v>
      </c>
      <c r="AW42" s="65">
        <f t="shared" si="29"/>
        <v>-0.34945670713352062</v>
      </c>
      <c r="AX42">
        <f t="shared" si="30"/>
        <v>0.20574238674253814</v>
      </c>
    </row>
    <row r="43" spans="1:61">
      <c r="E43" t="str">
        <f t="shared" si="31"/>
        <v>Sheline YI</v>
      </c>
      <c r="F43">
        <f t="shared" si="31"/>
        <v>2003</v>
      </c>
      <c r="G43">
        <v>4</v>
      </c>
      <c r="H43">
        <f t="shared" si="32"/>
        <v>38</v>
      </c>
      <c r="I43">
        <f t="shared" si="32"/>
        <v>38</v>
      </c>
      <c r="J43">
        <f t="shared" si="3"/>
        <v>1057</v>
      </c>
      <c r="K43">
        <f t="shared" si="3"/>
        <v>152</v>
      </c>
      <c r="L43">
        <f t="shared" si="3"/>
        <v>1054</v>
      </c>
      <c r="M43">
        <f t="shared" si="3"/>
        <v>154</v>
      </c>
      <c r="N43">
        <f t="shared" si="4"/>
        <v>153.00326793895613</v>
      </c>
      <c r="O43" s="59">
        <f t="shared" si="5"/>
        <v>1.940802680507759E-2</v>
      </c>
      <c r="P43" s="63">
        <f t="shared" si="6"/>
        <v>5.263419254370804E-2</v>
      </c>
      <c r="Q43" s="59">
        <f t="shared" si="7"/>
        <v>0.44966600280197838</v>
      </c>
      <c r="R43" s="59">
        <f t="shared" si="8"/>
        <v>18.999056538572116</v>
      </c>
      <c r="S43" s="59">
        <f t="shared" si="9"/>
        <v>0.36873419857179229</v>
      </c>
      <c r="T43" s="59">
        <f t="shared" si="10"/>
        <v>7.1564032098301467E-3</v>
      </c>
      <c r="U43" s="23">
        <f t="shared" si="11"/>
        <v>360.96414935585989</v>
      </c>
      <c r="V43" s="59">
        <f t="shared" si="12"/>
        <v>18.999056538572116</v>
      </c>
      <c r="W43" s="59">
        <f t="shared" si="13"/>
        <v>0.36873419857179229</v>
      </c>
      <c r="AF43" s="59">
        <f t="shared" si="14"/>
        <v>1.940802680507759E-2</v>
      </c>
      <c r="AG43" s="59">
        <f t="shared" si="15"/>
        <v>0.44966600280197838</v>
      </c>
      <c r="AH43" s="59">
        <f t="shared" si="16"/>
        <v>0.44966600280197838</v>
      </c>
      <c r="AJ43">
        <f t="shared" si="17"/>
        <v>0.22942143000100937</v>
      </c>
      <c r="AK43">
        <f t="shared" si="18"/>
        <v>4.3587907197492424</v>
      </c>
      <c r="AL43">
        <f t="shared" si="19"/>
        <v>8.4595527126616735E-2</v>
      </c>
      <c r="AN43" t="str">
        <f t="shared" si="20"/>
        <v>Sheline YI</v>
      </c>
      <c r="AO43">
        <f t="shared" si="21"/>
        <v>2003</v>
      </c>
      <c r="AP43" t="str">
        <f t="shared" si="22"/>
        <v>Sheline YI 2003</v>
      </c>
      <c r="AQ43">
        <f t="shared" si="23"/>
        <v>38</v>
      </c>
      <c r="AR43">
        <f t="shared" si="24"/>
        <v>1057</v>
      </c>
      <c r="AS43">
        <f t="shared" si="25"/>
        <v>152</v>
      </c>
      <c r="AT43">
        <f t="shared" si="26"/>
        <v>38</v>
      </c>
      <c r="AU43">
        <f t="shared" si="27"/>
        <v>1054</v>
      </c>
      <c r="AV43">
        <f t="shared" si="28"/>
        <v>154</v>
      </c>
      <c r="AW43" s="65">
        <f t="shared" si="29"/>
        <v>1.940802680507759E-2</v>
      </c>
      <c r="AX43">
        <f t="shared" si="30"/>
        <v>0.22942143000100937</v>
      </c>
    </row>
    <row r="44" spans="1:61">
      <c r="E44" t="str">
        <f t="shared" si="31"/>
        <v>Hastings RS</v>
      </c>
      <c r="F44">
        <f t="shared" si="31"/>
        <v>2004</v>
      </c>
      <c r="G44">
        <v>3</v>
      </c>
      <c r="H44">
        <f t="shared" si="32"/>
        <v>18</v>
      </c>
      <c r="I44">
        <f t="shared" si="32"/>
        <v>18</v>
      </c>
      <c r="J44">
        <f t="shared" si="3"/>
        <v>1.43</v>
      </c>
      <c r="K44">
        <f t="shared" si="3"/>
        <v>0.14000000000000001</v>
      </c>
      <c r="L44">
        <f t="shared" si="3"/>
        <v>1.4</v>
      </c>
      <c r="M44">
        <f t="shared" si="3"/>
        <v>0.27</v>
      </c>
      <c r="N44">
        <f t="shared" si="4"/>
        <v>0.21505813167606569</v>
      </c>
      <c r="O44" s="59">
        <f t="shared" si="5"/>
        <v>0.13639722945941474</v>
      </c>
      <c r="P44" s="63">
        <f t="shared" si="6"/>
        <v>0.11140125777680362</v>
      </c>
      <c r="Q44" s="59">
        <f t="shared" si="7"/>
        <v>0.65418580837203189</v>
      </c>
      <c r="R44" s="59">
        <f t="shared" si="8"/>
        <v>8.9765593311660403</v>
      </c>
      <c r="S44" s="59">
        <f t="shared" si="9"/>
        <v>1.2243778228491049</v>
      </c>
      <c r="T44" s="59">
        <f t="shared" si="10"/>
        <v>0.16700174284816802</v>
      </c>
      <c r="U44" s="23">
        <f t="shared" si="11"/>
        <v>80.578617425944103</v>
      </c>
      <c r="V44" s="59">
        <f t="shared" si="12"/>
        <v>8.9765593311660403</v>
      </c>
      <c r="W44" s="59">
        <f t="shared" si="13"/>
        <v>1.2243778228491049</v>
      </c>
      <c r="AF44" s="59">
        <f t="shared" si="14"/>
        <v>0.13639722945941474</v>
      </c>
      <c r="AG44" s="59">
        <f t="shared" si="15"/>
        <v>0.65418580837203189</v>
      </c>
      <c r="AH44" s="59">
        <f t="shared" si="16"/>
        <v>0.65418580837203189</v>
      </c>
      <c r="AJ44">
        <f t="shared" si="17"/>
        <v>0.33376826957756728</v>
      </c>
      <c r="AK44">
        <f t="shared" si="18"/>
        <v>2.996090674723654</v>
      </c>
      <c r="AL44">
        <f t="shared" si="19"/>
        <v>0.40865846724149496</v>
      </c>
      <c r="AN44" t="str">
        <f t="shared" si="20"/>
        <v>Hastings RS</v>
      </c>
      <c r="AO44">
        <f t="shared" si="21"/>
        <v>2004</v>
      </c>
      <c r="AP44" t="str">
        <f t="shared" si="22"/>
        <v>Hastings RS 2004</v>
      </c>
      <c r="AQ44">
        <f t="shared" si="23"/>
        <v>18</v>
      </c>
      <c r="AR44">
        <f t="shared" si="24"/>
        <v>1.43</v>
      </c>
      <c r="AS44">
        <f t="shared" si="25"/>
        <v>0.14000000000000001</v>
      </c>
      <c r="AT44">
        <f t="shared" si="26"/>
        <v>18</v>
      </c>
      <c r="AU44">
        <f t="shared" si="27"/>
        <v>1.4</v>
      </c>
      <c r="AV44">
        <f t="shared" si="28"/>
        <v>0.27</v>
      </c>
      <c r="AW44" s="65">
        <f t="shared" si="29"/>
        <v>0.13639722945941474</v>
      </c>
      <c r="AX44">
        <f t="shared" si="30"/>
        <v>0.33376826957756728</v>
      </c>
    </row>
    <row r="45" spans="1:61">
      <c r="E45" t="str">
        <f>E30</f>
        <v>Pan CC</v>
      </c>
      <c r="F45">
        <f>F30</f>
        <v>2009</v>
      </c>
      <c r="G45">
        <v>1</v>
      </c>
      <c r="H45">
        <f>H30</f>
        <v>170</v>
      </c>
      <c r="I45">
        <f>I30</f>
        <v>83</v>
      </c>
      <c r="J45">
        <f t="shared" si="3"/>
        <v>1156.4000000000001</v>
      </c>
      <c r="K45">
        <f t="shared" si="3"/>
        <v>130.80000000000001</v>
      </c>
      <c r="L45">
        <f t="shared" si="3"/>
        <v>1163.5999999999999</v>
      </c>
      <c r="M45">
        <f t="shared" si="3"/>
        <v>123.3</v>
      </c>
      <c r="N45">
        <f>IF($D$3=1,SQRT((((I45-1)*(M45)^2)+((H45-1)*(K45)^2))/(H45+I45-2)),M45)</f>
        <v>128.39799212787605</v>
      </c>
      <c r="O45" s="59">
        <f>IF($D$6=1,LN(J45/L45),IF($D$5=1,(1-3/(4*(H45+I45)-9))*((J45-L45)/N45),(J45-L45)/N45))</f>
        <v>-5.5907919487027419E-2</v>
      </c>
      <c r="P45" s="63">
        <f>IF($D$6=1,(K45^2)/(H45*J45^2)+(M45^2)/(I45*L45^2),(IF($D$5=1,((H45+I45)/(H45*I45))+(O45*O45)/(2*(H45+I45-3.94)),((H45+I45)/(H45*I45))+((O45^2)/(2*(H45+I45-2))))))</f>
        <v>1.793682069712664E-2</v>
      </c>
      <c r="Q45" s="59">
        <f t="shared" si="7"/>
        <v>0.26249969598093198</v>
      </c>
      <c r="R45" s="59">
        <f>1/P45</f>
        <v>55.751240249627593</v>
      </c>
      <c r="S45" s="59">
        <f>O45*R45</f>
        <v>-3.116935851178102</v>
      </c>
      <c r="T45" s="59">
        <f>R45*(O45^2)</f>
        <v>0.17426139861389461</v>
      </c>
      <c r="U45" s="23">
        <f>R45^2</f>
        <v>3108.2007893716959</v>
      </c>
      <c r="V45" s="59">
        <f t="shared" si="12"/>
        <v>55.751240249627593</v>
      </c>
      <c r="W45" s="59">
        <f>V45*O45</f>
        <v>-3.116935851178102</v>
      </c>
      <c r="AF45" s="59">
        <f>IF($D$6=1,100*((EXP(O45))-1),O45)</f>
        <v>-5.5907919487027419E-2</v>
      </c>
      <c r="AG45" s="59">
        <f>IF($D$6=1,100*(EXP(O45+Q45)-EXP(O45)),Q45)</f>
        <v>0.26249969598093198</v>
      </c>
      <c r="AH45" s="59">
        <f>IF($D$6=1,100*(EXP(O45)-EXP(O45-Q45)),Q45)</f>
        <v>0.26249969598093198</v>
      </c>
      <c r="AJ45">
        <f>SQRT(P45)</f>
        <v>0.13392841631680202</v>
      </c>
      <c r="AK45">
        <f t="shared" si="18"/>
        <v>7.466675314330173</v>
      </c>
      <c r="AL45">
        <f>O45/AJ45</f>
        <v>-0.41744628230934644</v>
      </c>
      <c r="AN45" t="str">
        <f>E45</f>
        <v>Pan CC</v>
      </c>
      <c r="AO45">
        <f>F45</f>
        <v>2009</v>
      </c>
      <c r="AP45" t="str">
        <f>CONCATENATE(AN45," ",AO45)</f>
        <v>Pan CC 2009</v>
      </c>
      <c r="AQ45">
        <f>INT(H45)</f>
        <v>170</v>
      </c>
      <c r="AR45">
        <f>J45</f>
        <v>1156.4000000000001</v>
      </c>
      <c r="AS45">
        <f>K45</f>
        <v>130.80000000000001</v>
      </c>
      <c r="AT45">
        <f>INT(I45)</f>
        <v>83</v>
      </c>
      <c r="AU45">
        <f>L45</f>
        <v>1163.5999999999999</v>
      </c>
      <c r="AV45">
        <f>M45</f>
        <v>123.3</v>
      </c>
      <c r="AW45" s="65">
        <f>O45</f>
        <v>-5.5907919487027419E-2</v>
      </c>
      <c r="AX45">
        <f>SQRT(P45)</f>
        <v>0.13392841631680202</v>
      </c>
    </row>
    <row r="46" spans="1:61">
      <c r="U46" s="23"/>
    </row>
    <row r="47" spans="1:61">
      <c r="L47" t="s">
        <v>500</v>
      </c>
      <c r="N47" s="7"/>
      <c r="O47" s="66">
        <f>COUNT(O39:O45)</f>
        <v>7</v>
      </c>
      <c r="Q47" t="s">
        <v>885</v>
      </c>
      <c r="R47" s="59">
        <f t="shared" ref="R47:W47" si="33">SUM(R39:R45)</f>
        <v>158.89683143509023</v>
      </c>
      <c r="S47" s="59">
        <f t="shared" si="33"/>
        <v>-18.248315061243261</v>
      </c>
      <c r="T47" s="59">
        <f t="shared" si="33"/>
        <v>6.9827065491826543</v>
      </c>
      <c r="U47" s="23">
        <f t="shared" si="33"/>
        <v>5075.4289851986596</v>
      </c>
      <c r="V47" s="59">
        <f t="shared" si="33"/>
        <v>158.89683143509023</v>
      </c>
      <c r="W47" s="59">
        <f t="shared" si="33"/>
        <v>-18.248315061243261</v>
      </c>
    </row>
    <row r="48" spans="1:61">
      <c r="L48" t="s">
        <v>501</v>
      </c>
      <c r="N48" s="7"/>
      <c r="O48" s="2">
        <v>0</v>
      </c>
    </row>
    <row r="49" spans="7:34">
      <c r="N49" s="7"/>
      <c r="O49" s="7"/>
    </row>
    <row r="50" spans="7:34">
      <c r="G50" s="67" t="s">
        <v>502</v>
      </c>
      <c r="H50" s="40"/>
      <c r="I50" s="40">
        <f>S47/R47</f>
        <v>-0.11484379453279246</v>
      </c>
      <c r="J50" s="40"/>
      <c r="K50" s="68" t="s">
        <v>879</v>
      </c>
      <c r="L50" s="40"/>
      <c r="M50" s="42"/>
      <c r="N50" s="7"/>
      <c r="O50" s="69" t="s">
        <v>503</v>
      </c>
      <c r="P50" s="70">
        <f>T47-((S47^2)/R47)</f>
        <v>4.8870008037195714</v>
      </c>
      <c r="Q50" s="71" t="s">
        <v>824</v>
      </c>
      <c r="R50" s="28"/>
      <c r="S50" s="29"/>
      <c r="T50" s="30"/>
      <c r="U50" s="31"/>
      <c r="AF50" s="2" t="s">
        <v>1518</v>
      </c>
    </row>
    <row r="51" spans="7:34">
      <c r="G51" s="43" t="s">
        <v>504</v>
      </c>
      <c r="H51" s="31"/>
      <c r="I51" s="31">
        <f>1/R47</f>
        <v>6.2933916993083818E-3</v>
      </c>
      <c r="J51" s="31"/>
      <c r="K51" s="31"/>
      <c r="L51" s="31"/>
      <c r="M51" s="44"/>
      <c r="N51" s="7"/>
      <c r="O51" s="30" t="s">
        <v>505</v>
      </c>
      <c r="P51" s="31">
        <f>CHIDIST(P50,I55-1)</f>
        <v>0.55838583088464722</v>
      </c>
      <c r="Q51" s="31"/>
      <c r="R51" s="31"/>
      <c r="S51" s="34"/>
      <c r="T51" s="30"/>
      <c r="U51" s="31"/>
      <c r="AF51" s="2"/>
    </row>
    <row r="52" spans="7:34">
      <c r="G52" s="72" t="s">
        <v>506</v>
      </c>
      <c r="H52" s="31"/>
      <c r="I52" s="31">
        <f>$R$62*SQRT(I51)</f>
        <v>0.15548856405556993</v>
      </c>
      <c r="J52" s="31"/>
      <c r="K52" s="31" t="s">
        <v>507</v>
      </c>
      <c r="L52" s="31"/>
      <c r="M52" s="44">
        <f>ABS(I50/SQRT(I51))</f>
        <v>1.4476552578093596</v>
      </c>
      <c r="N52" s="7"/>
      <c r="O52" s="35" t="s">
        <v>508</v>
      </c>
      <c r="P52" s="37">
        <f>IF(((P50-(I55-1))/P50)&lt;0,0,100*((P50-(I55-1))/P50))</f>
        <v>0</v>
      </c>
      <c r="Q52" s="36"/>
      <c r="R52" s="36"/>
      <c r="S52" s="38"/>
      <c r="T52" s="30"/>
      <c r="U52" s="31"/>
      <c r="AF52" s="2" t="s">
        <v>1535</v>
      </c>
      <c r="AH52">
        <f>IF($D$6=1,100*((EXP(I50))-1),I50)</f>
        <v>-0.11484379453279246</v>
      </c>
    </row>
    <row r="53" spans="7:34">
      <c r="G53" s="45" t="s">
        <v>509</v>
      </c>
      <c r="H53" s="46"/>
      <c r="I53" s="46">
        <v>-2</v>
      </c>
      <c r="J53" s="46"/>
      <c r="K53" s="46" t="s">
        <v>825</v>
      </c>
      <c r="L53" s="46"/>
      <c r="M53" s="47">
        <f>2*(1-NORMDIST(M52,0,1,1))</f>
        <v>0.14771348886020652</v>
      </c>
      <c r="N53" s="7"/>
      <c r="O53" s="7"/>
      <c r="AF53" s="79" t="s">
        <v>834</v>
      </c>
      <c r="AH53">
        <f>IF($D$6=1,100*(EXP(I50+I52)-EXP(I50)),I52)</f>
        <v>0.15548856405556993</v>
      </c>
    </row>
    <row r="54" spans="7:34">
      <c r="G54" s="40"/>
      <c r="H54" s="40"/>
      <c r="I54" s="40"/>
      <c r="J54" s="40"/>
      <c r="K54" s="40"/>
      <c r="L54" s="40"/>
      <c r="M54" s="40"/>
      <c r="N54" s="7"/>
      <c r="O54" s="7"/>
      <c r="AF54" s="79" t="s">
        <v>835</v>
      </c>
      <c r="AH54">
        <f>IF($D$6=1,100*(EXP(I50)-EXP(I50-I52)),I52)</f>
        <v>0.15548856405556993</v>
      </c>
    </row>
    <row r="55" spans="7:34">
      <c r="G55" s="73" t="s">
        <v>1110</v>
      </c>
      <c r="H55" s="74"/>
      <c r="I55" s="74">
        <f>O47</f>
        <v>7</v>
      </c>
      <c r="J55" s="74"/>
      <c r="K55" s="75" t="s">
        <v>1167</v>
      </c>
      <c r="L55" s="74"/>
      <c r="M55" s="76"/>
      <c r="N55" s="77"/>
      <c r="O55" s="101" t="s">
        <v>1513</v>
      </c>
      <c r="P55" s="102"/>
      <c r="Q55" s="103"/>
      <c r="AF55" s="7"/>
    </row>
    <row r="56" spans="7:34">
      <c r="G56" s="77" t="s">
        <v>1531</v>
      </c>
      <c r="H56" s="31"/>
      <c r="I56" s="31">
        <f>R47/I55</f>
        <v>22.699547347870034</v>
      </c>
      <c r="J56" s="31"/>
      <c r="K56" s="31"/>
      <c r="L56" s="31"/>
      <c r="M56" s="78"/>
      <c r="N56" s="77"/>
      <c r="O56" s="104" t="s">
        <v>1514</v>
      </c>
      <c r="P56" s="31"/>
      <c r="Q56" s="105">
        <f>INDEX(LINEST(AL39:AL45,AK39:AK45,TRUE,TRUE),1,2)</f>
        <v>0.71472231276887099</v>
      </c>
      <c r="AF56" s="2" t="s">
        <v>1687</v>
      </c>
      <c r="AH56">
        <f>IF($D$6=1,100*((EXP(I61))-1),I61)</f>
        <v>-0.11484379453279246</v>
      </c>
    </row>
    <row r="57" spans="7:34">
      <c r="G57" s="77" t="s">
        <v>1532</v>
      </c>
      <c r="H57" s="31"/>
      <c r="I57" s="31">
        <f>(1/(I55-1))*(U47-(I55*I56^2))</f>
        <v>244.75713943521751</v>
      </c>
      <c r="J57" s="31"/>
      <c r="K57" s="31"/>
      <c r="L57" s="31"/>
      <c r="M57" s="78"/>
      <c r="N57" s="77"/>
      <c r="O57" s="104" t="s">
        <v>1516</v>
      </c>
      <c r="P57" s="31"/>
      <c r="Q57" s="105">
        <f>INDEX(LINEST(AL39:AL45,AK39:AK45,TRUE,TRUE),2,2)</f>
        <v>1.2792403433027788</v>
      </c>
      <c r="AF57" s="79" t="s">
        <v>834</v>
      </c>
      <c r="AG57" s="7"/>
      <c r="AH57">
        <f>IF($D$6=1,100*(EXP(I61+I63)-EXP(I61)),I63)</f>
        <v>0.15548856405556993</v>
      </c>
    </row>
    <row r="58" spans="7:34">
      <c r="G58" s="77" t="s">
        <v>1669</v>
      </c>
      <c r="H58" s="31"/>
      <c r="I58" s="31">
        <f>(I55-1)*(I56-(I57/(I55*I56)))</f>
        <v>126.95516878921184</v>
      </c>
      <c r="J58" s="31"/>
      <c r="K58" s="31"/>
      <c r="L58" s="31"/>
      <c r="M58" s="78"/>
      <c r="N58" s="77"/>
      <c r="O58" s="104" t="s">
        <v>1349</v>
      </c>
      <c r="P58" s="31"/>
      <c r="Q58" s="105">
        <f>ABS(Q56/Q57)</f>
        <v>0.55870839010875839</v>
      </c>
      <c r="AF58" s="79" t="s">
        <v>835</v>
      </c>
      <c r="AH58">
        <f>IF($D$6=1,100*(EXP(I61)-EXP(I61-I63)),I63)</f>
        <v>0.15548856405556993</v>
      </c>
    </row>
    <row r="59" spans="7:34">
      <c r="G59" s="77" t="s">
        <v>1685</v>
      </c>
      <c r="H59" s="31"/>
      <c r="I59" s="31">
        <f>IF(P50&gt;(I55-1),(P50-(I55-1))/I58,0)</f>
        <v>0</v>
      </c>
      <c r="J59" s="31"/>
      <c r="K59" s="31"/>
      <c r="L59" s="31"/>
      <c r="M59" s="78"/>
      <c r="N59" s="77"/>
      <c r="O59" s="106" t="s">
        <v>1515</v>
      </c>
      <c r="P59" s="107"/>
      <c r="Q59" s="108">
        <f>TDIST(Q58,I55-2,2)</f>
        <v>0.6004565110022333</v>
      </c>
    </row>
    <row r="60" spans="7:34">
      <c r="G60" s="77"/>
      <c r="H60" s="31"/>
      <c r="I60" s="31"/>
      <c r="J60" s="31"/>
      <c r="K60" s="31"/>
      <c r="L60" s="31"/>
      <c r="M60" s="78"/>
      <c r="N60" s="77"/>
    </row>
    <row r="61" spans="7:34">
      <c r="G61" s="77" t="s">
        <v>1686</v>
      </c>
      <c r="H61" s="31"/>
      <c r="I61" s="31">
        <f>W47/V47</f>
        <v>-0.11484379453279246</v>
      </c>
      <c r="J61" s="31"/>
      <c r="N61" s="77"/>
    </row>
    <row r="62" spans="7:34">
      <c r="G62" s="77" t="s">
        <v>504</v>
      </c>
      <c r="H62" s="31"/>
      <c r="I62" s="31">
        <f>1/V47</f>
        <v>6.2933916993083818E-3</v>
      </c>
      <c r="J62" s="31"/>
      <c r="N62" s="77"/>
      <c r="O62" t="s">
        <v>805</v>
      </c>
      <c r="R62">
        <v>1.96</v>
      </c>
    </row>
    <row r="63" spans="7:34">
      <c r="G63" s="80" t="s">
        <v>506</v>
      </c>
      <c r="H63" s="31"/>
      <c r="I63" s="31">
        <f>$R$62*SQRT(I62)</f>
        <v>0.15548856405556993</v>
      </c>
      <c r="J63" s="31"/>
      <c r="K63" s="31" t="s">
        <v>507</v>
      </c>
      <c r="L63" s="31"/>
      <c r="M63" s="78">
        <f>ABS(I61/(SQRT(I62)))</f>
        <v>1.4476552578093596</v>
      </c>
      <c r="N63" s="77"/>
    </row>
    <row r="64" spans="7:34">
      <c r="G64" s="81" t="s">
        <v>509</v>
      </c>
      <c r="H64" s="82"/>
      <c r="I64" s="82">
        <v>-3</v>
      </c>
      <c r="J64" s="82"/>
      <c r="K64" s="31" t="s">
        <v>825</v>
      </c>
      <c r="L64" s="31"/>
      <c r="M64" s="78">
        <f>2*(1-NORMDIST(M63,0,1,1))</f>
        <v>0.14771348886020652</v>
      </c>
      <c r="N64" s="77"/>
    </row>
    <row r="65" spans="7:15">
      <c r="G65" s="74"/>
      <c r="H65" s="74"/>
      <c r="I65" s="74"/>
      <c r="J65" s="74"/>
      <c r="K65" s="74"/>
      <c r="L65" s="74"/>
      <c r="M65" s="74"/>
      <c r="N65" s="31"/>
      <c r="O65" s="7"/>
    </row>
  </sheetData>
  <phoneticPr fontId="10" type="noConversion"/>
  <conditionalFormatting sqref="D17 D13 F13">
    <cfRule type="cellIs" dxfId="134" priority="0" stopIfTrue="1" operator="lessThan">
      <formula>0.05</formula>
    </cfRule>
  </conditionalFormatting>
  <conditionalFormatting sqref="D21">
    <cfRule type="cellIs" dxfId="13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sheetPr published="0" codeName="Sheet24" enableFormatConditionsCalculation="0"/>
  <dimension ref="A1:BM6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821</v>
      </c>
      <c r="D1" s="10"/>
      <c r="F1" s="1" t="s">
        <v>733</v>
      </c>
    </row>
    <row r="2" spans="2:30">
      <c r="B2" s="10"/>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I59-O52</f>
        <v>8</v>
      </c>
      <c r="AD7" s="89"/>
    </row>
    <row r="8" spans="2:30">
      <c r="B8" t="s">
        <v>822</v>
      </c>
      <c r="D8">
        <f>SUM(H24:H33)</f>
        <v>261</v>
      </c>
      <c r="E8" t="s">
        <v>298</v>
      </c>
      <c r="F8">
        <f>Summary!C78</f>
        <v>0.8</v>
      </c>
      <c r="AD8" s="89"/>
    </row>
    <row r="9" spans="2:30">
      <c r="B9" t="s">
        <v>823</v>
      </c>
      <c r="D9">
        <f>SUM(I24:I33)</f>
        <v>253</v>
      </c>
      <c r="AD9" s="89"/>
    </row>
    <row r="11" spans="2:30">
      <c r="B11" s="27" t="s">
        <v>516</v>
      </c>
      <c r="C11" s="28"/>
      <c r="D11" s="109">
        <f>P54</f>
        <v>4.6081430088314095</v>
      </c>
      <c r="E11" s="110" t="s">
        <v>1513</v>
      </c>
      <c r="F11" s="103"/>
    </row>
    <row r="12" spans="2:30">
      <c r="B12" s="30" t="s">
        <v>826</v>
      </c>
      <c r="C12" s="31"/>
      <c r="D12" s="112">
        <f>P56</f>
        <v>0</v>
      </c>
      <c r="E12" s="31"/>
      <c r="F12" s="105"/>
    </row>
    <row r="13" spans="2:30">
      <c r="B13" s="35" t="s">
        <v>825</v>
      </c>
      <c r="C13" s="36"/>
      <c r="D13" s="113">
        <f>P55</f>
        <v>0.86704342452919758</v>
      </c>
      <c r="E13" s="111" t="s">
        <v>825</v>
      </c>
      <c r="F13" s="115">
        <f>Q63</f>
        <v>0.76711080424556255</v>
      </c>
    </row>
    <row r="15" spans="2:30">
      <c r="B15" s="39" t="s">
        <v>879</v>
      </c>
      <c r="C15" s="40"/>
      <c r="D15" s="41">
        <f>AH56</f>
        <v>-0.10089517875896792</v>
      </c>
      <c r="E15" s="116"/>
    </row>
    <row r="16" spans="2:30">
      <c r="B16" s="43" t="s">
        <v>1165</v>
      </c>
      <c r="C16" s="31"/>
      <c r="D16" s="33">
        <f>AH56-AH58</f>
        <v>-0.28044828705990255</v>
      </c>
      <c r="E16" s="117">
        <f>AH56+AH57</f>
        <v>7.8657929541966737E-2</v>
      </c>
    </row>
    <row r="17" spans="1:65">
      <c r="B17" s="45" t="s">
        <v>1166</v>
      </c>
      <c r="C17" s="46"/>
      <c r="D17" s="123">
        <f>M57</f>
        <v>0.27073530902378451</v>
      </c>
      <c r="E17" s="118"/>
    </row>
    <row r="18" spans="1:65">
      <c r="D18" s="48"/>
      <c r="F18" s="49"/>
    </row>
    <row r="19" spans="1:65">
      <c r="B19" s="50" t="s">
        <v>1167</v>
      </c>
      <c r="C19" s="51"/>
      <c r="D19" s="52">
        <f>AH60</f>
        <v>-0.10089517875896792</v>
      </c>
      <c r="E19" s="120"/>
      <c r="F19" s="33"/>
      <c r="G19" s="31"/>
    </row>
    <row r="20" spans="1:65">
      <c r="B20" s="53" t="s">
        <v>1165</v>
      </c>
      <c r="C20" s="31"/>
      <c r="D20" s="33">
        <f>AH60-AH62</f>
        <v>-0.28044828705990255</v>
      </c>
      <c r="E20" s="121">
        <f>AH60+AH61</f>
        <v>7.8657929541966737E-2</v>
      </c>
      <c r="F20" s="31"/>
      <c r="G20" s="31"/>
    </row>
    <row r="21" spans="1:65">
      <c r="B21" s="54" t="s">
        <v>1440</v>
      </c>
      <c r="C21" s="55"/>
      <c r="D21" s="114">
        <f>M68</f>
        <v>0.27073530902378451</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0"/>
      <c r="B24">
        <v>7654126</v>
      </c>
      <c r="C24" s="1" t="str">
        <f>IF($B24="","",HYPERLINK(IF(LEN(VLOOKUP($B24,Database!$B$1:$IX$10144,2,FALSE))=0,"",VLOOKUP($B24,Database!$B$1:$IX$10144,2,FALSE))))</f>
        <v/>
      </c>
      <c r="D24" s="1" t="str">
        <f t="shared" ref="D24:D30" si="0">IF($B24="","",HYPERLINK(CONCATENATE("http://www.ncbi.nlm.nih.gov/pubmed/",B24)))</f>
        <v>http://www.ncbi.nlm.nih.gov/pubmed/7654126</v>
      </c>
      <c r="E24" s="22" t="str">
        <f>IF($B24="","",IF(LEN(VLOOKUP($B24,Database!$B$1:$IX$10144,4,FALSE))=0,"",VLOOKUP($B24,Database!$B$1:$IX$10144,4,FALSE)))</f>
        <v>Dupont RM (A)</v>
      </c>
      <c r="F24" s="22">
        <f>IF($B24="","",IF(LEN(VLOOKUP($B24,Database!$B$1:$IX$10144,5,FALSE))=0,"",VLOOKUP($B24,Database!$B$1:$IX$10144,5,FALSE)))</f>
        <v>1995</v>
      </c>
      <c r="G24" s="1" t="str">
        <f>IF($B24="","",HYPERLINK(IF(LEN(VLOOKUP($B24,Database!$B$1:$IX$10144,6,FALSE))=0,"",VLOOKUP($B24,Database!$B$1:$IX$10144,6,FALSE))))</f>
        <v>http://archpsyc.ama-assn.org/cgi/reprint/51/9/677</v>
      </c>
      <c r="H24" s="22">
        <f>IF($B24="","",IF(LEN(VLOOKUP($B24,Database!$B$1:$IX$10144,7,FALSE))=0,"",VLOOKUP($B24,Database!$B$1:$IX$10144,7,FALSE)))</f>
        <v>30</v>
      </c>
      <c r="I24" s="22">
        <f>IF($B24="","",IF(LEN(VLOOKUP($B24,Database!$B$1:$IX$10144,8,FALSE))=0,"",VLOOKUP($B24,Database!$B$1:$IX$10144,8,FALSE)))</f>
        <v>26</v>
      </c>
      <c r="J24" t="s">
        <v>524</v>
      </c>
      <c r="K24" s="10"/>
      <c r="T24">
        <v>84691.76</v>
      </c>
      <c r="U24">
        <v>9631.9500000000007</v>
      </c>
      <c r="V24">
        <v>85494.87</v>
      </c>
      <c r="W24">
        <v>12355.46</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38.6</v>
      </c>
      <c r="AC24" s="22">
        <f>IF(OR($B24="",AC$22=""),"",IF(LEN(VLOOKUP($B24,Database!$B$1:$IX$10144,AC$22,FALSE))=0,"",VLOOKUP($B24,Database!$B$1:$IX$10144,AC$22,FALSE)))</f>
        <v>10.6</v>
      </c>
      <c r="AD24" s="22">
        <f>IF(OR($B24="",AD$22=""),"",IF(LEN(VLOOKUP($B24,Database!$B$1:$IX$10144,AD$22,FALSE))=0,"",VLOOKUP($B24,Database!$B$1:$IX$10144,AD$22,FALSE)))</f>
        <v>39.1</v>
      </c>
      <c r="AE24" s="22">
        <f>IF(OR($B24="",AE$22=""),"",IF(LEN(VLOOKUP($B24,Database!$B$1:$IX$10144,AE$22,FALSE))=0,"",VLOOKUP($B24,Database!$B$1:$IX$10144,AE$22,FALSE)))</f>
        <v>9.4</v>
      </c>
      <c r="AF24" s="22">
        <f>IF(OR($B24="",AF$22=""),"",IF(LEN(VLOOKUP($B24,Database!$B$1:$IX$10144,AF$22,FALSE))=0,"",VLOOKUP($B24,Database!$B$1:$IX$10144,AF$22,FALSE)))</f>
        <v>21</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12.5</v>
      </c>
      <c r="AM24" s="22">
        <f>IF(OR($B24="",AM$22=""),"",IF(LEN(VLOOKUP($B24,Database!$B$1:$IX$10144,AM$22,FALSE))=0,"",VLOOKUP($B24,Database!$B$1:$IX$10144,AM$22,FALSE)))</f>
        <v>40</v>
      </c>
      <c r="AN24" s="22">
        <f>IF(OR($B24="",AN$22=""),"",IF(LEN(VLOOKUP($B24,Database!$B$1:$IX$10144,AN$22,FALSE))=0,"",VLOOKUP($B24,Database!$B$1:$IX$10144,AN$22,FALSE)))</f>
        <v>3.3333333333333335</v>
      </c>
      <c r="AO24" s="22">
        <f>IF(OR($B24="",AO$22=""),"",IF(LEN(VLOOKUP($B24,Database!$B$1:$IX$10144,AO$22,FALSE))=0,"",VLOOKUP($B24,Database!$B$1:$IX$10144,AO$22,FALSE)))</f>
        <v>0</v>
      </c>
      <c r="AP24" s="22">
        <f>IF(OR($B24="",AP$22=""),"",IF(LEN(VLOOKUP($B24,Database!$B$1:$IX$10144,AP$22,FALSE))=0,"",VLOOKUP($B24,Database!$B$1:$IX$10144,AP$22,FALSE)))</f>
        <v>56.666666666666664</v>
      </c>
      <c r="AQ24" s="22" t="str">
        <f>IF(OR($B24="",AQ$22=""),"",IF(LEN(VLOOKUP($B24,Database!$B$1:$IX$10144,AQ$22,FALSE))=0,"",VLOOKUP($B24,Database!$B$1:$IX$10144,AQ$22,FALSE)))</f>
        <v>Dupont RM, Jernigan TL, Heindel W, Butters N, Shafer K, Wilson T, Hesselink J, Gillin JC.</v>
      </c>
      <c r="AR24" s="13"/>
      <c r="BC24" s="23"/>
      <c r="BF24" s="136"/>
      <c r="BG24" s="136"/>
      <c r="BH24" s="136"/>
      <c r="BI24" s="136"/>
    </row>
    <row r="25" spans="1:65">
      <c r="B25">
        <v>9209723</v>
      </c>
      <c r="C25" s="1" t="str">
        <f>IF($B25="","",HYPERLINK(IF(LEN(VLOOKUP($B25,Database!$B$1:$IX$10144,2,FALSE))=0,"",VLOOKUP($B25,Database!$B$1:$IX$10144,2,FALSE))))</f>
        <v/>
      </c>
      <c r="D25" s="1" t="str">
        <f t="shared" si="0"/>
        <v>http://www.ncbi.nlm.nih.gov/pubmed/9209723</v>
      </c>
      <c r="E25" s="22" t="str">
        <f>IF($B25="","",IF(LEN(VLOOKUP($B25,Database!$B$1:$IX$10144,4,FALSE))=0,"",VLOOKUP($B25,Database!$B$1:$IX$10144,4,FALSE)))</f>
        <v>Pillay SS</v>
      </c>
      <c r="F25" s="22">
        <f>IF($B25="","",IF(LEN(VLOOKUP($B25,Database!$B$1:$IX$10144,5,FALSE))=0,"",VLOOKUP($B25,Database!$B$1:$IX$10144,5,FALSE)))</f>
        <v>1997</v>
      </c>
      <c r="G25" s="1" t="str">
        <f>IF($B25="","",HYPERLINK(IF(LEN(VLOOKUP($B25,Database!$B$1:$IX$10144,6,FALSE))=0,"",VLOOKUP($B25,Database!$B$1:$IX$10144,6,FALSE))))</f>
        <v>http://dx.doi.org/10.1016/S0006-3223(96)00335-6</v>
      </c>
      <c r="H25" s="22">
        <f>IF($B25="","",IF(LEN(VLOOKUP($B25,Database!$B$1:$IX$10144,7,FALSE))=0,"",VLOOKUP($B25,Database!$B$1:$IX$10144,7,FALSE)))</f>
        <v>38</v>
      </c>
      <c r="I25" s="22">
        <f>IF($B25="","",IF(LEN(VLOOKUP($B25,Database!$B$1:$IX$10144,8,FALSE))=0,"",VLOOKUP($B25,Database!$B$1:$IX$10144,8,FALSE)))</f>
        <v>20</v>
      </c>
      <c r="J25" s="13" t="s">
        <v>982</v>
      </c>
      <c r="K25" s="10"/>
      <c r="T25">
        <v>628.5</v>
      </c>
      <c r="U25">
        <v>77.5</v>
      </c>
      <c r="V25">
        <v>626.5</v>
      </c>
      <c r="W25">
        <v>68</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38.5</v>
      </c>
      <c r="AC25" s="22">
        <f>IF(OR($B25="",AC$22=""),"",IF(LEN(VLOOKUP($B25,Database!$B$1:$IX$10144,AC$22,FALSE))=0,"",VLOOKUP($B25,Database!$B$1:$IX$10144,AC$22,FALSE)))</f>
        <v>10</v>
      </c>
      <c r="AD25" s="22">
        <f>IF(OR($B25="",AD$22=""),"",IF(LEN(VLOOKUP($B25,Database!$B$1:$IX$10144,AD$22,FALSE))=0,"",VLOOKUP($B25,Database!$B$1:$IX$10144,AD$22,FALSE)))</f>
        <v>40.299999999999997</v>
      </c>
      <c r="AE25" s="22">
        <f>IF(OR($B25="",AE$22=""),"",IF(LEN(VLOOKUP($B25,Database!$B$1:$IX$10144,AE$22,FALSE))=0,"",VLOOKUP($B25,Database!$B$1:$IX$10144,AE$22,FALSE)))</f>
        <v>10.4</v>
      </c>
      <c r="AF25" s="22">
        <f>IF(OR($B25="",AF$22=""),"",IF(LEN(VLOOKUP($B25,Database!$B$1:$IX$10144,AF$22,FALSE))=0,"",VLOOKUP($B25,Database!$B$1:$IX$10144,AF$22,FALSE)))</f>
        <v>21</v>
      </c>
      <c r="AG25" s="22">
        <f>IF(OR($B25="",AG$22=""),"",IF(LEN(VLOOKUP($B25,Database!$B$1:$IX$10144,AG$22,FALSE))=0,"",VLOOKUP($B25,Database!$B$1:$IX$10144,AG$22,FALSE)))</f>
        <v>11</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Pillay SS, Yurgelun-Todd DA, Bonello CM, Lafer B, Fava M, Renshaw PF.</v>
      </c>
      <c r="AR25" s="13"/>
      <c r="BC25" s="23"/>
      <c r="BF25" s="136"/>
      <c r="BG25" s="136"/>
      <c r="BH25" s="136"/>
      <c r="BI25" s="136"/>
    </row>
    <row r="26" spans="1:65">
      <c r="A26" s="10"/>
      <c r="B26">
        <v>11983184</v>
      </c>
      <c r="C26" s="1" t="str">
        <f>IF($B26="","",HYPERLINK(IF(LEN(VLOOKUP($B26,Database!$B$1:$IX$10144,2,FALSE))=0,"",VLOOKUP($B26,Database!$B$1:$IX$10144,2,FALSE))))</f>
        <v/>
      </c>
      <c r="D26" s="1" t="str">
        <f t="shared" si="0"/>
        <v>http://www.ncbi.nlm.nih.gov/pubmed/11983184</v>
      </c>
      <c r="E26" s="22" t="str">
        <f>IF($B26="","",IF(LEN(VLOOKUP($B26,Database!$B$1:$IX$10144,4,FALSE))=0,"",VLOOKUP($B26,Database!$B$1:$IX$10144,4,FALSE)))</f>
        <v>Frodl T (A)</v>
      </c>
      <c r="F26" s="22">
        <f>IF($B26="","",IF(LEN(VLOOKUP($B26,Database!$B$1:$IX$10144,5,FALSE))=0,"",VLOOKUP($B26,Database!$B$1:$IX$10144,5,FALSE)))</f>
        <v>2002</v>
      </c>
      <c r="G26" s="1" t="str">
        <f>IF($B26="","",HYPERLINK(IF(LEN(VLOOKUP($B26,Database!$B$1:$IX$10144,6,FALSE))=0,"",VLOOKUP($B26,Database!$B$1:$IX$10144,6,FALSE))))</f>
        <v>http://dx.doi.org/10.1016/S0006-3223(01)01359-2</v>
      </c>
      <c r="H26" s="22">
        <f>IF($B26="","",IF(LEN(VLOOKUP($B26,Database!$B$1:$IX$10144,7,FALSE))=0,"",VLOOKUP($B26,Database!$B$1:$IX$10144,7,FALSE)))</f>
        <v>30</v>
      </c>
      <c r="I26" s="22">
        <f>IF($B26="","",IF(LEN(VLOOKUP($B26,Database!$B$1:$IX$10144,8,FALSE))=0,"",VLOOKUP($B26,Database!$B$1:$IX$10144,8,FALSE)))</f>
        <v>30</v>
      </c>
      <c r="J26" t="s">
        <v>983</v>
      </c>
      <c r="T26">
        <v>645.6</v>
      </c>
      <c r="U26">
        <v>49.6</v>
      </c>
      <c r="V26">
        <v>648.20000000000005</v>
      </c>
      <c r="W26">
        <v>73.599999999999994</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40.6</v>
      </c>
      <c r="AE26" s="22">
        <f>IF(OR($B26="",AE$22=""),"",IF(LEN(VLOOKUP($B26,Database!$B$1:$IX$10144,AE$22,FALSE))=0,"",VLOOKUP($B26,Database!$B$1:$IX$10144,AE$22,FALSE)))</f>
        <v>12.5</v>
      </c>
      <c r="AF26" s="22">
        <f>IF(OR($B26="",AF$22=""),"",IF(LEN(VLOOKUP($B26,Database!$B$1:$IX$10144,AF$22,FALSE))=0,"",VLOOKUP($B26,Database!$B$1:$IX$10144,AF$22,FALSE)))</f>
        <v>17</v>
      </c>
      <c r="AG26" s="22">
        <f>IF(OR($B26="",AG$22=""),"",IF(LEN(VLOOKUP($B26,Database!$B$1:$IX$10144,AG$22,FALSE))=0,"",VLOOKUP($B26,Database!$B$1:$IX$10144,AG$22,FALSE)))</f>
        <v>17</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40</v>
      </c>
      <c r="AL26" s="22">
        <f>IF(OR($B26="",AL$22=""),"",IF(LEN(VLOOKUP($B26,Database!$B$1:$IX$10144,AL$22,FALSE))=0,"",VLOOKUP($B26,Database!$B$1:$IX$10144,AL$22,FALSE)))</f>
        <v>24.8</v>
      </c>
      <c r="AM26" s="22">
        <f>IF(OR($B26="",AM$22=""),"",IF(LEN(VLOOKUP($B26,Database!$B$1:$IX$10144,AM$22,FALSE))=0,"",VLOOKUP($B26,Database!$B$1:$IX$10144,AM$22,FALSE)))</f>
        <v>86.666666666666671</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Frodl T, Meisenzahl E, Zetzsche T, Bottlender R, Born C, Groll C, Jager M, Leinsinger G, Hahn K, Moller HJ.</v>
      </c>
      <c r="AR26" s="13"/>
      <c r="BC26" s="23"/>
      <c r="BF26" s="136"/>
      <c r="BG26" s="136"/>
      <c r="BH26" s="136"/>
      <c r="BI26" s="136"/>
    </row>
    <row r="27" spans="1:65">
      <c r="A27" s="10"/>
      <c r="B27">
        <v>12242057</v>
      </c>
      <c r="C27" s="1" t="str">
        <f>IF($B27="","",HYPERLINK(IF(LEN(VLOOKUP($B27,Database!$B$1:$IX$10144,2,FALSE))=0,"",VLOOKUP($B27,Database!$B$1:$IX$10144,2,FALSE))))</f>
        <v/>
      </c>
      <c r="D27" s="1" t="str">
        <f t="shared" si="0"/>
        <v>http://www.ncbi.nlm.nih.gov/pubmed/12242057</v>
      </c>
      <c r="E27" s="22" t="str">
        <f>IF($B27="","",IF(LEN(VLOOKUP($B27,Database!$B$1:$IX$10144,4,FALSE))=0,"",VLOOKUP($B27,Database!$B$1:$IX$10144,4,FALSE)))</f>
        <v>Steingard RJ</v>
      </c>
      <c r="F27" s="22">
        <f>IF($B27="","",IF(LEN(VLOOKUP($B27,Database!$B$1:$IX$10144,5,FALSE))=0,"",VLOOKUP($B27,Database!$B$1:$IX$10144,5,FALSE)))</f>
        <v>2002</v>
      </c>
      <c r="G27" s="1" t="str">
        <f>IF($B27="","",HYPERLINK(IF(LEN(VLOOKUP($B27,Database!$B$1:$IX$10144,6,FALSE))=0,"",VLOOKUP($B27,Database!$B$1:$IX$10144,6,FALSE))))</f>
        <v>http://dx.doi.org/10.1016/S0006-3223(02)01393-8</v>
      </c>
      <c r="H27" s="22">
        <f>IF($B27="","",IF(LEN(VLOOKUP($B27,Database!$B$1:$IX$10144,7,FALSE))=0,"",VLOOKUP($B27,Database!$B$1:$IX$10144,7,FALSE)))</f>
        <v>19</v>
      </c>
      <c r="I27" s="22">
        <f>IF($B27="","",IF(LEN(VLOOKUP($B27,Database!$B$1:$IX$10144,8,FALSE))=0,"",VLOOKUP($B27,Database!$B$1:$IX$10144,8,FALSE)))</f>
        <v>38</v>
      </c>
      <c r="J27" t="s">
        <v>983</v>
      </c>
      <c r="K27" s="10"/>
      <c r="T27">
        <v>786</v>
      </c>
      <c r="U27">
        <v>74</v>
      </c>
      <c r="V27">
        <v>774</v>
      </c>
      <c r="W27">
        <v>102</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15.4</v>
      </c>
      <c r="AC27" s="22">
        <f>IF(OR($B27="",AC$22=""),"",IF(LEN(VLOOKUP($B27,Database!$B$1:$IX$10144,AC$22,FALSE))=0,"",VLOOKUP($B27,Database!$B$1:$IX$10144,AC$22,FALSE)))</f>
        <v>1.9</v>
      </c>
      <c r="AD27" s="22">
        <f>IF(OR($B27="",AD$22=""),"",IF(LEN(VLOOKUP($B27,Database!$B$1:$IX$10144,AD$22,FALSE))=0,"",VLOOKUP($B27,Database!$B$1:$IX$10144,AD$22,FALSE)))</f>
        <v>14.6</v>
      </c>
      <c r="AE27" s="22">
        <f>IF(OR($B27="",AE$22=""),"",IF(LEN(VLOOKUP($B27,Database!$B$1:$IX$10144,AE$22,FALSE))=0,"",VLOOKUP($B27,Database!$B$1:$IX$10144,AE$22,FALSE)))</f>
        <v>1.5</v>
      </c>
      <c r="AF27" s="22">
        <f>IF(OR($B27="",AF$22=""),"",IF(LEN(VLOOKUP($B27,Database!$B$1:$IX$10144,AF$22,FALSE))=0,"",VLOOKUP($B27,Database!$B$1:$IX$10144,AF$22,FALSE)))</f>
        <v>16</v>
      </c>
      <c r="AG27" s="22">
        <f>IF(OR($B27="",AG$22=""),"",IF(LEN(VLOOKUP($B27,Database!$B$1:$IX$10144,AG$22,FALSE))=0,"",VLOOKUP($B27,Database!$B$1:$IX$10144,AG$22,FALSE)))</f>
        <v>25</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17.3</v>
      </c>
      <c r="AM27" s="22">
        <f>IF(OR($B27="",AM$22=""),"",IF(LEN(VLOOKUP($B27,Database!$B$1:$IX$10144,AM$22,FALSE))=0,"",VLOOKUP($B27,Database!$B$1:$IX$10144,AM$22,FALSE)))</f>
        <v>0</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100</v>
      </c>
      <c r="AQ27" s="22" t="str">
        <f>IF(OR($B27="",AQ$22=""),"",IF(LEN(VLOOKUP($B27,Database!$B$1:$IX$10144,AQ$22,FALSE))=0,"",VLOOKUP($B27,Database!$B$1:$IX$10144,AQ$22,FALSE)))</f>
        <v>Steingard RJ, Renshaw PF, Hennen J, Lenox M, Cintron CB, Young AD, Connor DF, Au TH, Yurgelun-Todd DA.</v>
      </c>
      <c r="AR27" s="13"/>
      <c r="BC27" s="23"/>
      <c r="BF27" s="136"/>
      <c r="BG27" s="136"/>
      <c r="BH27" s="136"/>
      <c r="BI27" s="136"/>
    </row>
    <row r="28" spans="1:65">
      <c r="A28" s="10"/>
      <c r="B28">
        <v>14960291</v>
      </c>
      <c r="C28" s="1" t="str">
        <f>IF($B28="","",HYPERLINK(IF(LEN(VLOOKUP($B28,Database!$B$1:$IX$10144,2,FALSE))=0,"",VLOOKUP($B28,Database!$B$1:$IX$10144,2,FALSE))))</f>
        <v/>
      </c>
      <c r="D28" s="1" t="str">
        <f t="shared" si="0"/>
        <v>http://www.ncbi.nlm.nih.gov/pubmed/14960291</v>
      </c>
      <c r="E28" s="22" t="str">
        <f>IF($B28="","",IF(LEN(VLOOKUP($B28,Database!$B$1:$IX$10144,4,FALSE))=0,"",VLOOKUP($B28,Database!$B$1:$IX$10144,4,FALSE)))</f>
        <v>Ballmaier M (C)</v>
      </c>
      <c r="F28" s="22">
        <f>IF($B28="","",IF(LEN(VLOOKUP($B28,Database!$B$1:$IX$10144,5,FALSE))=0,"",VLOOKUP($B28,Database!$B$1:$IX$10144,5,FALSE)))</f>
        <v>2004</v>
      </c>
      <c r="G28" s="1" t="str">
        <f>IF($B28="","",HYPERLINK(IF(LEN(VLOOKUP($B28,Database!$B$1:$IX$10144,6,FALSE))=0,"",VLOOKUP($B28,Database!$B$1:$IX$10144,6,FALSE))))</f>
        <v>http://dx.doi.org/10.1016/j.biopsych.2003.09.004</v>
      </c>
      <c r="H28" s="22">
        <f>IF($B28="","",IF(LEN(VLOOKUP($B28,Database!$B$1:$IX$10144,7,FALSE))=0,"",VLOOKUP($B28,Database!$B$1:$IX$10144,7,FALSE)))</f>
        <v>24</v>
      </c>
      <c r="I28" s="22">
        <f>IF($B28="","",IF(LEN(VLOOKUP($B28,Database!$B$1:$IX$10144,8,FALSE))=0,"",VLOOKUP($B28,Database!$B$1:$IX$10144,8,FALSE)))</f>
        <v>19</v>
      </c>
      <c r="J28" t="s">
        <v>985</v>
      </c>
      <c r="T28">
        <v>558.57100000000003</v>
      </c>
      <c r="U28">
        <v>104.869</v>
      </c>
      <c r="V28">
        <v>581.83100000000002</v>
      </c>
      <c r="W28">
        <v>103.557</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65.849999999999994</v>
      </c>
      <c r="AC28" s="22">
        <f>IF(OR($B28="",AC$22=""),"",IF(LEN(VLOOKUP($B28,Database!$B$1:$IX$10144,AC$22,FALSE))=0,"",VLOOKUP($B28,Database!$B$1:$IX$10144,AC$22,FALSE)))</f>
        <v>8.18</v>
      </c>
      <c r="AD28" s="22">
        <f>IF(OR($B28="",AD$22=""),"",IF(LEN(VLOOKUP($B28,Database!$B$1:$IX$10144,AD$22,FALSE))=0,"",VLOOKUP($B28,Database!$B$1:$IX$10144,AD$22,FALSE)))</f>
        <v>66.239999999999995</v>
      </c>
      <c r="AE28" s="22">
        <f>IF(OR($B28="",AE$22=""),"",IF(LEN(VLOOKUP($B28,Database!$B$1:$IX$10144,AE$22,FALSE))=0,"",VLOOKUP($B28,Database!$B$1:$IX$10144,AE$22,FALSE)))</f>
        <v>7.25</v>
      </c>
      <c r="AF28" s="22">
        <f>IF(OR($B28="",AF$22=""),"",IF(LEN(VLOOKUP($B28,Database!$B$1:$IX$10144,AF$22,FALSE))=0,"",VLOOKUP($B28,Database!$B$1:$IX$10144,AF$22,FALSE)))</f>
        <v>18</v>
      </c>
      <c r="AG28" s="22">
        <f>IF(OR($B28="",AG$22=""),"",IF(LEN(VLOOKUP($B28,Database!$B$1:$IX$10144,AG$22,FALSE))=0,"",VLOOKUP($B28,Database!$B$1:$IX$10144,AG$22,FALSE)))</f>
        <v>15</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2">
        <f>IF(OR($B28="",AK$22=""),"",IF(LEN(VLOOKUP($B28,Database!$B$1:$IX$10144,AK$22,FALSE))=0,"",VLOOKUP($B28,Database!$B$1:$IX$10144,AK$22,FALSE)))</f>
        <v>35</v>
      </c>
      <c r="AL28" s="22">
        <f>IF(OR($B28="",AL$22=""),"",IF(LEN(VLOOKUP($B28,Database!$B$1:$IX$10144,AL$22,FALSE))=0,"",VLOOKUP($B28,Database!$B$1:$IX$10144,AL$22,FALSE)))</f>
        <v>17.329999999999998</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Ballmaier M, Sowell ER, Thompson PM, Kumar A, Narr KL, Lavretsky H, Welcome SE, DeLuca H, Toga AW.</v>
      </c>
      <c r="AR28" s="13"/>
      <c r="BC28" s="23"/>
      <c r="BF28" s="136"/>
      <c r="BG28" s="136"/>
      <c r="BH28" s="136"/>
      <c r="BI28" s="136"/>
    </row>
    <row r="29" spans="1:65">
      <c r="A29" t="s">
        <v>713</v>
      </c>
      <c r="B29">
        <v>17604352</v>
      </c>
      <c r="C29" s="1" t="str">
        <f>IF($B29="","",HYPERLINK(IF(LEN(VLOOKUP($B29,Database!$B$1:$IX$10144,2,FALSE))=0,"",VLOOKUP($B29,Database!$B$1:$IX$10144,2,FALSE))))</f>
        <v/>
      </c>
      <c r="D29" s="1" t="str">
        <f t="shared" si="0"/>
        <v>http://www.ncbi.nlm.nih.gov/pubmed/17604352</v>
      </c>
      <c r="E29" s="22" t="str">
        <f>IF($B29="","",IF(LEN(VLOOKUP($B29,Database!$B$1:$IX$10144,4,FALSE))=0,"",VLOOKUP($B29,Database!$B$1:$IX$10144,4,FALSE)))</f>
        <v>Maller JJ</v>
      </c>
      <c r="F29" s="22">
        <f>IF($B29="","",IF(LEN(VLOOKUP($B29,Database!$B$1:$IX$10144,5,FALSE))=0,"",VLOOKUP($B29,Database!$B$1:$IX$10144,5,FALSE)))</f>
        <v>2007</v>
      </c>
      <c r="G29" s="1" t="str">
        <f>IF($B29="","",HYPERLINK(IF(LEN(VLOOKUP($B29,Database!$B$1:$IX$10144,6,FALSE))=0,"",VLOOKUP($B29,Database!$B$1:$IX$10144,6,FALSE))))</f>
        <v>http://dx.doi.org/10.1002/hipo.20339</v>
      </c>
      <c r="H29" s="83">
        <v>22</v>
      </c>
      <c r="I29" s="83">
        <v>13</v>
      </c>
      <c r="J29" t="s">
        <v>1254</v>
      </c>
      <c r="K29" t="s">
        <v>1367</v>
      </c>
      <c r="T29">
        <v>0.59699999999999998</v>
      </c>
      <c r="U29" s="13">
        <v>6.3E-2</v>
      </c>
      <c r="V29">
        <v>0.57499999999999996</v>
      </c>
      <c r="W29" s="13">
        <v>0.11260000000000001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14">
        <v>0</v>
      </c>
      <c r="AG29" s="214">
        <v>0</v>
      </c>
      <c r="AH29" s="22">
        <f>IF(OR($B29="",AH$22=""),"",IF(LEN(VLOOKUP($B29,Database!$B$1:$IX$10144,AH$22,FALSE))=0,"",VLOOKUP($B29,Database!$B$1:$IX$10144,AH$22,FALSE)))</f>
        <v>1.5</v>
      </c>
      <c r="AI29" s="22">
        <f>IF(OR($B29="",AI$22=""),"",IF(LEN(VLOOKUP($B29,Database!$B$1:$IX$10144,AI$22,FALSE))=0,"",VLOOKUP($B29,Database!$B$1:$IX$10144,AI$22,FALSE)))</f>
        <v>0.94</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Maller JJ, Daskalakis ZJ, Fitzgerald PB.</v>
      </c>
      <c r="AR29" s="13"/>
      <c r="AU29" s="13"/>
      <c r="BC29" s="23"/>
      <c r="BF29" s="136"/>
      <c r="BG29" s="136"/>
      <c r="BH29" s="136"/>
      <c r="BI29" s="136"/>
    </row>
    <row r="30" spans="1:65">
      <c r="A30" t="s">
        <v>713</v>
      </c>
      <c r="B30">
        <v>17604352</v>
      </c>
      <c r="C30" s="1" t="str">
        <f>IF($B30="","",HYPERLINK(IF(LEN(VLOOKUP($B30,Database!$B$1:$IX$10144,2,FALSE))=0,"",VLOOKUP($B30,Database!$B$1:$IX$10144,2,FALSE))))</f>
        <v/>
      </c>
      <c r="D30" s="1" t="str">
        <f t="shared" si="0"/>
        <v>http://www.ncbi.nlm.nih.gov/pubmed/17604352</v>
      </c>
      <c r="E30" s="22" t="str">
        <f>IF($B30="","",IF(LEN(VLOOKUP($B30,Database!$B$1:$IX$10144,4,FALSE))=0,"",VLOOKUP($B30,Database!$B$1:$IX$10144,4,FALSE)))</f>
        <v>Maller JJ</v>
      </c>
      <c r="F30" s="22">
        <f>IF($B30="","",IF(LEN(VLOOKUP($B30,Database!$B$1:$IX$10144,5,FALSE))=0,"",VLOOKUP($B30,Database!$B$1:$IX$10144,5,FALSE)))</f>
        <v>2007</v>
      </c>
      <c r="G30" s="1" t="str">
        <f>IF($B30="","",HYPERLINK(IF(LEN(VLOOKUP($B30,Database!$B$1:$IX$10144,6,FALSE))=0,"",VLOOKUP($B30,Database!$B$1:$IX$10144,6,FALSE))))</f>
        <v>http://dx.doi.org/10.1002/hipo.20339</v>
      </c>
      <c r="H30" s="83">
        <v>23</v>
      </c>
      <c r="I30" s="83">
        <v>17</v>
      </c>
      <c r="J30" t="s">
        <v>1254</v>
      </c>
      <c r="K30" s="13" t="s">
        <v>1368</v>
      </c>
      <c r="T30">
        <v>0.52200000000000002</v>
      </c>
      <c r="U30" s="13">
        <v>6.5600000000000006E-2</v>
      </c>
      <c r="V30">
        <v>0.56399999999999995</v>
      </c>
      <c r="W30" s="13">
        <v>7.9799999999999996E-2</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f>IF(OR($B30="",AF$22=""),"",IF(LEN(VLOOKUP($B30,Database!$B$1:$IX$10144,AF$22,FALSE))=0,"",VLOOKUP($B30,Database!$B$1:$IX$10144,AF$22,FALSE)))</f>
        <v>23</v>
      </c>
      <c r="AG30" s="22">
        <f>IF(OR($B30="",AG$22=""),"",IF(LEN(VLOOKUP($B30,Database!$B$1:$IX$10144,AG$22,FALSE))=0,"",VLOOKUP($B30,Database!$B$1:$IX$10144,AG$22,FALSE)))</f>
        <v>17</v>
      </c>
      <c r="AH30" s="22">
        <f>IF(OR($B30="",AH$22=""),"",IF(LEN(VLOOKUP($B30,Database!$B$1:$IX$10144,AH$22,FALSE))=0,"",VLOOKUP($B30,Database!$B$1:$IX$10144,AH$22,FALSE)))</f>
        <v>1.5</v>
      </c>
      <c r="AI30" s="22">
        <f>IF(OR($B30="",AI$22=""),"",IF(LEN(VLOOKUP($B30,Database!$B$1:$IX$10144,AI$22,FALSE))=0,"",VLOOKUP($B30,Database!$B$1:$IX$10144,AI$22,FALSE)))</f>
        <v>0.94</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Maller JJ, Daskalakis ZJ, Fitzgerald PB.</v>
      </c>
      <c r="AR30" s="13"/>
      <c r="AU30" s="13"/>
      <c r="BC30" s="23"/>
      <c r="BF30" s="136"/>
      <c r="BG30" s="136"/>
      <c r="BH30" s="136"/>
      <c r="BI30" s="136"/>
    </row>
    <row r="31" spans="1:65">
      <c r="A31" s="10"/>
      <c r="B31">
        <v>19270763</v>
      </c>
      <c r="C31" s="1" t="str">
        <f>IF($B31="","",HYPERLINK(IF(LEN(VLOOKUP($B31,Database!$B$1:$IX$10144,2,FALSE))=0,"",VLOOKUP($B31,Database!$B$1:$IX$10144,2,FALSE))))</f>
        <v/>
      </c>
      <c r="D31" s="1" t="str">
        <f>IF($B31="","",HYPERLINK(CONCATENATE("http://www.ncbi.nlm.nih.gov/pubmed/",B31)))</f>
        <v>http://www.ncbi.nlm.nih.gov/pubmed/19270763</v>
      </c>
      <c r="E31" s="22" t="str">
        <f>IF($B31="","",IF(LEN(VLOOKUP($B31,Database!$B$1:$IX$10144,4,FALSE))=0,"",VLOOKUP($B31,Database!$B$1:$IX$10144,4,FALSE)))</f>
        <v>Penttilä J</v>
      </c>
      <c r="F31" s="22">
        <f>IF($B31="","",IF(LEN(VLOOKUP($B31,Database!$B$1:$IX$10144,5,FALSE))=0,"",VLOOKUP($B31,Database!$B$1:$IX$10144,5,FALSE)))</f>
        <v>2009</v>
      </c>
      <c r="G31" s="1" t="str">
        <f>IF($B31="","",HYPERLINK(IF(LEN(VLOOKUP($B31,Database!$B$1:$IX$10144,6,FALSE))=0,"",VLOOKUP($B31,Database!$B$1:$IX$10144,6,FALSE))))</f>
        <v>http://www.cma.ca/multimedia/staticContent/HTML/N0/l2/jpn/vol-34/issue-2/pdf/pg127.pdf</v>
      </c>
      <c r="H31" s="22">
        <f>IF($B31="","",IF(LEN(VLOOKUP($B31,Database!$B$1:$IX$10144,7,FALSE))=0,"",VLOOKUP($B31,Database!$B$1:$IX$10144,7,FALSE)))</f>
        <v>35</v>
      </c>
      <c r="I31" s="22">
        <f>IF($B31="","",IF(LEN(VLOOKUP($B31,Database!$B$1:$IX$10144,8,FALSE))=0,"",VLOOKUP($B31,Database!$B$1:$IX$10144,8,FALSE)))</f>
        <v>70</v>
      </c>
      <c r="J31" t="s">
        <v>352</v>
      </c>
      <c r="K31" s="13"/>
      <c r="L31">
        <v>239.9</v>
      </c>
      <c r="M31">
        <v>22.4</v>
      </c>
      <c r="N31">
        <v>245.2</v>
      </c>
      <c r="O31">
        <v>22.4</v>
      </c>
      <c r="P31">
        <v>239.7</v>
      </c>
      <c r="Q31">
        <v>22.5</v>
      </c>
      <c r="R31">
        <v>244.2</v>
      </c>
      <c r="S31">
        <v>22.6</v>
      </c>
      <c r="T31">
        <f>L31+P31</f>
        <v>479.6</v>
      </c>
      <c r="U31">
        <f>2*SQRT(0.25*(M31^2+Q31^2+2*$F$8*M31*Q31))</f>
        <v>42.595891820690873</v>
      </c>
      <c r="V31">
        <f>N31+R31</f>
        <v>489.4</v>
      </c>
      <c r="W31">
        <f>2*SQRT(0.25*(O31^2+S31^2+2*$F$8*O31*S31))</f>
        <v>42.690795260805345</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47.2</v>
      </c>
      <c r="AC31" s="22">
        <f>IF(OR($B31="",AC$22=""),"",IF(LEN(VLOOKUP($B31,Database!$B$1:$IX$10144,AC$22,FALSE))=0,"",VLOOKUP($B31,Database!$B$1:$IX$10144,AC$22,FALSE)))</f>
        <v>8.8000000000000007</v>
      </c>
      <c r="AD31" s="22">
        <f>IF(OR($B31="",AD$22=""),"",IF(LEN(VLOOKUP($B31,Database!$B$1:$IX$10144,AD$22,FALSE))=0,"",VLOOKUP($B31,Database!$B$1:$IX$10144,AD$22,FALSE)))</f>
        <v>42.8</v>
      </c>
      <c r="AE31" s="22">
        <f>IF(OR($B31="",AE$22=""),"",IF(LEN(VLOOKUP($B31,Database!$B$1:$IX$10144,AE$22,FALSE))=0,"",VLOOKUP($B31,Database!$B$1:$IX$10144,AE$22,FALSE)))</f>
        <v>11.5</v>
      </c>
      <c r="AF31" s="22">
        <f>IF(OR($B31="",AF$22=""),"",IF(LEN(VLOOKUP($B31,Database!$B$1:$IX$10144,AF$22,FALSE))=0,"",VLOOKUP($B31,Database!$B$1:$IX$10144,AF$22,FALSE)))</f>
        <v>24</v>
      </c>
      <c r="AG31" s="22">
        <f>IF(OR($B31="",AG$22=""),"",IF(LEN(VLOOKUP($B31,Database!$B$1:$IX$10144,AG$22,FALSE))=0,"",VLOOKUP($B31,Database!$B$1:$IX$10144,AG$22,FALSE)))</f>
        <v>33</v>
      </c>
      <c r="AH31" s="22">
        <f>IF(OR($B31="",AH$22=""),"",IF(LEN(VLOOKUP($B31,Database!$B$1:$IX$10144,AH$22,FALSE))=0,"",VLOOKUP($B31,Database!$B$1:$IX$10144,AH$22,FALSE)))</f>
        <v>1.5</v>
      </c>
      <c r="AI31" s="22">
        <f>IF(OR($B31="",AI$22=""),"",IF(LEN(VLOOKUP($B31,Database!$B$1:$IX$10144,AI$22,FALSE))=0,"",VLOOKUP($B31,Database!$B$1:$IX$10144,AI$22,FALSE)))</f>
        <v>1.3</v>
      </c>
      <c r="AJ31" s="22" t="str">
        <f>IF(OR($B31="",AJ$22=""),"",IF(LEN(VLOOKUP($B31,Database!$B$1:$IX$10144,AJ$22,FALSE))=0,"",VLOOKUP($B31,Database!$B$1:$IX$10144,AJ$22,FALSE)))</f>
        <v/>
      </c>
      <c r="AK31" s="22">
        <f>IF(OR($B31="",AK$22=""),"",IF(LEN(VLOOKUP($B31,Database!$B$1:$IX$10144,AK$22,FALSE))=0,"",VLOOKUP($B31,Database!$B$1:$IX$10144,AK$22,FALSE)))</f>
        <v>30.2</v>
      </c>
      <c r="AL31" s="22">
        <f>IF(OR($B31="",AL$22=""),"",IF(LEN(VLOOKUP($B31,Database!$B$1:$IX$10144,AL$22,FALSE))=0,"",VLOOKUP($B31,Database!$B$1:$IX$10144,AL$22,FALSE)))</f>
        <v>27.4</v>
      </c>
      <c r="AM31" s="22">
        <f>IF(OR($B31="",AM$22=""),"",IF(LEN(VLOOKUP($B31,Database!$B$1:$IX$10144,AM$22,FALSE))=0,"",VLOOKUP($B31,Database!$B$1:$IX$10144,AM$22,FALSE)))</f>
        <v>37.142857142857146</v>
      </c>
      <c r="AN31" s="22">
        <f>IF(OR($B31="",AN$22=""),"",IF(LEN(VLOOKUP($B31,Database!$B$1:$IX$10144,AN$22,FALSE))=0,"",VLOOKUP($B31,Database!$B$1:$IX$10144,AN$22,FALSE)))</f>
        <v>11.428571428571429</v>
      </c>
      <c r="AO31" s="22">
        <f>IF(OR($B31="",AO$22=""),"",IF(LEN(VLOOKUP($B31,Database!$B$1:$IX$10144,AO$22,FALSE))=0,"",VLOOKUP($B31,Database!$B$1:$IX$10144,AO$22,FALSE)))</f>
        <v>8.5714285714285712</v>
      </c>
      <c r="AP31" s="22" t="str">
        <f>IF(OR($B31="",AP$22=""),"",IF(LEN(VLOOKUP($B31,Database!$B$1:$IX$10144,AP$22,FALSE))=0,"",VLOOKUP($B31,Database!$B$1:$IX$10144,AP$22,FALSE)))</f>
        <v>ns</v>
      </c>
      <c r="AQ31" s="22" t="str">
        <f>IF(OR($B31="",AQ$22=""),"",IF(LEN(VLOOKUP($B31,Database!$B$1:$IX$10144,AQ$22,FALSE))=0,"",VLOOKUP($B31,Database!$B$1:$IX$10144,AQ$22,FALSE)))</f>
        <v>Penttilä J, Paillère-Martinot ML, Martinot JL, Ringuenet D, Wessa M, Houenou J, Gallarda T, Bellivier F, Galinowski A, Bruguière P, Pinabel F, Leboyer M, Olié JP, Duchesnay E, Artiges E, Mangin JF, Cachia A.</v>
      </c>
      <c r="AR31" s="13"/>
      <c r="BC31" s="23"/>
      <c r="BF31" s="136"/>
      <c r="BG31" s="136"/>
      <c r="BH31" s="136"/>
      <c r="BI31" s="136"/>
    </row>
    <row r="32" spans="1:65">
      <c r="A32" s="10"/>
      <c r="B32">
        <v>19028381</v>
      </c>
      <c r="C32" s="1" t="str">
        <f>IF($B32="","",HYPERLINK(IF(LEN(VLOOKUP($B32,Database!$B$1:$IX$10144,2,FALSE))=0,"",VLOOKUP($B32,Database!$B$1:$IX$10144,2,FALSE))))</f>
        <v/>
      </c>
      <c r="D32" s="1" t="str">
        <f>IF($B32="","",HYPERLINK(CONCATENATE("http://www.ncbi.nlm.nih.gov/pubmed/",B32)))</f>
        <v>http://www.ncbi.nlm.nih.gov/pubmed/19028381</v>
      </c>
      <c r="E32" s="22" t="str">
        <f>IF($B32="","",IF(LEN(VLOOKUP($B32,Database!$B$1:$IX$10144,4,FALSE))=0,"",VLOOKUP($B32,Database!$B$1:$IX$10144,4,FALSE)))</f>
        <v>van Eijndhoven P</v>
      </c>
      <c r="F32" s="22">
        <f>IF($B32="","",IF(LEN(VLOOKUP($B32,Database!$B$1:$IX$10144,5,FALSE))=0,"",VLOOKUP($B32,Database!$B$1:$IX$10144,5,FALSE)))</f>
        <v>2009</v>
      </c>
      <c r="G32" s="1" t="str">
        <f>IF($B32="","",HYPERLINK(IF(LEN(VLOOKUP($B32,Database!$B$1:$IX$10144,6,FALSE))=0,"",VLOOKUP($B32,Database!$B$1:$IX$10144,6,FALSE))))</f>
        <v>http://dx.doi.org/10.1016/j.biopsych.2008.10.027</v>
      </c>
      <c r="H32" s="83">
        <v>20</v>
      </c>
      <c r="I32" s="83">
        <v>10</v>
      </c>
      <c r="J32" t="s">
        <v>1205</v>
      </c>
      <c r="K32" t="s">
        <v>864</v>
      </c>
      <c r="T32">
        <v>699</v>
      </c>
      <c r="U32" s="13">
        <v>56</v>
      </c>
      <c r="V32" s="13">
        <v>709</v>
      </c>
      <c r="W32" s="13">
        <v>58</v>
      </c>
      <c r="X32" s="151"/>
      <c r="Y32" s="22" t="str">
        <f>IF(OR($B32="",Y$22=""),"",IF(LEN(VLOOKUP($B32,Database!$B$1:$IX$10144,Y$22,FALSE))=0,"",VLOOKUP($B32,Database!$B$1:$IX$10144,Y$22,FALSE)))</f>
        <v>DSM-IV</v>
      </c>
      <c r="Z32" s="22" t="str">
        <f>IF(OR($B32="",Z$22=""),"",IF(LEN(VLOOKUP($B32,Database!$B$1:$IX$10144,Z$22,FALSE))=0,"",VLOOKUP($B32,Database!$B$1:$IX$10144,Z$22,FALSE)))</f>
        <v>MRI</v>
      </c>
      <c r="AA32" s="214" t="s">
        <v>2447</v>
      </c>
      <c r="AB32" s="83">
        <v>34.1</v>
      </c>
      <c r="AC32" s="83">
        <v>11.6</v>
      </c>
      <c r="AD32" s="22">
        <f>IF(OR($B32="",AD$22=""),"",IF(LEN(VLOOKUP($B32,Database!$B$1:$IX$10144,AD$22,FALSE))=0,"",VLOOKUP($B32,Database!$B$1:$IX$10144,AD$22,FALSE)))</f>
        <v>37.299999999999997</v>
      </c>
      <c r="AE32" s="22">
        <f>IF(OR($B32="",AE$22=""),"",IF(LEN(VLOOKUP($B32,Database!$B$1:$IX$10144,AE$22,FALSE))=0,"",VLOOKUP($B32,Database!$B$1:$IX$10144,AE$22,FALSE)))</f>
        <v>12.7</v>
      </c>
      <c r="AF32" s="214">
        <v>13</v>
      </c>
      <c r="AG32" s="22">
        <f>IF(OR($B32="",AG$22=""),"",IF(LEN(VLOOKUP($B32,Database!$B$1:$IX$10144,AG$22,FALSE))=0,"",VLOOKUP($B32,Database!$B$1:$IX$10144,AG$22,FALSE)))</f>
        <v>13</v>
      </c>
      <c r="AH32" s="22">
        <f>IF(OR($B32="",AH$22=""),"",IF(LEN(VLOOKUP($B32,Database!$B$1:$IX$10144,AH$22,FALSE))=0,"",VLOOKUP($B32,Database!$B$1:$IX$10144,AH$22,FALSE)))</f>
        <v>1.5</v>
      </c>
      <c r="AI32" s="22">
        <f>IF(OR($B32="",AI$22=""),"",IF(LEN(VLOOKUP($B32,Database!$B$1:$IX$10144,AI$22,FALSE))=0,"",VLOOKUP($B32,Database!$B$1:$IX$10144,AI$22,FALSE)))</f>
        <v>1</v>
      </c>
      <c r="AJ32" s="22" t="str">
        <f>IF(OR($B32="",AJ$22=""),"",IF(LEN(VLOOKUP($B32,Database!$B$1:$IX$10144,AJ$22,FALSE))=0,"",VLOOKUP($B32,Database!$B$1:$IX$10144,AJ$22,FALSE)))</f>
        <v/>
      </c>
      <c r="AK32" s="83">
        <v>34.1</v>
      </c>
      <c r="AL32" s="83">
        <v>21.08</v>
      </c>
      <c r="AM32" s="22">
        <f>IF(OR($B32="",AM$22=""),"",IF(LEN(VLOOKUP($B32,Database!$B$1:$IX$10144,AM$22,FALSE))=0,"",VLOOKUP($B32,Database!$B$1:$IX$10144,AM$22,FALSE)))</f>
        <v>0</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van Eijndhoven P, van Wingen G, van Oijen K, Rijpkema M, Goraj B, Jan Verkes R, Oude Voshaar R, Fernández G, Buitelaar J, Tendolkar I.</v>
      </c>
      <c r="AR32" s="13"/>
      <c r="AU32" s="13"/>
      <c r="BC32" s="23"/>
      <c r="BF32" s="136"/>
      <c r="BG32" s="136"/>
      <c r="BH32" s="136"/>
      <c r="BI32" s="136"/>
    </row>
    <row r="33" spans="1:61">
      <c r="A33" s="10"/>
      <c r="B33">
        <v>19028381</v>
      </c>
      <c r="C33" s="1" t="str">
        <f>IF($B33="","",HYPERLINK(IF(LEN(VLOOKUP($B33,Database!$B$1:$IX$10144,2,FALSE))=0,"",VLOOKUP($B33,Database!$B$1:$IX$10144,2,FALSE))))</f>
        <v/>
      </c>
      <c r="D33" s="1" t="str">
        <f>IF($B33="","",HYPERLINK(CONCATENATE("http://www.ncbi.nlm.nih.gov/pubmed/",B33)))</f>
        <v>http://www.ncbi.nlm.nih.gov/pubmed/19028381</v>
      </c>
      <c r="E33" s="22" t="str">
        <f>IF($B33="","",IF(LEN(VLOOKUP($B33,Database!$B$1:$IX$10144,4,FALSE))=0,"",VLOOKUP($B33,Database!$B$1:$IX$10144,4,FALSE)))</f>
        <v>van Eijndhoven P</v>
      </c>
      <c r="F33" s="22">
        <f>IF($B33="","",IF(LEN(VLOOKUP($B33,Database!$B$1:$IX$10144,5,FALSE))=0,"",VLOOKUP($B33,Database!$B$1:$IX$10144,5,FALSE)))</f>
        <v>2009</v>
      </c>
      <c r="G33" s="1" t="str">
        <f>IF($B33="","",HYPERLINK(IF(LEN(VLOOKUP($B33,Database!$B$1:$IX$10144,6,FALSE))=0,"",VLOOKUP($B33,Database!$B$1:$IX$10144,6,FALSE))))</f>
        <v>http://dx.doi.org/10.1016/j.biopsych.2008.10.027</v>
      </c>
      <c r="H33" s="83">
        <v>20</v>
      </c>
      <c r="I33" s="83">
        <v>10</v>
      </c>
      <c r="J33" t="s">
        <v>1205</v>
      </c>
      <c r="K33" t="s">
        <v>357</v>
      </c>
      <c r="T33">
        <v>706</v>
      </c>
      <c r="U33" s="13">
        <v>63</v>
      </c>
      <c r="V33" s="13">
        <v>709</v>
      </c>
      <c r="W33" s="13">
        <v>58</v>
      </c>
      <c r="Y33" s="22" t="str">
        <f>IF(OR($B33="",Y$22=""),"",IF(LEN(VLOOKUP($B33,Database!$B$1:$IX$10144,Y$22,FALSE))=0,"",VLOOKUP($B33,Database!$B$1:$IX$10144,Y$22,FALSE)))</f>
        <v>DSM-IV</v>
      </c>
      <c r="Z33" s="22" t="str">
        <f>IF(OR($B33="",Z$22=""),"",IF(LEN(VLOOKUP($B33,Database!$B$1:$IX$10144,Z$22,FALSE))=0,"",VLOOKUP($B33,Database!$B$1:$IX$10144,Z$22,FALSE)))</f>
        <v>MRI</v>
      </c>
      <c r="AA33" s="214" t="s">
        <v>2448</v>
      </c>
      <c r="AB33" s="83">
        <v>35.799999999999997</v>
      </c>
      <c r="AC33" s="83">
        <v>11.7</v>
      </c>
      <c r="AD33" s="22">
        <f>IF(OR($B33="",AD$22=""),"",IF(LEN(VLOOKUP($B33,Database!$B$1:$IX$10144,AD$22,FALSE))=0,"",VLOOKUP($B33,Database!$B$1:$IX$10144,AD$22,FALSE)))</f>
        <v>37.299999999999997</v>
      </c>
      <c r="AE33" s="22">
        <f>IF(OR($B33="",AE$22=""),"",IF(LEN(VLOOKUP($B33,Database!$B$1:$IX$10144,AE$22,FALSE))=0,"",VLOOKUP($B33,Database!$B$1:$IX$10144,AE$22,FALSE)))</f>
        <v>12.7</v>
      </c>
      <c r="AF33" s="214">
        <v>14</v>
      </c>
      <c r="AG33" s="22">
        <f>IF(OR($B33="",AG$22=""),"",IF(LEN(VLOOKUP($B33,Database!$B$1:$IX$10144,AG$22,FALSE))=0,"",VLOOKUP($B33,Database!$B$1:$IX$10144,AG$22,FALSE)))</f>
        <v>13</v>
      </c>
      <c r="AH33" s="22">
        <f>IF(OR($B33="",AH$22=""),"",IF(LEN(VLOOKUP($B33,Database!$B$1:$IX$10144,AH$22,FALSE))=0,"",VLOOKUP($B33,Database!$B$1:$IX$10144,AH$22,FALSE)))</f>
        <v>1.5</v>
      </c>
      <c r="AI33" s="22">
        <f>IF(OR($B33="",AI$22=""),"",IF(LEN(VLOOKUP($B33,Database!$B$1:$IX$10144,AI$22,FALSE))=0,"",VLOOKUP($B33,Database!$B$1:$IX$10144,AI$22,FALSE)))</f>
        <v>1</v>
      </c>
      <c r="AJ33" s="22" t="str">
        <f>IF(OR($B33="",AJ$22=""),"",IF(LEN(VLOOKUP($B33,Database!$B$1:$IX$10144,AJ$22,FALSE))=0,"",VLOOKUP($B33,Database!$B$1:$IX$10144,AJ$22,FALSE)))</f>
        <v/>
      </c>
      <c r="AK33" s="83">
        <v>33.4</v>
      </c>
      <c r="AL33" s="83">
        <v>3.4</v>
      </c>
      <c r="AM33" s="22">
        <f>IF(OR($B33="",AM$22=""),"",IF(LEN(VLOOKUP($B33,Database!$B$1:$IX$10144,AM$22,FALSE))=0,"",VLOOKUP($B33,Database!$B$1:$IX$10144,AM$22,FALSE)))</f>
        <v>0</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van Eijndhoven P, van Wingen G, van Oijen K, Rijpkema M, Goraj B, Jan Verkes R, Oude Voshaar R, Fernández G, Buitelaar J, Tendolkar I.</v>
      </c>
      <c r="AR33" s="13"/>
      <c r="AU33" s="13"/>
      <c r="BC33" s="23"/>
      <c r="BF33" s="136"/>
      <c r="BG33" s="136"/>
      <c r="BH33" s="136"/>
      <c r="BI33" s="136"/>
    </row>
    <row r="34" spans="1:61">
      <c r="A34" s="4" t="s">
        <v>1510</v>
      </c>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61">
      <c r="A35" s="10" t="s">
        <v>911</v>
      </c>
      <c r="B35">
        <v>15514411</v>
      </c>
      <c r="C35" s="1" t="str">
        <f>IF($B35="","",HYPERLINK(IF(LEN(VLOOKUP($B35,Database!$B$1:$IX$10144,2,FALSE))=0,"",VLOOKUP($B35,Database!$B$1:$IX$10144,2,FALSE))))</f>
        <v/>
      </c>
      <c r="D35" s="1" t="str">
        <f>IF($B35="","",HYPERLINK(CONCATENATE("http://www.ncbi.nlm.nih.gov/pubmed/",B35)))</f>
        <v>http://www.ncbi.nlm.nih.gov/pubmed/15514411</v>
      </c>
      <c r="E35" s="22" t="str">
        <f>IF($B35="","",IF(LEN(VLOOKUP($B35,Database!$B$1:$IX$10144,4,FALSE))=0,"",VLOOKUP($B35,Database!$B$1:$IX$10144,4,FALSE)))</f>
        <v>Ballmaier M (B)</v>
      </c>
      <c r="F35" s="22">
        <f>IF($B35="","",IF(LEN(VLOOKUP($B35,Database!$B$1:$IX$10144,5,FALSE))=0,"",VLOOKUP($B35,Database!$B$1:$IX$10144,5,FALSE)))</f>
        <v>2004</v>
      </c>
      <c r="G35" s="1" t="str">
        <f>IF($B35="","",HYPERLINK(IF(LEN(VLOOKUP($B35,Database!$B$1:$IX$10144,6,FALSE))=0,"",VLOOKUP($B35,Database!$B$1:$IX$10144,6,FALSE))))</f>
        <v>http://ajp.psychiatryonline.org/cgi/reprint/161/11/2091</v>
      </c>
      <c r="H35" s="22">
        <f>IF($B35="","",IF(LEN(VLOOKUP($B35,Database!$B$1:$IX$10144,7,FALSE))=0,"",VLOOKUP($B35,Database!$B$1:$IX$10144,7,FALSE)))</f>
        <v>17</v>
      </c>
      <c r="I35" s="22">
        <f>IF($B35="","",IF(LEN(VLOOKUP($B35,Database!$B$1:$IX$10144,8,FALSE))=0,"",VLOOKUP($B35,Database!$B$1:$IX$10144,8,FALSE)))</f>
        <v>17</v>
      </c>
      <c r="J35" t="s">
        <v>984</v>
      </c>
      <c r="T35">
        <v>599.58000000000004</v>
      </c>
      <c r="U35">
        <v>48.04</v>
      </c>
      <c r="V35">
        <v>587.27</v>
      </c>
      <c r="W35">
        <v>61.93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75.239999999999995</v>
      </c>
      <c r="AC35" s="22">
        <f>IF(OR($B35="",AC$22=""),"",IF(LEN(VLOOKUP($B35,Database!$B$1:$IX$10144,AC$22,FALSE))=0,"",VLOOKUP($B35,Database!$B$1:$IX$10144,AC$22,FALSE)))</f>
        <v>8.52</v>
      </c>
      <c r="AD35" s="22">
        <f>IF(OR($B35="",AD$22=""),"",IF(LEN(VLOOKUP($B35,Database!$B$1:$IX$10144,AD$22,FALSE))=0,"",VLOOKUP($B35,Database!$B$1:$IX$10144,AD$22,FALSE)))</f>
        <v>73.88</v>
      </c>
      <c r="AE35" s="22">
        <f>IF(OR($B35="",AE$22=""),"",IF(LEN(VLOOKUP($B35,Database!$B$1:$IX$10144,AE$22,FALSE))=0,"",VLOOKUP($B35,Database!$B$1:$IX$10144,AE$22,FALSE)))</f>
        <v>7.61</v>
      </c>
      <c r="AF35" s="22">
        <f>IF(OR($B35="",AF$22=""),"",IF(LEN(VLOOKUP($B35,Database!$B$1:$IX$10144,AF$22,FALSE))=0,"",VLOOKUP($B35,Database!$B$1:$IX$10144,AF$22,FALSE)))</f>
        <v>11</v>
      </c>
      <c r="AG35" s="22">
        <f>IF(OR($B35="",AG$22=""),"",IF(LEN(VLOOKUP($B35,Database!$B$1:$IX$10144,AG$22,FALSE))=0,"",VLOOKUP($B35,Database!$B$1:$IX$10144,AG$22,FALSE)))</f>
        <v>11</v>
      </c>
      <c r="AH35" s="22">
        <f>IF(OR($B35="",AH$22=""),"",IF(LEN(VLOOKUP($B35,Database!$B$1:$IX$10144,AH$22,FALSE))=0,"",VLOOKUP($B35,Database!$B$1:$IX$10144,AH$22,FALSE)))</f>
        <v>1.5</v>
      </c>
      <c r="AI35" s="22">
        <f>IF(OR($B35="",AI$22=""),"",IF(LEN(VLOOKUP($B35,Database!$B$1:$IX$10144,AI$22,FALSE))=0,"",VLOOKUP($B35,Database!$B$1:$IX$10144,AI$22,FALSE)))</f>
        <v>1.4</v>
      </c>
      <c r="AJ35" s="22" t="str">
        <f>IF(OR($B35="",AJ$22=""),"",IF(LEN(VLOOKUP($B35,Database!$B$1:$IX$10144,AJ$22,FALSE))=0,"",VLOOKUP($B35,Database!$B$1:$IX$10144,AJ$22,FALSE)))</f>
        <v/>
      </c>
      <c r="AK35" s="22">
        <f>IF(OR($B35="",AK$22=""),"",IF(LEN(VLOOKUP($B35,Database!$B$1:$IX$10144,AK$22,FALSE))=0,"",VLOOKUP($B35,Database!$B$1:$IX$10144,AK$22,FALSE)))</f>
        <v>71.88</v>
      </c>
      <c r="AL35" s="22">
        <f>IF(OR($B35="",AL$22=""),"",IF(LEN(VLOOKUP($B35,Database!$B$1:$IX$10144,AL$22,FALSE))=0,"",VLOOKUP($B35,Database!$B$1:$IX$10144,AL$22,FALSE)))</f>
        <v>18.41</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f>IF(OR($B35="",AP$22=""),"",IF(LEN(VLOOKUP($B35,Database!$B$1:$IX$10144,AP$22,FALSE))=0,"",VLOOKUP($B35,Database!$B$1:$IX$10144,AP$22,FALSE)))</f>
        <v>100</v>
      </c>
      <c r="AQ35" s="22" t="str">
        <f>IF(OR($B35="",AQ$22=""),"",IF(LEN(VLOOKUP($B35,Database!$B$1:$IX$10144,AQ$22,FALSE))=0,"",VLOOKUP($B35,Database!$B$1:$IX$10144,AQ$22,FALSE)))</f>
        <v>Ballmaier M, Kumar A, Thompson PM, Narr KL, Lavretsky H, Estanol L, Deluca H, Toga AW.</v>
      </c>
    </row>
    <row r="36" spans="1:61">
      <c r="A36" s="7"/>
      <c r="C36" s="1"/>
      <c r="D36" s="1"/>
      <c r="E36" s="22"/>
      <c r="F36" s="22"/>
      <c r="G36" s="1"/>
      <c r="H36" s="22"/>
      <c r="I36" s="22"/>
      <c r="Y36" s="22"/>
      <c r="Z36" s="22"/>
      <c r="AA36" s="22"/>
      <c r="AB36" s="22"/>
      <c r="AC36" s="22"/>
      <c r="AD36" s="22"/>
      <c r="AE36" s="22"/>
      <c r="AF36" s="22"/>
      <c r="AG36" s="22"/>
      <c r="AH36" s="22"/>
      <c r="AI36" s="22"/>
      <c r="AJ36" s="22"/>
      <c r="AK36" s="22"/>
      <c r="AL36" s="22"/>
      <c r="AM36" s="22"/>
      <c r="AN36" s="22"/>
      <c r="AO36" s="22"/>
      <c r="AP36" s="22"/>
      <c r="AQ36" s="22"/>
    </row>
    <row r="37" spans="1:61">
      <c r="A37" s="7"/>
      <c r="C37" s="1"/>
      <c r="D37" s="1"/>
      <c r="E37" s="22"/>
      <c r="F37" s="22"/>
      <c r="G37" s="1"/>
      <c r="H37" s="22"/>
      <c r="I37" s="22"/>
      <c r="K37" s="13"/>
      <c r="U37" s="13"/>
      <c r="V37" s="13"/>
      <c r="W37" s="13"/>
      <c r="Y37" s="22"/>
      <c r="Z37" s="22"/>
      <c r="AA37" s="22"/>
      <c r="AB37" s="22"/>
      <c r="AC37" s="22"/>
      <c r="AD37" s="22"/>
      <c r="AE37" s="22"/>
      <c r="AF37" s="22"/>
      <c r="AG37" s="22"/>
      <c r="AH37" s="22"/>
      <c r="AI37" s="22"/>
      <c r="AJ37" s="22"/>
      <c r="AK37" s="22"/>
      <c r="AL37" s="22"/>
      <c r="AM37" s="22"/>
      <c r="AN37" s="22"/>
      <c r="AO37" s="22"/>
      <c r="AP37" s="22"/>
      <c r="AQ37" s="22"/>
    </row>
    <row r="38" spans="1:61">
      <c r="I38" s="22" t="str">
        <f>IF($B38="","",IF(LEN(VLOOKUP($B38,Database!$B$1:$IX$10144,8,FALSE))=0,"",VLOOKUP($B38,Database!$B$1:$IX$10144,8,FALSE)))</f>
        <v/>
      </c>
      <c r="AF38" t="s">
        <v>602</v>
      </c>
      <c r="AJ38" t="s">
        <v>329</v>
      </c>
      <c r="AN38" t="s">
        <v>330</v>
      </c>
    </row>
    <row r="39" spans="1:61" ht="45" customHeight="1">
      <c r="E39" s="60" t="s">
        <v>617</v>
      </c>
      <c r="F39" s="60" t="s">
        <v>740</v>
      </c>
      <c r="G39" s="60" t="s">
        <v>244</v>
      </c>
      <c r="H39" s="60" t="s">
        <v>245</v>
      </c>
      <c r="I39" s="60" t="s">
        <v>246</v>
      </c>
      <c r="J39" s="60" t="s">
        <v>593</v>
      </c>
      <c r="K39" s="60" t="s">
        <v>1039</v>
      </c>
      <c r="L39" s="60" t="s">
        <v>594</v>
      </c>
      <c r="M39" s="60" t="s">
        <v>1299</v>
      </c>
      <c r="N39" s="61" t="s">
        <v>595</v>
      </c>
      <c r="O39" s="61" t="s">
        <v>596</v>
      </c>
      <c r="P39" s="61" t="s">
        <v>597</v>
      </c>
      <c r="Q39" s="61" t="s">
        <v>598</v>
      </c>
      <c r="R39" s="61" t="s">
        <v>599</v>
      </c>
      <c r="S39" s="61" t="s">
        <v>600</v>
      </c>
      <c r="T39" s="61" t="s">
        <v>601</v>
      </c>
      <c r="U39" s="61" t="s">
        <v>484</v>
      </c>
      <c r="V39" s="61" t="s">
        <v>485</v>
      </c>
      <c r="W39" s="61" t="s">
        <v>486</v>
      </c>
      <c r="AF39" s="61" t="s">
        <v>1517</v>
      </c>
      <c r="AG39" s="62" t="s">
        <v>834</v>
      </c>
      <c r="AH39" s="62" t="s">
        <v>835</v>
      </c>
      <c r="AJ39" s="61" t="s">
        <v>836</v>
      </c>
      <c r="AK39" s="61" t="s">
        <v>837</v>
      </c>
      <c r="AL39" s="61" t="s">
        <v>487</v>
      </c>
      <c r="AN39" t="s">
        <v>488</v>
      </c>
      <c r="AO39" t="s">
        <v>489</v>
      </c>
      <c r="AP39" t="s">
        <v>490</v>
      </c>
      <c r="AQ39" t="s">
        <v>491</v>
      </c>
      <c r="AR39" t="s">
        <v>492</v>
      </c>
      <c r="AS39" t="s">
        <v>493</v>
      </c>
      <c r="AT39" t="s">
        <v>494</v>
      </c>
      <c r="AU39" t="s">
        <v>495</v>
      </c>
      <c r="AV39" t="s">
        <v>496</v>
      </c>
      <c r="AW39" t="s">
        <v>497</v>
      </c>
      <c r="AX39" t="s">
        <v>498</v>
      </c>
      <c r="AY39" t="s">
        <v>499</v>
      </c>
    </row>
    <row r="40" spans="1:61">
      <c r="E40" t="str">
        <f t="shared" ref="E40:F49" si="1">E24</f>
        <v>Dupont RM (A)</v>
      </c>
      <c r="F40">
        <f t="shared" si="1"/>
        <v>1995</v>
      </c>
      <c r="G40">
        <v>12</v>
      </c>
      <c r="H40">
        <f t="shared" ref="H40:I49" si="2">H24</f>
        <v>30</v>
      </c>
      <c r="I40">
        <f t="shared" si="2"/>
        <v>26</v>
      </c>
      <c r="J40">
        <f t="shared" ref="J40:M44" si="3">IF($D$4="Total",T24,IF($D$4="Left",L24,IF($D$4="Right",P24,"error")))</f>
        <v>84691.76</v>
      </c>
      <c r="K40">
        <f t="shared" si="3"/>
        <v>9631.9500000000007</v>
      </c>
      <c r="L40">
        <f t="shared" si="3"/>
        <v>85494.87</v>
      </c>
      <c r="M40">
        <f t="shared" si="3"/>
        <v>12355.46</v>
      </c>
      <c r="N40">
        <f t="shared" ref="N40:N49" si="4">IF($D$3=1,SQRT((((I40-1)*(M40)^2)+((H40-1)*(K40)^2))/(H40+I40-2)),M40)</f>
        <v>10977.159922920846</v>
      </c>
      <c r="O40" s="59">
        <f t="shared" ref="O40:O49" si="5">IF($D$6=1,LN(J40/L40),IF($D$5=1,(1-3/(4*(H40+I40)-9))*((J40-L40)/N40),(J40-L40)/N40))</f>
        <v>-7.2141047366901814E-2</v>
      </c>
      <c r="P40" s="63">
        <f t="shared" ref="P40:P49" si="6">IF($D$6=1,(K40^2)/(H40*J40^2)+(M40^2)/(I40*L40^2),(IF($D$5=1,((H40+I40)/(H40*I40))+(O40*O40)/(2*(H40+I40-3.94)),((H40+I40)/(H40*I40))+((O40^2)/(2*(H40+I40-2))))))</f>
        <v>7.1844855762555171E-2</v>
      </c>
      <c r="Q40" s="59">
        <f t="shared" ref="Q40:Q49" si="7">$R$66*SQRT(P40)</f>
        <v>0.52535625807392061</v>
      </c>
      <c r="R40" s="59">
        <f t="shared" ref="R40:R49" si="8">1/P40</f>
        <v>13.91888103032688</v>
      </c>
      <c r="S40" s="59">
        <f t="shared" ref="S40:S49" si="9">O40*R40</f>
        <v>-1.0041226557030825</v>
      </c>
      <c r="T40" s="59">
        <f t="shared" ref="T40:T49" si="10">R40*(O40^2)</f>
        <v>7.2438460067255322E-2</v>
      </c>
      <c r="U40" s="23">
        <f t="shared" ref="U40:U49" si="11">R40^2</f>
        <v>193.73524913639346</v>
      </c>
      <c r="V40" s="59">
        <f t="shared" ref="V40:V49" si="12">1/((1/R40)+$I$63)</f>
        <v>13.91888103032688</v>
      </c>
      <c r="W40" s="59">
        <f t="shared" ref="W40:W49" si="13">V40*O40</f>
        <v>-1.0041226557030825</v>
      </c>
      <c r="AF40" s="59">
        <f t="shared" ref="AF40:AF49" si="14">IF($D$6=1,100*((EXP(O40))-1),O40)</f>
        <v>-7.2141047366901814E-2</v>
      </c>
      <c r="AG40" s="59">
        <f t="shared" ref="AG40:AG49" si="15">IF($D$6=1,100*(EXP(O40+Q40)-EXP(O40)),Q40)</f>
        <v>0.52535625807392061</v>
      </c>
      <c r="AH40" s="59">
        <f t="shared" ref="AH40:AH49" si="16">IF($D$6=1,100*(EXP(O40)-EXP(O40-Q40)),Q40)</f>
        <v>0.52535625807392061</v>
      </c>
      <c r="AJ40">
        <f t="shared" ref="AJ40:AJ49" si="17">SQRT(P40)</f>
        <v>0.26803890718057177</v>
      </c>
      <c r="AK40">
        <f t="shared" ref="AK40:AK49" si="18">1/AJ40</f>
        <v>3.7308016605452079</v>
      </c>
      <c r="AL40">
        <f t="shared" ref="AL40:AL49" si="19">O40/AJ40</f>
        <v>-0.26914393930990776</v>
      </c>
      <c r="AN40" t="str">
        <f t="shared" ref="AN40:AO44" si="20">E40</f>
        <v>Dupont RM (A)</v>
      </c>
      <c r="AO40">
        <f t="shared" si="20"/>
        <v>1995</v>
      </c>
      <c r="AP40" t="str">
        <f t="shared" ref="AP40:AP49" si="21">CONCATENATE(AN40," ",AO40)</f>
        <v>Dupont RM (A) 1995</v>
      </c>
      <c r="AQ40">
        <f t="shared" ref="AQ40:AQ49" si="22">INT(H40)</f>
        <v>30</v>
      </c>
      <c r="AR40">
        <f t="shared" ref="AR40:AS44" si="23">J40</f>
        <v>84691.76</v>
      </c>
      <c r="AS40">
        <f t="shared" si="23"/>
        <v>9631.9500000000007</v>
      </c>
      <c r="AT40">
        <f t="shared" ref="AT40:AT49" si="24">INT(I40)</f>
        <v>26</v>
      </c>
      <c r="AU40">
        <f t="shared" ref="AU40:AV44" si="25">L40</f>
        <v>85494.87</v>
      </c>
      <c r="AV40">
        <f t="shared" si="25"/>
        <v>12355.46</v>
      </c>
      <c r="AW40" s="65">
        <f t="shared" ref="AW40:AW49" si="26">O40</f>
        <v>-7.2141047366901814E-2</v>
      </c>
      <c r="AX40">
        <f t="shared" ref="AX40:AX49" si="27">SQRT(P40)</f>
        <v>0.26803890718057177</v>
      </c>
      <c r="AY40" t="str">
        <f>$F$3</f>
        <v>Pooled SD</v>
      </c>
    </row>
    <row r="41" spans="1:61">
      <c r="E41" t="str">
        <f t="shared" si="1"/>
        <v>Pillay SS</v>
      </c>
      <c r="F41">
        <f t="shared" si="1"/>
        <v>1997</v>
      </c>
      <c r="G41">
        <v>11</v>
      </c>
      <c r="H41">
        <f t="shared" si="2"/>
        <v>38</v>
      </c>
      <c r="I41">
        <f t="shared" si="2"/>
        <v>20</v>
      </c>
      <c r="J41">
        <f t="shared" si="3"/>
        <v>628.5</v>
      </c>
      <c r="K41">
        <f t="shared" si="3"/>
        <v>77.5</v>
      </c>
      <c r="L41">
        <f t="shared" si="3"/>
        <v>626.5</v>
      </c>
      <c r="M41">
        <f t="shared" si="3"/>
        <v>68</v>
      </c>
      <c r="N41">
        <f t="shared" si="4"/>
        <v>74.412850512721064</v>
      </c>
      <c r="O41" s="59">
        <f t="shared" si="5"/>
        <v>2.6515503126254811E-2</v>
      </c>
      <c r="P41" s="63">
        <f t="shared" si="6"/>
        <v>7.6322292173518089E-2</v>
      </c>
      <c r="Q41" s="59">
        <f t="shared" si="7"/>
        <v>0.54147919407285361</v>
      </c>
      <c r="R41" s="59">
        <f t="shared" si="8"/>
        <v>13.102331855108707</v>
      </c>
      <c r="S41" s="59">
        <f t="shared" si="9"/>
        <v>0.34741492126536294</v>
      </c>
      <c r="T41" s="59">
        <f t="shared" si="10"/>
        <v>9.2118814309192984E-3</v>
      </c>
      <c r="U41" s="23">
        <f t="shared" si="11"/>
        <v>171.67110004139636</v>
      </c>
      <c r="V41" s="59">
        <f t="shared" si="12"/>
        <v>13.102331855108707</v>
      </c>
      <c r="W41" s="59">
        <f t="shared" si="13"/>
        <v>0.34741492126536294</v>
      </c>
      <c r="AF41" s="59">
        <f t="shared" si="14"/>
        <v>2.6515503126254811E-2</v>
      </c>
      <c r="AG41" s="59">
        <f t="shared" si="15"/>
        <v>0.54147919407285361</v>
      </c>
      <c r="AH41" s="59">
        <f t="shared" si="16"/>
        <v>0.54147919407285361</v>
      </c>
      <c r="AJ41">
        <f t="shared" si="17"/>
        <v>0.2762648949351294</v>
      </c>
      <c r="AK41">
        <f t="shared" si="18"/>
        <v>3.6197143333568063</v>
      </c>
      <c r="AL41">
        <f t="shared" si="19"/>
        <v>9.597854672227174E-2</v>
      </c>
      <c r="AN41" t="str">
        <f t="shared" si="20"/>
        <v>Pillay SS</v>
      </c>
      <c r="AO41">
        <f t="shared" si="20"/>
        <v>1997</v>
      </c>
      <c r="AP41" t="str">
        <f t="shared" si="21"/>
        <v>Pillay SS 1997</v>
      </c>
      <c r="AQ41">
        <f t="shared" si="22"/>
        <v>38</v>
      </c>
      <c r="AR41">
        <f t="shared" si="23"/>
        <v>628.5</v>
      </c>
      <c r="AS41">
        <f t="shared" si="23"/>
        <v>77.5</v>
      </c>
      <c r="AT41">
        <f t="shared" si="24"/>
        <v>20</v>
      </c>
      <c r="AU41">
        <f t="shared" si="25"/>
        <v>626.5</v>
      </c>
      <c r="AV41">
        <f t="shared" si="25"/>
        <v>68</v>
      </c>
      <c r="AW41" s="65">
        <f t="shared" si="26"/>
        <v>2.6515503126254811E-2</v>
      </c>
      <c r="AX41">
        <f t="shared" si="27"/>
        <v>0.2762648949351294</v>
      </c>
      <c r="AY41" t="str">
        <f>$F$4</f>
        <v>Total</v>
      </c>
    </row>
    <row r="42" spans="1:61">
      <c r="E42" t="str">
        <f t="shared" si="1"/>
        <v>Frodl T (A)</v>
      </c>
      <c r="F42">
        <f t="shared" si="1"/>
        <v>2002</v>
      </c>
      <c r="G42">
        <v>10</v>
      </c>
      <c r="H42">
        <f t="shared" si="2"/>
        <v>30</v>
      </c>
      <c r="I42">
        <f t="shared" si="2"/>
        <v>30</v>
      </c>
      <c r="J42">
        <f t="shared" si="3"/>
        <v>645.6</v>
      </c>
      <c r="K42">
        <f t="shared" si="3"/>
        <v>49.6</v>
      </c>
      <c r="L42">
        <f t="shared" si="3"/>
        <v>648.20000000000005</v>
      </c>
      <c r="M42">
        <f t="shared" si="3"/>
        <v>73.599999999999994</v>
      </c>
      <c r="N42">
        <f t="shared" si="4"/>
        <v>62.757947703856594</v>
      </c>
      <c r="O42" s="59">
        <f t="shared" si="5"/>
        <v>-4.0890976523696755E-2</v>
      </c>
      <c r="P42" s="63">
        <f t="shared" si="6"/>
        <v>6.6681579902138133E-2</v>
      </c>
      <c r="Q42" s="59">
        <f t="shared" si="7"/>
        <v>0.50612642427762444</v>
      </c>
      <c r="R42" s="59">
        <f t="shared" si="8"/>
        <v>14.996645272466544</v>
      </c>
      <c r="S42" s="59">
        <f t="shared" si="9"/>
        <v>-0.61322746977063736</v>
      </c>
      <c r="T42" s="59">
        <f t="shared" si="10"/>
        <v>2.5075470070077096E-2</v>
      </c>
      <c r="U42" s="23">
        <f t="shared" si="11"/>
        <v>224.89936942819315</v>
      </c>
      <c r="V42" s="59">
        <f t="shared" si="12"/>
        <v>14.996645272466544</v>
      </c>
      <c r="W42" s="59">
        <f t="shared" si="13"/>
        <v>-0.61322746977063736</v>
      </c>
      <c r="AF42" s="59">
        <f t="shared" si="14"/>
        <v>-4.0890976523696755E-2</v>
      </c>
      <c r="AG42" s="59">
        <f t="shared" si="15"/>
        <v>0.50612642427762444</v>
      </c>
      <c r="AH42" s="59">
        <f t="shared" si="16"/>
        <v>0.50612642427762444</v>
      </c>
      <c r="AJ42">
        <f t="shared" si="17"/>
        <v>0.25822776748858389</v>
      </c>
      <c r="AK42">
        <f t="shared" si="18"/>
        <v>3.8725502285272611</v>
      </c>
      <c r="AL42">
        <f t="shared" si="19"/>
        <v>-0.15835236048154475</v>
      </c>
      <c r="AN42" t="str">
        <f t="shared" si="20"/>
        <v>Frodl T (A)</v>
      </c>
      <c r="AO42">
        <f t="shared" si="20"/>
        <v>2002</v>
      </c>
      <c r="AP42" t="str">
        <f t="shared" si="21"/>
        <v>Frodl T (A) 2002</v>
      </c>
      <c r="AQ42">
        <f t="shared" si="22"/>
        <v>30</v>
      </c>
      <c r="AR42">
        <f t="shared" si="23"/>
        <v>645.6</v>
      </c>
      <c r="AS42">
        <f t="shared" si="23"/>
        <v>49.6</v>
      </c>
      <c r="AT42">
        <f t="shared" si="24"/>
        <v>30</v>
      </c>
      <c r="AU42">
        <f t="shared" si="25"/>
        <v>648.20000000000005</v>
      </c>
      <c r="AV42">
        <f t="shared" si="25"/>
        <v>73.599999999999994</v>
      </c>
      <c r="AW42" s="65">
        <f t="shared" si="26"/>
        <v>-4.0890976523696755E-2</v>
      </c>
      <c r="AX42">
        <f t="shared" si="27"/>
        <v>0.25822776748858389</v>
      </c>
      <c r="AY42" t="str">
        <f>$F$6</f>
        <v>Cohens Effect size</v>
      </c>
    </row>
    <row r="43" spans="1:61">
      <c r="E43" t="str">
        <f t="shared" si="1"/>
        <v>Steingard RJ</v>
      </c>
      <c r="F43">
        <f t="shared" si="1"/>
        <v>2002</v>
      </c>
      <c r="G43">
        <v>9</v>
      </c>
      <c r="H43">
        <f t="shared" si="2"/>
        <v>19</v>
      </c>
      <c r="I43">
        <f t="shared" si="2"/>
        <v>38</v>
      </c>
      <c r="J43">
        <f t="shared" si="3"/>
        <v>786</v>
      </c>
      <c r="K43">
        <f t="shared" si="3"/>
        <v>74</v>
      </c>
      <c r="L43">
        <f t="shared" si="3"/>
        <v>774</v>
      </c>
      <c r="M43">
        <f t="shared" si="3"/>
        <v>102</v>
      </c>
      <c r="N43">
        <f t="shared" si="4"/>
        <v>93.761399306964279</v>
      </c>
      <c r="O43" s="59">
        <f t="shared" si="5"/>
        <v>0.12623122655846555</v>
      </c>
      <c r="P43" s="63">
        <f t="shared" si="6"/>
        <v>7.9097522233326042E-2</v>
      </c>
      <c r="Q43" s="59">
        <f t="shared" si="7"/>
        <v>0.55123592173546287</v>
      </c>
      <c r="R43" s="59">
        <f t="shared" si="8"/>
        <v>12.642621055184854</v>
      </c>
      <c r="S43" s="59">
        <f t="shared" si="9"/>
        <v>1.5958935627098663</v>
      </c>
      <c r="T43" s="59">
        <f t="shared" si="10"/>
        <v>0.20145160187762587</v>
      </c>
      <c r="U43" s="23">
        <f t="shared" si="11"/>
        <v>159.83586714500339</v>
      </c>
      <c r="V43" s="59">
        <f t="shared" si="12"/>
        <v>12.642621055184854</v>
      </c>
      <c r="W43" s="59">
        <f t="shared" si="13"/>
        <v>1.5958935627098663</v>
      </c>
      <c r="AF43" s="59">
        <f t="shared" si="14"/>
        <v>0.12623122655846555</v>
      </c>
      <c r="AG43" s="59">
        <f t="shared" si="15"/>
        <v>0.55123592173546287</v>
      </c>
      <c r="AH43" s="59">
        <f t="shared" si="16"/>
        <v>0.55123592173546287</v>
      </c>
      <c r="AJ43">
        <f t="shared" si="17"/>
        <v>0.28124281721197086</v>
      </c>
      <c r="AK43">
        <f t="shared" si="18"/>
        <v>3.5556463625035679</v>
      </c>
      <c r="AL43">
        <f t="shared" si="19"/>
        <v>0.44883360154697183</v>
      </c>
      <c r="AN43" t="str">
        <f t="shared" si="20"/>
        <v>Steingard RJ</v>
      </c>
      <c r="AO43">
        <f t="shared" si="20"/>
        <v>2002</v>
      </c>
      <c r="AP43" t="str">
        <f t="shared" si="21"/>
        <v>Steingard RJ 2002</v>
      </c>
      <c r="AQ43">
        <f t="shared" si="22"/>
        <v>19</v>
      </c>
      <c r="AR43">
        <f t="shared" si="23"/>
        <v>786</v>
      </c>
      <c r="AS43">
        <f t="shared" si="23"/>
        <v>74</v>
      </c>
      <c r="AT43">
        <f t="shared" si="24"/>
        <v>38</v>
      </c>
      <c r="AU43">
        <f t="shared" si="25"/>
        <v>774</v>
      </c>
      <c r="AV43">
        <f t="shared" si="25"/>
        <v>102</v>
      </c>
      <c r="AW43" s="65">
        <f t="shared" si="26"/>
        <v>0.12623122655846555</v>
      </c>
      <c r="AX43">
        <f t="shared" si="27"/>
        <v>0.28124281721197086</v>
      </c>
      <c r="AY43" t="str">
        <f>$F$5</f>
        <v>H Correction</v>
      </c>
    </row>
    <row r="44" spans="1:61">
      <c r="E44" t="str">
        <f t="shared" si="1"/>
        <v>Ballmaier M (C)</v>
      </c>
      <c r="F44">
        <f t="shared" si="1"/>
        <v>2004</v>
      </c>
      <c r="G44">
        <v>8</v>
      </c>
      <c r="H44">
        <f t="shared" si="2"/>
        <v>24</v>
      </c>
      <c r="I44">
        <f t="shared" si="2"/>
        <v>19</v>
      </c>
      <c r="J44">
        <f t="shared" si="3"/>
        <v>558.57100000000003</v>
      </c>
      <c r="K44">
        <f t="shared" si="3"/>
        <v>104.869</v>
      </c>
      <c r="L44">
        <f t="shared" si="3"/>
        <v>581.83100000000002</v>
      </c>
      <c r="M44">
        <f t="shared" si="3"/>
        <v>103.557</v>
      </c>
      <c r="N44">
        <f t="shared" si="4"/>
        <v>104.29503240806822</v>
      </c>
      <c r="O44" s="59">
        <f t="shared" si="5"/>
        <v>-0.2189164844511283</v>
      </c>
      <c r="P44" s="63">
        <f t="shared" si="6"/>
        <v>9.4911717543943452E-2</v>
      </c>
      <c r="Q44" s="59">
        <f t="shared" si="7"/>
        <v>0.60383180946089055</v>
      </c>
      <c r="R44" s="59">
        <f t="shared" si="8"/>
        <v>10.536106877815239</v>
      </c>
      <c r="S44" s="59">
        <f t="shared" si="9"/>
        <v>-2.3065274774926658</v>
      </c>
      <c r="T44" s="59">
        <f t="shared" si="10"/>
        <v>0.50493688666262337</v>
      </c>
      <c r="U44" s="23">
        <f t="shared" si="11"/>
        <v>111.00954814074559</v>
      </c>
      <c r="V44" s="59">
        <f t="shared" si="12"/>
        <v>10.536106877815239</v>
      </c>
      <c r="W44" s="59">
        <f t="shared" si="13"/>
        <v>-2.3065274774926658</v>
      </c>
      <c r="AF44" s="59">
        <f t="shared" si="14"/>
        <v>-0.2189164844511283</v>
      </c>
      <c r="AG44" s="59">
        <f t="shared" si="15"/>
        <v>0.60383180946089055</v>
      </c>
      <c r="AH44" s="59">
        <f t="shared" si="16"/>
        <v>0.60383180946089055</v>
      </c>
      <c r="AJ44">
        <f t="shared" si="17"/>
        <v>0.30807745380657681</v>
      </c>
      <c r="AK44">
        <f t="shared" si="18"/>
        <v>3.2459369799512805</v>
      </c>
      <c r="AL44">
        <f t="shared" si="19"/>
        <v>-0.71058911240084677</v>
      </c>
      <c r="AN44" t="str">
        <f t="shared" si="20"/>
        <v>Ballmaier M (C)</v>
      </c>
      <c r="AO44">
        <f t="shared" si="20"/>
        <v>2004</v>
      </c>
      <c r="AP44" t="str">
        <f t="shared" si="21"/>
        <v>Ballmaier M (C) 2004</v>
      </c>
      <c r="AQ44">
        <f t="shared" si="22"/>
        <v>24</v>
      </c>
      <c r="AR44">
        <f t="shared" si="23"/>
        <v>558.57100000000003</v>
      </c>
      <c r="AS44">
        <f t="shared" si="23"/>
        <v>104.869</v>
      </c>
      <c r="AT44">
        <f t="shared" si="24"/>
        <v>19</v>
      </c>
      <c r="AU44">
        <f t="shared" si="25"/>
        <v>581.83100000000002</v>
      </c>
      <c r="AV44">
        <f t="shared" si="25"/>
        <v>103.557</v>
      </c>
      <c r="AW44" s="65">
        <f t="shared" si="26"/>
        <v>-0.2189164844511283</v>
      </c>
      <c r="AX44">
        <f t="shared" si="27"/>
        <v>0.30807745380657681</v>
      </c>
    </row>
    <row r="45" spans="1:61">
      <c r="E45" t="str">
        <f t="shared" si="1"/>
        <v>Maller JJ</v>
      </c>
      <c r="F45">
        <f t="shared" si="1"/>
        <v>2007</v>
      </c>
      <c r="G45">
        <v>6</v>
      </c>
      <c r="H45">
        <f t="shared" si="2"/>
        <v>22</v>
      </c>
      <c r="I45">
        <f t="shared" si="2"/>
        <v>13</v>
      </c>
      <c r="J45">
        <f t="shared" ref="J45:M46" si="28">IF($D$4="Total",T29,IF($D$4="Left",L29,IF($D$4="Right",P29,"error")))</f>
        <v>0.59699999999999998</v>
      </c>
      <c r="K45">
        <f t="shared" si="28"/>
        <v>6.3E-2</v>
      </c>
      <c r="L45">
        <f t="shared" si="28"/>
        <v>0.57499999999999996</v>
      </c>
      <c r="M45">
        <f t="shared" si="28"/>
        <v>0.11260000000000001</v>
      </c>
      <c r="N45">
        <f>IF($D$3=1,SQRT((((I45-1)*(M45)^2)+((H45-1)*(K45)^2))/(H45+I45-2)),M45)</f>
        <v>8.4475946011544942E-2</v>
      </c>
      <c r="O45" s="59">
        <f>IF($D$6=1,LN(J45/L45),IF($D$5=1,(1-3/(4*(H45+I45)-9))*((J45-L45)/N45),(J45-L45)/N45))</f>
        <v>0.25446513736785031</v>
      </c>
      <c r="P45" s="63">
        <f>IF($D$6=1,(K45^2)/(H45*J45^2)+(M45^2)/(I45*L45^2),(IF($D$5=1,((H45+I45)/(H45*I45))+(O45*O45)/(2*(H45+I45-3.94)),((H45+I45)/(H45*I45))+((O45^2)/(2*(H45+I45-2))))))</f>
        <v>0.12342000013254252</v>
      </c>
      <c r="Q45" s="59">
        <f t="shared" si="7"/>
        <v>0.68857118187532029</v>
      </c>
      <c r="R45" s="59">
        <f>1/P45</f>
        <v>8.1024145108255183</v>
      </c>
      <c r="S45" s="59">
        <f>O45*R45</f>
        <v>2.0617820215084794</v>
      </c>
      <c r="T45" s="59">
        <f>R45*(O45^2)</f>
        <v>0.52465164532571928</v>
      </c>
      <c r="U45" s="23">
        <f>R45^2</f>
        <v>65.649120905235918</v>
      </c>
      <c r="V45" s="59">
        <f t="shared" si="12"/>
        <v>8.1024145108255183</v>
      </c>
      <c r="W45" s="59">
        <f>V45*O45</f>
        <v>2.0617820215084794</v>
      </c>
      <c r="AF45" s="59">
        <f>IF($D$6=1,100*((EXP(O45))-1),O45)</f>
        <v>0.25446513736785031</v>
      </c>
      <c r="AG45" s="59">
        <f>IF($D$6=1,100*(EXP(O45+Q45)-EXP(O45)),Q45)</f>
        <v>0.68857118187532029</v>
      </c>
      <c r="AH45" s="59">
        <f>IF($D$6=1,100*(EXP(O45)-EXP(O45-Q45)),Q45)</f>
        <v>0.68857118187532029</v>
      </c>
      <c r="AJ45">
        <f>SQRT(P45)</f>
        <v>0.3513118274874083</v>
      </c>
      <c r="AK45">
        <f t="shared" si="18"/>
        <v>2.8464740488586084</v>
      </c>
      <c r="AL45">
        <f>O45/AJ45</f>
        <v>0.72432840985682678</v>
      </c>
      <c r="AN45" t="str">
        <f t="shared" ref="AN45:AO49" si="29">E45</f>
        <v>Maller JJ</v>
      </c>
      <c r="AO45">
        <f t="shared" si="29"/>
        <v>2007</v>
      </c>
      <c r="AP45" t="str">
        <f>CONCATENATE(AN45," ",AO45)</f>
        <v>Maller JJ 2007</v>
      </c>
      <c r="AQ45">
        <f>INT(H45)</f>
        <v>22</v>
      </c>
      <c r="AR45">
        <f t="shared" ref="AR45:AS49" si="30">J45</f>
        <v>0.59699999999999998</v>
      </c>
      <c r="AS45">
        <f t="shared" si="30"/>
        <v>6.3E-2</v>
      </c>
      <c r="AT45">
        <f>INT(I45)</f>
        <v>13</v>
      </c>
      <c r="AU45">
        <f t="shared" ref="AU45:AV49" si="31">L45</f>
        <v>0.57499999999999996</v>
      </c>
      <c r="AV45">
        <f t="shared" si="31"/>
        <v>0.11260000000000001</v>
      </c>
      <c r="AW45" s="65">
        <f>O45</f>
        <v>0.25446513736785031</v>
      </c>
      <c r="AX45">
        <f>SQRT(P45)</f>
        <v>0.3513118274874083</v>
      </c>
    </row>
    <row r="46" spans="1:61">
      <c r="E46" t="str">
        <f t="shared" si="1"/>
        <v>Maller JJ</v>
      </c>
      <c r="F46">
        <f t="shared" si="1"/>
        <v>2007</v>
      </c>
      <c r="G46">
        <v>5</v>
      </c>
      <c r="H46">
        <f t="shared" si="2"/>
        <v>23</v>
      </c>
      <c r="I46">
        <f t="shared" si="2"/>
        <v>17</v>
      </c>
      <c r="J46">
        <f t="shared" si="28"/>
        <v>0.52200000000000002</v>
      </c>
      <c r="K46">
        <f t="shared" si="28"/>
        <v>6.5600000000000006E-2</v>
      </c>
      <c r="L46">
        <f t="shared" si="28"/>
        <v>0.56399999999999995</v>
      </c>
      <c r="M46">
        <f t="shared" si="28"/>
        <v>7.9799999999999996E-2</v>
      </c>
      <c r="N46">
        <f>IF($D$3=1,SQRT((((I46-1)*(M46)^2)+((H46-1)*(K46)^2))/(H46+I46-2)),M46)</f>
        <v>7.1921477650062363E-2</v>
      </c>
      <c r="O46" s="59">
        <f>IF($D$6=1,LN(J46/L46),IF($D$5=1,(1-3/(4*(H46+I46)-9))*((J46-L46)/N46),(J46-L46)/N46))</f>
        <v>-0.57236814730365204</v>
      </c>
      <c r="P46" s="63">
        <f>IF($D$6=1,(K46^2)/(H46*J46^2)+(M46^2)/(I46*L46^2),(IF($D$5=1,((H46+I46)/(H46*I46))+(O46*O46)/(2*(H46+I46-3.94)),((H46+I46)/(H46*I46))+((O46^2)/(2*(H46+I46-2))))))</f>
        <v>0.10684429299968565</v>
      </c>
      <c r="Q46" s="59">
        <f t="shared" si="7"/>
        <v>0.64066608774586498</v>
      </c>
      <c r="R46" s="59">
        <f>1/P46</f>
        <v>9.3594142646715088</v>
      </c>
      <c r="S46" s="59">
        <f>O46*R46</f>
        <v>-5.3570306025174039</v>
      </c>
      <c r="T46" s="59">
        <f>R46*(O46^2)</f>
        <v>3.0661936810118537</v>
      </c>
      <c r="U46" s="23">
        <f>R46^2</f>
        <v>87.598635377736514</v>
      </c>
      <c r="V46" s="59">
        <f t="shared" si="12"/>
        <v>9.3594142646715088</v>
      </c>
      <c r="W46" s="59">
        <f>V46*O46</f>
        <v>-5.3570306025174039</v>
      </c>
      <c r="AF46" s="59">
        <f>IF($D$6=1,100*((EXP(O46))-1),O46)</f>
        <v>-0.57236814730365204</v>
      </c>
      <c r="AG46" s="59">
        <f>IF($D$6=1,100*(EXP(O46+Q46)-EXP(O46)),Q46)</f>
        <v>0.64066608774586498</v>
      </c>
      <c r="AH46" s="59">
        <f>IF($D$6=1,100*(EXP(O46)-EXP(O46-Q46)),Q46)</f>
        <v>0.64066608774586498</v>
      </c>
      <c r="AJ46">
        <f>SQRT(P46)</f>
        <v>0.32687045293156375</v>
      </c>
      <c r="AK46">
        <f t="shared" si="18"/>
        <v>3.0593159798673151</v>
      </c>
      <c r="AL46">
        <f>O46/AJ46</f>
        <v>-1.7510550194131118</v>
      </c>
      <c r="AN46" t="str">
        <f t="shared" si="29"/>
        <v>Maller JJ</v>
      </c>
      <c r="AO46">
        <f t="shared" si="29"/>
        <v>2007</v>
      </c>
      <c r="AP46" t="str">
        <f>CONCATENATE(AN46," ",AO46)</f>
        <v>Maller JJ 2007</v>
      </c>
      <c r="AQ46">
        <f>INT(H46)</f>
        <v>23</v>
      </c>
      <c r="AR46">
        <f t="shared" si="30"/>
        <v>0.52200000000000002</v>
      </c>
      <c r="AS46">
        <f t="shared" si="30"/>
        <v>6.5600000000000006E-2</v>
      </c>
      <c r="AT46">
        <f>INT(I46)</f>
        <v>17</v>
      </c>
      <c r="AU46">
        <f t="shared" si="31"/>
        <v>0.56399999999999995</v>
      </c>
      <c r="AV46">
        <f t="shared" si="31"/>
        <v>7.9799999999999996E-2</v>
      </c>
      <c r="AW46" s="65">
        <f>O46</f>
        <v>-0.57236814730365204</v>
      </c>
      <c r="AX46">
        <f>SQRT(P46)</f>
        <v>0.32687045293156375</v>
      </c>
    </row>
    <row r="47" spans="1:61">
      <c r="E47" t="str">
        <f t="shared" si="1"/>
        <v>Penttilä J</v>
      </c>
      <c r="F47">
        <f t="shared" si="1"/>
        <v>2009</v>
      </c>
      <c r="G47">
        <v>3</v>
      </c>
      <c r="H47">
        <f t="shared" si="2"/>
        <v>35</v>
      </c>
      <c r="I47">
        <f t="shared" si="2"/>
        <v>70</v>
      </c>
      <c r="J47">
        <f>IF($D$4="Total",T31,IF($D$4="Left",L31,IF($D$4="Right",P31,"error")))</f>
        <v>479.6</v>
      </c>
      <c r="K47">
        <f>IF($D$4="Total",U31,IF($D$4="Left",M31,IF($D$4="Right",Q31,"error")))</f>
        <v>42.595891820690873</v>
      </c>
      <c r="L47">
        <f>IF($D$4="Total",V31,IF($D$4="Left",N31,IF($D$4="Right",R31,"error")))</f>
        <v>489.4</v>
      </c>
      <c r="M47">
        <f>IF($D$4="Total",W31,IF($D$4="Left",O31,IF($D$4="Right",S31,"error")))</f>
        <v>42.690795260805345</v>
      </c>
      <c r="N47">
        <f>IF($D$3=1,SQRT((((I47-1)*(M47)^2)+((H47-1)*(K47)^2))/(H47+I47-2)),M47)</f>
        <v>42.659491255461049</v>
      </c>
      <c r="O47" s="59">
        <f>IF($D$6=1,LN(J47/L47),IF($D$5=1,(1-3/(4*(H47+I47)-9))*((J47-L47)/N47),(J47-L47)/N47))</f>
        <v>-0.22804930079983637</v>
      </c>
      <c r="P47" s="63">
        <f>IF($D$6=1,(K47^2)/(H47*J47^2)+(M47^2)/(I47*L47^2),(IF($D$5=1,((H47+I47)/(H47*I47))+(O47*O47)/(2*(H47+I47-3.94)),((H47+I47)/(H47*I47))+((O47^2)/(2*(H47+I47-2))))))</f>
        <v>4.3114447842276908E-2</v>
      </c>
      <c r="Q47" s="59">
        <f t="shared" si="7"/>
        <v>0.40697476928046894</v>
      </c>
      <c r="R47" s="59">
        <f>1/P47</f>
        <v>23.194081103815645</v>
      </c>
      <c r="S47" s="59">
        <f>O47*R47</f>
        <v>-5.2893939784198549</v>
      </c>
      <c r="T47" s="59">
        <f>R47*(O47^2)</f>
        <v>1.2062425984335128</v>
      </c>
      <c r="U47" s="23">
        <f>R47^2</f>
        <v>537.96539825037792</v>
      </c>
      <c r="V47" s="59">
        <f t="shared" si="12"/>
        <v>23.194081103815645</v>
      </c>
      <c r="W47" s="59">
        <f>V47*O47</f>
        <v>-5.2893939784198549</v>
      </c>
      <c r="AF47" s="59">
        <f>IF($D$6=1,100*((EXP(O47))-1),O47)</f>
        <v>-0.22804930079983637</v>
      </c>
      <c r="AG47" s="59">
        <f>IF($D$6=1,100*(EXP(O47+Q47)-EXP(O47)),Q47)</f>
        <v>0.40697476928046894</v>
      </c>
      <c r="AH47" s="59">
        <f>IF($D$6=1,100*(EXP(O47)-EXP(O47-Q47)),Q47)</f>
        <v>0.40697476928046894</v>
      </c>
      <c r="AJ47">
        <f>SQRT(P47)</f>
        <v>0.20764018840840254</v>
      </c>
      <c r="AK47">
        <f t="shared" si="18"/>
        <v>4.8160233703560502</v>
      </c>
      <c r="AL47">
        <f>O47/AJ47</f>
        <v>-1.0982907622453686</v>
      </c>
      <c r="AN47" t="str">
        <f t="shared" si="29"/>
        <v>Penttilä J</v>
      </c>
      <c r="AO47">
        <f t="shared" si="29"/>
        <v>2009</v>
      </c>
      <c r="AP47" t="str">
        <f>CONCATENATE(AN47," ",AO47)</f>
        <v>Penttilä J 2009</v>
      </c>
      <c r="AQ47">
        <f>INT(H47)</f>
        <v>35</v>
      </c>
      <c r="AR47">
        <f t="shared" si="30"/>
        <v>479.6</v>
      </c>
      <c r="AS47">
        <f t="shared" si="30"/>
        <v>42.595891820690873</v>
      </c>
      <c r="AT47">
        <f>INT(I47)</f>
        <v>70</v>
      </c>
      <c r="AU47">
        <f t="shared" si="31"/>
        <v>489.4</v>
      </c>
      <c r="AV47">
        <f t="shared" si="31"/>
        <v>42.690795260805345</v>
      </c>
      <c r="AW47" s="65">
        <f>O47</f>
        <v>-0.22804930079983637</v>
      </c>
      <c r="AX47">
        <f>SQRT(P47)</f>
        <v>0.20764018840840254</v>
      </c>
    </row>
    <row r="48" spans="1:61">
      <c r="E48" t="str">
        <f t="shared" si="1"/>
        <v>van Eijndhoven P</v>
      </c>
      <c r="F48">
        <f t="shared" si="1"/>
        <v>2009</v>
      </c>
      <c r="G48">
        <v>2</v>
      </c>
      <c r="H48">
        <f t="shared" si="2"/>
        <v>20</v>
      </c>
      <c r="I48">
        <f t="shared" si="2"/>
        <v>10</v>
      </c>
      <c r="J48">
        <f t="shared" ref="J48:M49" si="32">IF($D$4="Total",T32,IF($D$4="Left",L32,IF($D$4="Right",P32,"error")))</f>
        <v>699</v>
      </c>
      <c r="K48">
        <f t="shared" si="32"/>
        <v>56</v>
      </c>
      <c r="L48">
        <f t="shared" si="32"/>
        <v>709</v>
      </c>
      <c r="M48">
        <f t="shared" si="32"/>
        <v>58</v>
      </c>
      <c r="N48">
        <f t="shared" si="4"/>
        <v>56.650557934460927</v>
      </c>
      <c r="O48" s="59">
        <f t="shared" si="5"/>
        <v>-0.17174993653171186</v>
      </c>
      <c r="P48" s="63">
        <f t="shared" si="6"/>
        <v>0.15056596394279828</v>
      </c>
      <c r="Q48" s="59">
        <f t="shared" si="7"/>
        <v>0.76053547391469767</v>
      </c>
      <c r="R48" s="59">
        <f t="shared" si="8"/>
        <v>6.6416072651048239</v>
      </c>
      <c r="S48" s="59">
        <f t="shared" si="9"/>
        <v>-1.1406956262503098</v>
      </c>
      <c r="T48" s="59">
        <f t="shared" si="10"/>
        <v>0.19591440141049205</v>
      </c>
      <c r="U48" s="23">
        <f t="shared" si="11"/>
        <v>44.110947063893178</v>
      </c>
      <c r="V48" s="59">
        <f t="shared" si="12"/>
        <v>6.6416072651048239</v>
      </c>
      <c r="W48" s="59">
        <f t="shared" si="13"/>
        <v>-1.1406956262503098</v>
      </c>
      <c r="AF48" s="59">
        <f t="shared" si="14"/>
        <v>-0.17174993653171186</v>
      </c>
      <c r="AG48" s="59">
        <f t="shared" si="15"/>
        <v>0.76053547391469767</v>
      </c>
      <c r="AH48" s="59">
        <f t="shared" si="16"/>
        <v>0.76053547391469767</v>
      </c>
      <c r="AJ48">
        <f t="shared" si="17"/>
        <v>0.38802830301770291</v>
      </c>
      <c r="AK48">
        <f t="shared" si="18"/>
        <v>2.5771315963886718</v>
      </c>
      <c r="AL48">
        <f t="shared" si="19"/>
        <v>-0.44262218811362364</v>
      </c>
      <c r="AN48" t="str">
        <f t="shared" si="29"/>
        <v>van Eijndhoven P</v>
      </c>
      <c r="AO48">
        <f t="shared" si="29"/>
        <v>2009</v>
      </c>
      <c r="AP48" t="str">
        <f t="shared" si="21"/>
        <v>van Eijndhoven P 2009</v>
      </c>
      <c r="AQ48">
        <f t="shared" si="22"/>
        <v>20</v>
      </c>
      <c r="AR48">
        <f t="shared" si="30"/>
        <v>699</v>
      </c>
      <c r="AS48">
        <f t="shared" si="30"/>
        <v>56</v>
      </c>
      <c r="AT48">
        <f t="shared" si="24"/>
        <v>10</v>
      </c>
      <c r="AU48">
        <f t="shared" si="31"/>
        <v>709</v>
      </c>
      <c r="AV48">
        <f t="shared" si="31"/>
        <v>58</v>
      </c>
      <c r="AW48" s="65">
        <f t="shared" si="26"/>
        <v>-0.17174993653171186</v>
      </c>
      <c r="AX48">
        <f t="shared" si="27"/>
        <v>0.38802830301770291</v>
      </c>
    </row>
    <row r="49" spans="5:50">
      <c r="E49" t="str">
        <f t="shared" si="1"/>
        <v>van Eijndhoven P</v>
      </c>
      <c r="F49">
        <f t="shared" si="1"/>
        <v>2009</v>
      </c>
      <c r="G49">
        <v>1</v>
      </c>
      <c r="H49">
        <f t="shared" si="2"/>
        <v>20</v>
      </c>
      <c r="I49">
        <f t="shared" si="2"/>
        <v>10</v>
      </c>
      <c r="J49">
        <f t="shared" si="32"/>
        <v>706</v>
      </c>
      <c r="K49">
        <f t="shared" si="32"/>
        <v>63</v>
      </c>
      <c r="L49">
        <f t="shared" si="32"/>
        <v>709</v>
      </c>
      <c r="M49">
        <f t="shared" si="32"/>
        <v>58</v>
      </c>
      <c r="N49">
        <f t="shared" si="4"/>
        <v>61.437250217483808</v>
      </c>
      <c r="O49" s="59">
        <f t="shared" si="5"/>
        <v>-4.7510572308919086E-2</v>
      </c>
      <c r="P49" s="63">
        <f t="shared" si="6"/>
        <v>0.15004330879664468</v>
      </c>
      <c r="Q49" s="59">
        <f t="shared" si="7"/>
        <v>0.75921431432316278</v>
      </c>
      <c r="R49" s="59">
        <f t="shared" si="8"/>
        <v>6.6647423868485252</v>
      </c>
      <c r="S49" s="59">
        <f t="shared" si="9"/>
        <v>-0.31664572509068484</v>
      </c>
      <c r="T49" s="59">
        <f t="shared" si="10"/>
        <v>1.5044019618231097E-2</v>
      </c>
      <c r="U49" s="23">
        <f t="shared" si="11"/>
        <v>44.418791083055375</v>
      </c>
      <c r="V49" s="59">
        <f t="shared" si="12"/>
        <v>6.6647423868485252</v>
      </c>
      <c r="W49" s="59">
        <f t="shared" si="13"/>
        <v>-0.31664572509068484</v>
      </c>
      <c r="AF49" s="59">
        <f t="shared" si="14"/>
        <v>-4.7510572308919086E-2</v>
      </c>
      <c r="AG49" s="59">
        <f t="shared" si="15"/>
        <v>0.75921431432316278</v>
      </c>
      <c r="AH49" s="59">
        <f t="shared" si="16"/>
        <v>0.75921431432316278</v>
      </c>
      <c r="AJ49">
        <f t="shared" si="17"/>
        <v>0.38735424200161367</v>
      </c>
      <c r="AK49">
        <f t="shared" si="18"/>
        <v>2.581616235393736</v>
      </c>
      <c r="AL49">
        <f t="shared" si="19"/>
        <v>-0.12265406482555356</v>
      </c>
      <c r="AN49" t="str">
        <f t="shared" si="29"/>
        <v>van Eijndhoven P</v>
      </c>
      <c r="AO49">
        <f t="shared" si="29"/>
        <v>2009</v>
      </c>
      <c r="AP49" t="str">
        <f t="shared" si="21"/>
        <v>van Eijndhoven P 2009</v>
      </c>
      <c r="AQ49">
        <f t="shared" si="22"/>
        <v>20</v>
      </c>
      <c r="AR49">
        <f t="shared" si="30"/>
        <v>706</v>
      </c>
      <c r="AS49">
        <f t="shared" si="30"/>
        <v>63</v>
      </c>
      <c r="AT49">
        <f t="shared" si="24"/>
        <v>10</v>
      </c>
      <c r="AU49">
        <f t="shared" si="31"/>
        <v>709</v>
      </c>
      <c r="AV49">
        <f t="shared" si="31"/>
        <v>58</v>
      </c>
      <c r="AW49" s="65">
        <f t="shared" si="26"/>
        <v>-4.7510572308919086E-2</v>
      </c>
      <c r="AX49">
        <f t="shared" si="27"/>
        <v>0.38735424200161367</v>
      </c>
    </row>
    <row r="50" spans="5:50">
      <c r="U50" s="23"/>
    </row>
    <row r="51" spans="5:50">
      <c r="L51" t="s">
        <v>500</v>
      </c>
      <c r="N51" s="7"/>
      <c r="O51" s="66">
        <f>COUNT(O40:O49)</f>
        <v>10</v>
      </c>
      <c r="Q51" t="s">
        <v>885</v>
      </c>
      <c r="R51" s="59">
        <f t="shared" ref="R51:W51" si="33">SUM(R40:R49)</f>
        <v>119.15884562216827</v>
      </c>
      <c r="S51" s="59">
        <f t="shared" si="33"/>
        <v>-12.02255302976093</v>
      </c>
      <c r="T51" s="59">
        <f t="shared" si="33"/>
        <v>5.8211606459083098</v>
      </c>
      <c r="U51" s="23">
        <f t="shared" si="33"/>
        <v>1640.8940265720307</v>
      </c>
      <c r="V51" s="59">
        <f t="shared" si="33"/>
        <v>119.15884562216827</v>
      </c>
      <c r="W51" s="59">
        <f t="shared" si="33"/>
        <v>-12.02255302976093</v>
      </c>
    </row>
    <row r="52" spans="5:50">
      <c r="L52" t="s">
        <v>501</v>
      </c>
      <c r="N52" s="7"/>
      <c r="O52" s="2">
        <v>2</v>
      </c>
    </row>
    <row r="53" spans="5:50">
      <c r="N53" s="7"/>
      <c r="O53" s="7"/>
    </row>
    <row r="54" spans="5:50">
      <c r="G54" s="67" t="s">
        <v>502</v>
      </c>
      <c r="H54" s="40"/>
      <c r="I54" s="40">
        <f>S51/R51</f>
        <v>-0.10089517875896792</v>
      </c>
      <c r="J54" s="40"/>
      <c r="K54" s="68" t="s">
        <v>879</v>
      </c>
      <c r="L54" s="40"/>
      <c r="M54" s="42"/>
      <c r="N54" s="7"/>
      <c r="O54" s="69" t="s">
        <v>503</v>
      </c>
      <c r="P54" s="70">
        <f>T51-((S51^2)/R51)</f>
        <v>4.6081430088314095</v>
      </c>
      <c r="Q54" s="71" t="s">
        <v>824</v>
      </c>
      <c r="R54" s="28"/>
      <c r="S54" s="29"/>
      <c r="T54" s="30"/>
      <c r="U54" s="31"/>
      <c r="AF54" s="2" t="s">
        <v>1518</v>
      </c>
    </row>
    <row r="55" spans="5:50">
      <c r="G55" s="43" t="s">
        <v>504</v>
      </c>
      <c r="H55" s="31"/>
      <c r="I55" s="31">
        <f>1/R51</f>
        <v>8.3921591786045319E-3</v>
      </c>
      <c r="J55" s="31"/>
      <c r="K55" s="31"/>
      <c r="L55" s="31"/>
      <c r="M55" s="44"/>
      <c r="N55" s="7"/>
      <c r="O55" s="30" t="s">
        <v>505</v>
      </c>
      <c r="P55" s="31">
        <f>CHIDIST(P54,I59-1)</f>
        <v>0.86704342452919758</v>
      </c>
      <c r="Q55" s="31"/>
      <c r="R55" s="31"/>
      <c r="S55" s="34"/>
      <c r="T55" s="30"/>
      <c r="U55" s="31"/>
      <c r="AF55" s="2"/>
    </row>
    <row r="56" spans="5:50">
      <c r="G56" s="72" t="s">
        <v>506</v>
      </c>
      <c r="H56" s="31"/>
      <c r="I56" s="31">
        <f>$R$66*SQRT(I55)</f>
        <v>0.17955310830093466</v>
      </c>
      <c r="J56" s="31"/>
      <c r="K56" s="31" t="s">
        <v>507</v>
      </c>
      <c r="L56" s="31"/>
      <c r="M56" s="44">
        <f>ABS(I54/SQRT(I55))</f>
        <v>1.1013707990848951</v>
      </c>
      <c r="N56" s="7"/>
      <c r="O56" s="35" t="s">
        <v>508</v>
      </c>
      <c r="P56" s="37">
        <f>IF(((P54-(I59-1))/P54)&lt;0,0,100*((P54-(I59-1))/P54))</f>
        <v>0</v>
      </c>
      <c r="Q56" s="36"/>
      <c r="R56" s="36"/>
      <c r="S56" s="38"/>
      <c r="T56" s="30"/>
      <c r="U56" s="31"/>
      <c r="AF56" s="2" t="s">
        <v>1535</v>
      </c>
      <c r="AH56">
        <f>IF($D$6=1,100*((EXP(I54))-1),I54)</f>
        <v>-0.10089517875896792</v>
      </c>
    </row>
    <row r="57" spans="5:50">
      <c r="G57" s="45" t="s">
        <v>509</v>
      </c>
      <c r="H57" s="46"/>
      <c r="I57" s="46">
        <v>-2</v>
      </c>
      <c r="J57" s="46"/>
      <c r="K57" s="46" t="s">
        <v>825</v>
      </c>
      <c r="L57" s="46"/>
      <c r="M57" s="47">
        <f>2*(1-NORMDIST(M56,0,1,1))</f>
        <v>0.27073530902378451</v>
      </c>
      <c r="N57" s="7"/>
      <c r="O57" s="7"/>
      <c r="AF57" s="79" t="s">
        <v>834</v>
      </c>
      <c r="AH57">
        <f>IF($D$6=1,100*(EXP(I54+I56)-EXP(I54)),I56)</f>
        <v>0.17955310830093466</v>
      </c>
    </row>
    <row r="58" spans="5:50">
      <c r="G58" s="40"/>
      <c r="H58" s="40"/>
      <c r="I58" s="40"/>
      <c r="J58" s="40"/>
      <c r="K58" s="40"/>
      <c r="L58" s="40"/>
      <c r="M58" s="40"/>
      <c r="N58" s="7"/>
      <c r="O58" s="7"/>
      <c r="AF58" s="79" t="s">
        <v>835</v>
      </c>
      <c r="AH58">
        <f>IF($D$6=1,100*(EXP(I54)-EXP(I54-I56)),I56)</f>
        <v>0.17955310830093466</v>
      </c>
    </row>
    <row r="59" spans="5:50">
      <c r="G59" s="73" t="s">
        <v>1110</v>
      </c>
      <c r="H59" s="74"/>
      <c r="I59" s="74">
        <f>O51</f>
        <v>10</v>
      </c>
      <c r="J59" s="74"/>
      <c r="K59" s="75" t="s">
        <v>1167</v>
      </c>
      <c r="L59" s="74"/>
      <c r="M59" s="76"/>
      <c r="N59" s="77"/>
      <c r="O59" s="101" t="s">
        <v>1513</v>
      </c>
      <c r="P59" s="102"/>
      <c r="Q59" s="103"/>
      <c r="AF59" s="7"/>
    </row>
    <row r="60" spans="5:50">
      <c r="G60" s="77" t="s">
        <v>1531</v>
      </c>
      <c r="H60" s="31"/>
      <c r="I60" s="31">
        <f>R51/I59</f>
        <v>11.915884562216828</v>
      </c>
      <c r="J60" s="31"/>
      <c r="K60" s="31"/>
      <c r="L60" s="31"/>
      <c r="M60" s="78"/>
      <c r="N60" s="77"/>
      <c r="O60" s="104" t="s">
        <v>1514</v>
      </c>
      <c r="P60" s="31"/>
      <c r="Q60" s="105">
        <f>INDEX(LINEST(AL40:AL49,AK40:AK49,TRUE,TRUE),1,2)</f>
        <v>0.3893182966895451</v>
      </c>
      <c r="AF60" s="2" t="s">
        <v>1687</v>
      </c>
      <c r="AH60">
        <f>IF($D$6=1,100*((EXP(I65))-1),I65)</f>
        <v>-0.10089517875896792</v>
      </c>
    </row>
    <row r="61" spans="5:50">
      <c r="G61" s="77" t="s">
        <v>1532</v>
      </c>
      <c r="H61" s="31"/>
      <c r="I61" s="31">
        <f>(1/(I59-1))*(U51-(I59*I60^2))</f>
        <v>24.556775285695267</v>
      </c>
      <c r="J61" s="31"/>
      <c r="K61" s="31"/>
      <c r="L61" s="31"/>
      <c r="M61" s="78"/>
      <c r="N61" s="77"/>
      <c r="O61" s="104" t="s">
        <v>1516</v>
      </c>
      <c r="P61" s="31"/>
      <c r="Q61" s="105">
        <f>INDEX(LINEST(AL40:AL49,AK40:AK49,TRUE,TRUE),2,2)</f>
        <v>1.2705532547306131</v>
      </c>
      <c r="AF61" s="79" t="s">
        <v>834</v>
      </c>
      <c r="AG61" s="7"/>
      <c r="AH61">
        <f>IF($D$6=1,100*(EXP(I65+I67)-EXP(I65)),I67)</f>
        <v>0.17955310830093466</v>
      </c>
    </row>
    <row r="62" spans="5:50">
      <c r="G62" s="77" t="s">
        <v>1669</v>
      </c>
      <c r="H62" s="31"/>
      <c r="I62" s="31">
        <f>(I59-1)*(I60-(I61/(I59*I60)))</f>
        <v>105.38820175595447</v>
      </c>
      <c r="J62" s="31"/>
      <c r="K62" s="31"/>
      <c r="L62" s="31"/>
      <c r="M62" s="78"/>
      <c r="N62" s="77"/>
      <c r="O62" s="104" t="s">
        <v>1349</v>
      </c>
      <c r="P62" s="31"/>
      <c r="Q62" s="105">
        <f>ABS(Q60/Q61)</f>
        <v>0.30641635463921552</v>
      </c>
      <c r="AF62" s="79" t="s">
        <v>835</v>
      </c>
      <c r="AH62">
        <f>IF($D$6=1,100*(EXP(I65)-EXP(I65-I67)),I67)</f>
        <v>0.17955310830093466</v>
      </c>
    </row>
    <row r="63" spans="5:50">
      <c r="G63" s="77" t="s">
        <v>1685</v>
      </c>
      <c r="H63" s="31"/>
      <c r="I63" s="31">
        <f>IF(P54&gt;(I59-1),(P54-(I59-1))/I62,0)</f>
        <v>0</v>
      </c>
      <c r="J63" s="31"/>
      <c r="K63" s="31"/>
      <c r="L63" s="31"/>
      <c r="M63" s="78"/>
      <c r="N63" s="77"/>
      <c r="O63" s="106" t="s">
        <v>1515</v>
      </c>
      <c r="P63" s="107"/>
      <c r="Q63" s="108">
        <f>TDIST(Q62,I59-2,2)</f>
        <v>0.76711080424556255</v>
      </c>
    </row>
    <row r="64" spans="5:50">
      <c r="G64" s="77"/>
      <c r="H64" s="31"/>
      <c r="I64" s="31"/>
      <c r="J64" s="31"/>
      <c r="K64" s="31"/>
      <c r="L64" s="31"/>
      <c r="M64" s="78"/>
      <c r="N64" s="77"/>
    </row>
    <row r="65" spans="7:18">
      <c r="G65" s="77" t="s">
        <v>1686</v>
      </c>
      <c r="H65" s="31"/>
      <c r="I65" s="31">
        <f>W51/V51</f>
        <v>-0.10089517875896792</v>
      </c>
      <c r="J65" s="31"/>
      <c r="N65" s="77"/>
    </row>
    <row r="66" spans="7:18">
      <c r="G66" s="77" t="s">
        <v>504</v>
      </c>
      <c r="H66" s="31"/>
      <c r="I66" s="31">
        <f>1/V51</f>
        <v>8.3921591786045319E-3</v>
      </c>
      <c r="J66" s="31"/>
      <c r="N66" s="77"/>
      <c r="O66" t="s">
        <v>805</v>
      </c>
      <c r="R66">
        <v>1.96</v>
      </c>
    </row>
    <row r="67" spans="7:18">
      <c r="G67" s="80" t="s">
        <v>506</v>
      </c>
      <c r="H67" s="31"/>
      <c r="I67" s="31">
        <f>$R$66*SQRT(I66)</f>
        <v>0.17955310830093466</v>
      </c>
      <c r="J67" s="31"/>
      <c r="K67" s="31" t="s">
        <v>507</v>
      </c>
      <c r="L67" s="31"/>
      <c r="M67" s="78">
        <f>ABS(I65/(SQRT(I66)))</f>
        <v>1.1013707990848951</v>
      </c>
      <c r="N67" s="77"/>
    </row>
    <row r="68" spans="7:18">
      <c r="G68" s="81" t="s">
        <v>509</v>
      </c>
      <c r="H68" s="82"/>
      <c r="I68" s="82">
        <v>-3</v>
      </c>
      <c r="J68" s="82"/>
      <c r="K68" s="31" t="s">
        <v>825</v>
      </c>
      <c r="L68" s="31"/>
      <c r="M68" s="78">
        <f>2*(1-NORMDIST(M67,0,1,1))</f>
        <v>0.27073530902378451</v>
      </c>
      <c r="N68" s="77"/>
    </row>
    <row r="69" spans="7:18">
      <c r="G69" s="74"/>
      <c r="H69" s="74"/>
      <c r="I69" s="74"/>
      <c r="J69" s="74"/>
      <c r="K69" s="74"/>
      <c r="L69" s="74"/>
      <c r="M69" s="74"/>
      <c r="N69" s="31"/>
      <c r="O69" s="7"/>
    </row>
  </sheetData>
  <phoneticPr fontId="10" type="noConversion"/>
  <conditionalFormatting sqref="D17 D13 F13">
    <cfRule type="cellIs" dxfId="132" priority="0" stopIfTrue="1" operator="lessThan">
      <formula>0.05</formula>
    </cfRule>
  </conditionalFormatting>
  <conditionalFormatting sqref="D21">
    <cfRule type="cellIs" dxfId="13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sheetPr published="0" codeName="Sheet12" enableFormatConditionsCalculation="0"/>
  <dimension ref="A1:BM6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734</v>
      </c>
      <c r="D1" s="10"/>
      <c r="F1" s="1" t="s">
        <v>733</v>
      </c>
    </row>
    <row r="2" spans="2:30">
      <c r="B2" s="10"/>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I54-O47</f>
        <v>6</v>
      </c>
      <c r="AD7" s="89"/>
    </row>
    <row r="8" spans="2:30">
      <c r="B8" t="s">
        <v>822</v>
      </c>
      <c r="D8">
        <f>SUM(H24:H31)</f>
        <v>196</v>
      </c>
      <c r="AD8" s="89"/>
    </row>
    <row r="9" spans="2:30">
      <c r="B9" t="s">
        <v>823</v>
      </c>
      <c r="D9">
        <f>SUM(I24:I31)</f>
        <v>157</v>
      </c>
      <c r="AD9" s="89"/>
    </row>
    <row r="11" spans="2:30">
      <c r="B11" s="27" t="s">
        <v>516</v>
      </c>
      <c r="C11" s="28"/>
      <c r="D11" s="109">
        <f>P49</f>
        <v>7.8595295103877287</v>
      </c>
      <c r="E11" s="110" t="s">
        <v>1513</v>
      </c>
      <c r="F11" s="103"/>
    </row>
    <row r="12" spans="2:30">
      <c r="B12" s="30" t="s">
        <v>826</v>
      </c>
      <c r="C12" s="31"/>
      <c r="D12" s="112">
        <f>P51</f>
        <v>10.93614457776018</v>
      </c>
      <c r="E12" s="31"/>
      <c r="F12" s="105"/>
    </row>
    <row r="13" spans="2:30">
      <c r="B13" s="35" t="s">
        <v>825</v>
      </c>
      <c r="C13" s="36"/>
      <c r="D13" s="113">
        <f>P50</f>
        <v>0.34514338801834171</v>
      </c>
      <c r="E13" s="111" t="s">
        <v>825</v>
      </c>
      <c r="F13" s="115">
        <f>Q58</f>
        <v>0.80668863780460909</v>
      </c>
    </row>
    <row r="15" spans="2:30">
      <c r="B15" s="39" t="s">
        <v>879</v>
      </c>
      <c r="C15" s="40"/>
      <c r="D15" s="41">
        <f>AH51</f>
        <v>-0.18458280950535819</v>
      </c>
      <c r="E15" s="116"/>
    </row>
    <row r="16" spans="2:30">
      <c r="B16" s="43" t="s">
        <v>1165</v>
      </c>
      <c r="C16" s="31"/>
      <c r="D16" s="33">
        <f>AH51-AH53</f>
        <v>-0.40189408386049374</v>
      </c>
      <c r="E16" s="117">
        <f>AH51+AH52</f>
        <v>3.2728464849777372E-2</v>
      </c>
    </row>
    <row r="17" spans="1:65">
      <c r="B17" s="45" t="s">
        <v>1166</v>
      </c>
      <c r="C17" s="46"/>
      <c r="D17" s="123">
        <f>M52</f>
        <v>9.595037070666268E-2</v>
      </c>
      <c r="E17" s="118"/>
    </row>
    <row r="18" spans="1:65">
      <c r="D18" s="48"/>
      <c r="F18" s="49"/>
    </row>
    <row r="19" spans="1:65">
      <c r="B19" s="50" t="s">
        <v>1167</v>
      </c>
      <c r="C19" s="51"/>
      <c r="D19" s="52">
        <f>AH55</f>
        <v>-0.18562401895735811</v>
      </c>
      <c r="E19" s="120"/>
      <c r="F19" s="33"/>
      <c r="G19" s="31"/>
    </row>
    <row r="20" spans="1:65">
      <c r="B20" s="53" t="s">
        <v>1165</v>
      </c>
      <c r="C20" s="31"/>
      <c r="D20" s="33">
        <f>AH55-AH57</f>
        <v>-0.41691533515287971</v>
      </c>
      <c r="E20" s="121">
        <f>AH55+AH56</f>
        <v>4.5667297238163457E-2</v>
      </c>
      <c r="F20" s="31"/>
      <c r="G20" s="31"/>
    </row>
    <row r="21" spans="1:65">
      <c r="B21" s="54" t="s">
        <v>1440</v>
      </c>
      <c r="C21" s="55"/>
      <c r="D21" s="114">
        <f>M63</f>
        <v>0.11571697938249859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9209723</v>
      </c>
      <c r="C24" s="1" t="str">
        <f>IF($B24="","",HYPERLINK(IF(LEN(VLOOKUP($B24,Database!$B$1:$IX$10144,2,FALSE))=0,"",VLOOKUP($B24,Database!$B$1:$IX$10144,2,FALSE))))</f>
        <v/>
      </c>
      <c r="D24" s="1" t="str">
        <f t="shared" ref="D24:D31" si="0">IF($B24="","",HYPERLINK(CONCATENATE("http://www.ncbi.nlm.nih.gov/pubmed/",B24)))</f>
        <v>http://www.ncbi.nlm.nih.gov/pubmed/9209723</v>
      </c>
      <c r="E24" s="22" t="str">
        <f>IF($B24="","",IF(LEN(VLOOKUP($B24,Database!$B$1:$IX$10144,4,FALSE))=0,"",VLOOKUP($B24,Database!$B$1:$IX$10144,4,FALSE)))</f>
        <v>Pillay SS</v>
      </c>
      <c r="F24" s="22">
        <f>IF($B24="","",IF(LEN(VLOOKUP($B24,Database!$B$1:$IX$10144,5,FALSE))=0,"",VLOOKUP($B24,Database!$B$1:$IX$10144,5,FALSE)))</f>
        <v>1997</v>
      </c>
      <c r="G24" s="1" t="str">
        <f>IF($B24="","",HYPERLINK(IF(LEN(VLOOKUP($B24,Database!$B$1:$IX$10144,6,FALSE))=0,"",VLOOKUP($B24,Database!$B$1:$IX$10144,6,FALSE))))</f>
        <v>http://dx.doi.org/10.1016/S0006-3223(96)00335-6</v>
      </c>
      <c r="H24" s="22">
        <f>IF($B24="","",IF(LEN(VLOOKUP($B24,Database!$B$1:$IX$10144,7,FALSE))=0,"",VLOOKUP($B24,Database!$B$1:$IX$10144,7,FALSE)))</f>
        <v>38</v>
      </c>
      <c r="I24" s="22">
        <f>IF($B24="","",IF(LEN(VLOOKUP($B24,Database!$B$1:$IX$10144,8,FALSE))=0,"",VLOOKUP($B24,Database!$B$1:$IX$10144,8,FALSE)))</f>
        <v>20</v>
      </c>
      <c r="J24" t="s">
        <v>1467</v>
      </c>
      <c r="K24" s="10"/>
      <c r="T24">
        <v>442.9</v>
      </c>
      <c r="U24">
        <v>78.2</v>
      </c>
      <c r="V24">
        <v>426.5</v>
      </c>
      <c r="W24">
        <v>53.8</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38.5</v>
      </c>
      <c r="AC24" s="22">
        <f>IF(OR($B24="",AC$22=""),"",IF(LEN(VLOOKUP($B24,Database!$B$1:$IX$10144,AC$22,FALSE))=0,"",VLOOKUP($B24,Database!$B$1:$IX$10144,AC$22,FALSE)))</f>
        <v>10</v>
      </c>
      <c r="AD24" s="22">
        <f>IF(OR($B24="",AD$22=""),"",IF(LEN(VLOOKUP($B24,Database!$B$1:$IX$10144,AD$22,FALSE))=0,"",VLOOKUP($B24,Database!$B$1:$IX$10144,AD$22,FALSE)))</f>
        <v>40.299999999999997</v>
      </c>
      <c r="AE24" s="22">
        <f>IF(OR($B24="",AE$22=""),"",IF(LEN(VLOOKUP($B24,Database!$B$1:$IX$10144,AE$22,FALSE))=0,"",VLOOKUP($B24,Database!$B$1:$IX$10144,AE$22,FALSE)))</f>
        <v>10.4</v>
      </c>
      <c r="AF24" s="22">
        <f>IF(OR($B24="",AF$22=""),"",IF(LEN(VLOOKUP($B24,Database!$B$1:$IX$10144,AF$22,FALSE))=0,"",VLOOKUP($B24,Database!$B$1:$IX$10144,AF$22,FALSE)))</f>
        <v>21</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Pillay SS, Yurgelun-Todd DA, Bonello CM, Lafer B, Fava M, Renshaw PF.</v>
      </c>
      <c r="AR24" s="13"/>
      <c r="BC24" s="23"/>
      <c r="BF24" s="136"/>
      <c r="BG24" s="136"/>
      <c r="BH24" s="136"/>
      <c r="BI24" s="136"/>
    </row>
    <row r="25" spans="1:65">
      <c r="B25">
        <v>11983184</v>
      </c>
      <c r="C25" s="1" t="str">
        <f>IF($B25="","",HYPERLINK(IF(LEN(VLOOKUP($B25,Database!$B$1:$IX$10144,2,FALSE))=0,"",VLOOKUP($B25,Database!$B$1:$IX$10144,2,FALSE))))</f>
        <v/>
      </c>
      <c r="D25" s="1" t="str">
        <f t="shared" si="0"/>
        <v>http://www.ncbi.nlm.nih.gov/pubmed/11983184</v>
      </c>
      <c r="E25" s="22" t="str">
        <f>IF($B25="","",IF(LEN(VLOOKUP($B25,Database!$B$1:$IX$10144,4,FALSE))=0,"",VLOOKUP($B25,Database!$B$1:$IX$10144,4,FALSE)))</f>
        <v>Frodl T (A)</v>
      </c>
      <c r="F25" s="22">
        <f>IF($B25="","",IF(LEN(VLOOKUP($B25,Database!$B$1:$IX$10144,5,FALSE))=0,"",VLOOKUP($B25,Database!$B$1:$IX$10144,5,FALSE)))</f>
        <v>2002</v>
      </c>
      <c r="G25" s="1" t="str">
        <f>IF($B25="","",HYPERLINK(IF(LEN(VLOOKUP($B25,Database!$B$1:$IX$10144,6,FALSE))=0,"",VLOOKUP($B25,Database!$B$1:$IX$10144,6,FALSE))))</f>
        <v>http://dx.doi.org/10.1016/S0006-3223(01)01359-2</v>
      </c>
      <c r="H25" s="22">
        <f>IF($B25="","",IF(LEN(VLOOKUP($B25,Database!$B$1:$IX$10144,7,FALSE))=0,"",VLOOKUP($B25,Database!$B$1:$IX$10144,7,FALSE)))</f>
        <v>30</v>
      </c>
      <c r="I25" s="22">
        <f>IF($B25="","",IF(LEN(VLOOKUP($B25,Database!$B$1:$IX$10144,8,FALSE))=0,"",VLOOKUP($B25,Database!$B$1:$IX$10144,8,FALSE)))</f>
        <v>30</v>
      </c>
      <c r="J25" t="s">
        <v>1560</v>
      </c>
      <c r="K25" s="10"/>
      <c r="T25">
        <v>463.4</v>
      </c>
      <c r="U25">
        <v>51.8</v>
      </c>
      <c r="V25">
        <v>471.9</v>
      </c>
      <c r="W25">
        <v>57.1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40.299999999999997</v>
      </c>
      <c r="AC25" s="22">
        <f>IF(OR($B25="",AC$22=""),"",IF(LEN(VLOOKUP($B25,Database!$B$1:$IX$10144,AC$22,FALSE))=0,"",VLOOKUP($B25,Database!$B$1:$IX$10144,AC$22,FALSE)))</f>
        <v>12.6</v>
      </c>
      <c r="AD25" s="22">
        <f>IF(OR($B25="",AD$22=""),"",IF(LEN(VLOOKUP($B25,Database!$B$1:$IX$10144,AD$22,FALSE))=0,"",VLOOKUP($B25,Database!$B$1:$IX$10144,AD$22,FALSE)))</f>
        <v>40.6</v>
      </c>
      <c r="AE25" s="22">
        <f>IF(OR($B25="",AE$22=""),"",IF(LEN(VLOOKUP($B25,Database!$B$1:$IX$10144,AE$22,FALSE))=0,"",VLOOKUP($B25,Database!$B$1:$IX$10144,AE$22,FALSE)))</f>
        <v>12.5</v>
      </c>
      <c r="AF25" s="22">
        <f>IF(OR($B25="",AF$22=""),"",IF(LEN(VLOOKUP($B25,Database!$B$1:$IX$10144,AF$22,FALSE))=0,"",VLOOKUP($B25,Database!$B$1:$IX$10144,AF$22,FALSE)))</f>
        <v>17</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40</v>
      </c>
      <c r="AL25" s="22">
        <f>IF(OR($B25="",AL$22=""),"",IF(LEN(VLOOKUP($B25,Database!$B$1:$IX$10144,AL$22,FALSE))=0,"",VLOOKUP($B25,Database!$B$1:$IX$10144,AL$22,FALSE)))</f>
        <v>24.8</v>
      </c>
      <c r="AM25" s="22">
        <f>IF(OR($B25="",AM$22=""),"",IF(LEN(VLOOKUP($B25,Database!$B$1:$IX$10144,AM$22,FALSE))=0,"",VLOOKUP($B25,Database!$B$1:$IX$10144,AM$22,FALSE)))</f>
        <v>86.666666666666671</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Frodl T, Meisenzahl E, Zetzsche T, Bottlender R, Born C, Groll C, Jager M, Leinsinger G, Hahn K, Moller HJ.</v>
      </c>
      <c r="AR25" s="13"/>
      <c r="BC25" s="23"/>
      <c r="BF25" s="136"/>
      <c r="BG25" s="136"/>
      <c r="BH25" s="136"/>
      <c r="BI25" s="136"/>
    </row>
    <row r="26" spans="1:65">
      <c r="B26">
        <v>12242057</v>
      </c>
      <c r="C26" s="1" t="str">
        <f>IF($B26="","",HYPERLINK(IF(LEN(VLOOKUP($B26,Database!$B$1:$IX$10144,2,FALSE))=0,"",VLOOKUP($B26,Database!$B$1:$IX$10144,2,FALSE))))</f>
        <v/>
      </c>
      <c r="D26" s="1" t="str">
        <f t="shared" si="0"/>
        <v>http://www.ncbi.nlm.nih.gov/pubmed/12242057</v>
      </c>
      <c r="E26" s="22" t="str">
        <f>IF($B26="","",IF(LEN(VLOOKUP($B26,Database!$B$1:$IX$10144,4,FALSE))=0,"",VLOOKUP($B26,Database!$B$1:$IX$10144,4,FALSE)))</f>
        <v>Steingard RJ</v>
      </c>
      <c r="F26" s="22">
        <f>IF($B26="","",IF(LEN(VLOOKUP($B26,Database!$B$1:$IX$10144,5,FALSE))=0,"",VLOOKUP($B26,Database!$B$1:$IX$10144,5,FALSE)))</f>
        <v>2002</v>
      </c>
      <c r="G26" s="1" t="str">
        <f>IF($B26="","",HYPERLINK(IF(LEN(VLOOKUP($B26,Database!$B$1:$IX$10144,6,FALSE))=0,"",VLOOKUP($B26,Database!$B$1:$IX$10144,6,FALSE))))</f>
        <v>http://dx.doi.org/10.1016/S0006-3223(02)01393-8</v>
      </c>
      <c r="H26" s="22">
        <f>IF($B26="","",IF(LEN(VLOOKUP($B26,Database!$B$1:$IX$10144,7,FALSE))=0,"",VLOOKUP($B26,Database!$B$1:$IX$10144,7,FALSE)))</f>
        <v>19</v>
      </c>
      <c r="I26" s="22">
        <f>IF($B26="","",IF(LEN(VLOOKUP($B26,Database!$B$1:$IX$10144,8,FALSE))=0,"",VLOOKUP($B26,Database!$B$1:$IX$10144,8,FALSE)))</f>
        <v>38</v>
      </c>
      <c r="J26" t="s">
        <v>1561</v>
      </c>
      <c r="T26">
        <v>504</v>
      </c>
      <c r="U26">
        <v>122</v>
      </c>
      <c r="V26">
        <v>590</v>
      </c>
      <c r="W26">
        <v>106</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14.6</v>
      </c>
      <c r="AE26" s="22">
        <f>IF(OR($B26="",AE$22=""),"",IF(LEN(VLOOKUP($B26,Database!$B$1:$IX$10144,AE$22,FALSE))=0,"",VLOOKUP($B26,Database!$B$1:$IX$10144,AE$22,FALSE)))</f>
        <v>1.5</v>
      </c>
      <c r="AF26" s="22">
        <f>IF(OR($B26="",AF$22=""),"",IF(LEN(VLOOKUP($B26,Database!$B$1:$IX$10144,AF$22,FALSE))=0,"",VLOOKUP($B26,Database!$B$1:$IX$10144,AF$22,FALSE)))</f>
        <v>16</v>
      </c>
      <c r="AG26" s="22">
        <f>IF(OR($B26="",AG$22=""),"",IF(LEN(VLOOKUP($B26,Database!$B$1:$IX$10144,AG$22,FALSE))=0,"",VLOOKUP($B26,Database!$B$1:$IX$10144,AG$22,FALSE)))</f>
        <v>25</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17.3</v>
      </c>
      <c r="AM26" s="22">
        <f>IF(OR($B26="",AM$22=""),"",IF(LEN(VLOOKUP($B26,Database!$B$1:$IX$10144,AM$22,FALSE))=0,"",VLOOKUP($B26,Database!$B$1:$IX$10144,AM$22,FALSE)))</f>
        <v>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100</v>
      </c>
      <c r="AQ26" s="22" t="str">
        <f>IF(OR($B26="",AQ$22=""),"",IF(LEN(VLOOKUP($B26,Database!$B$1:$IX$10144,AQ$22,FALSE))=0,"",VLOOKUP($B26,Database!$B$1:$IX$10144,AQ$22,FALSE)))</f>
        <v>Steingard RJ, Renshaw PF, Hennen J, Lenox M, Cintron CB, Young AD, Connor DF, Au TH, Yurgelun-Todd DA.</v>
      </c>
      <c r="AR26" s="13"/>
      <c r="BC26" s="23"/>
      <c r="BF26" s="136"/>
      <c r="BG26" s="136"/>
      <c r="BH26" s="136"/>
      <c r="BI26" s="136"/>
    </row>
    <row r="27" spans="1:65">
      <c r="B27">
        <v>14960291</v>
      </c>
      <c r="C27" s="1" t="str">
        <f>IF($B27="","",HYPERLINK(IF(LEN(VLOOKUP($B27,Database!$B$1:$IX$10144,2,FALSE))=0,"",VLOOKUP($B27,Database!$B$1:$IX$10144,2,FALSE))))</f>
        <v/>
      </c>
      <c r="D27" s="1" t="str">
        <f t="shared" si="0"/>
        <v>http://www.ncbi.nlm.nih.gov/pubmed/14960291</v>
      </c>
      <c r="E27" s="22" t="str">
        <f>IF($B27="","",IF(LEN(VLOOKUP($B27,Database!$B$1:$IX$10144,4,FALSE))=0,"",VLOOKUP($B27,Database!$B$1:$IX$10144,4,FALSE)))</f>
        <v>Ballmaier M (C)</v>
      </c>
      <c r="F27" s="22">
        <f>IF($B27="","",IF(LEN(VLOOKUP($B27,Database!$B$1:$IX$10144,5,FALSE))=0,"",VLOOKUP($B27,Database!$B$1:$IX$10144,5,FALSE)))</f>
        <v>2004</v>
      </c>
      <c r="G27" s="1" t="str">
        <f>IF($B27="","",HYPERLINK(IF(LEN(VLOOKUP($B27,Database!$B$1:$IX$10144,6,FALSE))=0,"",VLOOKUP($B27,Database!$B$1:$IX$10144,6,FALSE))))</f>
        <v>http://dx.doi.org/10.1016/j.biopsych.2003.09.004</v>
      </c>
      <c r="H27" s="22">
        <f>IF($B27="","",IF(LEN(VLOOKUP($B27,Database!$B$1:$IX$10144,7,FALSE))=0,"",VLOOKUP($B27,Database!$B$1:$IX$10144,7,FALSE)))</f>
        <v>24</v>
      </c>
      <c r="I27" s="22">
        <f>IF($B27="","",IF(LEN(VLOOKUP($B27,Database!$B$1:$IX$10144,8,FALSE))=0,"",VLOOKUP($B27,Database!$B$1:$IX$10144,8,FALSE)))</f>
        <v>19</v>
      </c>
      <c r="J27" t="s">
        <v>1563</v>
      </c>
      <c r="K27" s="10"/>
      <c r="T27">
        <v>481.14400000000001</v>
      </c>
      <c r="U27">
        <v>86.293000000000006</v>
      </c>
      <c r="V27">
        <v>487.16500000000002</v>
      </c>
      <c r="W27">
        <v>78.204999999999998</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65.849999999999994</v>
      </c>
      <c r="AC27" s="22">
        <f>IF(OR($B27="",AC$22=""),"",IF(LEN(VLOOKUP($B27,Database!$B$1:$IX$10144,AC$22,FALSE))=0,"",VLOOKUP($B27,Database!$B$1:$IX$10144,AC$22,FALSE)))</f>
        <v>8.18</v>
      </c>
      <c r="AD27" s="22">
        <f>IF(OR($B27="",AD$22=""),"",IF(LEN(VLOOKUP($B27,Database!$B$1:$IX$10144,AD$22,FALSE))=0,"",VLOOKUP($B27,Database!$B$1:$IX$10144,AD$22,FALSE)))</f>
        <v>66.239999999999995</v>
      </c>
      <c r="AE27" s="22">
        <f>IF(OR($B27="",AE$22=""),"",IF(LEN(VLOOKUP($B27,Database!$B$1:$IX$10144,AE$22,FALSE))=0,"",VLOOKUP($B27,Database!$B$1:$IX$10144,AE$22,FALSE)))</f>
        <v>7.25</v>
      </c>
      <c r="AF27" s="22">
        <f>IF(OR($B27="",AF$22=""),"",IF(LEN(VLOOKUP($B27,Database!$B$1:$IX$10144,AF$22,FALSE))=0,"",VLOOKUP($B27,Database!$B$1:$IX$10144,AF$22,FALSE)))</f>
        <v>18</v>
      </c>
      <c r="AG27" s="22">
        <f>IF(OR($B27="",AG$22=""),"",IF(LEN(VLOOKUP($B27,Database!$B$1:$IX$10144,AG$22,FALSE))=0,"",VLOOKUP($B27,Database!$B$1:$IX$10144,AG$22,FALSE)))</f>
        <v>15</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2">
        <f>IF(OR($B27="",AK$22=""),"",IF(LEN(VLOOKUP($B27,Database!$B$1:$IX$10144,AK$22,FALSE))=0,"",VLOOKUP($B27,Database!$B$1:$IX$10144,AK$22,FALSE)))</f>
        <v>35</v>
      </c>
      <c r="AL27" s="22">
        <f>IF(OR($B27="",AL$22=""),"",IF(LEN(VLOOKUP($B27,Database!$B$1:$IX$10144,AL$22,FALSE))=0,"",VLOOKUP($B27,Database!$B$1:$IX$10144,AL$22,FALSE)))</f>
        <v>17.329999999999998</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Ballmaier M, Sowell ER, Thompson PM, Kumar A, Narr KL, Lavretsky H, Welcome SE, DeLuca H, Toga AW.</v>
      </c>
      <c r="AR27" s="13"/>
      <c r="BC27" s="23"/>
      <c r="BF27" s="136"/>
      <c r="BG27" s="136"/>
      <c r="BH27" s="136"/>
      <c r="BI27" s="136"/>
    </row>
    <row r="28" spans="1:65">
      <c r="A28" t="s">
        <v>713</v>
      </c>
      <c r="B28">
        <v>17604352</v>
      </c>
      <c r="C28" s="1" t="str">
        <f>IF($B28="","",HYPERLINK(IF(LEN(VLOOKUP($B28,Database!$B$1:$IX$10144,2,FALSE))=0,"",VLOOKUP($B28,Database!$B$1:$IX$10144,2,FALSE))))</f>
        <v/>
      </c>
      <c r="D28" s="1" t="str">
        <f t="shared" si="0"/>
        <v>http://www.ncbi.nlm.nih.gov/pubmed/17604352</v>
      </c>
      <c r="E28" s="22" t="str">
        <f>IF($B28="","",IF(LEN(VLOOKUP($B28,Database!$B$1:$IX$10144,4,FALSE))=0,"",VLOOKUP($B28,Database!$B$1:$IX$10144,4,FALSE)))</f>
        <v>Maller JJ</v>
      </c>
      <c r="F28" s="22">
        <f>IF($B28="","",IF(LEN(VLOOKUP($B28,Database!$B$1:$IX$10144,5,FALSE))=0,"",VLOOKUP($B28,Database!$B$1:$IX$10144,5,FALSE)))</f>
        <v>2007</v>
      </c>
      <c r="G28" s="1" t="str">
        <f>IF($B28="","",HYPERLINK(IF(LEN(VLOOKUP($B28,Database!$B$1:$IX$10144,6,FALSE))=0,"",VLOOKUP($B28,Database!$B$1:$IX$10144,6,FALSE))))</f>
        <v>http://dx.doi.org/10.1002/hipo.20339</v>
      </c>
      <c r="H28" s="83">
        <v>22</v>
      </c>
      <c r="I28" s="83">
        <v>13</v>
      </c>
      <c r="J28" t="s">
        <v>2008</v>
      </c>
      <c r="K28" s="13" t="s">
        <v>1606</v>
      </c>
      <c r="T28">
        <v>0.65900000000000003</v>
      </c>
      <c r="U28">
        <v>6.4199999999999993E-2</v>
      </c>
      <c r="V28">
        <v>0.65200000000000002</v>
      </c>
      <c r="W28">
        <v>4.1099999999999998E-2</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14">
        <v>0</v>
      </c>
      <c r="AG28" s="214">
        <v>0</v>
      </c>
      <c r="AH28" s="22">
        <f>IF(OR($B28="",AH$22=""),"",IF(LEN(VLOOKUP($B28,Database!$B$1:$IX$10144,AH$22,FALSE))=0,"",VLOOKUP($B28,Database!$B$1:$IX$10144,AH$22,FALSE)))</f>
        <v>1.5</v>
      </c>
      <c r="AI28" s="22">
        <f>IF(OR($B28="",AI$22=""),"",IF(LEN(VLOOKUP($B28,Database!$B$1:$IX$10144,AI$22,FALSE))=0,"",VLOOKUP($B28,Database!$B$1:$IX$10144,AI$22,FALSE)))</f>
        <v>0.94</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Maller JJ, Daskalakis ZJ, Fitzgerald PB.</v>
      </c>
      <c r="AR28" s="13"/>
      <c r="AU28" s="13"/>
      <c r="BC28" s="23"/>
      <c r="BF28" s="136"/>
      <c r="BG28" s="136"/>
      <c r="BH28" s="136"/>
      <c r="BI28" s="136"/>
    </row>
    <row r="29" spans="1:65">
      <c r="A29" t="s">
        <v>713</v>
      </c>
      <c r="B29">
        <v>17604352</v>
      </c>
      <c r="C29" s="1" t="str">
        <f>IF($B29="","",HYPERLINK(IF(LEN(VLOOKUP($B29,Database!$B$1:$IX$10144,2,FALSE))=0,"",VLOOKUP($B29,Database!$B$1:$IX$10144,2,FALSE))))</f>
        <v/>
      </c>
      <c r="D29" s="1" t="str">
        <f t="shared" si="0"/>
        <v>http://www.ncbi.nlm.nih.gov/pubmed/17604352</v>
      </c>
      <c r="E29" s="22" t="str">
        <f>IF($B29="","",IF(LEN(VLOOKUP($B29,Database!$B$1:$IX$10144,4,FALSE))=0,"",VLOOKUP($B29,Database!$B$1:$IX$10144,4,FALSE)))</f>
        <v>Maller JJ</v>
      </c>
      <c r="F29" s="22">
        <f>IF($B29="","",IF(LEN(VLOOKUP($B29,Database!$B$1:$IX$10144,5,FALSE))=0,"",VLOOKUP($B29,Database!$B$1:$IX$10144,5,FALSE)))</f>
        <v>2007</v>
      </c>
      <c r="G29" s="1" t="str">
        <f>IF($B29="","",HYPERLINK(IF(LEN(VLOOKUP($B29,Database!$B$1:$IX$10144,6,FALSE))=0,"",VLOOKUP($B29,Database!$B$1:$IX$10144,6,FALSE))))</f>
        <v>http://dx.doi.org/10.1002/hipo.20339</v>
      </c>
      <c r="H29" s="83">
        <v>23</v>
      </c>
      <c r="I29" s="83">
        <v>17</v>
      </c>
      <c r="J29" t="s">
        <v>2008</v>
      </c>
      <c r="K29" s="13" t="s">
        <v>1607</v>
      </c>
      <c r="T29">
        <v>0.60799999999999998</v>
      </c>
      <c r="U29">
        <v>6.5699999999999995E-2</v>
      </c>
      <c r="V29">
        <v>0.628</v>
      </c>
      <c r="W29">
        <v>6.2700000000000006E-2</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2">
        <f>IF(OR($B29="",AF$22=""),"",IF(LEN(VLOOKUP($B29,Database!$B$1:$IX$10144,AF$22,FALSE))=0,"",VLOOKUP($B29,Database!$B$1:$IX$10144,AF$22,FALSE)))</f>
        <v>23</v>
      </c>
      <c r="AG29" s="22">
        <f>IF(OR($B29="",AG$22=""),"",IF(LEN(VLOOKUP($B29,Database!$B$1:$IX$10144,AG$22,FALSE))=0,"",VLOOKUP($B29,Database!$B$1:$IX$10144,AG$22,FALSE)))</f>
        <v>17</v>
      </c>
      <c r="AH29" s="22">
        <f>IF(OR($B29="",AH$22=""),"",IF(LEN(VLOOKUP($B29,Database!$B$1:$IX$10144,AH$22,FALSE))=0,"",VLOOKUP($B29,Database!$B$1:$IX$10144,AH$22,FALSE)))</f>
        <v>1.5</v>
      </c>
      <c r="AI29" s="22">
        <f>IF(OR($B29="",AI$22=""),"",IF(LEN(VLOOKUP($B29,Database!$B$1:$IX$10144,AI$22,FALSE))=0,"",VLOOKUP($B29,Database!$B$1:$IX$10144,AI$22,FALSE)))</f>
        <v>0.94</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Maller JJ, Daskalakis ZJ, Fitzgerald PB.</v>
      </c>
      <c r="AR29" s="13"/>
      <c r="AU29" s="13"/>
      <c r="BC29" s="23"/>
      <c r="BF29" s="136"/>
      <c r="BG29" s="136"/>
      <c r="BH29" s="136"/>
      <c r="BI29" s="136"/>
    </row>
    <row r="30" spans="1:65">
      <c r="B30">
        <v>19028381</v>
      </c>
      <c r="C30" s="1" t="str">
        <f>IF($B30="","",HYPERLINK(IF(LEN(VLOOKUP($B30,Database!$B$1:$IX$10144,2,FALSE))=0,"",VLOOKUP($B30,Database!$B$1:$IX$10144,2,FALSE))))</f>
        <v/>
      </c>
      <c r="D30" s="1" t="str">
        <f t="shared" si="0"/>
        <v>http://www.ncbi.nlm.nih.gov/pubmed/19028381</v>
      </c>
      <c r="E30" s="22" t="str">
        <f>IF($B30="","",IF(LEN(VLOOKUP($B30,Database!$B$1:$IX$10144,4,FALSE))=0,"",VLOOKUP($B30,Database!$B$1:$IX$10144,4,FALSE)))</f>
        <v>van Eijndhoven P</v>
      </c>
      <c r="F30" s="22">
        <f>IF($B30="","",IF(LEN(VLOOKUP($B30,Database!$B$1:$IX$10144,5,FALSE))=0,"",VLOOKUP($B30,Database!$B$1:$IX$10144,5,FALSE)))</f>
        <v>2009</v>
      </c>
      <c r="G30" s="1" t="str">
        <f>IF($B30="","",HYPERLINK(IF(LEN(VLOOKUP($B30,Database!$B$1:$IX$10144,6,FALSE))=0,"",VLOOKUP($B30,Database!$B$1:$IX$10144,6,FALSE))))</f>
        <v>http://dx.doi.org/10.1016/j.biopsych.2008.10.027</v>
      </c>
      <c r="H30" s="83">
        <v>20</v>
      </c>
      <c r="I30" s="83">
        <v>10</v>
      </c>
      <c r="J30" t="s">
        <v>1206</v>
      </c>
      <c r="K30" t="s">
        <v>864</v>
      </c>
      <c r="T30">
        <v>472</v>
      </c>
      <c r="U30">
        <v>66</v>
      </c>
      <c r="V30">
        <v>505</v>
      </c>
      <c r="W30">
        <v>62</v>
      </c>
      <c r="Y30" s="22" t="str">
        <f>IF(OR($B30="",Y$22=""),"",IF(LEN(VLOOKUP($B30,Database!$B$1:$IX$10144,Y$22,FALSE))=0,"",VLOOKUP($B30,Database!$B$1:$IX$10144,Y$22,FALSE)))</f>
        <v>DSM-IV</v>
      </c>
      <c r="Z30" s="22" t="str">
        <f>IF(OR($B30="",Z$22=""),"",IF(LEN(VLOOKUP($B30,Database!$B$1:$IX$10144,Z$22,FALSE))=0,"",VLOOKUP($B30,Database!$B$1:$IX$10144,Z$22,FALSE)))</f>
        <v>MRI</v>
      </c>
      <c r="AA30" s="214" t="s">
        <v>2447</v>
      </c>
      <c r="AB30" s="83">
        <v>34.1</v>
      </c>
      <c r="AC30" s="83">
        <v>11.6</v>
      </c>
      <c r="AD30" s="22">
        <f>IF(OR($B30="",AD$22=""),"",IF(LEN(VLOOKUP($B30,Database!$B$1:$IX$10144,AD$22,FALSE))=0,"",VLOOKUP($B30,Database!$B$1:$IX$10144,AD$22,FALSE)))</f>
        <v>37.299999999999997</v>
      </c>
      <c r="AE30" s="22">
        <f>IF(OR($B30="",AE$22=""),"",IF(LEN(VLOOKUP($B30,Database!$B$1:$IX$10144,AE$22,FALSE))=0,"",VLOOKUP($B30,Database!$B$1:$IX$10144,AE$22,FALSE)))</f>
        <v>12.7</v>
      </c>
      <c r="AF30" s="214">
        <v>13</v>
      </c>
      <c r="AG30" s="22">
        <f>IF(OR($B30="",AG$22=""),"",IF(LEN(VLOOKUP($B30,Database!$B$1:$IX$10144,AG$22,FALSE))=0,"",VLOOKUP($B30,Database!$B$1:$IX$10144,AG$22,FALSE)))</f>
        <v>13</v>
      </c>
      <c r="AH30" s="22">
        <f>IF(OR($B30="",AH$22=""),"",IF(LEN(VLOOKUP($B30,Database!$B$1:$IX$10144,AH$22,FALSE))=0,"",VLOOKUP($B30,Database!$B$1:$IX$10144,AH$22,FALSE)))</f>
        <v>1.5</v>
      </c>
      <c r="AI30" s="22">
        <f>IF(OR($B30="",AI$22=""),"",IF(LEN(VLOOKUP($B30,Database!$B$1:$IX$10144,AI$22,FALSE))=0,"",VLOOKUP($B30,Database!$B$1:$IX$10144,AI$22,FALSE)))</f>
        <v>1</v>
      </c>
      <c r="AJ30" s="22" t="str">
        <f>IF(OR($B30="",AJ$22=""),"",IF(LEN(VLOOKUP($B30,Database!$B$1:$IX$10144,AJ$22,FALSE))=0,"",VLOOKUP($B30,Database!$B$1:$IX$10144,AJ$22,FALSE)))</f>
        <v/>
      </c>
      <c r="AK30" s="83">
        <v>34.1</v>
      </c>
      <c r="AL30" s="83">
        <v>21.08</v>
      </c>
      <c r="AM30" s="22">
        <f>IF(OR($B30="",AM$22=""),"",IF(LEN(VLOOKUP($B30,Database!$B$1:$IX$10144,AM$22,FALSE))=0,"",VLOOKUP($B30,Database!$B$1:$IX$10144,AM$22,FALSE)))</f>
        <v>0</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van Eijndhoven P, van Wingen G, van Oijen K, Rijpkema M, Goraj B, Jan Verkes R, Oude Voshaar R, Fernández G, Buitelaar J, Tendolkar I.</v>
      </c>
      <c r="AR30" s="13"/>
      <c r="AU30" s="13"/>
      <c r="BC30" s="23"/>
      <c r="BF30" s="136"/>
      <c r="BG30" s="136"/>
      <c r="BH30" s="136"/>
      <c r="BI30" s="136"/>
    </row>
    <row r="31" spans="1:65">
      <c r="B31">
        <v>19028381</v>
      </c>
      <c r="C31" s="1" t="str">
        <f>IF($B31="","",HYPERLINK(IF(LEN(VLOOKUP($B31,Database!$B$1:$IX$10144,2,FALSE))=0,"",VLOOKUP($B31,Database!$B$1:$IX$10144,2,FALSE))))</f>
        <v/>
      </c>
      <c r="D31" s="1" t="str">
        <f t="shared" si="0"/>
        <v>http://www.ncbi.nlm.nih.gov/pubmed/19028381</v>
      </c>
      <c r="E31" s="22" t="str">
        <f>IF($B31="","",IF(LEN(VLOOKUP($B31,Database!$B$1:$IX$10144,4,FALSE))=0,"",VLOOKUP($B31,Database!$B$1:$IX$10144,4,FALSE)))</f>
        <v>van Eijndhoven P</v>
      </c>
      <c r="F31" s="22">
        <f>IF($B31="","",IF(LEN(VLOOKUP($B31,Database!$B$1:$IX$10144,5,FALSE))=0,"",VLOOKUP($B31,Database!$B$1:$IX$10144,5,FALSE)))</f>
        <v>2009</v>
      </c>
      <c r="G31" s="1" t="str">
        <f>IF($B31="","",HYPERLINK(IF(LEN(VLOOKUP($B31,Database!$B$1:$IX$10144,6,FALSE))=0,"",VLOOKUP($B31,Database!$B$1:$IX$10144,6,FALSE))))</f>
        <v>http://dx.doi.org/10.1016/j.biopsych.2008.10.027</v>
      </c>
      <c r="H31" s="83">
        <v>20</v>
      </c>
      <c r="I31" s="83">
        <v>10</v>
      </c>
      <c r="J31" t="s">
        <v>1206</v>
      </c>
      <c r="K31" t="s">
        <v>357</v>
      </c>
      <c r="T31">
        <v>498</v>
      </c>
      <c r="U31">
        <v>59</v>
      </c>
      <c r="V31">
        <v>505</v>
      </c>
      <c r="W31">
        <v>62</v>
      </c>
      <c r="Y31" s="22" t="str">
        <f>IF(OR($B31="",Y$22=""),"",IF(LEN(VLOOKUP($B31,Database!$B$1:$IX$10144,Y$22,FALSE))=0,"",VLOOKUP($B31,Database!$B$1:$IX$10144,Y$22,FALSE)))</f>
        <v>DSM-IV</v>
      </c>
      <c r="Z31" s="22" t="str">
        <f>IF(OR($B31="",Z$22=""),"",IF(LEN(VLOOKUP($B31,Database!$B$1:$IX$10144,Z$22,FALSE))=0,"",VLOOKUP($B31,Database!$B$1:$IX$10144,Z$22,FALSE)))</f>
        <v>MRI</v>
      </c>
      <c r="AA31" s="214" t="s">
        <v>2448</v>
      </c>
      <c r="AB31" s="83">
        <v>35.799999999999997</v>
      </c>
      <c r="AC31" s="83">
        <v>11.7</v>
      </c>
      <c r="AD31" s="22">
        <f>IF(OR($B31="",AD$22=""),"",IF(LEN(VLOOKUP($B31,Database!$B$1:$IX$10144,AD$22,FALSE))=0,"",VLOOKUP($B31,Database!$B$1:$IX$10144,AD$22,FALSE)))</f>
        <v>37.299999999999997</v>
      </c>
      <c r="AE31" s="22">
        <f>IF(OR($B31="",AE$22=""),"",IF(LEN(VLOOKUP($B31,Database!$B$1:$IX$10144,AE$22,FALSE))=0,"",VLOOKUP($B31,Database!$B$1:$IX$10144,AE$22,FALSE)))</f>
        <v>12.7</v>
      </c>
      <c r="AF31" s="214">
        <v>14</v>
      </c>
      <c r="AG31" s="22">
        <f>IF(OR($B31="",AG$22=""),"",IF(LEN(VLOOKUP($B31,Database!$B$1:$IX$10144,AG$22,FALSE))=0,"",VLOOKUP($B31,Database!$B$1:$IX$10144,AG$22,FALSE)))</f>
        <v>13</v>
      </c>
      <c r="AH31" s="22">
        <f>IF(OR($B31="",AH$22=""),"",IF(LEN(VLOOKUP($B31,Database!$B$1:$IX$10144,AH$22,FALSE))=0,"",VLOOKUP($B31,Database!$B$1:$IX$10144,AH$22,FALSE)))</f>
        <v>1.5</v>
      </c>
      <c r="AI31" s="22">
        <f>IF(OR($B31="",AI$22=""),"",IF(LEN(VLOOKUP($B31,Database!$B$1:$IX$10144,AI$22,FALSE))=0,"",VLOOKUP($B31,Database!$B$1:$IX$10144,AI$22,FALSE)))</f>
        <v>1</v>
      </c>
      <c r="AJ31" s="22" t="str">
        <f>IF(OR($B31="",AJ$22=""),"",IF(LEN(VLOOKUP($B31,Database!$B$1:$IX$10144,AJ$22,FALSE))=0,"",VLOOKUP($B31,Database!$B$1:$IX$10144,AJ$22,FALSE)))</f>
        <v/>
      </c>
      <c r="AK31" s="83">
        <v>33.4</v>
      </c>
      <c r="AL31" s="83">
        <v>3.4</v>
      </c>
      <c r="AM31" s="22">
        <f>IF(OR($B31="",AM$22=""),"",IF(LEN(VLOOKUP($B31,Database!$B$1:$IX$10144,AM$22,FALSE))=0,"",VLOOKUP($B31,Database!$B$1:$IX$10144,AM$22,FALSE)))</f>
        <v>0</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van Eijndhoven P, van Wingen G, van Oijen K, Rijpkema M, Goraj B, Jan Verkes R, Oude Voshaar R, Fernández G, Buitelaar J, Tendolkar I.</v>
      </c>
      <c r="AR31" s="13"/>
      <c r="AU31" s="13"/>
      <c r="BC31" s="23"/>
      <c r="BF31" s="136"/>
      <c r="BG31" s="136"/>
      <c r="BH31" s="136"/>
      <c r="BI31" s="136"/>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c r="AR32" s="13"/>
      <c r="BB32" s="23"/>
      <c r="BE32" s="136"/>
      <c r="BF32" s="136"/>
      <c r="BG32" s="136"/>
      <c r="BH32" s="136"/>
    </row>
    <row r="33" spans="1:51">
      <c r="A33" s="10" t="s">
        <v>911</v>
      </c>
      <c r="B33">
        <v>15514411</v>
      </c>
      <c r="C33" s="1" t="str">
        <f>IF($B33="","",HYPERLINK(IF(LEN(VLOOKUP($B33,Database!$B$1:$IX$10144,2,FALSE))=0,"",VLOOKUP($B33,Database!$B$1:$IX$10144,2,FALSE))))</f>
        <v/>
      </c>
      <c r="D33" s="1" t="str">
        <f>IF($B33="","",HYPERLINK(CONCATENATE("http://www.ncbi.nlm.nih.gov/pubmed/",B33)))</f>
        <v>http://www.ncbi.nlm.nih.gov/pubmed/15514411</v>
      </c>
      <c r="E33" s="22" t="str">
        <f>IF($B33="","",IF(LEN(VLOOKUP($B33,Database!$B$1:$IX$10144,4,FALSE))=0,"",VLOOKUP($B33,Database!$B$1:$IX$10144,4,FALSE)))</f>
        <v>Ballmaier M (B)</v>
      </c>
      <c r="F33" s="22">
        <f>IF($B33="","",IF(LEN(VLOOKUP($B33,Database!$B$1:$IX$10144,5,FALSE))=0,"",VLOOKUP($B33,Database!$B$1:$IX$10144,5,FALSE)))</f>
        <v>2004</v>
      </c>
      <c r="G33" s="1" t="str">
        <f>IF($B33="","",HYPERLINK(IF(LEN(VLOOKUP($B33,Database!$B$1:$IX$10144,6,FALSE))=0,"",VLOOKUP($B33,Database!$B$1:$IX$10144,6,FALSE))))</f>
        <v>http://ajp.psychiatryonline.org/cgi/reprint/161/11/2091</v>
      </c>
      <c r="H33" s="22">
        <f>IF($B33="","",IF(LEN(VLOOKUP($B33,Database!$B$1:$IX$10144,7,FALSE))=0,"",VLOOKUP($B33,Database!$B$1:$IX$10144,7,FALSE)))</f>
        <v>17</v>
      </c>
      <c r="I33" s="22">
        <f>IF($B33="","",IF(LEN(VLOOKUP($B33,Database!$B$1:$IX$10144,8,FALSE))=0,"",VLOOKUP($B33,Database!$B$1:$IX$10144,8,FALSE)))</f>
        <v>17</v>
      </c>
      <c r="J33" t="s">
        <v>1562</v>
      </c>
      <c r="K33" s="10"/>
      <c r="T33">
        <v>458.39</v>
      </c>
      <c r="U33">
        <v>69.05</v>
      </c>
      <c r="V33">
        <v>445.49</v>
      </c>
      <c r="W33">
        <v>55.85</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75.239999999999995</v>
      </c>
      <c r="AC33" s="22">
        <f>IF(OR($B33="",AC$22=""),"",IF(LEN(VLOOKUP($B33,Database!$B$1:$IX$10144,AC$22,FALSE))=0,"",VLOOKUP($B33,Database!$B$1:$IX$10144,AC$22,FALSE)))</f>
        <v>8.52</v>
      </c>
      <c r="AD33" s="22">
        <f>IF(OR($B33="",AD$22=""),"",IF(LEN(VLOOKUP($B33,Database!$B$1:$IX$10144,AD$22,FALSE))=0,"",VLOOKUP($B33,Database!$B$1:$IX$10144,AD$22,FALSE)))</f>
        <v>73.88</v>
      </c>
      <c r="AE33" s="22">
        <f>IF(OR($B33="",AE$22=""),"",IF(LEN(VLOOKUP($B33,Database!$B$1:$IX$10144,AE$22,FALSE))=0,"",VLOOKUP($B33,Database!$B$1:$IX$10144,AE$22,FALSE)))</f>
        <v>7.61</v>
      </c>
      <c r="AF33" s="22">
        <f>IF(OR($B33="",AF$22=""),"",IF(LEN(VLOOKUP($B33,Database!$B$1:$IX$10144,AF$22,FALSE))=0,"",VLOOKUP($B33,Database!$B$1:$IX$10144,AF$22,FALSE)))</f>
        <v>11</v>
      </c>
      <c r="AG33" s="22">
        <f>IF(OR($B33="",AG$22=""),"",IF(LEN(VLOOKUP($B33,Database!$B$1:$IX$10144,AG$22,FALSE))=0,"",VLOOKUP($B33,Database!$B$1:$IX$10144,AG$22,FALSE)))</f>
        <v>11</v>
      </c>
      <c r="AH33" s="22">
        <f>IF(OR($B33="",AH$22=""),"",IF(LEN(VLOOKUP($B33,Database!$B$1:$IX$10144,AH$22,FALSE))=0,"",VLOOKUP($B33,Database!$B$1:$IX$10144,AH$22,FALSE)))</f>
        <v>1.5</v>
      </c>
      <c r="AI33" s="22">
        <f>IF(OR($B33="",AI$22=""),"",IF(LEN(VLOOKUP($B33,Database!$B$1:$IX$10144,AI$22,FALSE))=0,"",VLOOKUP($B33,Database!$B$1:$IX$10144,AI$22,FALSE)))</f>
        <v>1.4</v>
      </c>
      <c r="AJ33" s="22" t="str">
        <f>IF(OR($B33="",AJ$22=""),"",IF(LEN(VLOOKUP($B33,Database!$B$1:$IX$10144,AJ$22,FALSE))=0,"",VLOOKUP($B33,Database!$B$1:$IX$10144,AJ$22,FALSE)))</f>
        <v/>
      </c>
      <c r="AK33" s="22">
        <f>IF(OR($B33="",AK$22=""),"",IF(LEN(VLOOKUP($B33,Database!$B$1:$IX$10144,AK$22,FALSE))=0,"",VLOOKUP($B33,Database!$B$1:$IX$10144,AK$22,FALSE)))</f>
        <v>71.88</v>
      </c>
      <c r="AL33" s="22">
        <f>IF(OR($B33="",AL$22=""),"",IF(LEN(VLOOKUP($B33,Database!$B$1:$IX$10144,AL$22,FALSE))=0,"",VLOOKUP($B33,Database!$B$1:$IX$10144,AL$22,FALSE)))</f>
        <v>18.41</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Ballmaier M, Kumar A, Thompson PM, Narr KL, Lavretsky H, Estanol L, Deluca H, Toga AW.</v>
      </c>
    </row>
    <row r="34" spans="1:51">
      <c r="A34" s="4"/>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39" si="1">E24</f>
        <v>Pillay SS</v>
      </c>
      <c r="F37">
        <f t="shared" si="1"/>
        <v>1997</v>
      </c>
      <c r="G37">
        <v>8</v>
      </c>
      <c r="H37">
        <f t="shared" ref="H37:I39" si="2">H24</f>
        <v>38</v>
      </c>
      <c r="I37">
        <f t="shared" si="2"/>
        <v>20</v>
      </c>
      <c r="J37">
        <f t="shared" ref="J37:M39" si="3">IF($D$4="Total",T24,IF($D$4="Left",L24,IF($D$4="Right",P24,"error")))</f>
        <v>442.9</v>
      </c>
      <c r="K37">
        <f t="shared" si="3"/>
        <v>78.2</v>
      </c>
      <c r="L37">
        <f t="shared" si="3"/>
        <v>426.5</v>
      </c>
      <c r="M37">
        <f t="shared" si="3"/>
        <v>53.8</v>
      </c>
      <c r="N37">
        <f t="shared" ref="N37:N44" si="4">IF($D$3=1,SQRT((((I37-1)*(M37)^2)+((H37-1)*(K37)^2))/(H37+I37-2)),M37)</f>
        <v>70.869376824045602</v>
      </c>
      <c r="O37" s="59">
        <f t="shared" ref="O37:O44" si="5">IF($D$6=1,LN(J37/L37),IF($D$5=1,(1-3/(4*(H37+I37)-9))*((J37-L37)/N37),(J37-L37)/N37))</f>
        <v>0.22829849678909295</v>
      </c>
      <c r="P37" s="63">
        <f t="shared" ref="P37:P44" si="6">IF($D$6=1,(K37^2)/(H37*J37^2)+(M37^2)/(I37*L37^2),(IF($D$5=1,((H37+I37)/(H37*I37))+(O37*O37)/(2*(H37+I37-3.94)),((H37+I37)/(H37*I37))+((O37^2)/(2*(H37+I37-2))))))</f>
        <v>7.6797848330844395E-2</v>
      </c>
      <c r="Q37" s="59">
        <f t="shared" ref="Q37:Q44" si="7">$R$61*SQRT(P37)</f>
        <v>0.54316352431636261</v>
      </c>
      <c r="R37" s="59">
        <f t="shared" ref="R37:R44" si="8">1/P37</f>
        <v>13.021198142062646</v>
      </c>
      <c r="S37" s="59">
        <f t="shared" ref="S37:S44" si="9">O37*R37</f>
        <v>2.972719962225832</v>
      </c>
      <c r="T37" s="59">
        <f t="shared" ref="T37:T44" si="10">R37*(O37^2)</f>
        <v>0.67866749875108667</v>
      </c>
      <c r="U37" s="23">
        <f t="shared" ref="U37:U44" si="11">R37^2</f>
        <v>169.55160105485569</v>
      </c>
      <c r="V37" s="59">
        <f t="shared" ref="V37:V44" si="12">1/((1/R37)+$I$58)</f>
        <v>11.234794716794161</v>
      </c>
      <c r="W37" s="59">
        <f t="shared" ref="W37:W44" si="13">V37*O37</f>
        <v>2.5648867455781503</v>
      </c>
      <c r="AF37" s="59">
        <f t="shared" ref="AF37:AF44" si="14">IF($D$6=1,100*((EXP(O37))-1),O37)</f>
        <v>0.22829849678909295</v>
      </c>
      <c r="AG37" s="59">
        <f t="shared" ref="AG37:AG44" si="15">IF($D$6=1,100*(EXP(O37+Q37)-EXP(O37)),Q37)</f>
        <v>0.54316352431636261</v>
      </c>
      <c r="AH37" s="59">
        <f t="shared" ref="AH37:AH44" si="16">IF($D$6=1,100*(EXP(O37)-EXP(O37-Q37)),Q37)</f>
        <v>0.54316352431636261</v>
      </c>
      <c r="AJ37">
        <f t="shared" ref="AJ37:AJ44" si="17">SQRT(P37)</f>
        <v>0.27712424710018502</v>
      </c>
      <c r="AK37">
        <f t="shared" ref="AK37:AK44" si="18">1/AJ37</f>
        <v>3.6084897314614386</v>
      </c>
      <c r="AL37">
        <f t="shared" ref="AL37:AL44" si="19">O37/AJ37</f>
        <v>0.82381278137152414</v>
      </c>
      <c r="AN37" t="str">
        <f t="shared" ref="AN37:AO39" si="20">E37</f>
        <v>Pillay SS</v>
      </c>
      <c r="AO37">
        <f t="shared" si="20"/>
        <v>1997</v>
      </c>
      <c r="AP37" t="str">
        <f t="shared" ref="AP37:AP44" si="21">CONCATENATE(AN37," ",AO37)</f>
        <v>Pillay SS 1997</v>
      </c>
      <c r="AQ37">
        <f t="shared" ref="AQ37:AQ44" si="22">INT(H37)</f>
        <v>38</v>
      </c>
      <c r="AR37">
        <f t="shared" ref="AR37:AS39" si="23">J37</f>
        <v>442.9</v>
      </c>
      <c r="AS37">
        <f t="shared" si="23"/>
        <v>78.2</v>
      </c>
      <c r="AT37">
        <f t="shared" ref="AT37:AT44" si="24">INT(I37)</f>
        <v>20</v>
      </c>
      <c r="AU37">
        <f t="shared" ref="AU37:AV39" si="25">L37</f>
        <v>426.5</v>
      </c>
      <c r="AV37">
        <f t="shared" si="25"/>
        <v>53.8</v>
      </c>
      <c r="AW37" s="65">
        <f t="shared" ref="AW37:AW44" si="26">O37</f>
        <v>0.22829849678909295</v>
      </c>
      <c r="AX37">
        <f t="shared" ref="AX37:AX44" si="27">SQRT(P37)</f>
        <v>0.27712424710018502</v>
      </c>
      <c r="AY37" t="str">
        <f>$F$3</f>
        <v>Pooled SD</v>
      </c>
    </row>
    <row r="38" spans="1:51">
      <c r="E38" t="str">
        <f t="shared" si="1"/>
        <v>Frodl T (A)</v>
      </c>
      <c r="F38">
        <f t="shared" si="1"/>
        <v>2002</v>
      </c>
      <c r="G38">
        <v>7</v>
      </c>
      <c r="H38">
        <f t="shared" si="2"/>
        <v>30</v>
      </c>
      <c r="I38">
        <f t="shared" si="2"/>
        <v>30</v>
      </c>
      <c r="J38">
        <f t="shared" si="3"/>
        <v>463.4</v>
      </c>
      <c r="K38">
        <f t="shared" si="3"/>
        <v>51.8</v>
      </c>
      <c r="L38">
        <f t="shared" si="3"/>
        <v>471.9</v>
      </c>
      <c r="M38">
        <f t="shared" si="3"/>
        <v>57.1</v>
      </c>
      <c r="N38">
        <f t="shared" si="4"/>
        <v>54.514447626294448</v>
      </c>
      <c r="O38" s="59">
        <f t="shared" si="5"/>
        <v>-0.15389700813117571</v>
      </c>
      <c r="P38" s="63">
        <f t="shared" si="6"/>
        <v>6.6877907204587889E-2</v>
      </c>
      <c r="Q38" s="59">
        <f t="shared" si="7"/>
        <v>0.50687095824987327</v>
      </c>
      <c r="R38" s="59">
        <f t="shared" si="8"/>
        <v>14.952621004435363</v>
      </c>
      <c r="S38" s="59">
        <f t="shared" si="9"/>
        <v>-2.3011636363019776</v>
      </c>
      <c r="T38" s="59">
        <f t="shared" si="10"/>
        <v>0.35414219884713133</v>
      </c>
      <c r="U38" s="23">
        <f t="shared" si="11"/>
        <v>223.58087490228161</v>
      </c>
      <c r="V38" s="59">
        <f t="shared" si="12"/>
        <v>12.643943253775078</v>
      </c>
      <c r="W38" s="59">
        <f t="shared" si="13"/>
        <v>-1.9458650377363473</v>
      </c>
      <c r="AF38" s="59">
        <f t="shared" si="14"/>
        <v>-0.15389700813117571</v>
      </c>
      <c r="AG38" s="59">
        <f t="shared" si="15"/>
        <v>0.50687095824987327</v>
      </c>
      <c r="AH38" s="59">
        <f t="shared" si="16"/>
        <v>0.50687095824987327</v>
      </c>
      <c r="AJ38">
        <f t="shared" si="17"/>
        <v>0.25860763176013946</v>
      </c>
      <c r="AK38">
        <f t="shared" si="18"/>
        <v>3.8668619065639471</v>
      </c>
      <c r="AL38">
        <f t="shared" si="19"/>
        <v>-0.59509847827660534</v>
      </c>
      <c r="AN38" t="str">
        <f t="shared" si="20"/>
        <v>Frodl T (A)</v>
      </c>
      <c r="AO38">
        <f t="shared" si="20"/>
        <v>2002</v>
      </c>
      <c r="AP38" t="str">
        <f t="shared" si="21"/>
        <v>Frodl T (A) 2002</v>
      </c>
      <c r="AQ38">
        <f t="shared" si="22"/>
        <v>30</v>
      </c>
      <c r="AR38">
        <f t="shared" si="23"/>
        <v>463.4</v>
      </c>
      <c r="AS38">
        <f t="shared" si="23"/>
        <v>51.8</v>
      </c>
      <c r="AT38">
        <f t="shared" si="24"/>
        <v>30</v>
      </c>
      <c r="AU38">
        <f t="shared" si="25"/>
        <v>471.9</v>
      </c>
      <c r="AV38">
        <f t="shared" si="25"/>
        <v>57.1</v>
      </c>
      <c r="AW38" s="65">
        <f t="shared" si="26"/>
        <v>-0.15389700813117571</v>
      </c>
      <c r="AX38">
        <f t="shared" si="27"/>
        <v>0.25860763176013946</v>
      </c>
      <c r="AY38" t="str">
        <f>$F$4</f>
        <v>Total</v>
      </c>
    </row>
    <row r="39" spans="1:51">
      <c r="E39" t="str">
        <f t="shared" si="1"/>
        <v>Steingard RJ</v>
      </c>
      <c r="F39">
        <f t="shared" si="1"/>
        <v>2002</v>
      </c>
      <c r="G39">
        <v>6</v>
      </c>
      <c r="H39">
        <f t="shared" si="2"/>
        <v>19</v>
      </c>
      <c r="I39">
        <f t="shared" si="2"/>
        <v>38</v>
      </c>
      <c r="J39">
        <f t="shared" si="3"/>
        <v>504</v>
      </c>
      <c r="K39">
        <f t="shared" si="3"/>
        <v>122</v>
      </c>
      <c r="L39">
        <f t="shared" si="3"/>
        <v>590</v>
      </c>
      <c r="M39">
        <f t="shared" si="3"/>
        <v>106</v>
      </c>
      <c r="N39">
        <f t="shared" si="4"/>
        <v>111.48942061510101</v>
      </c>
      <c r="O39" s="59">
        <f t="shared" si="5"/>
        <v>-0.76080687602685615</v>
      </c>
      <c r="P39" s="63">
        <f t="shared" si="6"/>
        <v>8.440182660621795E-2</v>
      </c>
      <c r="Q39" s="59">
        <f t="shared" si="7"/>
        <v>0.56941905227209144</v>
      </c>
      <c r="R39" s="59">
        <f t="shared" si="8"/>
        <v>11.848084812969311</v>
      </c>
      <c r="S39" s="59">
        <f t="shared" si="9"/>
        <v>-9.0141043934564209</v>
      </c>
      <c r="T39" s="59">
        <f t="shared" si="10"/>
        <v>6.8579926037655374</v>
      </c>
      <c r="U39" s="23">
        <f t="shared" si="11"/>
        <v>140.37711373531405</v>
      </c>
      <c r="V39" s="59">
        <f t="shared" si="12"/>
        <v>10.350555697274672</v>
      </c>
      <c r="W39" s="59">
        <f t="shared" si="13"/>
        <v>-7.8747739451855212</v>
      </c>
      <c r="AF39" s="59">
        <f t="shared" si="14"/>
        <v>-0.76080687602685615</v>
      </c>
      <c r="AG39" s="59">
        <f t="shared" si="15"/>
        <v>0.56941905227209144</v>
      </c>
      <c r="AH39" s="59">
        <f t="shared" si="16"/>
        <v>0.56941905227209144</v>
      </c>
      <c r="AJ39">
        <f t="shared" si="17"/>
        <v>0.29051992462861809</v>
      </c>
      <c r="AK39">
        <f t="shared" si="18"/>
        <v>3.4421047068573194</v>
      </c>
      <c r="AL39">
        <f t="shared" si="19"/>
        <v>-2.6187769289814549</v>
      </c>
      <c r="AN39" t="str">
        <f t="shared" si="20"/>
        <v>Steingard RJ</v>
      </c>
      <c r="AO39">
        <f t="shared" si="20"/>
        <v>2002</v>
      </c>
      <c r="AP39" t="str">
        <f t="shared" si="21"/>
        <v>Steingard RJ 2002</v>
      </c>
      <c r="AQ39">
        <f t="shared" si="22"/>
        <v>19</v>
      </c>
      <c r="AR39">
        <f t="shared" si="23"/>
        <v>504</v>
      </c>
      <c r="AS39">
        <f t="shared" si="23"/>
        <v>122</v>
      </c>
      <c r="AT39">
        <f t="shared" si="24"/>
        <v>38</v>
      </c>
      <c r="AU39">
        <f t="shared" si="25"/>
        <v>590</v>
      </c>
      <c r="AV39">
        <f t="shared" si="25"/>
        <v>106</v>
      </c>
      <c r="AW39" s="65">
        <f t="shared" si="26"/>
        <v>-0.76080687602685615</v>
      </c>
      <c r="AX39">
        <f t="shared" si="27"/>
        <v>0.29051992462861809</v>
      </c>
      <c r="AY39" t="str">
        <f>$F$6</f>
        <v>Cohens Effect size</v>
      </c>
    </row>
    <row r="40" spans="1:51">
      <c r="E40" t="str">
        <f t="shared" ref="E40:F44" si="28">E27</f>
        <v>Ballmaier M (C)</v>
      </c>
      <c r="F40">
        <f t="shared" si="28"/>
        <v>2004</v>
      </c>
      <c r="G40">
        <v>5</v>
      </c>
      <c r="H40">
        <f t="shared" ref="H40:I44" si="29">H27</f>
        <v>24</v>
      </c>
      <c r="I40">
        <f t="shared" si="29"/>
        <v>19</v>
      </c>
      <c r="J40">
        <f t="shared" ref="J40:M42" si="30">IF($D$4="Total",T27,IF($D$4="Left",L27,IF($D$4="Right",P27,"error")))</f>
        <v>481.14400000000001</v>
      </c>
      <c r="K40">
        <f t="shared" si="30"/>
        <v>86.293000000000006</v>
      </c>
      <c r="L40">
        <f t="shared" si="30"/>
        <v>487.16500000000002</v>
      </c>
      <c r="M40">
        <f t="shared" si="30"/>
        <v>78.204999999999998</v>
      </c>
      <c r="N40">
        <f t="shared" si="4"/>
        <v>82.839468467780435</v>
      </c>
      <c r="O40" s="59">
        <f t="shared" si="5"/>
        <v>-7.1345026210283741E-2</v>
      </c>
      <c r="P40" s="63">
        <f t="shared" si="6"/>
        <v>9.4363403227513659E-2</v>
      </c>
      <c r="Q40" s="59">
        <f t="shared" si="7"/>
        <v>0.60208508521538417</v>
      </c>
      <c r="R40" s="59">
        <f t="shared" si="8"/>
        <v>10.597328686725753</v>
      </c>
      <c r="S40" s="59">
        <f t="shared" si="9"/>
        <v>-0.75606669291344064</v>
      </c>
      <c r="T40" s="59">
        <f t="shared" si="10"/>
        <v>5.3941598022631973E-2</v>
      </c>
      <c r="U40" s="23">
        <f t="shared" si="11"/>
        <v>112.30337529450057</v>
      </c>
      <c r="V40" s="59">
        <f t="shared" si="12"/>
        <v>9.3830858542193862</v>
      </c>
      <c r="W40" s="59">
        <f t="shared" si="13"/>
        <v>-0.66943650620262474</v>
      </c>
      <c r="AF40" s="59">
        <f t="shared" si="14"/>
        <v>-7.1345026210283741E-2</v>
      </c>
      <c r="AG40" s="59">
        <f t="shared" si="15"/>
        <v>0.60208508521538417</v>
      </c>
      <c r="AH40" s="59">
        <f t="shared" si="16"/>
        <v>0.60208508521538417</v>
      </c>
      <c r="AJ40">
        <f t="shared" si="17"/>
        <v>0.30718626796703274</v>
      </c>
      <c r="AK40">
        <f t="shared" si="18"/>
        <v>3.2553538496952608</v>
      </c>
      <c r="AL40">
        <f t="shared" si="19"/>
        <v>-0.23225330573025646</v>
      </c>
      <c r="AN40" t="str">
        <f t="shared" ref="AN40:AO44" si="31">E40</f>
        <v>Ballmaier M (C)</v>
      </c>
      <c r="AO40">
        <f t="shared" si="31"/>
        <v>2004</v>
      </c>
      <c r="AP40" t="str">
        <f t="shared" si="21"/>
        <v>Ballmaier M (C) 2004</v>
      </c>
      <c r="AQ40">
        <f t="shared" si="22"/>
        <v>24</v>
      </c>
      <c r="AR40">
        <f t="shared" ref="AR40:AS44" si="32">J40</f>
        <v>481.14400000000001</v>
      </c>
      <c r="AS40">
        <f t="shared" si="32"/>
        <v>86.293000000000006</v>
      </c>
      <c r="AT40">
        <f t="shared" si="24"/>
        <v>19</v>
      </c>
      <c r="AU40">
        <f t="shared" ref="AU40:AV44" si="33">L40</f>
        <v>487.16500000000002</v>
      </c>
      <c r="AV40">
        <f t="shared" si="33"/>
        <v>78.204999999999998</v>
      </c>
      <c r="AW40" s="65">
        <f t="shared" si="26"/>
        <v>-7.1345026210283741E-2</v>
      </c>
      <c r="AX40">
        <f t="shared" si="27"/>
        <v>0.30718626796703274</v>
      </c>
    </row>
    <row r="41" spans="1:51">
      <c r="E41" t="str">
        <f t="shared" si="28"/>
        <v>Maller JJ</v>
      </c>
      <c r="F41">
        <f t="shared" si="28"/>
        <v>2007</v>
      </c>
      <c r="G41">
        <v>4</v>
      </c>
      <c r="H41">
        <f t="shared" si="29"/>
        <v>22</v>
      </c>
      <c r="I41">
        <f t="shared" si="29"/>
        <v>13</v>
      </c>
      <c r="J41">
        <f t="shared" si="30"/>
        <v>0.65900000000000003</v>
      </c>
      <c r="K41">
        <f t="shared" si="30"/>
        <v>6.4199999999999993E-2</v>
      </c>
      <c r="L41">
        <f t="shared" si="30"/>
        <v>0.65200000000000002</v>
      </c>
      <c r="M41">
        <f t="shared" si="30"/>
        <v>4.1099999999999998E-2</v>
      </c>
      <c r="N41">
        <f>IF($D$3=1,SQRT((((I41-1)*(M41)^2)+((H41-1)*(K41)^2))/(H41+I41-2)),M41)</f>
        <v>5.6895694037422548E-2</v>
      </c>
      <c r="O41" s="59">
        <f>IF($D$6=1,LN(J41/L41),IF($D$5=1,(1-3/(4*(H41+I41)-9))*((J41-L41)/N41),(J41-L41)/N41))</f>
        <v>0.12021462734930025</v>
      </c>
      <c r="P41" s="63">
        <f>IF($D$6=1,(K41^2)/(H41*J41^2)+(M41^2)/(I41*L41^2),(IF($D$5=1,((H41+I41)/(H41*I41))+(O41*O41)/(2*(H41+I41-3.94)),((H41+I41)/(H41*I41))+((O41^2)/(2*(H41+I41-2))))))</f>
        <v>0.12261026173095031</v>
      </c>
      <c r="Q41" s="59">
        <f t="shared" si="7"/>
        <v>0.68630866340562735</v>
      </c>
      <c r="R41" s="59">
        <f>1/P41</f>
        <v>8.155924193313842</v>
      </c>
      <c r="S41" s="59">
        <f>O41*R41</f>
        <v>0.98046138758836576</v>
      </c>
      <c r="T41" s="59">
        <f>R41*(O41^2)</f>
        <v>0.11786580033931322</v>
      </c>
      <c r="U41" s="23">
        <f>R41^2</f>
        <v>66.519099447082041</v>
      </c>
      <c r="V41" s="59">
        <f>1/((1/R41)+$I$58)</f>
        <v>7.4172088149420103</v>
      </c>
      <c r="W41" s="59">
        <f>V41*O41</f>
        <v>0.89165699366019868</v>
      </c>
      <c r="AF41" s="59">
        <f>IF($D$6=1,100*((EXP(O41))-1),O41)</f>
        <v>0.12021462734930025</v>
      </c>
      <c r="AG41" s="59">
        <f>IF($D$6=1,100*(EXP(O41+Q41)-EXP(O41)),Q41)</f>
        <v>0.68630866340562735</v>
      </c>
      <c r="AH41" s="59">
        <f>IF($D$6=1,100*(EXP(O41)-EXP(O41-Q41)),Q41)</f>
        <v>0.68630866340562735</v>
      </c>
      <c r="AJ41">
        <f>SQRT(P41)</f>
        <v>0.35015748132940172</v>
      </c>
      <c r="AK41">
        <f t="shared" si="18"/>
        <v>2.8558578734443074</v>
      </c>
      <c r="AL41">
        <f>O41/AJ41</f>
        <v>0.34331589001867246</v>
      </c>
      <c r="AN41" t="str">
        <f>E41</f>
        <v>Maller JJ</v>
      </c>
      <c r="AO41">
        <f>F41</f>
        <v>2007</v>
      </c>
      <c r="AP41" t="str">
        <f>CONCATENATE(AN41," ",AO41)</f>
        <v>Maller JJ 2007</v>
      </c>
      <c r="AQ41">
        <f>INT(H41)</f>
        <v>22</v>
      </c>
      <c r="AR41">
        <f>J41</f>
        <v>0.65900000000000003</v>
      </c>
      <c r="AS41">
        <f>K41</f>
        <v>6.4199999999999993E-2</v>
      </c>
      <c r="AT41">
        <f>INT(I41)</f>
        <v>13</v>
      </c>
      <c r="AU41">
        <f>L41</f>
        <v>0.65200000000000002</v>
      </c>
      <c r="AV41">
        <f>M41</f>
        <v>4.1099999999999998E-2</v>
      </c>
      <c r="AW41" s="65">
        <f>O41</f>
        <v>0.12021462734930025</v>
      </c>
      <c r="AX41">
        <f>SQRT(P41)</f>
        <v>0.35015748132940172</v>
      </c>
    </row>
    <row r="42" spans="1:51">
      <c r="E42" t="str">
        <f t="shared" si="28"/>
        <v>Maller JJ</v>
      </c>
      <c r="F42">
        <f t="shared" si="28"/>
        <v>2007</v>
      </c>
      <c r="G42">
        <v>3</v>
      </c>
      <c r="H42">
        <f t="shared" si="29"/>
        <v>23</v>
      </c>
      <c r="I42">
        <f t="shared" si="29"/>
        <v>17</v>
      </c>
      <c r="J42">
        <f t="shared" si="30"/>
        <v>0.60799999999999998</v>
      </c>
      <c r="K42">
        <f t="shared" si="30"/>
        <v>6.5699999999999995E-2</v>
      </c>
      <c r="L42">
        <f t="shared" si="30"/>
        <v>0.628</v>
      </c>
      <c r="M42">
        <f t="shared" si="30"/>
        <v>6.2700000000000006E-2</v>
      </c>
      <c r="N42">
        <f>IF($D$3=1,SQRT((((I42-1)*(M42)^2)+((H42-1)*(K42)^2))/(H42+I42-2)),M42)</f>
        <v>6.4453863548400173E-2</v>
      </c>
      <c r="O42" s="59">
        <f>IF($D$6=1,LN(J42/L42),IF($D$5=1,(1-3/(4*(H42+I42)-9))*((J42-L42)/N42),(J42-L42)/N42))</f>
        <v>-0.30413458445206104</v>
      </c>
      <c r="P42" s="63">
        <f>IF($D$6=1,(K42^2)/(H42*J42^2)+(M42^2)/(I42*L42^2),(IF($D$5=1,((H42+I42)/(H42*I42))+(O42*O42)/(2*(H42+I42-3.94)),((H42+I42)/(H42*I42))+((O42^2)/(2*(H42+I42-2))))))</f>
        <v>0.10358434498820496</v>
      </c>
      <c r="Q42" s="59">
        <f t="shared" si="7"/>
        <v>0.63081662922491832</v>
      </c>
      <c r="R42" s="59">
        <f>1/P42</f>
        <v>9.653968465156284</v>
      </c>
      <c r="S42" s="59">
        <f>O42*R42</f>
        <v>-2.9361056874636078</v>
      </c>
      <c r="T42" s="59">
        <f>R42*(O42^2)</f>
        <v>0.89297128316407748</v>
      </c>
      <c r="U42" s="23">
        <f>R42^2</f>
        <v>93.199107126231979</v>
      </c>
      <c r="V42" s="59">
        <f>1/((1/R42)+$I$58)</f>
        <v>8.6359001066119614</v>
      </c>
      <c r="W42" s="59">
        <f>V42*O42</f>
        <v>-2.6264758902939387</v>
      </c>
      <c r="AF42" s="59">
        <f>IF($D$6=1,100*((EXP(O42))-1),O42)</f>
        <v>-0.30413458445206104</v>
      </c>
      <c r="AG42" s="59">
        <f>IF($D$6=1,100*(EXP(O42+Q42)-EXP(O42)),Q42)</f>
        <v>0.63081662922491832</v>
      </c>
      <c r="AH42" s="59">
        <f>IF($D$6=1,100*(EXP(O42)-EXP(O42-Q42)),Q42)</f>
        <v>0.63081662922491832</v>
      </c>
      <c r="AJ42">
        <f>SQRT(P42)</f>
        <v>0.32184521899230528</v>
      </c>
      <c r="AK42">
        <f t="shared" si="18"/>
        <v>3.1070835948130338</v>
      </c>
      <c r="AL42">
        <f>O42/AJ42</f>
        <v>-0.94497157796627806</v>
      </c>
      <c r="AN42" t="str">
        <f>E42</f>
        <v>Maller JJ</v>
      </c>
      <c r="AO42">
        <f>F42</f>
        <v>2007</v>
      </c>
      <c r="AP42" t="str">
        <f>CONCATENATE(AN42," ",AO42)</f>
        <v>Maller JJ 2007</v>
      </c>
      <c r="AQ42">
        <f>INT(H42)</f>
        <v>23</v>
      </c>
      <c r="AR42">
        <f>J42</f>
        <v>0.60799999999999998</v>
      </c>
      <c r="AS42">
        <f>K42</f>
        <v>6.5699999999999995E-2</v>
      </c>
      <c r="AT42">
        <f>INT(I42)</f>
        <v>17</v>
      </c>
      <c r="AU42">
        <f>L42</f>
        <v>0.628</v>
      </c>
      <c r="AV42">
        <f>M42</f>
        <v>6.2700000000000006E-2</v>
      </c>
      <c r="AW42" s="65">
        <f>O42</f>
        <v>-0.30413458445206104</v>
      </c>
      <c r="AX42">
        <f>SQRT(P42)</f>
        <v>0.32184521899230528</v>
      </c>
    </row>
    <row r="43" spans="1:51">
      <c r="E43" t="str">
        <f t="shared" si="28"/>
        <v>van Eijndhoven P</v>
      </c>
      <c r="F43">
        <f t="shared" si="28"/>
        <v>2009</v>
      </c>
      <c r="G43">
        <v>2</v>
      </c>
      <c r="H43">
        <f t="shared" si="29"/>
        <v>20</v>
      </c>
      <c r="I43">
        <f t="shared" si="29"/>
        <v>10</v>
      </c>
      <c r="J43">
        <f t="shared" ref="J43:M44" si="34">IF($D$4="Total",T30,IF($D$4="Left",L30,IF($D$4="Right",P30,"error")))</f>
        <v>472</v>
      </c>
      <c r="K43">
        <f t="shared" si="34"/>
        <v>66</v>
      </c>
      <c r="L43">
        <f t="shared" si="34"/>
        <v>505</v>
      </c>
      <c r="M43">
        <f t="shared" si="34"/>
        <v>62</v>
      </c>
      <c r="N43">
        <f t="shared" si="4"/>
        <v>64.741243202680096</v>
      </c>
      <c r="O43" s="59">
        <f t="shared" si="5"/>
        <v>-0.49594518918319025</v>
      </c>
      <c r="P43" s="63">
        <f t="shared" si="6"/>
        <v>0.15471914103365214</v>
      </c>
      <c r="Q43" s="59">
        <f t="shared" si="7"/>
        <v>0.77095333982990055</v>
      </c>
      <c r="R43" s="59">
        <f t="shared" si="8"/>
        <v>6.4633244039436288</v>
      </c>
      <c r="S43" s="59">
        <f t="shared" si="9"/>
        <v>-3.2054546442661533</v>
      </c>
      <c r="T43" s="59">
        <f t="shared" si="10"/>
        <v>1.5897298099687132</v>
      </c>
      <c r="U43" s="23">
        <f t="shared" si="11"/>
        <v>41.774562350613266</v>
      </c>
      <c r="V43" s="59">
        <f t="shared" si="12"/>
        <v>5.9905175606188079</v>
      </c>
      <c r="W43" s="59">
        <f t="shared" si="13"/>
        <v>-2.9709683649063181</v>
      </c>
      <c r="AF43" s="59">
        <f t="shared" si="14"/>
        <v>-0.49594518918319025</v>
      </c>
      <c r="AG43" s="59">
        <f t="shared" si="15"/>
        <v>0.77095333982990055</v>
      </c>
      <c r="AH43" s="59">
        <f t="shared" si="16"/>
        <v>0.77095333982990055</v>
      </c>
      <c r="AJ43">
        <f t="shared" si="17"/>
        <v>0.39334354072954109</v>
      </c>
      <c r="AK43">
        <f t="shared" si="18"/>
        <v>2.5423069059308374</v>
      </c>
      <c r="AL43">
        <f t="shared" si="19"/>
        <v>-1.2608448794236002</v>
      </c>
      <c r="AN43" t="str">
        <f t="shared" si="31"/>
        <v>van Eijndhoven P</v>
      </c>
      <c r="AO43">
        <f t="shared" si="31"/>
        <v>2009</v>
      </c>
      <c r="AP43" t="str">
        <f t="shared" si="21"/>
        <v>van Eijndhoven P 2009</v>
      </c>
      <c r="AQ43">
        <f t="shared" si="22"/>
        <v>20</v>
      </c>
      <c r="AR43">
        <f t="shared" si="32"/>
        <v>472</v>
      </c>
      <c r="AS43">
        <f t="shared" si="32"/>
        <v>66</v>
      </c>
      <c r="AT43">
        <f t="shared" si="24"/>
        <v>10</v>
      </c>
      <c r="AU43">
        <f t="shared" si="33"/>
        <v>505</v>
      </c>
      <c r="AV43">
        <f t="shared" si="33"/>
        <v>62</v>
      </c>
      <c r="AW43" s="65">
        <f t="shared" si="26"/>
        <v>-0.49594518918319025</v>
      </c>
      <c r="AX43">
        <f t="shared" si="27"/>
        <v>0.39334354072954109</v>
      </c>
    </row>
    <row r="44" spans="1:51">
      <c r="E44" t="str">
        <f t="shared" si="28"/>
        <v>van Eijndhoven P</v>
      </c>
      <c r="F44">
        <f t="shared" si="28"/>
        <v>2009</v>
      </c>
      <c r="G44">
        <v>1</v>
      </c>
      <c r="H44">
        <f t="shared" si="29"/>
        <v>20</v>
      </c>
      <c r="I44">
        <f t="shared" si="29"/>
        <v>10</v>
      </c>
      <c r="J44">
        <f t="shared" si="34"/>
        <v>498</v>
      </c>
      <c r="K44">
        <f t="shared" si="34"/>
        <v>59</v>
      </c>
      <c r="L44">
        <f t="shared" si="34"/>
        <v>505</v>
      </c>
      <c r="M44">
        <f t="shared" si="34"/>
        <v>62</v>
      </c>
      <c r="N44">
        <f t="shared" si="4"/>
        <v>59.980651642246862</v>
      </c>
      <c r="O44" s="59">
        <f t="shared" si="5"/>
        <v>-0.1135501303225868</v>
      </c>
      <c r="P44" s="63">
        <f t="shared" si="6"/>
        <v>0.15024738357820944</v>
      </c>
      <c r="Q44" s="59">
        <f t="shared" si="7"/>
        <v>0.75973044479871232</v>
      </c>
      <c r="R44" s="59">
        <f t="shared" si="8"/>
        <v>6.6556899440412698</v>
      </c>
      <c r="S44" s="59">
        <f t="shared" si="9"/>
        <v>-0.75575446053261663</v>
      </c>
      <c r="T44" s="59">
        <f t="shared" si="10"/>
        <v>8.5816017485354903E-2</v>
      </c>
      <c r="U44" s="23">
        <f t="shared" si="11"/>
        <v>44.298208631212084</v>
      </c>
      <c r="V44" s="59">
        <f t="shared" si="12"/>
        <v>6.1554095428345486</v>
      </c>
      <c r="W44" s="59">
        <f t="shared" si="13"/>
        <v>-0.69894755577775747</v>
      </c>
      <c r="AF44" s="59">
        <f t="shared" si="14"/>
        <v>-0.1135501303225868</v>
      </c>
      <c r="AG44" s="59">
        <f t="shared" si="15"/>
        <v>0.75973044479871232</v>
      </c>
      <c r="AH44" s="59">
        <f t="shared" si="16"/>
        <v>0.75973044479871232</v>
      </c>
      <c r="AJ44">
        <f t="shared" si="17"/>
        <v>0.38761757387689405</v>
      </c>
      <c r="AK44">
        <f t="shared" si="18"/>
        <v>2.5798623885861183</v>
      </c>
      <c r="AL44">
        <f t="shared" si="19"/>
        <v>-0.29294371043829381</v>
      </c>
      <c r="AN44" t="str">
        <f t="shared" si="31"/>
        <v>van Eijndhoven P</v>
      </c>
      <c r="AO44">
        <f t="shared" si="31"/>
        <v>2009</v>
      </c>
      <c r="AP44" t="str">
        <f t="shared" si="21"/>
        <v>van Eijndhoven P 2009</v>
      </c>
      <c r="AQ44">
        <f t="shared" si="22"/>
        <v>20</v>
      </c>
      <c r="AR44">
        <f t="shared" si="32"/>
        <v>498</v>
      </c>
      <c r="AS44">
        <f t="shared" si="32"/>
        <v>59</v>
      </c>
      <c r="AT44">
        <f t="shared" si="24"/>
        <v>10</v>
      </c>
      <c r="AU44">
        <f t="shared" si="33"/>
        <v>505</v>
      </c>
      <c r="AV44">
        <f t="shared" si="33"/>
        <v>62</v>
      </c>
      <c r="AW44" s="65">
        <f t="shared" si="26"/>
        <v>-0.1135501303225868</v>
      </c>
      <c r="AX44">
        <f t="shared" si="27"/>
        <v>0.38761757387689405</v>
      </c>
    </row>
    <row r="45" spans="1:51">
      <c r="U45" s="23"/>
    </row>
    <row r="46" spans="1:51">
      <c r="L46" t="s">
        <v>500</v>
      </c>
      <c r="N46" s="7"/>
      <c r="O46" s="66">
        <f>COUNT(O37:O44)</f>
        <v>8</v>
      </c>
      <c r="Q46" t="s">
        <v>885</v>
      </c>
      <c r="R46" s="59">
        <f t="shared" ref="R46:W46" si="35">SUM(R37:R44)</f>
        <v>81.348139652648101</v>
      </c>
      <c r="S46" s="59">
        <f t="shared" si="35"/>
        <v>-15.015468165120019</v>
      </c>
      <c r="T46" s="59">
        <f t="shared" si="35"/>
        <v>10.631126810343847</v>
      </c>
      <c r="U46" s="23">
        <f t="shared" si="35"/>
        <v>891.60394254209132</v>
      </c>
      <c r="V46" s="59">
        <f t="shared" si="35"/>
        <v>71.811415547070624</v>
      </c>
      <c r="W46" s="59">
        <f t="shared" si="35"/>
        <v>-13.329923560864158</v>
      </c>
    </row>
    <row r="47" spans="1:51">
      <c r="L47" t="s">
        <v>501</v>
      </c>
      <c r="N47" s="7"/>
      <c r="O47" s="2">
        <v>2</v>
      </c>
    </row>
    <row r="48" spans="1:51">
      <c r="N48" s="7"/>
      <c r="O48" s="7"/>
    </row>
    <row r="49" spans="7:34">
      <c r="G49" s="67" t="s">
        <v>502</v>
      </c>
      <c r="H49" s="40"/>
      <c r="I49" s="40">
        <f>S46/R46</f>
        <v>-0.18458280950535819</v>
      </c>
      <c r="J49" s="40"/>
      <c r="K49" s="68" t="s">
        <v>879</v>
      </c>
      <c r="L49" s="40"/>
      <c r="M49" s="42"/>
      <c r="N49" s="7"/>
      <c r="O49" s="69" t="s">
        <v>503</v>
      </c>
      <c r="P49" s="70">
        <f>T46-((S46^2)/R46)</f>
        <v>7.8595295103877287</v>
      </c>
      <c r="Q49" s="71" t="s">
        <v>824</v>
      </c>
      <c r="R49" s="28"/>
      <c r="S49" s="29"/>
      <c r="T49" s="30"/>
      <c r="U49" s="31"/>
      <c r="AF49" s="2" t="s">
        <v>1518</v>
      </c>
    </row>
    <row r="50" spans="7:34">
      <c r="G50" s="43" t="s">
        <v>504</v>
      </c>
      <c r="H50" s="31"/>
      <c r="I50" s="31">
        <f>1/R46</f>
        <v>1.2292844117516919E-2</v>
      </c>
      <c r="J50" s="31"/>
      <c r="K50" s="31"/>
      <c r="L50" s="31"/>
      <c r="M50" s="44"/>
      <c r="N50" s="7"/>
      <c r="O50" s="30" t="s">
        <v>505</v>
      </c>
      <c r="P50" s="31">
        <f>CHIDIST(P49,I54-1)</f>
        <v>0.34514338801834171</v>
      </c>
      <c r="Q50" s="31"/>
      <c r="R50" s="31"/>
      <c r="S50" s="34"/>
      <c r="T50" s="30"/>
      <c r="U50" s="31"/>
      <c r="AF50" s="2"/>
    </row>
    <row r="51" spans="7:34">
      <c r="G51" s="72" t="s">
        <v>506</v>
      </c>
      <c r="H51" s="31"/>
      <c r="I51" s="31">
        <f>$R$61*SQRT(I50)</f>
        <v>0.21731127435513556</v>
      </c>
      <c r="J51" s="31"/>
      <c r="K51" s="31" t="s">
        <v>507</v>
      </c>
      <c r="L51" s="31"/>
      <c r="M51" s="44">
        <f>ABS(I49/SQRT(I50))</f>
        <v>1.6648114908169389</v>
      </c>
      <c r="N51" s="7"/>
      <c r="O51" s="35" t="s">
        <v>508</v>
      </c>
      <c r="P51" s="37">
        <f>IF(((P49-(I54-1))/P49)&lt;0,0,100*((P49-(I54-1))/P49))</f>
        <v>10.93614457776018</v>
      </c>
      <c r="Q51" s="36"/>
      <c r="R51" s="36"/>
      <c r="S51" s="38"/>
      <c r="T51" s="30"/>
      <c r="U51" s="31"/>
      <c r="AF51" s="2" t="s">
        <v>1535</v>
      </c>
      <c r="AH51">
        <f>IF($D$6=1,100*((EXP(I49))-1),I49)</f>
        <v>-0.18458280950535819</v>
      </c>
    </row>
    <row r="52" spans="7:34">
      <c r="G52" s="45" t="s">
        <v>509</v>
      </c>
      <c r="H52" s="46"/>
      <c r="I52" s="46">
        <v>-2</v>
      </c>
      <c r="J52" s="46"/>
      <c r="K52" s="46" t="s">
        <v>825</v>
      </c>
      <c r="L52" s="46"/>
      <c r="M52" s="47">
        <f>2*(1-NORMDIST(M51,0,1,1))</f>
        <v>9.595037070666268E-2</v>
      </c>
      <c r="N52" s="7"/>
      <c r="O52" s="7"/>
      <c r="AF52" s="79" t="s">
        <v>834</v>
      </c>
      <c r="AH52">
        <f>IF($D$6=1,100*(EXP(I49+I51)-EXP(I49)),I51)</f>
        <v>0.21731127435513556</v>
      </c>
    </row>
    <row r="53" spans="7:34">
      <c r="G53" s="40"/>
      <c r="H53" s="40"/>
      <c r="I53" s="40"/>
      <c r="J53" s="40"/>
      <c r="K53" s="40"/>
      <c r="L53" s="40"/>
      <c r="M53" s="40"/>
      <c r="N53" s="7"/>
      <c r="O53" s="7"/>
      <c r="AF53" s="79" t="s">
        <v>835</v>
      </c>
      <c r="AH53">
        <f>IF($D$6=1,100*(EXP(I49)-EXP(I49-I51)),I51)</f>
        <v>0.21731127435513556</v>
      </c>
    </row>
    <row r="54" spans="7:34">
      <c r="G54" s="73" t="s">
        <v>1110</v>
      </c>
      <c r="H54" s="74"/>
      <c r="I54" s="74">
        <f>O46</f>
        <v>8</v>
      </c>
      <c r="J54" s="74"/>
      <c r="K54" s="75" t="s">
        <v>1167</v>
      </c>
      <c r="L54" s="74"/>
      <c r="M54" s="76"/>
      <c r="N54" s="77"/>
      <c r="O54" s="101" t="s">
        <v>1513</v>
      </c>
      <c r="P54" s="102"/>
      <c r="Q54" s="103"/>
      <c r="AF54" s="7"/>
    </row>
    <row r="55" spans="7:34">
      <c r="G55" s="77" t="s">
        <v>1531</v>
      </c>
      <c r="H55" s="31"/>
      <c r="I55" s="31">
        <f>R46/I54</f>
        <v>10.168517456581013</v>
      </c>
      <c r="J55" s="31"/>
      <c r="K55" s="31"/>
      <c r="L55" s="31"/>
      <c r="M55" s="78"/>
      <c r="N55" s="77"/>
      <c r="O55" s="104" t="s">
        <v>1514</v>
      </c>
      <c r="P55" s="31"/>
      <c r="Q55" s="105">
        <f>INDEX(LINEST(AL37:AL44,AK37:AK44,TRUE,TRUE),1,2)</f>
        <v>-0.73327064634959827</v>
      </c>
      <c r="AF55" s="2" t="s">
        <v>1687</v>
      </c>
      <c r="AH55">
        <f>IF($D$6=1,100*((EXP(I60))-1),I60)</f>
        <v>-0.18562401895735811</v>
      </c>
    </row>
    <row r="56" spans="7:34">
      <c r="G56" s="77" t="s">
        <v>1532</v>
      </c>
      <c r="H56" s="31"/>
      <c r="I56" s="31">
        <f>(1/(I54-1))*(U46-(I54*I55^2))</f>
        <v>9.2019949176784284</v>
      </c>
      <c r="J56" s="31"/>
      <c r="K56" s="31"/>
      <c r="L56" s="31"/>
      <c r="M56" s="78"/>
      <c r="N56" s="77"/>
      <c r="O56" s="104" t="s">
        <v>1516</v>
      </c>
      <c r="P56" s="31"/>
      <c r="Q56" s="105">
        <f>INDEX(LINEST(AL37:AL44,AK37:AK44,TRUE,TRUE),2,2)</f>
        <v>2.8671803294861196</v>
      </c>
      <c r="AF56" s="79" t="s">
        <v>834</v>
      </c>
      <c r="AG56" s="7"/>
      <c r="AH56">
        <f>IF($D$6=1,100*(EXP(I60+I62)-EXP(I60)),I62)</f>
        <v>0.23129131619552157</v>
      </c>
    </row>
    <row r="57" spans="7:34">
      <c r="G57" s="77" t="s">
        <v>1669</v>
      </c>
      <c r="H57" s="31"/>
      <c r="I57" s="31">
        <f>(I54-1)*(I55-(I56/(I54*I55)))</f>
        <v>70.387791372414654</v>
      </c>
      <c r="J57" s="31"/>
      <c r="K57" s="31"/>
      <c r="L57" s="31"/>
      <c r="M57" s="78"/>
      <c r="N57" s="77"/>
      <c r="O57" s="104" t="s">
        <v>1349</v>
      </c>
      <c r="P57" s="31"/>
      <c r="Q57" s="105">
        <f>ABS(Q55/Q56)</f>
        <v>0.25574626011787033</v>
      </c>
      <c r="AF57" s="79" t="s">
        <v>835</v>
      </c>
      <c r="AH57">
        <f>IF($D$6=1,100*(EXP(I60)-EXP(I60-I62)),I62)</f>
        <v>0.23129131619552157</v>
      </c>
    </row>
    <row r="58" spans="7:34">
      <c r="G58" s="77" t="s">
        <v>1685</v>
      </c>
      <c r="H58" s="31"/>
      <c r="I58" s="31">
        <f>IF(P49&gt;(I54-1),(P49-(I54-1))/I57,0)</f>
        <v>1.2211343666688523E-2</v>
      </c>
      <c r="J58" s="31"/>
      <c r="K58" s="31"/>
      <c r="L58" s="31"/>
      <c r="M58" s="78"/>
      <c r="N58" s="77"/>
      <c r="O58" s="106" t="s">
        <v>1515</v>
      </c>
      <c r="P58" s="107"/>
      <c r="Q58" s="108">
        <f>TDIST(Q57,I54-2,2)</f>
        <v>0.80668863780460909</v>
      </c>
    </row>
    <row r="59" spans="7:34">
      <c r="G59" s="77"/>
      <c r="H59" s="31"/>
      <c r="I59" s="31"/>
      <c r="J59" s="31"/>
      <c r="K59" s="31"/>
      <c r="L59" s="31"/>
      <c r="M59" s="78"/>
      <c r="N59" s="77"/>
    </row>
    <row r="60" spans="7:34">
      <c r="G60" s="77" t="s">
        <v>1686</v>
      </c>
      <c r="H60" s="31"/>
      <c r="I60" s="31">
        <f>W46/V46</f>
        <v>-0.18562401895735811</v>
      </c>
      <c r="J60" s="31"/>
      <c r="N60" s="77"/>
    </row>
    <row r="61" spans="7:34">
      <c r="G61" s="77" t="s">
        <v>504</v>
      </c>
      <c r="H61" s="31"/>
      <c r="I61" s="31">
        <f>1/V46</f>
        <v>1.3925362595652004E-2</v>
      </c>
      <c r="J61" s="31"/>
      <c r="N61" s="77"/>
      <c r="O61" t="s">
        <v>805</v>
      </c>
      <c r="R61">
        <v>1.96</v>
      </c>
    </row>
    <row r="62" spans="7:34">
      <c r="G62" s="80" t="s">
        <v>506</v>
      </c>
      <c r="H62" s="31"/>
      <c r="I62" s="31">
        <f>$R$61*SQRT(I61)</f>
        <v>0.23129131619552157</v>
      </c>
      <c r="J62" s="31"/>
      <c r="K62" s="31" t="s">
        <v>507</v>
      </c>
      <c r="L62" s="31"/>
      <c r="M62" s="78">
        <f>ABS(I60/(SQRT(I61)))</f>
        <v>1.573007941417329</v>
      </c>
      <c r="N62" s="77"/>
    </row>
    <row r="63" spans="7:34">
      <c r="G63" s="81" t="s">
        <v>509</v>
      </c>
      <c r="H63" s="82"/>
      <c r="I63" s="82">
        <v>-3</v>
      </c>
      <c r="J63" s="82"/>
      <c r="K63" s="31" t="s">
        <v>825</v>
      </c>
      <c r="L63" s="31"/>
      <c r="M63" s="78">
        <f>2*(1-NORMDIST(M62,0,1,1))</f>
        <v>0.11571697938249859</v>
      </c>
      <c r="N63" s="77"/>
    </row>
    <row r="64" spans="7:34">
      <c r="G64" s="74"/>
      <c r="H64" s="74"/>
      <c r="I64" s="74"/>
      <c r="J64" s="74"/>
      <c r="K64" s="74"/>
      <c r="L64" s="74"/>
      <c r="M64" s="74"/>
      <c r="N64" s="31"/>
      <c r="O64" s="7"/>
    </row>
  </sheetData>
  <phoneticPr fontId="10" type="noConversion"/>
  <conditionalFormatting sqref="D17 D13 F13">
    <cfRule type="cellIs" dxfId="130" priority="0" stopIfTrue="1" operator="lessThan">
      <formula>0.05</formula>
    </cfRule>
  </conditionalFormatting>
  <conditionalFormatting sqref="D21">
    <cfRule type="cellIs" dxfId="12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sheetPr published="0" codeName="Sheet33" enableFormatConditionsCalculation="0"/>
  <dimension ref="A1:BM6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782</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I54-O47</f>
        <v>8</v>
      </c>
      <c r="AD7" s="89"/>
    </row>
    <row r="8" spans="2:30">
      <c r="B8" t="s">
        <v>822</v>
      </c>
      <c r="D8">
        <f>SUM(H24:H31)</f>
        <v>347</v>
      </c>
      <c r="AD8" s="89"/>
    </row>
    <row r="9" spans="2:30">
      <c r="B9" t="s">
        <v>823</v>
      </c>
      <c r="D9">
        <f>SUM(I24:I31)</f>
        <v>258</v>
      </c>
      <c r="AD9" s="89"/>
    </row>
    <row r="11" spans="2:30">
      <c r="B11" s="27" t="s">
        <v>516</v>
      </c>
      <c r="C11" s="28"/>
      <c r="D11" s="109">
        <f>P49</f>
        <v>4.2328881248621313</v>
      </c>
      <c r="E11" s="110" t="s">
        <v>1513</v>
      </c>
      <c r="F11" s="103"/>
    </row>
    <row r="12" spans="2:30">
      <c r="B12" s="30" t="s">
        <v>826</v>
      </c>
      <c r="C12" s="31"/>
      <c r="D12" s="112">
        <f>P51</f>
        <v>0</v>
      </c>
      <c r="E12" s="31"/>
      <c r="F12" s="105"/>
    </row>
    <row r="13" spans="2:30">
      <c r="B13" s="35" t="s">
        <v>825</v>
      </c>
      <c r="C13" s="36"/>
      <c r="D13" s="113">
        <f>P50</f>
        <v>0.75259651761986646</v>
      </c>
      <c r="E13" s="111" t="s">
        <v>825</v>
      </c>
      <c r="F13" s="115">
        <f>Q58</f>
        <v>0.52388742628746066</v>
      </c>
    </row>
    <row r="15" spans="2:30">
      <c r="B15" s="39" t="s">
        <v>879</v>
      </c>
      <c r="C15" s="40"/>
      <c r="D15" s="41">
        <f>AH51</f>
        <v>-7.4176348937761941E-2</v>
      </c>
      <c r="E15" s="116"/>
    </row>
    <row r="16" spans="2:30">
      <c r="B16" s="43" t="s">
        <v>1165</v>
      </c>
      <c r="C16" s="31"/>
      <c r="D16" s="33">
        <f>AH51-AH53</f>
        <v>-0.24573635205684363</v>
      </c>
      <c r="E16" s="117">
        <f>AH51+AH52</f>
        <v>9.7383654181319765E-2</v>
      </c>
    </row>
    <row r="17" spans="1:65">
      <c r="B17" s="45" t="s">
        <v>1166</v>
      </c>
      <c r="C17" s="46"/>
      <c r="D17" s="123">
        <f>M52</f>
        <v>0.39675370097326845</v>
      </c>
      <c r="E17" s="118"/>
    </row>
    <row r="18" spans="1:65">
      <c r="D18" s="48"/>
      <c r="F18" s="49"/>
    </row>
    <row r="19" spans="1:65">
      <c r="B19" s="50" t="s">
        <v>1167</v>
      </c>
      <c r="C19" s="51"/>
      <c r="D19" s="52">
        <f>AH55</f>
        <v>-7.4176348937761941E-2</v>
      </c>
      <c r="E19" s="120"/>
      <c r="F19" s="33"/>
      <c r="G19" s="31"/>
    </row>
    <row r="20" spans="1:65">
      <c r="B20" s="53" t="s">
        <v>1165</v>
      </c>
      <c r="C20" s="31"/>
      <c r="D20" s="33">
        <f>AH55-AH57</f>
        <v>-0.24573635205684363</v>
      </c>
      <c r="E20" s="121">
        <f>AH55+AH56</f>
        <v>9.7383654181319765E-2</v>
      </c>
      <c r="F20" s="31"/>
      <c r="G20" s="31"/>
    </row>
    <row r="21" spans="1:65">
      <c r="B21" s="54" t="s">
        <v>1440</v>
      </c>
      <c r="C21" s="55"/>
      <c r="D21" s="114">
        <f>M63</f>
        <v>0.39675370097326845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10710164</v>
      </c>
      <c r="C24" s="1" t="str">
        <f>IF($B24="","",HYPERLINK(IF(LEN(VLOOKUP($B24,Database!$B$1:$IX$10144,2,FALSE))=0,"",VLOOKUP($B24,Database!$B$1:$IX$10144,2,FALSE))))</f>
        <v/>
      </c>
      <c r="D24" s="1" t="str">
        <f t="shared" ref="D24:D30" si="0">IF($B24="","",HYPERLINK(CONCATENATE("http://www.ncbi.nlm.nih.gov/pubmed/",B24)))</f>
        <v>http://www.ncbi.nlm.nih.gov/pubmed/10710164</v>
      </c>
      <c r="E24" s="22" t="str">
        <f>IF($B24="","",IF(LEN(VLOOKUP($B24,Database!$B$1:$IX$10144,4,FALSE))=0,"",VLOOKUP($B24,Database!$B$1:$IX$10144,4,FALSE)))</f>
        <v>Pillay SS</v>
      </c>
      <c r="F24" s="22">
        <f>IF($B24="","",IF(LEN(VLOOKUP($B24,Database!$B$1:$IX$10144,5,FALSE))=0,"",VLOOKUP($B24,Database!$B$1:$IX$10144,5,FALSE)))</f>
        <v>1998</v>
      </c>
      <c r="G24" s="1" t="str">
        <f>IF($B24="","",HYPERLINK(IF(LEN(VLOOKUP($B24,Database!$B$1:$IX$10144,6,FALSE))=0,"",VLOOKUP($B24,Database!$B$1:$IX$10144,6,FALSE))))</f>
        <v>http://dx.doi.org/10.1016/S0925-4927(98)00048-1</v>
      </c>
      <c r="H24" s="22">
        <f>IF($B24="","",IF(LEN(VLOOKUP($B24,Database!$B$1:$IX$10144,7,FALSE))=0,"",VLOOKUP($B24,Database!$B$1:$IX$10144,7,FALSE)))</f>
        <v>38</v>
      </c>
      <c r="I24" s="22">
        <f>IF($B24="","",IF(LEN(VLOOKUP($B24,Database!$B$1:$IX$10144,8,FALSE))=0,"",VLOOKUP($B24,Database!$B$1:$IX$10144,8,FALSE)))</f>
        <v>20</v>
      </c>
      <c r="J24" t="s">
        <v>583</v>
      </c>
      <c r="L24">
        <v>4.5999999999999996</v>
      </c>
      <c r="M24">
        <v>0.7</v>
      </c>
      <c r="N24">
        <v>4.5999999999999996</v>
      </c>
      <c r="O24">
        <v>0.6</v>
      </c>
      <c r="P24">
        <v>4.4000000000000004</v>
      </c>
      <c r="Q24">
        <v>0.7</v>
      </c>
      <c r="R24">
        <v>4.4000000000000004</v>
      </c>
      <c r="S24">
        <v>0.4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38.5</v>
      </c>
      <c r="AC24" s="22">
        <f>IF(OR($B24="",AC$22=""),"",IF(LEN(VLOOKUP($B24,Database!$B$1:$IX$10144,AC$22,FALSE))=0,"",VLOOKUP($B24,Database!$B$1:$IX$10144,AC$22,FALSE)))</f>
        <v>10</v>
      </c>
      <c r="AD24" s="22">
        <f>IF(OR($B24="",AD$22=""),"",IF(LEN(VLOOKUP($B24,Database!$B$1:$IX$10144,AD$22,FALSE))=0,"",VLOOKUP($B24,Database!$B$1:$IX$10144,AD$22,FALSE)))</f>
        <v>40.299999999999997</v>
      </c>
      <c r="AE24" s="22">
        <f>IF(OR($B24="",AE$22=""),"",IF(LEN(VLOOKUP($B24,Database!$B$1:$IX$10144,AE$22,FALSE))=0,"",VLOOKUP($B24,Database!$B$1:$IX$10144,AE$22,FALSE)))</f>
        <v>10.4</v>
      </c>
      <c r="AF24" s="22">
        <f>IF(OR($B24="",AF$22=""),"",IF(LEN(VLOOKUP($B24,Database!$B$1:$IX$10144,AF$22,FALSE))=0,"",VLOOKUP($B24,Database!$B$1:$IX$10144,AF$22,FALSE)))</f>
        <v>21</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20.6</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Pillay SS, Renshaw PF, Bonello CM, Lafer BC, Fava M, Yurgelun-Todd D.</v>
      </c>
      <c r="AR24" s="13"/>
      <c r="AX24" s="13"/>
      <c r="AY24" s="13"/>
      <c r="AZ24" s="13"/>
      <c r="BA24" s="13"/>
      <c r="BC24" s="23"/>
      <c r="BF24" s="136"/>
      <c r="BG24" s="136"/>
      <c r="BH24" s="136"/>
      <c r="BI24" s="136"/>
    </row>
    <row r="25" spans="1:65">
      <c r="B25">
        <v>10588417</v>
      </c>
      <c r="C25" s="1" t="str">
        <f>IF($B25="","",HYPERLINK(IF(LEN(VLOOKUP($B25,Database!$B$1:$IX$10144,2,FALSE))=0,"",VLOOKUP($B25,Database!$B$1:$IX$10144,2,FALSE))))</f>
        <v/>
      </c>
      <c r="D25" s="1" t="str">
        <f t="shared" si="0"/>
        <v>http://www.ncbi.nlm.nih.gov/pubmed/10588417</v>
      </c>
      <c r="E25" s="22" t="str">
        <f>IF($B25="","",IF(LEN(VLOOKUP($B25,Database!$B$1:$IX$10144,4,FALSE))=0,"",VLOOKUP($B25,Database!$B$1:$IX$10144,4,FALSE)))</f>
        <v>Lenze EJ (B)</v>
      </c>
      <c r="F25" s="22">
        <f>IF($B25="","",IF(LEN(VLOOKUP($B25,Database!$B$1:$IX$10144,5,FALSE))=0,"",VLOOKUP($B25,Database!$B$1:$IX$10144,5,FALSE)))</f>
        <v>1999</v>
      </c>
      <c r="G25" s="1" t="str">
        <f>IF($B25="","",HYPERLINK(IF(LEN(VLOOKUP($B25,Database!$B$1:$IX$10144,6,FALSE))=0,"",VLOOKUP($B25,Database!$B$1:$IX$10144,6,FALSE))))</f>
        <v>http://ajp.psychiatryonline.org/cgi/reprint/156/12/1989</v>
      </c>
      <c r="H25" s="22">
        <f>IF($B25="","",IF(LEN(VLOOKUP($B25,Database!$B$1:$IX$10144,7,FALSE))=0,"",VLOOKUP($B25,Database!$B$1:$IX$10144,7,FALSE)))</f>
        <v>24</v>
      </c>
      <c r="I25" s="22">
        <f>IF($B25="","",IF(LEN(VLOOKUP($B25,Database!$B$1:$IX$10144,8,FALSE))=0,"",VLOOKUP($B25,Database!$B$1:$IX$10144,8,FALSE)))</f>
        <v>24</v>
      </c>
      <c r="J25" t="s">
        <v>584</v>
      </c>
      <c r="L25">
        <v>3.34</v>
      </c>
      <c r="M25">
        <v>0.69</v>
      </c>
      <c r="N25">
        <v>3.19</v>
      </c>
      <c r="O25">
        <v>0.59</v>
      </c>
      <c r="P25">
        <v>3.38</v>
      </c>
      <c r="Q25">
        <v>0.63</v>
      </c>
      <c r="R25">
        <v>3.21</v>
      </c>
      <c r="S25">
        <v>0.56999999999999995</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53</v>
      </c>
      <c r="AC25" s="22" t="str">
        <f>IF(OR($B25="",AC$22=""),"",IF(LEN(VLOOKUP($B25,Database!$B$1:$IX$10144,AC$22,FALSE))=0,"",VLOOKUP($B25,Database!$B$1:$IX$10144,AC$22,FALSE)))</f>
        <v>ns</v>
      </c>
      <c r="AD25" s="22">
        <f>IF(OR($B25="",AD$22=""),"",IF(LEN(VLOOKUP($B25,Database!$B$1:$IX$10144,AD$22,FALSE))=0,"",VLOOKUP($B25,Database!$B$1:$IX$10144,AD$22,FALSE)))</f>
        <v>53</v>
      </c>
      <c r="AE25" s="22" t="str">
        <f>IF(OR($B25="",AE$22=""),"",IF(LEN(VLOOKUP($B25,Database!$B$1:$IX$10144,AE$22,FALSE))=0,"",VLOOKUP($B25,Database!$B$1:$IX$10144,AE$22,FALSE)))</f>
        <v>ns</v>
      </c>
      <c r="AF25" s="22">
        <f>IF(OR($B25="",AF$22=""),"",IF(LEN(VLOOKUP($B25,Database!$B$1:$IX$10144,AF$22,FALSE))=0,"",VLOOKUP($B25,Database!$B$1:$IX$10144,AF$22,FALSE)))</f>
        <v>24</v>
      </c>
      <c r="AG25" s="22">
        <f>IF(OR($B25="",AG$22=""),"",IF(LEN(VLOOKUP($B25,Database!$B$1:$IX$10144,AG$22,FALSE))=0,"",VLOOKUP($B25,Database!$B$1:$IX$10144,AG$22,FALSE)))</f>
        <v>24</v>
      </c>
      <c r="AH25" s="22" t="str">
        <f>IF(OR($B25="",AH$22=""),"",IF(LEN(VLOOKUP($B25,Database!$B$1:$IX$10144,AH$22,FALSE))=0,"",VLOOKUP($B25,Database!$B$1:$IX$10144,AH$22,FALSE)))</f>
        <v/>
      </c>
      <c r="AI25" s="22">
        <f>IF(OR($B25="",AI$22=""),"",IF(LEN(VLOOKUP($B25,Database!$B$1:$IX$10144,AI$22,FALSE))=0,"",VLOOKUP($B25,Database!$B$1:$IX$10144,AI$22,FALSE)))</f>
        <v>1.25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Lenze EJ, Sheline YI.</v>
      </c>
      <c r="AR25" s="13"/>
      <c r="AX25" s="13"/>
      <c r="AY25" s="13"/>
      <c r="AZ25" s="13"/>
      <c r="BA25" s="13"/>
      <c r="BC25" s="23"/>
      <c r="BF25" s="136"/>
      <c r="BG25" s="136"/>
      <c r="BH25" s="136"/>
      <c r="BI25" s="136"/>
    </row>
    <row r="26" spans="1:65">
      <c r="B26">
        <v>10618023</v>
      </c>
      <c r="C26" s="1" t="str">
        <f>IF($B26="","",HYPERLINK(IF(LEN(VLOOKUP($B26,Database!$B$1:$IX$10144,2,FALSE))=0,"",VLOOKUP($B26,Database!$B$1:$IX$10144,2,FALSE))))</f>
        <v/>
      </c>
      <c r="D26" s="1" t="str">
        <f t="shared" si="0"/>
        <v>http://www.ncbi.nlm.nih.gov/pubmed/10618023</v>
      </c>
      <c r="E26" s="22" t="str">
        <f>IF($B26="","",IF(LEN(VLOOKUP($B26,Database!$B$1:$IX$10144,4,FALSE))=0,"",VLOOKUP($B26,Database!$B$1:$IX$10144,4,FALSE)))</f>
        <v>Bremner JD</v>
      </c>
      <c r="F26" s="22">
        <f>IF($B26="","",IF(LEN(VLOOKUP($B26,Database!$B$1:$IX$10144,5,FALSE))=0,"",VLOOKUP($B26,Database!$B$1:$IX$10144,5,FALSE)))</f>
        <v>2000</v>
      </c>
      <c r="G26" s="1" t="str">
        <f>IF($B26="","",HYPERLINK(IF(LEN(VLOOKUP($B26,Database!$B$1:$IX$10144,6,FALSE))=0,"",VLOOKUP($B26,Database!$B$1:$IX$10144,6,FALSE))))</f>
        <v>http://ajp.psychiatryonline.org/cgi/reprint/157/1/115</v>
      </c>
      <c r="H26" s="22">
        <f>IF($B26="","",IF(LEN(VLOOKUP($B26,Database!$B$1:$IX$10144,7,FALSE))=0,"",VLOOKUP($B26,Database!$B$1:$IX$10144,7,FALSE)))</f>
        <v>16</v>
      </c>
      <c r="I26" s="22">
        <f>IF($B26="","",IF(LEN(VLOOKUP($B26,Database!$B$1:$IX$10144,8,FALSE))=0,"",VLOOKUP($B26,Database!$B$1:$IX$10144,8,FALSE)))</f>
        <v>16</v>
      </c>
      <c r="J26" t="s">
        <v>1689</v>
      </c>
      <c r="K26" s="13" t="s">
        <v>585</v>
      </c>
      <c r="L26">
        <v>2668</v>
      </c>
      <c r="M26">
        <v>710</v>
      </c>
      <c r="N26">
        <v>2767</v>
      </c>
      <c r="O26">
        <v>571</v>
      </c>
      <c r="P26">
        <v>2712</v>
      </c>
      <c r="Q26">
        <v>765</v>
      </c>
      <c r="R26">
        <v>2802</v>
      </c>
      <c r="S26">
        <v>613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v>
      </c>
      <c r="AC26" s="22">
        <f>IF(OR($B26="",AC$22=""),"",IF(LEN(VLOOKUP($B26,Database!$B$1:$IX$10144,AC$22,FALSE))=0,"",VLOOKUP($B26,Database!$B$1:$IX$10144,AC$22,FALSE)))</f>
        <v>8</v>
      </c>
      <c r="AD26" s="22">
        <f>IF(OR($B26="",AD$22=""),"",IF(LEN(VLOOKUP($B26,Database!$B$1:$IX$10144,AD$22,FALSE))=0,"",VLOOKUP($B26,Database!$B$1:$IX$10144,AD$22,FALSE)))</f>
        <v>45</v>
      </c>
      <c r="AE26" s="22">
        <f>IF(OR($B26="",AE$22=""),"",IF(LEN(VLOOKUP($B26,Database!$B$1:$IX$10144,AE$22,FALSE))=0,"",VLOOKUP($B26,Database!$B$1:$IX$10144,AE$22,FALSE)))</f>
        <v>10</v>
      </c>
      <c r="AF26" s="22">
        <f>IF(OR($B26="",AF$22=""),"",IF(LEN(VLOOKUP($B26,Database!$B$1:$IX$10144,AF$22,FALSE))=0,"",VLOOKUP($B26,Database!$B$1:$IX$10144,AF$22,FALSE)))</f>
        <v>6</v>
      </c>
      <c r="AG26" s="22">
        <f>IF(OR($B26="",AG$22=""),"",IF(LEN(VLOOKUP($B26,Database!$B$1:$IX$10144,AG$22,FALSE))=0,"",VLOOKUP($B26,Database!$B$1:$IX$10144,AG$22,FALSE)))</f>
        <v>6</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f>IF(OR($B26="",AM$22=""),"",IF(LEN(VLOOKUP($B26,Database!$B$1:$IX$10144,AM$22,FALSE))=0,"",VLOOKUP($B26,Database!$B$1:$IX$10144,AM$22,FALSE)))</f>
        <v>100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0</v>
      </c>
      <c r="AQ26" s="22" t="str">
        <f>IF(OR($B26="",AQ$22=""),"",IF(LEN(VLOOKUP($B26,Database!$B$1:$IX$10144,AQ$22,FALSE))=0,"",VLOOKUP($B26,Database!$B$1:$IX$10144,AQ$22,FALSE)))</f>
        <v>Bremner JD, Narayan M, Anderson ER, Staib LH, Miller HL, Charney DS.</v>
      </c>
      <c r="AR26" s="13"/>
      <c r="AX26" s="13"/>
      <c r="AY26" s="13"/>
      <c r="AZ26" s="13"/>
      <c r="BA26" s="13"/>
      <c r="BC26" s="23"/>
      <c r="BF26" s="136"/>
      <c r="BG26" s="136"/>
      <c r="BH26" s="136"/>
      <c r="BI26" s="136"/>
    </row>
    <row r="27" spans="1:65">
      <c r="B27">
        <v>11200955</v>
      </c>
      <c r="C27" s="1" t="str">
        <f>IF($B27="","",HYPERLINK(IF(LEN(VLOOKUP($B27,Database!$B$1:$IX$10144,2,FALSE))=0,"",VLOOKUP($B27,Database!$B$1:$IX$10144,2,FALSE))))</f>
        <v/>
      </c>
      <c r="D27" s="1" t="str">
        <f t="shared" si="0"/>
        <v>http://www.ncbi.nlm.nih.gov/pubmed/11200955</v>
      </c>
      <c r="E27" s="22" t="str">
        <f>IF($B27="","",IF(LEN(VLOOKUP($B27,Database!$B$1:$IX$10144,4,FALSE))=0,"",VLOOKUP($B27,Database!$B$1:$IX$10144,4,FALSE)))</f>
        <v>McIntosh AM</v>
      </c>
      <c r="F27" s="22">
        <f>IF($B27="","",IF(LEN(VLOOKUP($B27,Database!$B$1:$IX$10144,5,FALSE))=0,"",VLOOKUP($B27,Database!$B$1:$IX$10144,5,FALSE)))</f>
        <v>2001</v>
      </c>
      <c r="G27" s="1" t="str">
        <f>IF($B27="","",HYPERLINK(IF(LEN(VLOOKUP($B27,Database!$B$1:$IX$10144,6,FALSE))=0,"",VLOOKUP($B27,Database!$B$1:$IX$10144,6,FALSE))))</f>
        <v>http://dx.doi.org/10.1017/S0033291799003177</v>
      </c>
      <c r="H27" s="22">
        <f>IF($B27="","",IF(LEN(VLOOKUP($B27,Database!$B$1:$IX$10144,7,FALSE))=0,"",VLOOKUP($B27,Database!$B$1:$IX$10144,7,FALSE)))</f>
        <v>9</v>
      </c>
      <c r="I27" s="22">
        <f>IF($B27="","",IF(LEN(VLOOKUP($B27,Database!$B$1:$IX$10144,8,FALSE))=0,"",VLOOKUP($B27,Database!$B$1:$IX$10144,8,FALSE)))</f>
        <v>29</v>
      </c>
      <c r="J27" t="s">
        <v>144</v>
      </c>
      <c r="L27">
        <v>4267</v>
      </c>
      <c r="M27">
        <v>506</v>
      </c>
      <c r="N27">
        <v>4336</v>
      </c>
      <c r="O27">
        <v>447</v>
      </c>
      <c r="P27">
        <v>4126</v>
      </c>
      <c r="Q27">
        <v>449</v>
      </c>
      <c r="R27">
        <v>4221</v>
      </c>
      <c r="S27">
        <v>513</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43.56</v>
      </c>
      <c r="AC27" s="22">
        <f>IF(OR($B27="",AC$22=""),"",IF(LEN(VLOOKUP($B27,Database!$B$1:$IX$10144,AC$22,FALSE))=0,"",VLOOKUP($B27,Database!$B$1:$IX$10144,AC$22,FALSE)))</f>
        <v>9.3800000000000008</v>
      </c>
      <c r="AD27" s="22">
        <f>IF(OR($B27="",AD$22=""),"",IF(LEN(VLOOKUP($B27,Database!$B$1:$IX$10144,AD$22,FALSE))=0,"",VLOOKUP($B27,Database!$B$1:$IX$10144,AD$22,FALSE)))</f>
        <v>42.76</v>
      </c>
      <c r="AE27" s="22">
        <f>IF(OR($B27="",AE$22=""),"",IF(LEN(VLOOKUP($B27,Database!$B$1:$IX$10144,AE$22,FALSE))=0,"",VLOOKUP($B27,Database!$B$1:$IX$10144,AE$22,FALSE)))</f>
        <v>9.91</v>
      </c>
      <c r="AF27" s="22">
        <f>IF(OR($B27="",AF$22=""),"",IF(LEN(VLOOKUP($B27,Database!$B$1:$IX$10144,AF$22,FALSE))=0,"",VLOOKUP($B27,Database!$B$1:$IX$10144,AF$22,FALSE)))</f>
        <v>5</v>
      </c>
      <c r="AG27" s="22">
        <f>IF(OR($B27="",AG$22=""),"",IF(LEN(VLOOKUP($B27,Database!$B$1:$IX$10144,AG$22,FALSE))=0,"",VLOOKUP($B27,Database!$B$1:$IX$10144,AG$22,FALSE)))</f>
        <v>16</v>
      </c>
      <c r="AH27" s="22">
        <f>IF(OR($B27="",AH$22=""),"",IF(LEN(VLOOKUP($B27,Database!$B$1:$IX$10144,AH$22,FALSE))=0,"",VLOOKUP($B27,Database!$B$1:$IX$10144,AH$22,FALSE)))</f>
        <v>1</v>
      </c>
      <c r="AI27" s="22">
        <f>IF(OR($B27="",AI$22=""),"",IF(LEN(VLOOKUP($B27,Database!$B$1:$IX$10144,AI$22,FALSE))=0,"",VLOOKUP($B27,Database!$B$1:$IX$10144,AI$22,FALSE)))</f>
        <v>1.88</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 M. McINTOSH, A. FORRESTER, S.M. LAWRIE, M. BYRNE, A. HARPER, J. N. KESTELMAN, J. J. K. BEST, P. MILLER, E. C. JOHNSTONE and D. G. C. OWENS</v>
      </c>
      <c r="AR27" s="13"/>
      <c r="AX27" s="13"/>
      <c r="AY27" s="13"/>
      <c r="AZ27" s="13"/>
      <c r="BA27" s="13"/>
      <c r="BC27" s="23"/>
      <c r="BF27" s="136"/>
      <c r="BG27" s="136"/>
      <c r="BH27" s="136"/>
      <c r="BI27" s="136"/>
    </row>
    <row r="28" spans="1:65">
      <c r="A28" s="13" t="s">
        <v>2334</v>
      </c>
      <c r="B28">
        <v>14623065</v>
      </c>
      <c r="C28" s="1" t="str">
        <f>IF($B28="","",HYPERLINK(IF(LEN(VLOOKUP($B28,Database!$B$1:$IX$10144,2,FALSE))=0,"",VLOOKUP($B28,Database!$B$1:$IX$10144,2,FALSE))))</f>
        <v/>
      </c>
      <c r="D28" s="1" t="str">
        <f t="shared" si="0"/>
        <v>http://www.ncbi.nlm.nih.gov/pubmed/14623065</v>
      </c>
      <c r="E28" s="22" t="str">
        <f>IF($B28="","",IF(LEN(VLOOKUP($B28,Database!$B$1:$IX$10144,4,FALSE))=0,"",VLOOKUP($B28,Database!$B$1:$IX$10144,4,FALSE)))</f>
        <v>Lacerda AL</v>
      </c>
      <c r="F28" s="22">
        <f>IF($B28="","",IF(LEN(VLOOKUP($B28,Database!$B$1:$IX$10144,5,FALSE))=0,"",VLOOKUP($B28,Database!$B$1:$IX$10144,5,FALSE)))</f>
        <v>2003</v>
      </c>
      <c r="G28" s="1" t="str">
        <f>IF($B28="","",HYPERLINK(IF(LEN(VLOOKUP($B28,Database!$B$1:$IX$10144,6,FALSE))=0,"",VLOOKUP($B28,Database!$B$1:$IX$10144,6,FALSE))))</f>
        <v>http://dx.doi.org/10.1016/S0925-4927(03)00123-9</v>
      </c>
      <c r="H28" s="22">
        <f>IF($B28="","",IF(LEN(VLOOKUP($B28,Database!$B$1:$IX$10144,7,FALSE))=0,"",VLOOKUP($B28,Database!$B$1:$IX$10144,7,FALSE)))</f>
        <v>25</v>
      </c>
      <c r="I28" s="22">
        <f>IF($B28="","",IF(LEN(VLOOKUP($B28,Database!$B$1:$IX$10144,8,FALSE))=0,"",VLOOKUP($B28,Database!$B$1:$IX$10144,8,FALSE)))</f>
        <v>48</v>
      </c>
      <c r="J28" t="s">
        <v>1589</v>
      </c>
      <c r="L28">
        <v>2.63</v>
      </c>
      <c r="M28">
        <v>0.42</v>
      </c>
      <c r="N28">
        <v>2.82</v>
      </c>
      <c r="O28">
        <v>0.5</v>
      </c>
      <c r="P28">
        <v>2.36</v>
      </c>
      <c r="Q28">
        <v>0.54</v>
      </c>
      <c r="R28">
        <v>2.46</v>
      </c>
      <c r="S28">
        <v>0.56000000000000005</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41.2</v>
      </c>
      <c r="AC28" s="22">
        <f>IF(OR($B28="",AC$22=""),"",IF(LEN(VLOOKUP($B28,Database!$B$1:$IX$10144,AC$22,FALSE))=0,"",VLOOKUP($B28,Database!$B$1:$IX$10144,AC$22,FALSE)))</f>
        <v>11.04</v>
      </c>
      <c r="AD28" s="22">
        <f>IF(OR($B28="",AD$22=""),"",IF(LEN(VLOOKUP($B28,Database!$B$1:$IX$10144,AD$22,FALSE))=0,"",VLOOKUP($B28,Database!$B$1:$IX$10144,AD$22,FALSE)))</f>
        <v>35.06</v>
      </c>
      <c r="AE28" s="22">
        <f>IF(OR($B28="",AE$22=""),"",IF(LEN(VLOOKUP($B28,Database!$B$1:$IX$10144,AE$22,FALSE))=0,"",VLOOKUP($B28,Database!$B$1:$IX$10144,AE$22,FALSE)))</f>
        <v>10.029999999999999</v>
      </c>
      <c r="AF28" s="22">
        <f>IF(OR($B28="",AF$22=""),"",IF(LEN(VLOOKUP($B28,Database!$B$1:$IX$10144,AF$22,FALSE))=0,"",VLOOKUP($B28,Database!$B$1:$IX$10144,AF$22,FALSE)))</f>
        <v>4</v>
      </c>
      <c r="AG28" s="22">
        <f>IF(OR($B28="",AG$22=""),"",IF(LEN(VLOOKUP($B28,Database!$B$1:$IX$10144,AG$22,FALSE))=0,"",VLOOKUP($B28,Database!$B$1:$IX$10144,AG$22,FALSE)))</f>
        <v>29</v>
      </c>
      <c r="AH28" s="22">
        <f>IF(OR($B28="",AH$22=""),"",IF(LEN(VLOOKUP($B28,Database!$B$1:$IX$10144,AH$22,FALSE))=0,"",VLOOKUP($B28,Database!$B$1:$IX$10144,AH$22,FALSE)))</f>
        <v>1.5</v>
      </c>
      <c r="AI28" s="22">
        <f>IF(OR($B28="",AI$22=""),"",IF(LEN(VLOOKUP($B28,Database!$B$1:$IX$10144,AI$22,FALSE))=0,"",VLOOKUP($B28,Database!$B$1:$IX$10144,AI$22,FALSE)))</f>
        <v>5</v>
      </c>
      <c r="AJ28" s="22" t="str">
        <f>IF(OR($B28="",AJ$22=""),"",IF(LEN(VLOOKUP($B28,Database!$B$1:$IX$10144,AJ$22,FALSE))=0,"",VLOOKUP($B28,Database!$B$1:$IX$10144,AJ$22,FALSE)))</f>
        <v/>
      </c>
      <c r="AK28" s="22">
        <f>IF(OR($B28="",AK$22=""),"",IF(LEN(VLOOKUP($B28,Database!$B$1:$IX$10144,AK$22,FALSE))=0,"",VLOOKUP($B28,Database!$B$1:$IX$10144,AK$22,FALSE)))</f>
        <v>29.44</v>
      </c>
      <c r="AL28" s="22">
        <f>IF(OR($B28="",AL$22=""),"",IF(LEN(VLOOKUP($B28,Database!$B$1:$IX$10144,AL$22,FALSE))=0,"",VLOOKUP($B28,Database!$B$1:$IX$10144,AL$22,FALSE)))</f>
        <v>10.91</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Lacerda AL, Nicoletti MA, Brambilla P, Sassi RB, Mallinger AG, Frank E, Kupfer DJ, Keshavan MS, Soares JC.</v>
      </c>
      <c r="AR28" s="13"/>
      <c r="AX28" s="13"/>
      <c r="AY28" s="13"/>
      <c r="AZ28" s="13"/>
      <c r="BA28" s="13"/>
      <c r="BC28" s="23"/>
      <c r="BF28" s="136"/>
      <c r="BG28" s="136"/>
      <c r="BH28" s="136"/>
      <c r="BI28" s="136"/>
    </row>
    <row r="29" spans="1:65">
      <c r="B29">
        <v>16955447</v>
      </c>
      <c r="C29" s="1" t="str">
        <f>IF($B29="","",HYPERLINK(IF(LEN(VLOOKUP($B29,Database!$B$1:$IX$10144,2,FALSE))=0,"",VLOOKUP($B29,Database!$B$1:$IX$10144,2,FALSE))))</f>
        <v/>
      </c>
      <c r="D29" s="1" t="str">
        <f t="shared" si="0"/>
        <v>http://www.ncbi.nlm.nih.gov/pubmed/16955447</v>
      </c>
      <c r="E29" s="22" t="str">
        <f>IF($B29="","",IF(LEN(VLOOKUP($B29,Database!$B$1:$IX$10144,4,FALSE))=0,"",VLOOKUP($B29,Database!$B$1:$IX$10144,4,FALSE)))</f>
        <v>Hannestad J</v>
      </c>
      <c r="F29" s="22">
        <f>IF($B29="","",IF(LEN(VLOOKUP($B29,Database!$B$1:$IX$10144,5,FALSE))=0,"",VLOOKUP($B29,Database!$B$1:$IX$10144,5,FALSE)))</f>
        <v>2006</v>
      </c>
      <c r="G29" s="1" t="str">
        <f>IF($B29="","",HYPERLINK(IF(LEN(VLOOKUP($B29,Database!$B$1:$IX$10144,6,FALSE))=0,"",VLOOKUP($B29,Database!$B$1:$IX$10144,6,FALSE))))</f>
        <v>http://www3.interscience.wiley.com/cgi-bin/fulltext/112775032/PDFSTART</v>
      </c>
      <c r="H29" s="22">
        <f>IF($B29="","",IF(LEN(VLOOKUP($B29,Database!$B$1:$IX$10144,7,FALSE))=0,"",VLOOKUP($B29,Database!$B$1:$IX$10144,7,FALSE)))</f>
        <v>182</v>
      </c>
      <c r="I29" s="22">
        <f>IF($B29="","",IF(LEN(VLOOKUP($B29,Database!$B$1:$IX$10144,8,FALSE))=0,"",VLOOKUP($B29,Database!$B$1:$IX$10144,8,FALSE)))</f>
        <v>64</v>
      </c>
      <c r="J29" t="s">
        <v>145</v>
      </c>
      <c r="L29">
        <v>3.49</v>
      </c>
      <c r="M29">
        <v>0.7</v>
      </c>
      <c r="N29">
        <v>3.48</v>
      </c>
      <c r="O29">
        <v>0.6</v>
      </c>
      <c r="P29">
        <v>3.65</v>
      </c>
      <c r="Q29">
        <v>0.6</v>
      </c>
      <c r="R29">
        <v>3.63</v>
      </c>
      <c r="S29">
        <v>0.6</v>
      </c>
      <c r="T29">
        <v>7.14</v>
      </c>
      <c r="U29">
        <v>1.3</v>
      </c>
      <c r="V29">
        <v>7.11</v>
      </c>
      <c r="W29">
        <v>1.1000000000000001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70.2</v>
      </c>
      <c r="AC29" s="22">
        <f>IF(OR($B29="",AC$22=""),"",IF(LEN(VLOOKUP($B29,Database!$B$1:$IX$10144,AC$22,FALSE))=0,"",VLOOKUP($B29,Database!$B$1:$IX$10144,AC$22,FALSE)))</f>
        <v>5.8</v>
      </c>
      <c r="AD29" s="22">
        <f>IF(OR($B29="",AD$22=""),"",IF(LEN(VLOOKUP($B29,Database!$B$1:$IX$10144,AD$22,FALSE))=0,"",VLOOKUP($B29,Database!$B$1:$IX$10144,AD$22,FALSE)))</f>
        <v>70</v>
      </c>
      <c r="AE29" s="22">
        <f>IF(OR($B29="",AE$22=""),"",IF(LEN(VLOOKUP($B29,Database!$B$1:$IX$10144,AE$22,FALSE))=0,"",VLOOKUP($B29,Database!$B$1:$IX$10144,AE$22,FALSE)))</f>
        <v>7.7</v>
      </c>
      <c r="AF29" s="22">
        <f>IF(OR($B29="",AF$22=""),"",IF(LEN(VLOOKUP($B29,Database!$B$1:$IX$10144,AF$22,FALSE))=0,"",VLOOKUP($B29,Database!$B$1:$IX$10144,AF$22,FALSE)))</f>
        <v>129</v>
      </c>
      <c r="AG29" s="22">
        <f>IF(OR($B29="",AG$22=""),"",IF(LEN(VLOOKUP($B29,Database!$B$1:$IX$10144,AG$22,FALSE))=0,"",VLOOKUP($B29,Database!$B$1:$IX$10144,AG$22,FALSE)))</f>
        <v>41</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f>IF(OR($B29="",AK$22=""),"",IF(LEN(VLOOKUP($B29,Database!$B$1:$IX$10144,AK$22,FALSE))=0,"",VLOOKUP($B29,Database!$B$1:$IX$10144,AK$22,FALSE)))</f>
        <v>43.7</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Hannestad J, Taylor WD, McQuoid DR, Payne ME, Krishnan KR, Steffens DC, Macfall JR.</v>
      </c>
      <c r="AR29" s="13"/>
      <c r="AX29" s="13"/>
      <c r="AY29" s="13"/>
      <c r="AZ29" s="13"/>
      <c r="BA29" s="13"/>
      <c r="BC29" s="23"/>
      <c r="BF29" s="136"/>
      <c r="BG29" s="136"/>
      <c r="BH29" s="136"/>
      <c r="BI29" s="136"/>
    </row>
    <row r="30" spans="1:65">
      <c r="B30">
        <v>18439110</v>
      </c>
      <c r="C30" s="1" t="str">
        <f>IF($B30="","",HYPERLINK(IF(LEN(VLOOKUP($B30,Database!$B$1:$IX$10144,2,FALSE))=0,"",VLOOKUP($B30,Database!$B$1:$IX$10144,2,FALSE))))</f>
        <v/>
      </c>
      <c r="D30" s="1" t="str">
        <f t="shared" si="0"/>
        <v>http://www.ncbi.nlm.nih.gov/pubmed/18439110</v>
      </c>
      <c r="E30" s="22" t="str">
        <f>IF($B30="","",IF(LEN(VLOOKUP($B30,Database!$B$1:$IX$10144,4,FALSE))=0,"",VLOOKUP($B30,Database!$B$1:$IX$10144,4,FALSE)))</f>
        <v>Matsuo K</v>
      </c>
      <c r="F30" s="22">
        <f>IF($B30="","",IF(LEN(VLOOKUP($B30,Database!$B$1:$IX$10144,5,FALSE))=0,"",VLOOKUP($B30,Database!$B$1:$IX$10144,5,FALSE)))</f>
        <v>2008</v>
      </c>
      <c r="G30" s="1" t="str">
        <f>IF($B30="","",HYPERLINK(IF(LEN(VLOOKUP($B30,Database!$B$1:$IX$10144,6,FALSE))=0,"",VLOOKUP($B30,Database!$B$1:$IX$10144,6,FALSE))))</f>
        <v>http://www.liebertonline.com/doi/pdf/10.1089/cap.2007.0026</v>
      </c>
      <c r="H30" s="22">
        <f>IF($B30="","",IF(LEN(VLOOKUP($B30,Database!$B$1:$IX$10144,7,FALSE))=0,"",VLOOKUP($B30,Database!$B$1:$IX$10144,7,FALSE)))</f>
        <v>27</v>
      </c>
      <c r="I30" s="22">
        <f>IF($B30="","",IF(LEN(VLOOKUP($B30,Database!$B$1:$IX$10144,8,FALSE))=0,"",VLOOKUP($B30,Database!$B$1:$IX$10144,8,FALSE)))</f>
        <v>26</v>
      </c>
      <c r="J30" t="s">
        <v>1530</v>
      </c>
      <c r="L30">
        <v>2.42</v>
      </c>
      <c r="M30">
        <v>0.33</v>
      </c>
      <c r="N30">
        <v>2.5299999999999998</v>
      </c>
      <c r="O30">
        <v>0.32</v>
      </c>
      <c r="P30">
        <v>2.37</v>
      </c>
      <c r="Q30">
        <v>0.31</v>
      </c>
      <c r="R30">
        <v>2.56</v>
      </c>
      <c r="S30">
        <v>0.34</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14.4</v>
      </c>
      <c r="AC30" s="22">
        <f>IF(OR($B30="",AC$22=""),"",IF(LEN(VLOOKUP($B30,Database!$B$1:$IX$10144,AC$22,FALSE))=0,"",VLOOKUP($B30,Database!$B$1:$IX$10144,AC$22,FALSE)))</f>
        <v>2.2000000000000002</v>
      </c>
      <c r="AD30" s="22">
        <f>IF(OR($B30="",AD$22=""),"",IF(LEN(VLOOKUP($B30,Database!$B$1:$IX$10144,AD$22,FALSE))=0,"",VLOOKUP($B30,Database!$B$1:$IX$10144,AD$22,FALSE)))</f>
        <v>14.4</v>
      </c>
      <c r="AE30" s="22">
        <f>IF(OR($B30="",AE$22=""),"",IF(LEN(VLOOKUP($B30,Database!$B$1:$IX$10144,AE$22,FALSE))=0,"",VLOOKUP($B30,Database!$B$1:$IX$10144,AE$22,FALSE)))</f>
        <v>2.2999999999999998</v>
      </c>
      <c r="AF30" s="22">
        <f>IF(OR($B30="",AF$22=""),"",IF(LEN(VLOOKUP($B30,Database!$B$1:$IX$10144,AF$22,FALSE))=0,"",VLOOKUP($B30,Database!$B$1:$IX$10144,AF$22,FALSE)))</f>
        <v>17</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11.75</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Matsuo K, Rosenberg DR, Easter PC, MacMaster FP, Chen HH, Nicoletti M, Caetano SC, Hatch JP, Soares JC.</v>
      </c>
      <c r="AR30" s="13"/>
      <c r="AX30" s="13"/>
      <c r="AY30" s="13"/>
      <c r="AZ30" s="13"/>
      <c r="BA30" s="13"/>
      <c r="BC30" s="23"/>
      <c r="BF30" s="136"/>
      <c r="BG30" s="136"/>
      <c r="BH30" s="136"/>
      <c r="BI30" s="136"/>
    </row>
    <row r="31" spans="1:65">
      <c r="B31">
        <v>19411368</v>
      </c>
      <c r="C31" s="1" t="str">
        <f>IF($B31="","",HYPERLINK(IF(LEN(VLOOKUP($B31,Database!$B$1:$IX$10144,2,FALSE))=0,"",VLOOKUP($B31,Database!$B$1:$IX$10144,2,FALSE))))</f>
        <v/>
      </c>
      <c r="D31" s="1" t="str">
        <f>IF($B31="","",HYPERLINK(CONCATENATE("http://www.ncbi.nlm.nih.gov/pubmed/",B31)))</f>
        <v>http://www.ncbi.nlm.nih.gov/pubmed/19411368</v>
      </c>
      <c r="E31" s="22" t="str">
        <f>IF($B31="","",IF(LEN(VLOOKUP($B31,Database!$B$1:$IX$10144,4,FALSE))=0,"",VLOOKUP($B31,Database!$B$1:$IX$10144,4,FALSE)))</f>
        <v>Pizzagalli DA</v>
      </c>
      <c r="F31" s="22">
        <f>IF($B31="","",IF(LEN(VLOOKUP($B31,Database!$B$1:$IX$10144,5,FALSE))=0,"",VLOOKUP($B31,Database!$B$1:$IX$10144,5,FALSE)))</f>
        <v>2009</v>
      </c>
      <c r="G31" s="1" t="str">
        <f>IF($B31="","",HYPERLINK(IF(LEN(VLOOKUP($B31,Database!$B$1:$IX$10144,6,FALSE))=0,"",VLOOKUP($B31,Database!$B$1:$IX$10144,6,FALSE))))</f>
        <v>http://ajp.psychiatryonline.org/cgi/reprint/166/6/702</v>
      </c>
      <c r="H31" s="83">
        <v>26</v>
      </c>
      <c r="I31" s="83">
        <v>31</v>
      </c>
      <c r="J31" t="s">
        <v>2201</v>
      </c>
      <c r="L31">
        <v>3427</v>
      </c>
      <c r="M31">
        <v>507</v>
      </c>
      <c r="N31">
        <v>3433</v>
      </c>
      <c r="O31">
        <v>447</v>
      </c>
      <c r="P31">
        <v>3645</v>
      </c>
      <c r="Q31">
        <v>516</v>
      </c>
      <c r="R31">
        <v>3592</v>
      </c>
      <c r="S31">
        <v>520</v>
      </c>
      <c r="X31" s="2"/>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43.17</v>
      </c>
      <c r="AC31" s="22">
        <f>IF(OR($B31="",AC$22=""),"",IF(LEN(VLOOKUP($B31,Database!$B$1:$IX$10144,AC$22,FALSE))=0,"",VLOOKUP($B31,Database!$B$1:$IX$10144,AC$22,FALSE)))</f>
        <v>12.98</v>
      </c>
      <c r="AD31" s="22">
        <f>IF(OR($B31="",AD$22=""),"",IF(LEN(VLOOKUP($B31,Database!$B$1:$IX$10144,AD$22,FALSE))=0,"",VLOOKUP($B31,Database!$B$1:$IX$10144,AD$22,FALSE)))</f>
        <v>38.799999999999997</v>
      </c>
      <c r="AE31" s="22">
        <f>IF(OR($B31="",AE$22=""),"",IF(LEN(VLOOKUP($B31,Database!$B$1:$IX$10144,AE$22,FALSE))=0,"",VLOOKUP($B31,Database!$B$1:$IX$10144,AE$22,FALSE)))</f>
        <v>14.48</v>
      </c>
      <c r="AF31" s="22">
        <f>IF(OR($B31="",AF$22=""),"",IF(LEN(VLOOKUP($B31,Database!$B$1:$IX$10144,AF$22,FALSE))=0,"",VLOOKUP($B31,Database!$B$1:$IX$10144,AF$22,FALSE)))</f>
        <v>15</v>
      </c>
      <c r="AG31" s="22">
        <f>IF(OR($B31="",AG$22=""),"",IF(LEN(VLOOKUP($B31,Database!$B$1:$IX$10144,AG$22,FALSE))=0,"",VLOOKUP($B31,Database!$B$1:$IX$10144,AG$22,FALSE)))</f>
        <v>13</v>
      </c>
      <c r="AH31" s="22">
        <f>IF(OR($B31="",AH$22=""),"",IF(LEN(VLOOKUP($B31,Database!$B$1:$IX$10144,AH$22,FALSE))=0,"",VLOOKUP($B31,Database!$B$1:$IX$10144,AH$22,FALSE)))</f>
        <v>1.5</v>
      </c>
      <c r="AI31" s="22">
        <f>IF(OR($B31="",AI$22=""),"",IF(LEN(VLOOKUP($B31,Database!$B$1:$IX$10144,AI$22,FALSE))=0,"",VLOOKUP($B31,Database!$B$1:$IX$10144,AI$22,FALSE)))</f>
        <v>1.33</v>
      </c>
      <c r="AJ31" s="22" t="str">
        <f>IF(OR($B31="",AJ$22=""),"",IF(LEN(VLOOKUP($B31,Database!$B$1:$IX$10144,AJ$22,FALSE))=0,"",VLOOKUP($B31,Database!$B$1:$IX$10144,AJ$22,FALSE)))</f>
        <v/>
      </c>
      <c r="AK31" s="22">
        <f>IF(OR($B31="",AK$22=""),"",IF(LEN(VLOOKUP($B31,Database!$B$1:$IX$10144,AK$22,FALSE))=0,"",VLOOKUP($B31,Database!$B$1:$IX$10144,AK$22,FALSE)))</f>
        <v>29.39</v>
      </c>
      <c r="AL31" s="22">
        <f>IF(OR($B31="",AL$22=""),"",IF(LEN(VLOOKUP($B31,Database!$B$1:$IX$10144,AL$22,FALSE))=0,"",VLOOKUP($B31,Database!$B$1:$IX$10144,AL$22,FALSE)))</f>
        <v>15.98</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2" t="str">
        <f>IF(OR($B31="",AQ$22=""),"",IF(LEN(VLOOKUP($B31,Database!$B$1:$IX$10144,AQ$22,FALSE))=0,"",VLOOKUP($B31,Database!$B$1:$IX$10144,AQ$22,FALSE)))</f>
        <v>Pizzagalli DA, Holmes AJ, Dillon DG, Goetz EL, Birk JL, Bogdan R, Dougherty DD, Iosifescu DV, Rauch SL, Fava M.</v>
      </c>
      <c r="AR31" s="13"/>
      <c r="AX31" s="13"/>
      <c r="AY31" s="13"/>
      <c r="AZ31" s="13"/>
      <c r="BA31" s="13"/>
      <c r="BC31" s="23"/>
      <c r="BF31" s="136"/>
      <c r="BG31" s="136"/>
      <c r="BH31" s="136"/>
      <c r="BI31" s="136"/>
    </row>
    <row r="32" spans="1:65">
      <c r="C32" s="1"/>
      <c r="D32" s="1"/>
      <c r="E32" s="22"/>
      <c r="F32" s="22"/>
      <c r="G32" s="1"/>
      <c r="H32" s="83"/>
      <c r="I32" s="83"/>
      <c r="X32" s="2"/>
      <c r="Y32" s="22"/>
      <c r="Z32" s="22"/>
      <c r="AA32" s="22"/>
      <c r="AB32" s="22"/>
      <c r="AC32" s="22"/>
      <c r="AD32" s="22"/>
      <c r="AE32" s="22"/>
      <c r="AF32" s="22"/>
      <c r="AG32" s="22"/>
      <c r="AH32" s="22"/>
      <c r="AI32" s="22"/>
      <c r="AJ32" s="22"/>
      <c r="AK32" s="22"/>
      <c r="AL32" s="22"/>
      <c r="AM32" s="22"/>
      <c r="AN32" s="22"/>
      <c r="AO32" s="22"/>
      <c r="AP32" s="22"/>
      <c r="AQ32" s="22"/>
    </row>
    <row r="33" spans="1:51">
      <c r="A33" s="4" t="s">
        <v>1510</v>
      </c>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51">
      <c r="A34" s="7" t="s">
        <v>63</v>
      </c>
      <c r="B34">
        <v>9089834</v>
      </c>
      <c r="C34" s="1" t="str">
        <f>IF($B34="","",HYPERLINK(IF(LEN(VLOOKUP($B34,Database!$B$1:$IX$10144,2,FALSE))=0,"",VLOOKUP($B34,Database!$B$1:$IX$10144,2,FALSE))))</f>
        <v/>
      </c>
      <c r="D34" s="1" t="str">
        <f>IF($B34="","",HYPERLINK(CONCATENATE("http://www.ncbi.nlm.nih.gov/pubmed/",B34)))</f>
        <v>http://www.ncbi.nlm.nih.gov/pubmed/9089834</v>
      </c>
      <c r="E34" s="22" t="str">
        <f>IF($B34="","",IF(LEN(VLOOKUP($B34,Database!$B$1:$IX$10144,4,FALSE))=0,"",VLOOKUP($B34,Database!$B$1:$IX$10144,4,FALSE)))</f>
        <v>Greenwald BS</v>
      </c>
      <c r="F34" s="22">
        <f>IF($B34="","",IF(LEN(VLOOKUP($B34,Database!$B$1:$IX$10144,5,FALSE))=0,"",VLOOKUP($B34,Database!$B$1:$IX$10144,5,FALSE)))</f>
        <v>1997</v>
      </c>
      <c r="G34" s="1" t="str">
        <f>IF($B34="","",HYPERLINK(IF(LEN(VLOOKUP($B34,Database!$B$1:$IX$10144,6,FALSE))=0,"",VLOOKUP($B34,Database!$B$1:$IX$10144,6,FALSE))))</f>
        <v>http://dx.doi.org/10.1017/S0033291796004576</v>
      </c>
      <c r="H34" s="22">
        <f>IF($B34="","",IF(LEN(VLOOKUP($B34,Database!$B$1:$IX$10144,7,FALSE))=0,"",VLOOKUP($B34,Database!$B$1:$IX$10144,7,FALSE)))</f>
        <v>30</v>
      </c>
      <c r="I34" s="22">
        <f>IF($B34="","",IF(LEN(VLOOKUP($B34,Database!$B$1:$IX$10144,8,FALSE))=0,"",VLOOKUP($B34,Database!$B$1:$IX$10144,8,FALSE)))</f>
        <v>36</v>
      </c>
      <c r="Y34" s="22" t="str">
        <f>IF(OR($B34="",Y$22=""),"",IF(LEN(VLOOKUP($B34,Database!$B$1:$IX$10144,Y$22,FALSE))=0,"",VLOOKUP($B34,Database!$B$1:$IX$10144,Y$22,FALSE)))</f>
        <v>DSM-III-R</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75.900000000000006</v>
      </c>
      <c r="AC34" s="22">
        <f>IF(OR($B34="",AC$22=""),"",IF(LEN(VLOOKUP($B34,Database!$B$1:$IX$10144,AC$22,FALSE))=0,"",VLOOKUP($B34,Database!$B$1:$IX$10144,AC$22,FALSE)))</f>
        <v>6.7</v>
      </c>
      <c r="AD34" s="22">
        <f>IF(OR($B34="",AD$22=""),"",IF(LEN(VLOOKUP($B34,Database!$B$1:$IX$10144,AD$22,FALSE))=0,"",VLOOKUP($B34,Database!$B$1:$IX$10144,AD$22,FALSE)))</f>
        <v>72.8</v>
      </c>
      <c r="AE34" s="22">
        <f>IF(OR($B34="",AE$22=""),"",IF(LEN(VLOOKUP($B34,Database!$B$1:$IX$10144,AE$22,FALSE))=0,"",VLOOKUP($B34,Database!$B$1:$IX$10144,AE$22,FALSE)))</f>
        <v>6.6</v>
      </c>
      <c r="AF34" s="22">
        <f>IF(OR($B34="",AF$22=""),"",IF(LEN(VLOOKUP($B34,Database!$B$1:$IX$10144,AF$22,FALSE))=0,"",VLOOKUP($B34,Database!$B$1:$IX$10144,AF$22,FALSE)))</f>
        <v>15</v>
      </c>
      <c r="AG34" s="22">
        <f>IF(OR($B34="",AG$22=""),"",IF(LEN(VLOOKUP($B34,Database!$B$1:$IX$10144,AG$22,FALSE))=0,"",VLOOKUP($B34,Database!$B$1:$IX$10144,AG$22,FALSE)))</f>
        <v>18</v>
      </c>
      <c r="AH34" s="22">
        <f>IF(OR($B34="",AH$22=""),"",IF(LEN(VLOOKUP($B34,Database!$B$1:$IX$10144,AH$22,FALSE))=0,"",VLOOKUP($B34,Database!$B$1:$IX$10144,AH$22,FALSE)))</f>
        <v>1</v>
      </c>
      <c r="AI34" s="22">
        <f>IF(OR($B34="",AI$22=""),"",IF(LEN(VLOOKUP($B34,Database!$B$1:$IX$10144,AI$22,FALSE))=0,"",VLOOKUP($B34,Database!$B$1:$IX$10144,AI$22,FALSE)))</f>
        <v>3.1</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Greenwald BS, Kramer-Ginsberg E, Bogerts B, Ashtari M, Aupperle P, Wu H, Allen L, Zeman D, Patel M.</v>
      </c>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44" si="1">E24</f>
        <v>Pillay SS</v>
      </c>
      <c r="F37">
        <f t="shared" si="1"/>
        <v>1998</v>
      </c>
      <c r="G37">
        <v>8</v>
      </c>
      <c r="H37">
        <f t="shared" ref="H37:I44" si="2">H24</f>
        <v>38</v>
      </c>
      <c r="I37">
        <f t="shared" si="2"/>
        <v>20</v>
      </c>
      <c r="J37">
        <f t="shared" ref="J37:M40" si="3">IF($D$4="Total",T24,IF($D$4="Left",L24,IF($D$4="Right",P24,"error")))</f>
        <v>4.5999999999999996</v>
      </c>
      <c r="K37">
        <f t="shared" si="3"/>
        <v>0.7</v>
      </c>
      <c r="L37">
        <f t="shared" si="3"/>
        <v>4.5999999999999996</v>
      </c>
      <c r="M37">
        <f t="shared" si="3"/>
        <v>0.6</v>
      </c>
      <c r="N37">
        <f t="shared" ref="N37:N42" si="4">IF($D$3=1,SQRT((((I37-1)*(M37)^2)+((H37-1)*(K37)^2))/(H37+I37-2)),M37)</f>
        <v>0.66775209257841872</v>
      </c>
      <c r="O37" s="59">
        <f t="shared" ref="O37:O42" si="5">IF($D$6=1,LN(J37/L37),IF($D$5=1,(1-3/(4*(H37+I37)-9))*((J37-L37)/N37),(J37-L37)/N37))</f>
        <v>0</v>
      </c>
      <c r="P37" s="63">
        <f t="shared" ref="P37:P42" si="6">IF($D$6=1,(K37^2)/(H37*J37^2)+(M37^2)/(I37*L37^2),(IF($D$5=1,((H37+I37)/(H37*I37))+(O37*O37)/(2*(H37+I37-3.94)),((H37+I37)/(H37*I37))+((O37^2)/(2*(H37+I37-2))))))</f>
        <v>7.6315789473684212E-2</v>
      </c>
      <c r="Q37" s="59">
        <f t="shared" ref="Q37:Q44" si="7">$R$61*SQRT(P37)</f>
        <v>0.54145612642402086</v>
      </c>
      <c r="R37" s="59">
        <f t="shared" ref="R37:R42" si="8">1/P37</f>
        <v>13.103448275862069</v>
      </c>
      <c r="S37" s="59">
        <f t="shared" ref="S37:S42" si="9">O37*R37</f>
        <v>0</v>
      </c>
      <c r="T37" s="59">
        <f t="shared" ref="T37:T42" si="10">R37*(O37^2)</f>
        <v>0</v>
      </c>
      <c r="U37" s="23">
        <f t="shared" ref="U37:U42" si="11">R37^2</f>
        <v>171.70035671819264</v>
      </c>
      <c r="V37" s="59">
        <f t="shared" ref="V37:V44" si="12">1/((1/R37)+$I$58)</f>
        <v>13.103448275862069</v>
      </c>
      <c r="W37" s="59">
        <f t="shared" ref="W37:W42" si="13">V37*O37</f>
        <v>0</v>
      </c>
      <c r="AF37" s="59">
        <f t="shared" ref="AF37:AF42" si="14">IF($D$6=1,100*((EXP(O37))-1),O37)</f>
        <v>0</v>
      </c>
      <c r="AG37" s="59">
        <f t="shared" ref="AG37:AG42" si="15">IF($D$6=1,100*(EXP(O37+Q37)-EXP(O37)),Q37)</f>
        <v>0.54145612642402086</v>
      </c>
      <c r="AH37" s="59">
        <f t="shared" ref="AH37:AH42" si="16">IF($D$6=1,100*(EXP(O37)-EXP(O37-Q37)),Q37)</f>
        <v>0.54145612642402086</v>
      </c>
      <c r="AJ37">
        <f t="shared" ref="AJ37:AJ42" si="17">SQRT(P37)</f>
        <v>0.27625312572654126</v>
      </c>
      <c r="AK37">
        <f t="shared" ref="AK37:AK44" si="18">1/AJ37</f>
        <v>3.6198685440029545</v>
      </c>
      <c r="AL37">
        <f t="shared" ref="AL37:AL42" si="19">O37/AJ37</f>
        <v>0</v>
      </c>
      <c r="AN37" t="str">
        <f t="shared" ref="AN37:AN42" si="20">E37</f>
        <v>Pillay SS</v>
      </c>
      <c r="AO37">
        <f t="shared" ref="AO37:AO42" si="21">F37</f>
        <v>1998</v>
      </c>
      <c r="AP37" t="str">
        <f t="shared" ref="AP37:AP42" si="22">CONCATENATE(AN37," ",AO37)</f>
        <v>Pillay SS 1998</v>
      </c>
      <c r="AQ37">
        <f t="shared" ref="AQ37:AQ42" si="23">INT(H37)</f>
        <v>38</v>
      </c>
      <c r="AR37">
        <f t="shared" ref="AR37:AR42" si="24">J37</f>
        <v>4.5999999999999996</v>
      </c>
      <c r="AS37">
        <f t="shared" ref="AS37:AS42" si="25">K37</f>
        <v>0.7</v>
      </c>
      <c r="AT37">
        <f t="shared" ref="AT37:AT42" si="26">INT(I37)</f>
        <v>20</v>
      </c>
      <c r="AU37">
        <f t="shared" ref="AU37:AU42" si="27">L37</f>
        <v>4.5999999999999996</v>
      </c>
      <c r="AV37">
        <f t="shared" ref="AV37:AV42" si="28">M37</f>
        <v>0.6</v>
      </c>
      <c r="AW37" s="65">
        <f t="shared" ref="AW37:AW42" si="29">O37</f>
        <v>0</v>
      </c>
      <c r="AX37">
        <f t="shared" ref="AX37:AX42" si="30">SQRT(P37)</f>
        <v>0.27625312572654126</v>
      </c>
    </row>
    <row r="38" spans="1:51">
      <c r="E38" t="str">
        <f t="shared" si="1"/>
        <v>Lenze EJ (B)</v>
      </c>
      <c r="F38">
        <f t="shared" si="1"/>
        <v>1999</v>
      </c>
      <c r="G38">
        <v>7</v>
      </c>
      <c r="H38">
        <f t="shared" si="2"/>
        <v>24</v>
      </c>
      <c r="I38">
        <f t="shared" si="2"/>
        <v>24</v>
      </c>
      <c r="J38">
        <f t="shared" si="3"/>
        <v>3.34</v>
      </c>
      <c r="K38">
        <f t="shared" si="3"/>
        <v>0.69</v>
      </c>
      <c r="L38">
        <f t="shared" si="3"/>
        <v>3.19</v>
      </c>
      <c r="M38">
        <f t="shared" si="3"/>
        <v>0.59</v>
      </c>
      <c r="N38">
        <f t="shared" si="4"/>
        <v>0.64195015382816134</v>
      </c>
      <c r="O38" s="59">
        <f t="shared" si="5"/>
        <v>0.22983246086432343</v>
      </c>
      <c r="P38" s="63">
        <f t="shared" si="6"/>
        <v>8.3932776820248342E-2</v>
      </c>
      <c r="Q38" s="59">
        <f t="shared" si="7"/>
        <v>0.56783461979053906</v>
      </c>
      <c r="R38" s="59">
        <f t="shared" si="8"/>
        <v>11.91429662980905</v>
      </c>
      <c r="S38" s="59">
        <f t="shared" si="9"/>
        <v>2.738292113896529</v>
      </c>
      <c r="T38" s="59">
        <f t="shared" si="10"/>
        <v>0.62934841510220951</v>
      </c>
      <c r="U38" s="23">
        <f t="shared" si="11"/>
        <v>141.95046418307928</v>
      </c>
      <c r="V38" s="59">
        <f t="shared" si="12"/>
        <v>11.91429662980905</v>
      </c>
      <c r="W38" s="59">
        <f t="shared" si="13"/>
        <v>2.738292113896529</v>
      </c>
      <c r="AF38" s="59">
        <f t="shared" si="14"/>
        <v>0.22983246086432343</v>
      </c>
      <c r="AG38" s="59">
        <f t="shared" si="15"/>
        <v>0.56783461979053906</v>
      </c>
      <c r="AH38" s="59">
        <f t="shared" si="16"/>
        <v>0.56783461979053906</v>
      </c>
      <c r="AJ38">
        <f t="shared" si="17"/>
        <v>0.2897115407094587</v>
      </c>
      <c r="AK38">
        <f t="shared" si="18"/>
        <v>3.4517092330914911</v>
      </c>
      <c r="AL38">
        <f t="shared" si="19"/>
        <v>0.79331482722952396</v>
      </c>
      <c r="AN38" t="str">
        <f t="shared" si="20"/>
        <v>Lenze EJ (B)</v>
      </c>
      <c r="AO38">
        <f t="shared" si="21"/>
        <v>1999</v>
      </c>
      <c r="AP38" t="str">
        <f t="shared" si="22"/>
        <v>Lenze EJ (B) 1999</v>
      </c>
      <c r="AQ38">
        <f t="shared" si="23"/>
        <v>24</v>
      </c>
      <c r="AR38">
        <f t="shared" si="24"/>
        <v>3.34</v>
      </c>
      <c r="AS38">
        <f t="shared" si="25"/>
        <v>0.69</v>
      </c>
      <c r="AT38">
        <f t="shared" si="26"/>
        <v>24</v>
      </c>
      <c r="AU38">
        <f t="shared" si="27"/>
        <v>3.19</v>
      </c>
      <c r="AV38">
        <f t="shared" si="28"/>
        <v>0.59</v>
      </c>
      <c r="AW38" s="65">
        <f t="shared" si="29"/>
        <v>0.22983246086432343</v>
      </c>
      <c r="AX38">
        <f t="shared" si="30"/>
        <v>0.2897115407094587</v>
      </c>
    </row>
    <row r="39" spans="1:51">
      <c r="E39" t="str">
        <f t="shared" si="1"/>
        <v>Bremner JD</v>
      </c>
      <c r="F39">
        <f t="shared" si="1"/>
        <v>2000</v>
      </c>
      <c r="G39">
        <v>6</v>
      </c>
      <c r="H39">
        <f t="shared" si="2"/>
        <v>16</v>
      </c>
      <c r="I39">
        <f t="shared" si="2"/>
        <v>16</v>
      </c>
      <c r="J39">
        <f t="shared" si="3"/>
        <v>2668</v>
      </c>
      <c r="K39">
        <f t="shared" si="3"/>
        <v>710</v>
      </c>
      <c r="L39">
        <f t="shared" si="3"/>
        <v>2767</v>
      </c>
      <c r="M39">
        <f t="shared" si="3"/>
        <v>571</v>
      </c>
      <c r="N39">
        <f t="shared" si="4"/>
        <v>644.25965262462307</v>
      </c>
      <c r="O39" s="59">
        <f t="shared" si="5"/>
        <v>-0.14979085107615811</v>
      </c>
      <c r="P39" s="63">
        <f t="shared" si="6"/>
        <v>0.12539980932049394</v>
      </c>
      <c r="Q39" s="59">
        <f t="shared" si="7"/>
        <v>0.6940719757241387</v>
      </c>
      <c r="R39" s="59">
        <f t="shared" si="8"/>
        <v>7.974493784469983</v>
      </c>
      <c r="S39" s="59">
        <f t="shared" si="9"/>
        <v>-1.1945062108772917</v>
      </c>
      <c r="T39" s="59">
        <f t="shared" si="10"/>
        <v>0.17892610194306632</v>
      </c>
      <c r="U39" s="23">
        <f t="shared" si="11"/>
        <v>63.592551118550389</v>
      </c>
      <c r="V39" s="59">
        <f t="shared" si="12"/>
        <v>7.974493784469983</v>
      </c>
      <c r="W39" s="59">
        <f t="shared" si="13"/>
        <v>-1.1945062108772917</v>
      </c>
      <c r="AF39" s="59">
        <f t="shared" si="14"/>
        <v>-0.14979085107615811</v>
      </c>
      <c r="AG39" s="59">
        <f t="shared" si="15"/>
        <v>0.6940719757241387</v>
      </c>
      <c r="AH39" s="59">
        <f t="shared" si="16"/>
        <v>0.6940719757241387</v>
      </c>
      <c r="AJ39">
        <f t="shared" si="17"/>
        <v>0.35411835496129529</v>
      </c>
      <c r="AK39">
        <f t="shared" si="18"/>
        <v>2.823914620605585</v>
      </c>
      <c r="AL39">
        <f t="shared" si="19"/>
        <v>-0.42299657438691668</v>
      </c>
      <c r="AN39" t="str">
        <f t="shared" si="20"/>
        <v>Bremner JD</v>
      </c>
      <c r="AO39">
        <f t="shared" si="21"/>
        <v>2000</v>
      </c>
      <c r="AP39" t="str">
        <f t="shared" si="22"/>
        <v>Bremner JD 2000</v>
      </c>
      <c r="AQ39">
        <f t="shared" si="23"/>
        <v>16</v>
      </c>
      <c r="AR39">
        <f t="shared" si="24"/>
        <v>2668</v>
      </c>
      <c r="AS39">
        <f t="shared" si="25"/>
        <v>710</v>
      </c>
      <c r="AT39">
        <f t="shared" si="26"/>
        <v>16</v>
      </c>
      <c r="AU39">
        <f t="shared" si="27"/>
        <v>2767</v>
      </c>
      <c r="AV39">
        <f t="shared" si="28"/>
        <v>571</v>
      </c>
      <c r="AW39" s="65">
        <f t="shared" si="29"/>
        <v>-0.14979085107615811</v>
      </c>
      <c r="AX39">
        <f t="shared" si="30"/>
        <v>0.35411835496129529</v>
      </c>
    </row>
    <row r="40" spans="1:51">
      <c r="E40" t="str">
        <f t="shared" si="1"/>
        <v>McIntosh AM</v>
      </c>
      <c r="F40">
        <f t="shared" si="1"/>
        <v>2001</v>
      </c>
      <c r="G40">
        <v>5</v>
      </c>
      <c r="H40">
        <f t="shared" si="2"/>
        <v>9</v>
      </c>
      <c r="I40">
        <f t="shared" si="2"/>
        <v>29</v>
      </c>
      <c r="J40">
        <f t="shared" si="3"/>
        <v>4267</v>
      </c>
      <c r="K40">
        <f t="shared" si="3"/>
        <v>506</v>
      </c>
      <c r="L40">
        <f t="shared" si="3"/>
        <v>4336</v>
      </c>
      <c r="M40">
        <f t="shared" si="3"/>
        <v>447</v>
      </c>
      <c r="N40">
        <f t="shared" si="4"/>
        <v>460.76446139962758</v>
      </c>
      <c r="O40" s="59">
        <f t="shared" si="5"/>
        <v>-0.14660950054014335</v>
      </c>
      <c r="P40" s="63">
        <f t="shared" si="6"/>
        <v>0.1459094062210643</v>
      </c>
      <c r="Q40" s="59">
        <f t="shared" si="7"/>
        <v>0.74868255952629259</v>
      </c>
      <c r="R40" s="59">
        <f t="shared" si="8"/>
        <v>6.8535677438431959</v>
      </c>
      <c r="S40" s="59">
        <f t="shared" si="9"/>
        <v>-1.0047981438428881</v>
      </c>
      <c r="T40" s="59">
        <f t="shared" si="10"/>
        <v>0.14731295401246894</v>
      </c>
      <c r="U40" s="23">
        <f t="shared" si="11"/>
        <v>46.971390819447912</v>
      </c>
      <c r="V40" s="59">
        <f t="shared" si="12"/>
        <v>6.8535677438431959</v>
      </c>
      <c r="W40" s="59">
        <f t="shared" si="13"/>
        <v>-1.0047981438428881</v>
      </c>
      <c r="AF40" s="59">
        <f t="shared" si="14"/>
        <v>-0.14660950054014335</v>
      </c>
      <c r="AG40" s="59">
        <f t="shared" si="15"/>
        <v>0.74868255952629259</v>
      </c>
      <c r="AH40" s="59">
        <f t="shared" si="16"/>
        <v>0.74868255952629259</v>
      </c>
      <c r="AJ40">
        <f t="shared" si="17"/>
        <v>0.38198089771749622</v>
      </c>
      <c r="AK40">
        <f t="shared" si="18"/>
        <v>2.6179319593608987</v>
      </c>
      <c r="AL40">
        <f t="shared" si="19"/>
        <v>-0.38381369700998025</v>
      </c>
      <c r="AN40" t="str">
        <f t="shared" si="20"/>
        <v>McIntosh AM</v>
      </c>
      <c r="AO40">
        <f t="shared" si="21"/>
        <v>2001</v>
      </c>
      <c r="AP40" t="str">
        <f t="shared" si="22"/>
        <v>McIntosh AM 2001</v>
      </c>
      <c r="AQ40">
        <f t="shared" si="23"/>
        <v>9</v>
      </c>
      <c r="AR40">
        <f t="shared" si="24"/>
        <v>4267</v>
      </c>
      <c r="AS40">
        <f t="shared" si="25"/>
        <v>506</v>
      </c>
      <c r="AT40">
        <f t="shared" si="26"/>
        <v>29</v>
      </c>
      <c r="AU40">
        <f t="shared" si="27"/>
        <v>4336</v>
      </c>
      <c r="AV40">
        <f t="shared" si="28"/>
        <v>447</v>
      </c>
      <c r="AW40" s="65">
        <f t="shared" si="29"/>
        <v>-0.14660950054014335</v>
      </c>
      <c r="AX40">
        <f t="shared" si="30"/>
        <v>0.38198089771749622</v>
      </c>
    </row>
    <row r="41" spans="1:51">
      <c r="E41" t="str">
        <f t="shared" si="1"/>
        <v>Lacerda AL</v>
      </c>
      <c r="F41">
        <f t="shared" si="1"/>
        <v>2003</v>
      </c>
      <c r="G41">
        <v>4</v>
      </c>
      <c r="H41">
        <f t="shared" si="2"/>
        <v>25</v>
      </c>
      <c r="I41">
        <f t="shared" si="2"/>
        <v>48</v>
      </c>
      <c r="J41">
        <f t="shared" ref="J41:M42" si="31">IF($D$4="Total",T28,IF($D$4="Left",L28,IF($D$4="Right",P28,"error")))</f>
        <v>2.63</v>
      </c>
      <c r="K41">
        <f t="shared" si="31"/>
        <v>0.42</v>
      </c>
      <c r="L41">
        <f t="shared" si="31"/>
        <v>2.82</v>
      </c>
      <c r="M41">
        <f t="shared" si="31"/>
        <v>0.5</v>
      </c>
      <c r="N41">
        <f t="shared" si="4"/>
        <v>0.47446931066251624</v>
      </c>
      <c r="O41" s="59">
        <f t="shared" si="5"/>
        <v>-0.39620237073266357</v>
      </c>
      <c r="P41" s="63">
        <f t="shared" si="6"/>
        <v>6.1969854608848705E-2</v>
      </c>
      <c r="Q41" s="59">
        <f t="shared" si="7"/>
        <v>0.48791740434765513</v>
      </c>
      <c r="R41" s="59">
        <f t="shared" si="8"/>
        <v>16.136878266246722</v>
      </c>
      <c r="S41" s="59">
        <f t="shared" si="9"/>
        <v>-6.3934694253113449</v>
      </c>
      <c r="T41" s="59">
        <f t="shared" si="10"/>
        <v>2.533107743515155</v>
      </c>
      <c r="U41" s="23">
        <f t="shared" si="11"/>
        <v>260.3988401796658</v>
      </c>
      <c r="V41" s="59">
        <f t="shared" si="12"/>
        <v>16.136878266246722</v>
      </c>
      <c r="W41" s="59">
        <f t="shared" si="13"/>
        <v>-6.3934694253113449</v>
      </c>
      <c r="AF41" s="59">
        <f t="shared" si="14"/>
        <v>-0.39620237073266357</v>
      </c>
      <c r="AG41" s="59">
        <f t="shared" si="15"/>
        <v>0.48791740434765513</v>
      </c>
      <c r="AH41" s="59">
        <f t="shared" si="16"/>
        <v>0.48791740434765513</v>
      </c>
      <c r="AJ41">
        <f t="shared" si="17"/>
        <v>0.24893745119778324</v>
      </c>
      <c r="AK41">
        <f t="shared" si="18"/>
        <v>4.0170733458883623</v>
      </c>
      <c r="AL41">
        <f t="shared" si="19"/>
        <v>-1.591573983047962</v>
      </c>
      <c r="AN41" t="str">
        <f t="shared" si="20"/>
        <v>Lacerda AL</v>
      </c>
      <c r="AO41">
        <f t="shared" si="21"/>
        <v>2003</v>
      </c>
      <c r="AP41" t="str">
        <f t="shared" si="22"/>
        <v>Lacerda AL 2003</v>
      </c>
      <c r="AQ41">
        <f t="shared" si="23"/>
        <v>25</v>
      </c>
      <c r="AR41">
        <f t="shared" si="24"/>
        <v>2.63</v>
      </c>
      <c r="AS41">
        <f t="shared" si="25"/>
        <v>0.42</v>
      </c>
      <c r="AT41">
        <f t="shared" si="26"/>
        <v>48</v>
      </c>
      <c r="AU41">
        <f t="shared" si="27"/>
        <v>2.82</v>
      </c>
      <c r="AV41">
        <f t="shared" si="28"/>
        <v>0.5</v>
      </c>
      <c r="AW41" s="65">
        <f t="shared" si="29"/>
        <v>-0.39620237073266357</v>
      </c>
      <c r="AX41">
        <f t="shared" si="30"/>
        <v>0.24893745119778324</v>
      </c>
    </row>
    <row r="42" spans="1:51">
      <c r="E42" t="str">
        <f t="shared" si="1"/>
        <v>Hannestad J</v>
      </c>
      <c r="F42">
        <f t="shared" si="1"/>
        <v>2006</v>
      </c>
      <c r="G42">
        <v>3</v>
      </c>
      <c r="H42">
        <f t="shared" si="2"/>
        <v>182</v>
      </c>
      <c r="I42">
        <f t="shared" si="2"/>
        <v>64</v>
      </c>
      <c r="J42">
        <f t="shared" si="31"/>
        <v>3.49</v>
      </c>
      <c r="K42">
        <f t="shared" si="31"/>
        <v>0.7</v>
      </c>
      <c r="L42">
        <f t="shared" si="31"/>
        <v>3.48</v>
      </c>
      <c r="M42">
        <f t="shared" si="31"/>
        <v>0.6</v>
      </c>
      <c r="N42">
        <f t="shared" si="4"/>
        <v>0.67559930893208298</v>
      </c>
      <c r="O42" s="59">
        <f t="shared" si="5"/>
        <v>1.4756129317226984E-2</v>
      </c>
      <c r="P42" s="63">
        <f t="shared" si="6"/>
        <v>2.1119955265951472E-2</v>
      </c>
      <c r="Q42" s="59">
        <f t="shared" si="7"/>
        <v>0.28484104365361246</v>
      </c>
      <c r="R42" s="59">
        <f t="shared" si="8"/>
        <v>47.348585137022027</v>
      </c>
      <c r="S42" s="59">
        <f t="shared" si="9"/>
        <v>0.69868184526962862</v>
      </c>
      <c r="T42" s="59">
        <f t="shared" si="10"/>
        <v>1.0309839660397413E-2</v>
      </c>
      <c r="U42" s="23">
        <f t="shared" si="11"/>
        <v>2241.8885144778233</v>
      </c>
      <c r="V42" s="59">
        <f t="shared" si="12"/>
        <v>47.348585137022027</v>
      </c>
      <c r="W42" s="59">
        <f t="shared" si="13"/>
        <v>0.69868184526962862</v>
      </c>
      <c r="AF42" s="59">
        <f t="shared" si="14"/>
        <v>1.4756129317226984E-2</v>
      </c>
      <c r="AG42" s="59">
        <f t="shared" si="15"/>
        <v>0.28484104365361246</v>
      </c>
      <c r="AH42" s="59">
        <f t="shared" si="16"/>
        <v>0.28484104365361246</v>
      </c>
      <c r="AJ42">
        <f t="shared" si="17"/>
        <v>0.14532706308857779</v>
      </c>
      <c r="AK42">
        <f t="shared" si="18"/>
        <v>6.8810308193628984</v>
      </c>
      <c r="AL42">
        <f t="shared" si="19"/>
        <v>0.10153738060634328</v>
      </c>
      <c r="AN42" t="str">
        <f t="shared" si="20"/>
        <v>Hannestad J</v>
      </c>
      <c r="AO42">
        <f t="shared" si="21"/>
        <v>2006</v>
      </c>
      <c r="AP42" t="str">
        <f t="shared" si="22"/>
        <v>Hannestad J 2006</v>
      </c>
      <c r="AQ42">
        <f t="shared" si="23"/>
        <v>182</v>
      </c>
      <c r="AR42">
        <f t="shared" si="24"/>
        <v>3.49</v>
      </c>
      <c r="AS42">
        <f t="shared" si="25"/>
        <v>0.7</v>
      </c>
      <c r="AT42">
        <f t="shared" si="26"/>
        <v>64</v>
      </c>
      <c r="AU42">
        <f t="shared" si="27"/>
        <v>3.48</v>
      </c>
      <c r="AV42">
        <f t="shared" si="28"/>
        <v>0.6</v>
      </c>
      <c r="AW42" s="65">
        <f t="shared" si="29"/>
        <v>1.4756129317226984E-2</v>
      </c>
      <c r="AX42">
        <f t="shared" si="30"/>
        <v>0.14532706308857779</v>
      </c>
    </row>
    <row r="43" spans="1:51">
      <c r="E43" t="str">
        <f t="shared" si="1"/>
        <v>Matsuo K</v>
      </c>
      <c r="F43">
        <f t="shared" si="1"/>
        <v>2008</v>
      </c>
      <c r="G43">
        <v>2</v>
      </c>
      <c r="H43">
        <f t="shared" si="2"/>
        <v>27</v>
      </c>
      <c r="I43">
        <f t="shared" si="2"/>
        <v>26</v>
      </c>
      <c r="J43">
        <f t="shared" ref="J43:M44" si="32">IF($D$4="Total",T30,IF($D$4="Left",L30,IF($D$4="Right",P30,"error")))</f>
        <v>2.42</v>
      </c>
      <c r="K43">
        <f t="shared" si="32"/>
        <v>0.33</v>
      </c>
      <c r="L43">
        <f t="shared" si="32"/>
        <v>2.5299999999999998</v>
      </c>
      <c r="M43">
        <f t="shared" si="32"/>
        <v>0.32</v>
      </c>
      <c r="N43">
        <f>IF($D$3=1,SQRT((((I43-1)*(M43)^2)+((H43-1)*(K43)^2))/(H43+I43-2)),M43)</f>
        <v>0.32513647210086427</v>
      </c>
      <c r="O43" s="59">
        <f>IF($D$6=1,LN(J43/L43),IF($D$5=1,(1-3/(4*(H43+I43)-9))*((J43-L43)/N43),(J43-L43)/N43))</f>
        <v>-0.33331967815297275</v>
      </c>
      <c r="P43" s="63">
        <f>IF($D$6=1,(K43^2)/(H43*J43^2)+(M43^2)/(I43*L43^2),(IF($D$5=1,((H43+I43)/(H43*I43))+(O43*O43)/(2*(H43+I43-3.94)),((H43+I43)/(H43*I43))+((O43^2)/(2*(H43+I43-2))))))</f>
        <v>7.6630882957238369E-2</v>
      </c>
      <c r="Q43" s="59">
        <f t="shared" si="7"/>
        <v>0.54257276006866295</v>
      </c>
      <c r="R43" s="59">
        <f>1/P43</f>
        <v>13.049569069405358</v>
      </c>
      <c r="S43" s="59">
        <f>O43*R43</f>
        <v>-4.349678162249182</v>
      </c>
      <c r="T43" s="59">
        <f>R43*(O43^2)</f>
        <v>1.4498333251099114</v>
      </c>
      <c r="U43" s="23">
        <f>R43^2</f>
        <v>170.29125289718101</v>
      </c>
      <c r="V43" s="59">
        <f t="shared" si="12"/>
        <v>13.049569069405358</v>
      </c>
      <c r="W43" s="59">
        <f>V43*O43</f>
        <v>-4.349678162249182</v>
      </c>
      <c r="AF43" s="59">
        <f>IF($D$6=1,100*((EXP(O43))-1),O43)</f>
        <v>-0.33331967815297275</v>
      </c>
      <c r="AG43" s="59">
        <f>IF($D$6=1,100*(EXP(O43+Q43)-EXP(O43)),Q43)</f>
        <v>0.54257276006866295</v>
      </c>
      <c r="AH43" s="59">
        <f>IF($D$6=1,100*(EXP(O43)-EXP(O43-Q43)),Q43)</f>
        <v>0.54257276006866295</v>
      </c>
      <c r="AJ43">
        <f>SQRT(P43)</f>
        <v>0.27682283676972602</v>
      </c>
      <c r="AK43">
        <f t="shared" si="18"/>
        <v>3.6124187284152645</v>
      </c>
      <c r="AL43">
        <f>O43/AJ43</f>
        <v>-1.2040902479091471</v>
      </c>
      <c r="AN43" t="str">
        <f>E43</f>
        <v>Matsuo K</v>
      </c>
      <c r="AO43">
        <f>F43</f>
        <v>2008</v>
      </c>
      <c r="AP43" t="str">
        <f>CONCATENATE(AN43," ",AO43)</f>
        <v>Matsuo K 2008</v>
      </c>
      <c r="AQ43">
        <f>INT(H43)</f>
        <v>27</v>
      </c>
      <c r="AR43">
        <f>J43</f>
        <v>2.42</v>
      </c>
      <c r="AS43">
        <f>K43</f>
        <v>0.33</v>
      </c>
      <c r="AT43">
        <f>INT(I43)</f>
        <v>26</v>
      </c>
      <c r="AU43">
        <f>L43</f>
        <v>2.5299999999999998</v>
      </c>
      <c r="AV43">
        <f>M43</f>
        <v>0.32</v>
      </c>
      <c r="AW43" s="65">
        <f>O43</f>
        <v>-0.33331967815297275</v>
      </c>
      <c r="AX43">
        <f>SQRT(P43)</f>
        <v>0.27682283676972602</v>
      </c>
    </row>
    <row r="44" spans="1:51">
      <c r="E44" t="str">
        <f t="shared" si="1"/>
        <v>Pizzagalli DA</v>
      </c>
      <c r="F44">
        <f t="shared" si="1"/>
        <v>2009</v>
      </c>
      <c r="G44">
        <v>1</v>
      </c>
      <c r="H44">
        <f t="shared" si="2"/>
        <v>26</v>
      </c>
      <c r="I44">
        <f t="shared" si="2"/>
        <v>31</v>
      </c>
      <c r="J44">
        <f t="shared" si="32"/>
        <v>3427</v>
      </c>
      <c r="K44">
        <f t="shared" si="32"/>
        <v>507</v>
      </c>
      <c r="L44">
        <f t="shared" si="32"/>
        <v>3433</v>
      </c>
      <c r="M44">
        <f t="shared" si="32"/>
        <v>447</v>
      </c>
      <c r="N44">
        <f>IF($D$3=1,SQRT((((I44-1)*(M44)^2)+((H44-1)*(K44)^2))/(H44+I44-2)),M44)</f>
        <v>475.21277531036748</v>
      </c>
      <c r="O44" s="59">
        <f>IF($D$6=1,LN(J44/L44),IF($D$5=1,(1-3/(4*(H44+I44)-9))*((J44-L44)/N44),(J44-L44)/N44))</f>
        <v>-1.245296533813319E-2</v>
      </c>
      <c r="P44" s="63">
        <f>IF($D$6=1,(K44^2)/(H44*J44^2)+(M44^2)/(I44*L44^2),(IF($D$5=1,((H44+I44)/(H44*I44))+(O44*O44)/(2*(H44+I44-3.94)),((H44+I44)/(H44*I44))+((O44^2)/(2*(H44+I44-2))))))</f>
        <v>7.0721064307725096E-2</v>
      </c>
      <c r="Q44" s="59">
        <f t="shared" si="7"/>
        <v>0.52123127366319522</v>
      </c>
      <c r="R44" s="59">
        <f>1/P44</f>
        <v>14.140058690982775</v>
      </c>
      <c r="S44" s="59">
        <f>O44*R44</f>
        <v>-0.17608566075797746</v>
      </c>
      <c r="T44" s="59">
        <f>R44*(O44^2)</f>
        <v>2.1927886299613728E-3</v>
      </c>
      <c r="U44" s="23">
        <f>R44^2</f>
        <v>199.94125978443751</v>
      </c>
      <c r="V44" s="59">
        <f t="shared" si="12"/>
        <v>14.140058690982775</v>
      </c>
      <c r="W44" s="59">
        <f>V44*O44</f>
        <v>-0.17608566075797746</v>
      </c>
      <c r="AF44" s="59">
        <f>IF($D$6=1,100*((EXP(O44))-1),O44)</f>
        <v>-1.245296533813319E-2</v>
      </c>
      <c r="AG44" s="59">
        <f>IF($D$6=1,100*(EXP(O44+Q44)-EXP(O44)),Q44)</f>
        <v>0.52123127366319522</v>
      </c>
      <c r="AH44" s="59">
        <f>IF($D$6=1,100*(EXP(O44)-EXP(O44-Q44)),Q44)</f>
        <v>0.52123127366319522</v>
      </c>
      <c r="AJ44">
        <f>SQRT(P44)</f>
        <v>0.26593432329754857</v>
      </c>
      <c r="AK44">
        <f t="shared" si="18"/>
        <v>3.7603269393741257</v>
      </c>
      <c r="AL44">
        <f>O44/AJ44</f>
        <v>-4.6827221036074451E-2</v>
      </c>
      <c r="AN44" t="str">
        <f>E44</f>
        <v>Pizzagalli DA</v>
      </c>
      <c r="AO44">
        <f>F44</f>
        <v>2009</v>
      </c>
      <c r="AP44" t="str">
        <f>CONCATENATE(AN44," ",AO44)</f>
        <v>Pizzagalli DA 2009</v>
      </c>
      <c r="AQ44">
        <f>INT(H44)</f>
        <v>26</v>
      </c>
      <c r="AR44">
        <f>J44</f>
        <v>3427</v>
      </c>
      <c r="AS44">
        <f>K44</f>
        <v>507</v>
      </c>
      <c r="AT44">
        <f>INT(I44)</f>
        <v>31</v>
      </c>
      <c r="AU44">
        <f>L44</f>
        <v>3433</v>
      </c>
      <c r="AV44">
        <f>M44</f>
        <v>447</v>
      </c>
      <c r="AW44" s="65">
        <f>O44</f>
        <v>-1.245296533813319E-2</v>
      </c>
      <c r="AX44">
        <f>SQRT(P44)</f>
        <v>0.26593432329754857</v>
      </c>
    </row>
    <row r="45" spans="1:51">
      <c r="U45" s="23"/>
    </row>
    <row r="46" spans="1:51">
      <c r="L46" t="s">
        <v>500</v>
      </c>
      <c r="N46" s="7"/>
      <c r="O46" s="66">
        <f>COUNT(O37:O44)</f>
        <v>8</v>
      </c>
      <c r="Q46" t="s">
        <v>885</v>
      </c>
      <c r="R46" s="59">
        <f t="shared" ref="R46:W46" si="33">SUM(R37:R44)</f>
        <v>130.52089759764118</v>
      </c>
      <c r="S46" s="59">
        <f t="shared" si="33"/>
        <v>-9.6815636438725257</v>
      </c>
      <c r="T46" s="59">
        <f t="shared" si="33"/>
        <v>4.95103116797317</v>
      </c>
      <c r="U46" s="23">
        <f t="shared" si="33"/>
        <v>3296.7346301783778</v>
      </c>
      <c r="V46" s="59">
        <f t="shared" si="33"/>
        <v>130.52089759764118</v>
      </c>
      <c r="W46" s="59">
        <f t="shared" si="33"/>
        <v>-9.6815636438725257</v>
      </c>
    </row>
    <row r="47" spans="1:51">
      <c r="L47" t="s">
        <v>501</v>
      </c>
      <c r="N47" s="7"/>
      <c r="O47" s="2">
        <v>0</v>
      </c>
    </row>
    <row r="48" spans="1:51">
      <c r="N48" s="7"/>
      <c r="O48" s="7"/>
    </row>
    <row r="49" spans="7:34">
      <c r="G49" s="67" t="s">
        <v>502</v>
      </c>
      <c r="H49" s="40"/>
      <c r="I49" s="40">
        <f>S46/R46</f>
        <v>-7.4176348937761941E-2</v>
      </c>
      <c r="J49" s="40"/>
      <c r="K49" s="68" t="s">
        <v>879</v>
      </c>
      <c r="L49" s="40"/>
      <c r="M49" s="42"/>
      <c r="N49" s="7"/>
      <c r="O49" s="69" t="s">
        <v>503</v>
      </c>
      <c r="P49" s="70">
        <f>T46-((S46^2)/R46)</f>
        <v>4.2328881248621313</v>
      </c>
      <c r="Q49" s="71" t="s">
        <v>824</v>
      </c>
      <c r="R49" s="28"/>
      <c r="S49" s="29"/>
      <c r="T49" s="30"/>
      <c r="U49" s="31"/>
      <c r="AF49" s="2" t="s">
        <v>1518</v>
      </c>
    </row>
    <row r="50" spans="7:34">
      <c r="G50" s="43" t="s">
        <v>504</v>
      </c>
      <c r="H50" s="31"/>
      <c r="I50" s="31">
        <f>1/R46</f>
        <v>7.6616083585535526E-3</v>
      </c>
      <c r="J50" s="31"/>
      <c r="K50" s="31"/>
      <c r="L50" s="31"/>
      <c r="M50" s="44"/>
      <c r="N50" s="7"/>
      <c r="O50" s="30" t="s">
        <v>505</v>
      </c>
      <c r="P50" s="31">
        <f>CHIDIST(P49,I54-1)</f>
        <v>0.75259651761986646</v>
      </c>
      <c r="Q50" s="31"/>
      <c r="R50" s="31"/>
      <c r="S50" s="34"/>
      <c r="T50" s="30"/>
      <c r="U50" s="31"/>
      <c r="AF50" s="2"/>
    </row>
    <row r="51" spans="7:34">
      <c r="G51" s="72" t="s">
        <v>506</v>
      </c>
      <c r="H51" s="31"/>
      <c r="I51" s="31">
        <f>$R$61*SQRT(I50)</f>
        <v>0.17156000311908171</v>
      </c>
      <c r="J51" s="31"/>
      <c r="K51" s="31" t="s">
        <v>507</v>
      </c>
      <c r="L51" s="31"/>
      <c r="M51" s="44">
        <f>ABS(I49/SQRT(I50))</f>
        <v>0.84743320864304028</v>
      </c>
      <c r="N51" s="7"/>
      <c r="O51" s="35" t="s">
        <v>508</v>
      </c>
      <c r="P51" s="37">
        <f>IF(((P49-(I54-1))/P49)&lt;0,0,100*((P49-(I54-1))/P49))</f>
        <v>0</v>
      </c>
      <c r="Q51" s="36"/>
      <c r="R51" s="36"/>
      <c r="S51" s="38"/>
      <c r="T51" s="30"/>
      <c r="U51" s="31"/>
      <c r="AF51" s="2" t="s">
        <v>1535</v>
      </c>
      <c r="AH51">
        <f>IF($D$6=1,100*((EXP(I49))-1),I49)</f>
        <v>-7.4176348937761941E-2</v>
      </c>
    </row>
    <row r="52" spans="7:34">
      <c r="G52" s="45" t="s">
        <v>509</v>
      </c>
      <c r="H52" s="46"/>
      <c r="I52" s="46">
        <v>-2</v>
      </c>
      <c r="J52" s="46"/>
      <c r="K52" s="46" t="s">
        <v>825</v>
      </c>
      <c r="L52" s="46"/>
      <c r="M52" s="47">
        <f>2*(1-NORMDIST(M51,0,1,1))</f>
        <v>0.39675370097326845</v>
      </c>
      <c r="N52" s="7"/>
      <c r="O52" s="7"/>
      <c r="AF52" s="79" t="s">
        <v>834</v>
      </c>
      <c r="AH52">
        <f>IF($D$6=1,100*(EXP(I49+I51)-EXP(I49)),I51)</f>
        <v>0.17156000311908171</v>
      </c>
    </row>
    <row r="53" spans="7:34">
      <c r="G53" s="40"/>
      <c r="H53" s="40"/>
      <c r="I53" s="40"/>
      <c r="J53" s="40"/>
      <c r="K53" s="40"/>
      <c r="L53" s="40"/>
      <c r="M53" s="40"/>
      <c r="N53" s="7"/>
      <c r="O53" s="7"/>
      <c r="AF53" s="79" t="s">
        <v>835</v>
      </c>
      <c r="AH53">
        <f>IF($D$6=1,100*(EXP(I49)-EXP(I49-I51)),I51)</f>
        <v>0.17156000311908171</v>
      </c>
    </row>
    <row r="54" spans="7:34">
      <c r="G54" s="73" t="s">
        <v>1110</v>
      </c>
      <c r="H54" s="74"/>
      <c r="I54" s="74">
        <f>O46</f>
        <v>8</v>
      </c>
      <c r="J54" s="74"/>
      <c r="K54" s="75" t="s">
        <v>1167</v>
      </c>
      <c r="L54" s="74"/>
      <c r="M54" s="76"/>
      <c r="N54" s="77"/>
      <c r="O54" s="101" t="s">
        <v>1513</v>
      </c>
      <c r="P54" s="102"/>
      <c r="Q54" s="103"/>
      <c r="AF54" s="7"/>
    </row>
    <row r="55" spans="7:34">
      <c r="G55" s="77" t="s">
        <v>1531</v>
      </c>
      <c r="H55" s="31"/>
      <c r="I55" s="31">
        <f>R46/I54</f>
        <v>16.315112199705148</v>
      </c>
      <c r="J55" s="31"/>
      <c r="K55" s="31"/>
      <c r="L55" s="31"/>
      <c r="M55" s="78"/>
      <c r="N55" s="77"/>
      <c r="O55" s="104" t="s">
        <v>1514</v>
      </c>
      <c r="P55" s="31"/>
      <c r="Q55" s="105">
        <f>INDEX(LINEST(AL37:AL44,AK37:AK44,TRUE,TRUE),1,2)</f>
        <v>-0.63705791483315766</v>
      </c>
      <c r="AF55" s="2" t="s">
        <v>1687</v>
      </c>
      <c r="AH55">
        <f>IF($D$6=1,100*((EXP(I60))-1),I60)</f>
        <v>-7.4176348937761941E-2</v>
      </c>
    </row>
    <row r="56" spans="7:34">
      <c r="G56" s="77" t="s">
        <v>1532</v>
      </c>
      <c r="H56" s="31"/>
      <c r="I56" s="31">
        <f>(1/(I54-1))*(U46-(I54*I55^2))</f>
        <v>166.75307735237655</v>
      </c>
      <c r="J56" s="31"/>
      <c r="K56" s="31"/>
      <c r="L56" s="31"/>
      <c r="M56" s="78"/>
      <c r="N56" s="77"/>
      <c r="O56" s="104" t="s">
        <v>1516</v>
      </c>
      <c r="P56" s="31"/>
      <c r="Q56" s="105">
        <f>INDEX(LINEST(AL37:AL44,AK37:AK44,TRUE,TRUE),2,2)</f>
        <v>0.94159445871980751</v>
      </c>
      <c r="AF56" s="79" t="s">
        <v>834</v>
      </c>
      <c r="AG56" s="7"/>
      <c r="AH56">
        <f>IF($D$6=1,100*(EXP(I60+I62)-EXP(I60)),I62)</f>
        <v>0.17156000311908171</v>
      </c>
    </row>
    <row r="57" spans="7:34">
      <c r="G57" s="77" t="s">
        <v>1669</v>
      </c>
      <c r="H57" s="31"/>
      <c r="I57" s="31">
        <f>(I54-1)*(I55-(I56/(I54*I55)))</f>
        <v>105.26260799913356</v>
      </c>
      <c r="J57" s="31"/>
      <c r="K57" s="31"/>
      <c r="L57" s="31"/>
      <c r="M57" s="78"/>
      <c r="N57" s="77"/>
      <c r="O57" s="104" t="s">
        <v>1349</v>
      </c>
      <c r="P57" s="31"/>
      <c r="Q57" s="105">
        <f>ABS(Q55/Q56)</f>
        <v>0.67657355980971046</v>
      </c>
      <c r="AF57" s="79" t="s">
        <v>835</v>
      </c>
      <c r="AH57">
        <f>IF($D$6=1,100*(EXP(I60)-EXP(I60-I62)),I62)</f>
        <v>0.17156000311908171</v>
      </c>
    </row>
    <row r="58" spans="7:34">
      <c r="G58" s="77" t="s">
        <v>1685</v>
      </c>
      <c r="H58" s="31"/>
      <c r="I58" s="31">
        <f>IF(P49&gt;(I54-1),(P49-(I54-1))/I57,0)</f>
        <v>0</v>
      </c>
      <c r="J58" s="31"/>
      <c r="K58" s="31"/>
      <c r="L58" s="31"/>
      <c r="M58" s="78"/>
      <c r="N58" s="77"/>
      <c r="O58" s="106" t="s">
        <v>1515</v>
      </c>
      <c r="P58" s="107"/>
      <c r="Q58" s="108">
        <f>TDIST(Q57,I54-2,2)</f>
        <v>0.52388742628746066</v>
      </c>
    </row>
    <row r="59" spans="7:34">
      <c r="G59" s="77"/>
      <c r="H59" s="31"/>
      <c r="I59" s="31"/>
      <c r="J59" s="31"/>
      <c r="K59" s="31"/>
      <c r="L59" s="31"/>
      <c r="M59" s="78"/>
      <c r="N59" s="77"/>
    </row>
    <row r="60" spans="7:34">
      <c r="G60" s="77" t="s">
        <v>1686</v>
      </c>
      <c r="H60" s="31"/>
      <c r="I60" s="31">
        <f>W46/V46</f>
        <v>-7.4176348937761941E-2</v>
      </c>
      <c r="J60" s="31"/>
      <c r="N60" s="77"/>
    </row>
    <row r="61" spans="7:34">
      <c r="G61" s="77" t="s">
        <v>504</v>
      </c>
      <c r="H61" s="31"/>
      <c r="I61" s="31">
        <f>1/V46</f>
        <v>7.6616083585535526E-3</v>
      </c>
      <c r="J61" s="31"/>
      <c r="N61" s="77"/>
      <c r="O61" t="s">
        <v>805</v>
      </c>
      <c r="R61">
        <v>1.96</v>
      </c>
    </row>
    <row r="62" spans="7:34">
      <c r="G62" s="80" t="s">
        <v>506</v>
      </c>
      <c r="H62" s="31"/>
      <c r="I62" s="31">
        <f>$R$61*SQRT(I61)</f>
        <v>0.17156000311908171</v>
      </c>
      <c r="J62" s="31"/>
      <c r="K62" s="31" t="s">
        <v>507</v>
      </c>
      <c r="L62" s="31"/>
      <c r="M62" s="78">
        <f>ABS(I60/(SQRT(I61)))</f>
        <v>0.84743320864304028</v>
      </c>
      <c r="N62" s="77"/>
    </row>
    <row r="63" spans="7:34">
      <c r="G63" s="81" t="s">
        <v>509</v>
      </c>
      <c r="H63" s="82"/>
      <c r="I63" s="82">
        <v>-3</v>
      </c>
      <c r="J63" s="82"/>
      <c r="K63" s="31" t="s">
        <v>825</v>
      </c>
      <c r="L63" s="31"/>
      <c r="M63" s="78">
        <f>2*(1-NORMDIST(M62,0,1,1))</f>
        <v>0.39675370097326845</v>
      </c>
      <c r="N63" s="77"/>
    </row>
    <row r="64" spans="7:34">
      <c r="G64" s="74"/>
      <c r="H64" s="74"/>
      <c r="I64" s="74"/>
      <c r="J64" s="74"/>
      <c r="K64" s="74"/>
      <c r="L64" s="74"/>
      <c r="M64" s="74"/>
      <c r="N64" s="31"/>
      <c r="O64" s="7"/>
    </row>
  </sheetData>
  <phoneticPr fontId="10" type="noConversion"/>
  <conditionalFormatting sqref="D17 D13 F13">
    <cfRule type="cellIs" dxfId="128" priority="0" stopIfTrue="1" operator="lessThan">
      <formula>0.05</formula>
    </cfRule>
  </conditionalFormatting>
  <conditionalFormatting sqref="D21">
    <cfRule type="cellIs" dxfId="12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sheetPr published="0" codeName="Sheet37" enableFormatConditionsCalculation="0"/>
  <dimension ref="A1:BM6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783</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I53-O46</f>
        <v>8</v>
      </c>
      <c r="AD7" s="89"/>
    </row>
    <row r="8" spans="2:30">
      <c r="B8" t="s">
        <v>822</v>
      </c>
      <c r="D8">
        <f>SUM(H24:H31)</f>
        <v>347</v>
      </c>
      <c r="AD8" s="89"/>
    </row>
    <row r="9" spans="2:30">
      <c r="B9" t="s">
        <v>823</v>
      </c>
      <c r="D9">
        <f>SUM(I24:I31)</f>
        <v>258</v>
      </c>
      <c r="AD9" s="89"/>
    </row>
    <row r="11" spans="2:30">
      <c r="B11" s="27" t="s">
        <v>516</v>
      </c>
      <c r="C11" s="28"/>
      <c r="D11" s="109">
        <f>P48</f>
        <v>5.9132137246851109</v>
      </c>
      <c r="E11" s="110" t="s">
        <v>1513</v>
      </c>
      <c r="F11" s="103"/>
    </row>
    <row r="12" spans="2:30">
      <c r="B12" s="30" t="s">
        <v>826</v>
      </c>
      <c r="C12" s="31"/>
      <c r="D12" s="112">
        <f>P50</f>
        <v>0</v>
      </c>
      <c r="E12" s="31"/>
      <c r="F12" s="105"/>
    </row>
    <row r="13" spans="2:30">
      <c r="B13" s="35" t="s">
        <v>825</v>
      </c>
      <c r="C13" s="36"/>
      <c r="D13" s="113">
        <f>P49</f>
        <v>0.54991881367795925</v>
      </c>
      <c r="E13" s="111" t="s">
        <v>825</v>
      </c>
      <c r="F13" s="115">
        <f>Q57</f>
        <v>0.50224546278026327</v>
      </c>
    </row>
    <row r="15" spans="2:30">
      <c r="B15" s="39" t="s">
        <v>879</v>
      </c>
      <c r="C15" s="40"/>
      <c r="D15" s="41">
        <f>AH50</f>
        <v>-4.7656255192206627E-2</v>
      </c>
      <c r="E15" s="116"/>
    </row>
    <row r="16" spans="2:30">
      <c r="B16" s="43" t="s">
        <v>1165</v>
      </c>
      <c r="C16" s="31"/>
      <c r="D16" s="33">
        <f>AH50-AH52</f>
        <v>-0.21934588945843614</v>
      </c>
      <c r="E16" s="117">
        <f>AH50+AH51</f>
        <v>0.1240333790740229</v>
      </c>
    </row>
    <row r="17" spans="1:65">
      <c r="B17" s="45" t="s">
        <v>1166</v>
      </c>
      <c r="C17" s="46"/>
      <c r="D17" s="123">
        <f>M51</f>
        <v>0.58641301939949586</v>
      </c>
      <c r="E17" s="118"/>
    </row>
    <row r="18" spans="1:65">
      <c r="D18" s="48"/>
      <c r="F18" s="49"/>
    </row>
    <row r="19" spans="1:65">
      <c r="B19" s="50" t="s">
        <v>1167</v>
      </c>
      <c r="C19" s="51"/>
      <c r="D19" s="52">
        <f>AH54</f>
        <v>-4.7656255192206627E-2</v>
      </c>
      <c r="E19" s="120"/>
      <c r="F19" s="33"/>
      <c r="G19" s="31"/>
    </row>
    <row r="20" spans="1:65">
      <c r="B20" s="53" t="s">
        <v>1165</v>
      </c>
      <c r="C20" s="31"/>
      <c r="D20" s="33">
        <f>AH54-AH56</f>
        <v>-0.21934588945843614</v>
      </c>
      <c r="E20" s="121">
        <f>AH54+AH55</f>
        <v>0.1240333790740229</v>
      </c>
      <c r="F20" s="31"/>
      <c r="G20" s="31"/>
    </row>
    <row r="21" spans="1:65">
      <c r="B21" s="54" t="s">
        <v>1440</v>
      </c>
      <c r="C21" s="55"/>
      <c r="D21" s="114">
        <f>M62</f>
        <v>0.58641301939949586</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10710164</v>
      </c>
      <c r="C24" s="1" t="str">
        <f>IF($B24="","",HYPERLINK(IF(LEN(VLOOKUP($B24,Database!$B$1:$IX$10144,2,FALSE))=0,"",VLOOKUP($B24,Database!$B$1:$IX$10144,2,FALSE))))</f>
        <v/>
      </c>
      <c r="D24" s="1" t="str">
        <f t="shared" ref="D24:D30" si="0">IF($B24="","",HYPERLINK(CONCATENATE("http://www.ncbi.nlm.nih.gov/pubmed/",B24)))</f>
        <v>http://www.ncbi.nlm.nih.gov/pubmed/10710164</v>
      </c>
      <c r="E24" s="22" t="str">
        <f>IF($B24="","",IF(LEN(VLOOKUP($B24,Database!$B$1:$IX$10144,4,FALSE))=0,"",VLOOKUP($B24,Database!$B$1:$IX$10144,4,FALSE)))</f>
        <v>Pillay SS</v>
      </c>
      <c r="F24" s="22">
        <f>IF($B24="","",IF(LEN(VLOOKUP($B24,Database!$B$1:$IX$10144,5,FALSE))=0,"",VLOOKUP($B24,Database!$B$1:$IX$10144,5,FALSE)))</f>
        <v>1998</v>
      </c>
      <c r="G24" s="1" t="str">
        <f>IF($B24="","",HYPERLINK(IF(LEN(VLOOKUP($B24,Database!$B$1:$IX$10144,6,FALSE))=0,"",VLOOKUP($B24,Database!$B$1:$IX$10144,6,FALSE))))</f>
        <v>http://dx.doi.org/10.1016/S0925-4927(98)00048-1</v>
      </c>
      <c r="H24" s="22">
        <f>IF($B24="","",IF(LEN(VLOOKUP($B24,Database!$B$1:$IX$10144,7,FALSE))=0,"",VLOOKUP($B24,Database!$B$1:$IX$10144,7,FALSE)))</f>
        <v>38</v>
      </c>
      <c r="I24" s="22">
        <f>IF($B24="","",IF(LEN(VLOOKUP($B24,Database!$B$1:$IX$10144,8,FALSE))=0,"",VLOOKUP($B24,Database!$B$1:$IX$10144,8,FALSE)))</f>
        <v>20</v>
      </c>
      <c r="J24" t="s">
        <v>583</v>
      </c>
      <c r="L24">
        <v>4.5999999999999996</v>
      </c>
      <c r="M24">
        <v>0.7</v>
      </c>
      <c r="N24">
        <v>4.5999999999999996</v>
      </c>
      <c r="O24">
        <v>0.6</v>
      </c>
      <c r="P24">
        <v>4.4000000000000004</v>
      </c>
      <c r="Q24">
        <v>0.7</v>
      </c>
      <c r="R24">
        <v>4.4000000000000004</v>
      </c>
      <c r="S24">
        <v>0.4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38.5</v>
      </c>
      <c r="AC24" s="22">
        <f>IF(OR($B24="",AC$22=""),"",IF(LEN(VLOOKUP($B24,Database!$B$1:$IX$10144,AC$22,FALSE))=0,"",VLOOKUP($B24,Database!$B$1:$IX$10144,AC$22,FALSE)))</f>
        <v>10</v>
      </c>
      <c r="AD24" s="22">
        <f>IF(OR($B24="",AD$22=""),"",IF(LEN(VLOOKUP($B24,Database!$B$1:$IX$10144,AD$22,FALSE))=0,"",VLOOKUP($B24,Database!$B$1:$IX$10144,AD$22,FALSE)))</f>
        <v>40.299999999999997</v>
      </c>
      <c r="AE24" s="22">
        <f>IF(OR($B24="",AE$22=""),"",IF(LEN(VLOOKUP($B24,Database!$B$1:$IX$10144,AE$22,FALSE))=0,"",VLOOKUP($B24,Database!$B$1:$IX$10144,AE$22,FALSE)))</f>
        <v>10.4</v>
      </c>
      <c r="AF24" s="22">
        <f>IF(OR($B24="",AF$22=""),"",IF(LEN(VLOOKUP($B24,Database!$B$1:$IX$10144,AF$22,FALSE))=0,"",VLOOKUP($B24,Database!$B$1:$IX$10144,AF$22,FALSE)))</f>
        <v>21</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20.6</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Pillay SS, Renshaw PF, Bonello CM, Lafer BC, Fava M, Yurgelun-Todd D.</v>
      </c>
      <c r="AR24" s="13"/>
      <c r="AX24" s="13"/>
      <c r="AY24" s="13"/>
      <c r="AZ24" s="13"/>
      <c r="BA24" s="13"/>
      <c r="BC24" s="23"/>
      <c r="BF24" s="136"/>
      <c r="BG24" s="136"/>
      <c r="BH24" s="136"/>
      <c r="BI24" s="136"/>
    </row>
    <row r="25" spans="1:65">
      <c r="B25">
        <v>10588417</v>
      </c>
      <c r="C25" s="1" t="str">
        <f>IF($B25="","",HYPERLINK(IF(LEN(VLOOKUP($B25,Database!$B$1:$IX$10144,2,FALSE))=0,"",VLOOKUP($B25,Database!$B$1:$IX$10144,2,FALSE))))</f>
        <v/>
      </c>
      <c r="D25" s="1" t="str">
        <f t="shared" si="0"/>
        <v>http://www.ncbi.nlm.nih.gov/pubmed/10588417</v>
      </c>
      <c r="E25" s="22" t="str">
        <f>IF($B25="","",IF(LEN(VLOOKUP($B25,Database!$B$1:$IX$10144,4,FALSE))=0,"",VLOOKUP($B25,Database!$B$1:$IX$10144,4,FALSE)))</f>
        <v>Lenze EJ (B)</v>
      </c>
      <c r="F25" s="22">
        <f>IF($B25="","",IF(LEN(VLOOKUP($B25,Database!$B$1:$IX$10144,5,FALSE))=0,"",VLOOKUP($B25,Database!$B$1:$IX$10144,5,FALSE)))</f>
        <v>1999</v>
      </c>
      <c r="G25" s="1" t="str">
        <f>IF($B25="","",HYPERLINK(IF(LEN(VLOOKUP($B25,Database!$B$1:$IX$10144,6,FALSE))=0,"",VLOOKUP($B25,Database!$B$1:$IX$10144,6,FALSE))))</f>
        <v>http://ajp.psychiatryonline.org/cgi/reprint/156/12/1989</v>
      </c>
      <c r="H25" s="22">
        <f>IF($B25="","",IF(LEN(VLOOKUP($B25,Database!$B$1:$IX$10144,7,FALSE))=0,"",VLOOKUP($B25,Database!$B$1:$IX$10144,7,FALSE)))</f>
        <v>24</v>
      </c>
      <c r="I25" s="22">
        <f>IF($B25="","",IF(LEN(VLOOKUP($B25,Database!$B$1:$IX$10144,8,FALSE))=0,"",VLOOKUP($B25,Database!$B$1:$IX$10144,8,FALSE)))</f>
        <v>24</v>
      </c>
      <c r="J25" t="s">
        <v>584</v>
      </c>
      <c r="L25">
        <v>3.34</v>
      </c>
      <c r="M25">
        <v>0.69</v>
      </c>
      <c r="N25">
        <v>3.19</v>
      </c>
      <c r="O25">
        <v>0.59</v>
      </c>
      <c r="P25">
        <v>3.38</v>
      </c>
      <c r="Q25">
        <v>0.63</v>
      </c>
      <c r="R25">
        <v>3.21</v>
      </c>
      <c r="S25">
        <v>0.56999999999999995</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53</v>
      </c>
      <c r="AC25" s="22" t="str">
        <f>IF(OR($B25="",AC$22=""),"",IF(LEN(VLOOKUP($B25,Database!$B$1:$IX$10144,AC$22,FALSE))=0,"",VLOOKUP($B25,Database!$B$1:$IX$10144,AC$22,FALSE)))</f>
        <v>ns</v>
      </c>
      <c r="AD25" s="22">
        <f>IF(OR($B25="",AD$22=""),"",IF(LEN(VLOOKUP($B25,Database!$B$1:$IX$10144,AD$22,FALSE))=0,"",VLOOKUP($B25,Database!$B$1:$IX$10144,AD$22,FALSE)))</f>
        <v>53</v>
      </c>
      <c r="AE25" s="22" t="str">
        <f>IF(OR($B25="",AE$22=""),"",IF(LEN(VLOOKUP($B25,Database!$B$1:$IX$10144,AE$22,FALSE))=0,"",VLOOKUP($B25,Database!$B$1:$IX$10144,AE$22,FALSE)))</f>
        <v>ns</v>
      </c>
      <c r="AF25" s="22">
        <f>IF(OR($B25="",AF$22=""),"",IF(LEN(VLOOKUP($B25,Database!$B$1:$IX$10144,AF$22,FALSE))=0,"",VLOOKUP($B25,Database!$B$1:$IX$10144,AF$22,FALSE)))</f>
        <v>24</v>
      </c>
      <c r="AG25" s="22">
        <f>IF(OR($B25="",AG$22=""),"",IF(LEN(VLOOKUP($B25,Database!$B$1:$IX$10144,AG$22,FALSE))=0,"",VLOOKUP($B25,Database!$B$1:$IX$10144,AG$22,FALSE)))</f>
        <v>24</v>
      </c>
      <c r="AH25" s="22" t="str">
        <f>IF(OR($B25="",AH$22=""),"",IF(LEN(VLOOKUP($B25,Database!$B$1:$IX$10144,AH$22,FALSE))=0,"",VLOOKUP($B25,Database!$B$1:$IX$10144,AH$22,FALSE)))</f>
        <v/>
      </c>
      <c r="AI25" s="22">
        <f>IF(OR($B25="",AI$22=""),"",IF(LEN(VLOOKUP($B25,Database!$B$1:$IX$10144,AI$22,FALSE))=0,"",VLOOKUP($B25,Database!$B$1:$IX$10144,AI$22,FALSE)))</f>
        <v>1.25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Lenze EJ, Sheline YI.</v>
      </c>
      <c r="AR25" s="13"/>
      <c r="AX25" s="13"/>
      <c r="AY25" s="13"/>
      <c r="AZ25" s="13"/>
      <c r="BA25" s="13"/>
      <c r="BC25" s="23"/>
      <c r="BF25" s="136"/>
      <c r="BG25" s="136"/>
      <c r="BH25" s="136"/>
      <c r="BI25" s="136"/>
    </row>
    <row r="26" spans="1:65">
      <c r="B26">
        <v>10618023</v>
      </c>
      <c r="C26" s="1" t="str">
        <f>IF($B26="","",HYPERLINK(IF(LEN(VLOOKUP($B26,Database!$B$1:$IX$10144,2,FALSE))=0,"",VLOOKUP($B26,Database!$B$1:$IX$10144,2,FALSE))))</f>
        <v/>
      </c>
      <c r="D26" s="1" t="str">
        <f t="shared" si="0"/>
        <v>http://www.ncbi.nlm.nih.gov/pubmed/10618023</v>
      </c>
      <c r="E26" s="22" t="str">
        <f>IF($B26="","",IF(LEN(VLOOKUP($B26,Database!$B$1:$IX$10144,4,FALSE))=0,"",VLOOKUP($B26,Database!$B$1:$IX$10144,4,FALSE)))</f>
        <v>Bremner JD</v>
      </c>
      <c r="F26" s="22">
        <f>IF($B26="","",IF(LEN(VLOOKUP($B26,Database!$B$1:$IX$10144,5,FALSE))=0,"",VLOOKUP($B26,Database!$B$1:$IX$10144,5,FALSE)))</f>
        <v>2000</v>
      </c>
      <c r="G26" s="1" t="str">
        <f>IF($B26="","",HYPERLINK(IF(LEN(VLOOKUP($B26,Database!$B$1:$IX$10144,6,FALSE))=0,"",VLOOKUP($B26,Database!$B$1:$IX$10144,6,FALSE))))</f>
        <v>http://ajp.psychiatryonline.org/cgi/reprint/157/1/115</v>
      </c>
      <c r="H26" s="22">
        <f>IF($B26="","",IF(LEN(VLOOKUP($B26,Database!$B$1:$IX$10144,7,FALSE))=0,"",VLOOKUP($B26,Database!$B$1:$IX$10144,7,FALSE)))</f>
        <v>16</v>
      </c>
      <c r="I26" s="22">
        <f>IF($B26="","",IF(LEN(VLOOKUP($B26,Database!$B$1:$IX$10144,8,FALSE))=0,"",VLOOKUP($B26,Database!$B$1:$IX$10144,8,FALSE)))</f>
        <v>16</v>
      </c>
      <c r="J26" t="s">
        <v>1689</v>
      </c>
      <c r="K26" s="13" t="s">
        <v>585</v>
      </c>
      <c r="L26">
        <v>2668</v>
      </c>
      <c r="M26">
        <v>710</v>
      </c>
      <c r="N26">
        <v>2767</v>
      </c>
      <c r="O26">
        <v>571</v>
      </c>
      <c r="P26">
        <v>2712</v>
      </c>
      <c r="Q26">
        <v>765</v>
      </c>
      <c r="R26">
        <v>2802</v>
      </c>
      <c r="S26">
        <v>613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v>
      </c>
      <c r="AC26" s="22">
        <f>IF(OR($B26="",AC$22=""),"",IF(LEN(VLOOKUP($B26,Database!$B$1:$IX$10144,AC$22,FALSE))=0,"",VLOOKUP($B26,Database!$B$1:$IX$10144,AC$22,FALSE)))</f>
        <v>8</v>
      </c>
      <c r="AD26" s="22">
        <f>IF(OR($B26="",AD$22=""),"",IF(LEN(VLOOKUP($B26,Database!$B$1:$IX$10144,AD$22,FALSE))=0,"",VLOOKUP($B26,Database!$B$1:$IX$10144,AD$22,FALSE)))</f>
        <v>45</v>
      </c>
      <c r="AE26" s="22">
        <f>IF(OR($B26="",AE$22=""),"",IF(LEN(VLOOKUP($B26,Database!$B$1:$IX$10144,AE$22,FALSE))=0,"",VLOOKUP($B26,Database!$B$1:$IX$10144,AE$22,FALSE)))</f>
        <v>10</v>
      </c>
      <c r="AF26" s="22">
        <f>IF(OR($B26="",AF$22=""),"",IF(LEN(VLOOKUP($B26,Database!$B$1:$IX$10144,AF$22,FALSE))=0,"",VLOOKUP($B26,Database!$B$1:$IX$10144,AF$22,FALSE)))</f>
        <v>6</v>
      </c>
      <c r="AG26" s="22">
        <f>IF(OR($B26="",AG$22=""),"",IF(LEN(VLOOKUP($B26,Database!$B$1:$IX$10144,AG$22,FALSE))=0,"",VLOOKUP($B26,Database!$B$1:$IX$10144,AG$22,FALSE)))</f>
        <v>6</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f>IF(OR($B26="",AM$22=""),"",IF(LEN(VLOOKUP($B26,Database!$B$1:$IX$10144,AM$22,FALSE))=0,"",VLOOKUP($B26,Database!$B$1:$IX$10144,AM$22,FALSE)))</f>
        <v>100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0</v>
      </c>
      <c r="AQ26" s="22" t="str">
        <f>IF(OR($B26="",AQ$22=""),"",IF(LEN(VLOOKUP($B26,Database!$B$1:$IX$10144,AQ$22,FALSE))=0,"",VLOOKUP($B26,Database!$B$1:$IX$10144,AQ$22,FALSE)))</f>
        <v>Bremner JD, Narayan M, Anderson ER, Staib LH, Miller HL, Charney DS.</v>
      </c>
      <c r="AR26" s="13"/>
      <c r="AX26" s="13"/>
      <c r="AY26" s="13"/>
      <c r="AZ26" s="13"/>
      <c r="BA26" s="13"/>
      <c r="BC26" s="23"/>
      <c r="BF26" s="136"/>
      <c r="BG26" s="136"/>
      <c r="BH26" s="136"/>
      <c r="BI26" s="136"/>
    </row>
    <row r="27" spans="1:65">
      <c r="B27">
        <v>11200955</v>
      </c>
      <c r="C27" s="1" t="str">
        <f>IF($B27="","",HYPERLINK(IF(LEN(VLOOKUP($B27,Database!$B$1:$IX$10144,2,FALSE))=0,"",VLOOKUP($B27,Database!$B$1:$IX$10144,2,FALSE))))</f>
        <v/>
      </c>
      <c r="D27" s="1" t="str">
        <f t="shared" si="0"/>
        <v>http://www.ncbi.nlm.nih.gov/pubmed/11200955</v>
      </c>
      <c r="E27" s="22" t="str">
        <f>IF($B27="","",IF(LEN(VLOOKUP($B27,Database!$B$1:$IX$10144,4,FALSE))=0,"",VLOOKUP($B27,Database!$B$1:$IX$10144,4,FALSE)))</f>
        <v>McIntosh AM</v>
      </c>
      <c r="F27" s="22">
        <f>IF($B27="","",IF(LEN(VLOOKUP($B27,Database!$B$1:$IX$10144,5,FALSE))=0,"",VLOOKUP($B27,Database!$B$1:$IX$10144,5,FALSE)))</f>
        <v>2001</v>
      </c>
      <c r="G27" s="1" t="str">
        <f>IF($B27="","",HYPERLINK(IF(LEN(VLOOKUP($B27,Database!$B$1:$IX$10144,6,FALSE))=0,"",VLOOKUP($B27,Database!$B$1:$IX$10144,6,FALSE))))</f>
        <v>http://dx.doi.org/10.1017/S0033291799003177</v>
      </c>
      <c r="H27" s="22">
        <f>IF($B27="","",IF(LEN(VLOOKUP($B27,Database!$B$1:$IX$10144,7,FALSE))=0,"",VLOOKUP($B27,Database!$B$1:$IX$10144,7,FALSE)))</f>
        <v>9</v>
      </c>
      <c r="I27" s="22">
        <f>IF($B27="","",IF(LEN(VLOOKUP($B27,Database!$B$1:$IX$10144,8,FALSE))=0,"",VLOOKUP($B27,Database!$B$1:$IX$10144,8,FALSE)))</f>
        <v>29</v>
      </c>
      <c r="J27" t="s">
        <v>144</v>
      </c>
      <c r="L27">
        <v>4267</v>
      </c>
      <c r="M27">
        <v>506</v>
      </c>
      <c r="N27">
        <v>4336</v>
      </c>
      <c r="O27">
        <v>447</v>
      </c>
      <c r="P27">
        <v>4126</v>
      </c>
      <c r="Q27">
        <v>449</v>
      </c>
      <c r="R27">
        <v>4221</v>
      </c>
      <c r="S27">
        <v>513</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43.56</v>
      </c>
      <c r="AC27" s="22">
        <f>IF(OR($B27="",AC$22=""),"",IF(LEN(VLOOKUP($B27,Database!$B$1:$IX$10144,AC$22,FALSE))=0,"",VLOOKUP($B27,Database!$B$1:$IX$10144,AC$22,FALSE)))</f>
        <v>9.3800000000000008</v>
      </c>
      <c r="AD27" s="22">
        <f>IF(OR($B27="",AD$22=""),"",IF(LEN(VLOOKUP($B27,Database!$B$1:$IX$10144,AD$22,FALSE))=0,"",VLOOKUP($B27,Database!$B$1:$IX$10144,AD$22,FALSE)))</f>
        <v>42.76</v>
      </c>
      <c r="AE27" s="22">
        <f>IF(OR($B27="",AE$22=""),"",IF(LEN(VLOOKUP($B27,Database!$B$1:$IX$10144,AE$22,FALSE))=0,"",VLOOKUP($B27,Database!$B$1:$IX$10144,AE$22,FALSE)))</f>
        <v>9.91</v>
      </c>
      <c r="AF27" s="22">
        <f>IF(OR($B27="",AF$22=""),"",IF(LEN(VLOOKUP($B27,Database!$B$1:$IX$10144,AF$22,FALSE))=0,"",VLOOKUP($B27,Database!$B$1:$IX$10144,AF$22,FALSE)))</f>
        <v>5</v>
      </c>
      <c r="AG27" s="22">
        <f>IF(OR($B27="",AG$22=""),"",IF(LEN(VLOOKUP($B27,Database!$B$1:$IX$10144,AG$22,FALSE))=0,"",VLOOKUP($B27,Database!$B$1:$IX$10144,AG$22,FALSE)))</f>
        <v>16</v>
      </c>
      <c r="AH27" s="22">
        <f>IF(OR($B27="",AH$22=""),"",IF(LEN(VLOOKUP($B27,Database!$B$1:$IX$10144,AH$22,FALSE))=0,"",VLOOKUP($B27,Database!$B$1:$IX$10144,AH$22,FALSE)))</f>
        <v>1</v>
      </c>
      <c r="AI27" s="22">
        <f>IF(OR($B27="",AI$22=""),"",IF(LEN(VLOOKUP($B27,Database!$B$1:$IX$10144,AI$22,FALSE))=0,"",VLOOKUP($B27,Database!$B$1:$IX$10144,AI$22,FALSE)))</f>
        <v>1.88</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 M. McINTOSH, A. FORRESTER, S.M. LAWRIE, M. BYRNE, A. HARPER, J. N. KESTELMAN, J. J. K. BEST, P. MILLER, E. C. JOHNSTONE and D. G. C. OWENS</v>
      </c>
      <c r="AR27" s="13"/>
      <c r="AX27" s="13"/>
      <c r="AY27" s="13"/>
      <c r="AZ27" s="13"/>
      <c r="BA27" s="13"/>
      <c r="BC27" s="23"/>
      <c r="BF27" s="136"/>
      <c r="BG27" s="136"/>
      <c r="BH27" s="136"/>
      <c r="BI27" s="136"/>
    </row>
    <row r="28" spans="1:65">
      <c r="A28" s="13" t="s">
        <v>2334</v>
      </c>
      <c r="B28">
        <v>14623065</v>
      </c>
      <c r="C28" s="1" t="str">
        <f>IF($B28="","",HYPERLINK(IF(LEN(VLOOKUP($B28,Database!$B$1:$IX$10144,2,FALSE))=0,"",VLOOKUP($B28,Database!$B$1:$IX$10144,2,FALSE))))</f>
        <v/>
      </c>
      <c r="D28" s="1" t="str">
        <f t="shared" si="0"/>
        <v>http://www.ncbi.nlm.nih.gov/pubmed/14623065</v>
      </c>
      <c r="E28" s="22" t="str">
        <f>IF($B28="","",IF(LEN(VLOOKUP($B28,Database!$B$1:$IX$10144,4,FALSE))=0,"",VLOOKUP($B28,Database!$B$1:$IX$10144,4,FALSE)))</f>
        <v>Lacerda AL</v>
      </c>
      <c r="F28" s="22">
        <f>IF($B28="","",IF(LEN(VLOOKUP($B28,Database!$B$1:$IX$10144,5,FALSE))=0,"",VLOOKUP($B28,Database!$B$1:$IX$10144,5,FALSE)))</f>
        <v>2003</v>
      </c>
      <c r="G28" s="1" t="str">
        <f>IF($B28="","",HYPERLINK(IF(LEN(VLOOKUP($B28,Database!$B$1:$IX$10144,6,FALSE))=0,"",VLOOKUP($B28,Database!$B$1:$IX$10144,6,FALSE))))</f>
        <v>http://dx.doi.org/10.1016/S0925-4927(03)00123-9</v>
      </c>
      <c r="H28" s="22">
        <f>IF($B28="","",IF(LEN(VLOOKUP($B28,Database!$B$1:$IX$10144,7,FALSE))=0,"",VLOOKUP($B28,Database!$B$1:$IX$10144,7,FALSE)))</f>
        <v>25</v>
      </c>
      <c r="I28" s="22">
        <f>IF($B28="","",IF(LEN(VLOOKUP($B28,Database!$B$1:$IX$10144,8,FALSE))=0,"",VLOOKUP($B28,Database!$B$1:$IX$10144,8,FALSE)))</f>
        <v>48</v>
      </c>
      <c r="J28" t="s">
        <v>1589</v>
      </c>
      <c r="L28">
        <v>2.63</v>
      </c>
      <c r="M28">
        <v>0.42</v>
      </c>
      <c r="N28">
        <v>2.82</v>
      </c>
      <c r="O28">
        <v>0.5</v>
      </c>
      <c r="P28">
        <v>2.36</v>
      </c>
      <c r="Q28">
        <v>0.54</v>
      </c>
      <c r="R28">
        <v>2.46</v>
      </c>
      <c r="S28">
        <v>0.56000000000000005</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41.2</v>
      </c>
      <c r="AC28" s="22">
        <f>IF(OR($B28="",AC$22=""),"",IF(LEN(VLOOKUP($B28,Database!$B$1:$IX$10144,AC$22,FALSE))=0,"",VLOOKUP($B28,Database!$B$1:$IX$10144,AC$22,FALSE)))</f>
        <v>11.04</v>
      </c>
      <c r="AD28" s="22">
        <f>IF(OR($B28="",AD$22=""),"",IF(LEN(VLOOKUP($B28,Database!$B$1:$IX$10144,AD$22,FALSE))=0,"",VLOOKUP($B28,Database!$B$1:$IX$10144,AD$22,FALSE)))</f>
        <v>35.06</v>
      </c>
      <c r="AE28" s="22">
        <f>IF(OR($B28="",AE$22=""),"",IF(LEN(VLOOKUP($B28,Database!$B$1:$IX$10144,AE$22,FALSE))=0,"",VLOOKUP($B28,Database!$B$1:$IX$10144,AE$22,FALSE)))</f>
        <v>10.029999999999999</v>
      </c>
      <c r="AF28" s="22">
        <f>IF(OR($B28="",AF$22=""),"",IF(LEN(VLOOKUP($B28,Database!$B$1:$IX$10144,AF$22,FALSE))=0,"",VLOOKUP($B28,Database!$B$1:$IX$10144,AF$22,FALSE)))</f>
        <v>4</v>
      </c>
      <c r="AG28" s="22">
        <f>IF(OR($B28="",AG$22=""),"",IF(LEN(VLOOKUP($B28,Database!$B$1:$IX$10144,AG$22,FALSE))=0,"",VLOOKUP($B28,Database!$B$1:$IX$10144,AG$22,FALSE)))</f>
        <v>29</v>
      </c>
      <c r="AH28" s="22">
        <f>IF(OR($B28="",AH$22=""),"",IF(LEN(VLOOKUP($B28,Database!$B$1:$IX$10144,AH$22,FALSE))=0,"",VLOOKUP($B28,Database!$B$1:$IX$10144,AH$22,FALSE)))</f>
        <v>1.5</v>
      </c>
      <c r="AI28" s="22">
        <f>IF(OR($B28="",AI$22=""),"",IF(LEN(VLOOKUP($B28,Database!$B$1:$IX$10144,AI$22,FALSE))=0,"",VLOOKUP($B28,Database!$B$1:$IX$10144,AI$22,FALSE)))</f>
        <v>5</v>
      </c>
      <c r="AJ28" s="22" t="str">
        <f>IF(OR($B28="",AJ$22=""),"",IF(LEN(VLOOKUP($B28,Database!$B$1:$IX$10144,AJ$22,FALSE))=0,"",VLOOKUP($B28,Database!$B$1:$IX$10144,AJ$22,FALSE)))</f>
        <v/>
      </c>
      <c r="AK28" s="22">
        <f>IF(OR($B28="",AK$22=""),"",IF(LEN(VLOOKUP($B28,Database!$B$1:$IX$10144,AK$22,FALSE))=0,"",VLOOKUP($B28,Database!$B$1:$IX$10144,AK$22,FALSE)))</f>
        <v>29.44</v>
      </c>
      <c r="AL28" s="22">
        <f>IF(OR($B28="",AL$22=""),"",IF(LEN(VLOOKUP($B28,Database!$B$1:$IX$10144,AL$22,FALSE))=0,"",VLOOKUP($B28,Database!$B$1:$IX$10144,AL$22,FALSE)))</f>
        <v>10.91</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Lacerda AL, Nicoletti MA, Brambilla P, Sassi RB, Mallinger AG, Frank E, Kupfer DJ, Keshavan MS, Soares JC.</v>
      </c>
      <c r="AR28" s="13"/>
      <c r="AX28" s="13"/>
      <c r="AY28" s="13"/>
      <c r="AZ28" s="13"/>
      <c r="BA28" s="13"/>
      <c r="BC28" s="23"/>
      <c r="BF28" s="136"/>
      <c r="BG28" s="136"/>
      <c r="BH28" s="136"/>
      <c r="BI28" s="136"/>
    </row>
    <row r="29" spans="1:65">
      <c r="A29" s="10"/>
      <c r="B29">
        <v>16955447</v>
      </c>
      <c r="C29" s="1" t="str">
        <f>IF($B29="","",HYPERLINK(IF(LEN(VLOOKUP($B29,Database!$B$1:$IX$10144,2,FALSE))=0,"",VLOOKUP($B29,Database!$B$1:$IX$10144,2,FALSE))))</f>
        <v/>
      </c>
      <c r="D29" s="1" t="str">
        <f t="shared" si="0"/>
        <v>http://www.ncbi.nlm.nih.gov/pubmed/16955447</v>
      </c>
      <c r="E29" s="22" t="str">
        <f>IF($B29="","",IF(LEN(VLOOKUP($B29,Database!$B$1:$IX$10144,4,FALSE))=0,"",VLOOKUP($B29,Database!$B$1:$IX$10144,4,FALSE)))</f>
        <v>Hannestad J</v>
      </c>
      <c r="F29" s="22">
        <f>IF($B29="","",IF(LEN(VLOOKUP($B29,Database!$B$1:$IX$10144,5,FALSE))=0,"",VLOOKUP($B29,Database!$B$1:$IX$10144,5,FALSE)))</f>
        <v>2006</v>
      </c>
      <c r="G29" s="1" t="str">
        <f>IF($B29="","",HYPERLINK(IF(LEN(VLOOKUP($B29,Database!$B$1:$IX$10144,6,FALSE))=0,"",VLOOKUP($B29,Database!$B$1:$IX$10144,6,FALSE))))</f>
        <v>http://www3.interscience.wiley.com/cgi-bin/fulltext/112775032/PDFSTART</v>
      </c>
      <c r="H29" s="22">
        <f>IF($B29="","",IF(LEN(VLOOKUP($B29,Database!$B$1:$IX$10144,7,FALSE))=0,"",VLOOKUP($B29,Database!$B$1:$IX$10144,7,FALSE)))</f>
        <v>182</v>
      </c>
      <c r="I29" s="22">
        <f>IF($B29="","",IF(LEN(VLOOKUP($B29,Database!$B$1:$IX$10144,8,FALSE))=0,"",VLOOKUP($B29,Database!$B$1:$IX$10144,8,FALSE)))</f>
        <v>64</v>
      </c>
      <c r="J29" t="s">
        <v>145</v>
      </c>
      <c r="L29">
        <v>3.49</v>
      </c>
      <c r="M29">
        <v>0.7</v>
      </c>
      <c r="N29">
        <v>3.48</v>
      </c>
      <c r="O29">
        <v>0.6</v>
      </c>
      <c r="P29">
        <v>3.65</v>
      </c>
      <c r="Q29">
        <v>0.6</v>
      </c>
      <c r="R29">
        <v>3.63</v>
      </c>
      <c r="S29">
        <v>0.6</v>
      </c>
      <c r="T29">
        <v>7.14</v>
      </c>
      <c r="U29">
        <v>1.3</v>
      </c>
      <c r="V29">
        <v>7.11</v>
      </c>
      <c r="W29">
        <v>1.1000000000000001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70.2</v>
      </c>
      <c r="AC29" s="22">
        <f>IF(OR($B29="",AC$22=""),"",IF(LEN(VLOOKUP($B29,Database!$B$1:$IX$10144,AC$22,FALSE))=0,"",VLOOKUP($B29,Database!$B$1:$IX$10144,AC$22,FALSE)))</f>
        <v>5.8</v>
      </c>
      <c r="AD29" s="22">
        <f>IF(OR($B29="",AD$22=""),"",IF(LEN(VLOOKUP($B29,Database!$B$1:$IX$10144,AD$22,FALSE))=0,"",VLOOKUP($B29,Database!$B$1:$IX$10144,AD$22,FALSE)))</f>
        <v>70</v>
      </c>
      <c r="AE29" s="22">
        <f>IF(OR($B29="",AE$22=""),"",IF(LEN(VLOOKUP($B29,Database!$B$1:$IX$10144,AE$22,FALSE))=0,"",VLOOKUP($B29,Database!$B$1:$IX$10144,AE$22,FALSE)))</f>
        <v>7.7</v>
      </c>
      <c r="AF29" s="22">
        <f>IF(OR($B29="",AF$22=""),"",IF(LEN(VLOOKUP($B29,Database!$B$1:$IX$10144,AF$22,FALSE))=0,"",VLOOKUP($B29,Database!$B$1:$IX$10144,AF$22,FALSE)))</f>
        <v>129</v>
      </c>
      <c r="AG29" s="22">
        <f>IF(OR($B29="",AG$22=""),"",IF(LEN(VLOOKUP($B29,Database!$B$1:$IX$10144,AG$22,FALSE))=0,"",VLOOKUP($B29,Database!$B$1:$IX$10144,AG$22,FALSE)))</f>
        <v>41</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f>IF(OR($B29="",AK$22=""),"",IF(LEN(VLOOKUP($B29,Database!$B$1:$IX$10144,AK$22,FALSE))=0,"",VLOOKUP($B29,Database!$B$1:$IX$10144,AK$22,FALSE)))</f>
        <v>43.7</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Hannestad J, Taylor WD, McQuoid DR, Payne ME, Krishnan KR, Steffens DC, Macfall JR.</v>
      </c>
      <c r="AR29" s="13"/>
      <c r="AX29" s="13"/>
      <c r="AY29" s="13"/>
      <c r="AZ29" s="13"/>
      <c r="BA29" s="13"/>
      <c r="BC29" s="23"/>
      <c r="BF29" s="136"/>
      <c r="BG29" s="136"/>
      <c r="BH29" s="136"/>
      <c r="BI29" s="136"/>
    </row>
    <row r="30" spans="1:65">
      <c r="B30">
        <v>18439110</v>
      </c>
      <c r="C30" s="1" t="str">
        <f>IF($B30="","",HYPERLINK(IF(LEN(VLOOKUP($B30,Database!$B$1:$IX$10144,2,FALSE))=0,"",VLOOKUP($B30,Database!$B$1:$IX$10144,2,FALSE))))</f>
        <v/>
      </c>
      <c r="D30" s="1" t="str">
        <f t="shared" si="0"/>
        <v>http://www.ncbi.nlm.nih.gov/pubmed/18439110</v>
      </c>
      <c r="E30" s="22" t="str">
        <f>IF($B30="","",IF(LEN(VLOOKUP($B30,Database!$B$1:$IX$10144,4,FALSE))=0,"",VLOOKUP($B30,Database!$B$1:$IX$10144,4,FALSE)))</f>
        <v>Matsuo K</v>
      </c>
      <c r="F30" s="22">
        <f>IF($B30="","",IF(LEN(VLOOKUP($B30,Database!$B$1:$IX$10144,5,FALSE))=0,"",VLOOKUP($B30,Database!$B$1:$IX$10144,5,FALSE)))</f>
        <v>2008</v>
      </c>
      <c r="G30" s="1" t="str">
        <f>IF($B30="","",HYPERLINK(IF(LEN(VLOOKUP($B30,Database!$B$1:$IX$10144,6,FALSE))=0,"",VLOOKUP($B30,Database!$B$1:$IX$10144,6,FALSE))))</f>
        <v>http://www.liebertonline.com/doi/pdf/10.1089/cap.2007.0026</v>
      </c>
      <c r="H30" s="22">
        <f>IF($B30="","",IF(LEN(VLOOKUP($B30,Database!$B$1:$IX$10144,7,FALSE))=0,"",VLOOKUP($B30,Database!$B$1:$IX$10144,7,FALSE)))</f>
        <v>27</v>
      </c>
      <c r="I30" s="22">
        <f>IF($B30="","",IF(LEN(VLOOKUP($B30,Database!$B$1:$IX$10144,8,FALSE))=0,"",VLOOKUP($B30,Database!$B$1:$IX$10144,8,FALSE)))</f>
        <v>26</v>
      </c>
      <c r="J30" t="s">
        <v>1530</v>
      </c>
      <c r="L30">
        <v>2.42</v>
      </c>
      <c r="M30">
        <v>0.33</v>
      </c>
      <c r="N30">
        <v>2.5299999999999998</v>
      </c>
      <c r="O30">
        <v>0.32</v>
      </c>
      <c r="P30">
        <v>2.37</v>
      </c>
      <c r="Q30">
        <v>0.31</v>
      </c>
      <c r="R30">
        <v>2.56</v>
      </c>
      <c r="S30">
        <v>0.34</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14.4</v>
      </c>
      <c r="AC30" s="22">
        <f>IF(OR($B30="",AC$22=""),"",IF(LEN(VLOOKUP($B30,Database!$B$1:$IX$10144,AC$22,FALSE))=0,"",VLOOKUP($B30,Database!$B$1:$IX$10144,AC$22,FALSE)))</f>
        <v>2.2000000000000002</v>
      </c>
      <c r="AD30" s="22">
        <f>IF(OR($B30="",AD$22=""),"",IF(LEN(VLOOKUP($B30,Database!$B$1:$IX$10144,AD$22,FALSE))=0,"",VLOOKUP($B30,Database!$B$1:$IX$10144,AD$22,FALSE)))</f>
        <v>14.4</v>
      </c>
      <c r="AE30" s="22">
        <f>IF(OR($B30="",AE$22=""),"",IF(LEN(VLOOKUP($B30,Database!$B$1:$IX$10144,AE$22,FALSE))=0,"",VLOOKUP($B30,Database!$B$1:$IX$10144,AE$22,FALSE)))</f>
        <v>2.2999999999999998</v>
      </c>
      <c r="AF30" s="22">
        <f>IF(OR($B30="",AF$22=""),"",IF(LEN(VLOOKUP($B30,Database!$B$1:$IX$10144,AF$22,FALSE))=0,"",VLOOKUP($B30,Database!$B$1:$IX$10144,AF$22,FALSE)))</f>
        <v>17</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11.75</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Matsuo K, Rosenberg DR, Easter PC, MacMaster FP, Chen HH, Nicoletti M, Caetano SC, Hatch JP, Soares JC.</v>
      </c>
      <c r="AR30" s="13"/>
      <c r="AX30" s="13"/>
      <c r="AY30" s="13"/>
      <c r="AZ30" s="13"/>
      <c r="BA30" s="13"/>
      <c r="BC30" s="23"/>
      <c r="BF30" s="136"/>
      <c r="BG30" s="136"/>
      <c r="BH30" s="136"/>
      <c r="BI30" s="136"/>
    </row>
    <row r="31" spans="1:65">
      <c r="B31">
        <v>19411368</v>
      </c>
      <c r="C31" s="1" t="str">
        <f>IF($B31="","",HYPERLINK(IF(LEN(VLOOKUP($B31,Database!$B$1:$IX$10144,2,FALSE))=0,"",VLOOKUP($B31,Database!$B$1:$IX$10144,2,FALSE))))</f>
        <v/>
      </c>
      <c r="D31" s="1" t="str">
        <f>IF($B31="","",HYPERLINK(CONCATENATE("http://www.ncbi.nlm.nih.gov/pubmed/",B31)))</f>
        <v>http://www.ncbi.nlm.nih.gov/pubmed/19411368</v>
      </c>
      <c r="E31" s="22" t="str">
        <f>IF($B31="","",IF(LEN(VLOOKUP($B31,Database!$B$1:$IX$10144,4,FALSE))=0,"",VLOOKUP($B31,Database!$B$1:$IX$10144,4,FALSE)))</f>
        <v>Pizzagalli DA</v>
      </c>
      <c r="F31" s="22">
        <f>IF($B31="","",IF(LEN(VLOOKUP($B31,Database!$B$1:$IX$10144,5,FALSE))=0,"",VLOOKUP($B31,Database!$B$1:$IX$10144,5,FALSE)))</f>
        <v>2009</v>
      </c>
      <c r="G31" s="1" t="str">
        <f>IF($B31="","",HYPERLINK(IF(LEN(VLOOKUP($B31,Database!$B$1:$IX$10144,6,FALSE))=0,"",VLOOKUP($B31,Database!$B$1:$IX$10144,6,FALSE))))</f>
        <v>http://ajp.psychiatryonline.org/cgi/reprint/166/6/702</v>
      </c>
      <c r="H31" s="83">
        <v>26</v>
      </c>
      <c r="I31" s="83">
        <v>31</v>
      </c>
      <c r="J31" t="s">
        <v>2201</v>
      </c>
      <c r="L31">
        <v>3427</v>
      </c>
      <c r="M31">
        <v>507</v>
      </c>
      <c r="N31">
        <v>3433</v>
      </c>
      <c r="O31">
        <v>447</v>
      </c>
      <c r="P31">
        <v>3645</v>
      </c>
      <c r="Q31">
        <v>516</v>
      </c>
      <c r="R31">
        <v>3592</v>
      </c>
      <c r="S31">
        <v>520</v>
      </c>
      <c r="X31" s="2"/>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43.17</v>
      </c>
      <c r="AC31" s="22">
        <f>IF(OR($B31="",AC$22=""),"",IF(LEN(VLOOKUP($B31,Database!$B$1:$IX$10144,AC$22,FALSE))=0,"",VLOOKUP($B31,Database!$B$1:$IX$10144,AC$22,FALSE)))</f>
        <v>12.98</v>
      </c>
      <c r="AD31" s="22">
        <f>IF(OR($B31="",AD$22=""),"",IF(LEN(VLOOKUP($B31,Database!$B$1:$IX$10144,AD$22,FALSE))=0,"",VLOOKUP($B31,Database!$B$1:$IX$10144,AD$22,FALSE)))</f>
        <v>38.799999999999997</v>
      </c>
      <c r="AE31" s="22">
        <f>IF(OR($B31="",AE$22=""),"",IF(LEN(VLOOKUP($B31,Database!$B$1:$IX$10144,AE$22,FALSE))=0,"",VLOOKUP($B31,Database!$B$1:$IX$10144,AE$22,FALSE)))</f>
        <v>14.48</v>
      </c>
      <c r="AF31" s="22">
        <f>IF(OR($B31="",AF$22=""),"",IF(LEN(VLOOKUP($B31,Database!$B$1:$IX$10144,AF$22,FALSE))=0,"",VLOOKUP($B31,Database!$B$1:$IX$10144,AF$22,FALSE)))</f>
        <v>15</v>
      </c>
      <c r="AG31" s="22">
        <f>IF(OR($B31="",AG$22=""),"",IF(LEN(VLOOKUP($B31,Database!$B$1:$IX$10144,AG$22,FALSE))=0,"",VLOOKUP($B31,Database!$B$1:$IX$10144,AG$22,FALSE)))</f>
        <v>13</v>
      </c>
      <c r="AH31" s="22">
        <f>IF(OR($B31="",AH$22=""),"",IF(LEN(VLOOKUP($B31,Database!$B$1:$IX$10144,AH$22,FALSE))=0,"",VLOOKUP($B31,Database!$B$1:$IX$10144,AH$22,FALSE)))</f>
        <v>1.5</v>
      </c>
      <c r="AI31" s="22">
        <f>IF(OR($B31="",AI$22=""),"",IF(LEN(VLOOKUP($B31,Database!$B$1:$IX$10144,AI$22,FALSE))=0,"",VLOOKUP($B31,Database!$B$1:$IX$10144,AI$22,FALSE)))</f>
        <v>1.33</v>
      </c>
      <c r="AJ31" s="22" t="str">
        <f>IF(OR($B31="",AJ$22=""),"",IF(LEN(VLOOKUP($B31,Database!$B$1:$IX$10144,AJ$22,FALSE))=0,"",VLOOKUP($B31,Database!$B$1:$IX$10144,AJ$22,FALSE)))</f>
        <v/>
      </c>
      <c r="AK31" s="22">
        <f>IF(OR($B31="",AK$22=""),"",IF(LEN(VLOOKUP($B31,Database!$B$1:$IX$10144,AK$22,FALSE))=0,"",VLOOKUP($B31,Database!$B$1:$IX$10144,AK$22,FALSE)))</f>
        <v>29.39</v>
      </c>
      <c r="AL31" s="22">
        <f>IF(OR($B31="",AL$22=""),"",IF(LEN(VLOOKUP($B31,Database!$B$1:$IX$10144,AL$22,FALSE))=0,"",VLOOKUP($B31,Database!$B$1:$IX$10144,AL$22,FALSE)))</f>
        <v>15.98</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2" t="str">
        <f>IF(OR($B31="",AQ$22=""),"",IF(LEN(VLOOKUP($B31,Database!$B$1:$IX$10144,AQ$22,FALSE))=0,"",VLOOKUP($B31,Database!$B$1:$IX$10144,AQ$22,FALSE)))</f>
        <v>Pizzagalli DA, Holmes AJ, Dillon DG, Goetz EL, Birk JL, Bogdan R, Dougherty DD, Iosifescu DV, Rauch SL, Fava M.</v>
      </c>
      <c r="AR31" s="13"/>
      <c r="AX31" s="13"/>
      <c r="AY31" s="13"/>
      <c r="AZ31" s="13"/>
      <c r="BA31" s="13"/>
      <c r="BC31" s="23"/>
      <c r="BF31" s="136"/>
      <c r="BG31" s="136"/>
      <c r="BH31" s="136"/>
      <c r="BI31" s="136"/>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10" t="s">
        <v>143</v>
      </c>
      <c r="B33">
        <v>9089834</v>
      </c>
      <c r="C33" s="1" t="str">
        <f>IF($B33="","",HYPERLINK(IF(LEN(VLOOKUP($B33,Database!$B$1:$IX$10144,2,FALSE))=0,"",VLOOKUP($B33,Database!$B$1:$IX$10144,2,FALSE))))</f>
        <v/>
      </c>
      <c r="D33" s="1" t="str">
        <f>IF($B33="","",HYPERLINK(CONCATENATE("http://www.ncbi.nlm.nih.gov/pubmed/",B33)))</f>
        <v>http://www.ncbi.nlm.nih.gov/pubmed/9089834</v>
      </c>
      <c r="E33" s="22" t="str">
        <f>IF($B33="","",IF(LEN(VLOOKUP($B33,Database!$B$1:$IX$10144,4,FALSE))=0,"",VLOOKUP($B33,Database!$B$1:$IX$10144,4,FALSE)))</f>
        <v>Greenwald BS</v>
      </c>
      <c r="F33" s="22">
        <f>IF($B33="","",IF(LEN(VLOOKUP($B33,Database!$B$1:$IX$10144,5,FALSE))=0,"",VLOOKUP($B33,Database!$B$1:$IX$10144,5,FALSE)))</f>
        <v>1997</v>
      </c>
      <c r="G33" s="1" t="str">
        <f>IF($B33="","",HYPERLINK(IF(LEN(VLOOKUP($B33,Database!$B$1:$IX$10144,6,FALSE))=0,"",VLOOKUP($B33,Database!$B$1:$IX$10144,6,FALSE))))</f>
        <v>http://dx.doi.org/10.1017/S0033291796004576</v>
      </c>
      <c r="H33" s="22">
        <f>IF($B33="","",IF(LEN(VLOOKUP($B33,Database!$B$1:$IX$10144,7,FALSE))=0,"",VLOOKUP($B33,Database!$B$1:$IX$10144,7,FALSE)))</f>
        <v>30</v>
      </c>
      <c r="I33" s="22">
        <f>IF($B33="","",IF(LEN(VLOOKUP($B33,Database!$B$1:$IX$10144,8,FALSE))=0,"",VLOOKUP($B33,Database!$B$1:$IX$10144,8,FALSE)))</f>
        <v>36</v>
      </c>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75.900000000000006</v>
      </c>
      <c r="AC33" s="22">
        <f>IF(OR($B33="",AC$22=""),"",IF(LEN(VLOOKUP($B33,Database!$B$1:$IX$10144,AC$22,FALSE))=0,"",VLOOKUP($B33,Database!$B$1:$IX$10144,AC$22,FALSE)))</f>
        <v>6.7</v>
      </c>
      <c r="AD33" s="22">
        <f>IF(OR($B33="",AD$22=""),"",IF(LEN(VLOOKUP($B33,Database!$B$1:$IX$10144,AD$22,FALSE))=0,"",VLOOKUP($B33,Database!$B$1:$IX$10144,AD$22,FALSE)))</f>
        <v>72.8</v>
      </c>
      <c r="AE33" s="22">
        <f>IF(OR($B33="",AE$22=""),"",IF(LEN(VLOOKUP($B33,Database!$B$1:$IX$10144,AE$22,FALSE))=0,"",VLOOKUP($B33,Database!$B$1:$IX$10144,AE$22,FALSE)))</f>
        <v>6.6</v>
      </c>
      <c r="AF33" s="22">
        <f>IF(OR($B33="",AF$22=""),"",IF(LEN(VLOOKUP($B33,Database!$B$1:$IX$10144,AF$22,FALSE))=0,"",VLOOKUP($B33,Database!$B$1:$IX$10144,AF$22,FALSE)))</f>
        <v>15</v>
      </c>
      <c r="AG33" s="22">
        <f>IF(OR($B33="",AG$22=""),"",IF(LEN(VLOOKUP($B33,Database!$B$1:$IX$10144,AG$22,FALSE))=0,"",VLOOKUP($B33,Database!$B$1:$IX$10144,AG$22,FALSE)))</f>
        <v>18</v>
      </c>
      <c r="AH33" s="22">
        <f>IF(OR($B33="",AH$22=""),"",IF(LEN(VLOOKUP($B33,Database!$B$1:$IX$10144,AH$22,FALSE))=0,"",VLOOKUP($B33,Database!$B$1:$IX$10144,AH$22,FALSE)))</f>
        <v>1</v>
      </c>
      <c r="AI33" s="22">
        <f>IF(OR($B33="",AI$22=""),"",IF(LEN(VLOOKUP($B33,Database!$B$1:$IX$10144,AI$22,FALSE))=0,"",VLOOKUP($B33,Database!$B$1:$IX$10144,AI$22,FALSE)))</f>
        <v>3.1</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Greenwald BS, Kramer-Ginsberg E, Bogerts B, Ashtari M, Aupperle P, Wu H, Allen L, Zeman D, Patel M.</v>
      </c>
    </row>
    <row r="34" spans="1:51">
      <c r="I34" s="22" t="str">
        <f>IF($B34="","",IF(LEN(VLOOKUP($B34,Database!$B$1:$IX$10144,8,FALSE))=0,"",VLOOKUP($B34,Database!$B$1:$IX$10144,8,FALSE)))</f>
        <v/>
      </c>
      <c r="AF34" t="s">
        <v>602</v>
      </c>
      <c r="AJ34" t="s">
        <v>329</v>
      </c>
      <c r="AN34" t="s">
        <v>330</v>
      </c>
    </row>
    <row r="35" spans="1:51" ht="45" customHeight="1">
      <c r="E35" s="60" t="s">
        <v>617</v>
      </c>
      <c r="F35" s="60" t="s">
        <v>740</v>
      </c>
      <c r="G35" s="60" t="s">
        <v>244</v>
      </c>
      <c r="H35" s="60" t="s">
        <v>245</v>
      </c>
      <c r="I35" s="60" t="s">
        <v>246</v>
      </c>
      <c r="J35" s="60" t="s">
        <v>593</v>
      </c>
      <c r="K35" s="60" t="s">
        <v>1039</v>
      </c>
      <c r="L35" s="60" t="s">
        <v>594</v>
      </c>
      <c r="M35" s="60" t="s">
        <v>1299</v>
      </c>
      <c r="N35" s="61" t="s">
        <v>595</v>
      </c>
      <c r="O35" s="61" t="s">
        <v>596</v>
      </c>
      <c r="P35" s="61" t="s">
        <v>597</v>
      </c>
      <c r="Q35" s="61" t="s">
        <v>598</v>
      </c>
      <c r="R35" s="61" t="s">
        <v>599</v>
      </c>
      <c r="S35" s="61" t="s">
        <v>600</v>
      </c>
      <c r="T35" s="61" t="s">
        <v>601</v>
      </c>
      <c r="U35" s="61" t="s">
        <v>484</v>
      </c>
      <c r="V35" s="61" t="s">
        <v>485</v>
      </c>
      <c r="W35" s="61" t="s">
        <v>486</v>
      </c>
      <c r="AF35" s="61" t="s">
        <v>1517</v>
      </c>
      <c r="AG35" s="62" t="s">
        <v>834</v>
      </c>
      <c r="AH35" s="62" t="s">
        <v>835</v>
      </c>
      <c r="AJ35" s="61" t="s">
        <v>836</v>
      </c>
      <c r="AK35" s="61" t="s">
        <v>837</v>
      </c>
      <c r="AL35" s="61" t="s">
        <v>487</v>
      </c>
      <c r="AN35" t="s">
        <v>488</v>
      </c>
      <c r="AO35" t="s">
        <v>489</v>
      </c>
      <c r="AP35" t="s">
        <v>490</v>
      </c>
      <c r="AQ35" t="s">
        <v>491</v>
      </c>
      <c r="AR35" t="s">
        <v>492</v>
      </c>
      <c r="AS35" t="s">
        <v>493</v>
      </c>
      <c r="AT35" t="s">
        <v>494</v>
      </c>
      <c r="AU35" t="s">
        <v>495</v>
      </c>
      <c r="AV35" t="s">
        <v>496</v>
      </c>
      <c r="AW35" t="s">
        <v>497</v>
      </c>
      <c r="AX35" t="s">
        <v>498</v>
      </c>
      <c r="AY35" t="s">
        <v>499</v>
      </c>
    </row>
    <row r="36" spans="1:51">
      <c r="E36" t="str">
        <f t="shared" ref="E36:F43" si="1">E24</f>
        <v>Pillay SS</v>
      </c>
      <c r="F36">
        <f t="shared" si="1"/>
        <v>1998</v>
      </c>
      <c r="G36">
        <v>8</v>
      </c>
      <c r="H36">
        <f t="shared" ref="H36:I43" si="2">H24</f>
        <v>38</v>
      </c>
      <c r="I36">
        <f t="shared" si="2"/>
        <v>20</v>
      </c>
      <c r="J36">
        <f t="shared" ref="J36:M39" si="3">IF($D$4="Total",T24,IF($D$4="Left",L24,IF($D$4="Right",P24,"error")))</f>
        <v>4.4000000000000004</v>
      </c>
      <c r="K36">
        <f t="shared" si="3"/>
        <v>0.7</v>
      </c>
      <c r="L36">
        <f t="shared" si="3"/>
        <v>4.4000000000000004</v>
      </c>
      <c r="M36">
        <f t="shared" si="3"/>
        <v>0.4</v>
      </c>
      <c r="N36">
        <f t="shared" ref="N36:N41" si="4">IF($D$3=1,SQRT((((I36-1)*(M36)^2)+((H36-1)*(K36)^2))/(H36+I36-2)),M36)</f>
        <v>0.61484608991658574</v>
      </c>
      <c r="O36" s="59">
        <f t="shared" ref="O36:O41" si="5">IF($D$6=1,LN(J36/L36),IF($D$5=1,(1-3/(4*(H36+I36)-9))*((J36-L36)/N36),(J36-L36)/N36))</f>
        <v>0</v>
      </c>
      <c r="P36" s="63">
        <f t="shared" ref="P36:P41" si="6">IF($D$6=1,(K36^2)/(H36*J36^2)+(M36^2)/(I36*L36^2),(IF($D$5=1,((H36+I36)/(H36*I36))+(O36*O36)/(2*(H36+I36-3.94)),((H36+I36)/(H36*I36))+((O36^2)/(2*(H36+I36-2))))))</f>
        <v>7.6315789473684212E-2</v>
      </c>
      <c r="Q36" s="59">
        <f t="shared" ref="Q36:Q43" si="7">$R$60*SQRT(P36)</f>
        <v>0.54145612642402086</v>
      </c>
      <c r="R36" s="59">
        <f t="shared" ref="R36:R41" si="8">1/P36</f>
        <v>13.103448275862069</v>
      </c>
      <c r="S36" s="59">
        <f t="shared" ref="S36:S41" si="9">O36*R36</f>
        <v>0</v>
      </c>
      <c r="T36" s="59">
        <f t="shared" ref="T36:T41" si="10">R36*(O36^2)</f>
        <v>0</v>
      </c>
      <c r="U36" s="23">
        <f t="shared" ref="U36:U41" si="11">R36^2</f>
        <v>171.70035671819264</v>
      </c>
      <c r="V36" s="59">
        <f t="shared" ref="V36:V43" si="12">1/((1/R36)+$I$57)</f>
        <v>13.103448275862069</v>
      </c>
      <c r="W36" s="59">
        <f t="shared" ref="W36:W41" si="13">V36*O36</f>
        <v>0</v>
      </c>
      <c r="AF36" s="59">
        <f t="shared" ref="AF36:AF41" si="14">IF($D$6=1,100*((EXP(O36))-1),O36)</f>
        <v>0</v>
      </c>
      <c r="AG36" s="59">
        <f t="shared" ref="AG36:AG41" si="15">IF($D$6=1,100*(EXP(O36+Q36)-EXP(O36)),Q36)</f>
        <v>0.54145612642402086</v>
      </c>
      <c r="AH36" s="59">
        <f t="shared" ref="AH36:AH41" si="16">IF($D$6=1,100*(EXP(O36)-EXP(O36-Q36)),Q36)</f>
        <v>0.54145612642402086</v>
      </c>
      <c r="AJ36">
        <f t="shared" ref="AJ36:AJ41" si="17">SQRT(P36)</f>
        <v>0.27625312572654126</v>
      </c>
      <c r="AK36">
        <f t="shared" ref="AK36:AK43" si="18">1/AJ36</f>
        <v>3.6198685440029545</v>
      </c>
      <c r="AL36">
        <f t="shared" ref="AL36:AL41" si="19">O36/AJ36</f>
        <v>0</v>
      </c>
      <c r="AN36" t="str">
        <f t="shared" ref="AN36:AO41" si="20">E36</f>
        <v>Pillay SS</v>
      </c>
      <c r="AO36">
        <f t="shared" si="20"/>
        <v>1998</v>
      </c>
      <c r="AP36" t="str">
        <f t="shared" ref="AP36:AP41" si="21">CONCATENATE(AN36," ",AO36)</f>
        <v>Pillay SS 1998</v>
      </c>
      <c r="AQ36">
        <f t="shared" ref="AQ36:AQ41" si="22">INT(H36)</f>
        <v>38</v>
      </c>
      <c r="AR36">
        <f t="shared" ref="AR36:AS41" si="23">J36</f>
        <v>4.4000000000000004</v>
      </c>
      <c r="AS36">
        <f t="shared" si="23"/>
        <v>0.7</v>
      </c>
      <c r="AT36">
        <f t="shared" ref="AT36:AT41" si="24">INT(I36)</f>
        <v>20</v>
      </c>
      <c r="AU36">
        <f t="shared" ref="AU36:AV41" si="25">L36</f>
        <v>4.4000000000000004</v>
      </c>
      <c r="AV36">
        <f t="shared" si="25"/>
        <v>0.4</v>
      </c>
      <c r="AW36" s="65">
        <f t="shared" ref="AW36:AW41" si="26">O36</f>
        <v>0</v>
      </c>
      <c r="AX36">
        <f t="shared" ref="AX36:AX41" si="27">SQRT(P36)</f>
        <v>0.27625312572654126</v>
      </c>
    </row>
    <row r="37" spans="1:51">
      <c r="E37" t="str">
        <f t="shared" si="1"/>
        <v>Lenze EJ (B)</v>
      </c>
      <c r="F37">
        <f t="shared" si="1"/>
        <v>1999</v>
      </c>
      <c r="G37">
        <v>7</v>
      </c>
      <c r="H37">
        <f t="shared" si="2"/>
        <v>24</v>
      </c>
      <c r="I37">
        <f t="shared" si="2"/>
        <v>24</v>
      </c>
      <c r="J37">
        <f t="shared" si="3"/>
        <v>3.38</v>
      </c>
      <c r="K37">
        <f t="shared" si="3"/>
        <v>0.63</v>
      </c>
      <c r="L37">
        <f t="shared" si="3"/>
        <v>3.21</v>
      </c>
      <c r="M37">
        <f t="shared" si="3"/>
        <v>0.56999999999999995</v>
      </c>
      <c r="N37">
        <f t="shared" si="4"/>
        <v>0.60074953183502355</v>
      </c>
      <c r="O37" s="59">
        <f t="shared" si="5"/>
        <v>0.27834081575284186</v>
      </c>
      <c r="P37" s="63">
        <f t="shared" si="6"/>
        <v>8.4212516375933841E-2</v>
      </c>
      <c r="Q37" s="59">
        <f t="shared" si="7"/>
        <v>0.56878010066262641</v>
      </c>
      <c r="R37" s="59">
        <f t="shared" si="8"/>
        <v>11.874719377056627</v>
      </c>
      <c r="S37" s="59">
        <f t="shared" si="9"/>
        <v>3.3052190782460196</v>
      </c>
      <c r="T37" s="59">
        <f t="shared" si="10"/>
        <v>0.91997737448085315</v>
      </c>
      <c r="U37" s="23">
        <f t="shared" si="11"/>
        <v>141.00896028384412</v>
      </c>
      <c r="V37" s="59">
        <f t="shared" si="12"/>
        <v>11.874719377056627</v>
      </c>
      <c r="W37" s="59">
        <f t="shared" si="13"/>
        <v>3.3052190782460196</v>
      </c>
      <c r="AF37" s="59">
        <f t="shared" si="14"/>
        <v>0.27834081575284186</v>
      </c>
      <c r="AG37" s="59">
        <f t="shared" si="15"/>
        <v>0.56878010066262641</v>
      </c>
      <c r="AH37" s="59">
        <f t="shared" si="16"/>
        <v>0.56878010066262641</v>
      </c>
      <c r="AJ37">
        <f t="shared" si="17"/>
        <v>0.2901939289095033</v>
      </c>
      <c r="AK37">
        <f t="shared" si="18"/>
        <v>3.4459714707258713</v>
      </c>
      <c r="AL37">
        <f t="shared" si="19"/>
        <v>0.95915451022285925</v>
      </c>
      <c r="AN37" t="str">
        <f t="shared" si="20"/>
        <v>Lenze EJ (B)</v>
      </c>
      <c r="AO37">
        <f t="shared" si="20"/>
        <v>1999</v>
      </c>
      <c r="AP37" t="str">
        <f t="shared" si="21"/>
        <v>Lenze EJ (B) 1999</v>
      </c>
      <c r="AQ37">
        <f t="shared" si="22"/>
        <v>24</v>
      </c>
      <c r="AR37">
        <f t="shared" si="23"/>
        <v>3.38</v>
      </c>
      <c r="AS37">
        <f t="shared" si="23"/>
        <v>0.63</v>
      </c>
      <c r="AT37">
        <f t="shared" si="24"/>
        <v>24</v>
      </c>
      <c r="AU37">
        <f t="shared" si="25"/>
        <v>3.21</v>
      </c>
      <c r="AV37">
        <f t="shared" si="25"/>
        <v>0.56999999999999995</v>
      </c>
      <c r="AW37" s="65">
        <f t="shared" si="26"/>
        <v>0.27834081575284186</v>
      </c>
      <c r="AX37">
        <f t="shared" si="27"/>
        <v>0.2901939289095033</v>
      </c>
    </row>
    <row r="38" spans="1:51">
      <c r="E38" t="str">
        <f t="shared" si="1"/>
        <v>Bremner JD</v>
      </c>
      <c r="F38">
        <f t="shared" si="1"/>
        <v>2000</v>
      </c>
      <c r="G38">
        <v>6</v>
      </c>
      <c r="H38">
        <f t="shared" si="2"/>
        <v>16</v>
      </c>
      <c r="I38">
        <f t="shared" si="2"/>
        <v>16</v>
      </c>
      <c r="J38">
        <f t="shared" si="3"/>
        <v>2712</v>
      </c>
      <c r="K38">
        <f t="shared" si="3"/>
        <v>765</v>
      </c>
      <c r="L38">
        <f t="shared" si="3"/>
        <v>2802</v>
      </c>
      <c r="M38">
        <f t="shared" si="3"/>
        <v>613</v>
      </c>
      <c r="N38">
        <f t="shared" si="4"/>
        <v>693.17890908480479</v>
      </c>
      <c r="O38" s="59">
        <f t="shared" si="5"/>
        <v>-0.12656341860257264</v>
      </c>
      <c r="P38" s="63">
        <f t="shared" si="6"/>
        <v>0.12528542941782556</v>
      </c>
      <c r="Q38" s="59">
        <f t="shared" si="7"/>
        <v>0.69375536441278685</v>
      </c>
      <c r="R38" s="59">
        <f t="shared" si="8"/>
        <v>7.9817741348438114</v>
      </c>
      <c r="S38" s="59">
        <f t="shared" si="9"/>
        <v>-1.0102006210194243</v>
      </c>
      <c r="T38" s="59">
        <f t="shared" si="10"/>
        <v>0.12785444407066024</v>
      </c>
      <c r="U38" s="23">
        <f t="shared" si="11"/>
        <v>63.708718339661672</v>
      </c>
      <c r="V38" s="59">
        <f t="shared" si="12"/>
        <v>7.9817741348438114</v>
      </c>
      <c r="W38" s="59">
        <f t="shared" si="13"/>
        <v>-1.0102006210194243</v>
      </c>
      <c r="AF38" s="59">
        <f t="shared" si="14"/>
        <v>-0.12656341860257264</v>
      </c>
      <c r="AG38" s="59">
        <f t="shared" si="15"/>
        <v>0.69375536441278685</v>
      </c>
      <c r="AH38" s="59">
        <f t="shared" si="16"/>
        <v>0.69375536441278685</v>
      </c>
      <c r="AJ38">
        <f t="shared" si="17"/>
        <v>0.35395681857795247</v>
      </c>
      <c r="AK38">
        <f t="shared" si="18"/>
        <v>2.8252033793771045</v>
      </c>
      <c r="AL38">
        <f t="shared" si="19"/>
        <v>-0.35756739794150733</v>
      </c>
      <c r="AN38" t="str">
        <f t="shared" si="20"/>
        <v>Bremner JD</v>
      </c>
      <c r="AO38">
        <f t="shared" si="20"/>
        <v>2000</v>
      </c>
      <c r="AP38" t="str">
        <f t="shared" si="21"/>
        <v>Bremner JD 2000</v>
      </c>
      <c r="AQ38">
        <f t="shared" si="22"/>
        <v>16</v>
      </c>
      <c r="AR38">
        <f t="shared" si="23"/>
        <v>2712</v>
      </c>
      <c r="AS38">
        <f t="shared" si="23"/>
        <v>765</v>
      </c>
      <c r="AT38">
        <f t="shared" si="24"/>
        <v>16</v>
      </c>
      <c r="AU38">
        <f t="shared" si="25"/>
        <v>2802</v>
      </c>
      <c r="AV38">
        <f t="shared" si="25"/>
        <v>613</v>
      </c>
      <c r="AW38" s="65">
        <f t="shared" si="26"/>
        <v>-0.12656341860257264</v>
      </c>
      <c r="AX38">
        <f t="shared" si="27"/>
        <v>0.35395681857795247</v>
      </c>
    </row>
    <row r="39" spans="1:51">
      <c r="E39" t="str">
        <f t="shared" si="1"/>
        <v>McIntosh AM</v>
      </c>
      <c r="F39">
        <f t="shared" si="1"/>
        <v>2001</v>
      </c>
      <c r="G39">
        <v>5</v>
      </c>
      <c r="H39">
        <f t="shared" si="2"/>
        <v>9</v>
      </c>
      <c r="I39">
        <f t="shared" si="2"/>
        <v>29</v>
      </c>
      <c r="J39">
        <f t="shared" si="3"/>
        <v>4126</v>
      </c>
      <c r="K39">
        <f t="shared" si="3"/>
        <v>449</v>
      </c>
      <c r="L39">
        <f t="shared" si="3"/>
        <v>4221</v>
      </c>
      <c r="M39">
        <f t="shared" si="3"/>
        <v>513</v>
      </c>
      <c r="N39">
        <f t="shared" si="4"/>
        <v>499.48695901116599</v>
      </c>
      <c r="O39" s="59">
        <f t="shared" si="5"/>
        <v>-0.18620504765753823</v>
      </c>
      <c r="P39" s="63">
        <f t="shared" si="6"/>
        <v>0.14610285857168842</v>
      </c>
      <c r="Q39" s="59">
        <f t="shared" si="7"/>
        <v>0.7491787113159305</v>
      </c>
      <c r="R39" s="59">
        <f t="shared" si="8"/>
        <v>6.8444930494589133</v>
      </c>
      <c r="S39" s="59">
        <f t="shared" si="9"/>
        <v>-1.2744791544661862</v>
      </c>
      <c r="T39" s="59">
        <f t="shared" si="10"/>
        <v>0.2373144516959152</v>
      </c>
      <c r="U39" s="23">
        <f t="shared" si="11"/>
        <v>46.847085104091377</v>
      </c>
      <c r="V39" s="59">
        <f t="shared" si="12"/>
        <v>6.8444930494589133</v>
      </c>
      <c r="W39" s="59">
        <f t="shared" si="13"/>
        <v>-1.2744791544661862</v>
      </c>
      <c r="AF39" s="59">
        <f t="shared" si="14"/>
        <v>-0.18620504765753823</v>
      </c>
      <c r="AG39" s="59">
        <f t="shared" si="15"/>
        <v>0.7491787113159305</v>
      </c>
      <c r="AH39" s="59">
        <f t="shared" si="16"/>
        <v>0.7491787113159305</v>
      </c>
      <c r="AJ39">
        <f t="shared" si="17"/>
        <v>0.38223403638567882</v>
      </c>
      <c r="AK39">
        <f t="shared" si="18"/>
        <v>2.6161982053084039</v>
      </c>
      <c r="AL39">
        <f t="shared" si="19"/>
        <v>-0.48714931150101731</v>
      </c>
      <c r="AN39" t="str">
        <f t="shared" si="20"/>
        <v>McIntosh AM</v>
      </c>
      <c r="AO39">
        <f t="shared" si="20"/>
        <v>2001</v>
      </c>
      <c r="AP39" t="str">
        <f t="shared" si="21"/>
        <v>McIntosh AM 2001</v>
      </c>
      <c r="AQ39">
        <f t="shared" si="22"/>
        <v>9</v>
      </c>
      <c r="AR39">
        <f t="shared" si="23"/>
        <v>4126</v>
      </c>
      <c r="AS39">
        <f t="shared" si="23"/>
        <v>449</v>
      </c>
      <c r="AT39">
        <f t="shared" si="24"/>
        <v>29</v>
      </c>
      <c r="AU39">
        <f t="shared" si="25"/>
        <v>4221</v>
      </c>
      <c r="AV39">
        <f t="shared" si="25"/>
        <v>513</v>
      </c>
      <c r="AW39" s="65">
        <f t="shared" si="26"/>
        <v>-0.18620504765753823</v>
      </c>
      <c r="AX39">
        <f t="shared" si="27"/>
        <v>0.38223403638567882</v>
      </c>
    </row>
    <row r="40" spans="1:51">
      <c r="E40" t="str">
        <f t="shared" si="1"/>
        <v>Lacerda AL</v>
      </c>
      <c r="F40">
        <f t="shared" si="1"/>
        <v>2003</v>
      </c>
      <c r="G40">
        <v>4</v>
      </c>
      <c r="H40">
        <f t="shared" si="2"/>
        <v>25</v>
      </c>
      <c r="I40">
        <f t="shared" si="2"/>
        <v>48</v>
      </c>
      <c r="J40">
        <f t="shared" ref="J40:M41" si="28">IF($D$4="Total",T28,IF($D$4="Left",L28,IF($D$4="Right",P28,"error")))</f>
        <v>2.36</v>
      </c>
      <c r="K40">
        <f t="shared" si="28"/>
        <v>0.54</v>
      </c>
      <c r="L40">
        <f t="shared" si="28"/>
        <v>2.46</v>
      </c>
      <c r="M40">
        <f t="shared" si="28"/>
        <v>0.56000000000000005</v>
      </c>
      <c r="N40">
        <f t="shared" si="4"/>
        <v>0.55332032339476755</v>
      </c>
      <c r="O40" s="59">
        <f t="shared" si="5"/>
        <v>-0.17881130539648207</v>
      </c>
      <c r="P40" s="63">
        <f t="shared" si="6"/>
        <v>6.1064823942496342E-2</v>
      </c>
      <c r="Q40" s="59">
        <f t="shared" si="7"/>
        <v>0.48434143706428212</v>
      </c>
      <c r="R40" s="59">
        <f t="shared" si="8"/>
        <v>16.37604000859287</v>
      </c>
      <c r="S40" s="59">
        <f t="shared" si="9"/>
        <v>-2.9282210911615087</v>
      </c>
      <c r="T40" s="59">
        <f t="shared" si="10"/>
        <v>0.52359903580010048</v>
      </c>
      <c r="U40" s="23">
        <f t="shared" si="11"/>
        <v>268.17468636303437</v>
      </c>
      <c r="V40" s="59">
        <f t="shared" si="12"/>
        <v>16.37604000859287</v>
      </c>
      <c r="W40" s="59">
        <f t="shared" si="13"/>
        <v>-2.9282210911615087</v>
      </c>
      <c r="AF40" s="59">
        <f t="shared" si="14"/>
        <v>-0.17881130539648207</v>
      </c>
      <c r="AG40" s="59">
        <f t="shared" si="15"/>
        <v>0.48434143706428212</v>
      </c>
      <c r="AH40" s="59">
        <f t="shared" si="16"/>
        <v>0.48434143706428212</v>
      </c>
      <c r="AJ40">
        <f t="shared" si="17"/>
        <v>0.2471129780940215</v>
      </c>
      <c r="AK40">
        <f t="shared" si="18"/>
        <v>4.0467320159102291</v>
      </c>
      <c r="AL40">
        <f t="shared" si="19"/>
        <v>-0.72360143435464563</v>
      </c>
      <c r="AN40" t="str">
        <f t="shared" si="20"/>
        <v>Lacerda AL</v>
      </c>
      <c r="AO40">
        <f t="shared" si="20"/>
        <v>2003</v>
      </c>
      <c r="AP40" t="str">
        <f t="shared" si="21"/>
        <v>Lacerda AL 2003</v>
      </c>
      <c r="AQ40">
        <f t="shared" si="22"/>
        <v>25</v>
      </c>
      <c r="AR40">
        <f t="shared" si="23"/>
        <v>2.36</v>
      </c>
      <c r="AS40">
        <f t="shared" si="23"/>
        <v>0.54</v>
      </c>
      <c r="AT40">
        <f t="shared" si="24"/>
        <v>48</v>
      </c>
      <c r="AU40">
        <f t="shared" si="25"/>
        <v>2.46</v>
      </c>
      <c r="AV40">
        <f t="shared" si="25"/>
        <v>0.56000000000000005</v>
      </c>
      <c r="AW40" s="65">
        <f t="shared" si="26"/>
        <v>-0.17881130539648207</v>
      </c>
      <c r="AX40">
        <f t="shared" si="27"/>
        <v>0.2471129780940215</v>
      </c>
    </row>
    <row r="41" spans="1:51">
      <c r="E41" t="str">
        <f t="shared" si="1"/>
        <v>Hannestad J</v>
      </c>
      <c r="F41">
        <f t="shared" si="1"/>
        <v>2006</v>
      </c>
      <c r="G41">
        <v>3</v>
      </c>
      <c r="H41">
        <f t="shared" si="2"/>
        <v>182</v>
      </c>
      <c r="I41">
        <f t="shared" si="2"/>
        <v>64</v>
      </c>
      <c r="J41">
        <f t="shared" si="28"/>
        <v>3.65</v>
      </c>
      <c r="K41">
        <f t="shared" si="28"/>
        <v>0.6</v>
      </c>
      <c r="L41">
        <f t="shared" si="28"/>
        <v>3.63</v>
      </c>
      <c r="M41">
        <f t="shared" si="28"/>
        <v>0.6</v>
      </c>
      <c r="N41">
        <f t="shared" si="4"/>
        <v>0.6</v>
      </c>
      <c r="O41" s="59">
        <f t="shared" si="5"/>
        <v>3.3230769230769265E-2</v>
      </c>
      <c r="P41" s="63">
        <f t="shared" si="6"/>
        <v>2.1121786507526375E-2</v>
      </c>
      <c r="Q41" s="59">
        <f t="shared" si="7"/>
        <v>0.28485339219906319</v>
      </c>
      <c r="R41" s="59">
        <f t="shared" si="8"/>
        <v>47.344480053506253</v>
      </c>
      <c r="S41" s="59">
        <f t="shared" si="9"/>
        <v>1.5732934910088248</v>
      </c>
      <c r="T41" s="59">
        <f t="shared" si="10"/>
        <v>5.2281752931985614E-2</v>
      </c>
      <c r="U41" s="23">
        <f t="shared" si="11"/>
        <v>2241.4997915368513</v>
      </c>
      <c r="V41" s="59">
        <f t="shared" si="12"/>
        <v>47.344480053506253</v>
      </c>
      <c r="W41" s="59">
        <f t="shared" si="13"/>
        <v>1.5732934910088248</v>
      </c>
      <c r="AF41" s="59">
        <f t="shared" si="14"/>
        <v>3.3230769230769265E-2</v>
      </c>
      <c r="AG41" s="59">
        <f t="shared" si="15"/>
        <v>0.28485339219906319</v>
      </c>
      <c r="AH41" s="59">
        <f t="shared" si="16"/>
        <v>0.28485339219906319</v>
      </c>
      <c r="AJ41">
        <f t="shared" si="17"/>
        <v>0.14533336336686897</v>
      </c>
      <c r="AK41">
        <f t="shared" si="18"/>
        <v>6.880732523031706</v>
      </c>
      <c r="AL41">
        <f t="shared" si="19"/>
        <v>0.22865203461151537</v>
      </c>
      <c r="AN41" t="str">
        <f t="shared" si="20"/>
        <v>Hannestad J</v>
      </c>
      <c r="AO41">
        <f t="shared" si="20"/>
        <v>2006</v>
      </c>
      <c r="AP41" t="str">
        <f t="shared" si="21"/>
        <v>Hannestad J 2006</v>
      </c>
      <c r="AQ41">
        <f t="shared" si="22"/>
        <v>182</v>
      </c>
      <c r="AR41">
        <f t="shared" si="23"/>
        <v>3.65</v>
      </c>
      <c r="AS41">
        <f t="shared" si="23"/>
        <v>0.6</v>
      </c>
      <c r="AT41">
        <f t="shared" si="24"/>
        <v>64</v>
      </c>
      <c r="AU41">
        <f t="shared" si="25"/>
        <v>3.63</v>
      </c>
      <c r="AV41">
        <f t="shared" si="25"/>
        <v>0.6</v>
      </c>
      <c r="AW41" s="65">
        <f t="shared" si="26"/>
        <v>3.3230769230769265E-2</v>
      </c>
      <c r="AX41">
        <f t="shared" si="27"/>
        <v>0.14533336336686897</v>
      </c>
    </row>
    <row r="42" spans="1:51">
      <c r="E42" t="str">
        <f t="shared" si="1"/>
        <v>Matsuo K</v>
      </c>
      <c r="F42">
        <f t="shared" si="1"/>
        <v>2008</v>
      </c>
      <c r="G42">
        <v>2</v>
      </c>
      <c r="H42">
        <f t="shared" si="2"/>
        <v>27</v>
      </c>
      <c r="I42">
        <f t="shared" si="2"/>
        <v>26</v>
      </c>
      <c r="J42">
        <f t="shared" ref="J42:M43" si="29">IF($D$4="Total",T30,IF($D$4="Left",L30,IF($D$4="Right",P30,"error")))</f>
        <v>2.37</v>
      </c>
      <c r="K42">
        <f t="shared" si="29"/>
        <v>0.31</v>
      </c>
      <c r="L42">
        <f t="shared" si="29"/>
        <v>2.56</v>
      </c>
      <c r="M42">
        <f t="shared" si="29"/>
        <v>0.34</v>
      </c>
      <c r="N42">
        <f>IF($D$3=1,SQRT((((I42-1)*(M42)^2)+((H42-1)*(K42)^2))/(H42+I42-2)),M42)</f>
        <v>0.32505203203396799</v>
      </c>
      <c r="O42" s="59">
        <f>IF($D$6=1,LN(J42/L42),IF($D$5=1,(1-3/(4*(H42+I42)-9))*((J42-L42)/N42),(J42-L42)/N42))</f>
        <v>-0.57588355025893012</v>
      </c>
      <c r="P42" s="63">
        <f>IF($D$6=1,(K42^2)/(H42*J42^2)+(M42^2)/(I42*L42^2),(IF($D$5=1,((H42+I42)/(H42*I42))+(O42*O42)/(2*(H42+I42-3.94)),((H42+I42)/(H42*I42))+((O42^2)/(2*(H42+I42-2))))))</f>
        <v>7.8878537417234593E-2</v>
      </c>
      <c r="Q42" s="59">
        <f t="shared" si="7"/>
        <v>0.55047233294875808</v>
      </c>
      <c r="R42" s="59">
        <f>1/P42</f>
        <v>12.677719855661328</v>
      </c>
      <c r="S42" s="59">
        <f>O42*R42</f>
        <v>-7.3008903196663768</v>
      </c>
      <c r="T42" s="59">
        <f>R42*(O42^2)</f>
        <v>4.2044626373405283</v>
      </c>
      <c r="U42" s="23">
        <f>R42^2</f>
        <v>160.7245807386295</v>
      </c>
      <c r="V42" s="59">
        <f t="shared" si="12"/>
        <v>12.677719855661328</v>
      </c>
      <c r="W42" s="59">
        <f>V42*O42</f>
        <v>-7.3008903196663768</v>
      </c>
      <c r="AF42" s="59">
        <f>IF($D$6=1,100*((EXP(O42))-1),O42)</f>
        <v>-0.57588355025893012</v>
      </c>
      <c r="AG42" s="59">
        <f>IF($D$6=1,100*(EXP(O42+Q42)-EXP(O42)),Q42)</f>
        <v>0.55047233294875808</v>
      </c>
      <c r="AH42" s="59">
        <f>IF($D$6=1,100*(EXP(O42)-EXP(O42-Q42)),Q42)</f>
        <v>0.55047233294875808</v>
      </c>
      <c r="AJ42">
        <f>SQRT(P42)</f>
        <v>0.28085323109630517</v>
      </c>
      <c r="AK42">
        <f t="shared" si="18"/>
        <v>3.5605785843962674</v>
      </c>
      <c r="AL42">
        <f>O42/AJ42</f>
        <v>-2.0504786361580383</v>
      </c>
      <c r="AN42" t="str">
        <f>E42</f>
        <v>Matsuo K</v>
      </c>
      <c r="AO42">
        <f>F42</f>
        <v>2008</v>
      </c>
      <c r="AP42" t="str">
        <f>CONCATENATE(AN42," ",AO42)</f>
        <v>Matsuo K 2008</v>
      </c>
      <c r="AQ42">
        <f>INT(H42)</f>
        <v>27</v>
      </c>
      <c r="AR42">
        <f>J42</f>
        <v>2.37</v>
      </c>
      <c r="AS42">
        <f>K42</f>
        <v>0.31</v>
      </c>
      <c r="AT42">
        <f>INT(I42)</f>
        <v>26</v>
      </c>
      <c r="AU42">
        <f>L42</f>
        <v>2.56</v>
      </c>
      <c r="AV42">
        <f>M42</f>
        <v>0.34</v>
      </c>
      <c r="AW42" s="65">
        <f>O42</f>
        <v>-0.57588355025893012</v>
      </c>
      <c r="AX42">
        <f>SQRT(P42)</f>
        <v>0.28085323109630517</v>
      </c>
    </row>
    <row r="43" spans="1:51">
      <c r="E43" t="str">
        <f t="shared" si="1"/>
        <v>Pizzagalli DA</v>
      </c>
      <c r="F43">
        <f t="shared" si="1"/>
        <v>2009</v>
      </c>
      <c r="G43">
        <v>1</v>
      </c>
      <c r="H43">
        <f t="shared" si="2"/>
        <v>26</v>
      </c>
      <c r="I43">
        <f t="shared" si="2"/>
        <v>31</v>
      </c>
      <c r="J43">
        <f t="shared" si="29"/>
        <v>3645</v>
      </c>
      <c r="K43">
        <f t="shared" si="29"/>
        <v>516</v>
      </c>
      <c r="L43">
        <f t="shared" si="29"/>
        <v>3592</v>
      </c>
      <c r="M43">
        <f t="shared" si="29"/>
        <v>520</v>
      </c>
      <c r="N43">
        <f>IF($D$3=1,SQRT((((I43-1)*(M43)^2)+((H43-1)*(K43)^2))/(H43+I43-2)),M43)</f>
        <v>518.18564591887684</v>
      </c>
      <c r="O43" s="59">
        <f>IF($D$6=1,LN(J43/L43),IF($D$5=1,(1-3/(4*(H43+I43)-9))*((J43-L43)/N43),(J43-L43)/N43))</f>
        <v>0.10087885107285147</v>
      </c>
      <c r="P43" s="63">
        <f>IF($D$6=1,(K43^2)/(H43*J43^2)+(M43^2)/(I43*L43^2),(IF($D$5=1,((H43+I43)/(H43*I43))+(O43*O43)/(2*(H43+I43-3.94)),((H43+I43)/(H43*I43))+((O43^2)/(2*(H43+I43-2))))))</f>
        <v>7.0815499534337106E-2</v>
      </c>
      <c r="Q43" s="59">
        <f t="shared" si="7"/>
        <v>0.52157916274627902</v>
      </c>
      <c r="R43" s="59">
        <f>1/P43</f>
        <v>14.12120237201912</v>
      </c>
      <c r="S43" s="59">
        <f>O43*R43</f>
        <v>1.4245306710565135</v>
      </c>
      <c r="T43" s="59">
        <f>R43*(O43^2)</f>
        <v>0.1437050174142192</v>
      </c>
      <c r="U43" s="23">
        <f>R43^2</f>
        <v>199.40835643151843</v>
      </c>
      <c r="V43" s="59">
        <f t="shared" si="12"/>
        <v>14.12120237201912</v>
      </c>
      <c r="W43" s="59">
        <f>V43*O43</f>
        <v>1.4245306710565135</v>
      </c>
      <c r="AF43" s="59">
        <f>IF($D$6=1,100*((EXP(O43))-1),O43)</f>
        <v>0.10087885107285147</v>
      </c>
      <c r="AG43" s="59">
        <f>IF($D$6=1,100*(EXP(O43+Q43)-EXP(O43)),Q43)</f>
        <v>0.52157916274627902</v>
      </c>
      <c r="AH43" s="59">
        <f>IF($D$6=1,100*(EXP(O43)-EXP(O43-Q43)),Q43)</f>
        <v>0.52157916274627902</v>
      </c>
      <c r="AJ43">
        <f>SQRT(P43)</f>
        <v>0.26611181772769338</v>
      </c>
      <c r="AK43">
        <f t="shared" si="18"/>
        <v>3.7578188317186236</v>
      </c>
      <c r="AL43">
        <f>O43/AJ43</f>
        <v>0.37908444628369969</v>
      </c>
      <c r="AN43" t="str">
        <f>E43</f>
        <v>Pizzagalli DA</v>
      </c>
      <c r="AO43">
        <f>F43</f>
        <v>2009</v>
      </c>
      <c r="AP43" t="str">
        <f>CONCATENATE(AN43," ",AO43)</f>
        <v>Pizzagalli DA 2009</v>
      </c>
      <c r="AQ43">
        <f>INT(H43)</f>
        <v>26</v>
      </c>
      <c r="AR43">
        <f>J43</f>
        <v>3645</v>
      </c>
      <c r="AS43">
        <f>K43</f>
        <v>516</v>
      </c>
      <c r="AT43">
        <f>INT(I43)</f>
        <v>31</v>
      </c>
      <c r="AU43">
        <f>L43</f>
        <v>3592</v>
      </c>
      <c r="AV43">
        <f>M43</f>
        <v>520</v>
      </c>
      <c r="AW43" s="65">
        <f>O43</f>
        <v>0.10087885107285147</v>
      </c>
      <c r="AX43">
        <f>SQRT(P43)</f>
        <v>0.26611181772769338</v>
      </c>
    </row>
    <row r="44" spans="1:51">
      <c r="U44" s="23"/>
    </row>
    <row r="45" spans="1:51">
      <c r="L45" t="s">
        <v>500</v>
      </c>
      <c r="N45" s="7"/>
      <c r="O45" s="66">
        <f>COUNT(O36:O43)</f>
        <v>8</v>
      </c>
      <c r="Q45" t="s">
        <v>885</v>
      </c>
      <c r="R45" s="59">
        <f t="shared" ref="R45:W45" si="30">SUM(R36:R43)</f>
        <v>130.32387712700097</v>
      </c>
      <c r="S45" s="59">
        <f t="shared" si="30"/>
        <v>-6.2107479460021384</v>
      </c>
      <c r="T45" s="59">
        <f t="shared" si="30"/>
        <v>6.209194713734262</v>
      </c>
      <c r="U45" s="23">
        <f t="shared" si="30"/>
        <v>3293.0725355158229</v>
      </c>
      <c r="V45" s="59">
        <f t="shared" si="30"/>
        <v>130.32387712700097</v>
      </c>
      <c r="W45" s="59">
        <f t="shared" si="30"/>
        <v>-6.2107479460021384</v>
      </c>
    </row>
    <row r="46" spans="1:51">
      <c r="L46" t="s">
        <v>501</v>
      </c>
      <c r="N46" s="7"/>
      <c r="O46" s="2">
        <v>0</v>
      </c>
    </row>
    <row r="47" spans="1:51">
      <c r="N47" s="7"/>
      <c r="O47" s="7"/>
    </row>
    <row r="48" spans="1:51">
      <c r="G48" s="67" t="s">
        <v>502</v>
      </c>
      <c r="H48" s="40"/>
      <c r="I48" s="40">
        <f>S45/R45</f>
        <v>-4.7656255192206627E-2</v>
      </c>
      <c r="J48" s="40"/>
      <c r="K48" s="68" t="s">
        <v>879</v>
      </c>
      <c r="L48" s="40"/>
      <c r="M48" s="42"/>
      <c r="N48" s="7"/>
      <c r="O48" s="69" t="s">
        <v>503</v>
      </c>
      <c r="P48" s="70">
        <f>T45-((S45^2)/R45)</f>
        <v>5.9132137246851109</v>
      </c>
      <c r="Q48" s="71" t="s">
        <v>824</v>
      </c>
      <c r="R48" s="28"/>
      <c r="S48" s="29"/>
      <c r="T48" s="30"/>
      <c r="U48" s="31"/>
      <c r="AF48" s="2" t="s">
        <v>1518</v>
      </c>
    </row>
    <row r="49" spans="7:34">
      <c r="G49" s="43" t="s">
        <v>504</v>
      </c>
      <c r="H49" s="31"/>
      <c r="I49" s="31">
        <f>1/R45</f>
        <v>7.6731909918970357E-3</v>
      </c>
      <c r="J49" s="31"/>
      <c r="K49" s="31"/>
      <c r="L49" s="31"/>
      <c r="M49" s="44"/>
      <c r="N49" s="7"/>
      <c r="O49" s="30" t="s">
        <v>505</v>
      </c>
      <c r="P49" s="31">
        <f>CHIDIST(P48,I53-1)</f>
        <v>0.54991881367795925</v>
      </c>
      <c r="Q49" s="31"/>
      <c r="R49" s="31"/>
      <c r="S49" s="34"/>
      <c r="T49" s="30"/>
      <c r="U49" s="31"/>
      <c r="AF49" s="2"/>
    </row>
    <row r="50" spans="7:34">
      <c r="G50" s="72" t="s">
        <v>506</v>
      </c>
      <c r="H50" s="31"/>
      <c r="I50" s="31">
        <f>$R$60*SQRT(I49)</f>
        <v>0.17168963426622952</v>
      </c>
      <c r="J50" s="31"/>
      <c r="K50" s="31" t="s">
        <v>507</v>
      </c>
      <c r="L50" s="31"/>
      <c r="M50" s="44">
        <f>ABS(I48/SQRT(I49))</f>
        <v>0.54404134865757314</v>
      </c>
      <c r="N50" s="7"/>
      <c r="O50" s="35" t="s">
        <v>508</v>
      </c>
      <c r="P50" s="37">
        <f>IF(((P48-(I53-1))/P48)&lt;0,0,100*((P48-(I53-1))/P48))</f>
        <v>0</v>
      </c>
      <c r="Q50" s="36"/>
      <c r="R50" s="36"/>
      <c r="S50" s="38"/>
      <c r="T50" s="30"/>
      <c r="U50" s="31"/>
      <c r="AF50" s="2" t="s">
        <v>1535</v>
      </c>
      <c r="AH50">
        <f>IF($D$6=1,100*((EXP(I48))-1),I48)</f>
        <v>-4.7656255192206627E-2</v>
      </c>
    </row>
    <row r="51" spans="7:34">
      <c r="G51" s="45" t="s">
        <v>509</v>
      </c>
      <c r="H51" s="46"/>
      <c r="I51" s="46">
        <v>-2</v>
      </c>
      <c r="J51" s="46"/>
      <c r="K51" s="46" t="s">
        <v>825</v>
      </c>
      <c r="L51" s="46"/>
      <c r="M51" s="47">
        <f>2*(1-NORMDIST(M50,0,1,1))</f>
        <v>0.58641301939949586</v>
      </c>
      <c r="N51" s="7"/>
      <c r="O51" s="7"/>
      <c r="AF51" s="79" t="s">
        <v>834</v>
      </c>
      <c r="AH51">
        <f>IF($D$6=1,100*(EXP(I48+I50)-EXP(I48)),I50)</f>
        <v>0.17168963426622952</v>
      </c>
    </row>
    <row r="52" spans="7:34">
      <c r="G52" s="40"/>
      <c r="H52" s="40"/>
      <c r="I52" s="40"/>
      <c r="J52" s="40"/>
      <c r="K52" s="40"/>
      <c r="L52" s="40"/>
      <c r="M52" s="40"/>
      <c r="N52" s="7"/>
      <c r="O52" s="7"/>
      <c r="AF52" s="79" t="s">
        <v>835</v>
      </c>
      <c r="AH52">
        <f>IF($D$6=1,100*(EXP(I48)-EXP(I48-I50)),I50)</f>
        <v>0.17168963426622952</v>
      </c>
    </row>
    <row r="53" spans="7:34">
      <c r="G53" s="73" t="s">
        <v>1110</v>
      </c>
      <c r="H53" s="74"/>
      <c r="I53" s="74">
        <f>O45</f>
        <v>8</v>
      </c>
      <c r="J53" s="74"/>
      <c r="K53" s="75" t="s">
        <v>1167</v>
      </c>
      <c r="L53" s="74"/>
      <c r="M53" s="76"/>
      <c r="N53" s="77"/>
      <c r="O53" s="101" t="s">
        <v>1513</v>
      </c>
      <c r="P53" s="102"/>
      <c r="Q53" s="103"/>
      <c r="AF53" s="7"/>
    </row>
    <row r="54" spans="7:34">
      <c r="G54" s="77" t="s">
        <v>1531</v>
      </c>
      <c r="H54" s="31"/>
      <c r="I54" s="31">
        <f>R45/I53</f>
        <v>16.290484640875121</v>
      </c>
      <c r="J54" s="31"/>
      <c r="K54" s="31"/>
      <c r="L54" s="31"/>
      <c r="M54" s="78"/>
      <c r="N54" s="77"/>
      <c r="O54" s="104" t="s">
        <v>1514</v>
      </c>
      <c r="P54" s="31"/>
      <c r="Q54" s="105">
        <f>INDEX(LINEST(AL36:AL43,AK36:AK43,TRUE,TRUE),1,2)</f>
        <v>-0.78907895861572741</v>
      </c>
      <c r="AF54" s="2" t="s">
        <v>1687</v>
      </c>
      <c r="AH54">
        <f>IF($D$6=1,100*((EXP(I59))-1),I59)</f>
        <v>-4.7656255192206627E-2</v>
      </c>
    </row>
    <row r="55" spans="7:34">
      <c r="G55" s="77" t="s">
        <v>1532</v>
      </c>
      <c r="H55" s="31"/>
      <c r="I55" s="31">
        <f>(1/(I53-1))*(U45-(I53*I54^2))</f>
        <v>167.14763097701675</v>
      </c>
      <c r="J55" s="31"/>
      <c r="K55" s="31"/>
      <c r="L55" s="31"/>
      <c r="M55" s="78"/>
      <c r="N55" s="77"/>
      <c r="O55" s="104" t="s">
        <v>1516</v>
      </c>
      <c r="P55" s="31"/>
      <c r="Q55" s="105">
        <f>INDEX(LINEST(AL36:AL43,AK36:AK43,TRUE,TRUE),2,2)</f>
        <v>1.1056931587602528</v>
      </c>
      <c r="AF55" s="79" t="s">
        <v>834</v>
      </c>
      <c r="AG55" s="7"/>
      <c r="AH55">
        <f>IF($D$6=1,100*(EXP(I59+I61)-EXP(I59)),I61)</f>
        <v>0.17168963426622952</v>
      </c>
    </row>
    <row r="56" spans="7:34">
      <c r="G56" s="77" t="s">
        <v>1669</v>
      </c>
      <c r="H56" s="31"/>
      <c r="I56" s="31">
        <f>(I53-1)*(I54-(I55/(I53*I54)))</f>
        <v>105.05550261181743</v>
      </c>
      <c r="J56" s="31"/>
      <c r="K56" s="31"/>
      <c r="L56" s="31"/>
      <c r="M56" s="78"/>
      <c r="N56" s="77"/>
      <c r="O56" s="104" t="s">
        <v>1349</v>
      </c>
      <c r="P56" s="31"/>
      <c r="Q56" s="105">
        <f>ABS(Q54/Q55)</f>
        <v>0.71365093684804404</v>
      </c>
      <c r="AF56" s="79" t="s">
        <v>835</v>
      </c>
      <c r="AH56">
        <f>IF($D$6=1,100*(EXP(I59)-EXP(I59-I61)),I61)</f>
        <v>0.17168963426622952</v>
      </c>
    </row>
    <row r="57" spans="7:34">
      <c r="G57" s="77" t="s">
        <v>1685</v>
      </c>
      <c r="H57" s="31"/>
      <c r="I57" s="31">
        <f>IF(P48&gt;(I53-1),(P48-(I53-1))/I56,0)</f>
        <v>0</v>
      </c>
      <c r="J57" s="31"/>
      <c r="K57" s="31"/>
      <c r="L57" s="31"/>
      <c r="M57" s="78"/>
      <c r="N57" s="77"/>
      <c r="O57" s="106" t="s">
        <v>1515</v>
      </c>
      <c r="P57" s="107"/>
      <c r="Q57" s="108">
        <f>TDIST(Q56,I53-2,2)</f>
        <v>0.50224546278026327</v>
      </c>
    </row>
    <row r="58" spans="7:34">
      <c r="G58" s="77"/>
      <c r="H58" s="31"/>
      <c r="I58" s="31"/>
      <c r="J58" s="31"/>
      <c r="K58" s="31"/>
      <c r="L58" s="31"/>
      <c r="M58" s="78"/>
      <c r="N58" s="77"/>
    </row>
    <row r="59" spans="7:34">
      <c r="G59" s="77" t="s">
        <v>1686</v>
      </c>
      <c r="H59" s="31"/>
      <c r="I59" s="31">
        <f>W45/V45</f>
        <v>-4.7656255192206627E-2</v>
      </c>
      <c r="J59" s="31"/>
      <c r="N59" s="77"/>
    </row>
    <row r="60" spans="7:34">
      <c r="G60" s="77" t="s">
        <v>504</v>
      </c>
      <c r="H60" s="31"/>
      <c r="I60" s="31">
        <f>1/V45</f>
        <v>7.6731909918970357E-3</v>
      </c>
      <c r="J60" s="31"/>
      <c r="N60" s="77"/>
      <c r="O60" t="s">
        <v>805</v>
      </c>
      <c r="R60">
        <v>1.96</v>
      </c>
    </row>
    <row r="61" spans="7:34">
      <c r="G61" s="80" t="s">
        <v>506</v>
      </c>
      <c r="H61" s="31"/>
      <c r="I61" s="31">
        <f>$R$60*SQRT(I60)</f>
        <v>0.17168963426622952</v>
      </c>
      <c r="J61" s="31"/>
      <c r="K61" s="31" t="s">
        <v>507</v>
      </c>
      <c r="L61" s="31"/>
      <c r="M61" s="78">
        <f>ABS(I59/(SQRT(I60)))</f>
        <v>0.54404134865757314</v>
      </c>
      <c r="N61" s="77"/>
    </row>
    <row r="62" spans="7:34">
      <c r="G62" s="81" t="s">
        <v>509</v>
      </c>
      <c r="H62" s="82"/>
      <c r="I62" s="82">
        <v>-3</v>
      </c>
      <c r="J62" s="82"/>
      <c r="K62" s="31" t="s">
        <v>825</v>
      </c>
      <c r="L62" s="31"/>
      <c r="M62" s="78">
        <f>2*(1-NORMDIST(M61,0,1,1))</f>
        <v>0.58641301939949586</v>
      </c>
      <c r="N62" s="77"/>
    </row>
    <row r="63" spans="7:34">
      <c r="G63" s="74"/>
      <c r="H63" s="74"/>
      <c r="I63" s="74"/>
      <c r="J63" s="74"/>
      <c r="K63" s="74"/>
      <c r="L63" s="74"/>
      <c r="M63" s="74"/>
      <c r="N63" s="31"/>
      <c r="O63" s="7"/>
    </row>
  </sheetData>
  <phoneticPr fontId="10" type="noConversion"/>
  <conditionalFormatting sqref="D17 D13 F13">
    <cfRule type="cellIs" dxfId="126" priority="0" stopIfTrue="1" operator="lessThan">
      <formula>0.05</formula>
    </cfRule>
  </conditionalFormatting>
  <conditionalFormatting sqref="D21">
    <cfRule type="cellIs" dxfId="12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sheetPr published="0" codeName="Sheet59" enableFormatConditionsCalculation="0"/>
  <dimension ref="A1:BM8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1:30">
      <c r="A1" t="s">
        <v>1915</v>
      </c>
      <c r="B1" s="4" t="s">
        <v>299</v>
      </c>
      <c r="D1" s="10"/>
      <c r="F1" s="1" t="s">
        <v>733</v>
      </c>
    </row>
    <row r="3" spans="1:30">
      <c r="B3" t="s">
        <v>1509</v>
      </c>
      <c r="D3">
        <f>Summary!C75</f>
        <v>1</v>
      </c>
      <c r="E3" t="s">
        <v>1834</v>
      </c>
      <c r="F3" s="24" t="str">
        <f>IF(D3=1,"Pooled SD","Control SD only")</f>
        <v>Pooled SD</v>
      </c>
    </row>
    <row r="4" spans="1:30">
      <c r="B4" t="s">
        <v>1642</v>
      </c>
      <c r="D4" s="25" t="s">
        <v>885</v>
      </c>
      <c r="E4" t="s">
        <v>1834</v>
      </c>
      <c r="F4" s="26" t="str">
        <f>IF($D$4="Total","Total",IF($D$4="Left","Left",IF($D$4="Right","Right","Error: enter Total, Left or Right")))</f>
        <v>Total</v>
      </c>
    </row>
    <row r="5" spans="1:30">
      <c r="B5" t="s">
        <v>1108</v>
      </c>
      <c r="D5" s="25">
        <f>Summary!C76</f>
        <v>1</v>
      </c>
      <c r="E5" t="s">
        <v>1834</v>
      </c>
      <c r="F5" s="24" t="str">
        <f>IF(D5=1,"H Correction","No H correction")</f>
        <v>H Correction</v>
      </c>
    </row>
    <row r="6" spans="1:30">
      <c r="B6" t="s">
        <v>1109</v>
      </c>
      <c r="D6" s="25">
        <f>Summary!C77</f>
        <v>0</v>
      </c>
      <c r="E6" t="s">
        <v>1834</v>
      </c>
      <c r="F6" s="24" t="str">
        <f>IF(D6=1,"% Vol Difference","Cohens Effect size")</f>
        <v>Cohens Effect size</v>
      </c>
      <c r="AD6" s="89"/>
    </row>
    <row r="7" spans="1:30">
      <c r="B7" t="s">
        <v>1110</v>
      </c>
      <c r="D7">
        <f>I73-O66</f>
        <v>13</v>
      </c>
      <c r="AD7" s="89"/>
    </row>
    <row r="8" spans="1:30">
      <c r="B8" t="s">
        <v>822</v>
      </c>
      <c r="D8">
        <f>SUM(H24:H38)</f>
        <v>586</v>
      </c>
      <c r="E8" t="s">
        <v>298</v>
      </c>
      <c r="F8">
        <f>Summary!C78</f>
        <v>0.8</v>
      </c>
      <c r="AD8" s="89"/>
    </row>
    <row r="9" spans="1:30">
      <c r="B9" t="s">
        <v>823</v>
      </c>
      <c r="D9">
        <f>SUM(I24:I38)</f>
        <v>391</v>
      </c>
      <c r="AD9" s="89"/>
    </row>
    <row r="11" spans="1:30">
      <c r="B11" s="27" t="s">
        <v>516</v>
      </c>
      <c r="C11" s="28"/>
      <c r="D11" s="109">
        <f>P68</f>
        <v>15.380691302091464</v>
      </c>
      <c r="E11" s="110" t="s">
        <v>1513</v>
      </c>
      <c r="F11" s="103"/>
    </row>
    <row r="12" spans="1:30">
      <c r="B12" s="30" t="s">
        <v>826</v>
      </c>
      <c r="C12" s="31"/>
      <c r="D12" s="112">
        <f>P70</f>
        <v>21.980099825758533</v>
      </c>
      <c r="E12" s="31"/>
      <c r="F12" s="105"/>
    </row>
    <row r="13" spans="1:30">
      <c r="B13" s="35" t="s">
        <v>825</v>
      </c>
      <c r="C13" s="36"/>
      <c r="D13" s="113">
        <f>P69</f>
        <v>0.22127470838768776</v>
      </c>
      <c r="E13" s="111" t="s">
        <v>825</v>
      </c>
      <c r="F13" s="115">
        <f>Q77</f>
        <v>0.567144333832865</v>
      </c>
    </row>
    <row r="15" spans="1:30">
      <c r="B15" s="39" t="s">
        <v>879</v>
      </c>
      <c r="C15" s="40"/>
      <c r="D15" s="41">
        <f>AH70</f>
        <v>-0.20840751436149207</v>
      </c>
      <c r="E15" s="116"/>
    </row>
    <row r="16" spans="1:30">
      <c r="B16" s="43" t="s">
        <v>1165</v>
      </c>
      <c r="C16" s="31"/>
      <c r="D16" s="33">
        <f>AH70-AH72</f>
        <v>-0.34324947451963528</v>
      </c>
      <c r="E16" s="117">
        <f>AH70+AH71</f>
        <v>-7.3565554203348843E-2</v>
      </c>
    </row>
    <row r="17" spans="1:65">
      <c r="B17" s="45" t="s">
        <v>1166</v>
      </c>
      <c r="C17" s="46"/>
      <c r="D17" s="123">
        <f>M71</f>
        <v>2.4510923754306191E-3</v>
      </c>
      <c r="E17" s="118"/>
    </row>
    <row r="18" spans="1:65">
      <c r="D18" s="48"/>
      <c r="F18" s="49"/>
    </row>
    <row r="19" spans="1:65">
      <c r="B19" s="50" t="s">
        <v>1167</v>
      </c>
      <c r="C19" s="51"/>
      <c r="D19" s="52">
        <f>AH74</f>
        <v>-0.21962274645211641</v>
      </c>
      <c r="E19" s="120"/>
      <c r="F19" s="33"/>
      <c r="G19" s="31"/>
    </row>
    <row r="20" spans="1:65">
      <c r="B20" s="53" t="s">
        <v>1165</v>
      </c>
      <c r="C20" s="31"/>
      <c r="D20" s="33">
        <f>AH74-AH76</f>
        <v>-0.37710523869598778</v>
      </c>
      <c r="E20" s="121">
        <f>AH74+AH75</f>
        <v>-6.214025420824501E-2</v>
      </c>
      <c r="F20" s="31"/>
      <c r="G20" s="31"/>
    </row>
    <row r="21" spans="1:65">
      <c r="B21" s="54" t="s">
        <v>1440</v>
      </c>
      <c r="C21" s="55"/>
      <c r="D21" s="114">
        <f>M82</f>
        <v>6.2686646094172183E-3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t="s">
        <v>2118</v>
      </c>
      <c r="B24">
        <v>8294897</v>
      </c>
      <c r="C24" s="1" t="str">
        <f>IF($B24="","",HYPERLINK(IF(LEN(VLOOKUP($B24,Database!$B$1:$IX$10144,2,FALSE))=0,"",VLOOKUP($B24,Database!$B$1:$IX$10144,2,FALSE))))</f>
        <v/>
      </c>
      <c r="D24" s="1" t="str">
        <f t="shared" ref="D24:D29" si="0">IF($B24="","",HYPERLINK(CONCATENATE("http://www.ncbi.nlm.nih.gov/pubmed/",B24)))</f>
        <v>http://www.ncbi.nlm.nih.gov/pubmed/8294897</v>
      </c>
      <c r="E24" s="22" t="str">
        <f>IF($B24="","",IF(LEN(VLOOKUP($B24,Database!$B$1:$IX$10144,4,FALSE))=0,"",VLOOKUP($B24,Database!$B$1:$IX$10144,4,FALSE)))</f>
        <v>Lisanby SH</v>
      </c>
      <c r="F24" s="22">
        <f>IF($B24="","",IF(LEN(VLOOKUP($B24,Database!$B$1:$IX$10144,5,FALSE))=0,"",VLOOKUP($B24,Database!$B$1:$IX$10144,5,FALSE)))</f>
        <v>1993</v>
      </c>
      <c r="G24" s="1" t="str">
        <f>IF($B24="","",HYPERLINK(IF(LEN(VLOOKUP($B24,Database!$B$1:$IX$10144,6,FALSE))=0,"",VLOOKUP($B24,Database!$B$1:$IX$10144,6,FALSE))))</f>
        <v>Not available on internet</v>
      </c>
      <c r="H24" s="22">
        <f>IF($B24="","",IF(LEN(VLOOKUP($B24,Database!$B$1:$IX$10144,7,FALSE))=0,"",VLOOKUP($B24,Database!$B$1:$IX$10144,7,FALSE)))</f>
        <v>21</v>
      </c>
      <c r="I24" s="22">
        <f>IF($B24="","",IF(LEN(VLOOKUP($B24,Database!$B$1:$IX$10144,8,FALSE))=0,"",VLOOKUP($B24,Database!$B$1:$IX$10144,8,FALSE)))</f>
        <v>21</v>
      </c>
      <c r="J24" t="s">
        <v>908</v>
      </c>
      <c r="K24" t="s">
        <v>909</v>
      </c>
      <c r="T24">
        <v>5.47</v>
      </c>
      <c r="U24">
        <v>1.24</v>
      </c>
      <c r="V24">
        <v>6.34</v>
      </c>
      <c r="W24">
        <v>1.65</v>
      </c>
      <c r="X24" s="96"/>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65</v>
      </c>
      <c r="AC24" s="22">
        <f>IF(OR($B24="",AC$22=""),"",IF(LEN(VLOOKUP($B24,Database!$B$1:$IX$10144,AC$22,FALSE))=0,"",VLOOKUP($B24,Database!$B$1:$IX$10144,AC$22,FALSE)))</f>
        <v>11</v>
      </c>
      <c r="AD24" s="22">
        <f>IF(OR($B24="",AD$22=""),"",IF(LEN(VLOOKUP($B24,Database!$B$1:$IX$10144,AD$22,FALSE))=0,"",VLOOKUP($B24,Database!$B$1:$IX$10144,AD$22,FALSE)))</f>
        <v>63.5</v>
      </c>
      <c r="AE24" s="22">
        <f>IF(OR($B24="",AE$22=""),"",IF(LEN(VLOOKUP($B24,Database!$B$1:$IX$10144,AE$22,FALSE))=0,"",VLOOKUP($B24,Database!$B$1:$IX$10144,AE$22,FALSE)))</f>
        <v>11</v>
      </c>
      <c r="AF24" s="22">
        <f>IF(OR($B24="",AF$22=""),"",IF(LEN(VLOOKUP($B24,Database!$B$1:$IX$10144,AF$22,FALSE))=0,"",VLOOKUP($B24,Database!$B$1:$IX$10144,AF$22,FALSE)))</f>
        <v>9</v>
      </c>
      <c r="AG24" s="22">
        <f>IF(OR($B24="",AG$22=""),"",IF(LEN(VLOOKUP($B24,Database!$B$1:$IX$10144,AG$22,FALSE))=0,"",VLOOKUP($B24,Database!$B$1:$IX$10144,AG$22,FALSE)))</f>
        <v>9</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Lisanby SH, McDonald WM, Massey EW, Doraiswamy PM, Rozear M, Boyko OB, Krishnan KR, Nemeroff C.</v>
      </c>
      <c r="AR24" s="13"/>
      <c r="AX24" s="13"/>
      <c r="AY24" s="13"/>
      <c r="AZ24" s="13"/>
      <c r="BA24" s="13"/>
      <c r="BC24" s="23"/>
      <c r="BF24" s="136"/>
      <c r="BG24" s="136"/>
      <c r="BH24" s="136"/>
      <c r="BI24" s="136"/>
    </row>
    <row r="25" spans="1:65">
      <c r="B25">
        <v>7654126</v>
      </c>
      <c r="C25" s="1" t="str">
        <f>IF($B25="","",HYPERLINK(IF(LEN(VLOOKUP($B25,Database!$B$1:$IX$10144,2,FALSE))=0,"",VLOOKUP($B25,Database!$B$1:$IX$10144,2,FALSE))))</f>
        <v/>
      </c>
      <c r="D25" s="1" t="str">
        <f t="shared" si="0"/>
        <v>http://www.ncbi.nlm.nih.gov/pubmed/7654126</v>
      </c>
      <c r="E25" s="22" t="str">
        <f>IF($B25="","",IF(LEN(VLOOKUP($B25,Database!$B$1:$IX$10144,4,FALSE))=0,"",VLOOKUP($B25,Database!$B$1:$IX$10144,4,FALSE)))</f>
        <v>Dupont RM (A)</v>
      </c>
      <c r="F25" s="22">
        <f>IF($B25="","",IF(LEN(VLOOKUP($B25,Database!$B$1:$IX$10144,5,FALSE))=0,"",VLOOKUP($B25,Database!$B$1:$IX$10144,5,FALSE)))</f>
        <v>1995</v>
      </c>
      <c r="G25" s="1" t="str">
        <f>IF($B25="","",HYPERLINK(IF(LEN(VLOOKUP($B25,Database!$B$1:$IX$10144,6,FALSE))=0,"",VLOOKUP($B25,Database!$B$1:$IX$10144,6,FALSE))))</f>
        <v>http://archpsyc.ama-assn.org/cgi/reprint/51/9/677</v>
      </c>
      <c r="H25" s="22">
        <f>IF($B25="","",IF(LEN(VLOOKUP($B25,Database!$B$1:$IX$10144,7,FALSE))=0,"",VLOOKUP($B25,Database!$B$1:$IX$10144,7,FALSE)))</f>
        <v>30</v>
      </c>
      <c r="I25" s="22">
        <f>IF($B25="","",IF(LEN(VLOOKUP($B25,Database!$B$1:$IX$10144,8,FALSE))=0,"",VLOOKUP($B25,Database!$B$1:$IX$10144,8,FALSE)))</f>
        <v>26</v>
      </c>
      <c r="J25" t="s">
        <v>522</v>
      </c>
      <c r="K25" s="10"/>
      <c r="T25">
        <v>1719.17</v>
      </c>
      <c r="U25">
        <v>245.1</v>
      </c>
      <c r="V25">
        <v>1806.35</v>
      </c>
      <c r="W25">
        <v>243.73</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38.6</v>
      </c>
      <c r="AC25" s="22">
        <f>IF(OR($B25="",AC$22=""),"",IF(LEN(VLOOKUP($B25,Database!$B$1:$IX$10144,AC$22,FALSE))=0,"",VLOOKUP($B25,Database!$B$1:$IX$10144,AC$22,FALSE)))</f>
        <v>10.6</v>
      </c>
      <c r="AD25" s="22">
        <f>IF(OR($B25="",AD$22=""),"",IF(LEN(VLOOKUP($B25,Database!$B$1:$IX$10144,AD$22,FALSE))=0,"",VLOOKUP($B25,Database!$B$1:$IX$10144,AD$22,FALSE)))</f>
        <v>39.1</v>
      </c>
      <c r="AE25" s="22">
        <f>IF(OR($B25="",AE$22=""),"",IF(LEN(VLOOKUP($B25,Database!$B$1:$IX$10144,AE$22,FALSE))=0,"",VLOOKUP($B25,Database!$B$1:$IX$10144,AE$22,FALSE)))</f>
        <v>9.4</v>
      </c>
      <c r="AF25" s="22">
        <f>IF(OR($B25="",AF$22=""),"",IF(LEN(VLOOKUP($B25,Database!$B$1:$IX$10144,AF$22,FALSE))=0,"",VLOOKUP($B25,Database!$B$1:$IX$10144,AF$22,FALSE)))</f>
        <v>21</v>
      </c>
      <c r="AG25" s="22">
        <f>IF(OR($B25="",AG$22=""),"",IF(LEN(VLOOKUP($B25,Database!$B$1:$IX$10144,AG$22,FALSE))=0,"",VLOOKUP($B25,Database!$B$1:$IX$10144,AG$22,FALSE)))</f>
        <v>11</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12.5</v>
      </c>
      <c r="AM25" s="22">
        <f>IF(OR($B25="",AM$22=""),"",IF(LEN(VLOOKUP($B25,Database!$B$1:$IX$10144,AM$22,FALSE))=0,"",VLOOKUP($B25,Database!$B$1:$IX$10144,AM$22,FALSE)))</f>
        <v>40</v>
      </c>
      <c r="AN25" s="22">
        <f>IF(OR($B25="",AN$22=""),"",IF(LEN(VLOOKUP($B25,Database!$B$1:$IX$10144,AN$22,FALSE))=0,"",VLOOKUP($B25,Database!$B$1:$IX$10144,AN$22,FALSE)))</f>
        <v>3.3333333333333335</v>
      </c>
      <c r="AO25" s="22">
        <f>IF(OR($B25="",AO$22=""),"",IF(LEN(VLOOKUP($B25,Database!$B$1:$IX$10144,AO$22,FALSE))=0,"",VLOOKUP($B25,Database!$B$1:$IX$10144,AO$22,FALSE)))</f>
        <v>0</v>
      </c>
      <c r="AP25" s="22">
        <f>IF(OR($B25="",AP$22=""),"",IF(LEN(VLOOKUP($B25,Database!$B$1:$IX$10144,AP$22,FALSE))=0,"",VLOOKUP($B25,Database!$B$1:$IX$10144,AP$22,FALSE)))</f>
        <v>56.666666666666664</v>
      </c>
      <c r="AQ25" s="22" t="str">
        <f>IF(OR($B25="",AQ$22=""),"",IF(LEN(VLOOKUP($B25,Database!$B$1:$IX$10144,AQ$22,FALSE))=0,"",VLOOKUP($B25,Database!$B$1:$IX$10144,AQ$22,FALSE)))</f>
        <v>Dupont RM, Jernigan TL, Heindel W, Butters N, Shafer K, Wilson T, Hesselink J, Gillin JC.</v>
      </c>
      <c r="AR25" s="13"/>
      <c r="AX25" s="13"/>
      <c r="AY25" s="13"/>
      <c r="AZ25" s="13"/>
      <c r="BA25" s="13"/>
      <c r="BC25" s="23"/>
      <c r="BF25" s="136"/>
      <c r="BG25" s="136"/>
      <c r="BH25" s="136"/>
      <c r="BI25" s="136"/>
    </row>
    <row r="26" spans="1:65">
      <c r="A26" s="2" t="s">
        <v>64</v>
      </c>
      <c r="B26">
        <v>9870413</v>
      </c>
      <c r="C26" s="1" t="str">
        <f>IF($B26="","",HYPERLINK(IF(LEN(VLOOKUP($B26,Database!$B$1:$IX$10144,2,FALSE))=0,"",VLOOKUP($B26,Database!$B$1:$IX$10144,2,FALSE))))</f>
        <v/>
      </c>
      <c r="D26" s="1" t="str">
        <f t="shared" si="0"/>
        <v>http://www.ncbi.nlm.nih.gov/pubmed/9870413</v>
      </c>
      <c r="E26" s="22" t="str">
        <f>IF($B26="","",IF(LEN(VLOOKUP($B26,Database!$B$1:$IX$10144,4,FALSE))=0,"",VLOOKUP($B26,Database!$B$1:$IX$10144,4,FALSE)))</f>
        <v>Parashos IA</v>
      </c>
      <c r="F26" s="22">
        <f>IF($B26="","",IF(LEN(VLOOKUP($B26,Database!$B$1:$IX$10144,5,FALSE))=0,"",VLOOKUP($B26,Database!$B$1:$IX$10144,5,FALSE)))</f>
        <v>1998</v>
      </c>
      <c r="G26" s="1" t="str">
        <f>IF($B26="","",HYPERLINK(IF(LEN(VLOOKUP($B26,Database!$B$1:$IX$10144,6,FALSE))=0,"",VLOOKUP($B26,Database!$B$1:$IX$10144,6,FALSE))))</f>
        <v>http://dx.doi.org/10.1016/S0925-4927(98)00042-0</v>
      </c>
      <c r="H26" s="22">
        <f>IF($B26="","",IF(LEN(VLOOKUP($B26,Database!$B$1:$IX$10144,7,FALSE))=0,"",VLOOKUP($B26,Database!$B$1:$IX$10144,7,FALSE)))</f>
        <v>72</v>
      </c>
      <c r="I26" s="22">
        <f>IF($B26="","",IF(LEN(VLOOKUP($B26,Database!$B$1:$IX$10144,8,FALSE))=0,"",VLOOKUP($B26,Database!$B$1:$IX$10144,8,FALSE)))</f>
        <v>38</v>
      </c>
      <c r="J26" t="s">
        <v>394</v>
      </c>
      <c r="K26" t="s">
        <v>395</v>
      </c>
      <c r="T26">
        <v>3.81</v>
      </c>
      <c r="U26">
        <v>0.86</v>
      </c>
      <c r="V26">
        <v>4.42</v>
      </c>
      <c r="W26">
        <v>0.88</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55.4</v>
      </c>
      <c r="AC26" s="22">
        <f>IF(OR($B26="",AC$22=""),"",IF(LEN(VLOOKUP($B26,Database!$B$1:$IX$10144,AC$22,FALSE))=0,"",VLOOKUP($B26,Database!$B$1:$IX$10144,AC$22,FALSE)))</f>
        <v>16.8</v>
      </c>
      <c r="AD26" s="22">
        <f>IF(OR($B26="",AD$22=""),"",IF(LEN(VLOOKUP($B26,Database!$B$1:$IX$10144,AD$22,FALSE))=0,"",VLOOKUP($B26,Database!$B$1:$IX$10144,AD$22,FALSE)))</f>
        <v>55.1</v>
      </c>
      <c r="AE26" s="22">
        <f>IF(OR($B26="",AE$22=""),"",IF(LEN(VLOOKUP($B26,Database!$B$1:$IX$10144,AE$22,FALSE))=0,"",VLOOKUP($B26,Database!$B$1:$IX$10144,AE$22,FALSE)))</f>
        <v>17.100000000000001</v>
      </c>
      <c r="AF26" s="22">
        <f>IF(OR($B26="",AF$22=""),"",IF(LEN(VLOOKUP($B26,Database!$B$1:$IX$10144,AF$22,FALSE))=0,"",VLOOKUP($B26,Database!$B$1:$IX$10144,AF$22,FALSE)))</f>
        <v>45</v>
      </c>
      <c r="AG26" s="22">
        <f>IF(OR($B26="",AG$22=""),"",IF(LEN(VLOOKUP($B26,Database!$B$1:$IX$10144,AG$22,FALSE))=0,"",VLOOKUP($B26,Database!$B$1:$IX$10144,AG$22,FALSE)))</f>
        <v>22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f>IF(OR($B26="",AK$22=""),"",IF(LEN(VLOOKUP($B26,Database!$B$1:$IX$10144,AK$22,FALSE))=0,"",VLOOKUP($B26,Database!$B$1:$IX$10144,AK$22,FALSE)))</f>
        <v>38.5</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Parashos IA, Tupler LA, Blitchington T, Krishnan KR.</v>
      </c>
      <c r="AR26" s="13"/>
      <c r="AX26" s="13"/>
      <c r="AY26" s="13"/>
      <c r="AZ26" s="13"/>
      <c r="BA26" s="13"/>
      <c r="BC26" s="23"/>
      <c r="BF26" s="136"/>
      <c r="BG26" s="136"/>
      <c r="BH26" s="136"/>
      <c r="BI26" s="136"/>
    </row>
    <row r="27" spans="1:65">
      <c r="A27" t="s">
        <v>2119</v>
      </c>
      <c r="B27">
        <v>16955447</v>
      </c>
      <c r="C27" s="1" t="str">
        <f>IF($B27="","",HYPERLINK(IF(LEN(VLOOKUP($B27,Database!$B$1:$IX$10144,2,FALSE))=0,"",VLOOKUP($B27,Database!$B$1:$IX$10144,2,FALSE))))</f>
        <v/>
      </c>
      <c r="D27" s="1" t="str">
        <f t="shared" si="0"/>
        <v>http://www.ncbi.nlm.nih.gov/pubmed/16955447</v>
      </c>
      <c r="E27" s="22" t="str">
        <f>IF($B27="","",IF(LEN(VLOOKUP($B27,Database!$B$1:$IX$10144,4,FALSE))=0,"",VLOOKUP($B27,Database!$B$1:$IX$10144,4,FALSE)))</f>
        <v>Hannestad J</v>
      </c>
      <c r="F27" s="22">
        <f>IF($B27="","",IF(LEN(VLOOKUP($B27,Database!$B$1:$IX$10144,5,FALSE))=0,"",VLOOKUP($B27,Database!$B$1:$IX$10144,5,FALSE)))</f>
        <v>2006</v>
      </c>
      <c r="G27" s="1" t="str">
        <f>IF($B27="","",HYPERLINK(IF(LEN(VLOOKUP($B27,Database!$B$1:$IX$10144,6,FALSE))=0,"",VLOOKUP($B27,Database!$B$1:$IX$10144,6,FALSE))))</f>
        <v>http://www3.interscience.wiley.com/cgi-bin/fulltext/112775032/PDFSTART</v>
      </c>
      <c r="H27" s="22">
        <f>IF($B27="","",IF(LEN(VLOOKUP($B27,Database!$B$1:$IX$10144,7,FALSE))=0,"",VLOOKUP($B27,Database!$B$1:$IX$10144,7,FALSE)))</f>
        <v>182</v>
      </c>
      <c r="I27" s="22">
        <f>IF($B27="","",IF(LEN(VLOOKUP($B27,Database!$B$1:$IX$10144,8,FALSE))=0,"",VLOOKUP($B27,Database!$B$1:$IX$10144,8,FALSE)))</f>
        <v>64</v>
      </c>
      <c r="J27" t="s">
        <v>145</v>
      </c>
      <c r="L27">
        <v>3.49</v>
      </c>
      <c r="M27">
        <v>0.7</v>
      </c>
      <c r="N27">
        <v>3.48</v>
      </c>
      <c r="O27">
        <v>0.6</v>
      </c>
      <c r="P27">
        <v>3.65</v>
      </c>
      <c r="Q27">
        <v>0.6</v>
      </c>
      <c r="R27">
        <v>3.63</v>
      </c>
      <c r="S27">
        <v>0.6</v>
      </c>
      <c r="T27">
        <v>7.14</v>
      </c>
      <c r="U27">
        <v>1.3</v>
      </c>
      <c r="V27">
        <v>7.11</v>
      </c>
      <c r="W27">
        <v>1.1000000000000001</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70.2</v>
      </c>
      <c r="AC27" s="22">
        <f>IF(OR($B27="",AC$22=""),"",IF(LEN(VLOOKUP($B27,Database!$B$1:$IX$10144,AC$22,FALSE))=0,"",VLOOKUP($B27,Database!$B$1:$IX$10144,AC$22,FALSE)))</f>
        <v>5.8</v>
      </c>
      <c r="AD27" s="22">
        <f>IF(OR($B27="",AD$22=""),"",IF(LEN(VLOOKUP($B27,Database!$B$1:$IX$10144,AD$22,FALSE))=0,"",VLOOKUP($B27,Database!$B$1:$IX$10144,AD$22,FALSE)))</f>
        <v>70</v>
      </c>
      <c r="AE27" s="22">
        <f>IF(OR($B27="",AE$22=""),"",IF(LEN(VLOOKUP($B27,Database!$B$1:$IX$10144,AE$22,FALSE))=0,"",VLOOKUP($B27,Database!$B$1:$IX$10144,AE$22,FALSE)))</f>
        <v>7.7</v>
      </c>
      <c r="AF27" s="22">
        <f>IF(OR($B27="",AF$22=""),"",IF(LEN(VLOOKUP($B27,Database!$B$1:$IX$10144,AF$22,FALSE))=0,"",VLOOKUP($B27,Database!$B$1:$IX$10144,AF$22,FALSE)))</f>
        <v>129</v>
      </c>
      <c r="AG27" s="22">
        <f>IF(OR($B27="",AG$22=""),"",IF(LEN(VLOOKUP($B27,Database!$B$1:$IX$10144,AG$22,FALSE))=0,"",VLOOKUP($B27,Database!$B$1:$IX$10144,AG$22,FALSE)))</f>
        <v>41</v>
      </c>
      <c r="AH27" s="22">
        <f>IF(OR($B27="",AH$22=""),"",IF(LEN(VLOOKUP($B27,Database!$B$1:$IX$10144,AH$22,FALSE))=0,"",VLOOKUP($B27,Database!$B$1:$IX$10144,AH$22,FALSE)))</f>
        <v>1.5</v>
      </c>
      <c r="AI27" s="22">
        <f>IF(OR($B27="",AI$22=""),"",IF(LEN(VLOOKUP($B27,Database!$B$1:$IX$10144,AI$22,FALSE))=0,"",VLOOKUP($B27,Database!$B$1:$IX$10144,AI$22,FALSE)))</f>
        <v>3</v>
      </c>
      <c r="AJ27" s="22" t="str">
        <f>IF(OR($B27="",AJ$22=""),"",IF(LEN(VLOOKUP($B27,Database!$B$1:$IX$10144,AJ$22,FALSE))=0,"",VLOOKUP($B27,Database!$B$1:$IX$10144,AJ$22,FALSE)))</f>
        <v/>
      </c>
      <c r="AK27" s="22">
        <f>IF(OR($B27="",AK$22=""),"",IF(LEN(VLOOKUP($B27,Database!$B$1:$IX$10144,AK$22,FALSE))=0,"",VLOOKUP($B27,Database!$B$1:$IX$10144,AK$22,FALSE)))</f>
        <v>43.7</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Hannestad J, Taylor WD, McQuoid DR, Payne ME, Krishnan KR, Steffens DC, Macfall JR.</v>
      </c>
      <c r="AR27" s="13"/>
      <c r="AX27" s="13"/>
      <c r="AY27" s="13"/>
      <c r="AZ27" s="13"/>
      <c r="BA27" s="13"/>
      <c r="BC27" s="23"/>
      <c r="BF27" s="136"/>
      <c r="BG27" s="136"/>
      <c r="BH27" s="136"/>
      <c r="BI27" s="136"/>
    </row>
    <row r="28" spans="1:65">
      <c r="A28" s="13"/>
      <c r="B28">
        <v>16930719</v>
      </c>
      <c r="C28" s="1" t="str">
        <f>IF($B28="","",HYPERLINK(IF(LEN(VLOOKUP($B28,Database!$B$1:$IX$10144,2,FALSE))=0,"",VLOOKUP($B28,Database!$B$1:$IX$10144,2,FALSE))))</f>
        <v/>
      </c>
      <c r="D28" s="1" t="str">
        <f t="shared" si="0"/>
        <v>http://www.ncbi.nlm.nih.gov/pubmed/16930719</v>
      </c>
      <c r="E28" s="22" t="str">
        <f>IF($B28="","",IF(LEN(VLOOKUP($B28,Database!$B$1:$IX$10144,4,FALSE))=0,"",VLOOKUP($B28,Database!$B$1:$IX$10144,4,FALSE)))</f>
        <v>Hickie IB (A)</v>
      </c>
      <c r="F28" s="22">
        <f>IF($B28="","",IF(LEN(VLOOKUP($B28,Database!$B$1:$IX$10144,5,FALSE))=0,"",VLOOKUP($B28,Database!$B$1:$IX$10144,5,FALSE)))</f>
        <v>2007</v>
      </c>
      <c r="G28" s="1" t="str">
        <f>IF($B28="","",HYPERLINK(IF(LEN(VLOOKUP($B28,Database!$B$1:$IX$10144,6,FALSE))=0,"",VLOOKUP($B28,Database!$B$1:$IX$10144,6,FALSE))))</f>
        <v>http://dx.doi.org/10.1016/j.jad.2006.07.010</v>
      </c>
      <c r="H28" s="22">
        <f>IF($B28="","",IF(LEN(VLOOKUP($B28,Database!$B$1:$IX$10144,7,FALSE))=0,"",VLOOKUP($B28,Database!$B$1:$IX$10144,7,FALSE)))</f>
        <v>45</v>
      </c>
      <c r="I28" s="22">
        <f>IF($B28="","",IF(LEN(VLOOKUP($B28,Database!$B$1:$IX$10144,8,FALSE))=0,"",VLOOKUP($B28,Database!$B$1:$IX$10144,8,FALSE)))</f>
        <v>16</v>
      </c>
      <c r="J28" t="s">
        <v>193</v>
      </c>
      <c r="T28">
        <v>5.9</v>
      </c>
      <c r="U28">
        <v>0.9</v>
      </c>
      <c r="V28">
        <v>6.2</v>
      </c>
      <c r="W28">
        <v>0.9</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52</v>
      </c>
      <c r="AC28" s="22">
        <f>IF(OR($B28="",AC$22=""),"",IF(LEN(VLOOKUP($B28,Database!$B$1:$IX$10144,AC$22,FALSE))=0,"",VLOOKUP($B28,Database!$B$1:$IX$10144,AC$22,FALSE)))</f>
        <v>12.8</v>
      </c>
      <c r="AD28" s="22">
        <f>IF(OR($B28="",AD$22=""),"",IF(LEN(VLOOKUP($B28,Database!$B$1:$IX$10144,AD$22,FALSE))=0,"",VLOOKUP($B28,Database!$B$1:$IX$10144,AD$22,FALSE)))</f>
        <v>55.8</v>
      </c>
      <c r="AE28" s="22">
        <f>IF(OR($B28="",AE$22=""),"",IF(LEN(VLOOKUP($B28,Database!$B$1:$IX$10144,AE$22,FALSE))=0,"",VLOOKUP($B28,Database!$B$1:$IX$10144,AE$22,FALSE)))</f>
        <v>10.3</v>
      </c>
      <c r="AF28" s="22">
        <f>IF(OR($B28="",AF$22=""),"",IF(LEN(VLOOKUP($B28,Database!$B$1:$IX$10144,AF$22,FALSE))=0,"",VLOOKUP($B28,Database!$B$1:$IX$10144,AF$22,FALSE)))</f>
        <v>30</v>
      </c>
      <c r="AG28" s="22">
        <f>IF(OR($B28="",AG$22=""),"",IF(LEN(VLOOKUP($B28,Database!$B$1:$IX$10144,AG$22,FALSE))=0,"",VLOOKUP($B28,Database!$B$1:$IX$10144,AG$22,FALSE)))</f>
        <v>9</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36.1</v>
      </c>
      <c r="AL28" s="22">
        <f>IF(OR($B28="",AL$22=""),"",IF(LEN(VLOOKUP($B28,Database!$B$1:$IX$10144,AL$22,FALSE))=0,"",VLOOKUP($B28,Database!$B$1:$IX$10144,AL$22,FALSE)))</f>
        <v>26.8</v>
      </c>
      <c r="AM28" s="22">
        <f>IF(OR($B28="",AM$22=""),"",IF(LEN(VLOOKUP($B28,Database!$B$1:$IX$10144,AM$22,FALSE))=0,"",VLOOKUP($B28,Database!$B$1:$IX$10144,AM$22,FALSE)))</f>
        <v>64.444444444444443</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Hickie IB, Naismith SL, Ward PB, Scott EM, Mitchell PB, Schofield PR, Scimone A, Wilhelm K, Parker G.</v>
      </c>
      <c r="AR28" s="13"/>
      <c r="AX28" s="13"/>
      <c r="AY28" s="13"/>
      <c r="AZ28" s="13"/>
      <c r="BA28" s="13"/>
      <c r="BC28" s="23"/>
      <c r="BF28" s="136"/>
      <c r="BG28" s="136"/>
      <c r="BH28" s="136"/>
      <c r="BI28" s="136"/>
    </row>
    <row r="29" spans="1:65">
      <c r="A29" s="13"/>
      <c r="B29">
        <v>18075490</v>
      </c>
      <c r="C29" s="1" t="str">
        <f>IF($B29="","",HYPERLINK(IF(LEN(VLOOKUP($B29,Database!$B$1:$IX$10144,2,FALSE))=0,"",VLOOKUP($B29,Database!$B$1:$IX$10144,2,FALSE))))</f>
        <v/>
      </c>
      <c r="D29" s="1" t="str">
        <f t="shared" si="0"/>
        <v>http://www.ncbi.nlm.nih.gov/pubmed/18075490</v>
      </c>
      <c r="E29" s="22" t="str">
        <f>IF($B29="","",IF(LEN(VLOOKUP($B29,Database!$B$1:$IX$10144,4,FALSE))=0,"",VLOOKUP($B29,Database!$B$1:$IX$10144,4,FALSE)))</f>
        <v>Andreescu C</v>
      </c>
      <c r="F29" s="22">
        <f>IF($B29="","",IF(LEN(VLOOKUP($B29,Database!$B$1:$IX$10144,5,FALSE))=0,"",VLOOKUP($B29,Database!$B$1:$IX$10144,5,FALSE)))</f>
        <v>2008</v>
      </c>
      <c r="G29" s="1" t="str">
        <f>IF($B29="","",HYPERLINK(IF(LEN(VLOOKUP($B29,Database!$B$1:$IX$10144,6,FALSE))=0,"",VLOOKUP($B29,Database!$B$1:$IX$10144,6,FALSE))))</f>
        <v>http://www.nature.com/npp/journal/v33/n11/pdf/1301655a.pdf</v>
      </c>
      <c r="H29" s="22">
        <f>IF($B29="","",IF(LEN(VLOOKUP($B29,Database!$B$1:$IX$10144,7,FALSE))=0,"",VLOOKUP($B29,Database!$B$1:$IX$10144,7,FALSE)))</f>
        <v>71</v>
      </c>
      <c r="I29" s="22">
        <f>IF($B29="","",IF(LEN(VLOOKUP($B29,Database!$B$1:$IX$10144,8,FALSE))=0,"",VLOOKUP($B29,Database!$B$1:$IX$10144,8,FALSE)))</f>
        <v>32</v>
      </c>
      <c r="J29" t="s">
        <v>199</v>
      </c>
      <c r="T29">
        <v>0.89</v>
      </c>
      <c r="U29">
        <v>0.18</v>
      </c>
      <c r="V29">
        <v>0.93</v>
      </c>
      <c r="W29">
        <v>0.19</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72.2</v>
      </c>
      <c r="AC29" s="22">
        <f>IF(OR($B29="",AC$22=""),"",IF(LEN(VLOOKUP($B29,Database!$B$1:$IX$10144,AC$22,FALSE))=0,"",VLOOKUP($B29,Database!$B$1:$IX$10144,AC$22,FALSE)))</f>
        <v>6.2</v>
      </c>
      <c r="AD29" s="22">
        <f>IF(OR($B29="",AD$22=""),"",IF(LEN(VLOOKUP($B29,Database!$B$1:$IX$10144,AD$22,FALSE))=0,"",VLOOKUP($B29,Database!$B$1:$IX$10144,AD$22,FALSE)))</f>
        <v>71</v>
      </c>
      <c r="AE29" s="22">
        <f>IF(OR($B29="",AE$22=""),"",IF(LEN(VLOOKUP($B29,Database!$B$1:$IX$10144,AE$22,FALSE))=0,"",VLOOKUP($B29,Database!$B$1:$IX$10144,AE$22,FALSE)))</f>
        <v>6.7</v>
      </c>
      <c r="AF29" s="22">
        <f>IF(OR($B29="",AF$22=""),"",IF(LEN(VLOOKUP($B29,Database!$B$1:$IX$10144,AF$22,FALSE))=0,"",VLOOKUP($B29,Database!$B$1:$IX$10144,AF$22,FALSE)))</f>
        <v>49</v>
      </c>
      <c r="AG29" s="22">
        <f>IF(OR($B29="",AG$22=""),"",IF(LEN(VLOOKUP($B29,Database!$B$1:$IX$10144,AG$22,FALSE))=0,"",VLOOKUP($B29,Database!$B$1:$IX$10144,AG$22,FALSE)))</f>
        <v>17</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52.3</v>
      </c>
      <c r="AL29" s="22">
        <f>IF(OR($B29="",AL$22=""),"",IF(LEN(VLOOKUP($B29,Database!$B$1:$IX$10144,AL$22,FALSE))=0,"",VLOOKUP($B29,Database!$B$1:$IX$10144,AL$22,FALSE)))</f>
        <v>18.3</v>
      </c>
      <c r="AM29" s="22">
        <f>IF(OR($B29="",AM$22=""),"",IF(LEN(VLOOKUP($B29,Database!$B$1:$IX$10144,AM$22,FALSE))=0,"",VLOOKUP($B29,Database!$B$1:$IX$10144,AM$22,FALSE)))</f>
        <v>16.901408450704224</v>
      </c>
      <c r="AN29" s="22" t="str">
        <f>IF(OR($B29="",AN$22=""),"",IF(LEN(VLOOKUP($B29,Database!$B$1:$IX$10144,AN$22,FALSE))=0,"",VLOOKUP($B29,Database!$B$1:$IX$10144,AN$22,FALSE)))</f>
        <v>ns</v>
      </c>
      <c r="AO29" s="22">
        <f>IF(OR($B29="",AO$22=""),"",IF(LEN(VLOOKUP($B29,Database!$B$1:$IX$10144,AO$22,FALSE))=0,"",VLOOKUP($B29,Database!$B$1:$IX$10144,AO$22,FALSE)))</f>
        <v>1.4084507042253522</v>
      </c>
      <c r="AP29" s="22" t="str">
        <f>IF(OR($B29="",AP$22=""),"",IF(LEN(VLOOKUP($B29,Database!$B$1:$IX$10144,AP$22,FALSE))=0,"",VLOOKUP($B29,Database!$B$1:$IX$10144,AP$22,FALSE)))</f>
        <v>ns</v>
      </c>
      <c r="AQ29" s="22" t="str">
        <f>IF(OR($B29="",AQ$22=""),"",IF(LEN(VLOOKUP($B29,Database!$B$1:$IX$10144,AQ$22,FALSE))=0,"",VLOOKUP($B29,Database!$B$1:$IX$10144,AQ$22,FALSE)))</f>
        <v>Andreescu C, Butters MA, Begley A, Rajji T, Wu M, Meltzer CC, Reynolds CF 3rd, Aizenstein H.</v>
      </c>
      <c r="AR29" s="13"/>
      <c r="AX29" s="13"/>
      <c r="AY29" s="13"/>
      <c r="AZ29" s="13"/>
      <c r="BA29" s="13"/>
      <c r="BC29" s="23"/>
      <c r="BF29" s="136"/>
      <c r="BG29" s="136"/>
      <c r="BH29" s="136"/>
      <c r="BI29" s="136"/>
    </row>
    <row r="30" spans="1:65">
      <c r="A30" s="13"/>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c r="AR30" s="13"/>
      <c r="AX30" s="13"/>
      <c r="AY30" s="13"/>
      <c r="AZ30" s="13"/>
      <c r="BA30" s="13"/>
      <c r="BC30" s="23"/>
      <c r="BF30" s="136"/>
      <c r="BG30" s="136"/>
      <c r="BH30" s="136"/>
      <c r="BI30" s="136"/>
    </row>
    <row r="31" spans="1:65">
      <c r="A31" s="4" t="s">
        <v>255</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c r="AR31" s="13"/>
      <c r="AX31" s="13"/>
      <c r="AY31" s="13"/>
      <c r="AZ31" s="13"/>
      <c r="BA31" s="13"/>
      <c r="BC31" s="23"/>
      <c r="BF31" s="136"/>
      <c r="BG31" s="136"/>
      <c r="BH31" s="136"/>
      <c r="BI31" s="136"/>
    </row>
    <row r="32" spans="1:65">
      <c r="B32">
        <v>10710164</v>
      </c>
      <c r="C32" s="1" t="str">
        <f>IF($B32="","",HYPERLINK(IF(LEN(VLOOKUP($B32,Database!$B$1:$IX$10144,2,FALSE))=0,"",VLOOKUP($B32,Database!$B$1:$IX$10144,2,FALSE))))</f>
        <v/>
      </c>
      <c r="D32" s="1" t="str">
        <f t="shared" ref="D32:D38" si="1">IF($B32="","",HYPERLINK(CONCATENATE("http://www.ncbi.nlm.nih.gov/pubmed/",B32)))</f>
        <v>http://www.ncbi.nlm.nih.gov/pubmed/10710164</v>
      </c>
      <c r="E32" s="22" t="str">
        <f>IF($B32="","",IF(LEN(VLOOKUP($B32,Database!$B$1:$IX$10144,4,FALSE))=0,"",VLOOKUP($B32,Database!$B$1:$IX$10144,4,FALSE)))</f>
        <v>Pillay SS</v>
      </c>
      <c r="F32" s="22">
        <f>IF($B32="","",IF(LEN(VLOOKUP($B32,Database!$B$1:$IX$10144,5,FALSE))=0,"",VLOOKUP($B32,Database!$B$1:$IX$10144,5,FALSE)))</f>
        <v>1998</v>
      </c>
      <c r="G32" s="1" t="str">
        <f>IF($B32="","",HYPERLINK(IF(LEN(VLOOKUP($B32,Database!$B$1:$IX$10144,6,FALSE))=0,"",VLOOKUP($B32,Database!$B$1:$IX$10144,6,FALSE))))</f>
        <v>http://dx.doi.org/10.1016/S0925-4927(98)00048-1</v>
      </c>
      <c r="H32" s="22">
        <f>IF($B32="","",IF(LEN(VLOOKUP($B32,Database!$B$1:$IX$10144,7,FALSE))=0,"",VLOOKUP($B32,Database!$B$1:$IX$10144,7,FALSE)))</f>
        <v>38</v>
      </c>
      <c r="I32" s="22">
        <f>IF($B32="","",IF(LEN(VLOOKUP($B32,Database!$B$1:$IX$10144,8,FALSE))=0,"",VLOOKUP($B32,Database!$B$1:$IX$10144,8,FALSE)))</f>
        <v>20</v>
      </c>
      <c r="J32" t="s">
        <v>583</v>
      </c>
      <c r="L32">
        <v>4.5999999999999996</v>
      </c>
      <c r="M32">
        <v>0.7</v>
      </c>
      <c r="N32">
        <v>4.5999999999999996</v>
      </c>
      <c r="O32">
        <v>0.6</v>
      </c>
      <c r="P32">
        <v>4.4000000000000004</v>
      </c>
      <c r="Q32">
        <v>0.7</v>
      </c>
      <c r="R32">
        <v>4.4000000000000004</v>
      </c>
      <c r="S32">
        <v>0.4</v>
      </c>
      <c r="T32">
        <f>L32+P32</f>
        <v>9</v>
      </c>
      <c r="U32">
        <f t="shared" ref="U32:U38" si="2">2*SQRT(0.25*(M32^2+Q32^2+2*$F$8*M32*Q32))</f>
        <v>1.3281566172707193</v>
      </c>
      <c r="V32">
        <f t="shared" ref="V32:V38" si="3">N32+R32</f>
        <v>9</v>
      </c>
      <c r="W32">
        <f t="shared" ref="W32:W38" si="4">2*SQRT(0.25*(O32^2+S32^2+2*$F$8*O32*S32))</f>
        <v>0.950789145920377</v>
      </c>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38.5</v>
      </c>
      <c r="AC32" s="22">
        <f>IF(OR($B32="",AC$22=""),"",IF(LEN(VLOOKUP($B32,Database!$B$1:$IX$10144,AC$22,FALSE))=0,"",VLOOKUP($B32,Database!$B$1:$IX$10144,AC$22,FALSE)))</f>
        <v>10</v>
      </c>
      <c r="AD32" s="22">
        <f>IF(OR($B32="",AD$22=""),"",IF(LEN(VLOOKUP($B32,Database!$B$1:$IX$10144,AD$22,FALSE))=0,"",VLOOKUP($B32,Database!$B$1:$IX$10144,AD$22,FALSE)))</f>
        <v>40.299999999999997</v>
      </c>
      <c r="AE32" s="22">
        <f>IF(OR($B32="",AE$22=""),"",IF(LEN(VLOOKUP($B32,Database!$B$1:$IX$10144,AE$22,FALSE))=0,"",VLOOKUP($B32,Database!$B$1:$IX$10144,AE$22,FALSE)))</f>
        <v>10.4</v>
      </c>
      <c r="AF32" s="22">
        <f>IF(OR($B32="",AF$22=""),"",IF(LEN(VLOOKUP($B32,Database!$B$1:$IX$10144,AF$22,FALSE))=0,"",VLOOKUP($B32,Database!$B$1:$IX$10144,AF$22,FALSE)))</f>
        <v>21</v>
      </c>
      <c r="AG32" s="22">
        <f>IF(OR($B32="",AG$22=""),"",IF(LEN(VLOOKUP($B32,Database!$B$1:$IX$10144,AG$22,FALSE))=0,"",VLOOKUP($B32,Database!$B$1:$IX$10144,AG$22,FALSE)))</f>
        <v>11</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20.6</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Pillay SS, Renshaw PF, Bonello CM, Lafer BC, Fava M, Yurgelun-Todd D.</v>
      </c>
      <c r="AR32" s="13"/>
      <c r="AX32" s="13"/>
      <c r="AY32" s="13"/>
      <c r="AZ32" s="13"/>
      <c r="BA32" s="13"/>
      <c r="BC32" s="23"/>
      <c r="BF32" s="136"/>
      <c r="BG32" s="136"/>
      <c r="BH32" s="136"/>
      <c r="BI32" s="136"/>
    </row>
    <row r="33" spans="1:61">
      <c r="B33">
        <v>10588417</v>
      </c>
      <c r="C33" s="1" t="str">
        <f>IF($B33="","",HYPERLINK(IF(LEN(VLOOKUP($B33,Database!$B$1:$IX$10144,2,FALSE))=0,"",VLOOKUP($B33,Database!$B$1:$IX$10144,2,FALSE))))</f>
        <v/>
      </c>
      <c r="D33" s="1" t="str">
        <f t="shared" si="1"/>
        <v>http://www.ncbi.nlm.nih.gov/pubmed/10588417</v>
      </c>
      <c r="E33" s="22" t="str">
        <f>IF($B33="","",IF(LEN(VLOOKUP($B33,Database!$B$1:$IX$10144,4,FALSE))=0,"",VLOOKUP($B33,Database!$B$1:$IX$10144,4,FALSE)))</f>
        <v>Lenze EJ (B)</v>
      </c>
      <c r="F33" s="22">
        <f>IF($B33="","",IF(LEN(VLOOKUP($B33,Database!$B$1:$IX$10144,5,FALSE))=0,"",VLOOKUP($B33,Database!$B$1:$IX$10144,5,FALSE)))</f>
        <v>1999</v>
      </c>
      <c r="G33" s="1" t="str">
        <f>IF($B33="","",HYPERLINK(IF(LEN(VLOOKUP($B33,Database!$B$1:$IX$10144,6,FALSE))=0,"",VLOOKUP($B33,Database!$B$1:$IX$10144,6,FALSE))))</f>
        <v>http://ajp.psychiatryonline.org/cgi/reprint/156/12/1989</v>
      </c>
      <c r="H33" s="22">
        <f>IF($B33="","",IF(LEN(VLOOKUP($B33,Database!$B$1:$IX$10144,7,FALSE))=0,"",VLOOKUP($B33,Database!$B$1:$IX$10144,7,FALSE)))</f>
        <v>24</v>
      </c>
      <c r="I33" s="22">
        <f>IF($B33="","",IF(LEN(VLOOKUP($B33,Database!$B$1:$IX$10144,8,FALSE))=0,"",VLOOKUP($B33,Database!$B$1:$IX$10144,8,FALSE)))</f>
        <v>24</v>
      </c>
      <c r="J33" t="s">
        <v>584</v>
      </c>
      <c r="L33">
        <v>3.34</v>
      </c>
      <c r="M33">
        <v>0.69</v>
      </c>
      <c r="N33">
        <v>3.19</v>
      </c>
      <c r="O33">
        <v>0.59</v>
      </c>
      <c r="P33">
        <v>3.38</v>
      </c>
      <c r="Q33">
        <v>0.63</v>
      </c>
      <c r="R33">
        <v>3.21</v>
      </c>
      <c r="S33">
        <v>0.56999999999999995</v>
      </c>
      <c r="T33">
        <f t="shared" ref="T33:T38" si="5">L33+P33</f>
        <v>6.72</v>
      </c>
      <c r="U33">
        <f t="shared" si="2"/>
        <v>1.2524056850717342</v>
      </c>
      <c r="V33">
        <f t="shared" si="3"/>
        <v>6.4</v>
      </c>
      <c r="W33">
        <f t="shared" si="4"/>
        <v>1.1004907995980702</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53</v>
      </c>
      <c r="AC33" s="22" t="str">
        <f>IF(OR($B33="",AC$22=""),"",IF(LEN(VLOOKUP($B33,Database!$B$1:$IX$10144,AC$22,FALSE))=0,"",VLOOKUP($B33,Database!$B$1:$IX$10144,AC$22,FALSE)))</f>
        <v>ns</v>
      </c>
      <c r="AD33" s="22">
        <f>IF(OR($B33="",AD$22=""),"",IF(LEN(VLOOKUP($B33,Database!$B$1:$IX$10144,AD$22,FALSE))=0,"",VLOOKUP($B33,Database!$B$1:$IX$10144,AD$22,FALSE)))</f>
        <v>53</v>
      </c>
      <c r="AE33" s="22" t="str">
        <f>IF(OR($B33="",AE$22=""),"",IF(LEN(VLOOKUP($B33,Database!$B$1:$IX$10144,AE$22,FALSE))=0,"",VLOOKUP($B33,Database!$B$1:$IX$10144,AE$22,FALSE)))</f>
        <v>ns</v>
      </c>
      <c r="AF33" s="22">
        <f>IF(OR($B33="",AF$22=""),"",IF(LEN(VLOOKUP($B33,Database!$B$1:$IX$10144,AF$22,FALSE))=0,"",VLOOKUP($B33,Database!$B$1:$IX$10144,AF$22,FALSE)))</f>
        <v>24</v>
      </c>
      <c r="AG33" s="22">
        <f>IF(OR($B33="",AG$22=""),"",IF(LEN(VLOOKUP($B33,Database!$B$1:$IX$10144,AG$22,FALSE))=0,"",VLOOKUP($B33,Database!$B$1:$IX$10144,AG$22,FALSE)))</f>
        <v>24</v>
      </c>
      <c r="AH33" s="22" t="str">
        <f>IF(OR($B33="",AH$22=""),"",IF(LEN(VLOOKUP($B33,Database!$B$1:$IX$10144,AH$22,FALSE))=0,"",VLOOKUP($B33,Database!$B$1:$IX$10144,AH$22,FALSE)))</f>
        <v/>
      </c>
      <c r="AI33" s="22">
        <f>IF(OR($B33="",AI$22=""),"",IF(LEN(VLOOKUP($B33,Database!$B$1:$IX$10144,AI$22,FALSE))=0,"",VLOOKUP($B33,Database!$B$1:$IX$10144,AI$22,FALSE)))</f>
        <v>1.25</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Lenze EJ, Sheline YI.</v>
      </c>
      <c r="AR33" s="13"/>
      <c r="AX33" s="13"/>
      <c r="AY33" s="13"/>
      <c r="AZ33" s="13"/>
      <c r="BA33" s="13"/>
      <c r="BC33" s="23"/>
      <c r="BF33" s="136"/>
      <c r="BG33" s="136"/>
      <c r="BH33" s="136"/>
      <c r="BI33" s="136"/>
    </row>
    <row r="34" spans="1:61">
      <c r="B34">
        <v>10618023</v>
      </c>
      <c r="C34" s="1" t="str">
        <f>IF($B34="","",HYPERLINK(IF(LEN(VLOOKUP($B34,Database!$B$1:$IX$10144,2,FALSE))=0,"",VLOOKUP($B34,Database!$B$1:$IX$10144,2,FALSE))))</f>
        <v/>
      </c>
      <c r="D34" s="1" t="str">
        <f t="shared" si="1"/>
        <v>http://www.ncbi.nlm.nih.gov/pubmed/10618023</v>
      </c>
      <c r="E34" s="22" t="str">
        <f>IF($B34="","",IF(LEN(VLOOKUP($B34,Database!$B$1:$IX$10144,4,FALSE))=0,"",VLOOKUP($B34,Database!$B$1:$IX$10144,4,FALSE)))</f>
        <v>Bremner JD</v>
      </c>
      <c r="F34" s="22">
        <f>IF($B34="","",IF(LEN(VLOOKUP($B34,Database!$B$1:$IX$10144,5,FALSE))=0,"",VLOOKUP($B34,Database!$B$1:$IX$10144,5,FALSE)))</f>
        <v>2000</v>
      </c>
      <c r="G34" s="1" t="str">
        <f>IF($B34="","",HYPERLINK(IF(LEN(VLOOKUP($B34,Database!$B$1:$IX$10144,6,FALSE))=0,"",VLOOKUP($B34,Database!$B$1:$IX$10144,6,FALSE))))</f>
        <v>http://ajp.psychiatryonline.org/cgi/reprint/157/1/115</v>
      </c>
      <c r="H34" s="22">
        <f>IF($B34="","",IF(LEN(VLOOKUP($B34,Database!$B$1:$IX$10144,7,FALSE))=0,"",VLOOKUP($B34,Database!$B$1:$IX$10144,7,FALSE)))</f>
        <v>16</v>
      </c>
      <c r="I34" s="22">
        <f>IF($B34="","",IF(LEN(VLOOKUP($B34,Database!$B$1:$IX$10144,8,FALSE))=0,"",VLOOKUP($B34,Database!$B$1:$IX$10144,8,FALSE)))</f>
        <v>16</v>
      </c>
      <c r="J34" t="s">
        <v>200</v>
      </c>
      <c r="K34" s="13" t="s">
        <v>585</v>
      </c>
      <c r="L34">
        <v>2668</v>
      </c>
      <c r="M34">
        <v>710</v>
      </c>
      <c r="N34">
        <v>2767</v>
      </c>
      <c r="O34">
        <v>571</v>
      </c>
      <c r="P34">
        <v>2712</v>
      </c>
      <c r="Q34">
        <v>765</v>
      </c>
      <c r="R34">
        <v>2802</v>
      </c>
      <c r="S34">
        <v>613</v>
      </c>
      <c r="T34">
        <f t="shared" si="5"/>
        <v>5380</v>
      </c>
      <c r="U34">
        <f t="shared" si="2"/>
        <v>1399.4159496018331</v>
      </c>
      <c r="V34">
        <f t="shared" si="3"/>
        <v>5569</v>
      </c>
      <c r="W34">
        <f t="shared" si="4"/>
        <v>1123.3195449203224</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43</v>
      </c>
      <c r="AC34" s="22">
        <f>IF(OR($B34="",AC$22=""),"",IF(LEN(VLOOKUP($B34,Database!$B$1:$IX$10144,AC$22,FALSE))=0,"",VLOOKUP($B34,Database!$B$1:$IX$10144,AC$22,FALSE)))</f>
        <v>8</v>
      </c>
      <c r="AD34" s="22">
        <f>IF(OR($B34="",AD$22=""),"",IF(LEN(VLOOKUP($B34,Database!$B$1:$IX$10144,AD$22,FALSE))=0,"",VLOOKUP($B34,Database!$B$1:$IX$10144,AD$22,FALSE)))</f>
        <v>45</v>
      </c>
      <c r="AE34" s="22">
        <f>IF(OR($B34="",AE$22=""),"",IF(LEN(VLOOKUP($B34,Database!$B$1:$IX$10144,AE$22,FALSE))=0,"",VLOOKUP($B34,Database!$B$1:$IX$10144,AE$22,FALSE)))</f>
        <v>10</v>
      </c>
      <c r="AF34" s="22">
        <f>IF(OR($B34="",AF$22=""),"",IF(LEN(VLOOKUP($B34,Database!$B$1:$IX$10144,AF$22,FALSE))=0,"",VLOOKUP($B34,Database!$B$1:$IX$10144,AF$22,FALSE)))</f>
        <v>6</v>
      </c>
      <c r="AG34" s="22">
        <f>IF(OR($B34="",AG$22=""),"",IF(LEN(VLOOKUP($B34,Database!$B$1:$IX$10144,AG$22,FALSE))=0,"",VLOOKUP($B34,Database!$B$1:$IX$10144,AG$22,FALSE)))</f>
        <v>6</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f>IF(OR($B34="",AM$22=""),"",IF(LEN(VLOOKUP($B34,Database!$B$1:$IX$10144,AM$22,FALSE))=0,"",VLOOKUP($B34,Database!$B$1:$IX$10144,AM$22,FALSE)))</f>
        <v>100</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0</v>
      </c>
      <c r="AQ34" s="22" t="str">
        <f>IF(OR($B34="",AQ$22=""),"",IF(LEN(VLOOKUP($B34,Database!$B$1:$IX$10144,AQ$22,FALSE))=0,"",VLOOKUP($B34,Database!$B$1:$IX$10144,AQ$22,FALSE)))</f>
        <v>Bremner JD, Narayan M, Anderson ER, Staib LH, Miller HL, Charney DS.</v>
      </c>
      <c r="AR34" s="13"/>
      <c r="AX34" s="13"/>
      <c r="AY34" s="13"/>
      <c r="AZ34" s="13"/>
      <c r="BA34" s="13"/>
      <c r="BC34" s="23"/>
      <c r="BF34" s="136"/>
      <c r="BG34" s="136"/>
      <c r="BH34" s="136"/>
      <c r="BI34" s="136"/>
    </row>
    <row r="35" spans="1:61">
      <c r="B35">
        <v>11200955</v>
      </c>
      <c r="C35" s="1" t="str">
        <f>IF($B35="","",HYPERLINK(IF(LEN(VLOOKUP($B35,Database!$B$1:$IX$10144,2,FALSE))=0,"",VLOOKUP($B35,Database!$B$1:$IX$10144,2,FALSE))))</f>
        <v/>
      </c>
      <c r="D35" s="1" t="str">
        <f t="shared" si="1"/>
        <v>http://www.ncbi.nlm.nih.gov/pubmed/11200955</v>
      </c>
      <c r="E35" s="22" t="str">
        <f>IF($B35="","",IF(LEN(VLOOKUP($B35,Database!$B$1:$IX$10144,4,FALSE))=0,"",VLOOKUP($B35,Database!$B$1:$IX$10144,4,FALSE)))</f>
        <v>McIntosh AM</v>
      </c>
      <c r="F35" s="22">
        <f>IF($B35="","",IF(LEN(VLOOKUP($B35,Database!$B$1:$IX$10144,5,FALSE))=0,"",VLOOKUP($B35,Database!$B$1:$IX$10144,5,FALSE)))</f>
        <v>2001</v>
      </c>
      <c r="G35" s="1" t="str">
        <f>IF($B35="","",HYPERLINK(IF(LEN(VLOOKUP($B35,Database!$B$1:$IX$10144,6,FALSE))=0,"",VLOOKUP($B35,Database!$B$1:$IX$10144,6,FALSE))))</f>
        <v>http://dx.doi.org/10.1017/S0033291799003177</v>
      </c>
      <c r="H35" s="22">
        <f>IF($B35="","",IF(LEN(VLOOKUP($B35,Database!$B$1:$IX$10144,7,FALSE))=0,"",VLOOKUP($B35,Database!$B$1:$IX$10144,7,FALSE)))</f>
        <v>9</v>
      </c>
      <c r="I35" s="22">
        <f>IF($B35="","",IF(LEN(VLOOKUP($B35,Database!$B$1:$IX$10144,8,FALSE))=0,"",VLOOKUP($B35,Database!$B$1:$IX$10144,8,FALSE)))</f>
        <v>29</v>
      </c>
      <c r="J35" t="s">
        <v>144</v>
      </c>
      <c r="L35">
        <v>4267</v>
      </c>
      <c r="M35">
        <v>506</v>
      </c>
      <c r="N35">
        <v>4336</v>
      </c>
      <c r="O35">
        <v>447</v>
      </c>
      <c r="P35">
        <v>4126</v>
      </c>
      <c r="Q35">
        <v>449</v>
      </c>
      <c r="R35">
        <v>4221</v>
      </c>
      <c r="S35">
        <v>513</v>
      </c>
      <c r="T35">
        <f t="shared" si="5"/>
        <v>8393</v>
      </c>
      <c r="U35">
        <f t="shared" si="2"/>
        <v>906.17183800866383</v>
      </c>
      <c r="V35">
        <f t="shared" si="3"/>
        <v>8557</v>
      </c>
      <c r="W35">
        <f t="shared" si="4"/>
        <v>910.97508198632966</v>
      </c>
      <c r="Y35" s="22" t="str">
        <f>IF(OR($B35="",Y$22=""),"",IF(LEN(VLOOKUP($B35,Database!$B$1:$IX$10144,Y$22,FALSE))=0,"",VLOOKUP($B35,Database!$B$1:$IX$10144,Y$22,FALSE)))</f>
        <v>DSM-III-R</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43.56</v>
      </c>
      <c r="AC35" s="22">
        <f>IF(OR($B35="",AC$22=""),"",IF(LEN(VLOOKUP($B35,Database!$B$1:$IX$10144,AC$22,FALSE))=0,"",VLOOKUP($B35,Database!$B$1:$IX$10144,AC$22,FALSE)))</f>
        <v>9.3800000000000008</v>
      </c>
      <c r="AD35" s="22">
        <f>IF(OR($B35="",AD$22=""),"",IF(LEN(VLOOKUP($B35,Database!$B$1:$IX$10144,AD$22,FALSE))=0,"",VLOOKUP($B35,Database!$B$1:$IX$10144,AD$22,FALSE)))</f>
        <v>42.76</v>
      </c>
      <c r="AE35" s="22">
        <f>IF(OR($B35="",AE$22=""),"",IF(LEN(VLOOKUP($B35,Database!$B$1:$IX$10144,AE$22,FALSE))=0,"",VLOOKUP($B35,Database!$B$1:$IX$10144,AE$22,FALSE)))</f>
        <v>9.91</v>
      </c>
      <c r="AF35" s="22">
        <f>IF(OR($B35="",AF$22=""),"",IF(LEN(VLOOKUP($B35,Database!$B$1:$IX$10144,AF$22,FALSE))=0,"",VLOOKUP($B35,Database!$B$1:$IX$10144,AF$22,FALSE)))</f>
        <v>5</v>
      </c>
      <c r="AG35" s="22">
        <f>IF(OR($B35="",AG$22=""),"",IF(LEN(VLOOKUP($B35,Database!$B$1:$IX$10144,AG$22,FALSE))=0,"",VLOOKUP($B35,Database!$B$1:$IX$10144,AG$22,FALSE)))</f>
        <v>16</v>
      </c>
      <c r="AH35" s="22">
        <f>IF(OR($B35="",AH$22=""),"",IF(LEN(VLOOKUP($B35,Database!$B$1:$IX$10144,AH$22,FALSE))=0,"",VLOOKUP($B35,Database!$B$1:$IX$10144,AH$22,FALSE)))</f>
        <v>1</v>
      </c>
      <c r="AI35" s="22">
        <f>IF(OR($B35="",AI$22=""),"",IF(LEN(VLOOKUP($B35,Database!$B$1:$IX$10144,AI$22,FALSE))=0,"",VLOOKUP($B35,Database!$B$1:$IX$10144,AI$22,FALSE)))</f>
        <v>1.88</v>
      </c>
      <c r="AJ35" s="22" t="str">
        <f>IF(OR($B35="",AJ$22=""),"",IF(LEN(VLOOKUP($B35,Database!$B$1:$IX$10144,AJ$22,FALSE))=0,"",VLOOKUP($B35,Database!$B$1:$IX$10144,AJ$22,FALSE)))</f>
        <v/>
      </c>
      <c r="AK35" s="22" t="str">
        <f>IF(OR($B35="",AK$22=""),"",IF(LEN(VLOOKUP($B35,Database!$B$1:$IX$10144,AK$22,FALSE))=0,"",VLOOKUP($B35,Database!$B$1:$IX$10144,AK$22,FALSE)))</f>
        <v>ns</v>
      </c>
      <c r="AL35" s="22" t="str">
        <f>IF(OR($B35="",AL$22=""),"",IF(LEN(VLOOKUP($B35,Database!$B$1:$IX$10144,AL$22,FALSE))=0,"",VLOOKUP($B35,Database!$B$1:$IX$10144,AL$22,FALSE)))</f>
        <v>ns</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A. M. McINTOSH, A. FORRESTER, S.M. LAWRIE, M. BYRNE, A. HARPER, J. N. KESTELMAN, J. J. K. BEST, P. MILLER, E. C. JOHNSTONE and D. G. C. OWENS</v>
      </c>
      <c r="AR35" s="13"/>
      <c r="AX35" s="13"/>
      <c r="AY35" s="13"/>
      <c r="AZ35" s="13"/>
      <c r="BA35" s="13"/>
      <c r="BC35" s="23"/>
      <c r="BF35" s="136"/>
      <c r="BG35" s="136"/>
      <c r="BH35" s="136"/>
      <c r="BI35" s="136"/>
    </row>
    <row r="36" spans="1:61">
      <c r="A36" s="13" t="s">
        <v>2334</v>
      </c>
      <c r="B36">
        <v>14623065</v>
      </c>
      <c r="C36" s="1" t="str">
        <f>IF($B36="","",HYPERLINK(IF(LEN(VLOOKUP($B36,Database!$B$1:$IX$10144,2,FALSE))=0,"",VLOOKUP($B36,Database!$B$1:$IX$10144,2,FALSE))))</f>
        <v/>
      </c>
      <c r="D36" s="1" t="str">
        <f t="shared" si="1"/>
        <v>http://www.ncbi.nlm.nih.gov/pubmed/14623065</v>
      </c>
      <c r="E36" s="22" t="str">
        <f>IF($B36="","",IF(LEN(VLOOKUP($B36,Database!$B$1:$IX$10144,4,FALSE))=0,"",VLOOKUP($B36,Database!$B$1:$IX$10144,4,FALSE)))</f>
        <v>Lacerda AL</v>
      </c>
      <c r="F36" s="22">
        <f>IF($B36="","",IF(LEN(VLOOKUP($B36,Database!$B$1:$IX$10144,5,FALSE))=0,"",VLOOKUP($B36,Database!$B$1:$IX$10144,5,FALSE)))</f>
        <v>2003</v>
      </c>
      <c r="G36" s="1" t="str">
        <f>IF($B36="","",HYPERLINK(IF(LEN(VLOOKUP($B36,Database!$B$1:$IX$10144,6,FALSE))=0,"",VLOOKUP($B36,Database!$B$1:$IX$10144,6,FALSE))))</f>
        <v>http://dx.doi.org/10.1016/S0925-4927(03)00123-9</v>
      </c>
      <c r="H36" s="22">
        <f>IF($B36="","",IF(LEN(VLOOKUP($B36,Database!$B$1:$IX$10144,7,FALSE))=0,"",VLOOKUP($B36,Database!$B$1:$IX$10144,7,FALSE)))</f>
        <v>25</v>
      </c>
      <c r="I36" s="22">
        <f>IF($B36="","",IF(LEN(VLOOKUP($B36,Database!$B$1:$IX$10144,8,FALSE))=0,"",VLOOKUP($B36,Database!$B$1:$IX$10144,8,FALSE)))</f>
        <v>48</v>
      </c>
      <c r="J36" t="s">
        <v>1589</v>
      </c>
      <c r="L36">
        <v>2.63</v>
      </c>
      <c r="M36">
        <v>0.42</v>
      </c>
      <c r="N36">
        <v>2.82</v>
      </c>
      <c r="O36">
        <v>0.5</v>
      </c>
      <c r="P36">
        <v>2.36</v>
      </c>
      <c r="Q36">
        <v>0.54</v>
      </c>
      <c r="R36">
        <v>2.46</v>
      </c>
      <c r="S36">
        <v>0.56000000000000005</v>
      </c>
      <c r="T36">
        <f t="shared" si="5"/>
        <v>4.99</v>
      </c>
      <c r="U36">
        <f t="shared" si="2"/>
        <v>0.91152619271198132</v>
      </c>
      <c r="V36">
        <f t="shared" si="3"/>
        <v>5.2799999999999994</v>
      </c>
      <c r="W36">
        <f t="shared" si="4"/>
        <v>1.0057832768544126</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41.2</v>
      </c>
      <c r="AC36" s="22">
        <f>IF(OR($B36="",AC$22=""),"",IF(LEN(VLOOKUP($B36,Database!$B$1:$IX$10144,AC$22,FALSE))=0,"",VLOOKUP($B36,Database!$B$1:$IX$10144,AC$22,FALSE)))</f>
        <v>11.04</v>
      </c>
      <c r="AD36" s="22">
        <f>IF(OR($B36="",AD$22=""),"",IF(LEN(VLOOKUP($B36,Database!$B$1:$IX$10144,AD$22,FALSE))=0,"",VLOOKUP($B36,Database!$B$1:$IX$10144,AD$22,FALSE)))</f>
        <v>35.06</v>
      </c>
      <c r="AE36" s="22">
        <f>IF(OR($B36="",AE$22=""),"",IF(LEN(VLOOKUP($B36,Database!$B$1:$IX$10144,AE$22,FALSE))=0,"",VLOOKUP($B36,Database!$B$1:$IX$10144,AE$22,FALSE)))</f>
        <v>10.029999999999999</v>
      </c>
      <c r="AF36" s="22">
        <f>IF(OR($B36="",AF$22=""),"",IF(LEN(VLOOKUP($B36,Database!$B$1:$IX$10144,AF$22,FALSE))=0,"",VLOOKUP($B36,Database!$B$1:$IX$10144,AF$22,FALSE)))</f>
        <v>4</v>
      </c>
      <c r="AG36" s="22">
        <f>IF(OR($B36="",AG$22=""),"",IF(LEN(VLOOKUP($B36,Database!$B$1:$IX$10144,AG$22,FALSE))=0,"",VLOOKUP($B36,Database!$B$1:$IX$10144,AG$22,FALSE)))</f>
        <v>29</v>
      </c>
      <c r="AH36" s="22">
        <f>IF(OR($B36="",AH$22=""),"",IF(LEN(VLOOKUP($B36,Database!$B$1:$IX$10144,AH$22,FALSE))=0,"",VLOOKUP($B36,Database!$B$1:$IX$10144,AH$22,FALSE)))</f>
        <v>1.5</v>
      </c>
      <c r="AI36" s="22">
        <f>IF(OR($B36="",AI$22=""),"",IF(LEN(VLOOKUP($B36,Database!$B$1:$IX$10144,AI$22,FALSE))=0,"",VLOOKUP($B36,Database!$B$1:$IX$10144,AI$22,FALSE)))</f>
        <v>5</v>
      </c>
      <c r="AJ36" s="22" t="str">
        <f>IF(OR($B36="",AJ$22=""),"",IF(LEN(VLOOKUP($B36,Database!$B$1:$IX$10144,AJ$22,FALSE))=0,"",VLOOKUP($B36,Database!$B$1:$IX$10144,AJ$22,FALSE)))</f>
        <v/>
      </c>
      <c r="AK36" s="22">
        <f>IF(OR($B36="",AK$22=""),"",IF(LEN(VLOOKUP($B36,Database!$B$1:$IX$10144,AK$22,FALSE))=0,"",VLOOKUP($B36,Database!$B$1:$IX$10144,AK$22,FALSE)))</f>
        <v>29.44</v>
      </c>
      <c r="AL36" s="22">
        <f>IF(OR($B36="",AL$22=""),"",IF(LEN(VLOOKUP($B36,Database!$B$1:$IX$10144,AL$22,FALSE))=0,"",VLOOKUP($B36,Database!$B$1:$IX$10144,AL$22,FALSE)))</f>
        <v>10.91</v>
      </c>
      <c r="AM36" s="22">
        <f>IF(OR($B36="",AM$22=""),"",IF(LEN(VLOOKUP($B36,Database!$B$1:$IX$10144,AM$22,FALSE))=0,"",VLOOKUP($B36,Database!$B$1:$IX$10144,AM$22,FALSE)))</f>
        <v>0</v>
      </c>
      <c r="AN36" s="22">
        <f>IF(OR($B36="",AN$22=""),"",IF(LEN(VLOOKUP($B36,Database!$B$1:$IX$10144,AN$22,FALSE))=0,"",VLOOKUP($B36,Database!$B$1:$IX$10144,AN$22,FALSE)))</f>
        <v>0</v>
      </c>
      <c r="AO36" s="22">
        <f>IF(OR($B36="",AO$22=""),"",IF(LEN(VLOOKUP($B36,Database!$B$1:$IX$10144,AO$22,FALSE))=0,"",VLOOKUP($B36,Database!$B$1:$IX$10144,AO$22,FALSE)))</f>
        <v>0</v>
      </c>
      <c r="AP36" s="22">
        <f>IF(OR($B36="",AP$22=""),"",IF(LEN(VLOOKUP($B36,Database!$B$1:$IX$10144,AP$22,FALSE))=0,"",VLOOKUP($B36,Database!$B$1:$IX$10144,AP$22,FALSE)))</f>
        <v>100</v>
      </c>
      <c r="AQ36" s="22" t="str">
        <f>IF(OR($B36="",AQ$22=""),"",IF(LEN(VLOOKUP($B36,Database!$B$1:$IX$10144,AQ$22,FALSE))=0,"",VLOOKUP($B36,Database!$B$1:$IX$10144,AQ$22,FALSE)))</f>
        <v>Lacerda AL, Nicoletti MA, Brambilla P, Sassi RB, Mallinger AG, Frank E, Kupfer DJ, Keshavan MS, Soares JC.</v>
      </c>
      <c r="AR36" s="13"/>
      <c r="AX36" s="13"/>
      <c r="AY36" s="13"/>
      <c r="AZ36" s="13"/>
      <c r="BA36" s="13"/>
      <c r="BC36" s="23"/>
      <c r="BF36" s="136"/>
      <c r="BG36" s="136"/>
      <c r="BH36" s="136"/>
      <c r="BI36" s="136"/>
    </row>
    <row r="37" spans="1:61">
      <c r="B37">
        <v>18439110</v>
      </c>
      <c r="C37" s="1" t="str">
        <f>IF($B37="","",HYPERLINK(IF(LEN(VLOOKUP($B37,Database!$B$1:$IX$10144,2,FALSE))=0,"",VLOOKUP($B37,Database!$B$1:$IX$10144,2,FALSE))))</f>
        <v/>
      </c>
      <c r="D37" s="1" t="str">
        <f t="shared" si="1"/>
        <v>http://www.ncbi.nlm.nih.gov/pubmed/18439110</v>
      </c>
      <c r="E37" s="22" t="str">
        <f>IF($B37="","",IF(LEN(VLOOKUP($B37,Database!$B$1:$IX$10144,4,FALSE))=0,"",VLOOKUP($B37,Database!$B$1:$IX$10144,4,FALSE)))</f>
        <v>Matsuo K</v>
      </c>
      <c r="F37" s="22">
        <f>IF($B37="","",IF(LEN(VLOOKUP($B37,Database!$B$1:$IX$10144,5,FALSE))=0,"",VLOOKUP($B37,Database!$B$1:$IX$10144,5,FALSE)))</f>
        <v>2008</v>
      </c>
      <c r="G37" s="1" t="str">
        <f>IF($B37="","",HYPERLINK(IF(LEN(VLOOKUP($B37,Database!$B$1:$IX$10144,6,FALSE))=0,"",VLOOKUP($B37,Database!$B$1:$IX$10144,6,FALSE))))</f>
        <v>http://www.liebertonline.com/doi/pdf/10.1089/cap.2007.0026</v>
      </c>
      <c r="H37" s="22">
        <f>IF($B37="","",IF(LEN(VLOOKUP($B37,Database!$B$1:$IX$10144,7,FALSE))=0,"",VLOOKUP($B37,Database!$B$1:$IX$10144,7,FALSE)))</f>
        <v>27</v>
      </c>
      <c r="I37" s="22">
        <f>IF($B37="","",IF(LEN(VLOOKUP($B37,Database!$B$1:$IX$10144,8,FALSE))=0,"",VLOOKUP($B37,Database!$B$1:$IX$10144,8,FALSE)))</f>
        <v>26</v>
      </c>
      <c r="J37" t="s">
        <v>1530</v>
      </c>
      <c r="L37">
        <v>2.42</v>
      </c>
      <c r="M37">
        <v>0.33</v>
      </c>
      <c r="N37">
        <v>2.5299999999999998</v>
      </c>
      <c r="O37">
        <v>0.32</v>
      </c>
      <c r="P37">
        <v>2.37</v>
      </c>
      <c r="Q37">
        <v>0.31</v>
      </c>
      <c r="R37">
        <v>2.56</v>
      </c>
      <c r="S37">
        <v>0.34</v>
      </c>
      <c r="T37">
        <f t="shared" si="5"/>
        <v>4.79</v>
      </c>
      <c r="U37">
        <f t="shared" si="2"/>
        <v>0.6071902502511054</v>
      </c>
      <c r="V37">
        <f t="shared" si="3"/>
        <v>5.09</v>
      </c>
      <c r="W37">
        <f t="shared" si="4"/>
        <v>0.62616291809719937</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14.4</v>
      </c>
      <c r="AC37" s="22">
        <f>IF(OR($B37="",AC$22=""),"",IF(LEN(VLOOKUP($B37,Database!$B$1:$IX$10144,AC$22,FALSE))=0,"",VLOOKUP($B37,Database!$B$1:$IX$10144,AC$22,FALSE)))</f>
        <v>2.2000000000000002</v>
      </c>
      <c r="AD37" s="22">
        <f>IF(OR($B37="",AD$22=""),"",IF(LEN(VLOOKUP($B37,Database!$B$1:$IX$10144,AD$22,FALSE))=0,"",VLOOKUP($B37,Database!$B$1:$IX$10144,AD$22,FALSE)))</f>
        <v>14.4</v>
      </c>
      <c r="AE37" s="22">
        <f>IF(OR($B37="",AE$22=""),"",IF(LEN(VLOOKUP($B37,Database!$B$1:$IX$10144,AE$22,FALSE))=0,"",VLOOKUP($B37,Database!$B$1:$IX$10144,AE$22,FALSE)))</f>
        <v>2.2999999999999998</v>
      </c>
      <c r="AF37" s="22">
        <f>IF(OR($B37="",AF$22=""),"",IF(LEN(VLOOKUP($B37,Database!$B$1:$IX$10144,AF$22,FALSE))=0,"",VLOOKUP($B37,Database!$B$1:$IX$10144,AF$22,FALSE)))</f>
        <v>17</v>
      </c>
      <c r="AG37" s="22">
        <f>IF(OR($B37="",AG$22=""),"",IF(LEN(VLOOKUP($B37,Database!$B$1:$IX$10144,AG$22,FALSE))=0,"",VLOOKUP($B37,Database!$B$1:$IX$10144,AG$22,FALSE)))</f>
        <v>14</v>
      </c>
      <c r="AH37" s="22">
        <f>IF(OR($B37="",AH$22=""),"",IF(LEN(VLOOKUP($B37,Database!$B$1:$IX$10144,AH$22,FALSE))=0,"",VLOOKUP($B37,Database!$B$1:$IX$10144,AH$22,FALSE)))</f>
        <v>1.5</v>
      </c>
      <c r="AI37" s="22">
        <f>IF(OR($B37="",AI$22=""),"",IF(LEN(VLOOKUP($B37,Database!$B$1:$IX$10144,AI$22,FALSE))=0,"",VLOOKUP($B37,Database!$B$1:$IX$10144,AI$22,FALSE)))</f>
        <v>1.5</v>
      </c>
      <c r="AJ37" s="22" t="str">
        <f>IF(OR($B37="",AJ$22=""),"",IF(LEN(VLOOKUP($B37,Database!$B$1:$IX$10144,AJ$22,FALSE))=0,"",VLOOKUP($B37,Database!$B$1:$IX$10144,AJ$22,FALSE)))</f>
        <v/>
      </c>
      <c r="AK37" s="22">
        <f>IF(OR($B37="",AK$22=""),"",IF(LEN(VLOOKUP($B37,Database!$B$1:$IX$10144,AK$22,FALSE))=0,"",VLOOKUP($B37,Database!$B$1:$IX$10144,AK$22,FALSE)))</f>
        <v>11.75</v>
      </c>
      <c r="AL37" s="22" t="str">
        <f>IF(OR($B37="",AL$22=""),"",IF(LEN(VLOOKUP($B37,Database!$B$1:$IX$10144,AL$22,FALSE))=0,"",VLOOKUP($B37,Database!$B$1:$IX$10144,AL$22,FALSE)))</f>
        <v>ns</v>
      </c>
      <c r="AM37" s="22">
        <f>IF(OR($B37="",AM$22=""),"",IF(LEN(VLOOKUP($B37,Database!$B$1:$IX$10144,AM$22,FALSE))=0,"",VLOOKUP($B37,Database!$B$1:$IX$10144,AM$22,FALSE)))</f>
        <v>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100</v>
      </c>
      <c r="AQ37" s="22" t="str">
        <f>IF(OR($B37="",AQ$22=""),"",IF(LEN(VLOOKUP($B37,Database!$B$1:$IX$10144,AQ$22,FALSE))=0,"",VLOOKUP($B37,Database!$B$1:$IX$10144,AQ$22,FALSE)))</f>
        <v>Matsuo K, Rosenberg DR, Easter PC, MacMaster FP, Chen HH, Nicoletti M, Caetano SC, Hatch JP, Soares JC.</v>
      </c>
      <c r="AR37" s="13"/>
      <c r="AX37" s="13"/>
      <c r="AY37" s="13"/>
      <c r="AZ37" s="13"/>
      <c r="BA37" s="13"/>
      <c r="BC37" s="23"/>
      <c r="BF37" s="136"/>
      <c r="BG37" s="136"/>
      <c r="BH37" s="136"/>
      <c r="BI37" s="136"/>
    </row>
    <row r="38" spans="1:61">
      <c r="B38">
        <v>19411368</v>
      </c>
      <c r="C38" s="1" t="str">
        <f>IF($B38="","",HYPERLINK(IF(LEN(VLOOKUP($B38,Database!$B$1:$IX$10144,2,FALSE))=0,"",VLOOKUP($B38,Database!$B$1:$IX$10144,2,FALSE))))</f>
        <v/>
      </c>
      <c r="D38" s="1" t="str">
        <f t="shared" si="1"/>
        <v>http://www.ncbi.nlm.nih.gov/pubmed/19411368</v>
      </c>
      <c r="E38" s="22" t="str">
        <f>IF($B38="","",IF(LEN(VLOOKUP($B38,Database!$B$1:$IX$10144,4,FALSE))=0,"",VLOOKUP($B38,Database!$B$1:$IX$10144,4,FALSE)))</f>
        <v>Pizzagalli DA</v>
      </c>
      <c r="F38" s="22">
        <f>IF($B38="","",IF(LEN(VLOOKUP($B38,Database!$B$1:$IX$10144,5,FALSE))=0,"",VLOOKUP($B38,Database!$B$1:$IX$10144,5,FALSE)))</f>
        <v>2009</v>
      </c>
      <c r="G38" s="1" t="str">
        <f>IF($B38="","",HYPERLINK(IF(LEN(VLOOKUP($B38,Database!$B$1:$IX$10144,6,FALSE))=0,"",VLOOKUP($B38,Database!$B$1:$IX$10144,6,FALSE))))</f>
        <v>http://ajp.psychiatryonline.org/cgi/reprint/166/6/702</v>
      </c>
      <c r="H38" s="83">
        <v>26</v>
      </c>
      <c r="I38" s="22">
        <f>IF($B38="","",IF(LEN(VLOOKUP($B38,Database!$B$1:$IX$10144,8,FALSE))=0,"",VLOOKUP($B38,Database!$B$1:$IX$10144,8,FALSE)))</f>
        <v>31</v>
      </c>
      <c r="J38" t="s">
        <v>2201</v>
      </c>
      <c r="L38">
        <v>3427</v>
      </c>
      <c r="M38">
        <v>507</v>
      </c>
      <c r="N38">
        <v>3433</v>
      </c>
      <c r="O38">
        <v>447</v>
      </c>
      <c r="P38">
        <v>3645</v>
      </c>
      <c r="Q38">
        <v>516</v>
      </c>
      <c r="R38">
        <v>3592</v>
      </c>
      <c r="S38">
        <v>520</v>
      </c>
      <c r="T38">
        <f t="shared" si="5"/>
        <v>7072</v>
      </c>
      <c r="U38">
        <f t="shared" si="2"/>
        <v>970.5071869903901</v>
      </c>
      <c r="V38">
        <f t="shared" si="3"/>
        <v>7025</v>
      </c>
      <c r="W38">
        <f t="shared" si="4"/>
        <v>917.66715098667441</v>
      </c>
      <c r="X38" s="2"/>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43.17</v>
      </c>
      <c r="AC38" s="22">
        <f>IF(OR($B38="",AC$22=""),"",IF(LEN(VLOOKUP($B38,Database!$B$1:$IX$10144,AC$22,FALSE))=0,"",VLOOKUP($B38,Database!$B$1:$IX$10144,AC$22,FALSE)))</f>
        <v>12.98</v>
      </c>
      <c r="AD38" s="22">
        <f>IF(OR($B38="",AD$22=""),"",IF(LEN(VLOOKUP($B38,Database!$B$1:$IX$10144,AD$22,FALSE))=0,"",VLOOKUP($B38,Database!$B$1:$IX$10144,AD$22,FALSE)))</f>
        <v>38.799999999999997</v>
      </c>
      <c r="AE38" s="22">
        <f>IF(OR($B38="",AE$22=""),"",IF(LEN(VLOOKUP($B38,Database!$B$1:$IX$10144,AE$22,FALSE))=0,"",VLOOKUP($B38,Database!$B$1:$IX$10144,AE$22,FALSE)))</f>
        <v>14.48</v>
      </c>
      <c r="AF38" s="22">
        <f>IF(OR($B38="",AF$22=""),"",IF(LEN(VLOOKUP($B38,Database!$B$1:$IX$10144,AF$22,FALSE))=0,"",VLOOKUP($B38,Database!$B$1:$IX$10144,AF$22,FALSE)))</f>
        <v>15</v>
      </c>
      <c r="AG38" s="22">
        <f>IF(OR($B38="",AG$22=""),"",IF(LEN(VLOOKUP($B38,Database!$B$1:$IX$10144,AG$22,FALSE))=0,"",VLOOKUP($B38,Database!$B$1:$IX$10144,AG$22,FALSE)))</f>
        <v>13</v>
      </c>
      <c r="AH38" s="22">
        <f>IF(OR($B38="",AH$22=""),"",IF(LEN(VLOOKUP($B38,Database!$B$1:$IX$10144,AH$22,FALSE))=0,"",VLOOKUP($B38,Database!$B$1:$IX$10144,AH$22,FALSE)))</f>
        <v>1.5</v>
      </c>
      <c r="AI38" s="22">
        <f>IF(OR($B38="",AI$22=""),"",IF(LEN(VLOOKUP($B38,Database!$B$1:$IX$10144,AI$22,FALSE))=0,"",VLOOKUP($B38,Database!$B$1:$IX$10144,AI$22,FALSE)))</f>
        <v>1.33</v>
      </c>
      <c r="AJ38" s="22" t="str">
        <f>IF(OR($B38="",AJ$22=""),"",IF(LEN(VLOOKUP($B38,Database!$B$1:$IX$10144,AJ$22,FALSE))=0,"",VLOOKUP($B38,Database!$B$1:$IX$10144,AJ$22,FALSE)))</f>
        <v/>
      </c>
      <c r="AK38" s="22">
        <f>IF(OR($B38="",AK$22=""),"",IF(LEN(VLOOKUP($B38,Database!$B$1:$IX$10144,AK$22,FALSE))=0,"",VLOOKUP($B38,Database!$B$1:$IX$10144,AK$22,FALSE)))</f>
        <v>29.39</v>
      </c>
      <c r="AL38" s="22">
        <f>IF(OR($B38="",AL$22=""),"",IF(LEN(VLOOKUP($B38,Database!$B$1:$IX$10144,AL$22,FALSE))=0,"",VLOOKUP($B38,Database!$B$1:$IX$10144,AL$22,FALSE)))</f>
        <v>15.98</v>
      </c>
      <c r="AM38" s="22">
        <f>IF(OR($B38="",AM$22=""),"",IF(LEN(VLOOKUP($B38,Database!$B$1:$IX$10144,AM$22,FALSE))=0,"",VLOOKUP($B38,Database!$B$1:$IX$10144,AM$22,FALSE)))</f>
        <v>0</v>
      </c>
      <c r="AN38" s="22">
        <f>IF(OR($B38="",AN$22=""),"",IF(LEN(VLOOKUP($B38,Database!$B$1:$IX$10144,AN$22,FALSE))=0,"",VLOOKUP($B38,Database!$B$1:$IX$10144,AN$22,FALSE)))</f>
        <v>0</v>
      </c>
      <c r="AO38" s="22">
        <f>IF(OR($B38="",AO$22=""),"",IF(LEN(VLOOKUP($B38,Database!$B$1:$IX$10144,AO$22,FALSE))=0,"",VLOOKUP($B38,Database!$B$1:$IX$10144,AO$22,FALSE)))</f>
        <v>0</v>
      </c>
      <c r="AP38" s="22">
        <f>IF(OR($B38="",AP$22=""),"",IF(LEN(VLOOKUP($B38,Database!$B$1:$IX$10144,AP$22,FALSE))=0,"",VLOOKUP($B38,Database!$B$1:$IX$10144,AP$22,FALSE)))</f>
        <v>100</v>
      </c>
      <c r="AQ38" s="22" t="str">
        <f>IF(OR($B38="",AQ$22=""),"",IF(LEN(VLOOKUP($B38,Database!$B$1:$IX$10144,AQ$22,FALSE))=0,"",VLOOKUP($B38,Database!$B$1:$IX$10144,AQ$22,FALSE)))</f>
        <v>Pizzagalli DA, Holmes AJ, Dillon DG, Goetz EL, Birk JL, Bogdan R, Dougherty DD, Iosifescu DV, Rauch SL, Fava M.</v>
      </c>
      <c r="AR38" s="13"/>
      <c r="AX38" s="13"/>
      <c r="AY38" s="13"/>
      <c r="AZ38" s="13"/>
      <c r="BA38" s="13"/>
      <c r="BC38" s="23"/>
      <c r="BF38" s="136"/>
      <c r="BG38" s="136"/>
      <c r="BH38" s="136"/>
      <c r="BI38" s="136"/>
    </row>
    <row r="39" spans="1:61">
      <c r="A39" s="13"/>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c r="AQ39" s="22"/>
    </row>
    <row r="40" spans="1:61">
      <c r="A40" s="4" t="s">
        <v>347</v>
      </c>
      <c r="C40" s="1"/>
      <c r="D40" s="1"/>
      <c r="E40" s="22"/>
      <c r="F40" s="22"/>
      <c r="G40" s="1"/>
      <c r="H40" s="22"/>
      <c r="I40" s="22"/>
      <c r="Y40" s="22"/>
      <c r="Z40" s="22"/>
      <c r="AA40" s="22"/>
      <c r="AB40" s="22"/>
      <c r="AC40" s="22"/>
      <c r="AD40" s="22"/>
      <c r="AE40" s="22"/>
      <c r="AF40" s="22"/>
      <c r="AG40" s="22"/>
      <c r="AH40" s="22"/>
      <c r="AI40" s="22"/>
      <c r="AJ40" s="22"/>
      <c r="AK40" s="22"/>
      <c r="AL40" s="22"/>
      <c r="AM40" s="22"/>
      <c r="AN40" s="22"/>
      <c r="AO40" s="22"/>
      <c r="AP40" s="22"/>
      <c r="AQ40" s="22"/>
    </row>
    <row r="41" spans="1:61">
      <c r="A41" s="10" t="s">
        <v>2010</v>
      </c>
      <c r="B41">
        <v>9089834</v>
      </c>
      <c r="C41" s="1" t="str">
        <f>IF($B41="","",HYPERLINK(IF(LEN(VLOOKUP($B41,Database!$B$1:$IX$10144,2,FALSE))=0,"",VLOOKUP($B41,Database!$B$1:$IX$10144,2,FALSE))))</f>
        <v/>
      </c>
      <c r="D41" s="1" t="str">
        <f>IF($B41="","",HYPERLINK(CONCATENATE("http://www.ncbi.nlm.nih.gov/pubmed/",B41)))</f>
        <v>http://www.ncbi.nlm.nih.gov/pubmed/9089834</v>
      </c>
      <c r="E41" s="22" t="str">
        <f>IF($B41="","",IF(LEN(VLOOKUP($B41,Database!$B$1:$IX$10144,4,FALSE))=0,"",VLOOKUP($B41,Database!$B$1:$IX$10144,4,FALSE)))</f>
        <v>Greenwald BS</v>
      </c>
      <c r="F41" s="22">
        <f>IF($B41="","",IF(LEN(VLOOKUP($B41,Database!$B$1:$IX$10144,5,FALSE))=0,"",VLOOKUP($B41,Database!$B$1:$IX$10144,5,FALSE)))</f>
        <v>1997</v>
      </c>
      <c r="G41" s="1" t="str">
        <f>IF($B41="","",HYPERLINK(IF(LEN(VLOOKUP($B41,Database!$B$1:$IX$10144,6,FALSE))=0,"",VLOOKUP($B41,Database!$B$1:$IX$10144,6,FALSE))))</f>
        <v>http://dx.doi.org/10.1017/S0033291796004576</v>
      </c>
      <c r="H41" s="22">
        <f>IF($B41="","",IF(LEN(VLOOKUP($B41,Database!$B$1:$IX$10144,7,FALSE))=0,"",VLOOKUP($B41,Database!$B$1:$IX$10144,7,FALSE)))</f>
        <v>30</v>
      </c>
      <c r="I41" s="22">
        <f>IF($B41="","",IF(LEN(VLOOKUP($B41,Database!$B$1:$IX$10144,8,FALSE))=0,"",VLOOKUP($B41,Database!$B$1:$IX$10144,8,FALSE)))</f>
        <v>36</v>
      </c>
      <c r="Y41" s="22" t="str">
        <f>IF(OR($B41="",Y$22=""),"",IF(LEN(VLOOKUP($B41,Database!$B$1:$IX$10144,Y$22,FALSE))=0,"",VLOOKUP($B41,Database!$B$1:$IX$10144,Y$22,FALSE)))</f>
        <v>DSM-III-R</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75.900000000000006</v>
      </c>
      <c r="AC41" s="22">
        <f>IF(OR($B41="",AC$22=""),"",IF(LEN(VLOOKUP($B41,Database!$B$1:$IX$10144,AC$22,FALSE))=0,"",VLOOKUP($B41,Database!$B$1:$IX$10144,AC$22,FALSE)))</f>
        <v>6.7</v>
      </c>
      <c r="AD41" s="22">
        <f>IF(OR($B41="",AD$22=""),"",IF(LEN(VLOOKUP($B41,Database!$B$1:$IX$10144,AD$22,FALSE))=0,"",VLOOKUP($B41,Database!$B$1:$IX$10144,AD$22,FALSE)))</f>
        <v>72.8</v>
      </c>
      <c r="AE41" s="22">
        <f>IF(OR($B41="",AE$22=""),"",IF(LEN(VLOOKUP($B41,Database!$B$1:$IX$10144,AE$22,FALSE))=0,"",VLOOKUP($B41,Database!$B$1:$IX$10144,AE$22,FALSE)))</f>
        <v>6.6</v>
      </c>
      <c r="AF41" s="22">
        <f>IF(OR($B41="",AF$22=""),"",IF(LEN(VLOOKUP($B41,Database!$B$1:$IX$10144,AF$22,FALSE))=0,"",VLOOKUP($B41,Database!$B$1:$IX$10144,AF$22,FALSE)))</f>
        <v>15</v>
      </c>
      <c r="AG41" s="22">
        <f>IF(OR($B41="",AG$22=""),"",IF(LEN(VLOOKUP($B41,Database!$B$1:$IX$10144,AG$22,FALSE))=0,"",VLOOKUP($B41,Database!$B$1:$IX$10144,AG$22,FALSE)))</f>
        <v>18</v>
      </c>
      <c r="AH41" s="22">
        <f>IF(OR($B41="",AH$22=""),"",IF(LEN(VLOOKUP($B41,Database!$B$1:$IX$10144,AH$22,FALSE))=0,"",VLOOKUP($B41,Database!$B$1:$IX$10144,AH$22,FALSE)))</f>
        <v>1</v>
      </c>
      <c r="AI41" s="22">
        <f>IF(OR($B41="",AI$22=""),"",IF(LEN(VLOOKUP($B41,Database!$B$1:$IX$10144,AI$22,FALSE))=0,"",VLOOKUP($B41,Database!$B$1:$IX$10144,AI$22,FALSE)))</f>
        <v>3.1</v>
      </c>
      <c r="AJ41" s="22" t="str">
        <f>IF(OR($B41="",AJ$22=""),"",IF(LEN(VLOOKUP($B41,Database!$B$1:$IX$10144,AJ$22,FALSE))=0,"",VLOOKUP($B41,Database!$B$1:$IX$10144,AJ$22,FALSE)))</f>
        <v/>
      </c>
      <c r="AK41" s="22" t="str">
        <f>IF(OR($B41="",AK$22=""),"",IF(LEN(VLOOKUP($B41,Database!$B$1:$IX$10144,AK$22,FALSE))=0,"",VLOOKUP($B41,Database!$B$1:$IX$10144,AK$22,FALSE)))</f>
        <v>ns</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Greenwald BS, Kramer-Ginsberg E, Bogerts B, Ashtari M, Aupperle P, Wu H, Allen L, Zeman D, Patel M.</v>
      </c>
    </row>
    <row r="42" spans="1:61">
      <c r="A42" s="4" t="s">
        <v>346</v>
      </c>
      <c r="C42" s="1"/>
      <c r="D42" s="1"/>
      <c r="E42" s="22"/>
      <c r="F42" s="22"/>
      <c r="G42" s="1"/>
      <c r="H42" s="22"/>
      <c r="I42" s="22"/>
      <c r="K42" s="10"/>
      <c r="Y42" s="22"/>
      <c r="Z42" s="22"/>
      <c r="AA42" s="22"/>
      <c r="AB42" s="22"/>
      <c r="AC42" s="22"/>
      <c r="AD42" s="22"/>
      <c r="AE42" s="22"/>
      <c r="AF42" s="22"/>
      <c r="AG42" s="22"/>
      <c r="AH42" s="22"/>
      <c r="AI42" s="22"/>
      <c r="AJ42" s="22"/>
      <c r="AK42" s="22"/>
      <c r="AL42" s="22"/>
      <c r="AM42" s="155"/>
      <c r="AN42" s="22"/>
      <c r="AO42" s="22"/>
      <c r="AP42" s="22"/>
      <c r="AQ42" s="22"/>
    </row>
    <row r="43" spans="1:61">
      <c r="A43" s="7" t="s">
        <v>65</v>
      </c>
      <c r="B43">
        <v>1627046</v>
      </c>
      <c r="C43" s="1" t="str">
        <f>IF($B43="","",HYPERLINK(IF(LEN(VLOOKUP($B43,Database!$B$1:$IX$10144,2,FALSE))=0,"",VLOOKUP($B43,Database!$B$1:$IX$10144,2,FALSE))))</f>
        <v/>
      </c>
      <c r="D43" s="1" t="str">
        <f>IF($B43="","",HYPERLINK(CONCATENATE("http://www.ncbi.nlm.nih.gov/pubmed/",B43)))</f>
        <v>http://www.ncbi.nlm.nih.gov/pubmed/1627046</v>
      </c>
      <c r="E43" s="22" t="str">
        <f>IF($B43="","",IF(LEN(VLOOKUP($B43,Database!$B$1:$IX$10144,4,FALSE))=0,"",VLOOKUP($B43,Database!$B$1:$IX$10144,4,FALSE)))</f>
        <v>Krishnan KR</v>
      </c>
      <c r="F43" s="22">
        <f>IF($B43="","",IF(LEN(VLOOKUP($B43,Database!$B$1:$IX$10144,5,FALSE))=0,"",VLOOKUP($B43,Database!$B$1:$IX$10144,5,FALSE)))</f>
        <v>1992</v>
      </c>
      <c r="G43" s="1" t="str">
        <f>IF($B43="","",HYPERLINK(IF(LEN(VLOOKUP($B43,Database!$B$1:$IX$10144,6,FALSE))=0,"",VLOOKUP($B43,Database!$B$1:$IX$10144,6,FALSE))))</f>
        <v>http://archpsyc.ama-assn.org/cgi/reprint/49/7/553</v>
      </c>
      <c r="H43" s="22">
        <f>IF($B43="","",IF(LEN(VLOOKUP($B43,Database!$B$1:$IX$10144,7,FALSE))=0,"",VLOOKUP($B43,Database!$B$1:$IX$10144,7,FALSE)))</f>
        <v>50</v>
      </c>
      <c r="I43" s="22">
        <f>IF($B43="","",IF(LEN(VLOOKUP($B43,Database!$B$1:$IX$10144,8,FALSE))=0,"",VLOOKUP($B43,Database!$B$1:$IX$10144,8,FALSE)))</f>
        <v>50</v>
      </c>
      <c r="J43" t="s">
        <v>615</v>
      </c>
      <c r="K43" s="10"/>
      <c r="T43">
        <v>5.17</v>
      </c>
      <c r="U43">
        <v>1.6</v>
      </c>
      <c r="V43">
        <v>6.24</v>
      </c>
      <c r="W43">
        <v>1.7</v>
      </c>
      <c r="Y43" s="22" t="str">
        <f>IF(OR($B43="",Y$22=""),"",IF(LEN(VLOOKUP($B43,Database!$B$1:$IX$10144,Y$22,FALSE))=0,"",VLOOKUP($B43,Database!$B$1:$IX$10144,Y$22,FALSE)))</f>
        <v>DSM-III</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48.3</v>
      </c>
      <c r="AC43" s="22">
        <f>IF(OR($B43="",AC$22=""),"",IF(LEN(VLOOKUP($B43,Database!$B$1:$IX$10144,AC$22,FALSE))=0,"",VLOOKUP($B43,Database!$B$1:$IX$10144,AC$22,FALSE)))</f>
        <v>16.8</v>
      </c>
      <c r="AD43" s="22">
        <f>IF(OR($B43="",AD$22=""),"",IF(LEN(VLOOKUP($B43,Database!$B$1:$IX$10144,AD$22,FALSE))=0,"",VLOOKUP($B43,Database!$B$1:$IX$10144,AD$22,FALSE)))</f>
        <v>49.2</v>
      </c>
      <c r="AE43" s="22">
        <f>IF(OR($B43="",AE$22=""),"",IF(LEN(VLOOKUP($B43,Database!$B$1:$IX$10144,AE$22,FALSE))=0,"",VLOOKUP($B43,Database!$B$1:$IX$10144,AE$22,FALSE)))</f>
        <v>17.899999999999999</v>
      </c>
      <c r="AF43" s="22">
        <f>IF(OR($B43="",AF$22=""),"",IF(LEN(VLOOKUP($B43,Database!$B$1:$IX$10144,AF$22,FALSE))=0,"",VLOOKUP($B43,Database!$B$1:$IX$10144,AF$22,FALSE)))</f>
        <v>27</v>
      </c>
      <c r="AG43" s="22">
        <f>IF(OR($B43="",AG$22=""),"",IF(LEN(VLOOKUP($B43,Database!$B$1:$IX$10144,AG$22,FALSE))=0,"",VLOOKUP($B43,Database!$B$1:$IX$10144,AG$22,FALSE)))</f>
        <v>27</v>
      </c>
      <c r="AH43" s="22">
        <f>IF(OR($B43="",AH$22=""),"",IF(LEN(VLOOKUP($B43,Database!$B$1:$IX$10144,AH$22,FALSE))=0,"",VLOOKUP($B43,Database!$B$1:$IX$10144,AH$22,FALSE)))</f>
        <v>1.5</v>
      </c>
      <c r="AI43" s="22">
        <f>IF(OR($B43="",AI$22=""),"",IF(LEN(VLOOKUP($B43,Database!$B$1:$IX$10144,AI$22,FALSE))=0,"",VLOOKUP($B43,Database!$B$1:$IX$10144,AI$22,FALSE)))</f>
        <v>5</v>
      </c>
      <c r="AJ43" s="22" t="str">
        <f>IF(OR($B43="",AJ$22=""),"",IF(LEN(VLOOKUP($B43,Database!$B$1:$IX$10144,AJ$22,FALSE))=0,"",VLOOKUP($B43,Database!$B$1:$IX$10144,AJ$22,FALSE)))</f>
        <v/>
      </c>
      <c r="AK43" s="22" t="str">
        <f>IF(OR($B43="",AK$22=""),"",IF(LEN(VLOOKUP($B43,Database!$B$1:$IX$10144,AK$22,FALSE))=0,"",VLOOKUP($B43,Database!$B$1:$IX$10144,AK$22,FALSE)))</f>
        <v>ns</v>
      </c>
      <c r="AL43" s="22" t="str">
        <f>IF(OR($B43="",AL$22=""),"",IF(LEN(VLOOKUP($B43,Database!$B$1:$IX$10144,AL$22,FALSE))=0,"",VLOOKUP($B43,Database!$B$1:$IX$10144,AL$22,FALSE)))</f>
        <v>ns</v>
      </c>
      <c r="AM43" s="155"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t="str">
        <f>IF(OR($B43="",AP$22=""),"",IF(LEN(VLOOKUP($B43,Database!$B$1:$IX$10144,AP$22,FALSE))=0,"",VLOOKUP($B43,Database!$B$1:$IX$10144,AP$22,FALSE)))</f>
        <v>ns</v>
      </c>
      <c r="AQ43" s="22" t="str">
        <f>IF(OR($B43="",AQ$22=""),"",IF(LEN(VLOOKUP($B43,Database!$B$1:$IX$10144,AQ$22,FALSE))=0,"",VLOOKUP($B43,Database!$B$1:$IX$10144,AQ$22,FALSE)))</f>
        <v>Krishnan KR, McDonald WM, Escalona PR, Doraiswamy PM, Na C, Husain MM, Figiel GS, Boyko OB, Ellinwood EH, Nemeroff CB.</v>
      </c>
    </row>
    <row r="44" spans="1:61">
      <c r="A44" s="7" t="s">
        <v>66</v>
      </c>
      <c r="B44">
        <v>8399409</v>
      </c>
      <c r="C44" s="1" t="str">
        <f>IF($B44="","",HYPERLINK(IF(LEN(VLOOKUP($B44,Database!$B$1:$IX$10144,2,FALSE))=0,"",VLOOKUP($B44,Database!$B$1:$IX$10144,2,FALSE))))</f>
        <v/>
      </c>
      <c r="D44" s="1" t="str">
        <f>IF($B44="","",HYPERLINK(CONCATENATE("http://www.ncbi.nlm.nih.gov/pubmed/",B44)))</f>
        <v>http://www.ncbi.nlm.nih.gov/pubmed/8399409</v>
      </c>
      <c r="E44" s="22" t="str">
        <f>IF($B44="","",IF(LEN(VLOOKUP($B44,Database!$B$1:$IX$10144,4,FALSE))=0,"",VLOOKUP($B44,Database!$B$1:$IX$10144,4,FALSE)))</f>
        <v>Krishnan KR</v>
      </c>
      <c r="F44" s="22">
        <f>IF($B44="","",IF(LEN(VLOOKUP($B44,Database!$B$1:$IX$10144,5,FALSE))=0,"",VLOOKUP($B44,Database!$B$1:$IX$10144,5,FALSE)))</f>
        <v>1993</v>
      </c>
      <c r="G44" s="1" t="str">
        <f>IF($B44="","",HYPERLINK(IF(LEN(VLOOKUP($B44,Database!$B$1:$IX$10144,6,FALSE))=0,"",VLOOKUP($B44,Database!$B$1:$IX$10144,6,FALSE))))</f>
        <v>http://www.springerlink.com/content/yq33844661g65135/fulltext.pdf</v>
      </c>
      <c r="H44" s="22">
        <f>IF($B44="","",IF(LEN(VLOOKUP($B44,Database!$B$1:$IX$10144,7,FALSE))=0,"",VLOOKUP($B44,Database!$B$1:$IX$10144,7,FALSE)))</f>
        <v>25</v>
      </c>
      <c r="I44" s="22">
        <f>IF($B44="","",IF(LEN(VLOOKUP($B44,Database!$B$1:$IX$10144,8,FALSE))=0,"",VLOOKUP($B44,Database!$B$1:$IX$10144,8,FALSE)))</f>
        <v>20</v>
      </c>
      <c r="J44" t="s">
        <v>393</v>
      </c>
      <c r="T44">
        <v>3.46</v>
      </c>
      <c r="U44">
        <v>1.17</v>
      </c>
      <c r="V44">
        <v>4.83</v>
      </c>
      <c r="W44">
        <v>0.95</v>
      </c>
      <c r="Y44" s="22" t="str">
        <f>IF(OR($B44="",Y$22=""),"",IF(LEN(VLOOKUP($B44,Database!$B$1:$IX$10144,Y$22,FALSE))=0,"",VLOOKUP($B44,Database!$B$1:$IX$10144,Y$22,FALSE)))</f>
        <v>DSM-III</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74.099999999999994</v>
      </c>
      <c r="AC44" s="22">
        <f>IF(OR($B44="",AC$22=""),"",IF(LEN(VLOOKUP($B44,Database!$B$1:$IX$10144,AC$22,FALSE))=0,"",VLOOKUP($B44,Database!$B$1:$IX$10144,AC$22,FALSE)))</f>
        <v>6.6</v>
      </c>
      <c r="AD44" s="22">
        <f>IF(OR($B44="",AD$22=""),"",IF(LEN(VLOOKUP($B44,Database!$B$1:$IX$10144,AD$22,FALSE))=0,"",VLOOKUP($B44,Database!$B$1:$IX$10144,AD$22,FALSE)))</f>
        <v>72.5</v>
      </c>
      <c r="AE44" s="22">
        <f>IF(OR($B44="",AE$22=""),"",IF(LEN(VLOOKUP($B44,Database!$B$1:$IX$10144,AE$22,FALSE))=0,"",VLOOKUP($B44,Database!$B$1:$IX$10144,AE$22,FALSE)))</f>
        <v>3.6</v>
      </c>
      <c r="AF44" s="22">
        <f>IF(OR($B44="",AF$22=""),"",IF(LEN(VLOOKUP($B44,Database!$B$1:$IX$10144,AF$22,FALSE))=0,"",VLOOKUP($B44,Database!$B$1:$IX$10144,AF$22,FALSE)))</f>
        <v>17</v>
      </c>
      <c r="AG44" s="22">
        <f>IF(OR($B44="",AG$22=""),"",IF(LEN(VLOOKUP($B44,Database!$B$1:$IX$10144,AG$22,FALSE))=0,"",VLOOKUP($B44,Database!$B$1:$IX$10144,AG$22,FALSE)))</f>
        <v>11</v>
      </c>
      <c r="AH44" s="22">
        <f>IF(OR($B44="",AH$22=""),"",IF(LEN(VLOOKUP($B44,Database!$B$1:$IX$10144,AH$22,FALSE))=0,"",VLOOKUP($B44,Database!$B$1:$IX$10144,AH$22,FALSE)))</f>
        <v>1.5</v>
      </c>
      <c r="AI44" s="22">
        <f>IF(OR($B44="",AI$22=""),"",IF(LEN(VLOOKUP($B44,Database!$B$1:$IX$10144,AI$22,FALSE))=0,"",VLOOKUP($B44,Database!$B$1:$IX$10144,AI$22,FALSE)))</f>
        <v>5</v>
      </c>
      <c r="AJ44" s="22" t="str">
        <f>IF(OR($B44="",AJ$22=""),"",IF(LEN(VLOOKUP($B44,Database!$B$1:$IX$10144,AJ$22,FALSE))=0,"",VLOOKUP($B44,Database!$B$1:$IX$10144,AJ$22,FALSE)))</f>
        <v/>
      </c>
      <c r="AK44" s="22" t="str">
        <f>IF(OR($B44="",AK$22=""),"",IF(LEN(VLOOKUP($B44,Database!$B$1:$IX$10144,AK$22,FALSE))=0,"",VLOOKUP($B44,Database!$B$1:$IX$10144,AK$22,FALSE)))</f>
        <v>ns</v>
      </c>
      <c r="AL44" s="22" t="str">
        <f>IF(OR($B44="",AL$22=""),"",IF(LEN(VLOOKUP($B44,Database!$B$1:$IX$10144,AL$22,FALSE))=0,"",VLOOKUP($B44,Database!$B$1:$IX$10144,AL$22,FALSE)))</f>
        <v>ns</v>
      </c>
      <c r="AM44" s="155" t="str">
        <f>IF(OR($B44="",AM$22=""),"",IF(LEN(VLOOKUP($B44,Database!$B$1:$IX$10144,AM$22,FALSE))=0,"",VLOOKUP($B44,Database!$B$1:$IX$10144,AM$22,FALSE)))</f>
        <v>ns</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Krishnan KR, McDonald WM, Doraiswamy PM, Tupler LA, Husain M, Boyko OB, Figiel GS, Ellinwood EH Jr.</v>
      </c>
    </row>
    <row r="45" spans="1:61">
      <c r="A45" s="7" t="s">
        <v>67</v>
      </c>
      <c r="B45">
        <v>10618023</v>
      </c>
      <c r="C45" s="1" t="str">
        <f>IF($B45="","",HYPERLINK(IF(LEN(VLOOKUP($B45,Database!$B$1:$IX$10144,2,FALSE))=0,"",VLOOKUP($B45,Database!$B$1:$IX$10144,2,FALSE))))</f>
        <v/>
      </c>
      <c r="D45" s="1" t="str">
        <f>IF($B45="","",HYPERLINK(CONCATENATE("http://www.ncbi.nlm.nih.gov/pubmed/",B45)))</f>
        <v>http://www.ncbi.nlm.nih.gov/pubmed/10618023</v>
      </c>
      <c r="E45" s="22" t="str">
        <f>IF($B45="","",IF(LEN(VLOOKUP($B45,Database!$B$1:$IX$10144,4,FALSE))=0,"",VLOOKUP($B45,Database!$B$1:$IX$10144,4,FALSE)))</f>
        <v>Bremner JD</v>
      </c>
      <c r="F45" s="22">
        <f>IF($B45="","",IF(LEN(VLOOKUP($B45,Database!$B$1:$IX$10144,5,FALSE))=0,"",VLOOKUP($B45,Database!$B$1:$IX$10144,5,FALSE)))</f>
        <v>2000</v>
      </c>
      <c r="G45" s="1" t="str">
        <f>IF($B45="","",HYPERLINK(IF(LEN(VLOOKUP($B45,Database!$B$1:$IX$10144,6,FALSE))=0,"",VLOOKUP($B45,Database!$B$1:$IX$10144,6,FALSE))))</f>
        <v>http://ajp.psychiatryonline.org/cgi/reprint/157/1/115</v>
      </c>
      <c r="H45" s="22">
        <f>IF($B45="","",IF(LEN(VLOOKUP($B45,Database!$B$1:$IX$10144,7,FALSE))=0,"",VLOOKUP($B45,Database!$B$1:$IX$10144,7,FALSE)))</f>
        <v>16</v>
      </c>
      <c r="I45" s="22">
        <f>IF($B45="","",IF(LEN(VLOOKUP($B45,Database!$B$1:$IX$10144,8,FALSE))=0,"",VLOOKUP($B45,Database!$B$1:$IX$10144,8,FALSE)))</f>
        <v>16</v>
      </c>
      <c r="J45" t="s">
        <v>1621</v>
      </c>
      <c r="T45">
        <v>0.89</v>
      </c>
      <c r="U45">
        <v>0.18</v>
      </c>
      <c r="V45">
        <v>0.93</v>
      </c>
      <c r="W45">
        <v>0.19</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43</v>
      </c>
      <c r="AC45" s="22">
        <f>IF(OR($B45="",AC$22=""),"",IF(LEN(VLOOKUP($B45,Database!$B$1:$IX$10144,AC$22,FALSE))=0,"",VLOOKUP($B45,Database!$B$1:$IX$10144,AC$22,FALSE)))</f>
        <v>8</v>
      </c>
      <c r="AD45" s="22">
        <f>IF(OR($B45="",AD$22=""),"",IF(LEN(VLOOKUP($B45,Database!$B$1:$IX$10144,AD$22,FALSE))=0,"",VLOOKUP($B45,Database!$B$1:$IX$10144,AD$22,FALSE)))</f>
        <v>45</v>
      </c>
      <c r="AE45" s="22">
        <f>IF(OR($B45="",AE$22=""),"",IF(LEN(VLOOKUP($B45,Database!$B$1:$IX$10144,AE$22,FALSE))=0,"",VLOOKUP($B45,Database!$B$1:$IX$10144,AE$22,FALSE)))</f>
        <v>10</v>
      </c>
      <c r="AF45" s="22">
        <f>IF(OR($B45="",AF$22=""),"",IF(LEN(VLOOKUP($B45,Database!$B$1:$IX$10144,AF$22,FALSE))=0,"",VLOOKUP($B45,Database!$B$1:$IX$10144,AF$22,FALSE)))</f>
        <v>6</v>
      </c>
      <c r="AG45" s="22">
        <f>IF(OR($B45="",AG$22=""),"",IF(LEN(VLOOKUP($B45,Database!$B$1:$IX$10144,AG$22,FALSE))=0,"",VLOOKUP($B45,Database!$B$1:$IX$10144,AG$22,FALSE)))</f>
        <v>6</v>
      </c>
      <c r="AH45" s="22">
        <f>IF(OR($B45="",AH$22=""),"",IF(LEN(VLOOKUP($B45,Database!$B$1:$IX$10144,AH$22,FALSE))=0,"",VLOOKUP($B45,Database!$B$1:$IX$10144,AH$22,FALSE)))</f>
        <v>1.5</v>
      </c>
      <c r="AI45" s="22">
        <f>IF(OR($B45="",AI$22=""),"",IF(LEN(VLOOKUP($B45,Database!$B$1:$IX$10144,AI$22,FALSE))=0,"",VLOOKUP($B45,Database!$B$1:$IX$10144,AI$22,FALSE)))</f>
        <v>3</v>
      </c>
      <c r="AJ45" s="22" t="str">
        <f>IF(OR($B45="",AJ$22=""),"",IF(LEN(VLOOKUP($B45,Database!$B$1:$IX$10144,AJ$22,FALSE))=0,"",VLOOKUP($B45,Database!$B$1:$IX$10144,AJ$22,FALSE)))</f>
        <v/>
      </c>
      <c r="AK45" s="22" t="str">
        <f>IF(OR($B45="",AK$22=""),"",IF(LEN(VLOOKUP($B45,Database!$B$1:$IX$10144,AK$22,FALSE))=0,"",VLOOKUP($B45,Database!$B$1:$IX$10144,AK$22,FALSE)))</f>
        <v>ns</v>
      </c>
      <c r="AL45" s="22" t="str">
        <f>IF(OR($B45="",AL$22=""),"",IF(LEN(VLOOKUP($B45,Database!$B$1:$IX$10144,AL$22,FALSE))=0,"",VLOOKUP($B45,Database!$B$1:$IX$10144,AL$22,FALSE)))</f>
        <v>ns</v>
      </c>
      <c r="AM45" s="155">
        <f>IF(OR($B45="",AM$22=""),"",IF(LEN(VLOOKUP($B45,Database!$B$1:$IX$10144,AM$22,FALSE))=0,"",VLOOKUP($B45,Database!$B$1:$IX$10144,AM$22,FALSE)))</f>
        <v>100</v>
      </c>
      <c r="AN45" s="22">
        <f>IF(OR($B45="",AN$22=""),"",IF(LEN(VLOOKUP($B45,Database!$B$1:$IX$10144,AN$22,FALSE))=0,"",VLOOKUP($B45,Database!$B$1:$IX$10144,AN$22,FALSE)))</f>
        <v>0</v>
      </c>
      <c r="AO45" s="22">
        <f>IF(OR($B45="",AO$22=""),"",IF(LEN(VLOOKUP($B45,Database!$B$1:$IX$10144,AO$22,FALSE))=0,"",VLOOKUP($B45,Database!$B$1:$IX$10144,AO$22,FALSE)))</f>
        <v>0</v>
      </c>
      <c r="AP45" s="22">
        <f>IF(OR($B45="",AP$22=""),"",IF(LEN(VLOOKUP($B45,Database!$B$1:$IX$10144,AP$22,FALSE))=0,"",VLOOKUP($B45,Database!$B$1:$IX$10144,AP$22,FALSE)))</f>
        <v>0</v>
      </c>
      <c r="AQ45" s="22" t="str">
        <f>IF(OR($B45="",AQ$22=""),"",IF(LEN(VLOOKUP($B45,Database!$B$1:$IX$10144,AQ$22,FALSE))=0,"",VLOOKUP($B45,Database!$B$1:$IX$10144,AQ$22,FALSE)))</f>
        <v>Bremner JD, Narayan M, Anderson ER, Staib LH, Miller HL, Charney DS.</v>
      </c>
    </row>
    <row r="46" spans="1:61">
      <c r="A46" s="4" t="s">
        <v>2120</v>
      </c>
      <c r="C46" s="1"/>
      <c r="D46" s="1"/>
      <c r="E46" s="22"/>
      <c r="F46" s="22"/>
      <c r="G46" s="1"/>
      <c r="H46" s="22"/>
      <c r="I46" s="22"/>
      <c r="K46" s="10"/>
      <c r="Y46" s="22"/>
      <c r="Z46" s="22"/>
      <c r="AA46" s="22"/>
      <c r="AB46" s="22"/>
      <c r="AC46" s="22"/>
      <c r="AD46" s="22"/>
      <c r="AE46" s="22"/>
      <c r="AF46" s="22"/>
      <c r="AG46" s="22"/>
      <c r="AH46" s="22"/>
      <c r="AI46" s="22"/>
      <c r="AJ46" s="22"/>
      <c r="AK46" s="22"/>
      <c r="AL46" s="22"/>
      <c r="AM46" s="155"/>
      <c r="AN46" s="22"/>
      <c r="AO46" s="22"/>
      <c r="AP46" s="22"/>
      <c r="AQ46" s="22"/>
    </row>
    <row r="47" spans="1:61">
      <c r="A47" s="10" t="s">
        <v>2121</v>
      </c>
      <c r="B47">
        <v>16930719</v>
      </c>
      <c r="C47" s="1" t="str">
        <f>IF($B47="","",HYPERLINK(IF(LEN(VLOOKUP($B47,Database!$B$1:$IX$10144,2,FALSE))=0,"",VLOOKUP($B47,Database!$B$1:$IX$10144,2,FALSE))))</f>
        <v/>
      </c>
      <c r="D47" s="1" t="str">
        <f>IF($B47="","",HYPERLINK(CONCATENATE("http://www.ncbi.nlm.nih.gov/pubmed/",B47)))</f>
        <v>http://www.ncbi.nlm.nih.gov/pubmed/16930719</v>
      </c>
      <c r="E47" s="22" t="str">
        <f>IF($B47="","",IF(LEN(VLOOKUP($B47,Database!$B$1:$IX$10144,4,FALSE))=0,"",VLOOKUP($B47,Database!$B$1:$IX$10144,4,FALSE)))</f>
        <v>Hickie IB (A)</v>
      </c>
      <c r="F47" s="22">
        <f>IF($B47="","",IF(LEN(VLOOKUP($B47,Database!$B$1:$IX$10144,5,FALSE))=0,"",VLOOKUP($B47,Database!$B$1:$IX$10144,5,FALSE)))</f>
        <v>2007</v>
      </c>
      <c r="G47" s="1" t="str">
        <f>IF($B47="","",HYPERLINK(IF(LEN(VLOOKUP($B47,Database!$B$1:$IX$10144,6,FALSE))=0,"",VLOOKUP($B47,Database!$B$1:$IX$10144,6,FALSE))))</f>
        <v>http://dx.doi.org/10.1016/j.jad.2006.07.010</v>
      </c>
      <c r="H47" s="22">
        <f>IF($B47="","",IF(LEN(VLOOKUP($B47,Database!$B$1:$IX$10144,7,FALSE))=0,"",VLOOKUP($B47,Database!$B$1:$IX$10144,7,FALSE)))</f>
        <v>45</v>
      </c>
      <c r="I47" s="22">
        <f>IF($B47="","",IF(LEN(VLOOKUP($B47,Database!$B$1:$IX$10144,8,FALSE))=0,"",VLOOKUP($B47,Database!$B$1:$IX$10144,8,FALSE)))</f>
        <v>16</v>
      </c>
      <c r="J47" t="s">
        <v>193</v>
      </c>
      <c r="T47">
        <v>5.9</v>
      </c>
      <c r="U47">
        <v>0.9</v>
      </c>
      <c r="V47">
        <v>6.2</v>
      </c>
      <c r="W47">
        <v>0.9</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f>IF(OR($B47="",AB$22=""),"",IF(LEN(VLOOKUP($B47,Database!$B$1:$IX$10144,AB$22,FALSE))=0,"",VLOOKUP($B47,Database!$B$1:$IX$10144,AB$22,FALSE)))</f>
        <v>52</v>
      </c>
      <c r="AC47" s="22">
        <f>IF(OR($B47="",AC$22=""),"",IF(LEN(VLOOKUP($B47,Database!$B$1:$IX$10144,AC$22,FALSE))=0,"",VLOOKUP($B47,Database!$B$1:$IX$10144,AC$22,FALSE)))</f>
        <v>12.8</v>
      </c>
      <c r="AD47" s="22">
        <f>IF(OR($B47="",AD$22=""),"",IF(LEN(VLOOKUP($B47,Database!$B$1:$IX$10144,AD$22,FALSE))=0,"",VLOOKUP($B47,Database!$B$1:$IX$10144,AD$22,FALSE)))</f>
        <v>55.8</v>
      </c>
      <c r="AE47" s="22">
        <f>IF(OR($B47="",AE$22=""),"",IF(LEN(VLOOKUP($B47,Database!$B$1:$IX$10144,AE$22,FALSE))=0,"",VLOOKUP($B47,Database!$B$1:$IX$10144,AE$22,FALSE)))</f>
        <v>10.3</v>
      </c>
      <c r="AF47" s="22">
        <f>IF(OR($B47="",AF$22=""),"",IF(LEN(VLOOKUP($B47,Database!$B$1:$IX$10144,AF$22,FALSE))=0,"",VLOOKUP($B47,Database!$B$1:$IX$10144,AF$22,FALSE)))</f>
        <v>30</v>
      </c>
      <c r="AG47" s="22">
        <f>IF(OR($B47="",AG$22=""),"",IF(LEN(VLOOKUP($B47,Database!$B$1:$IX$10144,AG$22,FALSE))=0,"",VLOOKUP($B47,Database!$B$1:$IX$10144,AG$22,FALSE)))</f>
        <v>9</v>
      </c>
      <c r="AH47" s="22">
        <f>IF(OR($B47="",AH$22=""),"",IF(LEN(VLOOKUP($B47,Database!$B$1:$IX$10144,AH$22,FALSE))=0,"",VLOOKUP($B47,Database!$B$1:$IX$10144,AH$22,FALSE)))</f>
        <v>1.5</v>
      </c>
      <c r="AI47" s="22">
        <f>IF(OR($B47="",AI$22=""),"",IF(LEN(VLOOKUP($B47,Database!$B$1:$IX$10144,AI$22,FALSE))=0,"",VLOOKUP($B47,Database!$B$1:$IX$10144,AI$22,FALSE)))</f>
        <v>1.5</v>
      </c>
      <c r="AJ47" s="22" t="str">
        <f>IF(OR($B47="",AJ$22=""),"",IF(LEN(VLOOKUP($B47,Database!$B$1:$IX$10144,AJ$22,FALSE))=0,"",VLOOKUP($B47,Database!$B$1:$IX$10144,AJ$22,FALSE)))</f>
        <v/>
      </c>
      <c r="AK47" s="22">
        <f>IF(OR($B47="",AK$22=""),"",IF(LEN(VLOOKUP($B47,Database!$B$1:$IX$10144,AK$22,FALSE))=0,"",VLOOKUP($B47,Database!$B$1:$IX$10144,AK$22,FALSE)))</f>
        <v>36.1</v>
      </c>
      <c r="AL47" s="22">
        <f>IF(OR($B47="",AL$22=""),"",IF(LEN(VLOOKUP($B47,Database!$B$1:$IX$10144,AL$22,FALSE))=0,"",VLOOKUP($B47,Database!$B$1:$IX$10144,AL$22,FALSE)))</f>
        <v>26.8</v>
      </c>
      <c r="AM47" s="22">
        <f>IF(OR($B47="",AM$22=""),"",IF(LEN(VLOOKUP($B47,Database!$B$1:$IX$10144,AM$22,FALSE))=0,"",VLOOKUP($B47,Database!$B$1:$IX$10144,AM$22,FALSE)))</f>
        <v>64.444444444444443</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Hickie IB, Naismith SL, Ward PB, Scott EM, Mitchell PB, Schofield PR, Scimone A, Wilhelm K, Parker G.</v>
      </c>
    </row>
    <row r="48" spans="1:61">
      <c r="A48" s="10"/>
      <c r="C48" s="1"/>
      <c r="D48" s="1"/>
      <c r="E48" s="22"/>
      <c r="F48" s="22"/>
      <c r="G48" s="1"/>
      <c r="H48" s="22"/>
      <c r="I48" s="22"/>
      <c r="Y48" s="22"/>
      <c r="Z48" s="22"/>
      <c r="AA48" s="22"/>
      <c r="AB48" s="22"/>
      <c r="AC48" s="22"/>
      <c r="AD48" s="22"/>
      <c r="AE48" s="22"/>
      <c r="AF48" s="22"/>
      <c r="AG48" s="22"/>
      <c r="AH48" s="22"/>
      <c r="AI48" s="22"/>
      <c r="AJ48" s="22"/>
      <c r="AK48" s="22"/>
      <c r="AL48" s="22"/>
      <c r="AM48" s="22"/>
      <c r="AN48" s="22"/>
      <c r="AO48" s="22"/>
      <c r="AP48" s="22"/>
      <c r="AQ48" s="22"/>
    </row>
    <row r="49" spans="5:57">
      <c r="I49" s="22" t="str">
        <f>IF($B49="","",IF(LEN(VLOOKUP($B49,Database!$B$1:$IX$10144,8,FALSE))=0,"",VLOOKUP($B49,Database!$B$1:$IX$10144,8,FALSE)))</f>
        <v/>
      </c>
      <c r="AF49" t="s">
        <v>602</v>
      </c>
      <c r="AJ49" t="s">
        <v>329</v>
      </c>
      <c r="AN49" t="s">
        <v>330</v>
      </c>
    </row>
    <row r="50" spans="5:57" ht="45" customHeight="1">
      <c r="E50" s="60" t="s">
        <v>617</v>
      </c>
      <c r="F50" s="60" t="s">
        <v>740</v>
      </c>
      <c r="G50" s="60" t="s">
        <v>244</v>
      </c>
      <c r="H50" s="60" t="s">
        <v>245</v>
      </c>
      <c r="I50" s="60" t="s">
        <v>246</v>
      </c>
      <c r="J50" s="60" t="s">
        <v>593</v>
      </c>
      <c r="K50" s="60" t="s">
        <v>1039</v>
      </c>
      <c r="L50" s="60" t="s">
        <v>594</v>
      </c>
      <c r="M50" s="60" t="s">
        <v>1299</v>
      </c>
      <c r="N50" s="61" t="s">
        <v>595</v>
      </c>
      <c r="O50" s="61" t="s">
        <v>596</v>
      </c>
      <c r="P50" s="61" t="s">
        <v>597</v>
      </c>
      <c r="Q50" s="61" t="s">
        <v>598</v>
      </c>
      <c r="R50" s="61" t="s">
        <v>599</v>
      </c>
      <c r="S50" s="61" t="s">
        <v>600</v>
      </c>
      <c r="T50" s="61" t="s">
        <v>601</v>
      </c>
      <c r="U50" s="61" t="s">
        <v>484</v>
      </c>
      <c r="V50" s="61" t="s">
        <v>485</v>
      </c>
      <c r="W50" s="61" t="s">
        <v>486</v>
      </c>
      <c r="AF50" s="61" t="s">
        <v>1517</v>
      </c>
      <c r="AG50" s="62" t="s">
        <v>834</v>
      </c>
      <c r="AH50" s="62" t="s">
        <v>835</v>
      </c>
      <c r="AJ50" s="61" t="s">
        <v>836</v>
      </c>
      <c r="AK50" s="61" t="s">
        <v>837</v>
      </c>
      <c r="AL50" s="61" t="s">
        <v>487</v>
      </c>
      <c r="AN50" t="s">
        <v>488</v>
      </c>
      <c r="AO50" t="s">
        <v>489</v>
      </c>
      <c r="AP50" t="s">
        <v>490</v>
      </c>
      <c r="AQ50" t="s">
        <v>491</v>
      </c>
      <c r="AR50" t="s">
        <v>492</v>
      </c>
      <c r="AS50" t="s">
        <v>493</v>
      </c>
      <c r="AT50" t="s">
        <v>494</v>
      </c>
      <c r="AU50" t="s">
        <v>495</v>
      </c>
      <c r="AV50" t="s">
        <v>496</v>
      </c>
      <c r="AW50" t="s">
        <v>497</v>
      </c>
      <c r="AX50" t="s">
        <v>498</v>
      </c>
      <c r="AY50" t="s">
        <v>499</v>
      </c>
    </row>
    <row r="51" spans="5:57">
      <c r="E51" t="str">
        <f t="shared" ref="E51:F55" si="6">E24</f>
        <v>Lisanby SH</v>
      </c>
      <c r="F51">
        <f t="shared" si="6"/>
        <v>1993</v>
      </c>
      <c r="G51">
        <v>13</v>
      </c>
      <c r="H51">
        <f t="shared" ref="H51:I55" si="7">H24</f>
        <v>21</v>
      </c>
      <c r="I51">
        <f t="shared" si="7"/>
        <v>21</v>
      </c>
      <c r="J51">
        <f t="shared" ref="J51:M55" si="8">IF($D$4="Total",T24,IF($D$4="Left",L24,IF($D$4="Right",P24,"error")))</f>
        <v>5.47</v>
      </c>
      <c r="K51">
        <f t="shared" si="8"/>
        <v>1.24</v>
      </c>
      <c r="L51">
        <f t="shared" si="8"/>
        <v>6.34</v>
      </c>
      <c r="M51">
        <f t="shared" si="8"/>
        <v>1.65</v>
      </c>
      <c r="N51">
        <f>IF($D$3=1,SQRT((((I51-1)*(M51)^2)+((H51-1)*(K51)^2))/(H51+I51-2)),M51)</f>
        <v>1.4594690815498628</v>
      </c>
      <c r="O51" s="59">
        <f>IF($D$6=1,LN(J51/L51),IF($D$5=1,(1-3/(4*(H51+I51)-9))*((J51-L51)/N51),(J51-L51)/N51))</f>
        <v>-0.58485987572544185</v>
      </c>
      <c r="P51" s="63">
        <f>IF($D$6=1,(K51^2)/(H51*J51^2)+(M51^2)/(I51*L51^2),(IF($D$5=1,((H51+I51)/(H51*I51))+(O51*O51)/(2*(H51+I51-3.94)),((H51+I51)/(H51*I51))+((O51^2)/(2*(H51+I51-2))))))</f>
        <v>9.9731803517569467E-2</v>
      </c>
      <c r="Q51" s="59">
        <f t="shared" ref="Q51:Q63" si="9">$R$80*SQRT(P51)</f>
        <v>0.61897471385598202</v>
      </c>
      <c r="R51" s="59">
        <f>1/P51</f>
        <v>10.02689177102701</v>
      </c>
      <c r="S51" s="59">
        <f>O51*R51</f>
        <v>-5.8643266751153131</v>
      </c>
      <c r="T51" s="59">
        <f>R51*(O51^2)</f>
        <v>3.4298093704213355</v>
      </c>
      <c r="U51" s="23">
        <f>R51^2</f>
        <v>100.53855858788917</v>
      </c>
      <c r="V51" s="59">
        <f t="shared" ref="V51:V63" si="10">1/((1/R51)+$I$77)</f>
        <v>8.5005148990307173</v>
      </c>
      <c r="W51" s="59">
        <f>V51*O51</f>
        <v>-4.9716100874493723</v>
      </c>
      <c r="AF51" s="59">
        <f>IF($D$6=1,100*((EXP(O51))-1),O51)</f>
        <v>-0.58485987572544185</v>
      </c>
      <c r="AG51" s="59">
        <f>IF($D$6=1,100*(EXP(O51+Q51)-EXP(O51)),Q51)</f>
        <v>0.61897471385598202</v>
      </c>
      <c r="AH51" s="59">
        <f>IF($D$6=1,100*(EXP(O51)-EXP(O51-Q51)),Q51)</f>
        <v>0.61897471385598202</v>
      </c>
      <c r="AJ51">
        <f>SQRT(P51)</f>
        <v>0.31580342543672552</v>
      </c>
      <c r="AK51">
        <f t="shared" ref="AK51:AK63" si="11">1/AJ51</f>
        <v>3.1665267677736457</v>
      </c>
      <c r="AL51">
        <f>O51/AJ51</f>
        <v>-1.8519744518813794</v>
      </c>
      <c r="AN51" t="str">
        <f t="shared" ref="AN51:AO55" si="12">E51</f>
        <v>Lisanby SH</v>
      </c>
      <c r="AO51">
        <f t="shared" si="12"/>
        <v>1993</v>
      </c>
      <c r="AP51" t="str">
        <f>CONCATENATE(AN51," ",AO51)</f>
        <v>Lisanby SH 1993</v>
      </c>
      <c r="AQ51">
        <f>INT(H51)</f>
        <v>21</v>
      </c>
      <c r="AR51">
        <f t="shared" ref="AR51:AS55" si="13">J51</f>
        <v>5.47</v>
      </c>
      <c r="AS51">
        <f t="shared" si="13"/>
        <v>1.24</v>
      </c>
      <c r="AT51">
        <f>INT(I51)</f>
        <v>21</v>
      </c>
      <c r="AU51">
        <f t="shared" ref="AU51:AV55" si="14">L51</f>
        <v>6.34</v>
      </c>
      <c r="AV51">
        <f t="shared" si="14"/>
        <v>1.65</v>
      </c>
      <c r="AW51" s="65">
        <f>O51</f>
        <v>-0.58485987572544185</v>
      </c>
      <c r="AX51">
        <f>SQRT(P51)</f>
        <v>0.31580342543672552</v>
      </c>
      <c r="AY51" t="str">
        <f>$F$3</f>
        <v>Pooled SD</v>
      </c>
      <c r="BC51" s="23"/>
      <c r="BD51" s="23"/>
      <c r="BE51" s="23"/>
    </row>
    <row r="52" spans="5:57">
      <c r="E52" t="str">
        <f t="shared" si="6"/>
        <v>Dupont RM (A)</v>
      </c>
      <c r="F52">
        <f t="shared" si="6"/>
        <v>1995</v>
      </c>
      <c r="G52">
        <v>12</v>
      </c>
      <c r="H52">
        <f t="shared" si="7"/>
        <v>30</v>
      </c>
      <c r="I52">
        <f t="shared" si="7"/>
        <v>26</v>
      </c>
      <c r="J52">
        <f t="shared" si="8"/>
        <v>1719.17</v>
      </c>
      <c r="K52">
        <f t="shared" si="8"/>
        <v>245.1</v>
      </c>
      <c r="L52">
        <f t="shared" si="8"/>
        <v>1806.35</v>
      </c>
      <c r="M52">
        <f t="shared" si="8"/>
        <v>243.73</v>
      </c>
      <c r="N52">
        <f>IF($D$3=1,SQRT((((I52-1)*(M52)^2)+((H52-1)*(K52)^2))/(H52+I52-2)),M52)</f>
        <v>244.46669516786187</v>
      </c>
      <c r="O52" s="59">
        <f>IF($D$6=1,LN(J52/L52),IF($D$5=1,(1-3/(4*(H52+I52)-9))*((J52-L52)/N52),(J52-L52)/N52))</f>
        <v>-0.35163699834324802</v>
      </c>
      <c r="P52" s="63">
        <f>IF($D$6=1,(K52^2)/(H52*J52^2)+(M52^2)/(I52*L52^2),(IF($D$5=1,((H52+I52)/(H52*I52))+(O52*O52)/(2*(H52+I52-3.94)),((H52+I52)/(H52*I52))+((O52^2)/(2*(H52+I52-2))))))</f>
        <v>7.2982430175623322E-2</v>
      </c>
      <c r="Q52" s="59">
        <f t="shared" si="9"/>
        <v>0.52949910647958098</v>
      </c>
      <c r="R52" s="59">
        <f>1/P52</f>
        <v>13.701927951612763</v>
      </c>
      <c r="S52" s="59">
        <f>O52*R52</f>
        <v>-4.8181048164205613</v>
      </c>
      <c r="T52" s="59">
        <f>R52*(O52^2)</f>
        <v>1.6942239153492722</v>
      </c>
      <c r="U52" s="23">
        <f>R52^2</f>
        <v>187.74282959118713</v>
      </c>
      <c r="V52" s="59">
        <f t="shared" si="10"/>
        <v>11.00224278393415</v>
      </c>
      <c r="W52" s="59">
        <f>V52*O52</f>
        <v>-3.8687956275862652</v>
      </c>
      <c r="AF52" s="59">
        <f>IF($D$6=1,100*((EXP(O52))-1),O52)</f>
        <v>-0.35163699834324802</v>
      </c>
      <c r="AG52" s="59">
        <f>IF($D$6=1,100*(EXP(O52+Q52)-EXP(O52)),Q52)</f>
        <v>0.52949910647958098</v>
      </c>
      <c r="AH52" s="59">
        <f>IF($D$6=1,100*(EXP(O52)-EXP(O52-Q52)),Q52)</f>
        <v>0.52949910647958098</v>
      </c>
      <c r="AJ52">
        <f>SQRT(P52)</f>
        <v>0.27015260534672497</v>
      </c>
      <c r="AK52">
        <f t="shared" si="11"/>
        <v>3.7016115344013021</v>
      </c>
      <c r="AL52">
        <f>O52/AJ52</f>
        <v>-1.3016235689896183</v>
      </c>
      <c r="AN52" t="str">
        <f t="shared" si="12"/>
        <v>Dupont RM (A)</v>
      </c>
      <c r="AO52">
        <f t="shared" si="12"/>
        <v>1995</v>
      </c>
      <c r="AP52" t="str">
        <f>CONCATENATE(AN52," ",AO52)</f>
        <v>Dupont RM (A) 1995</v>
      </c>
      <c r="AQ52">
        <f>INT(H52)</f>
        <v>30</v>
      </c>
      <c r="AR52">
        <f t="shared" si="13"/>
        <v>1719.17</v>
      </c>
      <c r="AS52">
        <f t="shared" si="13"/>
        <v>245.1</v>
      </c>
      <c r="AT52">
        <f>INT(I52)</f>
        <v>26</v>
      </c>
      <c r="AU52">
        <f t="shared" si="14"/>
        <v>1806.35</v>
      </c>
      <c r="AV52">
        <f t="shared" si="14"/>
        <v>243.73</v>
      </c>
      <c r="AW52" s="65">
        <f>O52</f>
        <v>-0.35163699834324802</v>
      </c>
      <c r="AX52">
        <f>SQRT(P52)</f>
        <v>0.27015260534672497</v>
      </c>
      <c r="AY52" t="str">
        <f>$F$4</f>
        <v>Total</v>
      </c>
      <c r="BC52" s="23"/>
      <c r="BD52" s="23"/>
      <c r="BE52" s="23"/>
    </row>
    <row r="53" spans="5:57">
      <c r="E53" t="str">
        <f t="shared" si="6"/>
        <v>Parashos IA</v>
      </c>
      <c r="F53">
        <f t="shared" si="6"/>
        <v>1998</v>
      </c>
      <c r="G53">
        <v>11</v>
      </c>
      <c r="H53">
        <f t="shared" si="7"/>
        <v>72</v>
      </c>
      <c r="I53">
        <f t="shared" si="7"/>
        <v>38</v>
      </c>
      <c r="J53">
        <f t="shared" si="8"/>
        <v>3.81</v>
      </c>
      <c r="K53">
        <f t="shared" si="8"/>
        <v>0.86</v>
      </c>
      <c r="L53">
        <f t="shared" si="8"/>
        <v>4.42</v>
      </c>
      <c r="M53">
        <f t="shared" si="8"/>
        <v>0.88</v>
      </c>
      <c r="N53">
        <f>IF($D$3=1,SQRT((((I53-1)*(M53)^2)+((H53-1)*(K53)^2))/(H53+I53-2)),M53)</f>
        <v>0.86690381370843106</v>
      </c>
      <c r="O53" s="59">
        <f>IF($D$6=1,LN(J53/L53),IF($D$5=1,(1-3/(4*(H53+I53)-9))*((J53-L53)/N53),(J53-L53)/N53))</f>
        <v>-0.69875579129538978</v>
      </c>
      <c r="P53" s="63">
        <f>IF($D$6=1,(K53^2)/(H53*J53^2)+(M53^2)/(I53*L53^2),(IF($D$5=1,((H53+I53)/(H53*I53))+(O53*O53)/(2*(H53+I53-3.94)),((H53+I53)/(H53*I53))+((O53^2)/(2*(H53+I53-2))))))</f>
        <v>4.2506487036290078E-2</v>
      </c>
      <c r="Q53" s="59">
        <f t="shared" si="9"/>
        <v>0.404095187546959</v>
      </c>
      <c r="R53" s="59">
        <f>1/P53</f>
        <v>23.52582087402909</v>
      </c>
      <c r="S53" s="59">
        <f>O53*R53</f>
        <v>-16.438803580705795</v>
      </c>
      <c r="T53" s="59">
        <f>R53*(O53^2)</f>
        <v>11.486709203985566</v>
      </c>
      <c r="U53" s="23">
        <f>R53^2</f>
        <v>553.4642477969029</v>
      </c>
      <c r="V53" s="59">
        <f t="shared" si="10"/>
        <v>16.552285917379191</v>
      </c>
      <c r="W53" s="59">
        <f>V53*O53</f>
        <v>-11.566005643945834</v>
      </c>
      <c r="AF53" s="59">
        <f>IF($D$6=1,100*((EXP(O53))-1),O53)</f>
        <v>-0.69875579129538978</v>
      </c>
      <c r="AG53" s="59">
        <f>IF($D$6=1,100*(EXP(O53+Q53)-EXP(O53)),Q53)</f>
        <v>0.404095187546959</v>
      </c>
      <c r="AH53" s="59">
        <f>IF($D$6=1,100*(EXP(O53)-EXP(O53-Q53)),Q53)</f>
        <v>0.404095187546959</v>
      </c>
      <c r="AJ53">
        <f>SQRT(P53)</f>
        <v>0.20617101405457092</v>
      </c>
      <c r="AK53">
        <f t="shared" si="11"/>
        <v>4.8503423460647692</v>
      </c>
      <c r="AL53">
        <f>O53/AJ53</f>
        <v>-3.3892048040780249</v>
      </c>
      <c r="AN53" t="str">
        <f t="shared" si="12"/>
        <v>Parashos IA</v>
      </c>
      <c r="AO53">
        <f t="shared" si="12"/>
        <v>1998</v>
      </c>
      <c r="AP53" t="str">
        <f>CONCATENATE(AN53," ",AO53)</f>
        <v>Parashos IA 1998</v>
      </c>
      <c r="AQ53">
        <f>INT(H53)</f>
        <v>72</v>
      </c>
      <c r="AR53">
        <f t="shared" si="13"/>
        <v>3.81</v>
      </c>
      <c r="AS53">
        <f t="shared" si="13"/>
        <v>0.86</v>
      </c>
      <c r="AT53">
        <f>INT(I53)</f>
        <v>38</v>
      </c>
      <c r="AU53">
        <f t="shared" si="14"/>
        <v>4.42</v>
      </c>
      <c r="AV53">
        <f t="shared" si="14"/>
        <v>0.88</v>
      </c>
      <c r="AW53" s="65">
        <f>O53</f>
        <v>-0.69875579129538978</v>
      </c>
      <c r="AX53">
        <f>SQRT(P53)</f>
        <v>0.20617101405457092</v>
      </c>
      <c r="AY53" t="str">
        <f>$F$6</f>
        <v>Cohens Effect size</v>
      </c>
      <c r="BC53" s="23"/>
      <c r="BD53" s="23"/>
      <c r="BE53" s="23"/>
    </row>
    <row r="54" spans="5:57">
      <c r="E54" t="str">
        <f t="shared" si="6"/>
        <v>Hannestad J</v>
      </c>
      <c r="F54">
        <f t="shared" si="6"/>
        <v>2006</v>
      </c>
      <c r="G54">
        <v>10</v>
      </c>
      <c r="H54">
        <f t="shared" si="7"/>
        <v>182</v>
      </c>
      <c r="I54">
        <f t="shared" si="7"/>
        <v>64</v>
      </c>
      <c r="J54">
        <f t="shared" si="8"/>
        <v>7.14</v>
      </c>
      <c r="K54">
        <f t="shared" si="8"/>
        <v>1.3</v>
      </c>
      <c r="L54">
        <f t="shared" si="8"/>
        <v>7.11</v>
      </c>
      <c r="M54">
        <f t="shared" si="8"/>
        <v>1.1000000000000001</v>
      </c>
      <c r="N54">
        <f>IF($D$3=1,SQRT((((I54-1)*(M54)^2)+((H54-1)*(K54)^2))/(H54+I54-2)),M54)</f>
        <v>1.2514254167829948</v>
      </c>
      <c r="O54" s="59">
        <f>IF($D$6=1,LN(J54/L54),IF($D$5=1,(1-3/(4*(H54+I54)-9))*((J54-L54)/N54),(J54-L54)/N54))</f>
        <v>2.389890113034028E-2</v>
      </c>
      <c r="P54" s="63">
        <f>IF($D$6=1,(K54^2)/(H54*J54^2)+(M54^2)/(I54*L54^2),(IF($D$5=1,((H54+I54)/(H54*I54))+(O54*O54)/(2*(H54+I54-3.94)),((H54+I54)/(H54*I54))+((O54^2)/(2*(H54+I54-2))))))</f>
        <v>2.1120685279425015E-2</v>
      </c>
      <c r="Q54" s="59">
        <f t="shared" si="9"/>
        <v>0.28484596639137988</v>
      </c>
      <c r="R54" s="59">
        <f>1/P54</f>
        <v>47.34694858476788</v>
      </c>
      <c r="S54" s="59">
        <f>O54*R54</f>
        <v>1.1315400430506721</v>
      </c>
      <c r="T54" s="59">
        <f>R54*(O54^2)</f>
        <v>2.7042563613888997E-2</v>
      </c>
      <c r="U54" s="23">
        <f>R54^2</f>
        <v>2241.7335402886533</v>
      </c>
      <c r="V54" s="59">
        <f t="shared" si="10"/>
        <v>25.62209525729617</v>
      </c>
      <c r="W54" s="59">
        <f>V54*O54</f>
        <v>0.61233992130628179</v>
      </c>
      <c r="AF54" s="59">
        <f>IF($D$6=1,100*((EXP(O54))-1),O54)</f>
        <v>2.389890113034028E-2</v>
      </c>
      <c r="AG54" s="59">
        <f>IF($D$6=1,100*(EXP(O54+Q54)-EXP(O54)),Q54)</f>
        <v>0.28484596639137988</v>
      </c>
      <c r="AH54" s="59">
        <f>IF($D$6=1,100*(EXP(O54)-EXP(O54-Q54)),Q54)</f>
        <v>0.28484596639137988</v>
      </c>
      <c r="AJ54">
        <f>SQRT(P54)</f>
        <v>0.14532957468947955</v>
      </c>
      <c r="AK54">
        <f t="shared" si="11"/>
        <v>6.8809119006689716</v>
      </c>
      <c r="AL54">
        <f>O54/AJ54</f>
        <v>0.16444623320066959</v>
      </c>
      <c r="AN54" t="str">
        <f t="shared" si="12"/>
        <v>Hannestad J</v>
      </c>
      <c r="AO54">
        <f t="shared" si="12"/>
        <v>2006</v>
      </c>
      <c r="AP54" t="str">
        <f>CONCATENATE(AN54," ",AO54)</f>
        <v>Hannestad J 2006</v>
      </c>
      <c r="AQ54">
        <f>INT(H54)</f>
        <v>182</v>
      </c>
      <c r="AR54">
        <f t="shared" si="13"/>
        <v>7.14</v>
      </c>
      <c r="AS54">
        <f t="shared" si="13"/>
        <v>1.3</v>
      </c>
      <c r="AT54">
        <f>INT(I54)</f>
        <v>64</v>
      </c>
      <c r="AU54">
        <f t="shared" si="14"/>
        <v>7.11</v>
      </c>
      <c r="AV54">
        <f t="shared" si="14"/>
        <v>1.1000000000000001</v>
      </c>
      <c r="AW54" s="65">
        <f>O54</f>
        <v>2.389890113034028E-2</v>
      </c>
      <c r="AX54">
        <f>SQRT(P54)</f>
        <v>0.14532957468947955</v>
      </c>
      <c r="AY54" t="str">
        <f>$F$5</f>
        <v>H Correction</v>
      </c>
      <c r="BC54" s="23"/>
      <c r="BD54" s="23"/>
      <c r="BE54" s="23"/>
    </row>
    <row r="55" spans="5:57">
      <c r="E55" t="str">
        <f t="shared" si="6"/>
        <v>Hickie IB (A)</v>
      </c>
      <c r="F55">
        <f t="shared" si="6"/>
        <v>2007</v>
      </c>
      <c r="G55">
        <v>9</v>
      </c>
      <c r="H55">
        <f t="shared" si="7"/>
        <v>45</v>
      </c>
      <c r="I55">
        <f t="shared" si="7"/>
        <v>16</v>
      </c>
      <c r="J55">
        <f t="shared" si="8"/>
        <v>5.9</v>
      </c>
      <c r="K55">
        <f t="shared" si="8"/>
        <v>0.9</v>
      </c>
      <c r="L55">
        <f t="shared" si="8"/>
        <v>6.2</v>
      </c>
      <c r="M55">
        <f t="shared" si="8"/>
        <v>0.9</v>
      </c>
      <c r="N55">
        <f>IF($D$3=1,SQRT((((I55-1)*(M55)^2)+((H55-1)*(K55)^2))/(H55+I55-2)),M55)</f>
        <v>0.9</v>
      </c>
      <c r="O55" s="59">
        <f>IF($D$6=1,LN(J55/L55),IF($D$5=1,(1-3/(4*(H55+I55)-9))*((J55-L55)/N55),(J55-L55)/N55))</f>
        <v>-0.32907801418439697</v>
      </c>
      <c r="P55" s="63">
        <f>IF($D$6=1,(K55^2)/(H55*J55^2)+(M55^2)/(I55*L55^2),(IF($D$5=1,((H55+I55)/(H55*I55))+(O55*O55)/(2*(H55+I55-3.94)),((H55+I55)/(H55*I55))+((O55^2)/(2*(H55+I55-2))))))</f>
        <v>8.5671156146333222E-2</v>
      </c>
      <c r="Q55" s="59">
        <f t="shared" si="9"/>
        <v>0.57368485551891091</v>
      </c>
      <c r="R55" s="59">
        <f>1/P55</f>
        <v>11.672540035434093</v>
      </c>
      <c r="S55" s="59">
        <f>O55*R55</f>
        <v>-3.841176295348522</v>
      </c>
      <c r="T55" s="59">
        <f>R55*(O55^2)</f>
        <v>1.2640466674054702</v>
      </c>
      <c r="U55" s="23">
        <f>R55^2</f>
        <v>136.24819087881173</v>
      </c>
      <c r="V55" s="59">
        <f t="shared" si="10"/>
        <v>9.6544400509214352</v>
      </c>
      <c r="W55" s="59">
        <f>V55*O55</f>
        <v>-3.1770639600195341</v>
      </c>
      <c r="AF55" s="59">
        <f>IF($D$6=1,100*((EXP(O55))-1),O55)</f>
        <v>-0.32907801418439697</v>
      </c>
      <c r="AG55" s="59">
        <f>IF($D$6=1,100*(EXP(O55+Q55)-EXP(O55)),Q55)</f>
        <v>0.57368485551891091</v>
      </c>
      <c r="AH55" s="59">
        <f>IF($D$6=1,100*(EXP(O55)-EXP(O55-Q55)),Q55)</f>
        <v>0.57368485551891091</v>
      </c>
      <c r="AJ55">
        <f>SQRT(P55)</f>
        <v>0.29269635485658718</v>
      </c>
      <c r="AK55">
        <f t="shared" si="11"/>
        <v>3.4165099202891382</v>
      </c>
      <c r="AL55">
        <f>O55/AJ55</f>
        <v>-1.1242983000100419</v>
      </c>
      <c r="AN55" t="str">
        <f t="shared" si="12"/>
        <v>Hickie IB (A)</v>
      </c>
      <c r="AO55">
        <f t="shared" si="12"/>
        <v>2007</v>
      </c>
      <c r="AP55" t="str">
        <f>CONCATENATE(AN55," ",AO55)</f>
        <v>Hickie IB (A) 2007</v>
      </c>
      <c r="AQ55">
        <f>INT(H55)</f>
        <v>45</v>
      </c>
      <c r="AR55">
        <f t="shared" si="13"/>
        <v>5.9</v>
      </c>
      <c r="AS55">
        <f t="shared" si="13"/>
        <v>0.9</v>
      </c>
      <c r="AT55">
        <f>INT(I55)</f>
        <v>16</v>
      </c>
      <c r="AU55">
        <f t="shared" si="14"/>
        <v>6.2</v>
      </c>
      <c r="AV55">
        <f t="shared" si="14"/>
        <v>0.9</v>
      </c>
      <c r="AW55" s="65">
        <f>O55</f>
        <v>-0.32907801418439697</v>
      </c>
      <c r="AX55">
        <f>SQRT(P55)</f>
        <v>0.29269635485658718</v>
      </c>
      <c r="BC55" s="23"/>
      <c r="BD55" s="23"/>
      <c r="BE55" s="23"/>
    </row>
    <row r="56" spans="5:57">
      <c r="E56" t="str">
        <f>E29</f>
        <v>Andreescu C</v>
      </c>
      <c r="F56">
        <f>F29</f>
        <v>2008</v>
      </c>
      <c r="G56">
        <v>8</v>
      </c>
      <c r="H56">
        <f>H29</f>
        <v>71</v>
      </c>
      <c r="I56">
        <f>I29</f>
        <v>32</v>
      </c>
      <c r="J56">
        <f>IF($D$4="Total",T29,IF($D$4="Left",L29,IF($D$4="Right",P29,"error")))</f>
        <v>0.89</v>
      </c>
      <c r="K56">
        <f>IF($D$4="Total",U29,IF($D$4="Left",M29,IF($D$4="Right",Q29,"error")))</f>
        <v>0.18</v>
      </c>
      <c r="L56">
        <f>IF($D$4="Total",V29,IF($D$4="Left",N29,IF($D$4="Right",R29,"error")))</f>
        <v>0.93</v>
      </c>
      <c r="M56">
        <f>IF($D$4="Total",W29,IF($D$4="Left",O29,IF($D$4="Right",S29,"error")))</f>
        <v>0.19</v>
      </c>
      <c r="N56">
        <f t="shared" ref="N56:N63" si="15">IF($D$3=1,SQRT((((I56-1)*(M56)^2)+((H56-1)*(K56)^2))/(H56+I56-2)),M56)</f>
        <v>0.18312739708835604</v>
      </c>
      <c r="O56" s="59">
        <f t="shared" ref="O56:O63" si="16">IF($D$6=1,LN(J56/L56),IF($D$5=1,(1-3/(4*(H56+I56)-9))*((J56-L56)/N56),(J56-L56)/N56))</f>
        <v>-0.21680116619287004</v>
      </c>
      <c r="P56" s="63">
        <f t="shared" ref="P56:P63" si="17">IF($D$6=1,(K56^2)/(H56*J56^2)+(M56^2)/(I56*L56^2),(IF($D$5=1,((H56+I56)/(H56*I56))+(O56*O56)/(2*(H56+I56-3.94)),((H56+I56)/(H56*I56))+((O56^2)/(2*(H56+I56-2))))))</f>
        <v>4.5571750862476564E-2</v>
      </c>
      <c r="Q56" s="59">
        <f t="shared" si="9"/>
        <v>0.41841180446217091</v>
      </c>
      <c r="R56" s="59">
        <f t="shared" ref="R56:R63" si="18">1/P56</f>
        <v>21.943418479086624</v>
      </c>
      <c r="S56" s="59">
        <f t="shared" ref="S56:S63" si="19">O56*R56</f>
        <v>-4.7573587165241547</v>
      </c>
      <c r="T56" s="59">
        <f t="shared" ref="T56:T63" si="20">R56*(O56^2)</f>
        <v>1.0314009177402521</v>
      </c>
      <c r="U56" s="23">
        <f t="shared" ref="U56:U63" si="21">R56^2</f>
        <v>481.51361454832033</v>
      </c>
      <c r="V56" s="59">
        <f t="shared" si="10"/>
        <v>15.753022855015653</v>
      </c>
      <c r="W56" s="59">
        <f t="shared" ref="W56:W63" si="22">V56*O56</f>
        <v>-3.4152737260303287</v>
      </c>
      <c r="AF56" s="59">
        <f t="shared" ref="AF56:AF63" si="23">IF($D$6=1,100*((EXP(O56))-1),O56)</f>
        <v>-0.21680116619287004</v>
      </c>
      <c r="AG56" s="59">
        <f t="shared" ref="AG56:AG63" si="24">IF($D$6=1,100*(EXP(O56+Q56)-EXP(O56)),Q56)</f>
        <v>0.41841180446217091</v>
      </c>
      <c r="AH56" s="59">
        <f t="shared" ref="AH56:AH63" si="25">IF($D$6=1,100*(EXP(O56)-EXP(O56-Q56)),Q56)</f>
        <v>0.41841180446217091</v>
      </c>
      <c r="AJ56">
        <f t="shared" ref="AJ56:AJ63" si="26">SQRT(P56)</f>
        <v>0.21347541043988313</v>
      </c>
      <c r="AK56">
        <f t="shared" si="11"/>
        <v>4.6843802662771328</v>
      </c>
      <c r="AL56">
        <f t="shared" ref="AL56:AL63" si="27">O56/AJ56</f>
        <v>-1.0155791046197495</v>
      </c>
      <c r="AN56" t="str">
        <f t="shared" ref="AN56:AN63" si="28">E56</f>
        <v>Andreescu C</v>
      </c>
      <c r="AO56">
        <f t="shared" ref="AO56:AO63" si="29">F56</f>
        <v>2008</v>
      </c>
      <c r="AP56" t="str">
        <f t="shared" ref="AP56:AP63" si="30">CONCATENATE(AN56," ",AO56)</f>
        <v>Andreescu C 2008</v>
      </c>
      <c r="AQ56">
        <f t="shared" ref="AQ56:AQ63" si="31">INT(H56)</f>
        <v>71</v>
      </c>
      <c r="AR56">
        <f t="shared" ref="AR56:AR63" si="32">J56</f>
        <v>0.89</v>
      </c>
      <c r="AS56">
        <f t="shared" ref="AS56:AS63" si="33">K56</f>
        <v>0.18</v>
      </c>
      <c r="AT56">
        <f t="shared" ref="AT56:AT63" si="34">INT(I56)</f>
        <v>32</v>
      </c>
      <c r="AU56">
        <f t="shared" ref="AU56:AU63" si="35">L56</f>
        <v>0.93</v>
      </c>
      <c r="AV56">
        <f t="shared" ref="AV56:AV63" si="36">M56</f>
        <v>0.19</v>
      </c>
      <c r="AW56" s="65">
        <f t="shared" ref="AW56:AW63" si="37">O56</f>
        <v>-0.21680116619287004</v>
      </c>
      <c r="AX56">
        <f t="shared" ref="AX56:AX63" si="38">SQRT(P56)</f>
        <v>0.21347541043988313</v>
      </c>
      <c r="BC56" s="23"/>
      <c r="BD56" s="23"/>
      <c r="BE56" s="23"/>
    </row>
    <row r="57" spans="5:57">
      <c r="E57" t="str">
        <f t="shared" ref="E57:F60" si="39">E32</f>
        <v>Pillay SS</v>
      </c>
      <c r="F57">
        <f t="shared" si="39"/>
        <v>1998</v>
      </c>
      <c r="G57">
        <v>7</v>
      </c>
      <c r="H57">
        <f t="shared" ref="H57:I60" si="40">H32</f>
        <v>38</v>
      </c>
      <c r="I57">
        <f t="shared" si="40"/>
        <v>20</v>
      </c>
      <c r="J57">
        <f t="shared" ref="J57:M60" si="41">IF($D$4="Total",T32,IF($D$4="Left",L32,IF($D$4="Right",P32,"error")))</f>
        <v>9</v>
      </c>
      <c r="K57">
        <f t="shared" si="41"/>
        <v>1.3281566172707193</v>
      </c>
      <c r="L57">
        <f t="shared" si="41"/>
        <v>9</v>
      </c>
      <c r="M57">
        <f t="shared" si="41"/>
        <v>0.950789145920377</v>
      </c>
      <c r="N57">
        <f t="shared" si="15"/>
        <v>1.2133483777193943</v>
      </c>
      <c r="O57" s="59">
        <f t="shared" si="16"/>
        <v>0</v>
      </c>
      <c r="P57" s="63">
        <f t="shared" si="17"/>
        <v>7.6315789473684212E-2</v>
      </c>
      <c r="Q57" s="59">
        <f t="shared" si="9"/>
        <v>0.54145612642402086</v>
      </c>
      <c r="R57" s="59">
        <f t="shared" si="18"/>
        <v>13.103448275862069</v>
      </c>
      <c r="S57" s="59">
        <f t="shared" si="19"/>
        <v>0</v>
      </c>
      <c r="T57" s="59">
        <f t="shared" si="20"/>
        <v>0</v>
      </c>
      <c r="U57" s="23">
        <f t="shared" si="21"/>
        <v>171.70035671819264</v>
      </c>
      <c r="V57" s="59">
        <f t="shared" si="10"/>
        <v>10.613016472445436</v>
      </c>
      <c r="W57" s="59">
        <f t="shared" si="22"/>
        <v>0</v>
      </c>
      <c r="AF57" s="59">
        <f t="shared" si="23"/>
        <v>0</v>
      </c>
      <c r="AG57" s="59">
        <f t="shared" si="24"/>
        <v>0.54145612642402086</v>
      </c>
      <c r="AH57" s="59">
        <f t="shared" si="25"/>
        <v>0.54145612642402086</v>
      </c>
      <c r="AJ57">
        <f t="shared" si="26"/>
        <v>0.27625312572654126</v>
      </c>
      <c r="AK57">
        <f t="shared" si="11"/>
        <v>3.6198685440029545</v>
      </c>
      <c r="AL57">
        <f t="shared" si="27"/>
        <v>0</v>
      </c>
      <c r="AN57" t="str">
        <f t="shared" si="28"/>
        <v>Pillay SS</v>
      </c>
      <c r="AO57">
        <f t="shared" si="29"/>
        <v>1998</v>
      </c>
      <c r="AP57" t="str">
        <f t="shared" si="30"/>
        <v>Pillay SS 1998</v>
      </c>
      <c r="AQ57">
        <f t="shared" si="31"/>
        <v>38</v>
      </c>
      <c r="AR57">
        <f t="shared" si="32"/>
        <v>9</v>
      </c>
      <c r="AS57">
        <f t="shared" si="33"/>
        <v>1.3281566172707193</v>
      </c>
      <c r="AT57">
        <f t="shared" si="34"/>
        <v>20</v>
      </c>
      <c r="AU57">
        <f t="shared" si="35"/>
        <v>9</v>
      </c>
      <c r="AV57">
        <f t="shared" si="36"/>
        <v>0.950789145920377</v>
      </c>
      <c r="AW57" s="65">
        <f t="shared" si="37"/>
        <v>0</v>
      </c>
      <c r="AX57">
        <f t="shared" si="38"/>
        <v>0.27625312572654126</v>
      </c>
      <c r="BC57" s="23"/>
      <c r="BD57" s="23"/>
      <c r="BE57" s="23"/>
    </row>
    <row r="58" spans="5:57">
      <c r="E58" t="str">
        <f t="shared" si="39"/>
        <v>Lenze EJ (B)</v>
      </c>
      <c r="F58">
        <f t="shared" si="39"/>
        <v>1999</v>
      </c>
      <c r="G58">
        <v>6</v>
      </c>
      <c r="H58">
        <f t="shared" si="40"/>
        <v>24</v>
      </c>
      <c r="I58">
        <f t="shared" si="40"/>
        <v>24</v>
      </c>
      <c r="J58">
        <f t="shared" si="41"/>
        <v>6.72</v>
      </c>
      <c r="K58">
        <f t="shared" si="41"/>
        <v>1.2524056850717342</v>
      </c>
      <c r="L58">
        <f t="shared" si="41"/>
        <v>6.4</v>
      </c>
      <c r="M58">
        <f t="shared" si="41"/>
        <v>1.1004907995980702</v>
      </c>
      <c r="N58">
        <f t="shared" si="15"/>
        <v>1.1788977903109326</v>
      </c>
      <c r="O58" s="59">
        <f t="shared" si="16"/>
        <v>0.26699015041638102</v>
      </c>
      <c r="P58" s="63">
        <f t="shared" si="17"/>
        <v>8.4142272738909382E-2</v>
      </c>
      <c r="Q58" s="59">
        <f t="shared" si="9"/>
        <v>0.56854283475723644</v>
      </c>
      <c r="R58" s="59">
        <f t="shared" si="18"/>
        <v>11.884632628155483</v>
      </c>
      <c r="S58" s="59">
        <f t="shared" si="19"/>
        <v>3.173079853034662</v>
      </c>
      <c r="T58" s="59">
        <f t="shared" si="20"/>
        <v>0.84718106724491271</v>
      </c>
      <c r="U58" s="23">
        <f t="shared" si="21"/>
        <v>141.2444927062179</v>
      </c>
      <c r="V58" s="59">
        <f t="shared" si="10"/>
        <v>9.7990794931457152</v>
      </c>
      <c r="W58" s="59">
        <f t="shared" si="22"/>
        <v>2.616257707817049</v>
      </c>
      <c r="AF58" s="59">
        <f t="shared" si="23"/>
        <v>0.26699015041638102</v>
      </c>
      <c r="AG58" s="59">
        <f t="shared" si="24"/>
        <v>0.56854283475723644</v>
      </c>
      <c r="AH58" s="59">
        <f t="shared" si="25"/>
        <v>0.56854283475723644</v>
      </c>
      <c r="AJ58">
        <f t="shared" si="26"/>
        <v>0.29007287487614103</v>
      </c>
      <c r="AK58">
        <f t="shared" si="11"/>
        <v>3.4474095532958486</v>
      </c>
      <c r="AL58">
        <f t="shared" si="27"/>
        <v>0.92042439518132757</v>
      </c>
      <c r="AN58" t="str">
        <f t="shared" si="28"/>
        <v>Lenze EJ (B)</v>
      </c>
      <c r="AO58">
        <f t="shared" si="29"/>
        <v>1999</v>
      </c>
      <c r="AP58" t="str">
        <f t="shared" si="30"/>
        <v>Lenze EJ (B) 1999</v>
      </c>
      <c r="AQ58">
        <f t="shared" si="31"/>
        <v>24</v>
      </c>
      <c r="AR58">
        <f t="shared" si="32"/>
        <v>6.72</v>
      </c>
      <c r="AS58">
        <f t="shared" si="33"/>
        <v>1.2524056850717342</v>
      </c>
      <c r="AT58">
        <f t="shared" si="34"/>
        <v>24</v>
      </c>
      <c r="AU58">
        <f t="shared" si="35"/>
        <v>6.4</v>
      </c>
      <c r="AV58">
        <f t="shared" si="36"/>
        <v>1.1004907995980702</v>
      </c>
      <c r="AW58" s="65">
        <f t="shared" si="37"/>
        <v>0.26699015041638102</v>
      </c>
      <c r="AX58">
        <f t="shared" si="38"/>
        <v>0.29007287487614103</v>
      </c>
      <c r="BC58" s="23"/>
      <c r="BD58" s="23"/>
      <c r="BE58" s="23"/>
    </row>
    <row r="59" spans="5:57">
      <c r="E59" t="str">
        <f t="shared" si="39"/>
        <v>Bremner JD</v>
      </c>
      <c r="F59">
        <f t="shared" si="39"/>
        <v>2000</v>
      </c>
      <c r="G59">
        <v>5</v>
      </c>
      <c r="H59">
        <f t="shared" si="40"/>
        <v>16</v>
      </c>
      <c r="I59">
        <f t="shared" si="40"/>
        <v>16</v>
      </c>
      <c r="J59">
        <f t="shared" si="41"/>
        <v>5380</v>
      </c>
      <c r="K59">
        <f t="shared" si="41"/>
        <v>1399.4159496018331</v>
      </c>
      <c r="L59">
        <f t="shared" si="41"/>
        <v>5569</v>
      </c>
      <c r="M59">
        <f t="shared" si="41"/>
        <v>1123.3195449203224</v>
      </c>
      <c r="N59">
        <f t="shared" si="15"/>
        <v>1268.8994838047654</v>
      </c>
      <c r="O59" s="59">
        <f t="shared" si="16"/>
        <v>-0.14519297743365916</v>
      </c>
      <c r="P59" s="63">
        <f t="shared" si="17"/>
        <v>0.12537564149494032</v>
      </c>
      <c r="Q59" s="59">
        <f t="shared" si="9"/>
        <v>0.69400508958289542</v>
      </c>
      <c r="R59" s="59">
        <f t="shared" si="18"/>
        <v>7.9760309744086628</v>
      </c>
      <c r="S59" s="59">
        <f t="shared" si="19"/>
        <v>-1.1580636852774835</v>
      </c>
      <c r="T59" s="59">
        <f t="shared" si="20"/>
        <v>0.16814271452323384</v>
      </c>
      <c r="U59" s="23">
        <f t="shared" si="21"/>
        <v>63.617070104726402</v>
      </c>
      <c r="V59" s="59">
        <f t="shared" si="10"/>
        <v>6.9791574844504742</v>
      </c>
      <c r="W59" s="59">
        <f t="shared" si="22"/>
        <v>-1.0133246551457711</v>
      </c>
      <c r="AF59" s="59">
        <f t="shared" si="23"/>
        <v>-0.14519297743365916</v>
      </c>
      <c r="AG59" s="59">
        <f t="shared" si="24"/>
        <v>0.69400508958289542</v>
      </c>
      <c r="AH59" s="59">
        <f t="shared" si="25"/>
        <v>0.69400508958289542</v>
      </c>
      <c r="AJ59">
        <f t="shared" si="26"/>
        <v>0.35408422937902828</v>
      </c>
      <c r="AK59">
        <f t="shared" si="11"/>
        <v>2.8241867810767514</v>
      </c>
      <c r="AL59">
        <f t="shared" si="27"/>
        <v>-0.41005208757331529</v>
      </c>
      <c r="AN59" t="str">
        <f t="shared" si="28"/>
        <v>Bremner JD</v>
      </c>
      <c r="AO59">
        <f t="shared" si="29"/>
        <v>2000</v>
      </c>
      <c r="AP59" t="str">
        <f t="shared" si="30"/>
        <v>Bremner JD 2000</v>
      </c>
      <c r="AQ59">
        <f t="shared" si="31"/>
        <v>16</v>
      </c>
      <c r="AR59">
        <f t="shared" si="32"/>
        <v>5380</v>
      </c>
      <c r="AS59">
        <f t="shared" si="33"/>
        <v>1399.4159496018331</v>
      </c>
      <c r="AT59">
        <f t="shared" si="34"/>
        <v>16</v>
      </c>
      <c r="AU59">
        <f t="shared" si="35"/>
        <v>5569</v>
      </c>
      <c r="AV59">
        <f t="shared" si="36"/>
        <v>1123.3195449203224</v>
      </c>
      <c r="AW59" s="65">
        <f t="shared" si="37"/>
        <v>-0.14519297743365916</v>
      </c>
      <c r="AX59">
        <f t="shared" si="38"/>
        <v>0.35408422937902828</v>
      </c>
      <c r="BC59" s="23"/>
      <c r="BD59" s="23"/>
      <c r="BE59" s="23"/>
    </row>
    <row r="60" spans="5:57">
      <c r="E60" t="str">
        <f t="shared" si="39"/>
        <v>McIntosh AM</v>
      </c>
      <c r="F60">
        <f t="shared" si="39"/>
        <v>2001</v>
      </c>
      <c r="G60">
        <v>4</v>
      </c>
      <c r="H60">
        <f t="shared" si="40"/>
        <v>9</v>
      </c>
      <c r="I60">
        <f t="shared" si="40"/>
        <v>29</v>
      </c>
      <c r="J60">
        <f t="shared" si="41"/>
        <v>8393</v>
      </c>
      <c r="K60">
        <f t="shared" si="41"/>
        <v>906.17183800866383</v>
      </c>
      <c r="L60">
        <f t="shared" si="41"/>
        <v>8557</v>
      </c>
      <c r="M60">
        <f t="shared" si="41"/>
        <v>910.97508198632966</v>
      </c>
      <c r="N60">
        <f t="shared" si="15"/>
        <v>909.90988564802399</v>
      </c>
      <c r="O60" s="59">
        <f t="shared" si="16"/>
        <v>-0.17645641957729974</v>
      </c>
      <c r="P60" s="63">
        <f t="shared" si="17"/>
        <v>0.14605095822284658</v>
      </c>
      <c r="Q60" s="59">
        <f t="shared" si="9"/>
        <v>0.74904563352901765</v>
      </c>
      <c r="R60" s="59">
        <f t="shared" si="18"/>
        <v>6.846925293527935</v>
      </c>
      <c r="S60" s="59">
        <f t="shared" si="19"/>
        <v>-1.2081839224091915</v>
      </c>
      <c r="T60" s="59">
        <f t="shared" si="20"/>
        <v>0.21319180913918404</v>
      </c>
      <c r="U60" s="23">
        <f t="shared" si="21"/>
        <v>46.880385975152599</v>
      </c>
      <c r="V60" s="59">
        <f t="shared" si="10"/>
        <v>6.0990824984616836</v>
      </c>
      <c r="W60" s="59">
        <f t="shared" si="22"/>
        <v>-1.0762222603851204</v>
      </c>
      <c r="AF60" s="59">
        <f t="shared" si="23"/>
        <v>-0.17645641957729974</v>
      </c>
      <c r="AG60" s="59">
        <f t="shared" si="24"/>
        <v>0.74904563352901765</v>
      </c>
      <c r="AH60" s="59">
        <f t="shared" si="25"/>
        <v>0.74904563352901765</v>
      </c>
      <c r="AJ60">
        <f t="shared" si="26"/>
        <v>0.38216613955562123</v>
      </c>
      <c r="AK60">
        <f t="shared" si="11"/>
        <v>2.6166630072533099</v>
      </c>
      <c r="AL60">
        <f t="shared" si="27"/>
        <v>-0.46172698550028896</v>
      </c>
      <c r="AN60" t="str">
        <f t="shared" si="28"/>
        <v>McIntosh AM</v>
      </c>
      <c r="AO60">
        <f t="shared" si="29"/>
        <v>2001</v>
      </c>
      <c r="AP60" t="str">
        <f t="shared" si="30"/>
        <v>McIntosh AM 2001</v>
      </c>
      <c r="AQ60">
        <f t="shared" si="31"/>
        <v>9</v>
      </c>
      <c r="AR60">
        <f t="shared" si="32"/>
        <v>8393</v>
      </c>
      <c r="AS60">
        <f t="shared" si="33"/>
        <v>906.17183800866383</v>
      </c>
      <c r="AT60">
        <f t="shared" si="34"/>
        <v>29</v>
      </c>
      <c r="AU60">
        <f t="shared" si="35"/>
        <v>8557</v>
      </c>
      <c r="AV60">
        <f t="shared" si="36"/>
        <v>910.97508198632966</v>
      </c>
      <c r="AW60" s="65">
        <f t="shared" si="37"/>
        <v>-0.17645641957729974</v>
      </c>
      <c r="AX60">
        <f t="shared" si="38"/>
        <v>0.38216613955562123</v>
      </c>
      <c r="BC60" s="23"/>
      <c r="BD60" s="23"/>
      <c r="BE60" s="23"/>
    </row>
    <row r="61" spans="5:57">
      <c r="E61" t="str">
        <f t="shared" ref="E61:F63" si="42">E36</f>
        <v>Lacerda AL</v>
      </c>
      <c r="F61">
        <f t="shared" si="42"/>
        <v>2003</v>
      </c>
      <c r="G61">
        <v>3</v>
      </c>
      <c r="H61">
        <f t="shared" ref="H61:I63" si="43">H36</f>
        <v>25</v>
      </c>
      <c r="I61">
        <f t="shared" si="43"/>
        <v>48</v>
      </c>
      <c r="J61">
        <f t="shared" ref="J61:M63" si="44">IF($D$4="Total",T36,IF($D$4="Left",L36,IF($D$4="Right",P36,"error")))</f>
        <v>4.99</v>
      </c>
      <c r="K61">
        <f t="shared" si="44"/>
        <v>0.91152619271198132</v>
      </c>
      <c r="L61">
        <f t="shared" si="44"/>
        <v>5.2799999999999994</v>
      </c>
      <c r="M61">
        <f t="shared" si="44"/>
        <v>1.0057832768544126</v>
      </c>
      <c r="N61">
        <f t="shared" si="15"/>
        <v>0.97494181841573235</v>
      </c>
      <c r="O61" s="59">
        <f t="shared" si="16"/>
        <v>-0.29430042863404232</v>
      </c>
      <c r="P61" s="63">
        <f t="shared" si="17"/>
        <v>6.1460416610875916E-2</v>
      </c>
      <c r="Q61" s="59">
        <f t="shared" si="9"/>
        <v>0.48590774479559484</v>
      </c>
      <c r="R61" s="59">
        <f t="shared" si="18"/>
        <v>16.2706349085021</v>
      </c>
      <c r="S61" s="59">
        <f t="shared" si="19"/>
        <v>-4.7884548277201802</v>
      </c>
      <c r="T61" s="59">
        <f t="shared" si="20"/>
        <v>1.4092443082927981</v>
      </c>
      <c r="U61" s="23">
        <f t="shared" si="21"/>
        <v>264.73356032576714</v>
      </c>
      <c r="V61" s="59">
        <f t="shared" si="10"/>
        <v>12.599449705792283</v>
      </c>
      <c r="W61" s="59">
        <f t="shared" si="22"/>
        <v>-3.7080234489677273</v>
      </c>
      <c r="AF61" s="59">
        <f t="shared" si="23"/>
        <v>-0.29430042863404232</v>
      </c>
      <c r="AG61" s="59">
        <f t="shared" si="24"/>
        <v>0.48590774479559484</v>
      </c>
      <c r="AH61" s="59">
        <f t="shared" si="25"/>
        <v>0.48590774479559484</v>
      </c>
      <c r="AJ61">
        <f t="shared" si="26"/>
        <v>0.24791211469163002</v>
      </c>
      <c r="AK61">
        <f t="shared" si="11"/>
        <v>4.0336875075422114</v>
      </c>
      <c r="AL61">
        <f t="shared" si="27"/>
        <v>-1.1871159624454548</v>
      </c>
      <c r="AN61" t="str">
        <f t="shared" si="28"/>
        <v>Lacerda AL</v>
      </c>
      <c r="AO61">
        <f t="shared" si="29"/>
        <v>2003</v>
      </c>
      <c r="AP61" t="str">
        <f t="shared" si="30"/>
        <v>Lacerda AL 2003</v>
      </c>
      <c r="AQ61">
        <f t="shared" si="31"/>
        <v>25</v>
      </c>
      <c r="AR61">
        <f t="shared" si="32"/>
        <v>4.99</v>
      </c>
      <c r="AS61">
        <f t="shared" si="33"/>
        <v>0.91152619271198132</v>
      </c>
      <c r="AT61">
        <f t="shared" si="34"/>
        <v>48</v>
      </c>
      <c r="AU61">
        <f t="shared" si="35"/>
        <v>5.2799999999999994</v>
      </c>
      <c r="AV61">
        <f t="shared" si="36"/>
        <v>1.0057832768544126</v>
      </c>
      <c r="AW61" s="65">
        <f t="shared" si="37"/>
        <v>-0.29430042863404232</v>
      </c>
      <c r="AX61">
        <f t="shared" si="38"/>
        <v>0.24791211469163002</v>
      </c>
      <c r="BC61" s="23"/>
      <c r="BD61" s="23"/>
      <c r="BE61" s="23"/>
    </row>
    <row r="62" spans="5:57">
      <c r="E62" t="str">
        <f t="shared" si="42"/>
        <v>Matsuo K</v>
      </c>
      <c r="F62">
        <f t="shared" si="42"/>
        <v>2008</v>
      </c>
      <c r="G62">
        <v>2</v>
      </c>
      <c r="H62">
        <f t="shared" si="43"/>
        <v>27</v>
      </c>
      <c r="I62">
        <f t="shared" si="43"/>
        <v>26</v>
      </c>
      <c r="J62">
        <f t="shared" si="44"/>
        <v>4.79</v>
      </c>
      <c r="K62">
        <f t="shared" si="44"/>
        <v>0.6071902502511054</v>
      </c>
      <c r="L62">
        <f t="shared" si="44"/>
        <v>5.09</v>
      </c>
      <c r="M62">
        <f t="shared" si="44"/>
        <v>0.62616291809719937</v>
      </c>
      <c r="N62">
        <f t="shared" si="15"/>
        <v>0.61656353138609665</v>
      </c>
      <c r="O62" s="59">
        <f t="shared" si="16"/>
        <v>-0.47937720513341237</v>
      </c>
      <c r="P62" s="63">
        <f t="shared" si="17"/>
        <v>7.7840631193658277E-2</v>
      </c>
      <c r="Q62" s="59">
        <f t="shared" si="9"/>
        <v>0.54683870454966665</v>
      </c>
      <c r="R62" s="59">
        <f t="shared" si="18"/>
        <v>12.846761192263696</v>
      </c>
      <c r="S62" s="59">
        <f t="shared" si="19"/>
        <v>-6.1584444753637548</v>
      </c>
      <c r="T62" s="59">
        <f t="shared" si="20"/>
        <v>2.9522179005691811</v>
      </c>
      <c r="U62" s="23">
        <f t="shared" si="21"/>
        <v>165.03927313105254</v>
      </c>
      <c r="V62" s="59">
        <f t="shared" si="10"/>
        <v>10.443999450803972</v>
      </c>
      <c r="W62" s="59">
        <f t="shared" si="22"/>
        <v>-5.006615267141302</v>
      </c>
      <c r="AF62" s="59">
        <f t="shared" si="23"/>
        <v>-0.47937720513341237</v>
      </c>
      <c r="AG62" s="59">
        <f t="shared" si="24"/>
        <v>0.54683870454966665</v>
      </c>
      <c r="AH62" s="59">
        <f t="shared" si="25"/>
        <v>0.54683870454966665</v>
      </c>
      <c r="AJ62">
        <f t="shared" si="26"/>
        <v>0.27899933905595237</v>
      </c>
      <c r="AK62">
        <f t="shared" si="11"/>
        <v>3.5842378816512301</v>
      </c>
      <c r="AL62">
        <f t="shared" si="27"/>
        <v>-1.718201938239269</v>
      </c>
      <c r="AN62" t="str">
        <f t="shared" si="28"/>
        <v>Matsuo K</v>
      </c>
      <c r="AO62">
        <f t="shared" si="29"/>
        <v>2008</v>
      </c>
      <c r="AP62" t="str">
        <f t="shared" si="30"/>
        <v>Matsuo K 2008</v>
      </c>
      <c r="AQ62">
        <f t="shared" si="31"/>
        <v>27</v>
      </c>
      <c r="AR62">
        <f t="shared" si="32"/>
        <v>4.79</v>
      </c>
      <c r="AS62">
        <f t="shared" si="33"/>
        <v>0.6071902502511054</v>
      </c>
      <c r="AT62">
        <f t="shared" si="34"/>
        <v>26</v>
      </c>
      <c r="AU62">
        <f t="shared" si="35"/>
        <v>5.09</v>
      </c>
      <c r="AV62">
        <f t="shared" si="36"/>
        <v>0.62616291809719937</v>
      </c>
      <c r="AW62" s="65">
        <f t="shared" si="37"/>
        <v>-0.47937720513341237</v>
      </c>
      <c r="AX62">
        <f t="shared" si="38"/>
        <v>0.27899933905595237</v>
      </c>
      <c r="BC62" s="23"/>
      <c r="BD62" s="23"/>
      <c r="BE62" s="23"/>
    </row>
    <row r="63" spans="5:57">
      <c r="E63" t="str">
        <f t="shared" si="42"/>
        <v>Pizzagalli DA</v>
      </c>
      <c r="F63">
        <f t="shared" si="42"/>
        <v>2009</v>
      </c>
      <c r="G63">
        <v>1</v>
      </c>
      <c r="H63">
        <f t="shared" si="43"/>
        <v>26</v>
      </c>
      <c r="I63">
        <f t="shared" si="43"/>
        <v>31</v>
      </c>
      <c r="J63">
        <f t="shared" si="44"/>
        <v>7072</v>
      </c>
      <c r="K63">
        <f t="shared" si="44"/>
        <v>970.5071869903901</v>
      </c>
      <c r="L63">
        <f t="shared" si="44"/>
        <v>7025</v>
      </c>
      <c r="M63">
        <f t="shared" si="44"/>
        <v>917.66715098667441</v>
      </c>
      <c r="N63">
        <f t="shared" si="15"/>
        <v>942.05283580834543</v>
      </c>
      <c r="O63" s="59">
        <f t="shared" si="16"/>
        <v>4.9207605583804541E-2</v>
      </c>
      <c r="P63" s="63">
        <f t="shared" si="17"/>
        <v>7.0742420433823658E-2</v>
      </c>
      <c r="Q63" s="59">
        <f t="shared" si="9"/>
        <v>0.52130996761866832</v>
      </c>
      <c r="R63" s="59">
        <f t="shared" si="18"/>
        <v>14.135790009269684</v>
      </c>
      <c r="S63" s="59">
        <f t="shared" si="19"/>
        <v>0.69558837939162732</v>
      </c>
      <c r="T63" s="59">
        <f t="shared" si="20"/>
        <v>3.4228238621780989E-2</v>
      </c>
      <c r="U63" s="23">
        <f t="shared" si="21"/>
        <v>199.82055918616859</v>
      </c>
      <c r="V63" s="59">
        <f t="shared" si="10"/>
        <v>11.280245922608227</v>
      </c>
      <c r="W63" s="59">
        <f t="shared" si="22"/>
        <v>0.55507389224802495</v>
      </c>
      <c r="AF63" s="59">
        <f t="shared" si="23"/>
        <v>4.9207605583804541E-2</v>
      </c>
      <c r="AG63" s="59">
        <f t="shared" si="24"/>
        <v>0.52130996761866832</v>
      </c>
      <c r="AH63" s="59">
        <f t="shared" si="25"/>
        <v>0.52130996761866832</v>
      </c>
      <c r="AJ63">
        <f t="shared" si="26"/>
        <v>0.26597447327483076</v>
      </c>
      <c r="AK63">
        <f t="shared" si="11"/>
        <v>3.7597593020391189</v>
      </c>
      <c r="AL63">
        <f t="shared" si="27"/>
        <v>0.18500875282478121</v>
      </c>
      <c r="AN63" t="str">
        <f t="shared" si="28"/>
        <v>Pizzagalli DA</v>
      </c>
      <c r="AO63">
        <f t="shared" si="29"/>
        <v>2009</v>
      </c>
      <c r="AP63" t="str">
        <f t="shared" si="30"/>
        <v>Pizzagalli DA 2009</v>
      </c>
      <c r="AQ63">
        <f t="shared" si="31"/>
        <v>26</v>
      </c>
      <c r="AR63">
        <f t="shared" si="32"/>
        <v>7072</v>
      </c>
      <c r="AS63">
        <f t="shared" si="33"/>
        <v>970.5071869903901</v>
      </c>
      <c r="AT63">
        <f t="shared" si="34"/>
        <v>31</v>
      </c>
      <c r="AU63">
        <f t="shared" si="35"/>
        <v>7025</v>
      </c>
      <c r="AV63">
        <f t="shared" si="36"/>
        <v>917.66715098667441</v>
      </c>
      <c r="AW63" s="65">
        <f t="shared" si="37"/>
        <v>4.9207605583804541E-2</v>
      </c>
      <c r="AX63">
        <f t="shared" si="38"/>
        <v>0.26597447327483076</v>
      </c>
      <c r="BC63" s="23"/>
      <c r="BD63" s="23"/>
      <c r="BE63" s="23"/>
    </row>
    <row r="64" spans="5:57">
      <c r="U64" s="23"/>
    </row>
    <row r="65" spans="7:34">
      <c r="L65" t="s">
        <v>500</v>
      </c>
      <c r="N65" s="7"/>
      <c r="O65" s="66">
        <f>COUNT(O51:O63)</f>
        <v>13</v>
      </c>
      <c r="Q65" t="s">
        <v>885</v>
      </c>
      <c r="R65" s="59">
        <f t="shared" ref="R65:W65" si="45">SUM(R51:R63)</f>
        <v>211.28177097794708</v>
      </c>
      <c r="S65" s="59">
        <f t="shared" si="45"/>
        <v>-44.032708719407985</v>
      </c>
      <c r="T65" s="59">
        <f t="shared" si="45"/>
        <v>24.55743867690688</v>
      </c>
      <c r="U65" s="23">
        <f t="shared" si="45"/>
        <v>4754.2766798390421</v>
      </c>
      <c r="V65" s="59">
        <f t="shared" si="45"/>
        <v>154.89863279128511</v>
      </c>
      <c r="W65" s="59">
        <f t="shared" si="45"/>
        <v>-34.019263155299896</v>
      </c>
    </row>
    <row r="66" spans="7:34">
      <c r="L66" t="s">
        <v>501</v>
      </c>
      <c r="N66" s="7"/>
      <c r="O66" s="2">
        <v>0</v>
      </c>
    </row>
    <row r="67" spans="7:34">
      <c r="N67" s="7"/>
      <c r="O67" s="7"/>
    </row>
    <row r="68" spans="7:34">
      <c r="G68" s="67" t="s">
        <v>502</v>
      </c>
      <c r="H68" s="40"/>
      <c r="I68" s="40">
        <f>S65/R65</f>
        <v>-0.20840751436149207</v>
      </c>
      <c r="J68" s="40"/>
      <c r="K68" s="68" t="s">
        <v>879</v>
      </c>
      <c r="L68" s="40"/>
      <c r="M68" s="42"/>
      <c r="N68" s="7"/>
      <c r="O68" s="69" t="s">
        <v>503</v>
      </c>
      <c r="P68" s="70">
        <f>T65-((S65^2)/R65)</f>
        <v>15.380691302091464</v>
      </c>
      <c r="Q68" s="71" t="s">
        <v>824</v>
      </c>
      <c r="R68" s="28"/>
      <c r="S68" s="29"/>
      <c r="T68" s="30"/>
      <c r="U68" s="31"/>
      <c r="AF68" s="2" t="s">
        <v>1518</v>
      </c>
    </row>
    <row r="69" spans="7:34">
      <c r="G69" s="43" t="s">
        <v>504</v>
      </c>
      <c r="H69" s="31"/>
      <c r="I69" s="31">
        <f>1/R65</f>
        <v>4.7330159879452015E-3</v>
      </c>
      <c r="J69" s="31"/>
      <c r="K69" s="31"/>
      <c r="L69" s="31"/>
      <c r="M69" s="44"/>
      <c r="N69" s="7"/>
      <c r="O69" s="30" t="s">
        <v>505</v>
      </c>
      <c r="P69" s="31">
        <f>CHIDIST(P68,I73-1)</f>
        <v>0.22127470838768776</v>
      </c>
      <c r="Q69" s="31"/>
      <c r="R69" s="31"/>
      <c r="S69" s="34"/>
      <c r="T69" s="30"/>
      <c r="U69" s="31"/>
      <c r="AF69" s="2"/>
    </row>
    <row r="70" spans="7:34">
      <c r="G70" s="72" t="s">
        <v>506</v>
      </c>
      <c r="H70" s="31"/>
      <c r="I70" s="31">
        <f>$R$80*SQRT(I69)</f>
        <v>0.13484196015814323</v>
      </c>
      <c r="J70" s="31"/>
      <c r="K70" s="31" t="s">
        <v>507</v>
      </c>
      <c r="L70" s="31"/>
      <c r="M70" s="44">
        <f>ABS(I68/SQRT(I69))</f>
        <v>3.02931467081507</v>
      </c>
      <c r="N70" s="7"/>
      <c r="O70" s="35" t="s">
        <v>508</v>
      </c>
      <c r="P70" s="37">
        <f>IF(((P68-(I73-1))/P68)&lt;0,0,100*((P68-(I73-1))/P68))</f>
        <v>21.980099825758533</v>
      </c>
      <c r="Q70" s="36"/>
      <c r="R70" s="36"/>
      <c r="S70" s="38"/>
      <c r="T70" s="30"/>
      <c r="U70" s="31"/>
      <c r="AF70" s="2" t="s">
        <v>1535</v>
      </c>
      <c r="AH70">
        <f>IF($D$6=1,100*((EXP(I68))-1),I68)</f>
        <v>-0.20840751436149207</v>
      </c>
    </row>
    <row r="71" spans="7:34">
      <c r="G71" s="45" t="s">
        <v>509</v>
      </c>
      <c r="H71" s="46"/>
      <c r="I71" s="46">
        <v>-2</v>
      </c>
      <c r="J71" s="46"/>
      <c r="K71" s="46" t="s">
        <v>825</v>
      </c>
      <c r="L71" s="46"/>
      <c r="M71" s="47">
        <f>2*(1-NORMDIST(M70,0,1,1))</f>
        <v>2.4510923754306191E-3</v>
      </c>
      <c r="N71" s="7"/>
      <c r="O71" s="7"/>
      <c r="AF71" s="79" t="s">
        <v>834</v>
      </c>
      <c r="AH71">
        <f>IF($D$6=1,100*(EXP(I68+I70)-EXP(I68)),I70)</f>
        <v>0.13484196015814323</v>
      </c>
    </row>
    <row r="72" spans="7:34">
      <c r="G72" s="40"/>
      <c r="H72" s="40"/>
      <c r="I72" s="40"/>
      <c r="J72" s="40"/>
      <c r="K72" s="40"/>
      <c r="L72" s="40"/>
      <c r="M72" s="40"/>
      <c r="N72" s="7"/>
      <c r="O72" s="7"/>
      <c r="AF72" s="79" t="s">
        <v>835</v>
      </c>
      <c r="AH72">
        <f>IF($D$6=1,100*(EXP(I68)-EXP(I68-I70)),I70)</f>
        <v>0.13484196015814323</v>
      </c>
    </row>
    <row r="73" spans="7:34">
      <c r="G73" s="73" t="s">
        <v>1110</v>
      </c>
      <c r="H73" s="74"/>
      <c r="I73" s="74">
        <f>O65</f>
        <v>13</v>
      </c>
      <c r="J73" s="74"/>
      <c r="K73" s="75" t="s">
        <v>1167</v>
      </c>
      <c r="L73" s="74"/>
      <c r="M73" s="76"/>
      <c r="N73" s="77"/>
      <c r="O73" s="101" t="s">
        <v>1513</v>
      </c>
      <c r="P73" s="102"/>
      <c r="Q73" s="103"/>
      <c r="AF73" s="7"/>
    </row>
    <row r="74" spans="7:34">
      <c r="G74" s="77" t="s">
        <v>1531</v>
      </c>
      <c r="H74" s="31"/>
      <c r="I74" s="31">
        <f>R65/I73</f>
        <v>16.252443921380543</v>
      </c>
      <c r="J74" s="31"/>
      <c r="K74" s="31"/>
      <c r="L74" s="31"/>
      <c r="M74" s="78"/>
      <c r="N74" s="77"/>
      <c r="O74" s="104" t="s">
        <v>1514</v>
      </c>
      <c r="P74" s="31"/>
      <c r="Q74" s="105">
        <f>INDEX(LINEST(AL51:AL63,AK51:AK63,TRUE,TRUE),1,2)</f>
        <v>-0.72866997289412949</v>
      </c>
      <c r="AF74" s="2" t="s">
        <v>1687</v>
      </c>
      <c r="AH74">
        <f>IF($D$6=1,100*((EXP(I79))-1),I79)</f>
        <v>-0.21962274645211641</v>
      </c>
    </row>
    <row r="75" spans="7:34">
      <c r="G75" s="77" t="s">
        <v>1532</v>
      </c>
      <c r="H75" s="31"/>
      <c r="I75" s="31">
        <f>(1/(I73-1))*(U65-(I73*I74^2))</f>
        <v>110.03596211749917</v>
      </c>
      <c r="J75" s="31"/>
      <c r="K75" s="31"/>
      <c r="L75" s="31"/>
      <c r="M75" s="78"/>
      <c r="N75" s="77"/>
      <c r="O75" s="104" t="s">
        <v>1516</v>
      </c>
      <c r="P75" s="31"/>
      <c r="Q75" s="105">
        <f>INDEX(LINEST(AL51:AL63,AK51:AK63,TRUE,TRUE),2,2)</f>
        <v>1.2351360016622239</v>
      </c>
      <c r="AF75" s="79" t="s">
        <v>834</v>
      </c>
      <c r="AG75" s="7"/>
      <c r="AH75">
        <f>IF($D$6=1,100*(EXP(I79+I81)-EXP(I79)),I81)</f>
        <v>0.1574824922438714</v>
      </c>
    </row>
    <row r="76" spans="7:34">
      <c r="G76" s="77" t="s">
        <v>1669</v>
      </c>
      <c r="H76" s="31"/>
      <c r="I76" s="31">
        <f>(I73-1)*(I74-(I75/(I73*I74)))</f>
        <v>188.77970344115383</v>
      </c>
      <c r="J76" s="31"/>
      <c r="K76" s="31"/>
      <c r="L76" s="31"/>
      <c r="M76" s="78"/>
      <c r="N76" s="77"/>
      <c r="O76" s="104" t="s">
        <v>1349</v>
      </c>
      <c r="P76" s="31"/>
      <c r="Q76" s="105">
        <f>ABS(Q74/Q75)</f>
        <v>0.58995120530330136</v>
      </c>
      <c r="AF76" s="79" t="s">
        <v>835</v>
      </c>
      <c r="AH76">
        <f>IF($D$6=1,100*(EXP(I79)-EXP(I79-I81)),I81)</f>
        <v>0.1574824922438714</v>
      </c>
    </row>
    <row r="77" spans="7:34">
      <c r="G77" s="77" t="s">
        <v>1685</v>
      </c>
      <c r="H77" s="31"/>
      <c r="I77" s="31">
        <f>IF(P68&gt;(I73-1),(P68-(I73-1))/I76,0)</f>
        <v>1.7908129107456133E-2</v>
      </c>
      <c r="J77" s="31"/>
      <c r="K77" s="31"/>
      <c r="L77" s="31"/>
      <c r="M77" s="78"/>
      <c r="N77" s="77"/>
      <c r="O77" s="106" t="s">
        <v>1515</v>
      </c>
      <c r="P77" s="107"/>
      <c r="Q77" s="108">
        <f>TDIST(Q76,I73-2,2)</f>
        <v>0.567144333832865</v>
      </c>
    </row>
    <row r="78" spans="7:34">
      <c r="G78" s="77"/>
      <c r="H78" s="31"/>
      <c r="I78" s="31"/>
      <c r="J78" s="31"/>
      <c r="K78" s="31"/>
      <c r="L78" s="31"/>
      <c r="M78" s="78"/>
      <c r="N78" s="77"/>
    </row>
    <row r="79" spans="7:34">
      <c r="G79" s="77" t="s">
        <v>1686</v>
      </c>
      <c r="H79" s="31"/>
      <c r="I79" s="31">
        <f>W65/V65</f>
        <v>-0.21962274645211641</v>
      </c>
      <c r="J79" s="31"/>
      <c r="N79" s="77"/>
    </row>
    <row r="80" spans="7:34">
      <c r="G80" s="77" t="s">
        <v>504</v>
      </c>
      <c r="H80" s="31"/>
      <c r="I80" s="31">
        <f>1/V65</f>
        <v>6.4558349029938105E-3</v>
      </c>
      <c r="J80" s="31"/>
      <c r="N80" s="77"/>
      <c r="O80" t="s">
        <v>805</v>
      </c>
      <c r="R80">
        <v>1.96</v>
      </c>
    </row>
    <row r="81" spans="7:15">
      <c r="G81" s="80" t="s">
        <v>506</v>
      </c>
      <c r="H81" s="31"/>
      <c r="I81" s="31">
        <f>$R$80*SQRT(I80)</f>
        <v>0.1574824922438714</v>
      </c>
      <c r="J81" s="31"/>
      <c r="K81" s="31" t="s">
        <v>507</v>
      </c>
      <c r="L81" s="31"/>
      <c r="M81" s="78">
        <f>ABS(I79/(SQRT(I80)))</f>
        <v>2.7333869112228251</v>
      </c>
      <c r="N81" s="77"/>
    </row>
    <row r="82" spans="7:15">
      <c r="G82" s="81" t="s">
        <v>509</v>
      </c>
      <c r="H82" s="82"/>
      <c r="I82" s="82">
        <v>-3</v>
      </c>
      <c r="J82" s="82"/>
      <c r="K82" s="31" t="s">
        <v>825</v>
      </c>
      <c r="L82" s="31"/>
      <c r="M82" s="78">
        <f>2*(1-NORMDIST(M81,0,1,1))</f>
        <v>6.2686646094172183E-3</v>
      </c>
      <c r="N82" s="77"/>
    </row>
    <row r="83" spans="7:15">
      <c r="G83" s="74"/>
      <c r="H83" s="74"/>
      <c r="I83" s="74"/>
      <c r="J83" s="74"/>
      <c r="K83" s="74"/>
      <c r="L83" s="74"/>
      <c r="M83" s="74"/>
      <c r="N83" s="31"/>
      <c r="O83" s="7"/>
    </row>
  </sheetData>
  <phoneticPr fontId="10" type="noConversion"/>
  <conditionalFormatting sqref="D17 D13 F13">
    <cfRule type="cellIs" dxfId="124" priority="0" stopIfTrue="1" operator="lessThan">
      <formula>0.05</formula>
    </cfRule>
  </conditionalFormatting>
  <conditionalFormatting sqref="D21">
    <cfRule type="cellIs" dxfId="12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sheetPr published="0" codeName="Sheet28" enableFormatConditionsCalculation="0"/>
  <dimension ref="A1:BM5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557</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I49-O42</f>
        <v>6</v>
      </c>
      <c r="AD7" s="89"/>
    </row>
    <row r="8" spans="2:30">
      <c r="B8" t="s">
        <v>822</v>
      </c>
      <c r="D8">
        <f>SUM(H24:H29)</f>
        <v>313</v>
      </c>
      <c r="AD8" s="89"/>
    </row>
    <row r="9" spans="2:30">
      <c r="B9" t="s">
        <v>823</v>
      </c>
      <c r="D9">
        <f>SUM(I24:I29)</f>
        <v>256</v>
      </c>
      <c r="AD9" s="89"/>
    </row>
    <row r="11" spans="2:30">
      <c r="B11" s="27" t="s">
        <v>516</v>
      </c>
      <c r="C11" s="28"/>
      <c r="D11" s="109">
        <f>P44</f>
        <v>11.550641611323407</v>
      </c>
      <c r="E11" s="110" t="s">
        <v>1513</v>
      </c>
      <c r="F11" s="103"/>
    </row>
    <row r="12" spans="2:30">
      <c r="B12" s="30" t="s">
        <v>826</v>
      </c>
      <c r="C12" s="31"/>
      <c r="D12" s="112">
        <f>P46</f>
        <v>56.712361371351314</v>
      </c>
      <c r="E12" s="31"/>
      <c r="F12" s="105"/>
    </row>
    <row r="13" spans="2:30">
      <c r="B13" s="35" t="s">
        <v>825</v>
      </c>
      <c r="C13" s="36"/>
      <c r="D13" s="113">
        <f>P45</f>
        <v>4.1491718886056746E-2</v>
      </c>
      <c r="E13" s="111" t="s">
        <v>825</v>
      </c>
      <c r="F13" s="115">
        <f>Q53</f>
        <v>0.76576586381220324</v>
      </c>
    </row>
    <row r="15" spans="2:30">
      <c r="B15" s="39" t="s">
        <v>879</v>
      </c>
      <c r="C15" s="40"/>
      <c r="D15" s="41">
        <f>AH46</f>
        <v>-0.18413499628908703</v>
      </c>
      <c r="E15" s="116"/>
    </row>
    <row r="16" spans="2:30">
      <c r="B16" s="43" t="s">
        <v>1165</v>
      </c>
      <c r="C16" s="31"/>
      <c r="D16" s="33">
        <f>AH46-AH48</f>
        <v>-0.35555809797409454</v>
      </c>
      <c r="E16" s="117">
        <f>AH46+AH47</f>
        <v>-1.271189460407951E-2</v>
      </c>
    </row>
    <row r="17" spans="1:65">
      <c r="B17" s="45" t="s">
        <v>1166</v>
      </c>
      <c r="C17" s="46"/>
      <c r="D17" s="123">
        <f>M47</f>
        <v>3.5261377614354661E-2</v>
      </c>
      <c r="E17" s="118"/>
    </row>
    <row r="18" spans="1:65">
      <c r="D18" s="48"/>
      <c r="F18" s="49"/>
    </row>
    <row r="19" spans="1:65">
      <c r="B19" s="50" t="s">
        <v>1167</v>
      </c>
      <c r="C19" s="51"/>
      <c r="D19" s="52">
        <f>AH50</f>
        <v>-0.20565904309306324</v>
      </c>
      <c r="E19" s="120"/>
      <c r="F19" s="33"/>
      <c r="G19" s="31"/>
    </row>
    <row r="20" spans="1:65">
      <c r="B20" s="53" t="s">
        <v>1165</v>
      </c>
      <c r="C20" s="31"/>
      <c r="D20" s="33">
        <f>AH50-AH52</f>
        <v>-0.48573667512464858</v>
      </c>
      <c r="E20" s="121">
        <f>AH50+AH51</f>
        <v>7.4418588938522073E-2</v>
      </c>
      <c r="F20" s="31"/>
      <c r="G20" s="31"/>
    </row>
    <row r="21" spans="1:65">
      <c r="B21" s="54" t="s">
        <v>1440</v>
      </c>
      <c r="C21" s="55"/>
      <c r="D21" s="114">
        <f>M58</f>
        <v>0.15008982379846758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3" t="s">
        <v>1908</v>
      </c>
      <c r="B24">
        <v>1763144</v>
      </c>
      <c r="C24" s="1" t="str">
        <f>IF($B24="","",HYPERLINK(IF(LEN(VLOOKUP($B24,Database!$B$1:$IX$10144,2,FALSE))=0,"",VLOOKUP($B24,Database!$B$1:$IX$10144,2,FALSE))))</f>
        <v/>
      </c>
      <c r="D24" s="1" t="str">
        <f t="shared" ref="D24:D29" si="0">IF($B24="","",HYPERLINK(CONCATENATE("http://www.ncbi.nlm.nih.gov/pubmed/",B24)))</f>
        <v>http://www.ncbi.nlm.nih.gov/pubmed/1763144</v>
      </c>
      <c r="E24" s="22" t="str">
        <f>IF($B24="","",IF(LEN(VLOOKUP($B24,Database!$B$1:$IX$10144,4,FALSE))=0,"",VLOOKUP($B24,Database!$B$1:$IX$10144,4,FALSE)))</f>
        <v>Husain MM (B)</v>
      </c>
      <c r="F24" s="22">
        <f>IF($B24="","",IF(LEN(VLOOKUP($B24,Database!$B$1:$IX$10144,5,FALSE))=0,"",VLOOKUP($B24,Database!$B$1:$IX$10144,5,FALSE)))</f>
        <v>1991</v>
      </c>
      <c r="G24" s="1" t="str">
        <f>IF($B24="","",HYPERLINK(IF(LEN(VLOOKUP($B24,Database!$B$1:$IX$10144,6,FALSE))=0,"",VLOOKUP($B24,Database!$B$1:$IX$10144,6,FALSE))))</f>
        <v>http://dx.doi.org/10.1016/0165-1781(91)90149-J</v>
      </c>
      <c r="H24" s="22">
        <f>IF($B24="","",IF(LEN(VLOOKUP($B24,Database!$B$1:$IX$10144,7,FALSE))=0,"",VLOOKUP($B24,Database!$B$1:$IX$10144,7,FALSE)))</f>
        <v>41</v>
      </c>
      <c r="I24" s="22">
        <f>IF($B24="","",IF(LEN(VLOOKUP($B24,Database!$B$1:$IX$10144,8,FALSE))=0,"",VLOOKUP($B24,Database!$B$1:$IX$10144,8,FALSE)))</f>
        <v>44</v>
      </c>
      <c r="J24" t="s">
        <v>562</v>
      </c>
      <c r="L24">
        <v>3.8</v>
      </c>
      <c r="M24">
        <v>1.2</v>
      </c>
      <c r="N24">
        <v>4.9000000000000004</v>
      </c>
      <c r="O24">
        <v>1.45</v>
      </c>
      <c r="P24">
        <v>3.7</v>
      </c>
      <c r="Q24">
        <v>1.2</v>
      </c>
      <c r="R24">
        <v>4.9000000000000004</v>
      </c>
      <c r="S24">
        <v>1.4</v>
      </c>
      <c r="T24">
        <v>7.5</v>
      </c>
      <c r="U24">
        <v>2.2400000000000002</v>
      </c>
      <c r="V24">
        <v>9.8000000000000007</v>
      </c>
      <c r="W24">
        <v>2.9</v>
      </c>
      <c r="X24" s="96"/>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55.3</v>
      </c>
      <c r="AC24" s="22">
        <f>IF(OR($B24="",AC$22=""),"",IF(LEN(VLOOKUP($B24,Database!$B$1:$IX$10144,AC$22,FALSE))=0,"",VLOOKUP($B24,Database!$B$1:$IX$10144,AC$22,FALSE)))</f>
        <v>18.8</v>
      </c>
      <c r="AD24" s="22">
        <f>IF(OR($B24="",AD$22=""),"",IF(LEN(VLOOKUP($B24,Database!$B$1:$IX$10144,AD$22,FALSE))=0,"",VLOOKUP($B24,Database!$B$1:$IX$10144,AD$22,FALSE)))</f>
        <v>56.4</v>
      </c>
      <c r="AE24" s="22">
        <f>IF(OR($B24="",AE$22=""),"",IF(LEN(VLOOKUP($B24,Database!$B$1:$IX$10144,AE$22,FALSE))=0,"",VLOOKUP($B24,Database!$B$1:$IX$10144,AE$22,FALSE)))</f>
        <v>19.2</v>
      </c>
      <c r="AF24" s="22" t="str">
        <f>IF(OR($B24="",AF$22=""),"",IF(LEN(VLOOKUP($B24,Database!$B$1:$IX$10144,AF$22,FALSE))=0,"",VLOOKUP($B24,Database!$B$1:$IX$10144,AF$22,FALSE)))</f>
        <v>ns</v>
      </c>
      <c r="AG24" s="22" t="str">
        <f>IF(OR($B24="",AG$22=""),"",IF(LEN(VLOOKUP($B24,Database!$B$1:$IX$10144,AG$22,FALSE))=0,"",VLOOKUP($B24,Database!$B$1:$IX$10144,AG$22,FALSE)))</f>
        <v>ns</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Husain MM, McDonald WM, Doraiswamy PM, Figiel GS, Na C, Escalona PR, Boyko OB, Nemeroff CB, Krishnan KR.</v>
      </c>
      <c r="AR24" s="13"/>
      <c r="AX24" s="13"/>
      <c r="AY24" s="13"/>
      <c r="AZ24" s="13"/>
      <c r="BA24" s="13"/>
      <c r="BC24" s="23"/>
      <c r="BF24" s="136"/>
      <c r="BG24" s="136"/>
      <c r="BH24" s="136"/>
      <c r="BI24" s="136"/>
    </row>
    <row r="25" spans="1:65">
      <c r="B25">
        <v>10588417</v>
      </c>
      <c r="C25" s="1" t="str">
        <f>IF($B25="","",HYPERLINK(IF(LEN(VLOOKUP($B25,Database!$B$1:$IX$10144,2,FALSE))=0,"",VLOOKUP($B25,Database!$B$1:$IX$10144,2,FALSE))))</f>
        <v/>
      </c>
      <c r="D25" s="1" t="str">
        <f t="shared" si="0"/>
        <v>http://www.ncbi.nlm.nih.gov/pubmed/10588417</v>
      </c>
      <c r="E25" s="22" t="str">
        <f>IF($B25="","",IF(LEN(VLOOKUP($B25,Database!$B$1:$IX$10144,4,FALSE))=0,"",VLOOKUP($B25,Database!$B$1:$IX$10144,4,FALSE)))</f>
        <v>Lenze EJ (B)</v>
      </c>
      <c r="F25" s="22">
        <f>IF($B25="","",IF(LEN(VLOOKUP($B25,Database!$B$1:$IX$10144,5,FALSE))=0,"",VLOOKUP($B25,Database!$B$1:$IX$10144,5,FALSE)))</f>
        <v>1999</v>
      </c>
      <c r="G25" s="1" t="str">
        <f>IF($B25="","",HYPERLINK(IF(LEN(VLOOKUP($B25,Database!$B$1:$IX$10144,6,FALSE))=0,"",VLOOKUP($B25,Database!$B$1:$IX$10144,6,FALSE))))</f>
        <v>http://ajp.psychiatryonline.org/cgi/reprint/156/12/1989</v>
      </c>
      <c r="H25" s="22">
        <f>IF($B25="","",IF(LEN(VLOOKUP($B25,Database!$B$1:$IX$10144,7,FALSE))=0,"",VLOOKUP($B25,Database!$B$1:$IX$10144,7,FALSE)))</f>
        <v>24</v>
      </c>
      <c r="I25" s="22">
        <f>IF($B25="","",IF(LEN(VLOOKUP($B25,Database!$B$1:$IX$10144,8,FALSE))=0,"",VLOOKUP($B25,Database!$B$1:$IX$10144,8,FALSE)))</f>
        <v>24</v>
      </c>
      <c r="J25" t="s">
        <v>556</v>
      </c>
      <c r="L25">
        <v>3.86</v>
      </c>
      <c r="M25">
        <v>0.55000000000000004</v>
      </c>
      <c r="N25">
        <v>3.79</v>
      </c>
      <c r="O25">
        <v>0.48</v>
      </c>
      <c r="P25">
        <v>3.93</v>
      </c>
      <c r="Q25">
        <v>0.64</v>
      </c>
      <c r="R25">
        <v>3.91</v>
      </c>
      <c r="S25">
        <v>0.62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53</v>
      </c>
      <c r="AC25" s="22" t="str">
        <f>IF(OR($B25="",AC$22=""),"",IF(LEN(VLOOKUP($B25,Database!$B$1:$IX$10144,AC$22,FALSE))=0,"",VLOOKUP($B25,Database!$B$1:$IX$10144,AC$22,FALSE)))</f>
        <v>ns</v>
      </c>
      <c r="AD25" s="22">
        <f>IF(OR($B25="",AD$22=""),"",IF(LEN(VLOOKUP($B25,Database!$B$1:$IX$10144,AD$22,FALSE))=0,"",VLOOKUP($B25,Database!$B$1:$IX$10144,AD$22,FALSE)))</f>
        <v>53</v>
      </c>
      <c r="AE25" s="22" t="str">
        <f>IF(OR($B25="",AE$22=""),"",IF(LEN(VLOOKUP($B25,Database!$B$1:$IX$10144,AE$22,FALSE))=0,"",VLOOKUP($B25,Database!$B$1:$IX$10144,AE$22,FALSE)))</f>
        <v>ns</v>
      </c>
      <c r="AF25" s="22">
        <f>IF(OR($B25="",AF$22=""),"",IF(LEN(VLOOKUP($B25,Database!$B$1:$IX$10144,AF$22,FALSE))=0,"",VLOOKUP($B25,Database!$B$1:$IX$10144,AF$22,FALSE)))</f>
        <v>24</v>
      </c>
      <c r="AG25" s="22">
        <f>IF(OR($B25="",AG$22=""),"",IF(LEN(VLOOKUP($B25,Database!$B$1:$IX$10144,AG$22,FALSE))=0,"",VLOOKUP($B25,Database!$B$1:$IX$10144,AG$22,FALSE)))</f>
        <v>24</v>
      </c>
      <c r="AH25" s="22" t="str">
        <f>IF(OR($B25="",AH$22=""),"",IF(LEN(VLOOKUP($B25,Database!$B$1:$IX$10144,AH$22,FALSE))=0,"",VLOOKUP($B25,Database!$B$1:$IX$10144,AH$22,FALSE)))</f>
        <v/>
      </c>
      <c r="AI25" s="22">
        <f>IF(OR($B25="",AI$22=""),"",IF(LEN(VLOOKUP($B25,Database!$B$1:$IX$10144,AI$22,FALSE))=0,"",VLOOKUP($B25,Database!$B$1:$IX$10144,AI$22,FALSE)))</f>
        <v>1.25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Lenze EJ, Sheline YI.</v>
      </c>
      <c r="AR25" s="13"/>
      <c r="AX25" s="13"/>
      <c r="AY25" s="13"/>
      <c r="AZ25" s="13"/>
      <c r="BA25" s="13"/>
      <c r="BC25" s="23"/>
      <c r="BF25" s="136"/>
      <c r="BG25" s="136"/>
      <c r="BH25" s="136"/>
      <c r="BI25" s="136"/>
    </row>
    <row r="26" spans="1:65">
      <c r="A26" s="13" t="s">
        <v>2334</v>
      </c>
      <c r="B26">
        <v>14623065</v>
      </c>
      <c r="C26" s="1" t="str">
        <f>IF($B26="","",HYPERLINK(IF(LEN(VLOOKUP($B26,Database!$B$1:$IX$10144,2,FALSE))=0,"",VLOOKUP($B26,Database!$B$1:$IX$10144,2,FALSE))))</f>
        <v/>
      </c>
      <c r="D26" s="1" t="str">
        <f t="shared" si="0"/>
        <v>http://www.ncbi.nlm.nih.gov/pubmed/14623065</v>
      </c>
      <c r="E26" s="22" t="str">
        <f>IF($B26="","",IF(LEN(VLOOKUP($B26,Database!$B$1:$IX$10144,4,FALSE))=0,"",VLOOKUP($B26,Database!$B$1:$IX$10144,4,FALSE)))</f>
        <v>Lacerda AL</v>
      </c>
      <c r="F26" s="22">
        <f>IF($B26="","",IF(LEN(VLOOKUP($B26,Database!$B$1:$IX$10144,5,FALSE))=0,"",VLOOKUP($B26,Database!$B$1:$IX$10144,5,FALSE)))</f>
        <v>2003</v>
      </c>
      <c r="G26" s="1" t="str">
        <f>IF($B26="","",HYPERLINK(IF(LEN(VLOOKUP($B26,Database!$B$1:$IX$10144,6,FALSE))=0,"",VLOOKUP($B26,Database!$B$1:$IX$10144,6,FALSE))))</f>
        <v>http://dx.doi.org/10.1016/S0925-4927(03)00123-9</v>
      </c>
      <c r="H26" s="22">
        <f>IF($B26="","",IF(LEN(VLOOKUP($B26,Database!$B$1:$IX$10144,7,FALSE))=0,"",VLOOKUP($B26,Database!$B$1:$IX$10144,7,FALSE)))</f>
        <v>25</v>
      </c>
      <c r="I26" s="22">
        <f>IF($B26="","",IF(LEN(VLOOKUP($B26,Database!$B$1:$IX$10144,8,FALSE))=0,"",VLOOKUP($B26,Database!$B$1:$IX$10144,8,FALSE)))</f>
        <v>48</v>
      </c>
      <c r="J26" t="s">
        <v>556</v>
      </c>
      <c r="L26">
        <v>3.05</v>
      </c>
      <c r="M26">
        <v>0.84</v>
      </c>
      <c r="N26">
        <v>3.23</v>
      </c>
      <c r="O26">
        <v>0.84</v>
      </c>
      <c r="P26">
        <v>2.33</v>
      </c>
      <c r="Q26">
        <v>0.8</v>
      </c>
      <c r="R26">
        <v>2.4</v>
      </c>
      <c r="S26">
        <v>0.82</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41.2</v>
      </c>
      <c r="AC26" s="22">
        <f>IF(OR($B26="",AC$22=""),"",IF(LEN(VLOOKUP($B26,Database!$B$1:$IX$10144,AC$22,FALSE))=0,"",VLOOKUP($B26,Database!$B$1:$IX$10144,AC$22,FALSE)))</f>
        <v>11.04</v>
      </c>
      <c r="AD26" s="22">
        <f>IF(OR($B26="",AD$22=""),"",IF(LEN(VLOOKUP($B26,Database!$B$1:$IX$10144,AD$22,FALSE))=0,"",VLOOKUP($B26,Database!$B$1:$IX$10144,AD$22,FALSE)))</f>
        <v>35.06</v>
      </c>
      <c r="AE26" s="22">
        <f>IF(OR($B26="",AE$22=""),"",IF(LEN(VLOOKUP($B26,Database!$B$1:$IX$10144,AE$22,FALSE))=0,"",VLOOKUP($B26,Database!$B$1:$IX$10144,AE$22,FALSE)))</f>
        <v>10.029999999999999</v>
      </c>
      <c r="AF26" s="22">
        <f>IF(OR($B26="",AF$22=""),"",IF(LEN(VLOOKUP($B26,Database!$B$1:$IX$10144,AF$22,FALSE))=0,"",VLOOKUP($B26,Database!$B$1:$IX$10144,AF$22,FALSE)))</f>
        <v>4</v>
      </c>
      <c r="AG26" s="22">
        <f>IF(OR($B26="",AG$22=""),"",IF(LEN(VLOOKUP($B26,Database!$B$1:$IX$10144,AG$22,FALSE))=0,"",VLOOKUP($B26,Database!$B$1:$IX$10144,AG$22,FALSE)))</f>
        <v>29</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f>IF(OR($B26="",AK$22=""),"",IF(LEN(VLOOKUP($B26,Database!$B$1:$IX$10144,AK$22,FALSE))=0,"",VLOOKUP($B26,Database!$B$1:$IX$10144,AK$22,FALSE)))</f>
        <v>29.44</v>
      </c>
      <c r="AL26" s="22">
        <f>IF(OR($B26="",AL$22=""),"",IF(LEN(VLOOKUP($B26,Database!$B$1:$IX$10144,AL$22,FALSE))=0,"",VLOOKUP($B26,Database!$B$1:$IX$10144,AL$22,FALSE)))</f>
        <v>10.91</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Lacerda AL, Nicoletti MA, Brambilla P, Sassi RB, Mallinger AG, Frank E, Kupfer DJ, Keshavan MS, Soares JC.</v>
      </c>
      <c r="AR26" s="13"/>
      <c r="AX26" s="13"/>
      <c r="AY26" s="13"/>
      <c r="AZ26" s="13"/>
      <c r="BA26" s="13"/>
      <c r="BC26" s="23"/>
      <c r="BF26" s="136"/>
      <c r="BG26" s="136"/>
      <c r="BH26" s="136"/>
      <c r="BI26" s="136"/>
    </row>
    <row r="27" spans="1:65">
      <c r="B27">
        <v>18439110</v>
      </c>
      <c r="C27" s="1" t="str">
        <f>IF($B27="","",HYPERLINK(IF(LEN(VLOOKUP($B27,Database!$B$1:$IX$10144,2,FALSE))=0,"",VLOOKUP($B27,Database!$B$1:$IX$10144,2,FALSE))))</f>
        <v/>
      </c>
      <c r="D27" s="1" t="str">
        <f t="shared" si="0"/>
        <v>http://www.ncbi.nlm.nih.gov/pubmed/18439110</v>
      </c>
      <c r="E27" s="22" t="str">
        <f>IF($B27="","",IF(LEN(VLOOKUP($B27,Database!$B$1:$IX$10144,4,FALSE))=0,"",VLOOKUP($B27,Database!$B$1:$IX$10144,4,FALSE)))</f>
        <v>Matsuo K</v>
      </c>
      <c r="F27" s="22">
        <f>IF($B27="","",IF(LEN(VLOOKUP($B27,Database!$B$1:$IX$10144,5,FALSE))=0,"",VLOOKUP($B27,Database!$B$1:$IX$10144,5,FALSE)))</f>
        <v>2008</v>
      </c>
      <c r="G27" s="1" t="str">
        <f>IF($B27="","",HYPERLINK(IF(LEN(VLOOKUP($B27,Database!$B$1:$IX$10144,6,FALSE))=0,"",VLOOKUP($B27,Database!$B$1:$IX$10144,6,FALSE))))</f>
        <v>http://www.liebertonline.com/doi/pdf/10.1089/cap.2007.0026</v>
      </c>
      <c r="H27" s="22">
        <f>IF($B27="","",IF(LEN(VLOOKUP($B27,Database!$B$1:$IX$10144,7,FALSE))=0,"",VLOOKUP($B27,Database!$B$1:$IX$10144,7,FALSE)))</f>
        <v>27</v>
      </c>
      <c r="I27" s="22">
        <f>IF($B27="","",IF(LEN(VLOOKUP($B27,Database!$B$1:$IX$10144,8,FALSE))=0,"",VLOOKUP($B27,Database!$B$1:$IX$10144,8,FALSE)))</f>
        <v>26</v>
      </c>
      <c r="J27" t="s">
        <v>556</v>
      </c>
      <c r="L27">
        <v>3.58</v>
      </c>
      <c r="M27">
        <v>0.62</v>
      </c>
      <c r="N27">
        <v>3.8</v>
      </c>
      <c r="O27">
        <v>0.57999999999999996</v>
      </c>
      <c r="P27">
        <v>3.6</v>
      </c>
      <c r="Q27">
        <v>0.61</v>
      </c>
      <c r="R27">
        <v>3.79</v>
      </c>
      <c r="S27">
        <v>0.53</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14.4</v>
      </c>
      <c r="AC27" s="22">
        <f>IF(OR($B27="",AC$22=""),"",IF(LEN(VLOOKUP($B27,Database!$B$1:$IX$10144,AC$22,FALSE))=0,"",VLOOKUP($B27,Database!$B$1:$IX$10144,AC$22,FALSE)))</f>
        <v>2.2000000000000002</v>
      </c>
      <c r="AD27" s="22">
        <f>IF(OR($B27="",AD$22=""),"",IF(LEN(VLOOKUP($B27,Database!$B$1:$IX$10144,AD$22,FALSE))=0,"",VLOOKUP($B27,Database!$B$1:$IX$10144,AD$22,FALSE)))</f>
        <v>14.4</v>
      </c>
      <c r="AE27" s="22">
        <f>IF(OR($B27="",AE$22=""),"",IF(LEN(VLOOKUP($B27,Database!$B$1:$IX$10144,AE$22,FALSE))=0,"",VLOOKUP($B27,Database!$B$1:$IX$10144,AE$22,FALSE)))</f>
        <v>2.2999999999999998</v>
      </c>
      <c r="AF27" s="22">
        <f>IF(OR($B27="",AF$22=""),"",IF(LEN(VLOOKUP($B27,Database!$B$1:$IX$10144,AF$22,FALSE))=0,"",VLOOKUP($B27,Database!$B$1:$IX$10144,AF$22,FALSE)))</f>
        <v>17</v>
      </c>
      <c r="AG27" s="22">
        <f>IF(OR($B27="",AG$22=""),"",IF(LEN(VLOOKUP($B27,Database!$B$1:$IX$10144,AG$22,FALSE))=0,"",VLOOKUP($B27,Database!$B$1:$IX$10144,AG$22,FALSE)))</f>
        <v>14</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11.75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Matsuo K, Rosenberg DR, Easter PC, MacMaster FP, Chen HH, Nicoletti M, Caetano SC, Hatch JP, Soares JC.</v>
      </c>
      <c r="AR27" s="13"/>
      <c r="AX27" s="13"/>
      <c r="AY27" s="13"/>
      <c r="AZ27" s="13"/>
      <c r="BA27" s="13"/>
      <c r="BC27" s="23"/>
      <c r="BF27" s="136"/>
      <c r="BG27" s="136"/>
      <c r="BH27" s="136"/>
      <c r="BI27" s="136"/>
    </row>
    <row r="28" spans="1:65">
      <c r="A28" s="13" t="s">
        <v>1908</v>
      </c>
      <c r="B28">
        <v>19235787</v>
      </c>
      <c r="C28" s="1" t="str">
        <f>IF($B28="","",HYPERLINK(IF(LEN(VLOOKUP($B28,Database!$B$1:$IX$10144,2,FALSE))=0,"",VLOOKUP($B28,Database!$B$1:$IX$10144,2,FALSE))))</f>
        <v/>
      </c>
      <c r="D28" s="1" t="str">
        <f t="shared" si="0"/>
        <v>http://www.ncbi.nlm.nih.gov/pubmed/19235787</v>
      </c>
      <c r="E28" s="22" t="str">
        <f>IF($B28="","",IF(LEN(VLOOKUP($B28,Database!$B$1:$IX$10144,4,FALSE))=0,"",VLOOKUP($B28,Database!$B$1:$IX$10144,4,FALSE)))</f>
        <v>Pan CC</v>
      </c>
      <c r="F28" s="22">
        <f>IF($B28="","",IF(LEN(VLOOKUP($B28,Database!$B$1:$IX$10144,5,FALSE))=0,"",VLOOKUP($B28,Database!$B$1:$IX$10144,5,FALSE)))</f>
        <v>2009</v>
      </c>
      <c r="G28" s="1" t="str">
        <f>IF($B28="","",HYPERLINK(IF(LEN(VLOOKUP($B28,Database!$B$1:$IX$10144,6,FALSE))=0,"",VLOOKUP($B28,Database!$B$1:$IX$10144,6,FALSE))))</f>
        <v>http://www3.interscience.wiley.com/cgi-bin/fulltext/122211615/PDFSTART</v>
      </c>
      <c r="H28" s="22">
        <f>IF($B28="","",IF(LEN(VLOOKUP($B28,Database!$B$1:$IX$10144,7,FALSE))=0,"",VLOOKUP($B28,Database!$B$1:$IX$10144,7,FALSE)))</f>
        <v>170</v>
      </c>
      <c r="I28" s="22">
        <f>IF($B28="","",IF(LEN(VLOOKUP($B28,Database!$B$1:$IX$10144,8,FALSE))=0,"",VLOOKUP($B28,Database!$B$1:$IX$10144,8,FALSE)))</f>
        <v>83</v>
      </c>
      <c r="J28" t="s">
        <v>654</v>
      </c>
      <c r="L28">
        <v>3.61</v>
      </c>
      <c r="M28">
        <v>0.76</v>
      </c>
      <c r="N28">
        <v>3.65</v>
      </c>
      <c r="O28">
        <v>0.63</v>
      </c>
      <c r="P28">
        <v>3.63</v>
      </c>
      <c r="Q28">
        <v>0.78</v>
      </c>
      <c r="R28">
        <v>3.69</v>
      </c>
      <c r="S28">
        <v>0.71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69.400000000000006</v>
      </c>
      <c r="AC28" s="22">
        <f>IF(OR($B28="",AC$22=""),"",IF(LEN(VLOOKUP($B28,Database!$B$1:$IX$10144,AC$22,FALSE))=0,"",VLOOKUP($B28,Database!$B$1:$IX$10144,AC$22,FALSE)))</f>
        <v>7.5</v>
      </c>
      <c r="AD28" s="22">
        <f>IF(OR($B28="",AD$22=""),"",IF(LEN(VLOOKUP($B28,Database!$B$1:$IX$10144,AD$22,FALSE))=0,"",VLOOKUP($B28,Database!$B$1:$IX$10144,AD$22,FALSE)))</f>
        <v>69.8</v>
      </c>
      <c r="AE28" s="22">
        <f>IF(OR($B28="",AE$22=""),"",IF(LEN(VLOOKUP($B28,Database!$B$1:$IX$10144,AE$22,FALSE))=0,"",VLOOKUP($B28,Database!$B$1:$IX$10144,AE$22,FALSE)))</f>
        <v>5.6</v>
      </c>
      <c r="AF28" s="22">
        <f>IF(OR($B28="",AF$22=""),"",IF(LEN(VLOOKUP($B28,Database!$B$1:$IX$10144,AF$22,FALSE))=0,"",VLOOKUP($B28,Database!$B$1:$IX$10144,AF$22,FALSE)))</f>
        <v>112</v>
      </c>
      <c r="AG28" s="22">
        <f>IF(OR($B28="",AG$22=""),"",IF(LEN(VLOOKUP($B28,Database!$B$1:$IX$10144,AG$22,FALSE))=0,"",VLOOKUP($B28,Database!$B$1:$IX$10144,AG$22,FALSE)))</f>
        <v>61</v>
      </c>
      <c r="AH28" s="22">
        <f>IF(OR($B28="",AH$22=""),"",IF(LEN(VLOOKUP($B28,Database!$B$1:$IX$10144,AH$22,FALSE))=0,"",VLOOKUP($B28,Database!$B$1:$IX$10144,AH$22,FALSE)))</f>
        <v>1.5</v>
      </c>
      <c r="AI28" s="22">
        <f>IF(OR($B28="",AI$22=""),"",IF(LEN(VLOOKUP($B28,Database!$B$1:$IX$10144,AI$22,FALSE))=0,"",VLOOKUP($B28,Database!$B$1:$IX$10144,AI$22,FALSE)))</f>
        <v>3</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Pan CC, McQuoid DR, Taylor WD, Payne ME, Ashley-Koch A, Steffens DC.</v>
      </c>
      <c r="AR28" s="13"/>
      <c r="AX28" s="13"/>
      <c r="AY28" s="13"/>
      <c r="AZ28" s="13"/>
      <c r="BA28" s="13"/>
      <c r="BC28" s="23"/>
      <c r="BF28" s="136"/>
      <c r="BG28" s="136"/>
      <c r="BH28" s="136"/>
      <c r="BI28" s="136"/>
    </row>
    <row r="29" spans="1:65">
      <c r="B29">
        <v>19411368</v>
      </c>
      <c r="C29" s="1" t="str">
        <f>IF($B29="","",HYPERLINK(IF(LEN(VLOOKUP($B29,Database!$B$1:$IX$10144,2,FALSE))=0,"",VLOOKUP($B29,Database!$B$1:$IX$10144,2,FALSE))))</f>
        <v/>
      </c>
      <c r="D29" s="1" t="str">
        <f t="shared" si="0"/>
        <v>http://www.ncbi.nlm.nih.gov/pubmed/19411368</v>
      </c>
      <c r="E29" s="22" t="str">
        <f>IF($B29="","",IF(LEN(VLOOKUP($B29,Database!$B$1:$IX$10144,4,FALSE))=0,"",VLOOKUP($B29,Database!$B$1:$IX$10144,4,FALSE)))</f>
        <v>Pizzagalli DA</v>
      </c>
      <c r="F29" s="22">
        <f>IF($B29="","",IF(LEN(VLOOKUP($B29,Database!$B$1:$IX$10144,5,FALSE))=0,"",VLOOKUP($B29,Database!$B$1:$IX$10144,5,FALSE)))</f>
        <v>2009</v>
      </c>
      <c r="G29" s="1" t="str">
        <f>IF($B29="","",HYPERLINK(IF(LEN(VLOOKUP($B29,Database!$B$1:$IX$10144,6,FALSE))=0,"",VLOOKUP($B29,Database!$B$1:$IX$10144,6,FALSE))))</f>
        <v>http://ajp.psychiatryonline.org/cgi/reprint/166/6/702</v>
      </c>
      <c r="H29" s="83">
        <v>26</v>
      </c>
      <c r="I29" s="83">
        <v>31</v>
      </c>
      <c r="J29" t="s">
        <v>1203</v>
      </c>
      <c r="L29">
        <v>5550</v>
      </c>
      <c r="M29">
        <v>697</v>
      </c>
      <c r="N29">
        <v>5472</v>
      </c>
      <c r="O29">
        <v>732</v>
      </c>
      <c r="P29">
        <v>5364</v>
      </c>
      <c r="Q29">
        <v>697</v>
      </c>
      <c r="R29">
        <v>5369</v>
      </c>
      <c r="S29">
        <v>717</v>
      </c>
      <c r="X29" s="2"/>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43.17</v>
      </c>
      <c r="AC29" s="22">
        <f>IF(OR($B29="",AC$22=""),"",IF(LEN(VLOOKUP($B29,Database!$B$1:$IX$10144,AC$22,FALSE))=0,"",VLOOKUP($B29,Database!$B$1:$IX$10144,AC$22,FALSE)))</f>
        <v>12.98</v>
      </c>
      <c r="AD29" s="22">
        <f>IF(OR($B29="",AD$22=""),"",IF(LEN(VLOOKUP($B29,Database!$B$1:$IX$10144,AD$22,FALSE))=0,"",VLOOKUP($B29,Database!$B$1:$IX$10144,AD$22,FALSE)))</f>
        <v>38.799999999999997</v>
      </c>
      <c r="AE29" s="22">
        <f>IF(OR($B29="",AE$22=""),"",IF(LEN(VLOOKUP($B29,Database!$B$1:$IX$10144,AE$22,FALSE))=0,"",VLOOKUP($B29,Database!$B$1:$IX$10144,AE$22,FALSE)))</f>
        <v>14.48</v>
      </c>
      <c r="AF29" s="22">
        <f>IF(OR($B29="",AF$22=""),"",IF(LEN(VLOOKUP($B29,Database!$B$1:$IX$10144,AF$22,FALSE))=0,"",VLOOKUP($B29,Database!$B$1:$IX$10144,AF$22,FALSE)))</f>
        <v>15</v>
      </c>
      <c r="AG29" s="22">
        <f>IF(OR($B29="",AG$22=""),"",IF(LEN(VLOOKUP($B29,Database!$B$1:$IX$10144,AG$22,FALSE))=0,"",VLOOKUP($B29,Database!$B$1:$IX$10144,AG$22,FALSE)))</f>
        <v>13</v>
      </c>
      <c r="AH29" s="22">
        <f>IF(OR($B29="",AH$22=""),"",IF(LEN(VLOOKUP($B29,Database!$B$1:$IX$10144,AH$22,FALSE))=0,"",VLOOKUP($B29,Database!$B$1:$IX$10144,AH$22,FALSE)))</f>
        <v>1.5</v>
      </c>
      <c r="AI29" s="22">
        <f>IF(OR($B29="",AI$22=""),"",IF(LEN(VLOOKUP($B29,Database!$B$1:$IX$10144,AI$22,FALSE))=0,"",VLOOKUP($B29,Database!$B$1:$IX$10144,AI$22,FALSE)))</f>
        <v>1.33</v>
      </c>
      <c r="AJ29" s="22" t="str">
        <f>IF(OR($B29="",AJ$22=""),"",IF(LEN(VLOOKUP($B29,Database!$B$1:$IX$10144,AJ$22,FALSE))=0,"",VLOOKUP($B29,Database!$B$1:$IX$10144,AJ$22,FALSE)))</f>
        <v/>
      </c>
      <c r="AK29" s="22">
        <f>IF(OR($B29="",AK$22=""),"",IF(LEN(VLOOKUP($B29,Database!$B$1:$IX$10144,AK$22,FALSE))=0,"",VLOOKUP($B29,Database!$B$1:$IX$10144,AK$22,FALSE)))</f>
        <v>29.39</v>
      </c>
      <c r="AL29" s="22">
        <f>IF(OR($B29="",AL$22=""),"",IF(LEN(VLOOKUP($B29,Database!$B$1:$IX$10144,AL$22,FALSE))=0,"",VLOOKUP($B29,Database!$B$1:$IX$10144,AL$22,FALSE)))</f>
        <v>15.98</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Pizzagalli DA, Holmes AJ, Dillon DG, Goetz EL, Birk JL, Bogdan R, Dougherty DD, Iosifescu DV, Rauch SL, Fava M.</v>
      </c>
      <c r="AR29" s="13"/>
      <c r="AX29" s="13"/>
      <c r="AY29" s="13"/>
      <c r="AZ29" s="13"/>
      <c r="BA29" s="13"/>
      <c r="BC29" s="23"/>
      <c r="BF29" s="136"/>
      <c r="BG29" s="136"/>
      <c r="BH29" s="136"/>
      <c r="BI29" s="136"/>
    </row>
    <row r="30" spans="1:65">
      <c r="A30" s="4" t="s">
        <v>1510</v>
      </c>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65">
      <c r="A31" s="10" t="s">
        <v>555</v>
      </c>
      <c r="B31">
        <v>8399409</v>
      </c>
      <c r="C31" s="1" t="str">
        <f>IF($B31="","",HYPERLINK(IF(LEN(VLOOKUP($B31,Database!$B$1:$IX$10144,2,FALSE))=0,"",VLOOKUP($B31,Database!$B$1:$IX$10144,2,FALSE))))</f>
        <v/>
      </c>
      <c r="D31" s="1" t="str">
        <f>IF($B31="","",HYPERLINK(CONCATENATE("http://www.ncbi.nlm.nih.gov/pubmed/",B31)))</f>
        <v>http://www.ncbi.nlm.nih.gov/pubmed/8399409</v>
      </c>
      <c r="E31" s="22" t="str">
        <f>IF($B31="","",IF(LEN(VLOOKUP($B31,Database!$B$1:$IX$10144,4,FALSE))=0,"",VLOOKUP($B31,Database!$B$1:$IX$10144,4,FALSE)))</f>
        <v>Krishnan KR</v>
      </c>
      <c r="F31" s="22">
        <f>IF($B31="","",IF(LEN(VLOOKUP($B31,Database!$B$1:$IX$10144,5,FALSE))=0,"",VLOOKUP($B31,Database!$B$1:$IX$10144,5,FALSE)))</f>
        <v>1993</v>
      </c>
      <c r="G31" s="1" t="str">
        <f>IF($B31="","",HYPERLINK(IF(LEN(VLOOKUP($B31,Database!$B$1:$IX$10144,6,FALSE))=0,"",VLOOKUP($B31,Database!$B$1:$IX$10144,6,FALSE))))</f>
        <v>http://www.springerlink.com/content/yq33844661g65135/fulltext.pdf</v>
      </c>
      <c r="H31" s="22">
        <f>IF($B31="","",IF(LEN(VLOOKUP($B31,Database!$B$1:$IX$10144,7,FALSE))=0,"",VLOOKUP($B31,Database!$B$1:$IX$10144,7,FALSE)))</f>
        <v>25</v>
      </c>
      <c r="I31" s="22">
        <f>IF($B31="","",IF(LEN(VLOOKUP($B31,Database!$B$1:$IX$10144,8,FALSE))=0,"",VLOOKUP($B31,Database!$B$1:$IX$10144,8,FALSE)))</f>
        <v>20</v>
      </c>
      <c r="Y31" s="22" t="str">
        <f>IF(OR($B31="",Y$22=""),"",IF(LEN(VLOOKUP($B31,Database!$B$1:$IX$10144,Y$22,FALSE))=0,"",VLOOKUP($B31,Database!$B$1:$IX$10144,Y$22,FALSE)))</f>
        <v>DSM-III</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74.099999999999994</v>
      </c>
      <c r="AC31" s="22">
        <f>IF(OR($B31="",AC$22=""),"",IF(LEN(VLOOKUP($B31,Database!$B$1:$IX$10144,AC$22,FALSE))=0,"",VLOOKUP($B31,Database!$B$1:$IX$10144,AC$22,FALSE)))</f>
        <v>6.6</v>
      </c>
      <c r="AD31" s="22">
        <f>IF(OR($B31="",AD$22=""),"",IF(LEN(VLOOKUP($B31,Database!$B$1:$IX$10144,AD$22,FALSE))=0,"",VLOOKUP($B31,Database!$B$1:$IX$10144,AD$22,FALSE)))</f>
        <v>72.5</v>
      </c>
      <c r="AE31" s="22">
        <f>IF(OR($B31="",AE$22=""),"",IF(LEN(VLOOKUP($B31,Database!$B$1:$IX$10144,AE$22,FALSE))=0,"",VLOOKUP($B31,Database!$B$1:$IX$10144,AE$22,FALSE)))</f>
        <v>3.6</v>
      </c>
      <c r="AF31" s="22">
        <f>IF(OR($B31="",AF$22=""),"",IF(LEN(VLOOKUP($B31,Database!$B$1:$IX$10144,AF$22,FALSE))=0,"",VLOOKUP($B31,Database!$B$1:$IX$10144,AF$22,FALSE)))</f>
        <v>17</v>
      </c>
      <c r="AG31" s="22">
        <f>IF(OR($B31="",AG$22=""),"",IF(LEN(VLOOKUP($B31,Database!$B$1:$IX$10144,AG$22,FALSE))=0,"",VLOOKUP($B31,Database!$B$1:$IX$10144,AG$22,FALSE)))</f>
        <v>11</v>
      </c>
      <c r="AH31" s="22">
        <f>IF(OR($B31="",AH$22=""),"",IF(LEN(VLOOKUP($B31,Database!$B$1:$IX$10144,AH$22,FALSE))=0,"",VLOOKUP($B31,Database!$B$1:$IX$10144,AH$22,FALSE)))</f>
        <v>1.5</v>
      </c>
      <c r="AI31" s="22">
        <f>IF(OR($B31="",AI$22=""),"",IF(LEN(VLOOKUP($B31,Database!$B$1:$IX$10144,AI$22,FALSE))=0,"",VLOOKUP($B31,Database!$B$1:$IX$10144,AI$22,FALSE)))</f>
        <v>5</v>
      </c>
      <c r="AJ31" s="22" t="str">
        <f>IF(OR($B31="",AJ$22=""),"",IF(LEN(VLOOKUP($B31,Database!$B$1:$IX$10144,AJ$22,FALSE))=0,"",VLOOKUP($B31,Database!$B$1:$IX$10144,AJ$22,FALSE)))</f>
        <v/>
      </c>
      <c r="AK31" s="22" t="str">
        <f>IF(OR($B31="",AK$22=""),"",IF(LEN(VLOOKUP($B31,Database!$B$1:$IX$10144,AK$22,FALSE))=0,"",VLOOKUP($B31,Database!$B$1:$IX$10144,AK$22,FALSE)))</f>
        <v>ns</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Krishnan KR, McDonald WM, Doraiswamy PM, Tupler LA, Husain M, Boyko OB, Figiel GS, Ellinwood EH Jr.</v>
      </c>
    </row>
    <row r="32" spans="1:65">
      <c r="I32" s="22" t="str">
        <f>IF($B32="","",IF(LEN(VLOOKUP($B32,Database!$B$1:$IX$10144,8,FALSE))=0,"",VLOOKUP($B32,Database!$B$1:$IX$10144,8,FALSE)))</f>
        <v/>
      </c>
      <c r="AF32" t="s">
        <v>602</v>
      </c>
      <c r="AJ32" t="s">
        <v>329</v>
      </c>
      <c r="AN32" t="s">
        <v>330</v>
      </c>
    </row>
    <row r="33" spans="5:51"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1">
      <c r="E34" t="str">
        <f t="shared" ref="E34:F36" si="1">E24</f>
        <v>Husain MM (B)</v>
      </c>
      <c r="F34">
        <f t="shared" si="1"/>
        <v>1991</v>
      </c>
      <c r="G34">
        <v>6</v>
      </c>
      <c r="H34">
        <f t="shared" ref="H34:I36" si="2">H24</f>
        <v>41</v>
      </c>
      <c r="I34">
        <f t="shared" si="2"/>
        <v>44</v>
      </c>
      <c r="J34">
        <f t="shared" ref="J34:M36" si="3">IF($D$4="Total",T24,IF($D$4="Left",L24,IF($D$4="Right",P24,"error")))</f>
        <v>3.8</v>
      </c>
      <c r="K34">
        <f t="shared" si="3"/>
        <v>1.2</v>
      </c>
      <c r="L34">
        <f t="shared" si="3"/>
        <v>4.9000000000000004</v>
      </c>
      <c r="M34">
        <f t="shared" si="3"/>
        <v>1.45</v>
      </c>
      <c r="N34">
        <f t="shared" ref="N34:N39" si="4">IF($D$3=1,SQRT((((I34-1)*(M34)^2)+((H34-1)*(K34)^2))/(H34+I34-2)),M34)</f>
        <v>1.3353736898584849</v>
      </c>
      <c r="O34" s="59">
        <f t="shared" ref="O34:O39" si="5">IF($D$6=1,LN(J34/L34),IF($D$5=1,(1-3/(4*(H34+I34)-9))*((J34-L34)/N34),(J34-L34)/N34))</f>
        <v>-0.81627354182474421</v>
      </c>
      <c r="P34" s="63">
        <f t="shared" ref="P34:P39" si="6">IF($D$6=1,(K34^2)/(H34*J34^2)+(M34^2)/(I34*L34^2),(IF($D$5=1,((H34+I34)/(H34*I34))+(O34*O34)/(2*(H34+I34-3.94)),((H34+I34)/(H34*I34))+((O34^2)/(2*(H34+I34-2))))))</f>
        <v>5.1227450598889598E-2</v>
      </c>
      <c r="Q34" s="59">
        <f t="shared" ref="Q34:Q39" si="7">$R$56*SQRT(P34)</f>
        <v>0.4436162465698188</v>
      </c>
      <c r="R34" s="59">
        <f t="shared" ref="R34:R39" si="8">1/P34</f>
        <v>19.520784038815236</v>
      </c>
      <c r="S34" s="59">
        <f t="shared" ref="S34:S39" si="9">O34*R34</f>
        <v>-15.934299526559649</v>
      </c>
      <c r="T34" s="59">
        <f t="shared" ref="T34:T39" si="10">R34*(O34^2)</f>
        <v>13.006747111041189</v>
      </c>
      <c r="U34" s="23">
        <f t="shared" ref="U34:U39" si="11">R34^2</f>
        <v>381.06100949006367</v>
      </c>
      <c r="V34" s="59">
        <f t="shared" ref="V34:V39" si="12">1/((1/R34)+$I$53)</f>
        <v>8.4732326645446605</v>
      </c>
      <c r="W34" s="59">
        <f t="shared" ref="W34:W39" si="13">V34*O34</f>
        <v>-6.9164756377929848</v>
      </c>
      <c r="AF34" s="59">
        <f t="shared" ref="AF34:AF39" si="14">IF($D$6=1,100*((EXP(O34))-1),O34)</f>
        <v>-0.81627354182474421</v>
      </c>
      <c r="AG34" s="59">
        <f t="shared" ref="AG34:AG39" si="15">IF($D$6=1,100*(EXP(O34+Q34)-EXP(O34)),Q34)</f>
        <v>0.4436162465698188</v>
      </c>
      <c r="AH34" s="59">
        <f t="shared" ref="AH34:AH39" si="16">IF($D$6=1,100*(EXP(O34)-EXP(O34-Q34)),Q34)</f>
        <v>0.4436162465698188</v>
      </c>
      <c r="AJ34">
        <f t="shared" ref="AJ34:AJ39" si="17">SQRT(P34)</f>
        <v>0.22633481967847899</v>
      </c>
      <c r="AK34">
        <f t="shared" ref="AK34:AK39" si="18">1/AJ34</f>
        <v>4.4182331354077764</v>
      </c>
      <c r="AL34">
        <f t="shared" ref="AL34:AL39" si="19">O34/AJ34</f>
        <v>-3.6064868100467504</v>
      </c>
      <c r="AN34" t="str">
        <f t="shared" ref="AN34:AO36" si="20">E34</f>
        <v>Husain MM (B)</v>
      </c>
      <c r="AO34">
        <f t="shared" si="20"/>
        <v>1991</v>
      </c>
      <c r="AP34" t="str">
        <f t="shared" ref="AP34:AP39" si="21">CONCATENATE(AN34," ",AO34)</f>
        <v>Husain MM (B) 1991</v>
      </c>
      <c r="AQ34">
        <f t="shared" ref="AQ34:AQ39" si="22">INT(H34)</f>
        <v>41</v>
      </c>
      <c r="AR34">
        <f t="shared" ref="AR34:AS36" si="23">J34</f>
        <v>3.8</v>
      </c>
      <c r="AS34">
        <f t="shared" si="23"/>
        <v>1.2</v>
      </c>
      <c r="AT34">
        <f t="shared" ref="AT34:AT39" si="24">INT(I34)</f>
        <v>44</v>
      </c>
      <c r="AU34">
        <f t="shared" ref="AU34:AV36" si="25">L34</f>
        <v>4.9000000000000004</v>
      </c>
      <c r="AV34">
        <f t="shared" si="25"/>
        <v>1.45</v>
      </c>
      <c r="AW34" s="65">
        <f t="shared" ref="AW34:AW39" si="26">O34</f>
        <v>-0.81627354182474421</v>
      </c>
      <c r="AX34">
        <f t="shared" ref="AX34:AX39" si="27">SQRT(P34)</f>
        <v>0.22633481967847899</v>
      </c>
      <c r="AY34" t="str">
        <f>$F$3</f>
        <v>Pooled SD</v>
      </c>
    </row>
    <row r="35" spans="5:51">
      <c r="E35" t="str">
        <f t="shared" si="1"/>
        <v>Lenze EJ (B)</v>
      </c>
      <c r="F35">
        <f t="shared" si="1"/>
        <v>1999</v>
      </c>
      <c r="G35">
        <v>5</v>
      </c>
      <c r="H35">
        <f t="shared" si="2"/>
        <v>24</v>
      </c>
      <c r="I35">
        <f t="shared" si="2"/>
        <v>24</v>
      </c>
      <c r="J35">
        <f t="shared" si="3"/>
        <v>3.86</v>
      </c>
      <c r="K35">
        <f t="shared" si="3"/>
        <v>0.55000000000000004</v>
      </c>
      <c r="L35">
        <f t="shared" si="3"/>
        <v>3.79</v>
      </c>
      <c r="M35">
        <f t="shared" si="3"/>
        <v>0.48</v>
      </c>
      <c r="N35">
        <f t="shared" si="4"/>
        <v>0.5161879502661797</v>
      </c>
      <c r="O35" s="59">
        <f t="shared" si="5"/>
        <v>0.13338641279961791</v>
      </c>
      <c r="P35" s="63">
        <f t="shared" si="6"/>
        <v>8.3535239088207938E-2</v>
      </c>
      <c r="Q35" s="59">
        <f t="shared" si="7"/>
        <v>0.56648828273959873</v>
      </c>
      <c r="R35" s="59">
        <f t="shared" si="8"/>
        <v>11.970995844568819</v>
      </c>
      <c r="S35" s="59">
        <f t="shared" si="9"/>
        <v>1.596768193346167</v>
      </c>
      <c r="T35" s="59">
        <f t="shared" si="10"/>
        <v>0.21298718138297196</v>
      </c>
      <c r="U35" s="23">
        <f t="shared" si="11"/>
        <v>143.30474151068393</v>
      </c>
      <c r="V35" s="59">
        <f t="shared" si="12"/>
        <v>6.6521870801152385</v>
      </c>
      <c r="W35" s="59">
        <f t="shared" si="13"/>
        <v>0.88731137188853615</v>
      </c>
      <c r="AF35" s="59">
        <f t="shared" si="14"/>
        <v>0.13338641279961791</v>
      </c>
      <c r="AG35" s="59">
        <f t="shared" si="15"/>
        <v>0.56648828273959873</v>
      </c>
      <c r="AH35" s="59">
        <f t="shared" si="16"/>
        <v>0.56648828273959873</v>
      </c>
      <c r="AJ35">
        <f t="shared" si="17"/>
        <v>0.28902463405081569</v>
      </c>
      <c r="AK35">
        <f t="shared" si="18"/>
        <v>3.4599126932003386</v>
      </c>
      <c r="AL35">
        <f t="shared" si="19"/>
        <v>0.46150534274585814</v>
      </c>
      <c r="AN35" t="str">
        <f t="shared" si="20"/>
        <v>Lenze EJ (B)</v>
      </c>
      <c r="AO35">
        <f t="shared" si="20"/>
        <v>1999</v>
      </c>
      <c r="AP35" t="str">
        <f t="shared" si="21"/>
        <v>Lenze EJ (B) 1999</v>
      </c>
      <c r="AQ35">
        <f t="shared" si="22"/>
        <v>24</v>
      </c>
      <c r="AR35">
        <f t="shared" si="23"/>
        <v>3.86</v>
      </c>
      <c r="AS35">
        <f t="shared" si="23"/>
        <v>0.55000000000000004</v>
      </c>
      <c r="AT35">
        <f t="shared" si="24"/>
        <v>24</v>
      </c>
      <c r="AU35">
        <f t="shared" si="25"/>
        <v>3.79</v>
      </c>
      <c r="AV35">
        <f t="shared" si="25"/>
        <v>0.48</v>
      </c>
      <c r="AW35" s="65">
        <f t="shared" si="26"/>
        <v>0.13338641279961791</v>
      </c>
      <c r="AX35">
        <f t="shared" si="27"/>
        <v>0.28902463405081569</v>
      </c>
      <c r="AY35" t="str">
        <f>$F$5</f>
        <v>H Correction</v>
      </c>
    </row>
    <row r="36" spans="5:51">
      <c r="E36" t="str">
        <f t="shared" si="1"/>
        <v>Lacerda AL</v>
      </c>
      <c r="F36">
        <f t="shared" si="1"/>
        <v>2003</v>
      </c>
      <c r="G36">
        <v>4</v>
      </c>
      <c r="H36">
        <f t="shared" si="2"/>
        <v>25</v>
      </c>
      <c r="I36">
        <f t="shared" si="2"/>
        <v>48</v>
      </c>
      <c r="J36">
        <f t="shared" si="3"/>
        <v>3.05</v>
      </c>
      <c r="K36">
        <f t="shared" si="3"/>
        <v>0.84</v>
      </c>
      <c r="L36">
        <f t="shared" si="3"/>
        <v>3.23</v>
      </c>
      <c r="M36">
        <f t="shared" si="3"/>
        <v>0.84</v>
      </c>
      <c r="N36">
        <f t="shared" si="4"/>
        <v>0.84</v>
      </c>
      <c r="O36" s="59">
        <f t="shared" si="5"/>
        <v>-0.21201413427561858</v>
      </c>
      <c r="P36" s="63">
        <f t="shared" si="6"/>
        <v>6.115877492855952E-2</v>
      </c>
      <c r="Q36" s="59">
        <f t="shared" si="7"/>
        <v>0.48471388443653463</v>
      </c>
      <c r="R36" s="59">
        <f t="shared" si="8"/>
        <v>16.350883436892172</v>
      </c>
      <c r="S36" s="59">
        <f t="shared" si="9"/>
        <v>-3.4666183965142445</v>
      </c>
      <c r="T36" s="59">
        <f t="shared" si="10"/>
        <v>0.73497209820090059</v>
      </c>
      <c r="U36" s="23">
        <f t="shared" si="11"/>
        <v>267.35138916683474</v>
      </c>
      <c r="V36" s="59">
        <f t="shared" si="12"/>
        <v>7.8155507712312939</v>
      </c>
      <c r="W36" s="59">
        <f t="shared" si="13"/>
        <v>-1.6570072306497459</v>
      </c>
      <c r="AF36" s="59">
        <f t="shared" si="14"/>
        <v>-0.21201413427561858</v>
      </c>
      <c r="AG36" s="59">
        <f t="shared" si="15"/>
        <v>0.48471388443653463</v>
      </c>
      <c r="AH36" s="59">
        <f t="shared" si="16"/>
        <v>0.48471388443653463</v>
      </c>
      <c r="AJ36">
        <f t="shared" si="17"/>
        <v>0.24730300226353807</v>
      </c>
      <c r="AK36">
        <f t="shared" si="18"/>
        <v>4.0436225636045915</v>
      </c>
      <c r="AL36">
        <f t="shared" si="19"/>
        <v>-0.85730513715998491</v>
      </c>
      <c r="AN36" t="str">
        <f t="shared" si="20"/>
        <v>Lacerda AL</v>
      </c>
      <c r="AO36">
        <f t="shared" si="20"/>
        <v>2003</v>
      </c>
      <c r="AP36" t="str">
        <f t="shared" si="21"/>
        <v>Lacerda AL 2003</v>
      </c>
      <c r="AQ36">
        <f t="shared" si="22"/>
        <v>25</v>
      </c>
      <c r="AR36">
        <f t="shared" si="23"/>
        <v>3.05</v>
      </c>
      <c r="AS36">
        <f t="shared" si="23"/>
        <v>0.84</v>
      </c>
      <c r="AT36">
        <f t="shared" si="24"/>
        <v>48</v>
      </c>
      <c r="AU36">
        <f t="shared" si="25"/>
        <v>3.23</v>
      </c>
      <c r="AV36">
        <f t="shared" si="25"/>
        <v>0.84</v>
      </c>
      <c r="AW36" s="65">
        <f t="shared" si="26"/>
        <v>-0.21201413427561858</v>
      </c>
      <c r="AX36">
        <f t="shared" si="27"/>
        <v>0.24730300226353807</v>
      </c>
    </row>
    <row r="37" spans="5:51">
      <c r="E37" t="str">
        <f t="shared" ref="E37:F39" si="28">E27</f>
        <v>Matsuo K</v>
      </c>
      <c r="F37">
        <f t="shared" si="28"/>
        <v>2008</v>
      </c>
      <c r="G37">
        <v>3</v>
      </c>
      <c r="H37">
        <f t="shared" ref="H37:I39" si="29">H27</f>
        <v>27</v>
      </c>
      <c r="I37">
        <f t="shared" si="29"/>
        <v>26</v>
      </c>
      <c r="J37">
        <f t="shared" ref="J37:M39" si="30">IF($D$4="Total",T27,IF($D$4="Left",L27,IF($D$4="Right",P27,"error")))</f>
        <v>3.58</v>
      </c>
      <c r="K37">
        <f t="shared" si="30"/>
        <v>0.62</v>
      </c>
      <c r="L37">
        <f t="shared" si="30"/>
        <v>3.8</v>
      </c>
      <c r="M37">
        <f t="shared" si="30"/>
        <v>0.57999999999999996</v>
      </c>
      <c r="N37">
        <f t="shared" si="4"/>
        <v>0.60072505211227389</v>
      </c>
      <c r="O37" s="59">
        <f t="shared" si="5"/>
        <v>-0.36081193502879982</v>
      </c>
      <c r="P37" s="63">
        <f t="shared" si="6"/>
        <v>7.6825371793512578E-2</v>
      </c>
      <c r="Q37" s="59">
        <f t="shared" si="7"/>
        <v>0.54326084736704339</v>
      </c>
      <c r="R37" s="59">
        <f t="shared" si="8"/>
        <v>13.016533166773996</v>
      </c>
      <c r="S37" s="59">
        <f t="shared" si="9"/>
        <v>-4.696520519270277</v>
      </c>
      <c r="T37" s="59">
        <f t="shared" si="10"/>
        <v>1.6945606564603723</v>
      </c>
      <c r="U37" s="23">
        <f t="shared" si="11"/>
        <v>169.43013568172748</v>
      </c>
      <c r="V37" s="59">
        <f t="shared" si="12"/>
        <v>6.9629818100682339</v>
      </c>
      <c r="W37" s="59">
        <f t="shared" si="13"/>
        <v>-2.5123269404610546</v>
      </c>
      <c r="AF37" s="59">
        <f t="shared" si="14"/>
        <v>-0.36081193502879982</v>
      </c>
      <c r="AG37" s="59">
        <f t="shared" si="15"/>
        <v>0.54326084736704339</v>
      </c>
      <c r="AH37" s="59">
        <f t="shared" si="16"/>
        <v>0.54326084736704339</v>
      </c>
      <c r="AJ37">
        <f t="shared" si="17"/>
        <v>0.27717390171787926</v>
      </c>
      <c r="AK37">
        <f t="shared" si="18"/>
        <v>3.6078432846749311</v>
      </c>
      <c r="AL37">
        <f t="shared" si="19"/>
        <v>-1.301752916824223</v>
      </c>
      <c r="AN37" t="str">
        <f t="shared" ref="AN37:AO39" si="31">E37</f>
        <v>Matsuo K</v>
      </c>
      <c r="AO37">
        <f t="shared" si="31"/>
        <v>2008</v>
      </c>
      <c r="AP37" t="str">
        <f t="shared" si="21"/>
        <v>Matsuo K 2008</v>
      </c>
      <c r="AQ37">
        <f t="shared" si="22"/>
        <v>27</v>
      </c>
      <c r="AR37">
        <f t="shared" ref="AR37:AS39" si="32">J37</f>
        <v>3.58</v>
      </c>
      <c r="AS37">
        <f t="shared" si="32"/>
        <v>0.62</v>
      </c>
      <c r="AT37">
        <f t="shared" si="24"/>
        <v>26</v>
      </c>
      <c r="AU37">
        <f t="shared" ref="AU37:AV39" si="33">L37</f>
        <v>3.8</v>
      </c>
      <c r="AV37">
        <f t="shared" si="33"/>
        <v>0.57999999999999996</v>
      </c>
      <c r="AW37" s="65">
        <f t="shared" si="26"/>
        <v>-0.36081193502879982</v>
      </c>
      <c r="AX37">
        <f t="shared" si="27"/>
        <v>0.27717390171787926</v>
      </c>
    </row>
    <row r="38" spans="5:51">
      <c r="E38" t="str">
        <f t="shared" si="28"/>
        <v>Pan CC</v>
      </c>
      <c r="F38">
        <f t="shared" si="28"/>
        <v>2009</v>
      </c>
      <c r="G38">
        <v>2</v>
      </c>
      <c r="H38">
        <f t="shared" si="29"/>
        <v>170</v>
      </c>
      <c r="I38">
        <f t="shared" si="29"/>
        <v>83</v>
      </c>
      <c r="J38">
        <f t="shared" si="30"/>
        <v>3.61</v>
      </c>
      <c r="K38">
        <f t="shared" si="30"/>
        <v>0.76</v>
      </c>
      <c r="L38">
        <f t="shared" si="30"/>
        <v>3.65</v>
      </c>
      <c r="M38">
        <f t="shared" si="30"/>
        <v>0.63</v>
      </c>
      <c r="N38">
        <f t="shared" si="4"/>
        <v>0.72011563923063204</v>
      </c>
      <c r="O38" s="59">
        <f t="shared" si="5"/>
        <v>-5.5380492730081964E-2</v>
      </c>
      <c r="P38" s="63">
        <f t="shared" si="6"/>
        <v>1.7936702861090462E-2</v>
      </c>
      <c r="Q38" s="59">
        <f t="shared" si="7"/>
        <v>0.26249883373296179</v>
      </c>
      <c r="R38" s="59">
        <f t="shared" si="8"/>
        <v>55.751606510094412</v>
      </c>
      <c r="S38" s="59">
        <f t="shared" si="9"/>
        <v>-3.0875514390226737</v>
      </c>
      <c r="T38" s="59">
        <f t="shared" si="10"/>
        <v>0.17099012002254929</v>
      </c>
      <c r="U38" s="23">
        <f t="shared" si="11"/>
        <v>3108.2416284564015</v>
      </c>
      <c r="V38" s="59">
        <f t="shared" si="12"/>
        <v>11.80247886790154</v>
      </c>
      <c r="W38" s="59">
        <f t="shared" si="13"/>
        <v>-0.65362709514076722</v>
      </c>
      <c r="AF38" s="59">
        <f t="shared" si="14"/>
        <v>-5.5380492730081964E-2</v>
      </c>
      <c r="AG38" s="59">
        <f t="shared" si="15"/>
        <v>0.26249883373296179</v>
      </c>
      <c r="AH38" s="59">
        <f t="shared" si="16"/>
        <v>0.26249883373296179</v>
      </c>
      <c r="AJ38">
        <f t="shared" si="17"/>
        <v>0.13392797639436826</v>
      </c>
      <c r="AK38">
        <f t="shared" si="18"/>
        <v>7.4666998406320317</v>
      </c>
      <c r="AL38">
        <f t="shared" si="19"/>
        <v>-0.41350951624182636</v>
      </c>
      <c r="AN38" t="str">
        <f t="shared" si="31"/>
        <v>Pan CC</v>
      </c>
      <c r="AO38">
        <f t="shared" si="31"/>
        <v>2009</v>
      </c>
      <c r="AP38" t="str">
        <f t="shared" si="21"/>
        <v>Pan CC 2009</v>
      </c>
      <c r="AQ38">
        <f t="shared" si="22"/>
        <v>170</v>
      </c>
      <c r="AR38">
        <f t="shared" si="32"/>
        <v>3.61</v>
      </c>
      <c r="AS38">
        <f t="shared" si="32"/>
        <v>0.76</v>
      </c>
      <c r="AT38">
        <f t="shared" si="24"/>
        <v>83</v>
      </c>
      <c r="AU38">
        <f t="shared" si="33"/>
        <v>3.65</v>
      </c>
      <c r="AV38">
        <f t="shared" si="33"/>
        <v>0.63</v>
      </c>
      <c r="AW38" s="65">
        <f t="shared" si="26"/>
        <v>-5.5380492730081964E-2</v>
      </c>
      <c r="AX38">
        <f t="shared" si="27"/>
        <v>0.13392797639436826</v>
      </c>
    </row>
    <row r="39" spans="5:51">
      <c r="E39" t="str">
        <f t="shared" si="28"/>
        <v>Pizzagalli DA</v>
      </c>
      <c r="F39">
        <f t="shared" si="28"/>
        <v>2009</v>
      </c>
      <c r="G39">
        <v>1</v>
      </c>
      <c r="H39">
        <f t="shared" si="29"/>
        <v>26</v>
      </c>
      <c r="I39">
        <f t="shared" si="29"/>
        <v>31</v>
      </c>
      <c r="J39">
        <f t="shared" si="30"/>
        <v>5550</v>
      </c>
      <c r="K39">
        <f t="shared" si="30"/>
        <v>697</v>
      </c>
      <c r="L39">
        <f t="shared" si="30"/>
        <v>5472</v>
      </c>
      <c r="M39">
        <f t="shared" si="30"/>
        <v>732</v>
      </c>
      <c r="N39">
        <f t="shared" si="4"/>
        <v>716.30294505251698</v>
      </c>
      <c r="O39" s="59">
        <f t="shared" si="5"/>
        <v>0.10740079652146999</v>
      </c>
      <c r="P39" s="63">
        <f t="shared" si="6"/>
        <v>7.082830002905692E-2</v>
      </c>
      <c r="Q39" s="59">
        <f t="shared" si="7"/>
        <v>0.52162630051754966</v>
      </c>
      <c r="R39" s="59">
        <f t="shared" si="8"/>
        <v>14.118650307712532</v>
      </c>
      <c r="S39" s="59">
        <f t="shared" si="9"/>
        <v>1.5163542888564232</v>
      </c>
      <c r="T39" s="59">
        <f t="shared" si="10"/>
        <v>0.16285765843192701</v>
      </c>
      <c r="U39" s="23">
        <f t="shared" si="11"/>
        <v>199.33628651147117</v>
      </c>
      <c r="V39" s="59">
        <f t="shared" si="12"/>
        <v>7.2664088910313289</v>
      </c>
      <c r="W39" s="59">
        <f t="shared" si="13"/>
        <v>0.78041810274745615</v>
      </c>
      <c r="AF39" s="59">
        <f t="shared" si="14"/>
        <v>0.10740079652146999</v>
      </c>
      <c r="AG39" s="59">
        <f t="shared" si="15"/>
        <v>0.52162630051754966</v>
      </c>
      <c r="AH39" s="59">
        <f t="shared" si="16"/>
        <v>0.52162630051754966</v>
      </c>
      <c r="AJ39">
        <f t="shared" si="17"/>
        <v>0.26613586761099473</v>
      </c>
      <c r="AK39">
        <f t="shared" si="18"/>
        <v>3.7574792491393127</v>
      </c>
      <c r="AL39">
        <f t="shared" si="19"/>
        <v>0.40355626427045715</v>
      </c>
      <c r="AN39" t="str">
        <f t="shared" si="31"/>
        <v>Pizzagalli DA</v>
      </c>
      <c r="AO39">
        <f t="shared" si="31"/>
        <v>2009</v>
      </c>
      <c r="AP39" t="str">
        <f t="shared" si="21"/>
        <v>Pizzagalli DA 2009</v>
      </c>
      <c r="AQ39">
        <f t="shared" si="22"/>
        <v>26</v>
      </c>
      <c r="AR39">
        <f t="shared" si="32"/>
        <v>5550</v>
      </c>
      <c r="AS39">
        <f t="shared" si="32"/>
        <v>697</v>
      </c>
      <c r="AT39">
        <f t="shared" si="24"/>
        <v>31</v>
      </c>
      <c r="AU39">
        <f t="shared" si="33"/>
        <v>5472</v>
      </c>
      <c r="AV39">
        <f t="shared" si="33"/>
        <v>732</v>
      </c>
      <c r="AW39" s="65">
        <f t="shared" si="26"/>
        <v>0.10740079652146999</v>
      </c>
      <c r="AX39">
        <f t="shared" si="27"/>
        <v>0.26613586761099473</v>
      </c>
    </row>
    <row r="40" spans="5:51">
      <c r="U40" s="23"/>
    </row>
    <row r="41" spans="5:51">
      <c r="L41" t="s">
        <v>500</v>
      </c>
      <c r="N41" s="7"/>
      <c r="O41" s="66">
        <f>COUNT(O34:O39)</f>
        <v>6</v>
      </c>
      <c r="Q41" t="s">
        <v>885</v>
      </c>
      <c r="R41" s="59">
        <f t="shared" ref="R41:W41" si="34">SUM(R34:R39)</f>
        <v>130.72945330485717</v>
      </c>
      <c r="S41" s="59">
        <f t="shared" si="34"/>
        <v>-24.071867399164251</v>
      </c>
      <c r="T41" s="59">
        <f t="shared" si="34"/>
        <v>15.983114825539911</v>
      </c>
      <c r="U41" s="23">
        <f t="shared" si="34"/>
        <v>4268.7251908171829</v>
      </c>
      <c r="V41" s="59">
        <f t="shared" si="34"/>
        <v>48.972840084892297</v>
      </c>
      <c r="W41" s="59">
        <f t="shared" si="34"/>
        <v>-10.07170742940856</v>
      </c>
    </row>
    <row r="42" spans="5:51">
      <c r="L42" t="s">
        <v>501</v>
      </c>
      <c r="N42" s="7"/>
      <c r="O42" s="2">
        <v>0</v>
      </c>
    </row>
    <row r="43" spans="5:51">
      <c r="N43" s="7"/>
      <c r="O43" s="7"/>
    </row>
    <row r="44" spans="5:51">
      <c r="G44" s="67" t="s">
        <v>502</v>
      </c>
      <c r="H44" s="40"/>
      <c r="I44" s="40">
        <f>S41/R41</f>
        <v>-0.18413499628908703</v>
      </c>
      <c r="J44" s="40"/>
      <c r="K44" s="68" t="s">
        <v>879</v>
      </c>
      <c r="L44" s="40"/>
      <c r="M44" s="42"/>
      <c r="N44" s="7"/>
      <c r="O44" s="69" t="s">
        <v>503</v>
      </c>
      <c r="P44" s="70">
        <f>T41-((S41^2)/R41)</f>
        <v>11.550641611323407</v>
      </c>
      <c r="Q44" s="71" t="s">
        <v>824</v>
      </c>
      <c r="R44" s="28"/>
      <c r="S44" s="29"/>
      <c r="T44" s="30"/>
      <c r="U44" s="31"/>
      <c r="AF44" s="2" t="s">
        <v>1518</v>
      </c>
    </row>
    <row r="45" spans="5:51">
      <c r="G45" s="43" t="s">
        <v>504</v>
      </c>
      <c r="H45" s="31"/>
      <c r="I45" s="31">
        <f>1/R41</f>
        <v>7.649385618312271E-3</v>
      </c>
      <c r="J45" s="31"/>
      <c r="K45" s="31"/>
      <c r="L45" s="31"/>
      <c r="M45" s="44"/>
      <c r="N45" s="7"/>
      <c r="O45" s="30" t="s">
        <v>505</v>
      </c>
      <c r="P45" s="31">
        <f>CHIDIST(P44,I49-1)</f>
        <v>4.1491718886056746E-2</v>
      </c>
      <c r="Q45" s="31"/>
      <c r="R45" s="31"/>
      <c r="S45" s="34"/>
      <c r="T45" s="30"/>
      <c r="U45" s="31"/>
      <c r="AF45" s="2"/>
    </row>
    <row r="46" spans="5:51">
      <c r="G46" s="72" t="s">
        <v>506</v>
      </c>
      <c r="H46" s="31"/>
      <c r="I46" s="31">
        <f>$R$56*SQRT(I45)</f>
        <v>0.17142310168500752</v>
      </c>
      <c r="J46" s="31"/>
      <c r="K46" s="31" t="s">
        <v>507</v>
      </c>
      <c r="L46" s="31"/>
      <c r="M46" s="44">
        <f>ABS(I44/SQRT(I45))</f>
        <v>2.1053439657729336</v>
      </c>
      <c r="N46" s="7"/>
      <c r="O46" s="35" t="s">
        <v>508</v>
      </c>
      <c r="P46" s="37">
        <f>IF(((P44-(I49-1))/P44)&lt;0,0,100*((P44-(I49-1))/P44))</f>
        <v>56.712361371351314</v>
      </c>
      <c r="Q46" s="36"/>
      <c r="R46" s="36"/>
      <c r="S46" s="38"/>
      <c r="T46" s="30"/>
      <c r="U46" s="31"/>
      <c r="AF46" s="2" t="s">
        <v>1535</v>
      </c>
      <c r="AH46">
        <f>IF($D$6=1,100*((EXP(I44))-1),I44)</f>
        <v>-0.18413499628908703</v>
      </c>
    </row>
    <row r="47" spans="5:51">
      <c r="G47" s="45" t="s">
        <v>509</v>
      </c>
      <c r="H47" s="46"/>
      <c r="I47" s="46">
        <v>-2</v>
      </c>
      <c r="J47" s="46"/>
      <c r="K47" s="46" t="s">
        <v>825</v>
      </c>
      <c r="L47" s="46"/>
      <c r="M47" s="47">
        <f>2*(1-NORMDIST(M46,0,1,1))</f>
        <v>3.5261377614354661E-2</v>
      </c>
      <c r="N47" s="7"/>
      <c r="O47" s="7"/>
      <c r="AF47" s="79" t="s">
        <v>834</v>
      </c>
      <c r="AH47">
        <f>IF($D$6=1,100*(EXP(I44+I46)-EXP(I44)),I46)</f>
        <v>0.17142310168500752</v>
      </c>
    </row>
    <row r="48" spans="5:51">
      <c r="G48" s="40"/>
      <c r="H48" s="40"/>
      <c r="I48" s="40"/>
      <c r="J48" s="40"/>
      <c r="K48" s="40"/>
      <c r="L48" s="40"/>
      <c r="M48" s="40"/>
      <c r="N48" s="7"/>
      <c r="O48" s="7"/>
      <c r="AF48" s="79" t="s">
        <v>835</v>
      </c>
      <c r="AH48">
        <f>IF($D$6=1,100*(EXP(I44)-EXP(I44-I46)),I46)</f>
        <v>0.17142310168500752</v>
      </c>
    </row>
    <row r="49" spans="7:34">
      <c r="G49" s="73" t="s">
        <v>1110</v>
      </c>
      <c r="H49" s="74"/>
      <c r="I49" s="74">
        <f>O41</f>
        <v>6</v>
      </c>
      <c r="J49" s="74"/>
      <c r="K49" s="75" t="s">
        <v>1167</v>
      </c>
      <c r="L49" s="74"/>
      <c r="M49" s="76"/>
      <c r="N49" s="77"/>
      <c r="O49" s="101" t="s">
        <v>1513</v>
      </c>
      <c r="P49" s="102"/>
      <c r="Q49" s="103"/>
      <c r="AF49" s="7"/>
    </row>
    <row r="50" spans="7:34">
      <c r="G50" s="77" t="s">
        <v>1531</v>
      </c>
      <c r="H50" s="31"/>
      <c r="I50" s="31">
        <f>R41/I49</f>
        <v>21.788242217476196</v>
      </c>
      <c r="J50" s="31"/>
      <c r="K50" s="31"/>
      <c r="L50" s="31"/>
      <c r="M50" s="78"/>
      <c r="N50" s="77"/>
      <c r="O50" s="104" t="s">
        <v>1514</v>
      </c>
      <c r="P50" s="31"/>
      <c r="Q50" s="105">
        <f>INDEX(LINEST(AL34:AL39,AK34:AK39,TRUE,TRUE),1,2)</f>
        <v>-0.73867705316086507</v>
      </c>
      <c r="AF50" s="2" t="s">
        <v>1687</v>
      </c>
      <c r="AH50">
        <f>IF($D$6=1,100*((EXP(I55))-1),I55)</f>
        <v>-0.20565904309306324</v>
      </c>
    </row>
    <row r="51" spans="7:34">
      <c r="G51" s="77" t="s">
        <v>1532</v>
      </c>
      <c r="H51" s="31"/>
      <c r="I51" s="31">
        <f>(1/(I49-1))*(U41-(I49*I50^2))</f>
        <v>284.07203945054215</v>
      </c>
      <c r="J51" s="31"/>
      <c r="K51" s="31"/>
      <c r="L51" s="31"/>
      <c r="M51" s="78"/>
      <c r="N51" s="77"/>
      <c r="O51" s="104" t="s">
        <v>1516</v>
      </c>
      <c r="P51" s="31"/>
      <c r="Q51" s="105">
        <f>INDEX(LINEST(AL34:AL39,AK34:AK39,TRUE,TRUE),2,2)</f>
        <v>2.3163814984111966</v>
      </c>
      <c r="AF51" s="79" t="s">
        <v>834</v>
      </c>
      <c r="AG51" s="7"/>
      <c r="AH51">
        <f>IF($D$6=1,100*(EXP(I55+I57)-EXP(I55)),I57)</f>
        <v>0.28007763203158531</v>
      </c>
    </row>
    <row r="52" spans="7:34">
      <c r="G52" s="77" t="s">
        <v>1669</v>
      </c>
      <c r="H52" s="31"/>
      <c r="I52" s="31">
        <f>(I49-1)*(I50-(I51/(I49*I50)))</f>
        <v>98.076328221692904</v>
      </c>
      <c r="J52" s="31"/>
      <c r="K52" s="31"/>
      <c r="L52" s="31"/>
      <c r="M52" s="78"/>
      <c r="N52" s="77"/>
      <c r="O52" s="104" t="s">
        <v>1349</v>
      </c>
      <c r="P52" s="31"/>
      <c r="Q52" s="105">
        <f>ABS(Q50/Q51)</f>
        <v>0.31889265808223854</v>
      </c>
      <c r="AF52" s="79" t="s">
        <v>835</v>
      </c>
      <c r="AH52">
        <f>IF($D$6=1,100*(EXP(I55)-EXP(I55-I57)),I57)</f>
        <v>0.28007763203158531</v>
      </c>
    </row>
    <row r="53" spans="7:34">
      <c r="G53" s="77" t="s">
        <v>1685</v>
      </c>
      <c r="H53" s="31"/>
      <c r="I53" s="31">
        <f>IF(P44&gt;(I49-1),(P44-(I49-1))/I52,0)</f>
        <v>6.6791260746591752E-2</v>
      </c>
      <c r="J53" s="31"/>
      <c r="K53" s="31"/>
      <c r="L53" s="31"/>
      <c r="M53" s="78"/>
      <c r="N53" s="77"/>
      <c r="O53" s="106" t="s">
        <v>1515</v>
      </c>
      <c r="P53" s="107"/>
      <c r="Q53" s="108">
        <f>TDIST(Q52,I49-2,2)</f>
        <v>0.76576586381220324</v>
      </c>
    </row>
    <row r="54" spans="7:34">
      <c r="G54" s="77"/>
      <c r="H54" s="31"/>
      <c r="I54" s="31"/>
      <c r="J54" s="31"/>
      <c r="K54" s="31"/>
      <c r="L54" s="31"/>
      <c r="M54" s="78"/>
      <c r="N54" s="77"/>
    </row>
    <row r="55" spans="7:34">
      <c r="G55" s="77" t="s">
        <v>1686</v>
      </c>
      <c r="H55" s="31"/>
      <c r="I55" s="31">
        <f>W41/V41</f>
        <v>-0.20565904309306324</v>
      </c>
      <c r="J55" s="31"/>
      <c r="N55" s="77"/>
    </row>
    <row r="56" spans="7:34">
      <c r="G56" s="77" t="s">
        <v>504</v>
      </c>
      <c r="H56" s="31"/>
      <c r="I56" s="31">
        <f>1/V41</f>
        <v>2.0419481456794078E-2</v>
      </c>
      <c r="J56" s="31"/>
      <c r="N56" s="77"/>
      <c r="O56" t="s">
        <v>805</v>
      </c>
      <c r="R56">
        <v>1.96</v>
      </c>
    </row>
    <row r="57" spans="7:34">
      <c r="G57" s="80" t="s">
        <v>506</v>
      </c>
      <c r="H57" s="31"/>
      <c r="I57" s="31">
        <f>$R$56*SQRT(I56)</f>
        <v>0.28007763203158531</v>
      </c>
      <c r="J57" s="31"/>
      <c r="K57" s="31" t="s">
        <v>507</v>
      </c>
      <c r="L57" s="31"/>
      <c r="M57" s="78">
        <f>ABS(I55/(SQRT(I56)))</f>
        <v>1.4392142690528955</v>
      </c>
      <c r="N57" s="77"/>
    </row>
    <row r="58" spans="7:34">
      <c r="G58" s="81" t="s">
        <v>509</v>
      </c>
      <c r="H58" s="82"/>
      <c r="I58" s="82">
        <v>-3</v>
      </c>
      <c r="J58" s="82"/>
      <c r="K58" s="31" t="s">
        <v>825</v>
      </c>
      <c r="L58" s="31"/>
      <c r="M58" s="78">
        <f>2*(1-NORMDIST(M57,0,1,1))</f>
        <v>0.15008982379846758</v>
      </c>
      <c r="N58" s="77"/>
    </row>
    <row r="59" spans="7:34">
      <c r="G59" s="74"/>
      <c r="H59" s="74"/>
      <c r="I59" s="74"/>
      <c r="J59" s="74"/>
      <c r="K59" s="74"/>
      <c r="L59" s="74"/>
      <c r="M59" s="74"/>
      <c r="N59" s="31"/>
      <c r="O59" s="7"/>
    </row>
  </sheetData>
  <phoneticPr fontId="10" type="noConversion"/>
  <conditionalFormatting sqref="D17 D13 F13">
    <cfRule type="cellIs" dxfId="122" priority="0" stopIfTrue="1" operator="lessThan">
      <formula>0.05</formula>
    </cfRule>
  </conditionalFormatting>
  <conditionalFormatting sqref="D21">
    <cfRule type="cellIs" dxfId="12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sheetPr published="0" codeName="Sheet38" enableFormatConditionsCalculation="0"/>
  <dimension ref="A1:BM5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784</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I49-O42</f>
        <v>6</v>
      </c>
      <c r="AD7" s="89"/>
    </row>
    <row r="8" spans="2:30">
      <c r="B8" t="s">
        <v>822</v>
      </c>
      <c r="D8">
        <f>SUM(H24:H29)</f>
        <v>313</v>
      </c>
      <c r="AD8" s="89"/>
    </row>
    <row r="9" spans="2:30">
      <c r="B9" t="s">
        <v>823</v>
      </c>
      <c r="D9">
        <f>SUM(I24:I29)</f>
        <v>256</v>
      </c>
      <c r="AD9" s="89"/>
    </row>
    <row r="11" spans="2:30">
      <c r="B11" s="27" t="s">
        <v>516</v>
      </c>
      <c r="C11" s="28"/>
      <c r="D11" s="109">
        <f>P44</f>
        <v>12.043471764872052</v>
      </c>
      <c r="E11" s="110" t="s">
        <v>1513</v>
      </c>
      <c r="F11" s="103"/>
    </row>
    <row r="12" spans="2:30">
      <c r="B12" s="30" t="s">
        <v>826</v>
      </c>
      <c r="C12" s="31"/>
      <c r="D12" s="112">
        <f>P46</f>
        <v>58.483732119638354</v>
      </c>
      <c r="E12" s="31"/>
      <c r="F12" s="105"/>
    </row>
    <row r="13" spans="2:30">
      <c r="B13" s="35" t="s">
        <v>825</v>
      </c>
      <c r="C13" s="36"/>
      <c r="D13" s="113">
        <f>P45</f>
        <v>3.4196948216188038E-2</v>
      </c>
      <c r="E13" s="111" t="s">
        <v>825</v>
      </c>
      <c r="F13" s="115">
        <f>Q53</f>
        <v>0.73949687822867305</v>
      </c>
    </row>
    <row r="15" spans="2:30">
      <c r="B15" s="39" t="s">
        <v>879</v>
      </c>
      <c r="C15" s="40"/>
      <c r="D15" s="41">
        <f>AH46</f>
        <v>-0.20850473650127554</v>
      </c>
      <c r="E15" s="116"/>
    </row>
    <row r="16" spans="2:30">
      <c r="B16" s="43" t="s">
        <v>1165</v>
      </c>
      <c r="C16" s="31"/>
      <c r="D16" s="33">
        <f>AH46-AH48</f>
        <v>-0.3800777250147569</v>
      </c>
      <c r="E16" s="117">
        <f>AH46+AH47</f>
        <v>-3.6931747987794195E-2</v>
      </c>
    </row>
    <row r="17" spans="1:65">
      <c r="B17" s="45" t="s">
        <v>1166</v>
      </c>
      <c r="C17" s="46"/>
      <c r="D17" s="123">
        <f>M47</f>
        <v>1.7223687776014573E-2</v>
      </c>
      <c r="E17" s="118"/>
    </row>
    <row r="18" spans="1:65">
      <c r="D18" s="48"/>
      <c r="F18" s="49"/>
    </row>
    <row r="19" spans="1:65">
      <c r="B19" s="50" t="s">
        <v>1167</v>
      </c>
      <c r="C19" s="51"/>
      <c r="D19" s="52">
        <f>AH50</f>
        <v>-0.2323499840249757</v>
      </c>
      <c r="E19" s="120"/>
      <c r="F19" s="33"/>
      <c r="G19" s="31"/>
    </row>
    <row r="20" spans="1:65">
      <c r="B20" s="53" t="s">
        <v>1165</v>
      </c>
      <c r="C20" s="31"/>
      <c r="D20" s="33">
        <f>AH50-AH52</f>
        <v>-0.51860127094781105</v>
      </c>
      <c r="E20" s="121">
        <f>AH50+AH51</f>
        <v>5.390130289785966E-2</v>
      </c>
      <c r="F20" s="31"/>
      <c r="G20" s="31"/>
    </row>
    <row r="21" spans="1:65">
      <c r="B21" s="54" t="s">
        <v>1440</v>
      </c>
      <c r="C21" s="55"/>
      <c r="D21" s="114">
        <f>M58</f>
        <v>0.11162516599395578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3" t="s">
        <v>1908</v>
      </c>
      <c r="B24">
        <v>1763144</v>
      </c>
      <c r="C24" s="1" t="str">
        <f>IF($B24="","",HYPERLINK(IF(LEN(VLOOKUP($B24,Database!$B$1:$IX$10144,2,FALSE))=0,"",VLOOKUP($B24,Database!$B$1:$IX$10144,2,FALSE))))</f>
        <v/>
      </c>
      <c r="D24" s="1" t="str">
        <f t="shared" ref="D24:D29" si="0">IF($B24="","",HYPERLINK(CONCATENATE("http://www.ncbi.nlm.nih.gov/pubmed/",B24)))</f>
        <v>http://www.ncbi.nlm.nih.gov/pubmed/1763144</v>
      </c>
      <c r="E24" s="22" t="str">
        <f>IF($B24="","",IF(LEN(VLOOKUP($B24,Database!$B$1:$IX$10144,4,FALSE))=0,"",VLOOKUP($B24,Database!$B$1:$IX$10144,4,FALSE)))</f>
        <v>Husain MM (B)</v>
      </c>
      <c r="F24" s="22">
        <f>IF($B24="","",IF(LEN(VLOOKUP($B24,Database!$B$1:$IX$10144,5,FALSE))=0,"",VLOOKUP($B24,Database!$B$1:$IX$10144,5,FALSE)))</f>
        <v>1991</v>
      </c>
      <c r="G24" s="1" t="str">
        <f>IF($B24="","",HYPERLINK(IF(LEN(VLOOKUP($B24,Database!$B$1:$IX$10144,6,FALSE))=0,"",VLOOKUP($B24,Database!$B$1:$IX$10144,6,FALSE))))</f>
        <v>http://dx.doi.org/10.1016/0165-1781(91)90149-J</v>
      </c>
      <c r="H24" s="22">
        <f>IF($B24="","",IF(LEN(VLOOKUP($B24,Database!$B$1:$IX$10144,7,FALSE))=0,"",VLOOKUP($B24,Database!$B$1:$IX$10144,7,FALSE)))</f>
        <v>41</v>
      </c>
      <c r="I24" s="22">
        <f>IF($B24="","",IF(LEN(VLOOKUP($B24,Database!$B$1:$IX$10144,8,FALSE))=0,"",VLOOKUP($B24,Database!$B$1:$IX$10144,8,FALSE)))</f>
        <v>44</v>
      </c>
      <c r="J24" t="s">
        <v>562</v>
      </c>
      <c r="L24">
        <v>3.8</v>
      </c>
      <c r="M24">
        <v>1.2</v>
      </c>
      <c r="N24">
        <v>4.9000000000000004</v>
      </c>
      <c r="O24">
        <v>1.45</v>
      </c>
      <c r="P24">
        <v>3.7</v>
      </c>
      <c r="Q24">
        <v>1.2</v>
      </c>
      <c r="R24">
        <v>4.9000000000000004</v>
      </c>
      <c r="S24">
        <v>1.4</v>
      </c>
      <c r="T24">
        <v>7.5</v>
      </c>
      <c r="U24">
        <v>2.2400000000000002</v>
      </c>
      <c r="V24">
        <v>9.8000000000000007</v>
      </c>
      <c r="W24">
        <v>2.9</v>
      </c>
      <c r="X24" s="96"/>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55.3</v>
      </c>
      <c r="AC24" s="22">
        <f>IF(OR($B24="",AC$22=""),"",IF(LEN(VLOOKUP($B24,Database!$B$1:$IX$10144,AC$22,FALSE))=0,"",VLOOKUP($B24,Database!$B$1:$IX$10144,AC$22,FALSE)))</f>
        <v>18.8</v>
      </c>
      <c r="AD24" s="22">
        <f>IF(OR($B24="",AD$22=""),"",IF(LEN(VLOOKUP($B24,Database!$B$1:$IX$10144,AD$22,FALSE))=0,"",VLOOKUP($B24,Database!$B$1:$IX$10144,AD$22,FALSE)))</f>
        <v>56.4</v>
      </c>
      <c r="AE24" s="22">
        <f>IF(OR($B24="",AE$22=""),"",IF(LEN(VLOOKUP($B24,Database!$B$1:$IX$10144,AE$22,FALSE))=0,"",VLOOKUP($B24,Database!$B$1:$IX$10144,AE$22,FALSE)))</f>
        <v>19.2</v>
      </c>
      <c r="AF24" s="22" t="str">
        <f>IF(OR($B24="",AF$22=""),"",IF(LEN(VLOOKUP($B24,Database!$B$1:$IX$10144,AF$22,FALSE))=0,"",VLOOKUP($B24,Database!$B$1:$IX$10144,AF$22,FALSE)))</f>
        <v>ns</v>
      </c>
      <c r="AG24" s="22" t="str">
        <f>IF(OR($B24="",AG$22=""),"",IF(LEN(VLOOKUP($B24,Database!$B$1:$IX$10144,AG$22,FALSE))=0,"",VLOOKUP($B24,Database!$B$1:$IX$10144,AG$22,FALSE)))</f>
        <v>ns</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Husain MM, McDonald WM, Doraiswamy PM, Figiel GS, Na C, Escalona PR, Boyko OB, Nemeroff CB, Krishnan KR.</v>
      </c>
      <c r="AR24" s="13"/>
      <c r="AX24" s="13"/>
      <c r="AY24" s="13"/>
      <c r="AZ24" s="13"/>
      <c r="BA24" s="13"/>
      <c r="BC24" s="23"/>
      <c r="BF24" s="136"/>
      <c r="BG24" s="136"/>
      <c r="BH24" s="136"/>
      <c r="BI24" s="136"/>
    </row>
    <row r="25" spans="1:65">
      <c r="B25">
        <v>10588417</v>
      </c>
      <c r="C25" s="1" t="str">
        <f>IF($B25="","",HYPERLINK(IF(LEN(VLOOKUP($B25,Database!$B$1:$IX$10144,2,FALSE))=0,"",VLOOKUP($B25,Database!$B$1:$IX$10144,2,FALSE))))</f>
        <v/>
      </c>
      <c r="D25" s="1" t="str">
        <f t="shared" si="0"/>
        <v>http://www.ncbi.nlm.nih.gov/pubmed/10588417</v>
      </c>
      <c r="E25" s="22" t="str">
        <f>IF($B25="","",IF(LEN(VLOOKUP($B25,Database!$B$1:$IX$10144,4,FALSE))=0,"",VLOOKUP($B25,Database!$B$1:$IX$10144,4,FALSE)))</f>
        <v>Lenze EJ (B)</v>
      </c>
      <c r="F25" s="22">
        <f>IF($B25="","",IF(LEN(VLOOKUP($B25,Database!$B$1:$IX$10144,5,FALSE))=0,"",VLOOKUP($B25,Database!$B$1:$IX$10144,5,FALSE)))</f>
        <v>1999</v>
      </c>
      <c r="G25" s="1" t="str">
        <f>IF($B25="","",HYPERLINK(IF(LEN(VLOOKUP($B25,Database!$B$1:$IX$10144,6,FALSE))=0,"",VLOOKUP($B25,Database!$B$1:$IX$10144,6,FALSE))))</f>
        <v>http://ajp.psychiatryonline.org/cgi/reprint/156/12/1989</v>
      </c>
      <c r="H25" s="22">
        <f>IF($B25="","",IF(LEN(VLOOKUP($B25,Database!$B$1:$IX$10144,7,FALSE))=0,"",VLOOKUP($B25,Database!$B$1:$IX$10144,7,FALSE)))</f>
        <v>24</v>
      </c>
      <c r="I25" s="22">
        <f>IF($B25="","",IF(LEN(VLOOKUP($B25,Database!$B$1:$IX$10144,8,FALSE))=0,"",VLOOKUP($B25,Database!$B$1:$IX$10144,8,FALSE)))</f>
        <v>24</v>
      </c>
      <c r="J25" t="s">
        <v>556</v>
      </c>
      <c r="L25">
        <v>3.86</v>
      </c>
      <c r="M25">
        <v>0.55000000000000004</v>
      </c>
      <c r="N25">
        <v>3.79</v>
      </c>
      <c r="O25">
        <v>0.48</v>
      </c>
      <c r="P25">
        <v>3.93</v>
      </c>
      <c r="Q25">
        <v>0.64</v>
      </c>
      <c r="R25">
        <v>3.91</v>
      </c>
      <c r="S25">
        <v>0.62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53</v>
      </c>
      <c r="AC25" s="22" t="str">
        <f>IF(OR($B25="",AC$22=""),"",IF(LEN(VLOOKUP($B25,Database!$B$1:$IX$10144,AC$22,FALSE))=0,"",VLOOKUP($B25,Database!$B$1:$IX$10144,AC$22,FALSE)))</f>
        <v>ns</v>
      </c>
      <c r="AD25" s="22">
        <f>IF(OR($B25="",AD$22=""),"",IF(LEN(VLOOKUP($B25,Database!$B$1:$IX$10144,AD$22,FALSE))=0,"",VLOOKUP($B25,Database!$B$1:$IX$10144,AD$22,FALSE)))</f>
        <v>53</v>
      </c>
      <c r="AE25" s="22" t="str">
        <f>IF(OR($B25="",AE$22=""),"",IF(LEN(VLOOKUP($B25,Database!$B$1:$IX$10144,AE$22,FALSE))=0,"",VLOOKUP($B25,Database!$B$1:$IX$10144,AE$22,FALSE)))</f>
        <v>ns</v>
      </c>
      <c r="AF25" s="22">
        <f>IF(OR($B25="",AF$22=""),"",IF(LEN(VLOOKUP($B25,Database!$B$1:$IX$10144,AF$22,FALSE))=0,"",VLOOKUP($B25,Database!$B$1:$IX$10144,AF$22,FALSE)))</f>
        <v>24</v>
      </c>
      <c r="AG25" s="22">
        <f>IF(OR($B25="",AG$22=""),"",IF(LEN(VLOOKUP($B25,Database!$B$1:$IX$10144,AG$22,FALSE))=0,"",VLOOKUP($B25,Database!$B$1:$IX$10144,AG$22,FALSE)))</f>
        <v>24</v>
      </c>
      <c r="AH25" s="22" t="str">
        <f>IF(OR($B25="",AH$22=""),"",IF(LEN(VLOOKUP($B25,Database!$B$1:$IX$10144,AH$22,FALSE))=0,"",VLOOKUP($B25,Database!$B$1:$IX$10144,AH$22,FALSE)))</f>
        <v/>
      </c>
      <c r="AI25" s="22">
        <f>IF(OR($B25="",AI$22=""),"",IF(LEN(VLOOKUP($B25,Database!$B$1:$IX$10144,AI$22,FALSE))=0,"",VLOOKUP($B25,Database!$B$1:$IX$10144,AI$22,FALSE)))</f>
        <v>1.25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Lenze EJ, Sheline YI.</v>
      </c>
      <c r="AR25" s="13"/>
      <c r="AX25" s="13"/>
      <c r="AY25" s="13"/>
      <c r="AZ25" s="13"/>
      <c r="BA25" s="13"/>
      <c r="BC25" s="23"/>
      <c r="BF25" s="136"/>
      <c r="BG25" s="136"/>
      <c r="BH25" s="136"/>
      <c r="BI25" s="136"/>
    </row>
    <row r="26" spans="1:65">
      <c r="A26" s="13" t="s">
        <v>2334</v>
      </c>
      <c r="B26">
        <v>14623065</v>
      </c>
      <c r="C26" s="1" t="str">
        <f>IF($B26="","",HYPERLINK(IF(LEN(VLOOKUP($B26,Database!$B$1:$IX$10144,2,FALSE))=0,"",VLOOKUP($B26,Database!$B$1:$IX$10144,2,FALSE))))</f>
        <v/>
      </c>
      <c r="D26" s="1" t="str">
        <f t="shared" si="0"/>
        <v>http://www.ncbi.nlm.nih.gov/pubmed/14623065</v>
      </c>
      <c r="E26" s="22" t="str">
        <f>IF($B26="","",IF(LEN(VLOOKUP($B26,Database!$B$1:$IX$10144,4,FALSE))=0,"",VLOOKUP($B26,Database!$B$1:$IX$10144,4,FALSE)))</f>
        <v>Lacerda AL</v>
      </c>
      <c r="F26" s="22">
        <f>IF($B26="","",IF(LEN(VLOOKUP($B26,Database!$B$1:$IX$10144,5,FALSE))=0,"",VLOOKUP($B26,Database!$B$1:$IX$10144,5,FALSE)))</f>
        <v>2003</v>
      </c>
      <c r="G26" s="1" t="str">
        <f>IF($B26="","",HYPERLINK(IF(LEN(VLOOKUP($B26,Database!$B$1:$IX$10144,6,FALSE))=0,"",VLOOKUP($B26,Database!$B$1:$IX$10144,6,FALSE))))</f>
        <v>http://dx.doi.org/10.1016/S0925-4927(03)00123-9</v>
      </c>
      <c r="H26" s="22">
        <f>IF($B26="","",IF(LEN(VLOOKUP($B26,Database!$B$1:$IX$10144,7,FALSE))=0,"",VLOOKUP($B26,Database!$B$1:$IX$10144,7,FALSE)))</f>
        <v>25</v>
      </c>
      <c r="I26" s="22">
        <f>IF($B26="","",IF(LEN(VLOOKUP($B26,Database!$B$1:$IX$10144,8,FALSE))=0,"",VLOOKUP($B26,Database!$B$1:$IX$10144,8,FALSE)))</f>
        <v>48</v>
      </c>
      <c r="J26" t="s">
        <v>556</v>
      </c>
      <c r="L26">
        <v>3.05</v>
      </c>
      <c r="M26">
        <v>0.84</v>
      </c>
      <c r="N26">
        <v>3.23</v>
      </c>
      <c r="O26">
        <v>0.84</v>
      </c>
      <c r="P26">
        <v>2.33</v>
      </c>
      <c r="Q26">
        <v>0.8</v>
      </c>
      <c r="R26">
        <v>2.4</v>
      </c>
      <c r="S26">
        <v>0.82</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41.2</v>
      </c>
      <c r="AC26" s="22">
        <f>IF(OR($B26="",AC$22=""),"",IF(LEN(VLOOKUP($B26,Database!$B$1:$IX$10144,AC$22,FALSE))=0,"",VLOOKUP($B26,Database!$B$1:$IX$10144,AC$22,FALSE)))</f>
        <v>11.04</v>
      </c>
      <c r="AD26" s="22">
        <f>IF(OR($B26="",AD$22=""),"",IF(LEN(VLOOKUP($B26,Database!$B$1:$IX$10144,AD$22,FALSE))=0,"",VLOOKUP($B26,Database!$B$1:$IX$10144,AD$22,FALSE)))</f>
        <v>35.06</v>
      </c>
      <c r="AE26" s="22">
        <f>IF(OR($B26="",AE$22=""),"",IF(LEN(VLOOKUP($B26,Database!$B$1:$IX$10144,AE$22,FALSE))=0,"",VLOOKUP($B26,Database!$B$1:$IX$10144,AE$22,FALSE)))</f>
        <v>10.029999999999999</v>
      </c>
      <c r="AF26" s="22">
        <f>IF(OR($B26="",AF$22=""),"",IF(LEN(VLOOKUP($B26,Database!$B$1:$IX$10144,AF$22,FALSE))=0,"",VLOOKUP($B26,Database!$B$1:$IX$10144,AF$22,FALSE)))</f>
        <v>4</v>
      </c>
      <c r="AG26" s="22">
        <f>IF(OR($B26="",AG$22=""),"",IF(LEN(VLOOKUP($B26,Database!$B$1:$IX$10144,AG$22,FALSE))=0,"",VLOOKUP($B26,Database!$B$1:$IX$10144,AG$22,FALSE)))</f>
        <v>29</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f>IF(OR($B26="",AK$22=""),"",IF(LEN(VLOOKUP($B26,Database!$B$1:$IX$10144,AK$22,FALSE))=0,"",VLOOKUP($B26,Database!$B$1:$IX$10144,AK$22,FALSE)))</f>
        <v>29.44</v>
      </c>
      <c r="AL26" s="22">
        <f>IF(OR($B26="",AL$22=""),"",IF(LEN(VLOOKUP($B26,Database!$B$1:$IX$10144,AL$22,FALSE))=0,"",VLOOKUP($B26,Database!$B$1:$IX$10144,AL$22,FALSE)))</f>
        <v>10.91</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Lacerda AL, Nicoletti MA, Brambilla P, Sassi RB, Mallinger AG, Frank E, Kupfer DJ, Keshavan MS, Soares JC.</v>
      </c>
      <c r="AR26" s="13"/>
      <c r="AX26" s="13"/>
      <c r="AY26" s="13"/>
      <c r="AZ26" s="13"/>
      <c r="BA26" s="13"/>
      <c r="BC26" s="23"/>
      <c r="BF26" s="136"/>
      <c r="BG26" s="136"/>
      <c r="BH26" s="136"/>
      <c r="BI26" s="136"/>
    </row>
    <row r="27" spans="1:65">
      <c r="B27">
        <v>18439110</v>
      </c>
      <c r="C27" s="1" t="str">
        <f>IF($B27="","",HYPERLINK(IF(LEN(VLOOKUP($B27,Database!$B$1:$IX$10144,2,FALSE))=0,"",VLOOKUP($B27,Database!$B$1:$IX$10144,2,FALSE))))</f>
        <v/>
      </c>
      <c r="D27" s="1" t="str">
        <f t="shared" si="0"/>
        <v>http://www.ncbi.nlm.nih.gov/pubmed/18439110</v>
      </c>
      <c r="E27" s="22" t="str">
        <f>IF($B27="","",IF(LEN(VLOOKUP($B27,Database!$B$1:$IX$10144,4,FALSE))=0,"",VLOOKUP($B27,Database!$B$1:$IX$10144,4,FALSE)))</f>
        <v>Matsuo K</v>
      </c>
      <c r="F27" s="22">
        <f>IF($B27="","",IF(LEN(VLOOKUP($B27,Database!$B$1:$IX$10144,5,FALSE))=0,"",VLOOKUP($B27,Database!$B$1:$IX$10144,5,FALSE)))</f>
        <v>2008</v>
      </c>
      <c r="G27" s="1" t="str">
        <f>IF($B27="","",HYPERLINK(IF(LEN(VLOOKUP($B27,Database!$B$1:$IX$10144,6,FALSE))=0,"",VLOOKUP($B27,Database!$B$1:$IX$10144,6,FALSE))))</f>
        <v>http://www.liebertonline.com/doi/pdf/10.1089/cap.2007.0026</v>
      </c>
      <c r="H27" s="22">
        <f>IF($B27="","",IF(LEN(VLOOKUP($B27,Database!$B$1:$IX$10144,7,FALSE))=0,"",VLOOKUP($B27,Database!$B$1:$IX$10144,7,FALSE)))</f>
        <v>27</v>
      </c>
      <c r="I27" s="22">
        <f>IF($B27="","",IF(LEN(VLOOKUP($B27,Database!$B$1:$IX$10144,8,FALSE))=0,"",VLOOKUP($B27,Database!$B$1:$IX$10144,8,FALSE)))</f>
        <v>26</v>
      </c>
      <c r="J27" t="s">
        <v>556</v>
      </c>
      <c r="L27">
        <v>3.58</v>
      </c>
      <c r="M27">
        <v>0.62</v>
      </c>
      <c r="N27">
        <v>3.8</v>
      </c>
      <c r="O27">
        <v>0.57999999999999996</v>
      </c>
      <c r="P27">
        <v>3.6</v>
      </c>
      <c r="Q27">
        <v>0.61</v>
      </c>
      <c r="R27">
        <v>3.79</v>
      </c>
      <c r="S27">
        <v>0.53</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14.4</v>
      </c>
      <c r="AC27" s="22">
        <f>IF(OR($B27="",AC$22=""),"",IF(LEN(VLOOKUP($B27,Database!$B$1:$IX$10144,AC$22,FALSE))=0,"",VLOOKUP($B27,Database!$B$1:$IX$10144,AC$22,FALSE)))</f>
        <v>2.2000000000000002</v>
      </c>
      <c r="AD27" s="22">
        <f>IF(OR($B27="",AD$22=""),"",IF(LEN(VLOOKUP($B27,Database!$B$1:$IX$10144,AD$22,FALSE))=0,"",VLOOKUP($B27,Database!$B$1:$IX$10144,AD$22,FALSE)))</f>
        <v>14.4</v>
      </c>
      <c r="AE27" s="22">
        <f>IF(OR($B27="",AE$22=""),"",IF(LEN(VLOOKUP($B27,Database!$B$1:$IX$10144,AE$22,FALSE))=0,"",VLOOKUP($B27,Database!$B$1:$IX$10144,AE$22,FALSE)))</f>
        <v>2.2999999999999998</v>
      </c>
      <c r="AF27" s="22">
        <f>IF(OR($B27="",AF$22=""),"",IF(LEN(VLOOKUP($B27,Database!$B$1:$IX$10144,AF$22,FALSE))=0,"",VLOOKUP($B27,Database!$B$1:$IX$10144,AF$22,FALSE)))</f>
        <v>17</v>
      </c>
      <c r="AG27" s="22">
        <f>IF(OR($B27="",AG$22=""),"",IF(LEN(VLOOKUP($B27,Database!$B$1:$IX$10144,AG$22,FALSE))=0,"",VLOOKUP($B27,Database!$B$1:$IX$10144,AG$22,FALSE)))</f>
        <v>14</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11.75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Matsuo K, Rosenberg DR, Easter PC, MacMaster FP, Chen HH, Nicoletti M, Caetano SC, Hatch JP, Soares JC.</v>
      </c>
      <c r="AR27" s="13"/>
      <c r="AX27" s="13"/>
      <c r="AY27" s="13"/>
      <c r="AZ27" s="13"/>
      <c r="BA27" s="13"/>
      <c r="BC27" s="23"/>
      <c r="BF27" s="136"/>
      <c r="BG27" s="136"/>
      <c r="BH27" s="136"/>
      <c r="BI27" s="136"/>
    </row>
    <row r="28" spans="1:65">
      <c r="A28" s="13" t="s">
        <v>1908</v>
      </c>
      <c r="B28">
        <v>19235787</v>
      </c>
      <c r="C28" s="1" t="str">
        <f>IF($B28="","",HYPERLINK(IF(LEN(VLOOKUP($B28,Database!$B$1:$IX$10144,2,FALSE))=0,"",VLOOKUP($B28,Database!$B$1:$IX$10144,2,FALSE))))</f>
        <v/>
      </c>
      <c r="D28" s="1" t="str">
        <f t="shared" si="0"/>
        <v>http://www.ncbi.nlm.nih.gov/pubmed/19235787</v>
      </c>
      <c r="E28" s="22" t="str">
        <f>IF($B28="","",IF(LEN(VLOOKUP($B28,Database!$B$1:$IX$10144,4,FALSE))=0,"",VLOOKUP($B28,Database!$B$1:$IX$10144,4,FALSE)))</f>
        <v>Pan CC</v>
      </c>
      <c r="F28" s="22">
        <f>IF($B28="","",IF(LEN(VLOOKUP($B28,Database!$B$1:$IX$10144,5,FALSE))=0,"",VLOOKUP($B28,Database!$B$1:$IX$10144,5,FALSE)))</f>
        <v>2009</v>
      </c>
      <c r="G28" s="1" t="str">
        <f>IF($B28="","",HYPERLINK(IF(LEN(VLOOKUP($B28,Database!$B$1:$IX$10144,6,FALSE))=0,"",VLOOKUP($B28,Database!$B$1:$IX$10144,6,FALSE))))</f>
        <v>http://www3.interscience.wiley.com/cgi-bin/fulltext/122211615/PDFSTART</v>
      </c>
      <c r="H28" s="22">
        <f>IF($B28="","",IF(LEN(VLOOKUP($B28,Database!$B$1:$IX$10144,7,FALSE))=0,"",VLOOKUP($B28,Database!$B$1:$IX$10144,7,FALSE)))</f>
        <v>170</v>
      </c>
      <c r="I28" s="22">
        <f>IF($B28="","",IF(LEN(VLOOKUP($B28,Database!$B$1:$IX$10144,8,FALSE))=0,"",VLOOKUP($B28,Database!$B$1:$IX$10144,8,FALSE)))</f>
        <v>83</v>
      </c>
      <c r="J28" t="s">
        <v>654</v>
      </c>
      <c r="L28">
        <v>3.61</v>
      </c>
      <c r="M28">
        <v>0.76</v>
      </c>
      <c r="N28">
        <v>3.65</v>
      </c>
      <c r="O28">
        <v>0.63</v>
      </c>
      <c r="P28">
        <v>3.63</v>
      </c>
      <c r="Q28">
        <v>0.78</v>
      </c>
      <c r="R28">
        <v>3.69</v>
      </c>
      <c r="S28">
        <v>0.71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69.400000000000006</v>
      </c>
      <c r="AC28" s="22">
        <f>IF(OR($B28="",AC$22=""),"",IF(LEN(VLOOKUP($B28,Database!$B$1:$IX$10144,AC$22,FALSE))=0,"",VLOOKUP($B28,Database!$B$1:$IX$10144,AC$22,FALSE)))</f>
        <v>7.5</v>
      </c>
      <c r="AD28" s="22">
        <f>IF(OR($B28="",AD$22=""),"",IF(LEN(VLOOKUP($B28,Database!$B$1:$IX$10144,AD$22,FALSE))=0,"",VLOOKUP($B28,Database!$B$1:$IX$10144,AD$22,FALSE)))</f>
        <v>69.8</v>
      </c>
      <c r="AE28" s="22">
        <f>IF(OR($B28="",AE$22=""),"",IF(LEN(VLOOKUP($B28,Database!$B$1:$IX$10144,AE$22,FALSE))=0,"",VLOOKUP($B28,Database!$B$1:$IX$10144,AE$22,FALSE)))</f>
        <v>5.6</v>
      </c>
      <c r="AF28" s="22">
        <f>IF(OR($B28="",AF$22=""),"",IF(LEN(VLOOKUP($B28,Database!$B$1:$IX$10144,AF$22,FALSE))=0,"",VLOOKUP($B28,Database!$B$1:$IX$10144,AF$22,FALSE)))</f>
        <v>112</v>
      </c>
      <c r="AG28" s="22">
        <f>IF(OR($B28="",AG$22=""),"",IF(LEN(VLOOKUP($B28,Database!$B$1:$IX$10144,AG$22,FALSE))=0,"",VLOOKUP($B28,Database!$B$1:$IX$10144,AG$22,FALSE)))</f>
        <v>61</v>
      </c>
      <c r="AH28" s="22">
        <f>IF(OR($B28="",AH$22=""),"",IF(LEN(VLOOKUP($B28,Database!$B$1:$IX$10144,AH$22,FALSE))=0,"",VLOOKUP($B28,Database!$B$1:$IX$10144,AH$22,FALSE)))</f>
        <v>1.5</v>
      </c>
      <c r="AI28" s="22">
        <f>IF(OR($B28="",AI$22=""),"",IF(LEN(VLOOKUP($B28,Database!$B$1:$IX$10144,AI$22,FALSE))=0,"",VLOOKUP($B28,Database!$B$1:$IX$10144,AI$22,FALSE)))</f>
        <v>3</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Pan CC, McQuoid DR, Taylor WD, Payne ME, Ashley-Koch A, Steffens DC.</v>
      </c>
      <c r="AR28" s="13"/>
      <c r="AX28" s="13"/>
      <c r="AY28" s="13"/>
      <c r="AZ28" s="13"/>
      <c r="BA28" s="13"/>
      <c r="BC28" s="23"/>
      <c r="BF28" s="136"/>
      <c r="BG28" s="136"/>
      <c r="BH28" s="136"/>
      <c r="BI28" s="136"/>
    </row>
    <row r="29" spans="1:65">
      <c r="B29">
        <v>19411368</v>
      </c>
      <c r="C29" s="1" t="str">
        <f>IF($B29="","",HYPERLINK(IF(LEN(VLOOKUP($B29,Database!$B$1:$IX$10144,2,FALSE))=0,"",VLOOKUP($B29,Database!$B$1:$IX$10144,2,FALSE))))</f>
        <v/>
      </c>
      <c r="D29" s="1" t="str">
        <f t="shared" si="0"/>
        <v>http://www.ncbi.nlm.nih.gov/pubmed/19411368</v>
      </c>
      <c r="E29" s="22" t="str">
        <f>IF($B29="","",IF(LEN(VLOOKUP($B29,Database!$B$1:$IX$10144,4,FALSE))=0,"",VLOOKUP($B29,Database!$B$1:$IX$10144,4,FALSE)))</f>
        <v>Pizzagalli DA</v>
      </c>
      <c r="F29" s="22">
        <f>IF($B29="","",IF(LEN(VLOOKUP($B29,Database!$B$1:$IX$10144,5,FALSE))=0,"",VLOOKUP($B29,Database!$B$1:$IX$10144,5,FALSE)))</f>
        <v>2009</v>
      </c>
      <c r="G29" s="1" t="str">
        <f>IF($B29="","",HYPERLINK(IF(LEN(VLOOKUP($B29,Database!$B$1:$IX$10144,6,FALSE))=0,"",VLOOKUP($B29,Database!$B$1:$IX$10144,6,FALSE))))</f>
        <v>http://ajp.psychiatryonline.org/cgi/reprint/166/6/702</v>
      </c>
      <c r="H29" s="83">
        <v>26</v>
      </c>
      <c r="I29" s="83">
        <v>31</v>
      </c>
      <c r="J29" t="s">
        <v>1203</v>
      </c>
      <c r="L29">
        <v>5550</v>
      </c>
      <c r="M29">
        <v>697</v>
      </c>
      <c r="N29">
        <v>5472</v>
      </c>
      <c r="O29">
        <v>732</v>
      </c>
      <c r="P29">
        <v>5364</v>
      </c>
      <c r="Q29">
        <v>697</v>
      </c>
      <c r="R29">
        <v>5369</v>
      </c>
      <c r="S29">
        <v>717</v>
      </c>
      <c r="X29" s="2"/>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43.17</v>
      </c>
      <c r="AC29" s="22">
        <f>IF(OR($B29="",AC$22=""),"",IF(LEN(VLOOKUP($B29,Database!$B$1:$IX$10144,AC$22,FALSE))=0,"",VLOOKUP($B29,Database!$B$1:$IX$10144,AC$22,FALSE)))</f>
        <v>12.98</v>
      </c>
      <c r="AD29" s="22">
        <f>IF(OR($B29="",AD$22=""),"",IF(LEN(VLOOKUP($B29,Database!$B$1:$IX$10144,AD$22,FALSE))=0,"",VLOOKUP($B29,Database!$B$1:$IX$10144,AD$22,FALSE)))</f>
        <v>38.799999999999997</v>
      </c>
      <c r="AE29" s="22">
        <f>IF(OR($B29="",AE$22=""),"",IF(LEN(VLOOKUP($B29,Database!$B$1:$IX$10144,AE$22,FALSE))=0,"",VLOOKUP($B29,Database!$B$1:$IX$10144,AE$22,FALSE)))</f>
        <v>14.48</v>
      </c>
      <c r="AF29" s="22">
        <f>IF(OR($B29="",AF$22=""),"",IF(LEN(VLOOKUP($B29,Database!$B$1:$IX$10144,AF$22,FALSE))=0,"",VLOOKUP($B29,Database!$B$1:$IX$10144,AF$22,FALSE)))</f>
        <v>15</v>
      </c>
      <c r="AG29" s="22">
        <f>IF(OR($B29="",AG$22=""),"",IF(LEN(VLOOKUP($B29,Database!$B$1:$IX$10144,AG$22,FALSE))=0,"",VLOOKUP($B29,Database!$B$1:$IX$10144,AG$22,FALSE)))</f>
        <v>13</v>
      </c>
      <c r="AH29" s="22">
        <f>IF(OR($B29="",AH$22=""),"",IF(LEN(VLOOKUP($B29,Database!$B$1:$IX$10144,AH$22,FALSE))=0,"",VLOOKUP($B29,Database!$B$1:$IX$10144,AH$22,FALSE)))</f>
        <v>1.5</v>
      </c>
      <c r="AI29" s="22">
        <f>IF(OR($B29="",AI$22=""),"",IF(LEN(VLOOKUP($B29,Database!$B$1:$IX$10144,AI$22,FALSE))=0,"",VLOOKUP($B29,Database!$B$1:$IX$10144,AI$22,FALSE)))</f>
        <v>1.33</v>
      </c>
      <c r="AJ29" s="22" t="str">
        <f>IF(OR($B29="",AJ$22=""),"",IF(LEN(VLOOKUP($B29,Database!$B$1:$IX$10144,AJ$22,FALSE))=0,"",VLOOKUP($B29,Database!$B$1:$IX$10144,AJ$22,FALSE)))</f>
        <v/>
      </c>
      <c r="AK29" s="22">
        <f>IF(OR($B29="",AK$22=""),"",IF(LEN(VLOOKUP($B29,Database!$B$1:$IX$10144,AK$22,FALSE))=0,"",VLOOKUP($B29,Database!$B$1:$IX$10144,AK$22,FALSE)))</f>
        <v>29.39</v>
      </c>
      <c r="AL29" s="22">
        <f>IF(OR($B29="",AL$22=""),"",IF(LEN(VLOOKUP($B29,Database!$B$1:$IX$10144,AL$22,FALSE))=0,"",VLOOKUP($B29,Database!$B$1:$IX$10144,AL$22,FALSE)))</f>
        <v>15.98</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Pizzagalli DA, Holmes AJ, Dillon DG, Goetz EL, Birk JL, Bogdan R, Dougherty DD, Iosifescu DV, Rauch SL, Fava M.</v>
      </c>
      <c r="AR29" s="13"/>
      <c r="AX29" s="13"/>
      <c r="AY29" s="13"/>
      <c r="AZ29" s="13"/>
      <c r="BA29" s="13"/>
      <c r="BC29" s="23"/>
      <c r="BF29" s="136"/>
      <c r="BG29" s="136"/>
      <c r="BH29" s="136"/>
      <c r="BI29" s="136"/>
    </row>
    <row r="30" spans="1:65">
      <c r="A30" s="4" t="s">
        <v>1510</v>
      </c>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65">
      <c r="A31" s="10" t="s">
        <v>555</v>
      </c>
      <c r="B31">
        <v>8399409</v>
      </c>
      <c r="C31" s="1" t="str">
        <f>IF($B31="","",HYPERLINK(IF(LEN(VLOOKUP($B31,Database!$B$1:$IX$10144,2,FALSE))=0,"",VLOOKUP($B31,Database!$B$1:$IX$10144,2,FALSE))))</f>
        <v/>
      </c>
      <c r="D31" s="1" t="str">
        <f>IF($B31="","",HYPERLINK(CONCATENATE("http://www.ncbi.nlm.nih.gov/pubmed/",B31)))</f>
        <v>http://www.ncbi.nlm.nih.gov/pubmed/8399409</v>
      </c>
      <c r="E31" s="22" t="str">
        <f>IF($B31="","",IF(LEN(VLOOKUP($B31,Database!$B$1:$IX$10144,4,FALSE))=0,"",VLOOKUP($B31,Database!$B$1:$IX$10144,4,FALSE)))</f>
        <v>Krishnan KR</v>
      </c>
      <c r="F31" s="22">
        <f>IF($B31="","",IF(LEN(VLOOKUP($B31,Database!$B$1:$IX$10144,5,FALSE))=0,"",VLOOKUP($B31,Database!$B$1:$IX$10144,5,FALSE)))</f>
        <v>1993</v>
      </c>
      <c r="G31" s="1" t="str">
        <f>IF($B31="","",HYPERLINK(IF(LEN(VLOOKUP($B31,Database!$B$1:$IX$10144,6,FALSE))=0,"",VLOOKUP($B31,Database!$B$1:$IX$10144,6,FALSE))))</f>
        <v>http://www.springerlink.com/content/yq33844661g65135/fulltext.pdf</v>
      </c>
      <c r="H31" s="22">
        <f>IF($B31="","",IF(LEN(VLOOKUP($B31,Database!$B$1:$IX$10144,7,FALSE))=0,"",VLOOKUP($B31,Database!$B$1:$IX$10144,7,FALSE)))</f>
        <v>25</v>
      </c>
      <c r="I31" s="22">
        <f>IF($B31="","",IF(LEN(VLOOKUP($B31,Database!$B$1:$IX$10144,8,FALSE))=0,"",VLOOKUP($B31,Database!$B$1:$IX$10144,8,FALSE)))</f>
        <v>20</v>
      </c>
      <c r="Y31" s="22" t="str">
        <f>IF(OR($B31="",Y$22=""),"",IF(LEN(VLOOKUP($B31,Database!$B$1:$IX$10144,Y$22,FALSE))=0,"",VLOOKUP($B31,Database!$B$1:$IX$10144,Y$22,FALSE)))</f>
        <v>DSM-III</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74.099999999999994</v>
      </c>
      <c r="AC31" s="22">
        <f>IF(OR($B31="",AC$22=""),"",IF(LEN(VLOOKUP($B31,Database!$B$1:$IX$10144,AC$22,FALSE))=0,"",VLOOKUP($B31,Database!$B$1:$IX$10144,AC$22,FALSE)))</f>
        <v>6.6</v>
      </c>
      <c r="AD31" s="22">
        <f>IF(OR($B31="",AD$22=""),"",IF(LEN(VLOOKUP($B31,Database!$B$1:$IX$10144,AD$22,FALSE))=0,"",VLOOKUP($B31,Database!$B$1:$IX$10144,AD$22,FALSE)))</f>
        <v>72.5</v>
      </c>
      <c r="AE31" s="22">
        <f>IF(OR($B31="",AE$22=""),"",IF(LEN(VLOOKUP($B31,Database!$B$1:$IX$10144,AE$22,FALSE))=0,"",VLOOKUP($B31,Database!$B$1:$IX$10144,AE$22,FALSE)))</f>
        <v>3.6</v>
      </c>
      <c r="AF31" s="22">
        <f>IF(OR($B31="",AF$22=""),"",IF(LEN(VLOOKUP($B31,Database!$B$1:$IX$10144,AF$22,FALSE))=0,"",VLOOKUP($B31,Database!$B$1:$IX$10144,AF$22,FALSE)))</f>
        <v>17</v>
      </c>
      <c r="AG31" s="22">
        <f>IF(OR($B31="",AG$22=""),"",IF(LEN(VLOOKUP($B31,Database!$B$1:$IX$10144,AG$22,FALSE))=0,"",VLOOKUP($B31,Database!$B$1:$IX$10144,AG$22,FALSE)))</f>
        <v>11</v>
      </c>
      <c r="AH31" s="22">
        <f>IF(OR($B31="",AH$22=""),"",IF(LEN(VLOOKUP($B31,Database!$B$1:$IX$10144,AH$22,FALSE))=0,"",VLOOKUP($B31,Database!$B$1:$IX$10144,AH$22,FALSE)))</f>
        <v>1.5</v>
      </c>
      <c r="AI31" s="22">
        <f>IF(OR($B31="",AI$22=""),"",IF(LEN(VLOOKUP($B31,Database!$B$1:$IX$10144,AI$22,FALSE))=0,"",VLOOKUP($B31,Database!$B$1:$IX$10144,AI$22,FALSE)))</f>
        <v>5</v>
      </c>
      <c r="AJ31" s="22" t="str">
        <f>IF(OR($B31="",AJ$22=""),"",IF(LEN(VLOOKUP($B31,Database!$B$1:$IX$10144,AJ$22,FALSE))=0,"",VLOOKUP($B31,Database!$B$1:$IX$10144,AJ$22,FALSE)))</f>
        <v/>
      </c>
      <c r="AK31" s="22" t="str">
        <f>IF(OR($B31="",AK$22=""),"",IF(LEN(VLOOKUP($B31,Database!$B$1:$IX$10144,AK$22,FALSE))=0,"",VLOOKUP($B31,Database!$B$1:$IX$10144,AK$22,FALSE)))</f>
        <v>ns</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Krishnan KR, McDonald WM, Doraiswamy PM, Tupler LA, Husain M, Boyko OB, Figiel GS, Ellinwood EH Jr.</v>
      </c>
    </row>
    <row r="32" spans="1:65">
      <c r="I32" s="22" t="str">
        <f>IF($B32="","",IF(LEN(VLOOKUP($B32,Database!$B$1:$IX$10144,8,FALSE))=0,"",VLOOKUP($B32,Database!$B$1:$IX$10144,8,FALSE)))</f>
        <v/>
      </c>
      <c r="AF32" t="s">
        <v>602</v>
      </c>
      <c r="AJ32" t="s">
        <v>329</v>
      </c>
      <c r="AN32" t="s">
        <v>330</v>
      </c>
    </row>
    <row r="33" spans="5:51"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1">
      <c r="E34" t="str">
        <f t="shared" ref="E34:F36" si="1">E24</f>
        <v>Husain MM (B)</v>
      </c>
      <c r="F34">
        <f t="shared" si="1"/>
        <v>1991</v>
      </c>
      <c r="G34">
        <v>6</v>
      </c>
      <c r="H34">
        <f t="shared" ref="H34:I36" si="2">H24</f>
        <v>41</v>
      </c>
      <c r="I34">
        <f t="shared" si="2"/>
        <v>44</v>
      </c>
      <c r="J34">
        <f t="shared" ref="J34:M36" si="3">IF($D$4="Total",T24,IF($D$4="Left",L24,IF($D$4="Right",P24,"error")))</f>
        <v>3.7</v>
      </c>
      <c r="K34">
        <f t="shared" si="3"/>
        <v>1.2</v>
      </c>
      <c r="L34">
        <f t="shared" si="3"/>
        <v>4.9000000000000004</v>
      </c>
      <c r="M34">
        <f t="shared" si="3"/>
        <v>1.4</v>
      </c>
      <c r="N34">
        <f t="shared" ref="N34:N39" si="4">IF($D$3=1,SQRT((((I34-1)*(M34)^2)+((H34-1)*(K34)^2))/(H34+I34-2)),M34)</f>
        <v>1.3074393256902768</v>
      </c>
      <c r="O34" s="59">
        <f t="shared" ref="O34:O39" si="5">IF($D$6=1,LN(J34/L34),IF($D$5=1,(1-3/(4*(H34+I34)-9))*((J34-L34)/N34),(J34-L34)/N34))</f>
        <v>-0.9095059661309145</v>
      </c>
      <c r="P34" s="63">
        <f t="shared" ref="P34:P39" si="6">IF($D$6=1,(K34^2)/(H34*J34^2)+(M34^2)/(I34*L34^2),(IF($D$5=1,((H34+I34)/(H34*I34))+(O34*O34)/(2*(H34+I34-3.94)),((H34+I34)/(H34*I34))+((O34^2)/(2*(H34+I34-2))))))</f>
        <v>5.2219916718705885E-2</v>
      </c>
      <c r="Q34" s="59">
        <f t="shared" ref="Q34:Q39" si="7">$R$56*SQRT(P34)</f>
        <v>0.4478928801249028</v>
      </c>
      <c r="R34" s="59">
        <f t="shared" ref="R34:R39" si="8">1/P34</f>
        <v>19.149781593615341</v>
      </c>
      <c r="S34" s="59">
        <f t="shared" ref="S34:S39" si="9">O34*R34</f>
        <v>-17.416840609497125</v>
      </c>
      <c r="T34" s="59">
        <f t="shared" ref="T34:T39" si="10">R34*(O34^2)</f>
        <v>15.840720445488827</v>
      </c>
      <c r="U34" s="23">
        <f t="shared" ref="U34:U39" si="11">R34^2</f>
        <v>366.71413508316891</v>
      </c>
      <c r="V34" s="59">
        <f t="shared" ref="V34:V39" si="12">1/((1/R34)+$I$53)</f>
        <v>8.0528879669314914</v>
      </c>
      <c r="W34" s="59">
        <f t="shared" ref="W34:W39" si="13">V34*O34</f>
        <v>-7.3241496505080423</v>
      </c>
      <c r="AF34" s="59">
        <f t="shared" ref="AF34:AF39" si="14">IF($D$6=1,100*((EXP(O34))-1),O34)</f>
        <v>-0.9095059661309145</v>
      </c>
      <c r="AG34" s="59">
        <f t="shared" ref="AG34:AG39" si="15">IF($D$6=1,100*(EXP(O34+Q34)-EXP(O34)),Q34)</f>
        <v>0.4478928801249028</v>
      </c>
      <c r="AH34" s="59">
        <f t="shared" ref="AH34:AH39" si="16">IF($D$6=1,100*(EXP(O34)-EXP(O34-Q34)),Q34)</f>
        <v>0.4478928801249028</v>
      </c>
      <c r="AJ34">
        <f t="shared" ref="AJ34:AJ39" si="17">SQRT(P34)</f>
        <v>0.22851677557392999</v>
      </c>
      <c r="AK34">
        <f t="shared" ref="AK34:AK39" si="18">1/AJ34</f>
        <v>4.3760463427179719</v>
      </c>
      <c r="AL34">
        <f t="shared" ref="AL34:AL39" si="19">O34/AJ34</f>
        <v>-3.9800402567673645</v>
      </c>
      <c r="AN34" t="str">
        <f t="shared" ref="AN34:AO36" si="20">E34</f>
        <v>Husain MM (B)</v>
      </c>
      <c r="AO34">
        <f t="shared" si="20"/>
        <v>1991</v>
      </c>
      <c r="AP34" t="str">
        <f t="shared" ref="AP34:AP39" si="21">CONCATENATE(AN34," ",AO34)</f>
        <v>Husain MM (B) 1991</v>
      </c>
      <c r="AQ34">
        <f t="shared" ref="AQ34:AQ39" si="22">INT(H34)</f>
        <v>41</v>
      </c>
      <c r="AR34">
        <f t="shared" ref="AR34:AS36" si="23">J34</f>
        <v>3.7</v>
      </c>
      <c r="AS34">
        <f t="shared" si="23"/>
        <v>1.2</v>
      </c>
      <c r="AT34">
        <f t="shared" ref="AT34:AT39" si="24">INT(I34)</f>
        <v>44</v>
      </c>
      <c r="AU34">
        <f t="shared" ref="AU34:AV36" si="25">L34</f>
        <v>4.9000000000000004</v>
      </c>
      <c r="AV34">
        <f t="shared" si="25"/>
        <v>1.4</v>
      </c>
      <c r="AW34" s="65">
        <f t="shared" ref="AW34:AW39" si="26">O34</f>
        <v>-0.9095059661309145</v>
      </c>
      <c r="AX34">
        <f t="shared" ref="AX34:AX39" si="27">SQRT(P34)</f>
        <v>0.22851677557392999</v>
      </c>
      <c r="AY34" t="str">
        <f>$F$3</f>
        <v>Pooled SD</v>
      </c>
    </row>
    <row r="35" spans="5:51">
      <c r="E35" t="str">
        <f t="shared" si="1"/>
        <v>Lenze EJ (B)</v>
      </c>
      <c r="F35">
        <f t="shared" si="1"/>
        <v>1999</v>
      </c>
      <c r="G35">
        <v>5</v>
      </c>
      <c r="H35">
        <f t="shared" si="2"/>
        <v>24</v>
      </c>
      <c r="I35">
        <f t="shared" si="2"/>
        <v>24</v>
      </c>
      <c r="J35">
        <f t="shared" si="3"/>
        <v>3.93</v>
      </c>
      <c r="K35">
        <f t="shared" si="3"/>
        <v>0.64</v>
      </c>
      <c r="L35">
        <f t="shared" si="3"/>
        <v>3.91</v>
      </c>
      <c r="M35">
        <f t="shared" si="3"/>
        <v>0.62</v>
      </c>
      <c r="N35">
        <f t="shared" si="4"/>
        <v>0.63007936008093457</v>
      </c>
      <c r="O35" s="59">
        <f t="shared" si="5"/>
        <v>3.1221672052571422E-2</v>
      </c>
      <c r="P35" s="63">
        <f t="shared" si="6"/>
        <v>8.3344395439617469E-2</v>
      </c>
      <c r="Q35" s="59">
        <f t="shared" si="7"/>
        <v>0.56584081641468253</v>
      </c>
      <c r="R35" s="59">
        <f t="shared" si="8"/>
        <v>11.998407268122715</v>
      </c>
      <c r="S35" s="59">
        <f t="shared" si="9"/>
        <v>0.3746103368785168</v>
      </c>
      <c r="T35" s="59">
        <f t="shared" si="10"/>
        <v>1.1695961085524353E-2</v>
      </c>
      <c r="U35" s="23">
        <f t="shared" si="11"/>
        <v>143.96177697173999</v>
      </c>
      <c r="V35" s="59">
        <f t="shared" si="12"/>
        <v>6.4390036094948089</v>
      </c>
      <c r="W35" s="59">
        <f t="shared" si="13"/>
        <v>0.20103645904097059</v>
      </c>
      <c r="AF35" s="59">
        <f t="shared" si="14"/>
        <v>3.1221672052571422E-2</v>
      </c>
      <c r="AG35" s="59">
        <f t="shared" si="15"/>
        <v>0.56584081641468253</v>
      </c>
      <c r="AH35" s="59">
        <f t="shared" si="16"/>
        <v>0.56584081641468253</v>
      </c>
      <c r="AJ35">
        <f t="shared" si="17"/>
        <v>0.28869429408912373</v>
      </c>
      <c r="AK35">
        <f t="shared" si="18"/>
        <v>3.4638717164644994</v>
      </c>
      <c r="AL35">
        <f t="shared" si="19"/>
        <v>0.10814786676363226</v>
      </c>
      <c r="AN35" t="str">
        <f t="shared" si="20"/>
        <v>Lenze EJ (B)</v>
      </c>
      <c r="AO35">
        <f t="shared" si="20"/>
        <v>1999</v>
      </c>
      <c r="AP35" t="str">
        <f t="shared" si="21"/>
        <v>Lenze EJ (B) 1999</v>
      </c>
      <c r="AQ35">
        <f t="shared" si="22"/>
        <v>24</v>
      </c>
      <c r="AR35">
        <f t="shared" si="23"/>
        <v>3.93</v>
      </c>
      <c r="AS35">
        <f t="shared" si="23"/>
        <v>0.64</v>
      </c>
      <c r="AT35">
        <f t="shared" si="24"/>
        <v>24</v>
      </c>
      <c r="AU35">
        <f t="shared" si="25"/>
        <v>3.91</v>
      </c>
      <c r="AV35">
        <f t="shared" si="25"/>
        <v>0.62</v>
      </c>
      <c r="AW35" s="65">
        <f t="shared" si="26"/>
        <v>3.1221672052571422E-2</v>
      </c>
      <c r="AX35">
        <f t="shared" si="27"/>
        <v>0.28869429408912373</v>
      </c>
      <c r="AY35" t="str">
        <f>$F$5</f>
        <v>H Correction</v>
      </c>
    </row>
    <row r="36" spans="5:51">
      <c r="E36" t="str">
        <f t="shared" si="1"/>
        <v>Lacerda AL</v>
      </c>
      <c r="F36">
        <f t="shared" si="1"/>
        <v>2003</v>
      </c>
      <c r="G36">
        <v>4</v>
      </c>
      <c r="H36">
        <f t="shared" si="2"/>
        <v>25</v>
      </c>
      <c r="I36">
        <f t="shared" si="2"/>
        <v>48</v>
      </c>
      <c r="J36">
        <f t="shared" si="3"/>
        <v>2.33</v>
      </c>
      <c r="K36">
        <f t="shared" si="3"/>
        <v>0.8</v>
      </c>
      <c r="L36">
        <f t="shared" si="3"/>
        <v>2.4</v>
      </c>
      <c r="M36">
        <f t="shared" si="3"/>
        <v>0.82</v>
      </c>
      <c r="N36">
        <f t="shared" si="4"/>
        <v>0.81329446532233551</v>
      </c>
      <c r="O36" s="59">
        <f t="shared" si="5"/>
        <v>-8.5157287407072124E-2</v>
      </c>
      <c r="P36" s="63">
        <f t="shared" si="6"/>
        <v>6.0885836689824294E-2</v>
      </c>
      <c r="Q36" s="59">
        <f t="shared" si="7"/>
        <v>0.48363108897963641</v>
      </c>
      <c r="R36" s="59">
        <f t="shared" si="8"/>
        <v>16.424180965014603</v>
      </c>
      <c r="S36" s="59">
        <f t="shared" si="9"/>
        <v>-1.3986386988635118</v>
      </c>
      <c r="T36" s="59">
        <f t="shared" si="10"/>
        <v>0.11910427765777347</v>
      </c>
      <c r="U36" s="23">
        <f t="shared" si="11"/>
        <v>269.75372037154801</v>
      </c>
      <c r="V36" s="59">
        <f t="shared" si="12"/>
        <v>7.5275712672884438</v>
      </c>
      <c r="W36" s="59">
        <f t="shared" si="13"/>
        <v>-0.6410275498857001</v>
      </c>
      <c r="AF36" s="59">
        <f t="shared" si="14"/>
        <v>-8.5157287407072124E-2</v>
      </c>
      <c r="AG36" s="59">
        <f t="shared" si="15"/>
        <v>0.48363108897963641</v>
      </c>
      <c r="AH36" s="59">
        <f t="shared" si="16"/>
        <v>0.48363108897963641</v>
      </c>
      <c r="AJ36">
        <f t="shared" si="17"/>
        <v>0.24675055560185533</v>
      </c>
      <c r="AK36">
        <f t="shared" si="18"/>
        <v>4.0526757784227696</v>
      </c>
      <c r="AL36">
        <f t="shared" si="19"/>
        <v>-0.34511487603082758</v>
      </c>
      <c r="AN36" t="str">
        <f t="shared" si="20"/>
        <v>Lacerda AL</v>
      </c>
      <c r="AO36">
        <f t="shared" si="20"/>
        <v>2003</v>
      </c>
      <c r="AP36" t="str">
        <f t="shared" si="21"/>
        <v>Lacerda AL 2003</v>
      </c>
      <c r="AQ36">
        <f t="shared" si="22"/>
        <v>25</v>
      </c>
      <c r="AR36">
        <f t="shared" si="23"/>
        <v>2.33</v>
      </c>
      <c r="AS36">
        <f t="shared" si="23"/>
        <v>0.8</v>
      </c>
      <c r="AT36">
        <f t="shared" si="24"/>
        <v>48</v>
      </c>
      <c r="AU36">
        <f t="shared" si="25"/>
        <v>2.4</v>
      </c>
      <c r="AV36">
        <f t="shared" si="25"/>
        <v>0.82</v>
      </c>
      <c r="AW36" s="65">
        <f t="shared" si="26"/>
        <v>-8.5157287407072124E-2</v>
      </c>
      <c r="AX36">
        <f t="shared" si="27"/>
        <v>0.24675055560185533</v>
      </c>
    </row>
    <row r="37" spans="5:51">
      <c r="E37" t="str">
        <f t="shared" ref="E37:F39" si="28">E27</f>
        <v>Matsuo K</v>
      </c>
      <c r="F37">
        <f t="shared" si="28"/>
        <v>2008</v>
      </c>
      <c r="G37">
        <v>3</v>
      </c>
      <c r="H37">
        <f t="shared" ref="H37:I39" si="29">H27</f>
        <v>27</v>
      </c>
      <c r="I37">
        <f t="shared" si="29"/>
        <v>26</v>
      </c>
      <c r="J37">
        <f t="shared" ref="J37:M39" si="30">IF($D$4="Total",T27,IF($D$4="Left",L27,IF($D$4="Right",P27,"error")))</f>
        <v>3.6</v>
      </c>
      <c r="K37">
        <f t="shared" si="30"/>
        <v>0.61</v>
      </c>
      <c r="L37">
        <f t="shared" si="30"/>
        <v>3.79</v>
      </c>
      <c r="M37">
        <f t="shared" si="30"/>
        <v>0.53</v>
      </c>
      <c r="N37">
        <f t="shared" si="4"/>
        <v>0.57218363979325626</v>
      </c>
      <c r="O37" s="59">
        <f t="shared" si="5"/>
        <v>-0.32715391564540008</v>
      </c>
      <c r="P37" s="63">
        <f t="shared" si="6"/>
        <v>7.6589379458238335E-2</v>
      </c>
      <c r="Q37" s="59">
        <f t="shared" si="7"/>
        <v>0.54242581071218243</v>
      </c>
      <c r="R37" s="59">
        <f t="shared" si="8"/>
        <v>13.056640582200657</v>
      </c>
      <c r="S37" s="59">
        <f t="shared" si="9"/>
        <v>-4.271531091641581</v>
      </c>
      <c r="T37" s="59">
        <f t="shared" si="10"/>
        <v>1.3974481224316138</v>
      </c>
      <c r="U37" s="23">
        <f t="shared" si="11"/>
        <v>170.47586329276911</v>
      </c>
      <c r="V37" s="59">
        <f t="shared" si="12"/>
        <v>6.7318074260102589</v>
      </c>
      <c r="W37" s="59">
        <f t="shared" si="13"/>
        <v>-2.202337158790038</v>
      </c>
      <c r="AF37" s="59">
        <f t="shared" si="14"/>
        <v>-0.32715391564540008</v>
      </c>
      <c r="AG37" s="59">
        <f t="shared" si="15"/>
        <v>0.54242581071218243</v>
      </c>
      <c r="AH37" s="59">
        <f t="shared" si="16"/>
        <v>0.54242581071218243</v>
      </c>
      <c r="AJ37">
        <f t="shared" si="17"/>
        <v>0.27674786260825635</v>
      </c>
      <c r="AK37">
        <f t="shared" si="18"/>
        <v>3.6133973739682519</v>
      </c>
      <c r="AL37">
        <f t="shared" si="19"/>
        <v>-1.1821370996765197</v>
      </c>
      <c r="AN37" t="str">
        <f t="shared" ref="AN37:AO39" si="31">E37</f>
        <v>Matsuo K</v>
      </c>
      <c r="AO37">
        <f t="shared" si="31"/>
        <v>2008</v>
      </c>
      <c r="AP37" t="str">
        <f t="shared" si="21"/>
        <v>Matsuo K 2008</v>
      </c>
      <c r="AQ37">
        <f t="shared" si="22"/>
        <v>27</v>
      </c>
      <c r="AR37">
        <f t="shared" ref="AR37:AS39" si="32">J37</f>
        <v>3.6</v>
      </c>
      <c r="AS37">
        <f t="shared" si="32"/>
        <v>0.61</v>
      </c>
      <c r="AT37">
        <f t="shared" si="24"/>
        <v>26</v>
      </c>
      <c r="AU37">
        <f t="shared" ref="AU37:AV39" si="33">L37</f>
        <v>3.79</v>
      </c>
      <c r="AV37">
        <f t="shared" si="33"/>
        <v>0.53</v>
      </c>
      <c r="AW37" s="65">
        <f t="shared" si="26"/>
        <v>-0.32715391564540008</v>
      </c>
      <c r="AX37">
        <f t="shared" si="27"/>
        <v>0.27674786260825635</v>
      </c>
    </row>
    <row r="38" spans="5:51">
      <c r="E38" t="str">
        <f t="shared" si="28"/>
        <v>Pan CC</v>
      </c>
      <c r="F38">
        <f t="shared" si="28"/>
        <v>2009</v>
      </c>
      <c r="G38">
        <v>2</v>
      </c>
      <c r="H38">
        <f t="shared" si="29"/>
        <v>170</v>
      </c>
      <c r="I38">
        <f t="shared" si="29"/>
        <v>83</v>
      </c>
      <c r="J38">
        <f t="shared" si="30"/>
        <v>3.63</v>
      </c>
      <c r="K38">
        <f t="shared" si="30"/>
        <v>0.78</v>
      </c>
      <c r="L38">
        <f t="shared" si="30"/>
        <v>3.69</v>
      </c>
      <c r="M38">
        <f t="shared" si="30"/>
        <v>0.71</v>
      </c>
      <c r="N38">
        <f t="shared" si="4"/>
        <v>0.75784292331217462</v>
      </c>
      <c r="O38" s="59">
        <f t="shared" si="5"/>
        <v>-7.8935273451387664E-2</v>
      </c>
      <c r="P38" s="63">
        <f t="shared" si="6"/>
        <v>1.7943054299337909E-2</v>
      </c>
      <c r="Q38" s="59">
        <f t="shared" si="7"/>
        <v>0.26254530541667753</v>
      </c>
      <c r="R38" s="59">
        <f t="shared" si="8"/>
        <v>55.731871693488635</v>
      </c>
      <c r="S38" s="59">
        <f t="shared" si="9"/>
        <v>-4.3992105320831767</v>
      </c>
      <c r="T38" s="59">
        <f t="shared" si="10"/>
        <v>0.34725288632021023</v>
      </c>
      <c r="U38" s="23">
        <f t="shared" si="11"/>
        <v>3106.0415224594799</v>
      </c>
      <c r="V38" s="59">
        <f t="shared" si="12"/>
        <v>11.123199510698674</v>
      </c>
      <c r="W38" s="59">
        <f t="shared" si="13"/>
        <v>-0.87801279503134133</v>
      </c>
      <c r="AF38" s="59">
        <f t="shared" si="14"/>
        <v>-7.8935273451387664E-2</v>
      </c>
      <c r="AG38" s="59">
        <f t="shared" si="15"/>
        <v>0.26254530541667753</v>
      </c>
      <c r="AH38" s="59">
        <f t="shared" si="16"/>
        <v>0.26254530541667753</v>
      </c>
      <c r="AJ38">
        <f t="shared" si="17"/>
        <v>0.13395168643708039</v>
      </c>
      <c r="AK38">
        <f t="shared" si="18"/>
        <v>7.4653782016377876</v>
      </c>
      <c r="AL38">
        <f t="shared" si="19"/>
        <v>-0.5892816697643074</v>
      </c>
      <c r="AN38" t="str">
        <f t="shared" si="31"/>
        <v>Pan CC</v>
      </c>
      <c r="AO38">
        <f t="shared" si="31"/>
        <v>2009</v>
      </c>
      <c r="AP38" t="str">
        <f t="shared" si="21"/>
        <v>Pan CC 2009</v>
      </c>
      <c r="AQ38">
        <f t="shared" si="22"/>
        <v>170</v>
      </c>
      <c r="AR38">
        <f t="shared" si="32"/>
        <v>3.63</v>
      </c>
      <c r="AS38">
        <f t="shared" si="32"/>
        <v>0.78</v>
      </c>
      <c r="AT38">
        <f t="shared" si="24"/>
        <v>83</v>
      </c>
      <c r="AU38">
        <f t="shared" si="33"/>
        <v>3.69</v>
      </c>
      <c r="AV38">
        <f t="shared" si="33"/>
        <v>0.71</v>
      </c>
      <c r="AW38" s="65">
        <f t="shared" si="26"/>
        <v>-7.8935273451387664E-2</v>
      </c>
      <c r="AX38">
        <f t="shared" si="27"/>
        <v>0.13395168643708039</v>
      </c>
    </row>
    <row r="39" spans="5:51">
      <c r="E39" t="str">
        <f t="shared" si="28"/>
        <v>Pizzagalli DA</v>
      </c>
      <c r="F39">
        <f t="shared" si="28"/>
        <v>2009</v>
      </c>
      <c r="G39">
        <v>1</v>
      </c>
      <c r="H39">
        <f t="shared" si="29"/>
        <v>26</v>
      </c>
      <c r="I39">
        <f t="shared" si="29"/>
        <v>31</v>
      </c>
      <c r="J39">
        <f t="shared" si="30"/>
        <v>5364</v>
      </c>
      <c r="K39">
        <f t="shared" si="30"/>
        <v>697</v>
      </c>
      <c r="L39">
        <f t="shared" si="30"/>
        <v>5369</v>
      </c>
      <c r="M39">
        <f t="shared" si="30"/>
        <v>717</v>
      </c>
      <c r="N39">
        <f t="shared" si="4"/>
        <v>707.97913425852778</v>
      </c>
      <c r="O39" s="59">
        <f t="shared" si="5"/>
        <v>-6.9656104405956465E-3</v>
      </c>
      <c r="P39" s="63">
        <f t="shared" si="6"/>
        <v>7.0720060193355486E-2</v>
      </c>
      <c r="Q39" s="59">
        <f t="shared" si="7"/>
        <v>0.52122757336771275</v>
      </c>
      <c r="R39" s="59">
        <f t="shared" si="8"/>
        <v>14.140259457725337</v>
      </c>
      <c r="S39" s="59">
        <f t="shared" si="9"/>
        <v>-9.849553891146294E-2</v>
      </c>
      <c r="T39" s="59">
        <f t="shared" si="10"/>
        <v>6.8608155419378099E-4</v>
      </c>
      <c r="U39" s="23">
        <f t="shared" si="11"/>
        <v>199.94693753179084</v>
      </c>
      <c r="V39" s="59">
        <f t="shared" si="12"/>
        <v>7.0087302574103996</v>
      </c>
      <c r="W39" s="59">
        <f t="shared" si="13"/>
        <v>-4.8820084656336492E-2</v>
      </c>
      <c r="AF39" s="59">
        <f t="shared" si="14"/>
        <v>-6.9656104405956465E-3</v>
      </c>
      <c r="AG39" s="59">
        <f t="shared" si="15"/>
        <v>0.52122757336771275</v>
      </c>
      <c r="AH39" s="59">
        <f t="shared" si="16"/>
        <v>0.52122757336771275</v>
      </c>
      <c r="AJ39">
        <f t="shared" si="17"/>
        <v>0.2659324353916902</v>
      </c>
      <c r="AK39">
        <f t="shared" si="18"/>
        <v>3.7603536346632795</v>
      </c>
      <c r="AL39">
        <f t="shared" si="19"/>
        <v>-2.6193158537942327E-2</v>
      </c>
      <c r="AN39" t="str">
        <f t="shared" si="31"/>
        <v>Pizzagalli DA</v>
      </c>
      <c r="AO39">
        <f t="shared" si="31"/>
        <v>2009</v>
      </c>
      <c r="AP39" t="str">
        <f t="shared" si="21"/>
        <v>Pizzagalli DA 2009</v>
      </c>
      <c r="AQ39">
        <f t="shared" si="22"/>
        <v>26</v>
      </c>
      <c r="AR39">
        <f t="shared" si="32"/>
        <v>5364</v>
      </c>
      <c r="AS39">
        <f t="shared" si="32"/>
        <v>697</v>
      </c>
      <c r="AT39">
        <f t="shared" si="24"/>
        <v>31</v>
      </c>
      <c r="AU39">
        <f t="shared" si="33"/>
        <v>5369</v>
      </c>
      <c r="AV39">
        <f t="shared" si="33"/>
        <v>717</v>
      </c>
      <c r="AW39" s="65">
        <f t="shared" si="26"/>
        <v>-6.9656104405956465E-3</v>
      </c>
      <c r="AX39">
        <f t="shared" si="27"/>
        <v>0.2659324353916902</v>
      </c>
    </row>
    <row r="40" spans="5:51">
      <c r="U40" s="23"/>
    </row>
    <row r="41" spans="5:51">
      <c r="L41" t="s">
        <v>500</v>
      </c>
      <c r="N41" s="7"/>
      <c r="O41" s="66">
        <f>COUNT(O34:O39)</f>
        <v>6</v>
      </c>
      <c r="Q41" t="s">
        <v>885</v>
      </c>
      <c r="R41" s="59">
        <f t="shared" ref="R41:W41" si="34">SUM(R34:R39)</f>
        <v>130.5011415601673</v>
      </c>
      <c r="S41" s="59">
        <f t="shared" si="34"/>
        <v>-27.210106134118341</v>
      </c>
      <c r="T41" s="59">
        <f t="shared" si="34"/>
        <v>17.716907774538139</v>
      </c>
      <c r="U41" s="23">
        <f t="shared" si="34"/>
        <v>4256.8939557104968</v>
      </c>
      <c r="V41" s="59">
        <f t="shared" si="34"/>
        <v>46.883200037834079</v>
      </c>
      <c r="W41" s="59">
        <f t="shared" si="34"/>
        <v>-10.893310779830488</v>
      </c>
    </row>
    <row r="42" spans="5:51">
      <c r="L42" t="s">
        <v>501</v>
      </c>
      <c r="N42" s="7"/>
      <c r="O42" s="2">
        <v>0</v>
      </c>
    </row>
    <row r="43" spans="5:51">
      <c r="N43" s="7"/>
      <c r="O43" s="7"/>
    </row>
    <row r="44" spans="5:51">
      <c r="G44" s="67" t="s">
        <v>502</v>
      </c>
      <c r="H44" s="40"/>
      <c r="I44" s="40">
        <f>S41/R41</f>
        <v>-0.20850473650127554</v>
      </c>
      <c r="J44" s="40"/>
      <c r="K44" s="68" t="s">
        <v>879</v>
      </c>
      <c r="L44" s="40"/>
      <c r="M44" s="42"/>
      <c r="N44" s="7"/>
      <c r="O44" s="69" t="s">
        <v>503</v>
      </c>
      <c r="P44" s="70">
        <f>T41-((S41^2)/R41)</f>
        <v>12.043471764872052</v>
      </c>
      <c r="Q44" s="71" t="s">
        <v>824</v>
      </c>
      <c r="R44" s="28"/>
      <c r="S44" s="29"/>
      <c r="T44" s="30"/>
      <c r="U44" s="31"/>
      <c r="AF44" s="2" t="s">
        <v>1518</v>
      </c>
    </row>
    <row r="45" spans="5:51">
      <c r="G45" s="43" t="s">
        <v>504</v>
      </c>
      <c r="H45" s="31"/>
      <c r="I45" s="31">
        <f>1/R41</f>
        <v>7.6627682183067489E-3</v>
      </c>
      <c r="J45" s="31"/>
      <c r="K45" s="31"/>
      <c r="L45" s="31"/>
      <c r="M45" s="44"/>
      <c r="N45" s="7"/>
      <c r="O45" s="30" t="s">
        <v>505</v>
      </c>
      <c r="P45" s="31">
        <f>CHIDIST(P44,I49-1)</f>
        <v>3.4196948216188038E-2</v>
      </c>
      <c r="Q45" s="31"/>
      <c r="R45" s="31"/>
      <c r="S45" s="34"/>
      <c r="T45" s="30"/>
      <c r="U45" s="31"/>
      <c r="AF45" s="2"/>
    </row>
    <row r="46" spans="5:51">
      <c r="G46" s="72" t="s">
        <v>506</v>
      </c>
      <c r="H46" s="31"/>
      <c r="I46" s="31">
        <f>$R$56*SQRT(I45)</f>
        <v>0.17157298851348135</v>
      </c>
      <c r="J46" s="31"/>
      <c r="K46" s="31" t="s">
        <v>507</v>
      </c>
      <c r="L46" s="31"/>
      <c r="M46" s="44">
        <f>ABS(I44/SQRT(I45))</f>
        <v>2.3818975648978036</v>
      </c>
      <c r="N46" s="7"/>
      <c r="O46" s="35" t="s">
        <v>508</v>
      </c>
      <c r="P46" s="37">
        <f>IF(((P44-(I49-1))/P44)&lt;0,0,100*((P44-(I49-1))/P44))</f>
        <v>58.483732119638354</v>
      </c>
      <c r="Q46" s="36"/>
      <c r="R46" s="36"/>
      <c r="S46" s="38"/>
      <c r="T46" s="30"/>
      <c r="U46" s="31"/>
      <c r="AF46" s="2" t="s">
        <v>1535</v>
      </c>
      <c r="AH46">
        <f>IF($D$6=1,100*((EXP(I44))-1),I44)</f>
        <v>-0.20850473650127554</v>
      </c>
    </row>
    <row r="47" spans="5:51">
      <c r="G47" s="45" t="s">
        <v>509</v>
      </c>
      <c r="H47" s="46"/>
      <c r="I47" s="46">
        <v>-2</v>
      </c>
      <c r="J47" s="46"/>
      <c r="K47" s="46" t="s">
        <v>825</v>
      </c>
      <c r="L47" s="46"/>
      <c r="M47" s="47">
        <f>2*(1-NORMDIST(M46,0,1,1))</f>
        <v>1.7223687776014573E-2</v>
      </c>
      <c r="N47" s="7"/>
      <c r="O47" s="7"/>
      <c r="AF47" s="79" t="s">
        <v>834</v>
      </c>
      <c r="AH47">
        <f>IF($D$6=1,100*(EXP(I44+I46)-EXP(I44)),I46)</f>
        <v>0.17157298851348135</v>
      </c>
    </row>
    <row r="48" spans="5:51">
      <c r="G48" s="40"/>
      <c r="H48" s="40"/>
      <c r="I48" s="40"/>
      <c r="J48" s="40"/>
      <c r="K48" s="40"/>
      <c r="L48" s="40"/>
      <c r="M48" s="40"/>
      <c r="N48" s="7"/>
      <c r="O48" s="7"/>
      <c r="AF48" s="79" t="s">
        <v>835</v>
      </c>
      <c r="AH48">
        <f>IF($D$6=1,100*(EXP(I44)-EXP(I44-I46)),I46)</f>
        <v>0.17157298851348135</v>
      </c>
    </row>
    <row r="49" spans="7:34">
      <c r="G49" s="73" t="s">
        <v>1110</v>
      </c>
      <c r="H49" s="74"/>
      <c r="I49" s="74">
        <f>O41</f>
        <v>6</v>
      </c>
      <c r="J49" s="74"/>
      <c r="K49" s="75" t="s">
        <v>1167</v>
      </c>
      <c r="L49" s="74"/>
      <c r="M49" s="76"/>
      <c r="N49" s="77"/>
      <c r="O49" s="101" t="s">
        <v>1513</v>
      </c>
      <c r="P49" s="102"/>
      <c r="Q49" s="103"/>
      <c r="AF49" s="7"/>
    </row>
    <row r="50" spans="7:34">
      <c r="G50" s="77" t="s">
        <v>1531</v>
      </c>
      <c r="H50" s="31"/>
      <c r="I50" s="31">
        <f>R41/I49</f>
        <v>21.750190260027882</v>
      </c>
      <c r="J50" s="31"/>
      <c r="K50" s="31"/>
      <c r="L50" s="31"/>
      <c r="M50" s="78"/>
      <c r="N50" s="77"/>
      <c r="O50" s="104" t="s">
        <v>1514</v>
      </c>
      <c r="P50" s="31"/>
      <c r="Q50" s="105">
        <f>INDEX(LINEST(AL34:AL39,AK34:AK39,TRUE,TRUE),1,2)</f>
        <v>-0.84098375757261024</v>
      </c>
      <c r="AF50" s="2" t="s">
        <v>1687</v>
      </c>
      <c r="AH50">
        <f>IF($D$6=1,100*((EXP(I55))-1),I55)</f>
        <v>-0.2323499840249757</v>
      </c>
    </row>
    <row r="51" spans="7:34">
      <c r="G51" s="77" t="s">
        <v>1532</v>
      </c>
      <c r="H51" s="31"/>
      <c r="I51" s="31">
        <f>(1/(I49-1))*(U41-(I49*I50^2))</f>
        <v>283.69385952520537</v>
      </c>
      <c r="J51" s="31"/>
      <c r="K51" s="31"/>
      <c r="L51" s="31"/>
      <c r="M51" s="78"/>
      <c r="N51" s="77"/>
      <c r="O51" s="104" t="s">
        <v>1516</v>
      </c>
      <c r="P51" s="31"/>
      <c r="Q51" s="105">
        <f>INDEX(LINEST(AL34:AL39,AK34:AK39,TRUE,TRUE),2,2)</f>
        <v>2.359199644958327</v>
      </c>
      <c r="AF51" s="79" t="s">
        <v>834</v>
      </c>
      <c r="AG51" s="7"/>
      <c r="AH51">
        <f>IF($D$6=1,100*(EXP(I55+I57)-EXP(I55)),I57)</f>
        <v>0.28625128692283536</v>
      </c>
    </row>
    <row r="52" spans="7:34">
      <c r="G52" s="77" t="s">
        <v>1669</v>
      </c>
      <c r="H52" s="31"/>
      <c r="I52" s="31">
        <f>(I49-1)*(I50-(I51/(I49*I50)))</f>
        <v>97.881549847646795</v>
      </c>
      <c r="J52" s="31"/>
      <c r="K52" s="31"/>
      <c r="L52" s="31"/>
      <c r="M52" s="78"/>
      <c r="N52" s="77"/>
      <c r="O52" s="104" t="s">
        <v>1349</v>
      </c>
      <c r="P52" s="31"/>
      <c r="Q52" s="105">
        <f>ABS(Q50/Q51)</f>
        <v>0.35646994071477378</v>
      </c>
      <c r="AF52" s="79" t="s">
        <v>835</v>
      </c>
      <c r="AH52">
        <f>IF($D$6=1,100*(EXP(I55)-EXP(I55-I57)),I57)</f>
        <v>0.28625128692283536</v>
      </c>
    </row>
    <row r="53" spans="7:34">
      <c r="G53" s="77" t="s">
        <v>1685</v>
      </c>
      <c r="H53" s="31"/>
      <c r="I53" s="31">
        <f>IF(P44&gt;(I49-1),(P44-(I49-1))/I52,0)</f>
        <v>7.1959136076566593E-2</v>
      </c>
      <c r="J53" s="31"/>
      <c r="K53" s="31"/>
      <c r="L53" s="31"/>
      <c r="M53" s="78"/>
      <c r="N53" s="77"/>
      <c r="O53" s="106" t="s">
        <v>1515</v>
      </c>
      <c r="P53" s="107"/>
      <c r="Q53" s="108">
        <f>TDIST(Q52,I49-2,2)</f>
        <v>0.73949687822867305</v>
      </c>
    </row>
    <row r="54" spans="7:34">
      <c r="G54" s="77"/>
      <c r="H54" s="31"/>
      <c r="I54" s="31"/>
      <c r="J54" s="31"/>
      <c r="K54" s="31"/>
      <c r="L54" s="31"/>
      <c r="M54" s="78"/>
      <c r="N54" s="77"/>
    </row>
    <row r="55" spans="7:34">
      <c r="G55" s="77" t="s">
        <v>1686</v>
      </c>
      <c r="H55" s="31"/>
      <c r="I55" s="31">
        <f>W41/V41</f>
        <v>-0.2323499840249757</v>
      </c>
      <c r="J55" s="31"/>
      <c r="N55" s="77"/>
    </row>
    <row r="56" spans="7:34">
      <c r="G56" s="77" t="s">
        <v>504</v>
      </c>
      <c r="H56" s="31"/>
      <c r="I56" s="31">
        <f>1/V41</f>
        <v>2.1329602057731004E-2</v>
      </c>
      <c r="J56" s="31"/>
      <c r="N56" s="77"/>
      <c r="O56" t="s">
        <v>805</v>
      </c>
      <c r="R56">
        <v>1.96</v>
      </c>
    </row>
    <row r="57" spans="7:34">
      <c r="G57" s="80" t="s">
        <v>506</v>
      </c>
      <c r="H57" s="31"/>
      <c r="I57" s="31">
        <f>$R$56*SQRT(I56)</f>
        <v>0.28625128692283536</v>
      </c>
      <c r="J57" s="31"/>
      <c r="K57" s="31" t="s">
        <v>507</v>
      </c>
      <c r="L57" s="31"/>
      <c r="M57" s="78">
        <f>ABS(I55/(SQRT(I56)))</f>
        <v>1.5909307293759556</v>
      </c>
      <c r="N57" s="77"/>
    </row>
    <row r="58" spans="7:34">
      <c r="G58" s="81" t="s">
        <v>509</v>
      </c>
      <c r="H58" s="82"/>
      <c r="I58" s="82">
        <v>-3</v>
      </c>
      <c r="J58" s="82"/>
      <c r="K58" s="31" t="s">
        <v>825</v>
      </c>
      <c r="L58" s="31"/>
      <c r="M58" s="78">
        <f>2*(1-NORMDIST(M57,0,1,1))</f>
        <v>0.11162516599395578</v>
      </c>
      <c r="N58" s="77"/>
    </row>
    <row r="59" spans="7:34">
      <c r="G59" s="74"/>
      <c r="H59" s="74"/>
      <c r="I59" s="74"/>
      <c r="J59" s="74"/>
      <c r="K59" s="74"/>
      <c r="L59" s="74"/>
      <c r="M59" s="74"/>
      <c r="N59" s="31"/>
      <c r="O59" s="7"/>
    </row>
  </sheetData>
  <phoneticPr fontId="10" type="noConversion"/>
  <conditionalFormatting sqref="D17 D13 F13">
    <cfRule type="cellIs" dxfId="120" priority="0" stopIfTrue="1" operator="lessThan">
      <formula>0.05</formula>
    </cfRule>
  </conditionalFormatting>
  <conditionalFormatting sqref="D21">
    <cfRule type="cellIs" dxfId="11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sheetPr published="0" codeName="Sheet60" enableFormatConditionsCalculation="0"/>
  <dimension ref="A1:BM71"/>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38" width="5.6640625" customWidth="1"/>
    <col min="39" max="39" width="7.77734375" customWidth="1"/>
    <col min="40" max="40" width="16.6640625" customWidth="1"/>
    <col min="41" max="41" width="13.6640625" customWidth="1"/>
    <col min="42" max="42" width="9.77734375" customWidth="1"/>
    <col min="43" max="48" width="5.6640625" customWidth="1"/>
    <col min="49" max="49" width="6.6640625" customWidth="1"/>
    <col min="50" max="50" width="7.33203125" customWidth="1"/>
    <col min="51" max="53" width="5.6640625" customWidth="1"/>
  </cols>
  <sheetData>
    <row r="1" spans="2:30">
      <c r="B1" s="4" t="s">
        <v>396</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I61-O54</f>
        <v>8</v>
      </c>
      <c r="AD7" s="89"/>
    </row>
    <row r="8" spans="2:30">
      <c r="B8" t="s">
        <v>822</v>
      </c>
      <c r="D8">
        <f>SUM(H24:H33)</f>
        <v>460</v>
      </c>
      <c r="E8" t="s">
        <v>298</v>
      </c>
      <c r="F8">
        <f>Summary!C78</f>
        <v>0.8</v>
      </c>
      <c r="AD8" s="89"/>
    </row>
    <row r="9" spans="2:30">
      <c r="B9" t="s">
        <v>823</v>
      </c>
      <c r="D9">
        <f>SUM(I24:I33)</f>
        <v>298</v>
      </c>
      <c r="AD9" s="89"/>
    </row>
    <row r="11" spans="2:30">
      <c r="B11" s="27" t="s">
        <v>516</v>
      </c>
      <c r="C11" s="28"/>
      <c r="D11" s="109">
        <f>P56</f>
        <v>9.6726301292144132</v>
      </c>
      <c r="E11" s="110" t="s">
        <v>1513</v>
      </c>
      <c r="F11" s="103"/>
    </row>
    <row r="12" spans="2:30">
      <c r="B12" s="30" t="s">
        <v>826</v>
      </c>
      <c r="C12" s="31"/>
      <c r="D12" s="112">
        <f>P58</f>
        <v>27.630852141675739</v>
      </c>
      <c r="E12" s="31"/>
      <c r="F12" s="105"/>
    </row>
    <row r="13" spans="2:30">
      <c r="B13" s="35" t="s">
        <v>825</v>
      </c>
      <c r="C13" s="36"/>
      <c r="D13" s="113">
        <f>P57</f>
        <v>0.2078965722230425</v>
      </c>
      <c r="E13" s="111" t="s">
        <v>825</v>
      </c>
      <c r="F13" s="115">
        <f>Q65</f>
        <v>0.69161291746769793</v>
      </c>
    </row>
    <row r="15" spans="2:30">
      <c r="B15" s="39" t="s">
        <v>879</v>
      </c>
      <c r="C15" s="40"/>
      <c r="D15" s="41">
        <f>AH58</f>
        <v>-0.23507068171093951</v>
      </c>
      <c r="E15" s="116"/>
    </row>
    <row r="16" spans="2:30">
      <c r="B16" s="43" t="s">
        <v>1165</v>
      </c>
      <c r="C16" s="31"/>
      <c r="D16" s="33">
        <f>AH58-AH60</f>
        <v>-0.38622020547375846</v>
      </c>
      <c r="E16" s="117">
        <f>AH58+AH59</f>
        <v>-8.3921157948120523E-2</v>
      </c>
    </row>
    <row r="17" spans="1:65">
      <c r="B17" s="45" t="s">
        <v>1166</v>
      </c>
      <c r="C17" s="46"/>
      <c r="D17" s="123">
        <f>M59</f>
        <v>2.3019354993514263E-3</v>
      </c>
      <c r="E17" s="118"/>
    </row>
    <row r="18" spans="1:65">
      <c r="D18" s="48"/>
      <c r="F18" s="49"/>
    </row>
    <row r="19" spans="1:65">
      <c r="B19" s="50" t="s">
        <v>1167</v>
      </c>
      <c r="C19" s="51"/>
      <c r="D19" s="52">
        <f>AH62</f>
        <v>-0.24851119091648399</v>
      </c>
      <c r="E19" s="120"/>
      <c r="F19" s="33"/>
      <c r="G19" s="31"/>
    </row>
    <row r="20" spans="1:65">
      <c r="B20" s="53" t="s">
        <v>1165</v>
      </c>
      <c r="C20" s="31"/>
      <c r="D20" s="33">
        <f>AH62-AH64</f>
        <v>-0.43419835978897281</v>
      </c>
      <c r="E20" s="121">
        <f>AH62+AH63</f>
        <v>-6.2824022043995204E-2</v>
      </c>
      <c r="F20" s="31"/>
      <c r="G20" s="31"/>
    </row>
    <row r="21" spans="1:65">
      <c r="B21" s="54" t="s">
        <v>1440</v>
      </c>
      <c r="C21" s="55"/>
      <c r="D21" s="114">
        <f>M70</f>
        <v>8.7125537997891911E-3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2" t="s">
        <v>64</v>
      </c>
      <c r="B24">
        <v>9870413</v>
      </c>
      <c r="C24" s="1" t="str">
        <f>IF($B24="","",HYPERLINK(IF(LEN(VLOOKUP($B24,Database!$B$1:$IX$10144,2,FALSE))=0,"",VLOOKUP($B24,Database!$B$1:$IX$10144,2,FALSE))))</f>
        <v/>
      </c>
      <c r="D24" s="1" t="str">
        <f t="shared" ref="D24:D33" si="0">IF($B24="","",HYPERLINK(CONCATENATE("http://www.ncbi.nlm.nih.gov/pubmed/",B24)))</f>
        <v>http://www.ncbi.nlm.nih.gov/pubmed/9870413</v>
      </c>
      <c r="E24" s="22" t="str">
        <f>IF($B24="","",IF(LEN(VLOOKUP($B24,Database!$B$1:$IX$10144,4,FALSE))=0,"",VLOOKUP($B24,Database!$B$1:$IX$10144,4,FALSE)))</f>
        <v>Parashos IA</v>
      </c>
      <c r="F24" s="22">
        <f>IF($B24="","",IF(LEN(VLOOKUP($B24,Database!$B$1:$IX$10144,5,FALSE))=0,"",VLOOKUP($B24,Database!$B$1:$IX$10144,5,FALSE)))</f>
        <v>1998</v>
      </c>
      <c r="G24" s="1" t="str">
        <f>IF($B24="","",HYPERLINK(IF(LEN(VLOOKUP($B24,Database!$B$1:$IX$10144,6,FALSE))=0,"",VLOOKUP($B24,Database!$B$1:$IX$10144,6,FALSE))))</f>
        <v>http://dx.doi.org/10.1016/S0925-4927(98)00042-0</v>
      </c>
      <c r="H24" s="22">
        <f>IF($B24="","",IF(LEN(VLOOKUP($B24,Database!$B$1:$IX$10144,7,FALSE))=0,"",VLOOKUP($B24,Database!$B$1:$IX$10144,7,FALSE)))</f>
        <v>72</v>
      </c>
      <c r="I24" s="22">
        <f>IF($B24="","",IF(LEN(VLOOKUP($B24,Database!$B$1:$IX$10144,8,FALSE))=0,"",VLOOKUP($B24,Database!$B$1:$IX$10144,8,FALSE)))</f>
        <v>38</v>
      </c>
      <c r="J24" t="s">
        <v>201</v>
      </c>
      <c r="T24">
        <v>7.75</v>
      </c>
      <c r="U24">
        <v>1.91</v>
      </c>
      <c r="V24">
        <v>8.68</v>
      </c>
      <c r="W24">
        <v>1.9</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55.4</v>
      </c>
      <c r="AC24" s="22">
        <f>IF(OR($B24="",AC$22=""),"",IF(LEN(VLOOKUP($B24,Database!$B$1:$IX$10144,AC$22,FALSE))=0,"",VLOOKUP($B24,Database!$B$1:$IX$10144,AC$22,FALSE)))</f>
        <v>16.8</v>
      </c>
      <c r="AD24" s="22">
        <f>IF(OR($B24="",AD$22=""),"",IF(LEN(VLOOKUP($B24,Database!$B$1:$IX$10144,AD$22,FALSE))=0,"",VLOOKUP($B24,Database!$B$1:$IX$10144,AD$22,FALSE)))</f>
        <v>55.1</v>
      </c>
      <c r="AE24" s="22">
        <f>IF(OR($B24="",AE$22=""),"",IF(LEN(VLOOKUP($B24,Database!$B$1:$IX$10144,AE$22,FALSE))=0,"",VLOOKUP($B24,Database!$B$1:$IX$10144,AE$22,FALSE)))</f>
        <v>17.100000000000001</v>
      </c>
      <c r="AF24" s="22">
        <f>IF(OR($B24="",AF$22=""),"",IF(LEN(VLOOKUP($B24,Database!$B$1:$IX$10144,AF$22,FALSE))=0,"",VLOOKUP($B24,Database!$B$1:$IX$10144,AF$22,FALSE)))</f>
        <v>45</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38.5</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Parashos IA, Tupler LA, Blitchington T, Krishnan KR.</v>
      </c>
      <c r="AR24" s="13"/>
      <c r="BC24" s="23"/>
      <c r="BF24" s="136"/>
      <c r="BG24" s="136"/>
      <c r="BH24" s="136"/>
      <c r="BI24" s="136"/>
    </row>
    <row r="25" spans="1:65">
      <c r="B25">
        <v>16930719</v>
      </c>
      <c r="C25" s="1" t="str">
        <f>IF($B25="","",HYPERLINK(IF(LEN(VLOOKUP($B25,Database!$B$1:$IX$10144,2,FALSE))=0,"",VLOOKUP($B25,Database!$B$1:$IX$10144,2,FALSE))))</f>
        <v/>
      </c>
      <c r="D25" s="1" t="str">
        <f t="shared" si="0"/>
        <v>http://www.ncbi.nlm.nih.gov/pubmed/16930719</v>
      </c>
      <c r="E25" s="22" t="str">
        <f>IF($B25="","",IF(LEN(VLOOKUP($B25,Database!$B$1:$IX$10144,4,FALSE))=0,"",VLOOKUP($B25,Database!$B$1:$IX$10144,4,FALSE)))</f>
        <v>Hickie IB (A)</v>
      </c>
      <c r="F25" s="22">
        <f>IF($B25="","",IF(LEN(VLOOKUP($B25,Database!$B$1:$IX$10144,5,FALSE))=0,"",VLOOKUP($B25,Database!$B$1:$IX$10144,5,FALSE)))</f>
        <v>2007</v>
      </c>
      <c r="G25" s="1" t="str">
        <f>IF($B25="","",HYPERLINK(IF(LEN(VLOOKUP($B25,Database!$B$1:$IX$10144,6,FALSE))=0,"",VLOOKUP($B25,Database!$B$1:$IX$10144,6,FALSE))))</f>
        <v>http://dx.doi.org/10.1016/j.jad.2006.07.010</v>
      </c>
      <c r="H25" s="22">
        <f>IF($B25="","",IF(LEN(VLOOKUP($B25,Database!$B$1:$IX$10144,7,FALSE))=0,"",VLOOKUP($B25,Database!$B$1:$IX$10144,7,FALSE)))</f>
        <v>45</v>
      </c>
      <c r="I25" s="22">
        <f>IF($B25="","",IF(LEN(VLOOKUP($B25,Database!$B$1:$IX$10144,8,FALSE))=0,"",VLOOKUP($B25,Database!$B$1:$IX$10144,8,FALSE)))</f>
        <v>16</v>
      </c>
      <c r="J25" t="s">
        <v>556</v>
      </c>
      <c r="T25">
        <v>7.2</v>
      </c>
      <c r="U25">
        <v>1.1000000000000001</v>
      </c>
      <c r="V25">
        <v>7.6</v>
      </c>
      <c r="W25">
        <v>0.8</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52</v>
      </c>
      <c r="AC25" s="22">
        <f>IF(OR($B25="",AC$22=""),"",IF(LEN(VLOOKUP($B25,Database!$B$1:$IX$10144,AC$22,FALSE))=0,"",VLOOKUP($B25,Database!$B$1:$IX$10144,AC$22,FALSE)))</f>
        <v>12.8</v>
      </c>
      <c r="AD25" s="22">
        <f>IF(OR($B25="",AD$22=""),"",IF(LEN(VLOOKUP($B25,Database!$B$1:$IX$10144,AD$22,FALSE))=0,"",VLOOKUP($B25,Database!$B$1:$IX$10144,AD$22,FALSE)))</f>
        <v>55.8</v>
      </c>
      <c r="AE25" s="22">
        <f>IF(OR($B25="",AE$22=""),"",IF(LEN(VLOOKUP($B25,Database!$B$1:$IX$10144,AE$22,FALSE))=0,"",VLOOKUP($B25,Database!$B$1:$IX$10144,AE$22,FALSE)))</f>
        <v>10.3</v>
      </c>
      <c r="AF25" s="22">
        <f>IF(OR($B25="",AF$22=""),"",IF(LEN(VLOOKUP($B25,Database!$B$1:$IX$10144,AF$22,FALSE))=0,"",VLOOKUP($B25,Database!$B$1:$IX$10144,AF$22,FALSE)))</f>
        <v>30</v>
      </c>
      <c r="AG25" s="22">
        <f>IF(OR($B25="",AG$22=""),"",IF(LEN(VLOOKUP($B25,Database!$B$1:$IX$10144,AG$22,FALSE))=0,"",VLOOKUP($B25,Database!$B$1:$IX$10144,AG$22,FALSE)))</f>
        <v>9</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36.1</v>
      </c>
      <c r="AL25" s="22">
        <f>IF(OR($B25="",AL$22=""),"",IF(LEN(VLOOKUP($B25,Database!$B$1:$IX$10144,AL$22,FALSE))=0,"",VLOOKUP($B25,Database!$B$1:$IX$10144,AL$22,FALSE)))</f>
        <v>26.8</v>
      </c>
      <c r="AM25" s="22">
        <f>IF(OR($B25="",AM$22=""),"",IF(LEN(VLOOKUP($B25,Database!$B$1:$IX$10144,AM$22,FALSE))=0,"",VLOOKUP($B25,Database!$B$1:$IX$10144,AM$22,FALSE)))</f>
        <v>64.444444444444443</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Hickie IB, Naismith SL, Ward PB, Scott EM, Mitchell PB, Schofield PR, Scimone A, Wilhelm K, Parker G.</v>
      </c>
      <c r="AR25" s="13"/>
      <c r="BC25" s="23"/>
      <c r="BF25" s="136"/>
      <c r="BG25" s="136"/>
      <c r="BH25" s="136"/>
      <c r="BI25" s="136"/>
    </row>
    <row r="26" spans="1:65">
      <c r="B26">
        <v>18075490</v>
      </c>
      <c r="C26" s="1" t="str">
        <f>IF($B26="","",HYPERLINK(IF(LEN(VLOOKUP($B26,Database!$B$1:$IX$10144,2,FALSE))=0,"",VLOOKUP($B26,Database!$B$1:$IX$10144,2,FALSE))))</f>
        <v/>
      </c>
      <c r="D26" s="1" t="str">
        <f t="shared" si="0"/>
        <v>http://www.ncbi.nlm.nih.gov/pubmed/18075490</v>
      </c>
      <c r="E26" s="22" t="str">
        <f>IF($B26="","",IF(LEN(VLOOKUP($B26,Database!$B$1:$IX$10144,4,FALSE))=0,"",VLOOKUP($B26,Database!$B$1:$IX$10144,4,FALSE)))</f>
        <v>Andreescu C</v>
      </c>
      <c r="F26" s="22">
        <f>IF($B26="","",IF(LEN(VLOOKUP($B26,Database!$B$1:$IX$10144,5,FALSE))=0,"",VLOOKUP($B26,Database!$B$1:$IX$10144,5,FALSE)))</f>
        <v>2008</v>
      </c>
      <c r="G26" s="1" t="str">
        <f>IF($B26="","",HYPERLINK(IF(LEN(VLOOKUP($B26,Database!$B$1:$IX$10144,6,FALSE))=0,"",VLOOKUP($B26,Database!$B$1:$IX$10144,6,FALSE))))</f>
        <v>http://www.nature.com/npp/journal/v33/n11/pdf/1301655a.pdf</v>
      </c>
      <c r="H26" s="22">
        <f>IF($B26="","",IF(LEN(VLOOKUP($B26,Database!$B$1:$IX$10144,7,FALSE))=0,"",VLOOKUP($B26,Database!$B$1:$IX$10144,7,FALSE)))</f>
        <v>71</v>
      </c>
      <c r="I26" s="22">
        <f>IF($B26="","",IF(LEN(VLOOKUP($B26,Database!$B$1:$IX$10144,8,FALSE))=0,"",VLOOKUP($B26,Database!$B$1:$IX$10144,8,FALSE)))</f>
        <v>32</v>
      </c>
      <c r="J26" t="s">
        <v>202</v>
      </c>
      <c r="T26">
        <v>1.1100000000000001</v>
      </c>
      <c r="U26">
        <v>0.18</v>
      </c>
      <c r="V26">
        <v>1.24</v>
      </c>
      <c r="W26">
        <v>0.23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72.2</v>
      </c>
      <c r="AC26" s="22">
        <f>IF(OR($B26="",AC$22=""),"",IF(LEN(VLOOKUP($B26,Database!$B$1:$IX$10144,AC$22,FALSE))=0,"",VLOOKUP($B26,Database!$B$1:$IX$10144,AC$22,FALSE)))</f>
        <v>6.2</v>
      </c>
      <c r="AD26" s="22">
        <f>IF(OR($B26="",AD$22=""),"",IF(LEN(VLOOKUP($B26,Database!$B$1:$IX$10144,AD$22,FALSE))=0,"",VLOOKUP($B26,Database!$B$1:$IX$10144,AD$22,FALSE)))</f>
        <v>71</v>
      </c>
      <c r="AE26" s="22">
        <f>IF(OR($B26="",AE$22=""),"",IF(LEN(VLOOKUP($B26,Database!$B$1:$IX$10144,AE$22,FALSE))=0,"",VLOOKUP($B26,Database!$B$1:$IX$10144,AE$22,FALSE)))</f>
        <v>6.7</v>
      </c>
      <c r="AF26" s="22">
        <f>IF(OR($B26="",AF$22=""),"",IF(LEN(VLOOKUP($B26,Database!$B$1:$IX$10144,AF$22,FALSE))=0,"",VLOOKUP($B26,Database!$B$1:$IX$10144,AF$22,FALSE)))</f>
        <v>49</v>
      </c>
      <c r="AG26" s="22">
        <f>IF(OR($B26="",AG$22=""),"",IF(LEN(VLOOKUP($B26,Database!$B$1:$IX$10144,AG$22,FALSE))=0,"",VLOOKUP($B26,Database!$B$1:$IX$10144,AG$22,FALSE)))</f>
        <v>17</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52.3</v>
      </c>
      <c r="AL26" s="22">
        <f>IF(OR($B26="",AL$22=""),"",IF(LEN(VLOOKUP($B26,Database!$B$1:$IX$10144,AL$22,FALSE))=0,"",VLOOKUP($B26,Database!$B$1:$IX$10144,AL$22,FALSE)))</f>
        <v>18.3</v>
      </c>
      <c r="AM26" s="22">
        <f>IF(OR($B26="",AM$22=""),"",IF(LEN(VLOOKUP($B26,Database!$B$1:$IX$10144,AM$22,FALSE))=0,"",VLOOKUP($B26,Database!$B$1:$IX$10144,AM$22,FALSE)))</f>
        <v>16.901408450704224</v>
      </c>
      <c r="AN26" s="22" t="str">
        <f>IF(OR($B26="",AN$22=""),"",IF(LEN(VLOOKUP($B26,Database!$B$1:$IX$10144,AN$22,FALSE))=0,"",VLOOKUP($B26,Database!$B$1:$IX$10144,AN$22,FALSE)))</f>
        <v>ns</v>
      </c>
      <c r="AO26" s="22">
        <f>IF(OR($B26="",AO$22=""),"",IF(LEN(VLOOKUP($B26,Database!$B$1:$IX$10144,AO$22,FALSE))=0,"",VLOOKUP($B26,Database!$B$1:$IX$10144,AO$22,FALSE)))</f>
        <v>1.4084507042253522</v>
      </c>
      <c r="AP26" s="22" t="str">
        <f>IF(OR($B26="",AP$22=""),"",IF(LEN(VLOOKUP($B26,Database!$B$1:$IX$10144,AP$22,FALSE))=0,"",VLOOKUP($B26,Database!$B$1:$IX$10144,AP$22,FALSE)))</f>
        <v>ns</v>
      </c>
      <c r="AQ26" s="22" t="str">
        <f>IF(OR($B26="",AQ$22=""),"",IF(LEN(VLOOKUP($B26,Database!$B$1:$IX$10144,AQ$22,FALSE))=0,"",VLOOKUP($B26,Database!$B$1:$IX$10144,AQ$22,FALSE)))</f>
        <v>Andreescu C, Butters MA, Begley A, Rajji T, Wu M, Meltzer CC, Reynolds CF 3rd, Aizenstein H.</v>
      </c>
      <c r="AR26" s="13"/>
      <c r="BC26" s="23"/>
      <c r="BF26" s="136"/>
      <c r="BG26" s="136"/>
      <c r="BH26" s="136"/>
      <c r="BI26" s="136"/>
    </row>
    <row r="27" spans="1:65">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c r="AR27" s="13"/>
      <c r="BC27" s="23"/>
      <c r="BF27" s="136"/>
      <c r="BG27" s="136"/>
      <c r="BH27" s="136"/>
      <c r="BI27" s="136"/>
    </row>
    <row r="28" spans="1:65">
      <c r="A28" s="4" t="s">
        <v>397</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c r="AR28" s="13"/>
      <c r="BC28" s="23"/>
      <c r="BF28" s="136"/>
      <c r="BG28" s="136"/>
      <c r="BH28" s="136"/>
      <c r="BI28" s="136"/>
    </row>
    <row r="29" spans="1:65">
      <c r="B29">
        <v>10588417</v>
      </c>
      <c r="C29" s="1" t="str">
        <f>IF($B29="","",HYPERLINK(IF(LEN(VLOOKUP($B29,Database!$B$1:$IX$10144,2,FALSE))=0,"",VLOOKUP($B29,Database!$B$1:$IX$10144,2,FALSE))))</f>
        <v/>
      </c>
      <c r="D29" s="1" t="str">
        <f t="shared" si="0"/>
        <v>http://www.ncbi.nlm.nih.gov/pubmed/10588417</v>
      </c>
      <c r="E29" s="22" t="str">
        <f>IF($B29="","",IF(LEN(VLOOKUP($B29,Database!$B$1:$IX$10144,4,FALSE))=0,"",VLOOKUP($B29,Database!$B$1:$IX$10144,4,FALSE)))</f>
        <v>Lenze EJ (B)</v>
      </c>
      <c r="F29" s="22">
        <f>IF($B29="","",IF(LEN(VLOOKUP($B29,Database!$B$1:$IX$10144,5,FALSE))=0,"",VLOOKUP($B29,Database!$B$1:$IX$10144,5,FALSE)))</f>
        <v>1999</v>
      </c>
      <c r="G29" s="1" t="str">
        <f>IF($B29="","",HYPERLINK(IF(LEN(VLOOKUP($B29,Database!$B$1:$IX$10144,6,FALSE))=0,"",VLOOKUP($B29,Database!$B$1:$IX$10144,6,FALSE))))</f>
        <v>http://ajp.psychiatryonline.org/cgi/reprint/156/12/1989</v>
      </c>
      <c r="H29" s="22">
        <f>IF($B29="","",IF(LEN(VLOOKUP($B29,Database!$B$1:$IX$10144,7,FALSE))=0,"",VLOOKUP($B29,Database!$B$1:$IX$10144,7,FALSE)))</f>
        <v>24</v>
      </c>
      <c r="I29" s="22">
        <f>IF($B29="","",IF(LEN(VLOOKUP($B29,Database!$B$1:$IX$10144,8,FALSE))=0,"",VLOOKUP($B29,Database!$B$1:$IX$10144,8,FALSE)))</f>
        <v>24</v>
      </c>
      <c r="J29" t="s">
        <v>556</v>
      </c>
      <c r="L29">
        <v>3.86</v>
      </c>
      <c r="M29">
        <v>0.55000000000000004</v>
      </c>
      <c r="N29">
        <v>3.79</v>
      </c>
      <c r="O29">
        <v>0.48</v>
      </c>
      <c r="P29">
        <v>3.93</v>
      </c>
      <c r="Q29">
        <v>0.64</v>
      </c>
      <c r="R29">
        <v>3.91</v>
      </c>
      <c r="S29">
        <v>0.62</v>
      </c>
      <c r="T29">
        <f>L29+P29</f>
        <v>7.79</v>
      </c>
      <c r="U29">
        <f>2*SQRT(0.25*(M29^2+Q29^2+2*$F$8*M29*Q29))</f>
        <v>1.1292918134831227</v>
      </c>
      <c r="V29">
        <f>N29+R29</f>
        <v>7.7</v>
      </c>
      <c r="W29">
        <f>2*SQRT(0.25*(O29^2+S29^2+2*$F$8*O29*S29))</f>
        <v>1.0444903063217006</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53</v>
      </c>
      <c r="AC29" s="22" t="str">
        <f>IF(OR($B29="",AC$22=""),"",IF(LEN(VLOOKUP($B29,Database!$B$1:$IX$10144,AC$22,FALSE))=0,"",VLOOKUP($B29,Database!$B$1:$IX$10144,AC$22,FALSE)))</f>
        <v>ns</v>
      </c>
      <c r="AD29" s="22">
        <f>IF(OR($B29="",AD$22=""),"",IF(LEN(VLOOKUP($B29,Database!$B$1:$IX$10144,AD$22,FALSE))=0,"",VLOOKUP($B29,Database!$B$1:$IX$10144,AD$22,FALSE)))</f>
        <v>53</v>
      </c>
      <c r="AE29" s="22" t="str">
        <f>IF(OR($B29="",AE$22=""),"",IF(LEN(VLOOKUP($B29,Database!$B$1:$IX$10144,AE$22,FALSE))=0,"",VLOOKUP($B29,Database!$B$1:$IX$10144,AE$22,FALSE)))</f>
        <v>ns</v>
      </c>
      <c r="AF29" s="22">
        <f>IF(OR($B29="",AF$22=""),"",IF(LEN(VLOOKUP($B29,Database!$B$1:$IX$10144,AF$22,FALSE))=0,"",VLOOKUP($B29,Database!$B$1:$IX$10144,AF$22,FALSE)))</f>
        <v>24</v>
      </c>
      <c r="AG29" s="22">
        <f>IF(OR($B29="",AG$22=""),"",IF(LEN(VLOOKUP($B29,Database!$B$1:$IX$10144,AG$22,FALSE))=0,"",VLOOKUP($B29,Database!$B$1:$IX$10144,AG$22,FALSE)))</f>
        <v>24</v>
      </c>
      <c r="AH29" s="22" t="str">
        <f>IF(OR($B29="",AH$22=""),"",IF(LEN(VLOOKUP($B29,Database!$B$1:$IX$10144,AH$22,FALSE))=0,"",VLOOKUP($B29,Database!$B$1:$IX$10144,AH$22,FALSE)))</f>
        <v/>
      </c>
      <c r="AI29" s="22">
        <f>IF(OR($B29="",AI$22=""),"",IF(LEN(VLOOKUP($B29,Database!$B$1:$IX$10144,AI$22,FALSE))=0,"",VLOOKUP($B29,Database!$B$1:$IX$10144,AI$22,FALSE)))</f>
        <v>1.25</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Lenze EJ, Sheline YI.</v>
      </c>
      <c r="AR29" s="13"/>
      <c r="BC29" s="23"/>
      <c r="BF29" s="136"/>
      <c r="BG29" s="136"/>
      <c r="BH29" s="136"/>
      <c r="BI29" s="136"/>
    </row>
    <row r="30" spans="1:65">
      <c r="A30" s="13" t="s">
        <v>2334</v>
      </c>
      <c r="B30">
        <v>14623065</v>
      </c>
      <c r="C30" s="1" t="str">
        <f>IF($B30="","",HYPERLINK(IF(LEN(VLOOKUP($B30,Database!$B$1:$IX$10144,2,FALSE))=0,"",VLOOKUP($B30,Database!$B$1:$IX$10144,2,FALSE))))</f>
        <v/>
      </c>
      <c r="D30" s="1" t="str">
        <f t="shared" si="0"/>
        <v>http://www.ncbi.nlm.nih.gov/pubmed/14623065</v>
      </c>
      <c r="E30" s="22" t="str">
        <f>IF($B30="","",IF(LEN(VLOOKUP($B30,Database!$B$1:$IX$10144,4,FALSE))=0,"",VLOOKUP($B30,Database!$B$1:$IX$10144,4,FALSE)))</f>
        <v>Lacerda AL</v>
      </c>
      <c r="F30" s="22">
        <f>IF($B30="","",IF(LEN(VLOOKUP($B30,Database!$B$1:$IX$10144,5,FALSE))=0,"",VLOOKUP($B30,Database!$B$1:$IX$10144,5,FALSE)))</f>
        <v>2003</v>
      </c>
      <c r="G30" s="1" t="str">
        <f>IF($B30="","",HYPERLINK(IF(LEN(VLOOKUP($B30,Database!$B$1:$IX$10144,6,FALSE))=0,"",VLOOKUP($B30,Database!$B$1:$IX$10144,6,FALSE))))</f>
        <v>http://dx.doi.org/10.1016/S0925-4927(03)00123-9</v>
      </c>
      <c r="H30" s="22">
        <f>IF($B30="","",IF(LEN(VLOOKUP($B30,Database!$B$1:$IX$10144,7,FALSE))=0,"",VLOOKUP($B30,Database!$B$1:$IX$10144,7,FALSE)))</f>
        <v>25</v>
      </c>
      <c r="I30" s="22">
        <f>IF($B30="","",IF(LEN(VLOOKUP($B30,Database!$B$1:$IX$10144,8,FALSE))=0,"",VLOOKUP($B30,Database!$B$1:$IX$10144,8,FALSE)))</f>
        <v>48</v>
      </c>
      <c r="J30" t="s">
        <v>556</v>
      </c>
      <c r="L30">
        <v>3.05</v>
      </c>
      <c r="M30">
        <v>0.84</v>
      </c>
      <c r="N30">
        <v>3.23</v>
      </c>
      <c r="O30">
        <v>0.84</v>
      </c>
      <c r="P30">
        <v>2.33</v>
      </c>
      <c r="Q30">
        <v>0.8</v>
      </c>
      <c r="R30">
        <v>2.4</v>
      </c>
      <c r="S30">
        <v>0.82</v>
      </c>
      <c r="T30">
        <f>L30+P30</f>
        <v>5.38</v>
      </c>
      <c r="U30">
        <f>2*SQRT(0.25*(M30^2+Q30^2+2*$F$8*M30*Q30))</f>
        <v>1.5558920271021381</v>
      </c>
      <c r="V30">
        <f>N30+R30</f>
        <v>5.63</v>
      </c>
      <c r="W30">
        <f>2*SQRT(0.25*(O30^2+S30^2+2*$F$8*O30*S30))</f>
        <v>1.5748269746229264</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41.2</v>
      </c>
      <c r="AC30" s="22">
        <f>IF(OR($B30="",AC$22=""),"",IF(LEN(VLOOKUP($B30,Database!$B$1:$IX$10144,AC$22,FALSE))=0,"",VLOOKUP($B30,Database!$B$1:$IX$10144,AC$22,FALSE)))</f>
        <v>11.04</v>
      </c>
      <c r="AD30" s="22">
        <f>IF(OR($B30="",AD$22=""),"",IF(LEN(VLOOKUP($B30,Database!$B$1:$IX$10144,AD$22,FALSE))=0,"",VLOOKUP($B30,Database!$B$1:$IX$10144,AD$22,FALSE)))</f>
        <v>35.06</v>
      </c>
      <c r="AE30" s="22">
        <f>IF(OR($B30="",AE$22=""),"",IF(LEN(VLOOKUP($B30,Database!$B$1:$IX$10144,AE$22,FALSE))=0,"",VLOOKUP($B30,Database!$B$1:$IX$10144,AE$22,FALSE)))</f>
        <v>10.029999999999999</v>
      </c>
      <c r="AF30" s="22">
        <f>IF(OR($B30="",AF$22=""),"",IF(LEN(VLOOKUP($B30,Database!$B$1:$IX$10144,AF$22,FALSE))=0,"",VLOOKUP($B30,Database!$B$1:$IX$10144,AF$22,FALSE)))</f>
        <v>4</v>
      </c>
      <c r="AG30" s="22">
        <f>IF(OR($B30="",AG$22=""),"",IF(LEN(VLOOKUP($B30,Database!$B$1:$IX$10144,AG$22,FALSE))=0,"",VLOOKUP($B30,Database!$B$1:$IX$10144,AG$22,FALSE)))</f>
        <v>29</v>
      </c>
      <c r="AH30" s="22">
        <f>IF(OR($B30="",AH$22=""),"",IF(LEN(VLOOKUP($B30,Database!$B$1:$IX$10144,AH$22,FALSE))=0,"",VLOOKUP($B30,Database!$B$1:$IX$10144,AH$22,FALSE)))</f>
        <v>1.5</v>
      </c>
      <c r="AI30" s="22">
        <f>IF(OR($B30="",AI$22=""),"",IF(LEN(VLOOKUP($B30,Database!$B$1:$IX$10144,AI$22,FALSE))=0,"",VLOOKUP($B30,Database!$B$1:$IX$10144,AI$22,FALSE)))</f>
        <v>5</v>
      </c>
      <c r="AJ30" s="22" t="str">
        <f>IF(OR($B30="",AJ$22=""),"",IF(LEN(VLOOKUP($B30,Database!$B$1:$IX$10144,AJ$22,FALSE))=0,"",VLOOKUP($B30,Database!$B$1:$IX$10144,AJ$22,FALSE)))</f>
        <v/>
      </c>
      <c r="AK30" s="22">
        <f>IF(OR($B30="",AK$22=""),"",IF(LEN(VLOOKUP($B30,Database!$B$1:$IX$10144,AK$22,FALSE))=0,"",VLOOKUP($B30,Database!$B$1:$IX$10144,AK$22,FALSE)))</f>
        <v>29.44</v>
      </c>
      <c r="AL30" s="22">
        <f>IF(OR($B30="",AL$22=""),"",IF(LEN(VLOOKUP($B30,Database!$B$1:$IX$10144,AL$22,FALSE))=0,"",VLOOKUP($B30,Database!$B$1:$IX$10144,AL$22,FALSE)))</f>
        <v>10.91</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Lacerda AL, Nicoletti MA, Brambilla P, Sassi RB, Mallinger AG, Frank E, Kupfer DJ, Keshavan MS, Soares JC.</v>
      </c>
      <c r="AR30" s="13"/>
      <c r="BC30" s="23"/>
      <c r="BF30" s="136"/>
      <c r="BG30" s="136"/>
      <c r="BH30" s="136"/>
      <c r="BI30" s="136"/>
    </row>
    <row r="31" spans="1:65">
      <c r="B31">
        <v>18439110</v>
      </c>
      <c r="C31" s="1" t="str">
        <f>IF($B31="","",HYPERLINK(IF(LEN(VLOOKUP($B31,Database!$B$1:$IX$10144,2,FALSE))=0,"",VLOOKUP($B31,Database!$B$1:$IX$10144,2,FALSE))))</f>
        <v/>
      </c>
      <c r="D31" s="1" t="str">
        <f t="shared" si="0"/>
        <v>http://www.ncbi.nlm.nih.gov/pubmed/18439110</v>
      </c>
      <c r="E31" s="22" t="str">
        <f>IF($B31="","",IF(LEN(VLOOKUP($B31,Database!$B$1:$IX$10144,4,FALSE))=0,"",VLOOKUP($B31,Database!$B$1:$IX$10144,4,FALSE)))</f>
        <v>Matsuo K</v>
      </c>
      <c r="F31" s="22">
        <f>IF($B31="","",IF(LEN(VLOOKUP($B31,Database!$B$1:$IX$10144,5,FALSE))=0,"",VLOOKUP($B31,Database!$B$1:$IX$10144,5,FALSE)))</f>
        <v>2008</v>
      </c>
      <c r="G31" s="1" t="str">
        <f>IF($B31="","",HYPERLINK(IF(LEN(VLOOKUP($B31,Database!$B$1:$IX$10144,6,FALSE))=0,"",VLOOKUP($B31,Database!$B$1:$IX$10144,6,FALSE))))</f>
        <v>http://www.liebertonline.com/doi/pdf/10.1089/cap.2007.0026</v>
      </c>
      <c r="H31" s="22">
        <f>IF($B31="","",IF(LEN(VLOOKUP($B31,Database!$B$1:$IX$10144,7,FALSE))=0,"",VLOOKUP($B31,Database!$B$1:$IX$10144,7,FALSE)))</f>
        <v>27</v>
      </c>
      <c r="I31" s="22">
        <f>IF($B31="","",IF(LEN(VLOOKUP($B31,Database!$B$1:$IX$10144,8,FALSE))=0,"",VLOOKUP($B31,Database!$B$1:$IX$10144,8,FALSE)))</f>
        <v>26</v>
      </c>
      <c r="J31" t="s">
        <v>556</v>
      </c>
      <c r="L31">
        <v>3.58</v>
      </c>
      <c r="M31">
        <v>0.62</v>
      </c>
      <c r="N31">
        <v>3.8</v>
      </c>
      <c r="O31">
        <v>0.57999999999999996</v>
      </c>
      <c r="P31">
        <v>3.6</v>
      </c>
      <c r="Q31">
        <v>0.61</v>
      </c>
      <c r="R31">
        <v>3.79</v>
      </c>
      <c r="S31">
        <v>0.53</v>
      </c>
      <c r="T31">
        <f>L31+P31</f>
        <v>7.18</v>
      </c>
      <c r="U31">
        <f>2*SQRT(0.25*(M31^2+Q31^2+2*$F$8*M31*Q31))</f>
        <v>1.1668847415233434</v>
      </c>
      <c r="V31">
        <f>N31+R31</f>
        <v>7.59</v>
      </c>
      <c r="W31">
        <f>2*SQRT(0.25*(O31^2+S31^2+2*$F$8*O31*S31))</f>
        <v>1.0531571582627162</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14.4</v>
      </c>
      <c r="AC31" s="22">
        <f>IF(OR($B31="",AC$22=""),"",IF(LEN(VLOOKUP($B31,Database!$B$1:$IX$10144,AC$22,FALSE))=0,"",VLOOKUP($B31,Database!$B$1:$IX$10144,AC$22,FALSE)))</f>
        <v>2.2000000000000002</v>
      </c>
      <c r="AD31" s="22">
        <f>IF(OR($B31="",AD$22=""),"",IF(LEN(VLOOKUP($B31,Database!$B$1:$IX$10144,AD$22,FALSE))=0,"",VLOOKUP($B31,Database!$B$1:$IX$10144,AD$22,FALSE)))</f>
        <v>14.4</v>
      </c>
      <c r="AE31" s="22">
        <f>IF(OR($B31="",AE$22=""),"",IF(LEN(VLOOKUP($B31,Database!$B$1:$IX$10144,AE$22,FALSE))=0,"",VLOOKUP($B31,Database!$B$1:$IX$10144,AE$22,FALSE)))</f>
        <v>2.2999999999999998</v>
      </c>
      <c r="AF31" s="22">
        <f>IF(OR($B31="",AF$22=""),"",IF(LEN(VLOOKUP($B31,Database!$B$1:$IX$10144,AF$22,FALSE))=0,"",VLOOKUP($B31,Database!$B$1:$IX$10144,AF$22,FALSE)))</f>
        <v>17</v>
      </c>
      <c r="AG31" s="22">
        <f>IF(OR($B31="",AG$22=""),"",IF(LEN(VLOOKUP($B31,Database!$B$1:$IX$10144,AG$22,FALSE))=0,"",VLOOKUP($B31,Database!$B$1:$IX$10144,AG$22,FALSE)))</f>
        <v>14</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f>IF(OR($B31="",AK$22=""),"",IF(LEN(VLOOKUP($B31,Database!$B$1:$IX$10144,AK$22,FALSE))=0,"",VLOOKUP($B31,Database!$B$1:$IX$10144,AK$22,FALSE)))</f>
        <v>11.75</v>
      </c>
      <c r="AL31" s="22" t="str">
        <f>IF(OR($B31="",AL$22=""),"",IF(LEN(VLOOKUP($B31,Database!$B$1:$IX$10144,AL$22,FALSE))=0,"",VLOOKUP($B31,Database!$B$1:$IX$10144,AL$22,FALSE)))</f>
        <v>ns</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2" t="str">
        <f>IF(OR($B31="",AQ$22=""),"",IF(LEN(VLOOKUP($B31,Database!$B$1:$IX$10144,AQ$22,FALSE))=0,"",VLOOKUP($B31,Database!$B$1:$IX$10144,AQ$22,FALSE)))</f>
        <v>Matsuo K, Rosenberg DR, Easter PC, MacMaster FP, Chen HH, Nicoletti M, Caetano SC, Hatch JP, Soares JC.</v>
      </c>
      <c r="AR31" s="13"/>
      <c r="BC31" s="23"/>
      <c r="BF31" s="136"/>
      <c r="BG31" s="136"/>
      <c r="BH31" s="136"/>
      <c r="BI31" s="136"/>
    </row>
    <row r="32" spans="1:65">
      <c r="A32" s="10"/>
      <c r="B32">
        <v>19235787</v>
      </c>
      <c r="C32" s="1" t="str">
        <f>IF($B32="","",HYPERLINK(IF(LEN(VLOOKUP($B32,Database!$B$1:$IX$10144,2,FALSE))=0,"",VLOOKUP($B32,Database!$B$1:$IX$10144,2,FALSE))))</f>
        <v/>
      </c>
      <c r="D32" s="1" t="str">
        <f t="shared" si="0"/>
        <v>http://www.ncbi.nlm.nih.gov/pubmed/19235787</v>
      </c>
      <c r="E32" s="22" t="str">
        <f>IF($B32="","",IF(LEN(VLOOKUP($B32,Database!$B$1:$IX$10144,4,FALSE))=0,"",VLOOKUP($B32,Database!$B$1:$IX$10144,4,FALSE)))</f>
        <v>Pan CC</v>
      </c>
      <c r="F32" s="22">
        <f>IF($B32="","",IF(LEN(VLOOKUP($B32,Database!$B$1:$IX$10144,5,FALSE))=0,"",VLOOKUP($B32,Database!$B$1:$IX$10144,5,FALSE)))</f>
        <v>2009</v>
      </c>
      <c r="G32" s="1" t="str">
        <f>IF($B32="","",HYPERLINK(IF(LEN(VLOOKUP($B32,Database!$B$1:$IX$10144,6,FALSE))=0,"",VLOOKUP($B32,Database!$B$1:$IX$10144,6,FALSE))))</f>
        <v>http://www3.interscience.wiley.com/cgi-bin/fulltext/122211615/PDFSTART</v>
      </c>
      <c r="H32" s="22">
        <f>IF($B32="","",IF(LEN(VLOOKUP($B32,Database!$B$1:$IX$10144,7,FALSE))=0,"",VLOOKUP($B32,Database!$B$1:$IX$10144,7,FALSE)))</f>
        <v>170</v>
      </c>
      <c r="I32" s="22">
        <f>IF($B32="","",IF(LEN(VLOOKUP($B32,Database!$B$1:$IX$10144,8,FALSE))=0,"",VLOOKUP($B32,Database!$B$1:$IX$10144,8,FALSE)))</f>
        <v>83</v>
      </c>
      <c r="J32" t="s">
        <v>654</v>
      </c>
      <c r="L32">
        <v>3.61</v>
      </c>
      <c r="M32">
        <v>0.76</v>
      </c>
      <c r="N32">
        <v>3.65</v>
      </c>
      <c r="O32">
        <v>0.63</v>
      </c>
      <c r="P32">
        <v>3.63</v>
      </c>
      <c r="Q32">
        <v>0.78</v>
      </c>
      <c r="R32">
        <v>3.69</v>
      </c>
      <c r="S32">
        <v>0.71</v>
      </c>
      <c r="T32">
        <f>L32+P32</f>
        <v>7.24</v>
      </c>
      <c r="U32">
        <f>2*SQRT(0.25*(M32^2+Q32^2+2*$F$8*M32*Q32))</f>
        <v>1.4609859684473359</v>
      </c>
      <c r="V32">
        <f>N32+R32</f>
        <v>7.34</v>
      </c>
      <c r="W32">
        <f>2*SQRT(0.25*(O32^2+S32^2+2*$F$8*O32*S32))</f>
        <v>1.2714873180649504</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69.400000000000006</v>
      </c>
      <c r="AC32" s="22">
        <f>IF(OR($B32="",AC$22=""),"",IF(LEN(VLOOKUP($B32,Database!$B$1:$IX$10144,AC$22,FALSE))=0,"",VLOOKUP($B32,Database!$B$1:$IX$10144,AC$22,FALSE)))</f>
        <v>7.5</v>
      </c>
      <c r="AD32" s="22">
        <f>IF(OR($B32="",AD$22=""),"",IF(LEN(VLOOKUP($B32,Database!$B$1:$IX$10144,AD$22,FALSE))=0,"",VLOOKUP($B32,Database!$B$1:$IX$10144,AD$22,FALSE)))</f>
        <v>69.8</v>
      </c>
      <c r="AE32" s="22">
        <f>IF(OR($B32="",AE$22=""),"",IF(LEN(VLOOKUP($B32,Database!$B$1:$IX$10144,AE$22,FALSE))=0,"",VLOOKUP($B32,Database!$B$1:$IX$10144,AE$22,FALSE)))</f>
        <v>5.6</v>
      </c>
      <c r="AF32" s="22">
        <f>IF(OR($B32="",AF$22=""),"",IF(LEN(VLOOKUP($B32,Database!$B$1:$IX$10144,AF$22,FALSE))=0,"",VLOOKUP($B32,Database!$B$1:$IX$10144,AF$22,FALSE)))</f>
        <v>112</v>
      </c>
      <c r="AG32" s="22">
        <f>IF(OR($B32="",AG$22=""),"",IF(LEN(VLOOKUP($B32,Database!$B$1:$IX$10144,AG$22,FALSE))=0,"",VLOOKUP($B32,Database!$B$1:$IX$10144,AG$22,FALSE)))</f>
        <v>61</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Pan CC, McQuoid DR, Taylor WD, Payne ME, Ashley-Koch A, Steffens DC.</v>
      </c>
      <c r="AR32" s="13"/>
      <c r="BC32" s="23"/>
      <c r="BF32" s="136"/>
      <c r="BG32" s="136"/>
      <c r="BH32" s="136"/>
      <c r="BI32" s="136"/>
    </row>
    <row r="33" spans="1:61">
      <c r="B33">
        <v>19411368</v>
      </c>
      <c r="C33" s="1" t="str">
        <f>IF($B33="","",HYPERLINK(IF(LEN(VLOOKUP($B33,Database!$B$1:$IX$10144,2,FALSE))=0,"",VLOOKUP($B33,Database!$B$1:$IX$10144,2,FALSE))))</f>
        <v/>
      </c>
      <c r="D33" s="1" t="str">
        <f t="shared" si="0"/>
        <v>http://www.ncbi.nlm.nih.gov/pubmed/19411368</v>
      </c>
      <c r="E33" s="22" t="str">
        <f>IF($B33="","",IF(LEN(VLOOKUP($B33,Database!$B$1:$IX$10144,4,FALSE))=0,"",VLOOKUP($B33,Database!$B$1:$IX$10144,4,FALSE)))</f>
        <v>Pizzagalli DA</v>
      </c>
      <c r="F33" s="22">
        <f>IF($B33="","",IF(LEN(VLOOKUP($B33,Database!$B$1:$IX$10144,5,FALSE))=0,"",VLOOKUP($B33,Database!$B$1:$IX$10144,5,FALSE)))</f>
        <v>2009</v>
      </c>
      <c r="G33" s="1" t="str">
        <f>IF($B33="","",HYPERLINK(IF(LEN(VLOOKUP($B33,Database!$B$1:$IX$10144,6,FALSE))=0,"",VLOOKUP($B33,Database!$B$1:$IX$10144,6,FALSE))))</f>
        <v>http://ajp.psychiatryonline.org/cgi/reprint/166/6/702</v>
      </c>
      <c r="H33" s="83">
        <v>26</v>
      </c>
      <c r="I33" s="22">
        <f>IF($B33="","",IF(LEN(VLOOKUP($B33,Database!$B$1:$IX$10144,8,FALSE))=0,"",VLOOKUP($B33,Database!$B$1:$IX$10144,8,FALSE)))</f>
        <v>31</v>
      </c>
      <c r="J33" t="s">
        <v>1203</v>
      </c>
      <c r="L33">
        <v>5550</v>
      </c>
      <c r="M33">
        <v>697</v>
      </c>
      <c r="N33">
        <v>5472</v>
      </c>
      <c r="O33">
        <v>732</v>
      </c>
      <c r="P33">
        <v>5364</v>
      </c>
      <c r="Q33">
        <v>697</v>
      </c>
      <c r="R33">
        <v>5369</v>
      </c>
      <c r="S33">
        <v>717</v>
      </c>
      <c r="T33">
        <f>L33+P33</f>
        <v>10914</v>
      </c>
      <c r="U33">
        <f>2*SQRT(0.25*(M33^2+Q33^2+2*$F$8*M33*Q33))</f>
        <v>1322.4645174824161</v>
      </c>
      <c r="V33">
        <f>N33+R33</f>
        <v>10841</v>
      </c>
      <c r="W33">
        <f>2*SQRT(0.25*(O33^2+S33^2+2*$F$8*O33*S33))</f>
        <v>1374.6502827992288</v>
      </c>
      <c r="X33" s="2"/>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43.17</v>
      </c>
      <c r="AC33" s="22">
        <f>IF(OR($B33="",AC$22=""),"",IF(LEN(VLOOKUP($B33,Database!$B$1:$IX$10144,AC$22,FALSE))=0,"",VLOOKUP($B33,Database!$B$1:$IX$10144,AC$22,FALSE)))</f>
        <v>12.98</v>
      </c>
      <c r="AD33" s="22">
        <f>IF(OR($B33="",AD$22=""),"",IF(LEN(VLOOKUP($B33,Database!$B$1:$IX$10144,AD$22,FALSE))=0,"",VLOOKUP($B33,Database!$B$1:$IX$10144,AD$22,FALSE)))</f>
        <v>38.799999999999997</v>
      </c>
      <c r="AE33" s="22">
        <f>IF(OR($B33="",AE$22=""),"",IF(LEN(VLOOKUP($B33,Database!$B$1:$IX$10144,AE$22,FALSE))=0,"",VLOOKUP($B33,Database!$B$1:$IX$10144,AE$22,FALSE)))</f>
        <v>14.48</v>
      </c>
      <c r="AF33" s="22">
        <f>IF(OR($B33="",AF$22=""),"",IF(LEN(VLOOKUP($B33,Database!$B$1:$IX$10144,AF$22,FALSE))=0,"",VLOOKUP($B33,Database!$B$1:$IX$10144,AF$22,FALSE)))</f>
        <v>15</v>
      </c>
      <c r="AG33" s="22">
        <f>IF(OR($B33="",AG$22=""),"",IF(LEN(VLOOKUP($B33,Database!$B$1:$IX$10144,AG$22,FALSE))=0,"",VLOOKUP($B33,Database!$B$1:$IX$10144,AG$22,FALSE)))</f>
        <v>13</v>
      </c>
      <c r="AH33" s="22">
        <f>IF(OR($B33="",AH$22=""),"",IF(LEN(VLOOKUP($B33,Database!$B$1:$IX$10144,AH$22,FALSE))=0,"",VLOOKUP($B33,Database!$B$1:$IX$10144,AH$22,FALSE)))</f>
        <v>1.5</v>
      </c>
      <c r="AI33" s="22">
        <f>IF(OR($B33="",AI$22=""),"",IF(LEN(VLOOKUP($B33,Database!$B$1:$IX$10144,AI$22,FALSE))=0,"",VLOOKUP($B33,Database!$B$1:$IX$10144,AI$22,FALSE)))</f>
        <v>1.33</v>
      </c>
      <c r="AJ33" s="22" t="str">
        <f>IF(OR($B33="",AJ$22=""),"",IF(LEN(VLOOKUP($B33,Database!$B$1:$IX$10144,AJ$22,FALSE))=0,"",VLOOKUP($B33,Database!$B$1:$IX$10144,AJ$22,FALSE)))</f>
        <v/>
      </c>
      <c r="AK33" s="22">
        <f>IF(OR($B33="",AK$22=""),"",IF(LEN(VLOOKUP($B33,Database!$B$1:$IX$10144,AK$22,FALSE))=0,"",VLOOKUP($B33,Database!$B$1:$IX$10144,AK$22,FALSE)))</f>
        <v>29.39</v>
      </c>
      <c r="AL33" s="22">
        <f>IF(OR($B33="",AL$22=""),"",IF(LEN(VLOOKUP($B33,Database!$B$1:$IX$10144,AL$22,FALSE))=0,"",VLOOKUP($B33,Database!$B$1:$IX$10144,AL$22,FALSE)))</f>
        <v>15.98</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Pizzagalli DA, Holmes AJ, Dillon DG, Goetz EL, Birk JL, Bogdan R, Dougherty DD, Iosifescu DV, Rauch SL, Fava M.</v>
      </c>
      <c r="AR33" s="13"/>
      <c r="BC33" s="23"/>
      <c r="BF33" s="136"/>
      <c r="BG33" s="136"/>
      <c r="BH33" s="136"/>
      <c r="BI33" s="136"/>
    </row>
    <row r="34" spans="1:61">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61">
      <c r="A35" s="4" t="s">
        <v>346</v>
      </c>
      <c r="C35" s="1"/>
      <c r="D35" s="1"/>
      <c r="E35" s="22"/>
      <c r="F35" s="22"/>
      <c r="G35" s="1"/>
      <c r="H35" s="22"/>
      <c r="I35" s="22"/>
      <c r="Y35" s="22"/>
      <c r="Z35" s="22"/>
      <c r="AA35" s="22"/>
      <c r="AB35" s="22"/>
      <c r="AC35" s="22"/>
      <c r="AD35" s="22"/>
      <c r="AE35" s="22"/>
      <c r="AF35" s="22"/>
      <c r="AG35" s="22"/>
      <c r="AH35" s="22"/>
      <c r="AI35" s="22"/>
      <c r="AJ35" s="22"/>
      <c r="AK35" s="22"/>
      <c r="AL35" s="22"/>
      <c r="AM35" s="22"/>
      <c r="AN35" s="22"/>
      <c r="AO35" s="22"/>
      <c r="AP35" s="22"/>
      <c r="AQ35" s="22"/>
    </row>
    <row r="36" spans="1:61">
      <c r="A36" s="10" t="s">
        <v>2087</v>
      </c>
      <c r="B36">
        <v>1763144</v>
      </c>
      <c r="C36" s="1" t="str">
        <f>IF($B36="","",HYPERLINK(IF(LEN(VLOOKUP($B36,Database!$B$1:$IX$10144,2,FALSE))=0,"",VLOOKUP($B36,Database!$B$1:$IX$10144,2,FALSE))))</f>
        <v/>
      </c>
      <c r="D36" s="1" t="str">
        <f>IF($B36="","",HYPERLINK(CONCATENATE("http://www.ncbi.nlm.nih.gov/pubmed/",B36)))</f>
        <v>http://www.ncbi.nlm.nih.gov/pubmed/1763144</v>
      </c>
      <c r="E36" s="22" t="str">
        <f>IF($B36="","",IF(LEN(VLOOKUP($B36,Database!$B$1:$IX$10144,4,FALSE))=0,"",VLOOKUP($B36,Database!$B$1:$IX$10144,4,FALSE)))</f>
        <v>Husain MM (B)</v>
      </c>
      <c r="F36" s="22">
        <f>IF($B36="","",IF(LEN(VLOOKUP($B36,Database!$B$1:$IX$10144,5,FALSE))=0,"",VLOOKUP($B36,Database!$B$1:$IX$10144,5,FALSE)))</f>
        <v>1991</v>
      </c>
      <c r="G36" s="1" t="str">
        <f>IF($B36="","",HYPERLINK(IF(LEN(VLOOKUP($B36,Database!$B$1:$IX$10144,6,FALSE))=0,"",VLOOKUP($B36,Database!$B$1:$IX$10144,6,FALSE))))</f>
        <v>http://dx.doi.org/10.1016/0165-1781(91)90149-J</v>
      </c>
      <c r="H36" s="22">
        <f>IF($B36="","",IF(LEN(VLOOKUP($B36,Database!$B$1:$IX$10144,7,FALSE))=0,"",VLOOKUP($B36,Database!$B$1:$IX$10144,7,FALSE)))</f>
        <v>41</v>
      </c>
      <c r="I36" s="22">
        <f>IF($B36="","",IF(LEN(VLOOKUP($B36,Database!$B$1:$IX$10144,8,FALSE))=0,"",VLOOKUP($B36,Database!$B$1:$IX$10144,8,FALSE)))</f>
        <v>44</v>
      </c>
      <c r="J36" t="s">
        <v>562</v>
      </c>
      <c r="L36">
        <v>3.8</v>
      </c>
      <c r="M36">
        <v>1.2</v>
      </c>
      <c r="N36">
        <v>4.9000000000000004</v>
      </c>
      <c r="O36">
        <v>1.45</v>
      </c>
      <c r="P36">
        <v>3.7</v>
      </c>
      <c r="Q36">
        <v>1.2</v>
      </c>
      <c r="R36">
        <v>4.9000000000000004</v>
      </c>
      <c r="S36">
        <v>1.4</v>
      </c>
      <c r="T36">
        <v>7.5</v>
      </c>
      <c r="U36">
        <v>2.2400000000000002</v>
      </c>
      <c r="V36">
        <v>9.8000000000000007</v>
      </c>
      <c r="W36">
        <v>2.9</v>
      </c>
      <c r="Y36" s="22" t="str">
        <f>IF(OR($B36="",Y$22=""),"",IF(LEN(VLOOKUP($B36,Database!$B$1:$IX$10144,Y$22,FALSE))=0,"",VLOOKUP($B36,Database!$B$1:$IX$10144,Y$22,FALSE)))</f>
        <v>DSM-III-R</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55.3</v>
      </c>
      <c r="AC36" s="22">
        <f>IF(OR($B36="",AC$22=""),"",IF(LEN(VLOOKUP($B36,Database!$B$1:$IX$10144,AC$22,FALSE))=0,"",VLOOKUP($B36,Database!$B$1:$IX$10144,AC$22,FALSE)))</f>
        <v>18.8</v>
      </c>
      <c r="AD36" s="22">
        <f>IF(OR($B36="",AD$22=""),"",IF(LEN(VLOOKUP($B36,Database!$B$1:$IX$10144,AD$22,FALSE))=0,"",VLOOKUP($B36,Database!$B$1:$IX$10144,AD$22,FALSE)))</f>
        <v>56.4</v>
      </c>
      <c r="AE36" s="22">
        <f>IF(OR($B36="",AE$22=""),"",IF(LEN(VLOOKUP($B36,Database!$B$1:$IX$10144,AE$22,FALSE))=0,"",VLOOKUP($B36,Database!$B$1:$IX$10144,AE$22,FALSE)))</f>
        <v>19.2</v>
      </c>
      <c r="AF36" s="22" t="str">
        <f>IF(OR($B36="",AF$22=""),"",IF(LEN(VLOOKUP($B36,Database!$B$1:$IX$10144,AF$22,FALSE))=0,"",VLOOKUP($B36,Database!$B$1:$IX$10144,AF$22,FALSE)))</f>
        <v>ns</v>
      </c>
      <c r="AG36" s="22" t="str">
        <f>IF(OR($B36="",AG$22=""),"",IF(LEN(VLOOKUP($B36,Database!$B$1:$IX$10144,AG$22,FALSE))=0,"",VLOOKUP($B36,Database!$B$1:$IX$10144,AG$22,FALSE)))</f>
        <v>ns</v>
      </c>
      <c r="AH36" s="22">
        <f>IF(OR($B36="",AH$22=""),"",IF(LEN(VLOOKUP($B36,Database!$B$1:$IX$10144,AH$22,FALSE))=0,"",VLOOKUP($B36,Database!$B$1:$IX$10144,AH$22,FALSE)))</f>
        <v>1.5</v>
      </c>
      <c r="AI36" s="22">
        <f>IF(OR($B36="",AI$22=""),"",IF(LEN(VLOOKUP($B36,Database!$B$1:$IX$10144,AI$22,FALSE))=0,"",VLOOKUP($B36,Database!$B$1:$IX$10144,AI$22,FALSE)))</f>
        <v>5</v>
      </c>
      <c r="AJ36" s="22" t="str">
        <f>IF(OR($B36="",AJ$22=""),"",IF(LEN(VLOOKUP($B36,Database!$B$1:$IX$10144,AJ$22,FALSE))=0,"",VLOOKUP($B36,Database!$B$1:$IX$10144,AJ$22,FALSE)))</f>
        <v/>
      </c>
      <c r="AK36" s="22" t="str">
        <f>IF(OR($B36="",AK$22=""),"",IF(LEN(VLOOKUP($B36,Database!$B$1:$IX$10144,AK$22,FALSE))=0,"",VLOOKUP($B36,Database!$B$1:$IX$10144,AK$22,FALSE)))</f>
        <v>ns</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Husain MM, McDonald WM, Doraiswamy PM, Figiel GS, Na C, Escalona PR, Boyko OB, Nemeroff CB, Krishnan KR.</v>
      </c>
    </row>
    <row r="37" spans="1:61">
      <c r="A37" s="10" t="s">
        <v>555</v>
      </c>
      <c r="B37">
        <v>8399409</v>
      </c>
      <c r="C37" s="1" t="str">
        <f>IF($B37="","",HYPERLINK(IF(LEN(VLOOKUP($B37,Database!$B$1:$IX$10144,2,FALSE))=0,"",VLOOKUP($B37,Database!$B$1:$IX$10144,2,FALSE))))</f>
        <v/>
      </c>
      <c r="D37" s="1" t="str">
        <f>IF($B37="","",HYPERLINK(CONCATENATE("http://www.ncbi.nlm.nih.gov/pubmed/",B37)))</f>
        <v>http://www.ncbi.nlm.nih.gov/pubmed/8399409</v>
      </c>
      <c r="E37" s="22" t="str">
        <f>IF($B37="","",IF(LEN(VLOOKUP($B37,Database!$B$1:$IX$10144,4,FALSE))=0,"",VLOOKUP($B37,Database!$B$1:$IX$10144,4,FALSE)))</f>
        <v>Krishnan KR</v>
      </c>
      <c r="F37" s="22">
        <f>IF($B37="","",IF(LEN(VLOOKUP($B37,Database!$B$1:$IX$10144,5,FALSE))=0,"",VLOOKUP($B37,Database!$B$1:$IX$10144,5,FALSE)))</f>
        <v>1993</v>
      </c>
      <c r="G37" s="1" t="str">
        <f>IF($B37="","",HYPERLINK(IF(LEN(VLOOKUP($B37,Database!$B$1:$IX$10144,6,FALSE))=0,"",VLOOKUP($B37,Database!$B$1:$IX$10144,6,FALSE))))</f>
        <v>http://www.springerlink.com/content/yq33844661g65135/fulltext.pdf</v>
      </c>
      <c r="H37" s="22">
        <f>IF($B37="","",IF(LEN(VLOOKUP($B37,Database!$B$1:$IX$10144,7,FALSE))=0,"",VLOOKUP($B37,Database!$B$1:$IX$10144,7,FALSE)))</f>
        <v>25</v>
      </c>
      <c r="I37" s="22">
        <f>IF($B37="","",IF(LEN(VLOOKUP($B37,Database!$B$1:$IX$10144,8,FALSE))=0,"",VLOOKUP($B37,Database!$B$1:$IX$10144,8,FALSE)))</f>
        <v>20</v>
      </c>
      <c r="Y37" s="22" t="str">
        <f>IF(OR($B37="",Y$22=""),"",IF(LEN(VLOOKUP($B37,Database!$B$1:$IX$10144,Y$22,FALSE))=0,"",VLOOKUP($B37,Database!$B$1:$IX$10144,Y$22,FALSE)))</f>
        <v>DSM-III</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74.099999999999994</v>
      </c>
      <c r="AC37" s="22">
        <f>IF(OR($B37="",AC$22=""),"",IF(LEN(VLOOKUP($B37,Database!$B$1:$IX$10144,AC$22,FALSE))=0,"",VLOOKUP($B37,Database!$B$1:$IX$10144,AC$22,FALSE)))</f>
        <v>6.6</v>
      </c>
      <c r="AD37" s="22">
        <f>IF(OR($B37="",AD$22=""),"",IF(LEN(VLOOKUP($B37,Database!$B$1:$IX$10144,AD$22,FALSE))=0,"",VLOOKUP($B37,Database!$B$1:$IX$10144,AD$22,FALSE)))</f>
        <v>72.5</v>
      </c>
      <c r="AE37" s="22">
        <f>IF(OR($B37="",AE$22=""),"",IF(LEN(VLOOKUP($B37,Database!$B$1:$IX$10144,AE$22,FALSE))=0,"",VLOOKUP($B37,Database!$B$1:$IX$10144,AE$22,FALSE)))</f>
        <v>3.6</v>
      </c>
      <c r="AF37" s="22">
        <f>IF(OR($B37="",AF$22=""),"",IF(LEN(VLOOKUP($B37,Database!$B$1:$IX$10144,AF$22,FALSE))=0,"",VLOOKUP($B37,Database!$B$1:$IX$10144,AF$22,FALSE)))</f>
        <v>17</v>
      </c>
      <c r="AG37" s="22">
        <f>IF(OR($B37="",AG$22=""),"",IF(LEN(VLOOKUP($B37,Database!$B$1:$IX$10144,AG$22,FALSE))=0,"",VLOOKUP($B37,Database!$B$1:$IX$10144,AG$22,FALSE)))</f>
        <v>11</v>
      </c>
      <c r="AH37" s="22">
        <f>IF(OR($B37="",AH$22=""),"",IF(LEN(VLOOKUP($B37,Database!$B$1:$IX$10144,AH$22,FALSE))=0,"",VLOOKUP($B37,Database!$B$1:$IX$10144,AH$22,FALSE)))</f>
        <v>1.5</v>
      </c>
      <c r="AI37" s="22">
        <f>IF(OR($B37="",AI$22=""),"",IF(LEN(VLOOKUP($B37,Database!$B$1:$IX$10144,AI$22,FALSE))=0,"",VLOOKUP($B37,Database!$B$1:$IX$10144,AI$22,FALSE)))</f>
        <v>5</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t="str">
        <f>IF(OR($B37="",AM$22=""),"",IF(LEN(VLOOKUP($B37,Database!$B$1:$IX$10144,AM$22,FALSE))=0,"",VLOOKUP($B37,Database!$B$1:$IX$10144,AM$22,FALSE)))</f>
        <v>ns</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Krishnan KR, McDonald WM, Doraiswamy PM, Tupler LA, Husain M, Boyko OB, Figiel GS, Ellinwood EH Jr.</v>
      </c>
    </row>
    <row r="38" spans="1:61">
      <c r="A38" s="10" t="s">
        <v>2009</v>
      </c>
      <c r="B38">
        <v>8294897</v>
      </c>
      <c r="C38" s="1" t="str">
        <f>IF($B38="","",HYPERLINK(IF(LEN(VLOOKUP($B38,Database!$B$1:$IX$10144,2,FALSE))=0,"",VLOOKUP($B38,Database!$B$1:$IX$10144,2,FALSE))))</f>
        <v/>
      </c>
      <c r="D38" s="1" t="str">
        <f>IF($B38="","",HYPERLINK(CONCATENATE("http://www.ncbi.nlm.nih.gov/pubmed/",B38)))</f>
        <v>http://www.ncbi.nlm.nih.gov/pubmed/8294897</v>
      </c>
      <c r="E38" s="22" t="str">
        <f>IF($B38="","",IF(LEN(VLOOKUP($B38,Database!$B$1:$IX$10144,4,FALSE))=0,"",VLOOKUP($B38,Database!$B$1:$IX$10144,4,FALSE)))</f>
        <v>Lisanby SH</v>
      </c>
      <c r="F38" s="22">
        <f>IF($B38="","",IF(LEN(VLOOKUP($B38,Database!$B$1:$IX$10144,5,FALSE))=0,"",VLOOKUP($B38,Database!$B$1:$IX$10144,5,FALSE)))</f>
        <v>1993</v>
      </c>
      <c r="G38" s="1" t="str">
        <f>IF($B38="","",HYPERLINK(IF(LEN(VLOOKUP($B38,Database!$B$1:$IX$10144,6,FALSE))=0,"",VLOOKUP($B38,Database!$B$1:$IX$10144,6,FALSE))))</f>
        <v>Not available on internet</v>
      </c>
      <c r="H38" s="22">
        <f>IF($B38="","",IF(LEN(VLOOKUP($B38,Database!$B$1:$IX$10144,7,FALSE))=0,"",VLOOKUP($B38,Database!$B$1:$IX$10144,7,FALSE)))</f>
        <v>21</v>
      </c>
      <c r="I38" s="22">
        <f>IF($B38="","",IF(LEN(VLOOKUP($B38,Database!$B$1:$IX$10144,8,FALSE))=0,"",VLOOKUP($B38,Database!$B$1:$IX$10144,8,FALSE)))</f>
        <v>21</v>
      </c>
      <c r="J38" t="s">
        <v>910</v>
      </c>
      <c r="T38">
        <v>8.0399999999999991</v>
      </c>
      <c r="U38">
        <v>1.83</v>
      </c>
      <c r="V38">
        <v>9.23</v>
      </c>
      <c r="W38">
        <v>2.2000000000000002</v>
      </c>
      <c r="Y38" s="22" t="str">
        <f>IF(OR($B38="",Y$22=""),"",IF(LEN(VLOOKUP($B38,Database!$B$1:$IX$10144,Y$22,FALSE))=0,"",VLOOKUP($B38,Database!$B$1:$IX$10144,Y$22,FALSE)))</f>
        <v>DSM-III-R</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65</v>
      </c>
      <c r="AC38" s="22">
        <f>IF(OR($B38="",AC$22=""),"",IF(LEN(VLOOKUP($B38,Database!$B$1:$IX$10144,AC$22,FALSE))=0,"",VLOOKUP($B38,Database!$B$1:$IX$10144,AC$22,FALSE)))</f>
        <v>11</v>
      </c>
      <c r="AD38" s="22">
        <f>IF(OR($B38="",AD$22=""),"",IF(LEN(VLOOKUP($B38,Database!$B$1:$IX$10144,AD$22,FALSE))=0,"",VLOOKUP($B38,Database!$B$1:$IX$10144,AD$22,FALSE)))</f>
        <v>63.5</v>
      </c>
      <c r="AE38" s="22">
        <f>IF(OR($B38="",AE$22=""),"",IF(LEN(VLOOKUP($B38,Database!$B$1:$IX$10144,AE$22,FALSE))=0,"",VLOOKUP($B38,Database!$B$1:$IX$10144,AE$22,FALSE)))</f>
        <v>11</v>
      </c>
      <c r="AF38" s="22">
        <f>IF(OR($B38="",AF$22=""),"",IF(LEN(VLOOKUP($B38,Database!$B$1:$IX$10144,AF$22,FALSE))=0,"",VLOOKUP($B38,Database!$B$1:$IX$10144,AF$22,FALSE)))</f>
        <v>9</v>
      </c>
      <c r="AG38" s="22">
        <f>IF(OR($B38="",AG$22=""),"",IF(LEN(VLOOKUP($B38,Database!$B$1:$IX$10144,AG$22,FALSE))=0,"",VLOOKUP($B38,Database!$B$1:$IX$10144,AG$22,FALSE)))</f>
        <v>9</v>
      </c>
      <c r="AH38" s="22">
        <f>IF(OR($B38="",AH$22=""),"",IF(LEN(VLOOKUP($B38,Database!$B$1:$IX$10144,AH$22,FALSE))=0,"",VLOOKUP($B38,Database!$B$1:$IX$10144,AH$22,FALSE)))</f>
        <v>1.5</v>
      </c>
      <c r="AI38" s="22">
        <f>IF(OR($B38="",AI$22=""),"",IF(LEN(VLOOKUP($B38,Database!$B$1:$IX$10144,AI$22,FALSE))=0,"",VLOOKUP($B38,Database!$B$1:$IX$10144,AI$22,FALSE)))</f>
        <v>5</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Lisanby SH, McDonald WM, Massey EW, Doraiswamy PM, Rozear M, Boyko OB, Krishnan KR, Nemeroff C.</v>
      </c>
    </row>
    <row r="39" spans="1:61">
      <c r="A39" s="4" t="s">
        <v>347</v>
      </c>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c r="AQ39" s="22"/>
    </row>
    <row r="40" spans="1:61">
      <c r="A40" s="10" t="s">
        <v>555</v>
      </c>
      <c r="B40">
        <v>8399409</v>
      </c>
      <c r="C40" s="1" t="str">
        <f>IF($B40="","",HYPERLINK(IF(LEN(VLOOKUP($B40,Database!$B$1:$IX$10144,2,FALSE))=0,"",VLOOKUP($B40,Database!$B$1:$IX$10144,2,FALSE))))</f>
        <v/>
      </c>
      <c r="D40" s="1" t="str">
        <f>IF($B40="","",HYPERLINK(CONCATENATE("http://www.ncbi.nlm.nih.gov/pubmed/",B40)))</f>
        <v>http://www.ncbi.nlm.nih.gov/pubmed/8399409</v>
      </c>
      <c r="E40" s="22" t="str">
        <f>IF($B40="","",IF(LEN(VLOOKUP($B40,Database!$B$1:$IX$10144,4,FALSE))=0,"",VLOOKUP($B40,Database!$B$1:$IX$10144,4,FALSE)))</f>
        <v>Krishnan KR</v>
      </c>
      <c r="F40" s="22">
        <f>IF($B40="","",IF(LEN(VLOOKUP($B40,Database!$B$1:$IX$10144,5,FALSE))=0,"",VLOOKUP($B40,Database!$B$1:$IX$10144,5,FALSE)))</f>
        <v>1993</v>
      </c>
      <c r="G40" s="1" t="str">
        <f>IF($B40="","",HYPERLINK(IF(LEN(VLOOKUP($B40,Database!$B$1:$IX$10144,6,FALSE))=0,"",VLOOKUP($B40,Database!$B$1:$IX$10144,6,FALSE))))</f>
        <v>http://www.springerlink.com/content/yq33844661g65135/fulltext.pdf</v>
      </c>
      <c r="H40" s="22">
        <f>IF($B40="","",IF(LEN(VLOOKUP($B40,Database!$B$1:$IX$10144,7,FALSE))=0,"",VLOOKUP($B40,Database!$B$1:$IX$10144,7,FALSE)))</f>
        <v>25</v>
      </c>
      <c r="I40" s="22">
        <f>IF($B40="","",IF(LEN(VLOOKUP($B40,Database!$B$1:$IX$10144,8,FALSE))=0,"",VLOOKUP($B40,Database!$B$1:$IX$10144,8,FALSE)))</f>
        <v>20</v>
      </c>
      <c r="Y40" s="22" t="str">
        <f>IF(OR($B40="",Y$22=""),"",IF(LEN(VLOOKUP($B40,Database!$B$1:$IX$10144,Y$22,FALSE))=0,"",VLOOKUP($B40,Database!$B$1:$IX$10144,Y$22,FALSE)))</f>
        <v>DSM-III</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74.099999999999994</v>
      </c>
      <c r="AC40" s="22">
        <f>IF(OR($B40="",AC$22=""),"",IF(LEN(VLOOKUP($B40,Database!$B$1:$IX$10144,AC$22,FALSE))=0,"",VLOOKUP($B40,Database!$B$1:$IX$10144,AC$22,FALSE)))</f>
        <v>6.6</v>
      </c>
      <c r="AD40" s="22">
        <f>IF(OR($B40="",AD$22=""),"",IF(LEN(VLOOKUP($B40,Database!$B$1:$IX$10144,AD$22,FALSE))=0,"",VLOOKUP($B40,Database!$B$1:$IX$10144,AD$22,FALSE)))</f>
        <v>72.5</v>
      </c>
      <c r="AE40" s="22">
        <f>IF(OR($B40="",AE$22=""),"",IF(LEN(VLOOKUP($B40,Database!$B$1:$IX$10144,AE$22,FALSE))=0,"",VLOOKUP($B40,Database!$B$1:$IX$10144,AE$22,FALSE)))</f>
        <v>3.6</v>
      </c>
      <c r="AF40" s="22">
        <f>IF(OR($B40="",AF$22=""),"",IF(LEN(VLOOKUP($B40,Database!$B$1:$IX$10144,AF$22,FALSE))=0,"",VLOOKUP($B40,Database!$B$1:$IX$10144,AF$22,FALSE)))</f>
        <v>17</v>
      </c>
      <c r="AG40" s="22">
        <f>IF(OR($B40="",AG$22=""),"",IF(LEN(VLOOKUP($B40,Database!$B$1:$IX$10144,AG$22,FALSE))=0,"",VLOOKUP($B40,Database!$B$1:$IX$10144,AG$22,FALSE)))</f>
        <v>11</v>
      </c>
      <c r="AH40" s="22">
        <f>IF(OR($B40="",AH$22=""),"",IF(LEN(VLOOKUP($B40,Database!$B$1:$IX$10144,AH$22,FALSE))=0,"",VLOOKUP($B40,Database!$B$1:$IX$10144,AH$22,FALSE)))</f>
        <v>1.5</v>
      </c>
      <c r="AI40" s="22">
        <f>IF(OR($B40="",AI$22=""),"",IF(LEN(VLOOKUP($B40,Database!$B$1:$IX$10144,AI$22,FALSE))=0,"",VLOOKUP($B40,Database!$B$1:$IX$10144,AI$22,FALSE)))</f>
        <v>5</v>
      </c>
      <c r="AJ40" s="22" t="str">
        <f>IF(OR($B40="",AJ$22=""),"",IF(LEN(VLOOKUP($B40,Database!$B$1:$IX$10144,AJ$22,FALSE))=0,"",VLOOKUP($B40,Database!$B$1:$IX$10144,AJ$22,FALSE)))</f>
        <v/>
      </c>
      <c r="AK40" s="22" t="str">
        <f>IF(OR($B40="",AK$22=""),"",IF(LEN(VLOOKUP($B40,Database!$B$1:$IX$10144,AK$22,FALSE))=0,"",VLOOKUP($B40,Database!$B$1:$IX$10144,AK$22,FALSE)))</f>
        <v>ns</v>
      </c>
      <c r="AL40" s="22" t="str">
        <f>IF(OR($B40="",AL$22=""),"",IF(LEN(VLOOKUP($B40,Database!$B$1:$IX$10144,AL$22,FALSE))=0,"",VLOOKUP($B40,Database!$B$1:$IX$10144,AL$22,FALSE)))</f>
        <v>ns</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Krishnan KR, McDonald WM, Doraiswamy PM, Tupler LA, Husain M, Boyko OB, Figiel GS, Ellinwood EH Jr.</v>
      </c>
    </row>
    <row r="41" spans="1:61">
      <c r="A41" s="10" t="s">
        <v>2087</v>
      </c>
      <c r="B41">
        <v>1763144</v>
      </c>
      <c r="C41" s="1" t="str">
        <f>IF($B41="","",HYPERLINK(IF(LEN(VLOOKUP($B41,Database!$B$1:$IX$10144,2,FALSE))=0,"",VLOOKUP($B41,Database!$B$1:$IX$10144,2,FALSE))))</f>
        <v/>
      </c>
      <c r="D41" s="1" t="str">
        <f>IF($B41="","",HYPERLINK(CONCATENATE("http://www.ncbi.nlm.nih.gov/pubmed/",B41)))</f>
        <v>http://www.ncbi.nlm.nih.gov/pubmed/1763144</v>
      </c>
      <c r="E41" s="22" t="str">
        <f>IF($B41="","",IF(LEN(VLOOKUP($B41,Database!$B$1:$IX$10144,4,FALSE))=0,"",VLOOKUP($B41,Database!$B$1:$IX$10144,4,FALSE)))</f>
        <v>Husain MM (B)</v>
      </c>
      <c r="F41" s="22">
        <f>IF($B41="","",IF(LEN(VLOOKUP($B41,Database!$B$1:$IX$10144,5,FALSE))=0,"",VLOOKUP($B41,Database!$B$1:$IX$10144,5,FALSE)))</f>
        <v>1991</v>
      </c>
      <c r="G41" s="1" t="str">
        <f>IF($B41="","",HYPERLINK(IF(LEN(VLOOKUP($B41,Database!$B$1:$IX$10144,6,FALSE))=0,"",VLOOKUP($B41,Database!$B$1:$IX$10144,6,FALSE))))</f>
        <v>http://dx.doi.org/10.1016/0165-1781(91)90149-J</v>
      </c>
      <c r="H41" s="22">
        <f>IF($B41="","",IF(LEN(VLOOKUP($B41,Database!$B$1:$IX$10144,7,FALSE))=0,"",VLOOKUP($B41,Database!$B$1:$IX$10144,7,FALSE)))</f>
        <v>41</v>
      </c>
      <c r="I41" s="22">
        <f>IF($B41="","",IF(LEN(VLOOKUP($B41,Database!$B$1:$IX$10144,8,FALSE))=0,"",VLOOKUP($B41,Database!$B$1:$IX$10144,8,FALSE)))</f>
        <v>44</v>
      </c>
      <c r="J41" t="s">
        <v>562</v>
      </c>
      <c r="L41">
        <v>3.8</v>
      </c>
      <c r="M41">
        <v>1.2</v>
      </c>
      <c r="N41">
        <v>4.9000000000000004</v>
      </c>
      <c r="O41">
        <v>1.45</v>
      </c>
      <c r="P41">
        <v>3.7</v>
      </c>
      <c r="Q41">
        <v>1.2</v>
      </c>
      <c r="R41">
        <v>4.9000000000000004</v>
      </c>
      <c r="S41">
        <v>1.4</v>
      </c>
      <c r="T41">
        <v>7.5</v>
      </c>
      <c r="U41">
        <v>2.2400000000000002</v>
      </c>
      <c r="V41">
        <v>9.8000000000000007</v>
      </c>
      <c r="W41">
        <v>2.9</v>
      </c>
      <c r="Y41" s="22" t="str">
        <f>IF(OR($B41="",Y$22=""),"",IF(LEN(VLOOKUP($B41,Database!$B$1:$IX$10144,Y$22,FALSE))=0,"",VLOOKUP($B41,Database!$B$1:$IX$10144,Y$22,FALSE)))</f>
        <v>DSM-III-R</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55.3</v>
      </c>
      <c r="AC41" s="22">
        <f>IF(OR($B41="",AC$22=""),"",IF(LEN(VLOOKUP($B41,Database!$B$1:$IX$10144,AC$22,FALSE))=0,"",VLOOKUP($B41,Database!$B$1:$IX$10144,AC$22,FALSE)))</f>
        <v>18.8</v>
      </c>
      <c r="AD41" s="22">
        <f>IF(OR($B41="",AD$22=""),"",IF(LEN(VLOOKUP($B41,Database!$B$1:$IX$10144,AD$22,FALSE))=0,"",VLOOKUP($B41,Database!$B$1:$IX$10144,AD$22,FALSE)))</f>
        <v>56.4</v>
      </c>
      <c r="AE41" s="22">
        <f>IF(OR($B41="",AE$22=""),"",IF(LEN(VLOOKUP($B41,Database!$B$1:$IX$10144,AE$22,FALSE))=0,"",VLOOKUP($B41,Database!$B$1:$IX$10144,AE$22,FALSE)))</f>
        <v>19.2</v>
      </c>
      <c r="AF41" s="22" t="str">
        <f>IF(OR($B41="",AF$22=""),"",IF(LEN(VLOOKUP($B41,Database!$B$1:$IX$10144,AF$22,FALSE))=0,"",VLOOKUP($B41,Database!$B$1:$IX$10144,AF$22,FALSE)))</f>
        <v>ns</v>
      </c>
      <c r="AG41" s="22" t="str">
        <f>IF(OR($B41="",AG$22=""),"",IF(LEN(VLOOKUP($B41,Database!$B$1:$IX$10144,AG$22,FALSE))=0,"",VLOOKUP($B41,Database!$B$1:$IX$10144,AG$22,FALSE)))</f>
        <v>ns</v>
      </c>
      <c r="AH41" s="22">
        <f>IF(OR($B41="",AH$22=""),"",IF(LEN(VLOOKUP($B41,Database!$B$1:$IX$10144,AH$22,FALSE))=0,"",VLOOKUP($B41,Database!$B$1:$IX$10144,AH$22,FALSE)))</f>
        <v>1.5</v>
      </c>
      <c r="AI41" s="22">
        <f>IF(OR($B41="",AI$22=""),"",IF(LEN(VLOOKUP($B41,Database!$B$1:$IX$10144,AI$22,FALSE))=0,"",VLOOKUP($B41,Database!$B$1:$IX$10144,AI$22,FALSE)))</f>
        <v>5</v>
      </c>
      <c r="AJ41" s="22" t="str">
        <f>IF(OR($B41="",AJ$22=""),"",IF(LEN(VLOOKUP($B41,Database!$B$1:$IX$10144,AJ$22,FALSE))=0,"",VLOOKUP($B41,Database!$B$1:$IX$10144,AJ$22,FALSE)))</f>
        <v/>
      </c>
      <c r="AK41" s="22" t="str">
        <f>IF(OR($B41="",AK$22=""),"",IF(LEN(VLOOKUP($B41,Database!$B$1:$IX$10144,AK$22,FALSE))=0,"",VLOOKUP($B41,Database!$B$1:$IX$10144,AK$22,FALSE)))</f>
        <v>ns</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Husain MM, McDonald WM, Doraiswamy PM, Figiel GS, Na C, Escalona PR, Boyko OB, Nemeroff CB, Krishnan KR.</v>
      </c>
    </row>
    <row r="42" spans="1:61">
      <c r="I42" s="22" t="str">
        <f>IF($B42="","",IF(LEN(VLOOKUP($B42,Database!$B$1:$IX$10144,8,FALSE))=0,"",VLOOKUP($B42,Database!$B$1:$IX$10144,8,FALSE)))</f>
        <v/>
      </c>
      <c r="AF42" t="s">
        <v>602</v>
      </c>
      <c r="AJ42" t="s">
        <v>329</v>
      </c>
      <c r="AN42" t="s">
        <v>330</v>
      </c>
    </row>
    <row r="43" spans="1:61" ht="45" customHeight="1">
      <c r="E43" s="60" t="s">
        <v>617</v>
      </c>
      <c r="F43" s="60" t="s">
        <v>740</v>
      </c>
      <c r="G43" s="60" t="s">
        <v>244</v>
      </c>
      <c r="H43" s="60" t="s">
        <v>245</v>
      </c>
      <c r="I43" s="60" t="s">
        <v>246</v>
      </c>
      <c r="J43" s="60" t="s">
        <v>593</v>
      </c>
      <c r="K43" s="60" t="s">
        <v>1039</v>
      </c>
      <c r="L43" s="60" t="s">
        <v>594</v>
      </c>
      <c r="M43" s="60" t="s">
        <v>1299</v>
      </c>
      <c r="N43" s="61" t="s">
        <v>595</v>
      </c>
      <c r="O43" s="61" t="s">
        <v>596</v>
      </c>
      <c r="P43" s="61" t="s">
        <v>597</v>
      </c>
      <c r="Q43" s="61" t="s">
        <v>598</v>
      </c>
      <c r="R43" s="61" t="s">
        <v>599</v>
      </c>
      <c r="S43" s="61" t="s">
        <v>600</v>
      </c>
      <c r="T43" s="61" t="s">
        <v>601</v>
      </c>
      <c r="U43" s="61" t="s">
        <v>484</v>
      </c>
      <c r="V43" s="61" t="s">
        <v>485</v>
      </c>
      <c r="W43" s="61" t="s">
        <v>486</v>
      </c>
      <c r="AF43" s="61" t="s">
        <v>1517</v>
      </c>
      <c r="AG43" s="62" t="s">
        <v>834</v>
      </c>
      <c r="AH43" s="62" t="s">
        <v>835</v>
      </c>
      <c r="AJ43" s="61" t="s">
        <v>836</v>
      </c>
      <c r="AK43" s="61" t="s">
        <v>837</v>
      </c>
      <c r="AL43" s="61" t="s">
        <v>487</v>
      </c>
      <c r="AN43" t="s">
        <v>488</v>
      </c>
      <c r="AO43" t="s">
        <v>489</v>
      </c>
      <c r="AP43" t="s">
        <v>490</v>
      </c>
      <c r="AQ43" t="s">
        <v>491</v>
      </c>
      <c r="AR43" t="s">
        <v>492</v>
      </c>
      <c r="AS43" t="s">
        <v>493</v>
      </c>
      <c r="AT43" t="s">
        <v>494</v>
      </c>
      <c r="AU43" t="s">
        <v>495</v>
      </c>
      <c r="AV43" t="s">
        <v>496</v>
      </c>
      <c r="AW43" t="s">
        <v>497</v>
      </c>
      <c r="AX43" t="s">
        <v>498</v>
      </c>
      <c r="AY43" t="s">
        <v>499</v>
      </c>
      <c r="AZ43" t="s">
        <v>249</v>
      </c>
      <c r="BA43" t="s">
        <v>2203</v>
      </c>
      <c r="BB43" t="s">
        <v>2204</v>
      </c>
    </row>
    <row r="44" spans="1:61">
      <c r="E44" t="str">
        <f t="shared" ref="E44:F46" si="1">E24</f>
        <v>Parashos IA</v>
      </c>
      <c r="F44">
        <f t="shared" si="1"/>
        <v>1998</v>
      </c>
      <c r="G44">
        <v>8</v>
      </c>
      <c r="H44">
        <f t="shared" ref="H44:I46" si="2">H24</f>
        <v>72</v>
      </c>
      <c r="I44">
        <f t="shared" si="2"/>
        <v>38</v>
      </c>
      <c r="J44">
        <f t="shared" ref="J44:M46" si="3">IF($D$4="Total",T24,IF($D$4="Left",L24,IF($D$4="Right",P24,"error")))</f>
        <v>7.75</v>
      </c>
      <c r="K44">
        <f t="shared" si="3"/>
        <v>1.91</v>
      </c>
      <c r="L44">
        <f t="shared" si="3"/>
        <v>8.68</v>
      </c>
      <c r="M44">
        <f t="shared" si="3"/>
        <v>1.9</v>
      </c>
      <c r="N44">
        <f t="shared" ref="N44:N51" si="4">IF($D$3=1,SQRT((((I44-1)*(M44)^2)+((H44-1)*(K44)^2))/(H44+I44-2)),M44)</f>
        <v>1.9065799805469013</v>
      </c>
      <c r="O44" s="59">
        <f t="shared" ref="O44:O51" si="5">IF($D$6=1,LN(J44/L44),IF($D$5=1,(1-3/(4*(H44+I44)-9))*((J44-L44)/N44),(J44-L44)/N44))</f>
        <v>-0.48438916361098971</v>
      </c>
      <c r="P44" s="63">
        <f t="shared" ref="P44:P51" si="6">IF($D$6=1,(K44^2)/(H44*J44^2)+(M44^2)/(I44*L44^2),(IF($D$5=1,((H44+I44)/(H44*I44))+(O44*O44)/(2*(H44+I44-3.94)),((H44+I44)/(H44*I44))+((O44^2)/(2*(H44+I44-2))))))</f>
        <v>4.1310811031928907E-2</v>
      </c>
      <c r="Q44" s="59">
        <f t="shared" ref="Q44:Q51" si="7">$R$68*SQRT(P44)</f>
        <v>0.3983711983317294</v>
      </c>
      <c r="R44" s="59">
        <f t="shared" ref="R44:R51" si="8">1/P44</f>
        <v>24.206738503078657</v>
      </c>
      <c r="S44" s="59">
        <f t="shared" ref="S44:S51" si="9">O44*R44</f>
        <v>-11.725481817256211</v>
      </c>
      <c r="T44" s="59">
        <f t="shared" ref="T44:T51" si="10">R44*(O44^2)</f>
        <v>5.6796963303966042</v>
      </c>
      <c r="U44" s="23">
        <f t="shared" ref="U44:U51" si="11">R44^2</f>
        <v>585.96618895643076</v>
      </c>
      <c r="V44" s="59">
        <f t="shared" ref="V44:V51" si="12">1/((1/R44)+$I$65)</f>
        <v>16.484422398155015</v>
      </c>
      <c r="W44" s="59">
        <f t="shared" ref="W44:W51" si="13">V44*O44</f>
        <v>-7.9848755780525726</v>
      </c>
      <c r="AF44" s="59">
        <f t="shared" ref="AF44:AF51" si="14">IF($D$6=1,100*((EXP(O44))-1),O44)</f>
        <v>-0.48438916361098971</v>
      </c>
      <c r="AG44" s="59">
        <f t="shared" ref="AG44:AG51" si="15">IF($D$6=1,100*(EXP(O44+Q44)-EXP(O44)),Q44)</f>
        <v>0.3983711983317294</v>
      </c>
      <c r="AH44" s="59">
        <f t="shared" ref="AH44:AH51" si="16">IF($D$6=1,100*(EXP(O44)-EXP(O44-Q44)),Q44)</f>
        <v>0.3983711983317294</v>
      </c>
      <c r="AJ44">
        <f t="shared" ref="AJ44:AJ51" si="17">SQRT(P44)</f>
        <v>0.20325061139373948</v>
      </c>
      <c r="AK44">
        <f t="shared" ref="AK44:AK51" si="18">1/AJ44</f>
        <v>4.9200344005991115</v>
      </c>
      <c r="AL44">
        <f t="shared" ref="AL44:AL51" si="19">O44/AJ44</f>
        <v>-2.3832113482435009</v>
      </c>
      <c r="AN44" t="str">
        <f t="shared" ref="AN44:AO51" si="20">E44</f>
        <v>Parashos IA</v>
      </c>
      <c r="AO44">
        <f t="shared" si="20"/>
        <v>1998</v>
      </c>
      <c r="AP44" t="str">
        <f t="shared" ref="AP44:AP51" si="21">CONCATENATE(AN44," ",AO44)</f>
        <v>Parashos IA 1998</v>
      </c>
      <c r="AQ44">
        <f t="shared" ref="AQ44:AQ51" si="22">INT(H44)</f>
        <v>72</v>
      </c>
      <c r="AR44">
        <f t="shared" ref="AR44:AS51" si="23">J44</f>
        <v>7.75</v>
      </c>
      <c r="AS44">
        <f t="shared" si="23"/>
        <v>1.91</v>
      </c>
      <c r="AT44">
        <f t="shared" ref="AT44:AT51" si="24">INT(I44)</f>
        <v>38</v>
      </c>
      <c r="AU44">
        <f t="shared" ref="AU44:AV51" si="25">L44</f>
        <v>8.68</v>
      </c>
      <c r="AV44">
        <f t="shared" si="25"/>
        <v>1.9</v>
      </c>
      <c r="AW44" s="65">
        <f t="shared" ref="AW44:AW51" si="26">O44</f>
        <v>-0.48438916361098971</v>
      </c>
      <c r="AX44">
        <f t="shared" ref="AX44:AX51" si="27">SQRT(P44)</f>
        <v>0.20325061139373948</v>
      </c>
      <c r="AY44" t="str">
        <f>$F$6</f>
        <v>Cohens Effect size</v>
      </c>
      <c r="AZ44">
        <f>AB24</f>
        <v>55.4</v>
      </c>
      <c r="BA44" t="str">
        <f>AJ24</f>
        <v/>
      </c>
      <c r="BB44">
        <f>AH24</f>
        <v>1.5</v>
      </c>
    </row>
    <row r="45" spans="1:61">
      <c r="E45" t="str">
        <f t="shared" si="1"/>
        <v>Hickie IB (A)</v>
      </c>
      <c r="F45">
        <f t="shared" si="1"/>
        <v>2007</v>
      </c>
      <c r="G45">
        <v>7</v>
      </c>
      <c r="H45">
        <f t="shared" si="2"/>
        <v>45</v>
      </c>
      <c r="I45">
        <f t="shared" si="2"/>
        <v>16</v>
      </c>
      <c r="J45">
        <f t="shared" si="3"/>
        <v>7.2</v>
      </c>
      <c r="K45">
        <f t="shared" si="3"/>
        <v>1.1000000000000001</v>
      </c>
      <c r="L45">
        <f t="shared" si="3"/>
        <v>7.6</v>
      </c>
      <c r="M45">
        <f t="shared" si="3"/>
        <v>0.8</v>
      </c>
      <c r="N45">
        <f t="shared" si="4"/>
        <v>1.032029430666932</v>
      </c>
      <c r="O45" s="59">
        <f t="shared" si="5"/>
        <v>-0.38263794160025316</v>
      </c>
      <c r="P45" s="63">
        <f t="shared" si="6"/>
        <v>8.6005185719874505E-2</v>
      </c>
      <c r="Q45" s="59">
        <f t="shared" si="7"/>
        <v>0.57480215853932726</v>
      </c>
      <c r="R45" s="59">
        <f t="shared" si="8"/>
        <v>11.627205867063374</v>
      </c>
      <c r="S45" s="59">
        <f t="shared" si="9"/>
        <v>-4.4490101195355161</v>
      </c>
      <c r="T45" s="59">
        <f t="shared" si="10"/>
        <v>1.702360074297766</v>
      </c>
      <c r="U45" s="23">
        <f t="shared" si="11"/>
        <v>135.19191627507294</v>
      </c>
      <c r="V45" s="59">
        <f t="shared" si="12"/>
        <v>9.4914745676304939</v>
      </c>
      <c r="W45" s="59">
        <f t="shared" si="13"/>
        <v>-3.631798291309285</v>
      </c>
      <c r="AF45" s="59">
        <f t="shared" si="14"/>
        <v>-0.38263794160025316</v>
      </c>
      <c r="AG45" s="59">
        <f t="shared" si="15"/>
        <v>0.57480215853932726</v>
      </c>
      <c r="AH45" s="59">
        <f t="shared" si="16"/>
        <v>0.57480215853932726</v>
      </c>
      <c r="AJ45">
        <f t="shared" si="17"/>
        <v>0.29326640741802412</v>
      </c>
      <c r="AK45">
        <f t="shared" si="18"/>
        <v>3.4098688929434475</v>
      </c>
      <c r="AL45">
        <f t="shared" si="19"/>
        <v>-1.3047452143226148</v>
      </c>
      <c r="AN45" t="str">
        <f t="shared" si="20"/>
        <v>Hickie IB (A)</v>
      </c>
      <c r="AO45">
        <f t="shared" si="20"/>
        <v>2007</v>
      </c>
      <c r="AP45" t="str">
        <f t="shared" si="21"/>
        <v>Hickie IB (A) 2007</v>
      </c>
      <c r="AQ45">
        <f t="shared" si="22"/>
        <v>45</v>
      </c>
      <c r="AR45">
        <f t="shared" si="23"/>
        <v>7.2</v>
      </c>
      <c r="AS45">
        <f t="shared" si="23"/>
        <v>1.1000000000000001</v>
      </c>
      <c r="AT45">
        <f t="shared" si="24"/>
        <v>16</v>
      </c>
      <c r="AU45">
        <f t="shared" si="25"/>
        <v>7.6</v>
      </c>
      <c r="AV45">
        <f t="shared" si="25"/>
        <v>0.8</v>
      </c>
      <c r="AW45" s="65">
        <f t="shared" si="26"/>
        <v>-0.38263794160025316</v>
      </c>
      <c r="AX45">
        <f t="shared" si="27"/>
        <v>0.29326640741802412</v>
      </c>
      <c r="AZ45">
        <f>AB25</f>
        <v>52</v>
      </c>
      <c r="BA45" t="str">
        <f>AJ25</f>
        <v/>
      </c>
      <c r="BB45">
        <f>AH25</f>
        <v>1.5</v>
      </c>
    </row>
    <row r="46" spans="1:61">
      <c r="E46" t="str">
        <f t="shared" si="1"/>
        <v>Andreescu C</v>
      </c>
      <c r="F46">
        <f t="shared" si="1"/>
        <v>2008</v>
      </c>
      <c r="G46">
        <v>6</v>
      </c>
      <c r="H46">
        <f t="shared" si="2"/>
        <v>71</v>
      </c>
      <c r="I46">
        <f t="shared" si="2"/>
        <v>32</v>
      </c>
      <c r="J46">
        <f t="shared" si="3"/>
        <v>1.1100000000000001</v>
      </c>
      <c r="K46">
        <f t="shared" si="3"/>
        <v>0.18</v>
      </c>
      <c r="L46">
        <f t="shared" si="3"/>
        <v>1.24</v>
      </c>
      <c r="M46">
        <f t="shared" si="3"/>
        <v>0.23</v>
      </c>
      <c r="N46">
        <f t="shared" si="4"/>
        <v>0.1967030228743849</v>
      </c>
      <c r="O46" s="59">
        <f t="shared" si="5"/>
        <v>-0.65597496255518351</v>
      </c>
      <c r="P46" s="63">
        <f t="shared" si="6"/>
        <v>4.7506438959774591E-2</v>
      </c>
      <c r="Q46" s="59">
        <f t="shared" si="7"/>
        <v>0.42720104858002167</v>
      </c>
      <c r="R46" s="59">
        <f t="shared" si="8"/>
        <v>21.049778133164978</v>
      </c>
      <c r="S46" s="59">
        <f t="shared" si="9"/>
        <v>-13.808127422697817</v>
      </c>
      <c r="T46" s="59">
        <f t="shared" si="10"/>
        <v>9.0577858690614033</v>
      </c>
      <c r="U46" s="23">
        <f t="shared" si="11"/>
        <v>443.09315945547047</v>
      </c>
      <c r="V46" s="59">
        <f t="shared" si="12"/>
        <v>14.956858301229902</v>
      </c>
      <c r="W46" s="59">
        <f t="shared" si="13"/>
        <v>-9.8113245640924713</v>
      </c>
      <c r="AF46" s="59">
        <f t="shared" si="14"/>
        <v>-0.65597496255518351</v>
      </c>
      <c r="AG46" s="59">
        <f t="shared" si="15"/>
        <v>0.42720104858002167</v>
      </c>
      <c r="AH46" s="59">
        <f t="shared" si="16"/>
        <v>0.42720104858002167</v>
      </c>
      <c r="AJ46">
        <f t="shared" si="17"/>
        <v>0.21795971866327638</v>
      </c>
      <c r="AK46">
        <f t="shared" si="18"/>
        <v>4.5880037198290262</v>
      </c>
      <c r="AL46">
        <f t="shared" si="19"/>
        <v>-3.009615568317888</v>
      </c>
      <c r="AN46" t="str">
        <f t="shared" si="20"/>
        <v>Andreescu C</v>
      </c>
      <c r="AO46">
        <f t="shared" si="20"/>
        <v>2008</v>
      </c>
      <c r="AP46" t="str">
        <f t="shared" si="21"/>
        <v>Andreescu C 2008</v>
      </c>
      <c r="AQ46">
        <f t="shared" si="22"/>
        <v>71</v>
      </c>
      <c r="AR46">
        <f t="shared" si="23"/>
        <v>1.1100000000000001</v>
      </c>
      <c r="AS46">
        <f t="shared" si="23"/>
        <v>0.18</v>
      </c>
      <c r="AT46">
        <f t="shared" si="24"/>
        <v>32</v>
      </c>
      <c r="AU46">
        <f t="shared" si="25"/>
        <v>1.24</v>
      </c>
      <c r="AV46">
        <f t="shared" si="25"/>
        <v>0.23</v>
      </c>
      <c r="AW46" s="65">
        <f t="shared" si="26"/>
        <v>-0.65597496255518351</v>
      </c>
      <c r="AX46">
        <f t="shared" si="27"/>
        <v>0.21795971866327638</v>
      </c>
      <c r="AZ46">
        <f>AB26</f>
        <v>72.2</v>
      </c>
      <c r="BA46" t="str">
        <f>AJ26</f>
        <v/>
      </c>
      <c r="BB46">
        <f>AH26</f>
        <v>1.5</v>
      </c>
    </row>
    <row r="47" spans="1:61">
      <c r="E47" t="str">
        <f t="shared" ref="E47:F51" si="28">E29</f>
        <v>Lenze EJ (B)</v>
      </c>
      <c r="F47">
        <f t="shared" si="28"/>
        <v>1999</v>
      </c>
      <c r="G47">
        <v>5</v>
      </c>
      <c r="H47">
        <f t="shared" ref="H47:I51" si="29">H29</f>
        <v>24</v>
      </c>
      <c r="I47">
        <f t="shared" si="29"/>
        <v>24</v>
      </c>
      <c r="J47">
        <f t="shared" ref="J47:M51" si="30">IF($D$4="Total",T29,IF($D$4="Left",L29,IF($D$4="Right",P29,"error")))</f>
        <v>7.79</v>
      </c>
      <c r="K47">
        <f t="shared" si="30"/>
        <v>1.1292918134831227</v>
      </c>
      <c r="L47">
        <f t="shared" si="30"/>
        <v>7.7</v>
      </c>
      <c r="M47">
        <f t="shared" si="30"/>
        <v>1.0444903063217006</v>
      </c>
      <c r="N47">
        <f t="shared" si="4"/>
        <v>1.0877177942830576</v>
      </c>
      <c r="O47" s="59">
        <f t="shared" si="5"/>
        <v>8.1385622841890798E-2</v>
      </c>
      <c r="P47" s="63">
        <f t="shared" si="6"/>
        <v>8.3408499238977474E-2</v>
      </c>
      <c r="Q47" s="59">
        <f t="shared" si="7"/>
        <v>0.56605838097890204</v>
      </c>
      <c r="R47" s="59">
        <f t="shared" si="8"/>
        <v>11.989185863839303</v>
      </c>
      <c r="S47" s="59">
        <f t="shared" si="9"/>
        <v>0.97574735889575426</v>
      </c>
      <c r="T47" s="59">
        <f t="shared" si="10"/>
        <v>7.9411806540060914E-2</v>
      </c>
      <c r="U47" s="23">
        <f t="shared" si="11"/>
        <v>143.74057767768417</v>
      </c>
      <c r="V47" s="59">
        <f t="shared" si="12"/>
        <v>9.7313163235848137</v>
      </c>
      <c r="W47" s="59">
        <f t="shared" si="13"/>
        <v>0.79198924006640903</v>
      </c>
      <c r="AF47" s="59">
        <f t="shared" si="14"/>
        <v>8.1385622841890798E-2</v>
      </c>
      <c r="AG47" s="59">
        <f t="shared" si="15"/>
        <v>0.56605838097890204</v>
      </c>
      <c r="AH47" s="59">
        <f t="shared" si="16"/>
        <v>0.56605838097890204</v>
      </c>
      <c r="AJ47">
        <f t="shared" si="17"/>
        <v>0.28880529641780717</v>
      </c>
      <c r="AK47">
        <f t="shared" si="18"/>
        <v>3.4625403772142938</v>
      </c>
      <c r="AL47">
        <f t="shared" si="19"/>
        <v>0.2818010052147808</v>
      </c>
      <c r="AN47" t="str">
        <f t="shared" si="20"/>
        <v>Lenze EJ (B)</v>
      </c>
      <c r="AO47">
        <f t="shared" si="20"/>
        <v>1999</v>
      </c>
      <c r="AP47" t="str">
        <f t="shared" si="21"/>
        <v>Lenze EJ (B) 1999</v>
      </c>
      <c r="AQ47">
        <f t="shared" si="22"/>
        <v>24</v>
      </c>
      <c r="AR47">
        <f t="shared" si="23"/>
        <v>7.79</v>
      </c>
      <c r="AS47">
        <f t="shared" si="23"/>
        <v>1.1292918134831227</v>
      </c>
      <c r="AT47">
        <f t="shared" si="24"/>
        <v>24</v>
      </c>
      <c r="AU47">
        <f t="shared" si="25"/>
        <v>7.7</v>
      </c>
      <c r="AV47">
        <f t="shared" si="25"/>
        <v>1.0444903063217006</v>
      </c>
      <c r="AW47" s="65">
        <f t="shared" si="26"/>
        <v>8.1385622841890798E-2</v>
      </c>
      <c r="AX47">
        <f t="shared" si="27"/>
        <v>0.28880529641780717</v>
      </c>
      <c r="AZ47">
        <f>AB29</f>
        <v>53</v>
      </c>
      <c r="BA47" t="str">
        <f>AJ29</f>
        <v/>
      </c>
      <c r="BB47" t="str">
        <f>AH29</f>
        <v/>
      </c>
    </row>
    <row r="48" spans="1:61">
      <c r="E48" t="str">
        <f t="shared" si="28"/>
        <v>Lacerda AL</v>
      </c>
      <c r="F48">
        <f t="shared" si="28"/>
        <v>2003</v>
      </c>
      <c r="G48">
        <v>4</v>
      </c>
      <c r="H48">
        <f t="shared" si="29"/>
        <v>25</v>
      </c>
      <c r="I48">
        <f t="shared" si="29"/>
        <v>48</v>
      </c>
      <c r="J48">
        <f t="shared" si="30"/>
        <v>5.38</v>
      </c>
      <c r="K48">
        <f t="shared" si="30"/>
        <v>1.5558920271021381</v>
      </c>
      <c r="L48">
        <f t="shared" si="30"/>
        <v>5.63</v>
      </c>
      <c r="M48">
        <f t="shared" si="30"/>
        <v>1.5748269746229264</v>
      </c>
      <c r="N48">
        <f t="shared" si="4"/>
        <v>1.5684520044109878</v>
      </c>
      <c r="O48" s="59">
        <f t="shared" si="5"/>
        <v>-0.15770315102147092</v>
      </c>
      <c r="P48" s="63">
        <f t="shared" si="6"/>
        <v>6.1013396205054311E-2</v>
      </c>
      <c r="Q48" s="59">
        <f t="shared" si="7"/>
        <v>0.48413744211880227</v>
      </c>
      <c r="R48" s="59">
        <f t="shared" si="8"/>
        <v>16.389843250803349</v>
      </c>
      <c r="S48" s="59">
        <f t="shared" si="9"/>
        <v>-2.5847299253996763</v>
      </c>
      <c r="T48" s="59">
        <f t="shared" si="10"/>
        <v>0.40762005377502042</v>
      </c>
      <c r="U48" s="23">
        <f t="shared" si="11"/>
        <v>268.62696178590409</v>
      </c>
      <c r="V48" s="59">
        <f t="shared" si="12"/>
        <v>12.443085659895681</v>
      </c>
      <c r="W48" s="59">
        <f t="shared" si="13"/>
        <v>-1.9623138169956278</v>
      </c>
      <c r="AF48" s="59">
        <f t="shared" si="14"/>
        <v>-0.15770315102147092</v>
      </c>
      <c r="AG48" s="59">
        <f t="shared" si="15"/>
        <v>0.48413744211880227</v>
      </c>
      <c r="AH48" s="59">
        <f t="shared" si="16"/>
        <v>0.48413744211880227</v>
      </c>
      <c r="AJ48">
        <f t="shared" si="17"/>
        <v>0.24700889904020526</v>
      </c>
      <c r="AK48">
        <f t="shared" si="18"/>
        <v>4.0484371368224732</v>
      </c>
      <c r="AL48">
        <f t="shared" si="19"/>
        <v>-0.63845129318924587</v>
      </c>
      <c r="AN48" t="str">
        <f t="shared" si="20"/>
        <v>Lacerda AL</v>
      </c>
      <c r="AO48">
        <f t="shared" si="20"/>
        <v>2003</v>
      </c>
      <c r="AP48" t="str">
        <f t="shared" si="21"/>
        <v>Lacerda AL 2003</v>
      </c>
      <c r="AQ48">
        <f t="shared" si="22"/>
        <v>25</v>
      </c>
      <c r="AR48">
        <f t="shared" si="23"/>
        <v>5.38</v>
      </c>
      <c r="AS48">
        <f t="shared" si="23"/>
        <v>1.5558920271021381</v>
      </c>
      <c r="AT48">
        <f t="shared" si="24"/>
        <v>48</v>
      </c>
      <c r="AU48">
        <f t="shared" si="25"/>
        <v>5.63</v>
      </c>
      <c r="AV48">
        <f t="shared" si="25"/>
        <v>1.5748269746229264</v>
      </c>
      <c r="AW48" s="65">
        <f t="shared" si="26"/>
        <v>-0.15770315102147092</v>
      </c>
      <c r="AX48">
        <f t="shared" si="27"/>
        <v>0.24700889904020526</v>
      </c>
      <c r="AZ48">
        <f>AB30</f>
        <v>41.2</v>
      </c>
      <c r="BA48" t="str">
        <f>AJ30</f>
        <v/>
      </c>
      <c r="BB48">
        <f>AH30</f>
        <v>1.5</v>
      </c>
    </row>
    <row r="49" spans="5:54">
      <c r="E49" t="str">
        <f t="shared" si="28"/>
        <v>Matsuo K</v>
      </c>
      <c r="F49">
        <f t="shared" si="28"/>
        <v>2008</v>
      </c>
      <c r="G49">
        <v>3</v>
      </c>
      <c r="H49">
        <f t="shared" si="29"/>
        <v>27</v>
      </c>
      <c r="I49">
        <f t="shared" si="29"/>
        <v>26</v>
      </c>
      <c r="J49">
        <f t="shared" si="30"/>
        <v>7.18</v>
      </c>
      <c r="K49">
        <f t="shared" si="30"/>
        <v>1.1668847415233434</v>
      </c>
      <c r="L49">
        <f t="shared" si="30"/>
        <v>7.59</v>
      </c>
      <c r="M49">
        <f t="shared" si="30"/>
        <v>1.0531571582627162</v>
      </c>
      <c r="N49">
        <f t="shared" si="4"/>
        <v>1.1125894544339556</v>
      </c>
      <c r="O49" s="59">
        <f t="shared" si="5"/>
        <v>-0.36306373846138751</v>
      </c>
      <c r="P49" s="63">
        <f t="shared" si="6"/>
        <v>7.6841984367160485E-2</v>
      </c>
      <c r="Q49" s="59">
        <f t="shared" si="7"/>
        <v>0.54331958104313127</v>
      </c>
      <c r="R49" s="59">
        <f t="shared" si="8"/>
        <v>13.013719104674296</v>
      </c>
      <c r="S49" s="59">
        <f t="shared" si="9"/>
        <v>-4.7248095094294307</v>
      </c>
      <c r="T49" s="59">
        <f t="shared" si="10"/>
        <v>1.7154070040113636</v>
      </c>
      <c r="U49" s="23">
        <f t="shared" si="11"/>
        <v>169.35688493536475</v>
      </c>
      <c r="V49" s="59">
        <f t="shared" si="12"/>
        <v>10.395604088107737</v>
      </c>
      <c r="W49" s="59">
        <f t="shared" si="13"/>
        <v>-3.7742668837928779</v>
      </c>
      <c r="AF49" s="59">
        <f t="shared" si="14"/>
        <v>-0.36306373846138751</v>
      </c>
      <c r="AG49" s="59">
        <f t="shared" si="15"/>
        <v>0.54331958104313127</v>
      </c>
      <c r="AH49" s="59">
        <f t="shared" si="16"/>
        <v>0.54331958104313127</v>
      </c>
      <c r="AJ49">
        <f t="shared" si="17"/>
        <v>0.27720386787914864</v>
      </c>
      <c r="AK49">
        <f t="shared" si="18"/>
        <v>3.6074532713084855</v>
      </c>
      <c r="AL49">
        <f t="shared" si="19"/>
        <v>-1.3097354710060209</v>
      </c>
      <c r="AN49" t="str">
        <f t="shared" si="20"/>
        <v>Matsuo K</v>
      </c>
      <c r="AO49">
        <f t="shared" si="20"/>
        <v>2008</v>
      </c>
      <c r="AP49" t="str">
        <f t="shared" si="21"/>
        <v>Matsuo K 2008</v>
      </c>
      <c r="AQ49">
        <f t="shared" si="22"/>
        <v>27</v>
      </c>
      <c r="AR49">
        <f t="shared" si="23"/>
        <v>7.18</v>
      </c>
      <c r="AS49">
        <f t="shared" si="23"/>
        <v>1.1668847415233434</v>
      </c>
      <c r="AT49">
        <f t="shared" si="24"/>
        <v>26</v>
      </c>
      <c r="AU49">
        <f t="shared" si="25"/>
        <v>7.59</v>
      </c>
      <c r="AV49">
        <f t="shared" si="25"/>
        <v>1.0531571582627162</v>
      </c>
      <c r="AW49" s="65">
        <f t="shared" si="26"/>
        <v>-0.36306373846138751</v>
      </c>
      <c r="AX49">
        <f t="shared" si="27"/>
        <v>0.27720386787914864</v>
      </c>
      <c r="AZ49">
        <f>AB31</f>
        <v>14.4</v>
      </c>
      <c r="BA49" t="str">
        <f>AJ31</f>
        <v/>
      </c>
      <c r="BB49">
        <f>AH31</f>
        <v>1.5</v>
      </c>
    </row>
    <row r="50" spans="5:54">
      <c r="E50" t="str">
        <f t="shared" si="28"/>
        <v>Pan CC</v>
      </c>
      <c r="F50">
        <f t="shared" si="28"/>
        <v>2009</v>
      </c>
      <c r="G50">
        <v>2</v>
      </c>
      <c r="H50">
        <f t="shared" si="29"/>
        <v>170</v>
      </c>
      <c r="I50">
        <f t="shared" si="29"/>
        <v>83</v>
      </c>
      <c r="J50">
        <f t="shared" si="30"/>
        <v>7.24</v>
      </c>
      <c r="K50">
        <f t="shared" si="30"/>
        <v>1.4609859684473359</v>
      </c>
      <c r="L50">
        <f t="shared" si="30"/>
        <v>7.34</v>
      </c>
      <c r="M50">
        <f t="shared" si="30"/>
        <v>1.2714873180649504</v>
      </c>
      <c r="N50">
        <f t="shared" si="4"/>
        <v>1.4018980872417055</v>
      </c>
      <c r="O50" s="59">
        <f t="shared" si="5"/>
        <v>-7.1118505842490451E-2</v>
      </c>
      <c r="P50" s="63">
        <f t="shared" si="6"/>
        <v>1.7940699574529477E-2</v>
      </c>
      <c r="Q50" s="59">
        <f t="shared" si="7"/>
        <v>0.26252807751841029</v>
      </c>
      <c r="R50" s="59">
        <f t="shared" si="8"/>
        <v>55.739186526466682</v>
      </c>
      <c r="S50" s="59">
        <f t="shared" si="9"/>
        <v>-3.9640876626381858</v>
      </c>
      <c r="T50" s="59">
        <f t="shared" si="10"/>
        <v>0.28191999159547815</v>
      </c>
      <c r="U50" s="23">
        <f t="shared" si="11"/>
        <v>3106.8569146322448</v>
      </c>
      <c r="V50" s="59">
        <f t="shared" si="12"/>
        <v>26.814524655661412</v>
      </c>
      <c r="W50" s="59">
        <f t="shared" si="13"/>
        <v>-1.9070089283872604</v>
      </c>
      <c r="AF50" s="59">
        <f t="shared" si="14"/>
        <v>-7.1118505842490451E-2</v>
      </c>
      <c r="AG50" s="59">
        <f t="shared" si="15"/>
        <v>0.26252807751841029</v>
      </c>
      <c r="AH50" s="59">
        <f t="shared" si="16"/>
        <v>0.26252807751841029</v>
      </c>
      <c r="AJ50">
        <f t="shared" si="17"/>
        <v>0.13394289669306647</v>
      </c>
      <c r="AK50">
        <f t="shared" si="18"/>
        <v>7.4658681026700897</v>
      </c>
      <c r="AL50">
        <f t="shared" si="19"/>
        <v>-0.53096138427900585</v>
      </c>
      <c r="AN50" t="str">
        <f t="shared" si="20"/>
        <v>Pan CC</v>
      </c>
      <c r="AO50">
        <f t="shared" si="20"/>
        <v>2009</v>
      </c>
      <c r="AP50" t="str">
        <f t="shared" si="21"/>
        <v>Pan CC 2009</v>
      </c>
      <c r="AQ50">
        <f t="shared" si="22"/>
        <v>170</v>
      </c>
      <c r="AR50">
        <f t="shared" si="23"/>
        <v>7.24</v>
      </c>
      <c r="AS50">
        <f t="shared" si="23"/>
        <v>1.4609859684473359</v>
      </c>
      <c r="AT50">
        <f t="shared" si="24"/>
        <v>83</v>
      </c>
      <c r="AU50">
        <f t="shared" si="25"/>
        <v>7.34</v>
      </c>
      <c r="AV50">
        <f t="shared" si="25"/>
        <v>1.2714873180649504</v>
      </c>
      <c r="AW50" s="65">
        <f t="shared" si="26"/>
        <v>-7.1118505842490451E-2</v>
      </c>
      <c r="AX50">
        <f t="shared" si="27"/>
        <v>0.13394289669306647</v>
      </c>
      <c r="AZ50">
        <f>AB32</f>
        <v>69.400000000000006</v>
      </c>
      <c r="BA50" t="str">
        <f>AJ32</f>
        <v/>
      </c>
      <c r="BB50">
        <f>AH32</f>
        <v>1.5</v>
      </c>
    </row>
    <row r="51" spans="5:54">
      <c r="E51" t="str">
        <f t="shared" si="28"/>
        <v>Pizzagalli DA</v>
      </c>
      <c r="F51">
        <f t="shared" si="28"/>
        <v>2009</v>
      </c>
      <c r="G51">
        <v>1</v>
      </c>
      <c r="H51">
        <f t="shared" si="29"/>
        <v>26</v>
      </c>
      <c r="I51">
        <f t="shared" si="29"/>
        <v>31</v>
      </c>
      <c r="J51">
        <f t="shared" si="30"/>
        <v>10914</v>
      </c>
      <c r="K51">
        <f t="shared" si="30"/>
        <v>1322.4645174824161</v>
      </c>
      <c r="L51">
        <f t="shared" si="30"/>
        <v>10841</v>
      </c>
      <c r="M51">
        <f t="shared" si="30"/>
        <v>1374.6502827992288</v>
      </c>
      <c r="N51">
        <f t="shared" si="4"/>
        <v>1351.1793636402506</v>
      </c>
      <c r="O51" s="59">
        <f t="shared" si="5"/>
        <v>5.3286781857016199E-2</v>
      </c>
      <c r="P51" s="63">
        <f t="shared" si="6"/>
        <v>7.0746360244164641E-2</v>
      </c>
      <c r="Q51" s="59">
        <f t="shared" si="7"/>
        <v>0.5213244839003659</v>
      </c>
      <c r="R51" s="59">
        <f t="shared" si="8"/>
        <v>14.135002798005893</v>
      </c>
      <c r="S51" s="59">
        <f t="shared" si="9"/>
        <v>0.75320881064565359</v>
      </c>
      <c r="T51" s="59">
        <f t="shared" si="10"/>
        <v>4.0136073585657565E-2</v>
      </c>
      <c r="U51" s="23">
        <f t="shared" si="11"/>
        <v>199.79830409963441</v>
      </c>
      <c r="V51" s="59">
        <f t="shared" si="12"/>
        <v>11.098916867586965</v>
      </c>
      <c r="W51" s="59">
        <f t="shared" si="13"/>
        <v>0.59142556197226415</v>
      </c>
      <c r="AF51" s="59">
        <f t="shared" si="14"/>
        <v>5.3286781857016199E-2</v>
      </c>
      <c r="AG51" s="59">
        <f t="shared" si="15"/>
        <v>0.5213244839003659</v>
      </c>
      <c r="AH51" s="59">
        <f t="shared" si="16"/>
        <v>0.5213244839003659</v>
      </c>
      <c r="AJ51">
        <f t="shared" si="17"/>
        <v>0.265981879541003</v>
      </c>
      <c r="AK51">
        <f t="shared" si="18"/>
        <v>3.7596546115309439</v>
      </c>
      <c r="AL51">
        <f t="shared" si="19"/>
        <v>0.20033989514237441</v>
      </c>
      <c r="AN51" t="str">
        <f t="shared" si="20"/>
        <v>Pizzagalli DA</v>
      </c>
      <c r="AO51">
        <f t="shared" si="20"/>
        <v>2009</v>
      </c>
      <c r="AP51" t="str">
        <f t="shared" si="21"/>
        <v>Pizzagalli DA 2009</v>
      </c>
      <c r="AQ51">
        <f t="shared" si="22"/>
        <v>26</v>
      </c>
      <c r="AR51">
        <f t="shared" si="23"/>
        <v>10914</v>
      </c>
      <c r="AS51">
        <f t="shared" si="23"/>
        <v>1322.4645174824161</v>
      </c>
      <c r="AT51">
        <f t="shared" si="24"/>
        <v>31</v>
      </c>
      <c r="AU51">
        <f t="shared" si="25"/>
        <v>10841</v>
      </c>
      <c r="AV51">
        <f t="shared" si="25"/>
        <v>1374.6502827992288</v>
      </c>
      <c r="AW51" s="65">
        <f t="shared" si="26"/>
        <v>5.3286781857016199E-2</v>
      </c>
      <c r="AX51">
        <f t="shared" si="27"/>
        <v>0.265981879541003</v>
      </c>
      <c r="AZ51">
        <f>AB33</f>
        <v>43.17</v>
      </c>
      <c r="BA51" t="str">
        <f>AJ33</f>
        <v/>
      </c>
      <c r="BB51">
        <f>AH33</f>
        <v>1.5</v>
      </c>
    </row>
    <row r="52" spans="5:54">
      <c r="U52" s="23"/>
    </row>
    <row r="53" spans="5:54">
      <c r="L53" t="s">
        <v>500</v>
      </c>
      <c r="N53" s="7"/>
      <c r="O53" s="66">
        <f>COUNT(O44:O51)</f>
        <v>8</v>
      </c>
      <c r="Q53" t="s">
        <v>885</v>
      </c>
      <c r="R53" s="59">
        <f t="shared" ref="R53:W53" si="31">SUM(R44:R51)</f>
        <v>168.15066004709655</v>
      </c>
      <c r="S53" s="59">
        <f t="shared" si="31"/>
        <v>-39.527290287415425</v>
      </c>
      <c r="T53" s="59">
        <f t="shared" si="31"/>
        <v>18.964337203263355</v>
      </c>
      <c r="U53" s="23">
        <f t="shared" si="31"/>
        <v>5052.6309078178065</v>
      </c>
      <c r="V53" s="59">
        <f t="shared" si="31"/>
        <v>111.41620286185201</v>
      </c>
      <c r="W53" s="59">
        <f t="shared" si="31"/>
        <v>-27.688173260591416</v>
      </c>
    </row>
    <row r="54" spans="5:54">
      <c r="L54" t="s">
        <v>501</v>
      </c>
      <c r="N54" s="7"/>
      <c r="O54" s="2">
        <v>0</v>
      </c>
    </row>
    <row r="55" spans="5:54">
      <c r="N55" s="7"/>
      <c r="O55" s="7"/>
    </row>
    <row r="56" spans="5:54">
      <c r="G56" s="67" t="s">
        <v>502</v>
      </c>
      <c r="H56" s="40"/>
      <c r="I56" s="40">
        <f>S53/R53</f>
        <v>-0.23507068171093951</v>
      </c>
      <c r="J56" s="40"/>
      <c r="K56" s="68" t="s">
        <v>879</v>
      </c>
      <c r="L56" s="40"/>
      <c r="M56" s="42"/>
      <c r="N56" s="7"/>
      <c r="O56" s="69" t="s">
        <v>503</v>
      </c>
      <c r="P56" s="70">
        <f>T53-((S53^2)/R53)</f>
        <v>9.6726301292144132</v>
      </c>
      <c r="Q56" s="71" t="s">
        <v>824</v>
      </c>
      <c r="R56" s="28"/>
      <c r="S56" s="29"/>
      <c r="T56" s="30"/>
      <c r="U56" s="31"/>
      <c r="AF56" s="2" t="s">
        <v>1518</v>
      </c>
    </row>
    <row r="57" spans="5:54">
      <c r="G57" s="43" t="s">
        <v>504</v>
      </c>
      <c r="H57" s="31"/>
      <c r="I57" s="31">
        <f>1/R53</f>
        <v>5.9470477232733705E-3</v>
      </c>
      <c r="J57" s="31"/>
      <c r="K57" s="31"/>
      <c r="L57" s="31"/>
      <c r="M57" s="44"/>
      <c r="N57" s="7"/>
      <c r="O57" s="30" t="s">
        <v>505</v>
      </c>
      <c r="P57" s="31">
        <f>CHIDIST(P56,I61-1)</f>
        <v>0.2078965722230425</v>
      </c>
      <c r="Q57" s="31"/>
      <c r="R57" s="31"/>
      <c r="S57" s="34"/>
      <c r="T57" s="30"/>
      <c r="U57" s="31"/>
      <c r="AF57" s="2"/>
    </row>
    <row r="58" spans="5:54">
      <c r="G58" s="72" t="s">
        <v>506</v>
      </c>
      <c r="H58" s="31"/>
      <c r="I58" s="31">
        <f>$R$68*SQRT(I57)</f>
        <v>0.15114952376281898</v>
      </c>
      <c r="J58" s="31"/>
      <c r="K58" s="31" t="s">
        <v>507</v>
      </c>
      <c r="L58" s="31"/>
      <c r="M58" s="44">
        <f>ABS(I56/SQRT(I57))</f>
        <v>3.0482301543762964</v>
      </c>
      <c r="N58" s="7"/>
      <c r="O58" s="35" t="s">
        <v>508</v>
      </c>
      <c r="P58" s="37">
        <f>IF(((P56-(I61-1))/P56)&lt;0,0,100*((P56-(I61-1))/P56))</f>
        <v>27.630852141675739</v>
      </c>
      <c r="Q58" s="36"/>
      <c r="R58" s="36"/>
      <c r="S58" s="38"/>
      <c r="T58" s="30"/>
      <c r="U58" s="31"/>
      <c r="AF58" s="2" t="s">
        <v>1535</v>
      </c>
      <c r="AH58">
        <f>IF($D$6=1,100*((EXP(I56))-1),I56)</f>
        <v>-0.23507068171093951</v>
      </c>
    </row>
    <row r="59" spans="5:54">
      <c r="G59" s="45" t="s">
        <v>509</v>
      </c>
      <c r="H59" s="46"/>
      <c r="I59" s="46">
        <v>-2</v>
      </c>
      <c r="J59" s="46"/>
      <c r="K59" s="46" t="s">
        <v>825</v>
      </c>
      <c r="L59" s="46"/>
      <c r="M59" s="47">
        <f>2*(1-NORMDIST(M58,0,1,1))</f>
        <v>2.3019354993514263E-3</v>
      </c>
      <c r="N59" s="7"/>
      <c r="O59" s="7"/>
      <c r="AF59" s="79" t="s">
        <v>834</v>
      </c>
      <c r="AH59">
        <f>IF($D$6=1,100*(EXP(I56+I58)-EXP(I56)),I58)</f>
        <v>0.15114952376281898</v>
      </c>
    </row>
    <row r="60" spans="5:54">
      <c r="G60" s="40"/>
      <c r="H60" s="40"/>
      <c r="I60" s="40"/>
      <c r="J60" s="40"/>
      <c r="K60" s="40"/>
      <c r="L60" s="40"/>
      <c r="M60" s="40"/>
      <c r="N60" s="7"/>
      <c r="O60" s="7"/>
      <c r="AF60" s="79" t="s">
        <v>835</v>
      </c>
      <c r="AH60">
        <f>IF($D$6=1,100*(EXP(I56)-EXP(I56-I58)),I58)</f>
        <v>0.15114952376281898</v>
      </c>
    </row>
    <row r="61" spans="5:54">
      <c r="G61" s="73" t="s">
        <v>1110</v>
      </c>
      <c r="H61" s="74"/>
      <c r="I61" s="74">
        <f>O53</f>
        <v>8</v>
      </c>
      <c r="J61" s="74"/>
      <c r="K61" s="75" t="s">
        <v>1167</v>
      </c>
      <c r="L61" s="74"/>
      <c r="M61" s="76"/>
      <c r="N61" s="77"/>
      <c r="O61" s="101" t="s">
        <v>1513</v>
      </c>
      <c r="P61" s="102"/>
      <c r="Q61" s="103"/>
      <c r="AF61" s="7"/>
    </row>
    <row r="62" spans="5:54">
      <c r="G62" s="77" t="s">
        <v>1531</v>
      </c>
      <c r="H62" s="31"/>
      <c r="I62" s="31">
        <f>R53/I61</f>
        <v>21.018832505887069</v>
      </c>
      <c r="J62" s="31"/>
      <c r="K62" s="31"/>
      <c r="L62" s="31"/>
      <c r="M62" s="78"/>
      <c r="N62" s="77"/>
      <c r="O62" s="104" t="s">
        <v>1514</v>
      </c>
      <c r="P62" s="31"/>
      <c r="Q62" s="105">
        <f>INDEX(LINEST(AL44:AL51,AK44:AK51,TRUE,TRUE),1,2)</f>
        <v>-0.66983426955444136</v>
      </c>
      <c r="AF62" s="2" t="s">
        <v>1687</v>
      </c>
      <c r="AH62">
        <f>IF($D$6=1,100*((EXP(I67))-1),I67)</f>
        <v>-0.24851119091648399</v>
      </c>
    </row>
    <row r="63" spans="5:54">
      <c r="G63" s="77" t="s">
        <v>1532</v>
      </c>
      <c r="H63" s="31"/>
      <c r="I63" s="31">
        <f>(1/(I61-1))*(U53-(I61*I62^2))</f>
        <v>216.90004979050391</v>
      </c>
      <c r="J63" s="31"/>
      <c r="K63" s="31"/>
      <c r="L63" s="31"/>
      <c r="M63" s="78"/>
      <c r="N63" s="77"/>
      <c r="O63" s="104" t="s">
        <v>1516</v>
      </c>
      <c r="P63" s="31"/>
      <c r="Q63" s="105">
        <f>INDEX(LINEST(AL44:AL51,AK44:AK51,TRUE,TRUE),2,2)</f>
        <v>1.6086905355934702</v>
      </c>
      <c r="AF63" s="79" t="s">
        <v>834</v>
      </c>
      <c r="AG63" s="7"/>
      <c r="AH63">
        <f>IF($D$6=1,100*(EXP(I67+I69)-EXP(I67)),I69)</f>
        <v>0.18568716887248879</v>
      </c>
    </row>
    <row r="64" spans="5:54">
      <c r="G64" s="77" t="s">
        <v>1669</v>
      </c>
      <c r="H64" s="31"/>
      <c r="I64" s="31">
        <f>(I61-1)*(I62-(I63/(I61*I62)))</f>
        <v>138.102422910218</v>
      </c>
      <c r="J64" s="31"/>
      <c r="K64" s="31"/>
      <c r="L64" s="31"/>
      <c r="M64" s="78"/>
      <c r="N64" s="77"/>
      <c r="O64" s="104" t="s">
        <v>1349</v>
      </c>
      <c r="P64" s="31"/>
      <c r="Q64" s="105">
        <f>ABS(Q62/Q63)</f>
        <v>0.41638478920206329</v>
      </c>
      <c r="AF64" s="79" t="s">
        <v>835</v>
      </c>
      <c r="AH64">
        <f>IF($D$6=1,100*(EXP(I67)-EXP(I67-I69)),I69)</f>
        <v>0.18568716887248879</v>
      </c>
    </row>
    <row r="65" spans="7:18">
      <c r="G65" s="77" t="s">
        <v>1685</v>
      </c>
      <c r="H65" s="31"/>
      <c r="I65" s="31">
        <f>IF(P56&gt;(I61-1),(P56-(I61-1))/I64,0)</f>
        <v>1.9352521649471141E-2</v>
      </c>
      <c r="J65" s="31"/>
      <c r="K65" s="31"/>
      <c r="L65" s="31"/>
      <c r="M65" s="78"/>
      <c r="N65" s="77"/>
      <c r="O65" s="106" t="s">
        <v>1515</v>
      </c>
      <c r="P65" s="107"/>
      <c r="Q65" s="108">
        <f>TDIST(Q64,I61-2,2)</f>
        <v>0.69161291746769793</v>
      </c>
    </row>
    <row r="66" spans="7:18">
      <c r="G66" s="77"/>
      <c r="H66" s="31"/>
      <c r="I66" s="31"/>
      <c r="J66" s="31"/>
      <c r="K66" s="31"/>
      <c r="L66" s="31"/>
      <c r="M66" s="78"/>
      <c r="N66" s="77"/>
    </row>
    <row r="67" spans="7:18">
      <c r="G67" s="77" t="s">
        <v>1686</v>
      </c>
      <c r="H67" s="31"/>
      <c r="I67" s="31">
        <f>W53/V53</f>
        <v>-0.24851119091648399</v>
      </c>
      <c r="J67" s="31"/>
      <c r="N67" s="77"/>
    </row>
    <row r="68" spans="7:18">
      <c r="G68" s="77" t="s">
        <v>504</v>
      </c>
      <c r="H68" s="31"/>
      <c r="I68" s="31">
        <f>1/V53</f>
        <v>8.975355238411125E-3</v>
      </c>
      <c r="J68" s="31"/>
      <c r="N68" s="77"/>
      <c r="O68" t="s">
        <v>805</v>
      </c>
      <c r="R68">
        <v>1.96</v>
      </c>
    </row>
    <row r="69" spans="7:18">
      <c r="G69" s="80" t="s">
        <v>506</v>
      </c>
      <c r="H69" s="31"/>
      <c r="I69" s="31">
        <f>$R$68*SQRT(I68)</f>
        <v>0.18568716887248879</v>
      </c>
      <c r="J69" s="31"/>
      <c r="K69" s="31" t="s">
        <v>507</v>
      </c>
      <c r="L69" s="31"/>
      <c r="M69" s="78">
        <f>ABS(I67/(SQRT(I68)))</f>
        <v>2.623131889801106</v>
      </c>
      <c r="N69" s="77"/>
    </row>
    <row r="70" spans="7:18">
      <c r="G70" s="81" t="s">
        <v>509</v>
      </c>
      <c r="H70" s="82"/>
      <c r="I70" s="82">
        <v>-3</v>
      </c>
      <c r="J70" s="82"/>
      <c r="K70" s="31" t="s">
        <v>825</v>
      </c>
      <c r="L70" s="31"/>
      <c r="M70" s="78">
        <f>2*(1-NORMDIST(M69,0,1,1))</f>
        <v>8.7125537997891911E-3</v>
      </c>
      <c r="N70" s="77"/>
    </row>
    <row r="71" spans="7:18">
      <c r="G71" s="74"/>
      <c r="H71" s="74"/>
      <c r="I71" s="74"/>
      <c r="J71" s="74"/>
      <c r="K71" s="74"/>
      <c r="L71" s="74"/>
      <c r="M71" s="74"/>
      <c r="N71" s="31"/>
      <c r="O71" s="7"/>
    </row>
  </sheetData>
  <phoneticPr fontId="10" type="noConversion"/>
  <conditionalFormatting sqref="D17 D13 F13">
    <cfRule type="cellIs" dxfId="118" priority="0" stopIfTrue="1" operator="lessThan">
      <formula>0.05</formula>
    </cfRule>
  </conditionalFormatting>
  <conditionalFormatting sqref="D21">
    <cfRule type="cellIs" dxfId="11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codeName="Sheet3" enableFormatConditionsCalculation="0"/>
  <dimension ref="A1:BP433"/>
  <sheetViews>
    <sheetView zoomScaleNormal="100" workbookViewId="0"/>
  </sheetViews>
  <sheetFormatPr defaultColWidth="8.77734375" defaultRowHeight="13.2"/>
  <cols>
    <col min="1" max="1" width="6.44140625" customWidth="1"/>
    <col min="2" max="2" width="9.109375" customWidth="1"/>
    <col min="3" max="3" width="12.77734375" customWidth="1"/>
    <col min="4" max="4" width="11" customWidth="1"/>
    <col min="5" max="5" width="18" customWidth="1"/>
    <col min="6" max="6" width="7" customWidth="1"/>
    <col min="7" max="7" width="5.77734375" customWidth="1"/>
    <col min="8" max="8" width="6.44140625" customWidth="1"/>
    <col min="9" max="9" width="6.33203125" customWidth="1"/>
    <col min="10" max="10" width="8.6640625" customWidth="1"/>
    <col min="11" max="11" width="7.109375" customWidth="1"/>
    <col min="12" max="12" width="7" customWidth="1"/>
    <col min="13" max="24" width="7.44140625" customWidth="1"/>
    <col min="25" max="25" width="22.44140625" customWidth="1"/>
    <col min="26" max="26" width="8" customWidth="1"/>
  </cols>
  <sheetData>
    <row r="1" spans="1:68" ht="26.25" customHeight="1" thickTop="1" thickBot="1">
      <c r="A1" s="192" t="s">
        <v>91</v>
      </c>
      <c r="B1" s="193" t="s">
        <v>92</v>
      </c>
      <c r="C1" s="194" t="s">
        <v>80</v>
      </c>
      <c r="D1" s="224" t="s">
        <v>733</v>
      </c>
      <c r="E1" s="225"/>
      <c r="F1" s="195" t="s">
        <v>81</v>
      </c>
      <c r="G1" s="91"/>
      <c r="H1" s="91"/>
      <c r="V1" s="6"/>
    </row>
    <row r="2" spans="1:68" ht="13.8" thickTop="1">
      <c r="B2" s="3"/>
      <c r="J2" s="91"/>
      <c r="K2" s="91"/>
      <c r="AC2" s="4"/>
      <c r="AL2" s="4"/>
    </row>
    <row r="3" spans="1:68" ht="18.75" customHeight="1">
      <c r="A3" s="196" t="s">
        <v>57</v>
      </c>
      <c r="B3" s="197"/>
      <c r="C3" s="1"/>
      <c r="D3" s="1"/>
      <c r="G3" s="4"/>
      <c r="H3" s="4"/>
      <c r="I3" s="4"/>
      <c r="J3" s="4"/>
      <c r="K3" s="4"/>
      <c r="M3" s="4"/>
      <c r="N3" s="4"/>
      <c r="O3" s="4"/>
      <c r="P3" s="4"/>
      <c r="Q3" s="4"/>
      <c r="R3" s="4"/>
      <c r="S3" s="4"/>
      <c r="T3" s="4"/>
      <c r="U3" s="4"/>
      <c r="V3" s="4"/>
      <c r="W3" s="4"/>
      <c r="X3" s="4"/>
    </row>
    <row r="4" spans="1:68" ht="12.75" customHeight="1">
      <c r="A4" s="198" t="s">
        <v>94</v>
      </c>
      <c r="B4" s="197"/>
      <c r="C4" s="1"/>
      <c r="D4" s="1"/>
      <c r="G4" s="4"/>
      <c r="H4" s="4"/>
      <c r="I4" s="4"/>
      <c r="J4" s="4"/>
      <c r="K4" s="4"/>
      <c r="M4" s="4"/>
      <c r="N4" s="4"/>
      <c r="O4" s="4"/>
      <c r="P4" s="4"/>
      <c r="Q4" s="4"/>
      <c r="R4" s="4"/>
      <c r="S4" s="4"/>
      <c r="T4" s="4"/>
      <c r="U4" s="4"/>
      <c r="V4" s="4"/>
      <c r="W4" s="4"/>
      <c r="X4" s="4"/>
      <c r="AC4" s="4" t="s">
        <v>2470</v>
      </c>
      <c r="AL4" s="4" t="s">
        <v>2469</v>
      </c>
      <c r="AT4" s="4" t="s">
        <v>2444</v>
      </c>
      <c r="AY4" s="4" t="s">
        <v>2471</v>
      </c>
    </row>
    <row r="5" spans="1:68" ht="12.75" customHeight="1">
      <c r="A5" s="198" t="s">
        <v>93</v>
      </c>
      <c r="B5" s="197"/>
      <c r="C5" s="1"/>
      <c r="D5" s="1"/>
      <c r="G5" s="4"/>
      <c r="H5" s="4"/>
      <c r="I5" s="4"/>
      <c r="J5" s="4"/>
      <c r="K5" s="4"/>
      <c r="M5" s="4"/>
      <c r="N5" s="4"/>
      <c r="O5" s="4"/>
      <c r="P5" s="4"/>
      <c r="Q5" s="4"/>
      <c r="R5" s="4"/>
      <c r="S5" s="4"/>
      <c r="T5" s="4"/>
      <c r="U5" s="4"/>
      <c r="V5" s="4"/>
      <c r="W5" s="4"/>
      <c r="X5" s="4"/>
    </row>
    <row r="6" spans="1:68">
      <c r="A6" s="4"/>
      <c r="B6" s="2">
        <v>1</v>
      </c>
      <c r="C6" s="2">
        <v>2</v>
      </c>
      <c r="D6" s="2">
        <v>3</v>
      </c>
      <c r="E6" s="2">
        <v>4</v>
      </c>
      <c r="F6" s="2">
        <v>5</v>
      </c>
      <c r="G6" s="2">
        <v>6</v>
      </c>
      <c r="H6" s="2">
        <v>7</v>
      </c>
      <c r="I6" s="2">
        <v>8</v>
      </c>
      <c r="J6" s="2">
        <v>9</v>
      </c>
      <c r="K6" s="2">
        <v>10</v>
      </c>
      <c r="L6" s="2">
        <v>11</v>
      </c>
      <c r="M6" s="2">
        <v>12</v>
      </c>
      <c r="N6" s="2">
        <v>13</v>
      </c>
      <c r="O6" s="2">
        <v>14</v>
      </c>
      <c r="P6" s="2">
        <v>15</v>
      </c>
      <c r="Q6" s="2">
        <v>16</v>
      </c>
      <c r="R6" s="2">
        <v>17</v>
      </c>
      <c r="S6" s="2">
        <v>18</v>
      </c>
      <c r="T6" s="2">
        <v>19</v>
      </c>
      <c r="U6" s="2">
        <v>20</v>
      </c>
      <c r="V6" s="2">
        <v>21</v>
      </c>
      <c r="W6" s="2">
        <v>22</v>
      </c>
      <c r="X6" s="2">
        <v>23</v>
      </c>
      <c r="Y6" s="2">
        <v>24</v>
      </c>
      <c r="Z6" s="2">
        <v>25</v>
      </c>
      <c r="AA6" s="2">
        <v>26</v>
      </c>
      <c r="AB6" s="2">
        <v>27</v>
      </c>
      <c r="AC6" s="2">
        <v>28</v>
      </c>
      <c r="AD6" s="2">
        <v>29</v>
      </c>
      <c r="AE6" s="2">
        <v>30</v>
      </c>
      <c r="AF6" s="2">
        <v>31</v>
      </c>
      <c r="AG6" s="2">
        <v>32</v>
      </c>
      <c r="AH6" s="2">
        <v>33</v>
      </c>
      <c r="AI6" s="2">
        <v>34</v>
      </c>
      <c r="AJ6" s="2">
        <v>35</v>
      </c>
      <c r="AK6" s="2">
        <v>36</v>
      </c>
      <c r="AL6" s="2">
        <v>37</v>
      </c>
      <c r="AM6" s="2">
        <v>38</v>
      </c>
      <c r="AN6" s="2">
        <v>39</v>
      </c>
      <c r="AO6" s="2">
        <v>40</v>
      </c>
      <c r="AP6" s="2">
        <v>41</v>
      </c>
      <c r="AQ6" s="2">
        <v>42</v>
      </c>
      <c r="AR6" s="2">
        <v>43</v>
      </c>
      <c r="AS6" s="2">
        <v>44</v>
      </c>
      <c r="AT6" s="2">
        <v>45</v>
      </c>
      <c r="AU6" s="2">
        <v>46</v>
      </c>
      <c r="AV6" s="2">
        <v>47</v>
      </c>
    </row>
    <row r="7" spans="1:68" ht="46.5" customHeight="1">
      <c r="A7" s="173" t="s">
        <v>2213</v>
      </c>
      <c r="B7" s="58" t="s">
        <v>1162</v>
      </c>
      <c r="C7" s="173" t="s">
        <v>2466</v>
      </c>
      <c r="D7" s="58" t="s">
        <v>953</v>
      </c>
      <c r="E7" s="58" t="s">
        <v>617</v>
      </c>
      <c r="F7" s="58" t="s">
        <v>740</v>
      </c>
      <c r="G7" s="58" t="s">
        <v>1033</v>
      </c>
      <c r="H7" s="173" t="s">
        <v>58</v>
      </c>
      <c r="I7" s="58" t="s">
        <v>528</v>
      </c>
      <c r="J7" s="58" t="s">
        <v>1301</v>
      </c>
      <c r="K7" s="173" t="s">
        <v>2365</v>
      </c>
      <c r="L7" s="58" t="s">
        <v>580</v>
      </c>
      <c r="M7" s="58" t="s">
        <v>1327</v>
      </c>
      <c r="N7" s="58" t="s">
        <v>475</v>
      </c>
      <c r="O7" s="58" t="s">
        <v>1395</v>
      </c>
      <c r="P7" s="58" t="s">
        <v>1079</v>
      </c>
      <c r="Q7" s="58" t="s">
        <v>476</v>
      </c>
      <c r="R7" s="58" t="s">
        <v>477</v>
      </c>
      <c r="S7" s="58" t="s">
        <v>955</v>
      </c>
      <c r="T7" s="58" t="s">
        <v>956</v>
      </c>
      <c r="U7" s="58" t="s">
        <v>1719</v>
      </c>
      <c r="V7" s="173" t="s">
        <v>59</v>
      </c>
      <c r="W7" s="173" t="s">
        <v>60</v>
      </c>
      <c r="X7" s="58" t="s">
        <v>1259</v>
      </c>
      <c r="Y7" s="58"/>
      <c r="Z7" s="58" t="s">
        <v>1429</v>
      </c>
      <c r="AA7" s="173" t="s">
        <v>56</v>
      </c>
      <c r="AB7" s="58" t="s">
        <v>107</v>
      </c>
      <c r="AC7" s="57" t="s">
        <v>2229</v>
      </c>
      <c r="AD7" s="57" t="s">
        <v>2236</v>
      </c>
      <c r="AE7" s="57" t="s">
        <v>2230</v>
      </c>
      <c r="AF7" s="57" t="s">
        <v>2235</v>
      </c>
      <c r="AG7" s="57" t="s">
        <v>2238</v>
      </c>
      <c r="AH7" s="57" t="s">
        <v>2232</v>
      </c>
      <c r="AI7" s="57" t="s">
        <v>2233</v>
      </c>
      <c r="AJ7" s="57" t="s">
        <v>2234</v>
      </c>
      <c r="AK7" s="157" t="s">
        <v>2231</v>
      </c>
      <c r="AL7" s="156" t="s">
        <v>2206</v>
      </c>
      <c r="AM7" s="156" t="s">
        <v>2207</v>
      </c>
      <c r="AN7" s="156" t="s">
        <v>2208</v>
      </c>
      <c r="AO7" s="156" t="s">
        <v>2209</v>
      </c>
      <c r="AP7" s="156" t="s">
        <v>2114</v>
      </c>
      <c r="AQ7" s="156" t="s">
        <v>2115</v>
      </c>
      <c r="AR7" s="156" t="s">
        <v>2116</v>
      </c>
      <c r="AS7" s="156" t="s">
        <v>2117</v>
      </c>
      <c r="AT7" s="57" t="s">
        <v>2211</v>
      </c>
      <c r="AU7" s="57" t="s">
        <v>2212</v>
      </c>
      <c r="AV7" s="57" t="s">
        <v>2214</v>
      </c>
      <c r="AY7" s="230" t="s">
        <v>1327</v>
      </c>
      <c r="AZ7" s="230" t="s">
        <v>475</v>
      </c>
      <c r="BA7" s="230" t="s">
        <v>1395</v>
      </c>
      <c r="BB7" s="230" t="s">
        <v>1079</v>
      </c>
      <c r="BC7" s="230" t="s">
        <v>60</v>
      </c>
      <c r="BD7" s="230" t="s">
        <v>955</v>
      </c>
      <c r="BE7" s="230" t="s">
        <v>956</v>
      </c>
    </row>
    <row r="8" spans="1:68">
      <c r="A8">
        <v>1</v>
      </c>
      <c r="B8">
        <v>6574534</v>
      </c>
      <c r="C8" s="215"/>
      <c r="D8" s="21" t="s">
        <v>532</v>
      </c>
      <c r="E8" t="s">
        <v>630</v>
      </c>
      <c r="F8">
        <v>1983</v>
      </c>
      <c r="G8" s="1" t="s">
        <v>842</v>
      </c>
      <c r="H8">
        <v>10</v>
      </c>
      <c r="I8">
        <v>10</v>
      </c>
      <c r="J8" t="s">
        <v>150</v>
      </c>
      <c r="K8">
        <v>2</v>
      </c>
      <c r="L8" t="s">
        <v>422</v>
      </c>
      <c r="M8">
        <v>39.15</v>
      </c>
      <c r="N8">
        <v>11.35</v>
      </c>
      <c r="O8">
        <v>39.9</v>
      </c>
      <c r="P8">
        <v>11.11</v>
      </c>
      <c r="Q8" t="s">
        <v>1688</v>
      </c>
      <c r="R8" t="s">
        <v>1688</v>
      </c>
      <c r="S8" s="88" t="str">
        <f t="shared" ref="S8:S71" si="0">IF(OR(Q8="",Q8="ns"),"",100*Q8/H8)</f>
        <v/>
      </c>
      <c r="T8" s="88" t="str">
        <f t="shared" ref="T8:T71" si="1">IF(OR(R8="",R8="ns"),"",100*R8/I8)</f>
        <v/>
      </c>
      <c r="U8" s="86" t="s">
        <v>1688</v>
      </c>
      <c r="V8" s="86" t="s">
        <v>1688</v>
      </c>
      <c r="W8" s="86" t="s">
        <v>1688</v>
      </c>
      <c r="X8" s="86">
        <f t="shared" ref="X8:X71" si="2">H8+I8</f>
        <v>20</v>
      </c>
      <c r="Y8" t="s">
        <v>1470</v>
      </c>
      <c r="Z8" t="s">
        <v>1432</v>
      </c>
      <c r="AA8">
        <f t="shared" ref="AA8:AA71" si="3">LEN(TRIM(Z8))-LEN(SUBSTITUTE(Z8," ",""))+1</f>
        <v>1</v>
      </c>
      <c r="AB8">
        <v>3</v>
      </c>
      <c r="AC8" t="s">
        <v>1688</v>
      </c>
      <c r="AD8" t="s">
        <v>1688</v>
      </c>
      <c r="AE8" t="s">
        <v>1688</v>
      </c>
      <c r="AF8" t="s">
        <v>1688</v>
      </c>
      <c r="AG8" t="s">
        <v>1688</v>
      </c>
      <c r="AH8" t="s">
        <v>1688</v>
      </c>
      <c r="AI8" t="s">
        <v>1688</v>
      </c>
      <c r="AJ8" t="s">
        <v>1688</v>
      </c>
      <c r="AK8" t="s">
        <v>1688</v>
      </c>
      <c r="AL8" s="158" t="str">
        <f t="shared" ref="AL8:AL71" si="4">IF(OR(AC8="ns",AC8=""),(IF(AC8="ns","ns","")),100*(AC8/$H8))</f>
        <v>ns</v>
      </c>
      <c r="AM8" s="136" t="str">
        <f t="shared" ref="AM8:AM71" si="5">IF(OR(AD8="ns",AD8=""),(IF(AD8="ns","ns","")),100*(AD8/$H8))</f>
        <v>ns</v>
      </c>
      <c r="AN8" s="136" t="str">
        <f t="shared" ref="AN8:AN71" si="6">IF(OR(AE8="ns",AE8=""),(IF(AE8="ns","ns","")),100*(AE8/$H8))</f>
        <v>ns</v>
      </c>
      <c r="AO8" s="136" t="str">
        <f t="shared" ref="AO8:AO71" si="7">IF(OR(AF8="ns",AF8=""),(IF(AF8="ns","ns","")),100*(AF8/$H8))</f>
        <v>ns</v>
      </c>
      <c r="AP8" s="136" t="str">
        <f t="shared" ref="AP8:AP71" si="8">IF(OR(AG8="ns",AG8=""),(IF(AG8="ns","ns","")),100*(AG8/$H8))</f>
        <v>ns</v>
      </c>
      <c r="AQ8" s="136" t="str">
        <f t="shared" ref="AQ8:AQ71" si="9">IF(OR(AH8="ns",AH8=""),(IF(AH8="ns","ns","")),100*(AH8/$H8))</f>
        <v>ns</v>
      </c>
      <c r="AR8" s="136" t="str">
        <f t="shared" ref="AR8:AR71" si="10">IF(OR(AI8="ns",AI8=""),(IF(AI8="ns","ns","")),100*(AI8/$H8))</f>
        <v>ns</v>
      </c>
      <c r="AS8" s="136" t="str">
        <f t="shared" ref="AS8:AS71" si="11">IF(OR(AJ8="ns",AJ8=""),(IF(AJ8="ns","ns","")),100*(AJ8/$H8))</f>
        <v>ns</v>
      </c>
      <c r="AT8" s="86"/>
      <c r="AU8" s="86" t="str">
        <f t="shared" ref="AU8:AU71" si="12">IF(L8="MRI",IF(ISTEXT(W8),"",W8),"")</f>
        <v/>
      </c>
      <c r="AV8" s="86" t="str">
        <f t="shared" ref="AV8:AV39" si="13">IF(L8="CT",W8,"")</f>
        <v>ns</v>
      </c>
      <c r="AY8" s="231">
        <f>IF(ISNUMBER(M8),M8,NA())</f>
        <v>39.15</v>
      </c>
      <c r="AZ8" s="231">
        <f t="shared" ref="AZ8:BC23" si="14">IF(ISNUMBER(N8),N8,NA())</f>
        <v>11.35</v>
      </c>
      <c r="BA8" s="231">
        <f t="shared" si="14"/>
        <v>39.9</v>
      </c>
      <c r="BB8" s="231">
        <f t="shared" si="14"/>
        <v>11.11</v>
      </c>
      <c r="BC8" s="231" t="e">
        <f>IF(ISNUMBER(W8),W8,NA())</f>
        <v>#N/A</v>
      </c>
      <c r="BD8" s="232" t="e">
        <f>IF(ISNUMBER(S8),S8,NA())</f>
        <v>#N/A</v>
      </c>
      <c r="BE8" s="232" t="e">
        <f>IF(ISNUMBER(T8),T8,NA())</f>
        <v>#N/A</v>
      </c>
      <c r="BG8" s="233" t="s">
        <v>61</v>
      </c>
      <c r="BH8" s="231"/>
      <c r="BI8" s="231"/>
      <c r="BJ8" s="231"/>
      <c r="BK8" s="233" t="s">
        <v>2472</v>
      </c>
      <c r="BL8" s="231"/>
      <c r="BP8">
        <v>1</v>
      </c>
    </row>
    <row r="9" spans="1:68">
      <c r="A9" s="13">
        <v>2</v>
      </c>
      <c r="B9">
        <v>4023401</v>
      </c>
      <c r="C9" s="215"/>
      <c r="D9" s="21" t="s">
        <v>425</v>
      </c>
      <c r="E9" t="s">
        <v>1420</v>
      </c>
      <c r="F9">
        <v>1985</v>
      </c>
      <c r="G9" t="s">
        <v>1670</v>
      </c>
      <c r="H9">
        <v>7</v>
      </c>
      <c r="I9">
        <v>12</v>
      </c>
      <c r="J9" s="2" t="s">
        <v>150</v>
      </c>
      <c r="K9" s="2">
        <v>2</v>
      </c>
      <c r="L9" t="s">
        <v>422</v>
      </c>
      <c r="M9">
        <v>58.6</v>
      </c>
      <c r="N9" t="s">
        <v>1688</v>
      </c>
      <c r="O9">
        <v>62.4</v>
      </c>
      <c r="P9" t="s">
        <v>1688</v>
      </c>
      <c r="Q9">
        <v>0</v>
      </c>
      <c r="R9" t="s">
        <v>1688</v>
      </c>
      <c r="S9" s="88">
        <f t="shared" si="0"/>
        <v>0</v>
      </c>
      <c r="T9" s="88" t="str">
        <f t="shared" si="1"/>
        <v/>
      </c>
      <c r="U9" t="s">
        <v>1688</v>
      </c>
      <c r="V9" t="s">
        <v>1688</v>
      </c>
      <c r="W9" t="s">
        <v>1688</v>
      </c>
      <c r="X9" s="86">
        <f t="shared" si="2"/>
        <v>19</v>
      </c>
      <c r="Y9" t="s">
        <v>741</v>
      </c>
      <c r="Z9" t="s">
        <v>312</v>
      </c>
      <c r="AA9">
        <f t="shared" si="3"/>
        <v>3</v>
      </c>
      <c r="AB9">
        <v>3</v>
      </c>
      <c r="AC9" t="s">
        <v>1688</v>
      </c>
      <c r="AD9" t="s">
        <v>1688</v>
      </c>
      <c r="AE9" t="s">
        <v>1688</v>
      </c>
      <c r="AF9" t="s">
        <v>1688</v>
      </c>
      <c r="AG9" t="s">
        <v>1688</v>
      </c>
      <c r="AH9" t="s">
        <v>1688</v>
      </c>
      <c r="AI9" t="s">
        <v>1688</v>
      </c>
      <c r="AJ9" t="s">
        <v>1688</v>
      </c>
      <c r="AK9" t="s">
        <v>1688</v>
      </c>
      <c r="AL9" s="158" t="str">
        <f t="shared" si="4"/>
        <v>ns</v>
      </c>
      <c r="AM9" s="136" t="str">
        <f t="shared" si="5"/>
        <v>ns</v>
      </c>
      <c r="AN9" s="136" t="str">
        <f t="shared" si="6"/>
        <v>ns</v>
      </c>
      <c r="AO9" s="136" t="str">
        <f t="shared" si="7"/>
        <v>ns</v>
      </c>
      <c r="AP9" s="136" t="str">
        <f t="shared" si="8"/>
        <v>ns</v>
      </c>
      <c r="AQ9" s="136" t="str">
        <f t="shared" si="9"/>
        <v>ns</v>
      </c>
      <c r="AR9" s="136" t="str">
        <f t="shared" si="10"/>
        <v>ns</v>
      </c>
      <c r="AS9" s="136" t="str">
        <f t="shared" si="11"/>
        <v>ns</v>
      </c>
      <c r="AU9" s="86" t="str">
        <f t="shared" si="12"/>
        <v/>
      </c>
      <c r="AV9" s="86" t="str">
        <f t="shared" si="13"/>
        <v>ns</v>
      </c>
      <c r="AY9" s="231">
        <f>IF(ISNUMBER(M9),M9,NA())</f>
        <v>58.6</v>
      </c>
      <c r="AZ9" s="231" t="e">
        <f t="shared" si="14"/>
        <v>#N/A</v>
      </c>
      <c r="BA9" s="231">
        <f t="shared" ref="BA9:BA72" si="15">IF(ISNUMBER(O9),O9,NA())</f>
        <v>62.4</v>
      </c>
      <c r="BB9" s="231" t="e">
        <f t="shared" ref="BB9:BB72" si="16">IF(ISNUMBER(P9),P9,NA())</f>
        <v>#N/A</v>
      </c>
      <c r="BC9" s="231" t="e">
        <f t="shared" ref="BC9:BC72" si="17">IF(ISNUMBER(W9),W9,NA())</f>
        <v>#N/A</v>
      </c>
      <c r="BD9" s="232">
        <f>IF(ISNUMBER(S9),S9,NA())</f>
        <v>0</v>
      </c>
      <c r="BE9" s="232" t="e">
        <f>IF(ISNUMBER(T9),T9,NA())</f>
        <v>#N/A</v>
      </c>
      <c r="BG9" s="231" t="s">
        <v>605</v>
      </c>
      <c r="BH9" s="231"/>
      <c r="BI9" s="231"/>
      <c r="BJ9" s="231"/>
      <c r="BK9" s="231"/>
      <c r="BL9" s="231"/>
      <c r="BP9">
        <v>2</v>
      </c>
    </row>
    <row r="10" spans="1:68">
      <c r="A10">
        <v>3</v>
      </c>
      <c r="B10">
        <v>3565615</v>
      </c>
      <c r="C10" s="215"/>
      <c r="D10" s="21" t="s">
        <v>903</v>
      </c>
      <c r="E10" t="s">
        <v>629</v>
      </c>
      <c r="F10">
        <v>1987</v>
      </c>
      <c r="G10" s="1" t="s">
        <v>1554</v>
      </c>
      <c r="H10">
        <v>26</v>
      </c>
      <c r="I10">
        <v>74</v>
      </c>
      <c r="J10" t="s">
        <v>150</v>
      </c>
      <c r="K10">
        <v>2</v>
      </c>
      <c r="L10" t="s">
        <v>422</v>
      </c>
      <c r="M10">
        <v>37.299999999999997</v>
      </c>
      <c r="N10">
        <v>13.3</v>
      </c>
      <c r="O10" t="s">
        <v>1688</v>
      </c>
      <c r="P10" t="s">
        <v>1688</v>
      </c>
      <c r="Q10">
        <v>14</v>
      </c>
      <c r="R10" t="s">
        <v>1688</v>
      </c>
      <c r="S10" s="88">
        <f t="shared" si="0"/>
        <v>53.846153846153847</v>
      </c>
      <c r="T10" s="88" t="str">
        <f t="shared" si="1"/>
        <v/>
      </c>
      <c r="U10" s="86" t="s">
        <v>1688</v>
      </c>
      <c r="V10" s="86" t="s">
        <v>1688</v>
      </c>
      <c r="W10" s="86" t="s">
        <v>1688</v>
      </c>
      <c r="X10" s="86">
        <f t="shared" si="2"/>
        <v>100</v>
      </c>
      <c r="Y10" t="s">
        <v>1521</v>
      </c>
      <c r="Z10" t="s">
        <v>831</v>
      </c>
      <c r="AA10">
        <f t="shared" si="3"/>
        <v>1</v>
      </c>
      <c r="AB10">
        <v>3</v>
      </c>
      <c r="AC10" t="s">
        <v>1688</v>
      </c>
      <c r="AD10" t="s">
        <v>1688</v>
      </c>
      <c r="AE10" t="s">
        <v>1688</v>
      </c>
      <c r="AF10" t="s">
        <v>1688</v>
      </c>
      <c r="AG10" t="s">
        <v>1688</v>
      </c>
      <c r="AH10" t="s">
        <v>1688</v>
      </c>
      <c r="AI10" t="s">
        <v>1688</v>
      </c>
      <c r="AJ10" t="s">
        <v>1688</v>
      </c>
      <c r="AK10" t="s">
        <v>1688</v>
      </c>
      <c r="AL10" s="158" t="str">
        <f t="shared" si="4"/>
        <v>ns</v>
      </c>
      <c r="AM10" s="136" t="str">
        <f t="shared" si="5"/>
        <v>ns</v>
      </c>
      <c r="AN10" s="136" t="str">
        <f t="shared" si="6"/>
        <v>ns</v>
      </c>
      <c r="AO10" s="136" t="str">
        <f t="shared" si="7"/>
        <v>ns</v>
      </c>
      <c r="AP10" s="136" t="str">
        <f t="shared" si="8"/>
        <v>ns</v>
      </c>
      <c r="AQ10" s="136" t="str">
        <f t="shared" si="9"/>
        <v>ns</v>
      </c>
      <c r="AR10" s="136" t="str">
        <f t="shared" si="10"/>
        <v>ns</v>
      </c>
      <c r="AS10" s="136" t="str">
        <f t="shared" si="11"/>
        <v>ns</v>
      </c>
      <c r="AT10" s="86"/>
      <c r="AU10" s="86" t="str">
        <f t="shared" si="12"/>
        <v/>
      </c>
      <c r="AV10" s="86" t="str">
        <f t="shared" si="13"/>
        <v>ns</v>
      </c>
      <c r="AY10" s="231">
        <f>IF(ISNUMBER(M10),M10,NA())</f>
        <v>37.299999999999997</v>
      </c>
      <c r="AZ10" s="231">
        <f t="shared" si="14"/>
        <v>13.3</v>
      </c>
      <c r="BA10" s="231" t="e">
        <f t="shared" si="15"/>
        <v>#N/A</v>
      </c>
      <c r="BB10" s="231" t="e">
        <f t="shared" si="16"/>
        <v>#N/A</v>
      </c>
      <c r="BC10" s="231" t="e">
        <f t="shared" si="17"/>
        <v>#N/A</v>
      </c>
      <c r="BD10" s="232">
        <f>IF(ISNUMBER(S10),S10,NA())</f>
        <v>53.846153846153847</v>
      </c>
      <c r="BE10" s="232" t="e">
        <f>IF(ISNUMBER(T10),T10,NA())</f>
        <v>#N/A</v>
      </c>
      <c r="BG10" s="231">
        <v>1983</v>
      </c>
      <c r="BH10" s="231">
        <f>COUNTIF(Database!$F$8:$F$232,BG10)</f>
        <v>1</v>
      </c>
      <c r="BI10" s="231"/>
      <c r="BJ10" s="231"/>
      <c r="BK10" s="231"/>
      <c r="BL10" s="231"/>
      <c r="BP10">
        <v>3</v>
      </c>
    </row>
    <row r="11" spans="1:68">
      <c r="A11" s="13">
        <v>4</v>
      </c>
      <c r="B11">
        <v>3381925</v>
      </c>
      <c r="C11" s="215"/>
      <c r="D11" s="90" t="s">
        <v>372</v>
      </c>
      <c r="E11" t="s">
        <v>628</v>
      </c>
      <c r="F11">
        <v>1988</v>
      </c>
      <c r="G11" s="1" t="s">
        <v>1553</v>
      </c>
      <c r="H11">
        <v>16</v>
      </c>
      <c r="I11">
        <v>44</v>
      </c>
      <c r="J11" t="s">
        <v>150</v>
      </c>
      <c r="K11">
        <v>2</v>
      </c>
      <c r="L11" t="s">
        <v>422</v>
      </c>
      <c r="M11">
        <v>22.6</v>
      </c>
      <c r="N11">
        <v>4</v>
      </c>
      <c r="O11">
        <v>23.2</v>
      </c>
      <c r="P11">
        <v>5.6</v>
      </c>
      <c r="Q11">
        <v>5</v>
      </c>
      <c r="R11">
        <v>15</v>
      </c>
      <c r="S11" s="88">
        <f t="shared" si="0"/>
        <v>31.25</v>
      </c>
      <c r="T11" s="88">
        <f t="shared" si="1"/>
        <v>34.090909090909093</v>
      </c>
      <c r="U11" s="86" t="s">
        <v>1688</v>
      </c>
      <c r="V11" s="86" t="s">
        <v>1688</v>
      </c>
      <c r="W11" s="86">
        <v>8</v>
      </c>
      <c r="X11" s="86">
        <f t="shared" si="2"/>
        <v>60</v>
      </c>
      <c r="Y11" t="s">
        <v>1522</v>
      </c>
      <c r="Z11" t="s">
        <v>664</v>
      </c>
      <c r="AA11">
        <f t="shared" si="3"/>
        <v>3</v>
      </c>
      <c r="AB11">
        <v>3</v>
      </c>
      <c r="AC11" t="s">
        <v>1688</v>
      </c>
      <c r="AD11" t="s">
        <v>1688</v>
      </c>
      <c r="AE11" t="s">
        <v>1688</v>
      </c>
      <c r="AF11" t="s">
        <v>1688</v>
      </c>
      <c r="AG11" t="s">
        <v>1688</v>
      </c>
      <c r="AH11" t="s">
        <v>1688</v>
      </c>
      <c r="AI11" t="s">
        <v>1688</v>
      </c>
      <c r="AJ11" t="s">
        <v>1688</v>
      </c>
      <c r="AK11" t="s">
        <v>1688</v>
      </c>
      <c r="AL11" s="158" t="str">
        <f t="shared" si="4"/>
        <v>ns</v>
      </c>
      <c r="AM11" s="136" t="str">
        <f t="shared" si="5"/>
        <v>ns</v>
      </c>
      <c r="AN11" s="136" t="str">
        <f t="shared" si="6"/>
        <v>ns</v>
      </c>
      <c r="AO11" s="136" t="str">
        <f t="shared" si="7"/>
        <v>ns</v>
      </c>
      <c r="AP11" s="136" t="str">
        <f t="shared" si="8"/>
        <v>ns</v>
      </c>
      <c r="AQ11" s="136" t="str">
        <f t="shared" si="9"/>
        <v>ns</v>
      </c>
      <c r="AR11" s="136" t="str">
        <f t="shared" si="10"/>
        <v>ns</v>
      </c>
      <c r="AS11" s="136" t="str">
        <f t="shared" si="11"/>
        <v>ns</v>
      </c>
      <c r="AT11" s="86"/>
      <c r="AU11" s="86" t="str">
        <f t="shared" si="12"/>
        <v/>
      </c>
      <c r="AV11" s="86">
        <f t="shared" si="13"/>
        <v>8</v>
      </c>
      <c r="AY11" s="231">
        <f>IF(ISNUMBER(M11),M11,NA())</f>
        <v>22.6</v>
      </c>
      <c r="AZ11" s="231">
        <f t="shared" si="14"/>
        <v>4</v>
      </c>
      <c r="BA11" s="231">
        <f t="shared" si="15"/>
        <v>23.2</v>
      </c>
      <c r="BB11" s="231">
        <f t="shared" si="16"/>
        <v>5.6</v>
      </c>
      <c r="BC11" s="231">
        <f t="shared" si="17"/>
        <v>8</v>
      </c>
      <c r="BD11" s="232">
        <f>IF(ISNUMBER(S11),S11,NA())</f>
        <v>31.25</v>
      </c>
      <c r="BE11" s="232">
        <f>IF(ISNUMBER(T11),T11,NA())</f>
        <v>34.090909090909093</v>
      </c>
      <c r="BG11" s="231">
        <v>1984</v>
      </c>
      <c r="BH11" s="231">
        <f>COUNTIF(Database!$F$8:$F$232,BG11)</f>
        <v>0</v>
      </c>
      <c r="BI11" s="231"/>
      <c r="BJ11" s="231"/>
      <c r="BK11" s="234" t="s">
        <v>150</v>
      </c>
      <c r="BL11" s="235">
        <f>COUNTIF(AB8:AB232,3)</f>
        <v>13</v>
      </c>
      <c r="BP11">
        <v>4</v>
      </c>
    </row>
    <row r="12" spans="1:68">
      <c r="A12">
        <v>5</v>
      </c>
      <c r="B12">
        <v>2798631</v>
      </c>
      <c r="C12" s="215"/>
      <c r="D12" s="21" t="s">
        <v>581</v>
      </c>
      <c r="E12" t="s">
        <v>625</v>
      </c>
      <c r="F12">
        <v>1989</v>
      </c>
      <c r="G12" s="84" t="s">
        <v>2297</v>
      </c>
      <c r="H12">
        <v>11</v>
      </c>
      <c r="I12">
        <v>31</v>
      </c>
      <c r="J12" s="13" t="s">
        <v>150</v>
      </c>
      <c r="K12" s="13">
        <v>2</v>
      </c>
      <c r="L12" t="s">
        <v>422</v>
      </c>
      <c r="M12">
        <v>70</v>
      </c>
      <c r="N12">
        <v>6.96</v>
      </c>
      <c r="O12">
        <v>68.3</v>
      </c>
      <c r="P12">
        <v>6.68</v>
      </c>
      <c r="Q12">
        <v>6</v>
      </c>
      <c r="R12">
        <v>16</v>
      </c>
      <c r="S12" s="88">
        <f t="shared" si="0"/>
        <v>54.545454545454547</v>
      </c>
      <c r="T12" s="88">
        <f t="shared" si="1"/>
        <v>51.612903225806448</v>
      </c>
      <c r="U12" t="s">
        <v>1688</v>
      </c>
      <c r="V12">
        <v>12.5</v>
      </c>
      <c r="W12">
        <v>8</v>
      </c>
      <c r="X12" s="86">
        <f t="shared" si="2"/>
        <v>42</v>
      </c>
      <c r="Y12" t="s">
        <v>1578</v>
      </c>
      <c r="Z12" t="s">
        <v>742</v>
      </c>
      <c r="AA12">
        <f t="shared" si="3"/>
        <v>8</v>
      </c>
      <c r="AB12">
        <v>3</v>
      </c>
      <c r="AC12" t="s">
        <v>1688</v>
      </c>
      <c r="AD12" t="s">
        <v>1688</v>
      </c>
      <c r="AE12" t="s">
        <v>1688</v>
      </c>
      <c r="AF12" t="s">
        <v>1688</v>
      </c>
      <c r="AG12" t="s">
        <v>1688</v>
      </c>
      <c r="AH12" t="s">
        <v>1688</v>
      </c>
      <c r="AI12" t="s">
        <v>1688</v>
      </c>
      <c r="AJ12" t="s">
        <v>1688</v>
      </c>
      <c r="AK12" t="s">
        <v>1688</v>
      </c>
      <c r="AL12" s="158" t="str">
        <f t="shared" si="4"/>
        <v>ns</v>
      </c>
      <c r="AM12" s="136" t="str">
        <f t="shared" si="5"/>
        <v>ns</v>
      </c>
      <c r="AN12" s="136" t="str">
        <f t="shared" si="6"/>
        <v>ns</v>
      </c>
      <c r="AO12" s="136" t="str">
        <f t="shared" si="7"/>
        <v>ns</v>
      </c>
      <c r="AP12" s="136" t="str">
        <f t="shared" si="8"/>
        <v>ns</v>
      </c>
      <c r="AQ12" s="136" t="str">
        <f t="shared" si="9"/>
        <v>ns</v>
      </c>
      <c r="AR12" s="136" t="str">
        <f t="shared" si="10"/>
        <v>ns</v>
      </c>
      <c r="AS12" s="136" t="str">
        <f t="shared" si="11"/>
        <v>ns</v>
      </c>
      <c r="AU12" s="86" t="str">
        <f t="shared" si="12"/>
        <v/>
      </c>
      <c r="AV12" s="86">
        <f t="shared" si="13"/>
        <v>8</v>
      </c>
      <c r="AY12" s="231">
        <f>IF(ISNUMBER(M12),M12,NA())</f>
        <v>70</v>
      </c>
      <c r="AZ12" s="231">
        <f t="shared" si="14"/>
        <v>6.96</v>
      </c>
      <c r="BA12" s="231">
        <f t="shared" si="15"/>
        <v>68.3</v>
      </c>
      <c r="BB12" s="231">
        <f t="shared" si="16"/>
        <v>6.68</v>
      </c>
      <c r="BC12" s="231">
        <f t="shared" si="17"/>
        <v>8</v>
      </c>
      <c r="BD12" s="232">
        <f>IF(ISNUMBER(S12),S12,NA())</f>
        <v>54.545454545454547</v>
      </c>
      <c r="BE12" s="232">
        <f>IF(ISNUMBER(T12),T12,NA())</f>
        <v>51.612903225806448</v>
      </c>
      <c r="BG12" s="231">
        <v>1985</v>
      </c>
      <c r="BH12" s="231">
        <f>COUNTIF(Database!$F$8:$F$232,BG12)</f>
        <v>1</v>
      </c>
      <c r="BI12" s="231"/>
      <c r="BJ12" s="231"/>
      <c r="BK12" s="236" t="s">
        <v>296</v>
      </c>
      <c r="BL12" s="237">
        <f>COUNTIF(AB8:AB232,4)</f>
        <v>46</v>
      </c>
      <c r="BP12">
        <v>5</v>
      </c>
    </row>
    <row r="13" spans="1:68">
      <c r="A13" s="13">
        <v>6</v>
      </c>
      <c r="B13">
        <v>2356874</v>
      </c>
      <c r="C13" s="215"/>
      <c r="D13" s="90" t="s">
        <v>1207</v>
      </c>
      <c r="E13" t="s">
        <v>627</v>
      </c>
      <c r="F13">
        <v>1990</v>
      </c>
      <c r="G13" s="1" t="s">
        <v>1481</v>
      </c>
      <c r="H13">
        <v>27</v>
      </c>
      <c r="I13">
        <v>75</v>
      </c>
      <c r="J13" t="s">
        <v>150</v>
      </c>
      <c r="K13">
        <v>2</v>
      </c>
      <c r="L13" t="s">
        <v>422</v>
      </c>
      <c r="M13">
        <v>37.26</v>
      </c>
      <c r="N13">
        <v>13.27</v>
      </c>
      <c r="O13">
        <v>34.89</v>
      </c>
      <c r="P13">
        <v>13.67</v>
      </c>
      <c r="Q13">
        <v>15</v>
      </c>
      <c r="R13">
        <v>39</v>
      </c>
      <c r="S13" s="88">
        <f t="shared" si="0"/>
        <v>55.555555555555557</v>
      </c>
      <c r="T13" s="88">
        <f t="shared" si="1"/>
        <v>52</v>
      </c>
      <c r="U13" s="86">
        <v>24.85</v>
      </c>
      <c r="V13" s="86" t="s">
        <v>1688</v>
      </c>
      <c r="W13" s="86">
        <v>8</v>
      </c>
      <c r="X13" s="86">
        <f t="shared" si="2"/>
        <v>102</v>
      </c>
      <c r="Y13" t="s">
        <v>1470</v>
      </c>
      <c r="Z13" t="s">
        <v>1432</v>
      </c>
      <c r="AA13">
        <f t="shared" si="3"/>
        <v>1</v>
      </c>
      <c r="AB13">
        <v>3</v>
      </c>
      <c r="AC13">
        <v>21</v>
      </c>
      <c r="AH13">
        <v>14</v>
      </c>
      <c r="AI13">
        <v>18</v>
      </c>
      <c r="AJ13" t="s">
        <v>1688</v>
      </c>
      <c r="AL13" s="158">
        <f t="shared" si="4"/>
        <v>77.777777777777786</v>
      </c>
      <c r="AM13" s="136" t="str">
        <f t="shared" si="5"/>
        <v/>
      </c>
      <c r="AN13" s="136" t="str">
        <f t="shared" si="6"/>
        <v/>
      </c>
      <c r="AO13" s="136" t="str">
        <f t="shared" si="7"/>
        <v/>
      </c>
      <c r="AP13" s="136" t="str">
        <f t="shared" si="8"/>
        <v/>
      </c>
      <c r="AQ13" s="136">
        <f t="shared" si="9"/>
        <v>51.851851851851848</v>
      </c>
      <c r="AR13" s="136">
        <f t="shared" si="10"/>
        <v>66.666666666666657</v>
      </c>
      <c r="AS13" s="136" t="str">
        <f t="shared" si="11"/>
        <v>ns</v>
      </c>
      <c r="AT13" s="86"/>
      <c r="AU13" s="86" t="str">
        <f t="shared" si="12"/>
        <v/>
      </c>
      <c r="AV13" s="86">
        <f t="shared" si="13"/>
        <v>8</v>
      </c>
      <c r="AY13" s="231">
        <f>IF(ISNUMBER(M13),M13,NA())</f>
        <v>37.26</v>
      </c>
      <c r="AZ13" s="231">
        <f t="shared" si="14"/>
        <v>13.27</v>
      </c>
      <c r="BA13" s="231">
        <f t="shared" si="15"/>
        <v>34.89</v>
      </c>
      <c r="BB13" s="231">
        <f t="shared" si="16"/>
        <v>13.67</v>
      </c>
      <c r="BC13" s="231">
        <f t="shared" si="17"/>
        <v>8</v>
      </c>
      <c r="BD13" s="232">
        <f>IF(ISNUMBER(S13),S13,NA())</f>
        <v>55.555555555555557</v>
      </c>
      <c r="BE13" s="232">
        <f>IF(ISNUMBER(T13),T13,NA())</f>
        <v>52</v>
      </c>
      <c r="BG13" s="231">
        <v>1986</v>
      </c>
      <c r="BH13" s="231">
        <f>COUNTIF(Database!$F$8:$F$232,BG13)</f>
        <v>0</v>
      </c>
      <c r="BI13" s="231"/>
      <c r="BJ13" s="231"/>
      <c r="BK13" s="236" t="s">
        <v>151</v>
      </c>
      <c r="BL13" s="237">
        <f>COUNTIF(AB8:AB232,5)</f>
        <v>156</v>
      </c>
      <c r="BP13">
        <v>6</v>
      </c>
    </row>
    <row r="14" spans="1:68">
      <c r="A14">
        <v>7</v>
      </c>
      <c r="B14">
        <v>2301657</v>
      </c>
      <c r="C14" s="215"/>
      <c r="D14" s="9" t="s">
        <v>1284</v>
      </c>
      <c r="E14" s="18" t="s">
        <v>616</v>
      </c>
      <c r="F14" s="16">
        <v>1990</v>
      </c>
      <c r="G14" s="84" t="s">
        <v>1435</v>
      </c>
      <c r="H14" s="16">
        <v>35</v>
      </c>
      <c r="I14" s="16">
        <v>22</v>
      </c>
      <c r="J14" s="85" t="s">
        <v>150</v>
      </c>
      <c r="K14" s="85">
        <v>2</v>
      </c>
      <c r="L14" s="16" t="s">
        <v>1119</v>
      </c>
      <c r="M14" s="16">
        <v>71.7</v>
      </c>
      <c r="N14" s="16">
        <v>8.1</v>
      </c>
      <c r="O14" s="16">
        <v>70.7</v>
      </c>
      <c r="P14" s="16">
        <v>5.5</v>
      </c>
      <c r="Q14" s="16">
        <v>28</v>
      </c>
      <c r="R14" s="16">
        <v>15</v>
      </c>
      <c r="S14" s="88">
        <f t="shared" si="0"/>
        <v>80</v>
      </c>
      <c r="T14" s="88">
        <f t="shared" si="1"/>
        <v>68.181818181818187</v>
      </c>
      <c r="U14" s="86" t="s">
        <v>1688</v>
      </c>
      <c r="V14" s="86" t="s">
        <v>1688</v>
      </c>
      <c r="W14" s="86">
        <v>5</v>
      </c>
      <c r="X14" s="86">
        <f t="shared" si="2"/>
        <v>57</v>
      </c>
      <c r="Y14" t="s">
        <v>1498</v>
      </c>
      <c r="Z14" t="s">
        <v>978</v>
      </c>
      <c r="AA14">
        <f t="shared" si="3"/>
        <v>1</v>
      </c>
      <c r="AB14">
        <v>3</v>
      </c>
      <c r="AC14" t="s">
        <v>1688</v>
      </c>
      <c r="AD14" t="s">
        <v>1688</v>
      </c>
      <c r="AE14" t="s">
        <v>1688</v>
      </c>
      <c r="AF14" t="s">
        <v>1688</v>
      </c>
      <c r="AG14" t="s">
        <v>1688</v>
      </c>
      <c r="AH14" t="s">
        <v>1688</v>
      </c>
      <c r="AI14" t="s">
        <v>1688</v>
      </c>
      <c r="AJ14" t="s">
        <v>1688</v>
      </c>
      <c r="AK14" t="s">
        <v>1688</v>
      </c>
      <c r="AL14" s="158" t="str">
        <f t="shared" si="4"/>
        <v>ns</v>
      </c>
      <c r="AM14" s="136" t="str">
        <f t="shared" si="5"/>
        <v>ns</v>
      </c>
      <c r="AN14" s="136" t="str">
        <f t="shared" si="6"/>
        <v>ns</v>
      </c>
      <c r="AO14" s="136" t="str">
        <f t="shared" si="7"/>
        <v>ns</v>
      </c>
      <c r="AP14" s="136" t="str">
        <f t="shared" si="8"/>
        <v>ns</v>
      </c>
      <c r="AQ14" s="136" t="str">
        <f t="shared" si="9"/>
        <v>ns</v>
      </c>
      <c r="AR14" s="136" t="str">
        <f t="shared" si="10"/>
        <v>ns</v>
      </c>
      <c r="AS14" s="136" t="str">
        <f t="shared" si="11"/>
        <v>ns</v>
      </c>
      <c r="AT14" s="86">
        <v>1.5</v>
      </c>
      <c r="AU14" s="86">
        <f t="shared" si="12"/>
        <v>5</v>
      </c>
      <c r="AV14" s="86" t="str">
        <f t="shared" si="13"/>
        <v/>
      </c>
      <c r="AY14" s="231">
        <f>IF(ISNUMBER(M14),M14,NA())</f>
        <v>71.7</v>
      </c>
      <c r="AZ14" s="231">
        <f t="shared" si="14"/>
        <v>8.1</v>
      </c>
      <c r="BA14" s="231">
        <f t="shared" si="15"/>
        <v>70.7</v>
      </c>
      <c r="BB14" s="231">
        <f t="shared" si="16"/>
        <v>5.5</v>
      </c>
      <c r="BC14" s="231">
        <f t="shared" si="17"/>
        <v>5</v>
      </c>
      <c r="BD14" s="232">
        <f>IF(ISNUMBER(S14),S14,NA())</f>
        <v>80</v>
      </c>
      <c r="BE14" s="232">
        <f>IF(ISNUMBER(T14),T14,NA())</f>
        <v>68.181818181818187</v>
      </c>
      <c r="BG14" s="231">
        <v>1987</v>
      </c>
      <c r="BH14" s="231">
        <f>COUNTIF(Database!$F$8:$F$232,BG14)</f>
        <v>1</v>
      </c>
      <c r="BI14" s="231"/>
      <c r="BJ14" s="231"/>
      <c r="BK14" s="236" t="s">
        <v>152</v>
      </c>
      <c r="BL14" s="237">
        <f>COUNTIF(AB8:AB232,1)</f>
        <v>4</v>
      </c>
      <c r="BP14">
        <v>7</v>
      </c>
    </row>
    <row r="15" spans="1:68">
      <c r="A15" s="13">
        <v>8</v>
      </c>
      <c r="B15">
        <v>2397343</v>
      </c>
      <c r="C15" s="215"/>
      <c r="D15" s="9" t="s">
        <v>725</v>
      </c>
      <c r="E15" s="18" t="s">
        <v>1071</v>
      </c>
      <c r="F15" s="16">
        <v>1990</v>
      </c>
      <c r="G15" s="84" t="s">
        <v>2319</v>
      </c>
      <c r="H15" s="16">
        <v>10</v>
      </c>
      <c r="I15" s="16">
        <v>13</v>
      </c>
      <c r="J15" s="85" t="s">
        <v>152</v>
      </c>
      <c r="K15" s="85">
        <v>1</v>
      </c>
      <c r="L15" s="16" t="s">
        <v>1119</v>
      </c>
      <c r="M15">
        <v>47</v>
      </c>
      <c r="N15">
        <v>11</v>
      </c>
      <c r="O15">
        <v>46</v>
      </c>
      <c r="P15">
        <v>7</v>
      </c>
      <c r="Q15">
        <v>6</v>
      </c>
      <c r="R15">
        <v>7</v>
      </c>
      <c r="S15" s="88">
        <f t="shared" si="0"/>
        <v>60</v>
      </c>
      <c r="T15" s="88">
        <f t="shared" si="1"/>
        <v>53.846153846153847</v>
      </c>
      <c r="U15" s="134">
        <v>31</v>
      </c>
      <c r="V15" s="134" t="s">
        <v>1688</v>
      </c>
      <c r="W15" s="134">
        <v>12</v>
      </c>
      <c r="X15" s="86">
        <f t="shared" si="2"/>
        <v>23</v>
      </c>
      <c r="Y15" t="s">
        <v>848</v>
      </c>
      <c r="Z15" t="s">
        <v>521</v>
      </c>
      <c r="AA15">
        <f t="shared" si="3"/>
        <v>10</v>
      </c>
      <c r="AB15">
        <v>1</v>
      </c>
      <c r="AC15" t="s">
        <v>1688</v>
      </c>
      <c r="AD15" t="s">
        <v>1688</v>
      </c>
      <c r="AE15" t="s">
        <v>1688</v>
      </c>
      <c r="AF15" t="s">
        <v>1688</v>
      </c>
      <c r="AG15" t="s">
        <v>1688</v>
      </c>
      <c r="AH15" t="s">
        <v>1688</v>
      </c>
      <c r="AI15" t="s">
        <v>1688</v>
      </c>
      <c r="AJ15">
        <v>0</v>
      </c>
      <c r="AK15" t="s">
        <v>1688</v>
      </c>
      <c r="AL15" s="158" t="str">
        <f t="shared" si="4"/>
        <v>ns</v>
      </c>
      <c r="AM15" s="136" t="str">
        <f t="shared" si="5"/>
        <v>ns</v>
      </c>
      <c r="AN15" s="136" t="str">
        <f t="shared" si="6"/>
        <v>ns</v>
      </c>
      <c r="AO15" s="136" t="str">
        <f t="shared" si="7"/>
        <v>ns</v>
      </c>
      <c r="AP15" s="136" t="str">
        <f t="shared" si="8"/>
        <v>ns</v>
      </c>
      <c r="AQ15" s="136" t="str">
        <f t="shared" si="9"/>
        <v>ns</v>
      </c>
      <c r="AR15" s="136" t="str">
        <f t="shared" si="10"/>
        <v>ns</v>
      </c>
      <c r="AS15" s="136">
        <f t="shared" si="11"/>
        <v>0</v>
      </c>
      <c r="AT15" s="134">
        <v>0.08</v>
      </c>
      <c r="AU15" s="86">
        <f t="shared" si="12"/>
        <v>12</v>
      </c>
      <c r="AV15" s="86" t="str">
        <f t="shared" si="13"/>
        <v/>
      </c>
      <c r="AY15" s="231">
        <f>IF(ISNUMBER(M15),M15,NA())</f>
        <v>47</v>
      </c>
      <c r="AZ15" s="231">
        <f t="shared" si="14"/>
        <v>11</v>
      </c>
      <c r="BA15" s="231">
        <f t="shared" si="15"/>
        <v>46</v>
      </c>
      <c r="BB15" s="231">
        <f t="shared" si="16"/>
        <v>7</v>
      </c>
      <c r="BC15" s="231">
        <f t="shared" si="17"/>
        <v>12</v>
      </c>
      <c r="BD15" s="232">
        <f>IF(ISNUMBER(S15),S15,NA())</f>
        <v>60</v>
      </c>
      <c r="BE15" s="232">
        <f>IF(ISNUMBER(T15),T15,NA())</f>
        <v>53.846153846153847</v>
      </c>
      <c r="BG15" s="231">
        <v>1988</v>
      </c>
      <c r="BH15" s="231">
        <f>COUNTIF(Database!$F$8:$F$232,BG15)</f>
        <v>1</v>
      </c>
      <c r="BI15" s="231"/>
      <c r="BJ15" s="231"/>
      <c r="BK15" s="236" t="s">
        <v>153</v>
      </c>
      <c r="BL15" s="237">
        <f>COUNTIF(AB8:AB232,6)</f>
        <v>5</v>
      </c>
      <c r="BP15">
        <v>8</v>
      </c>
    </row>
    <row r="16" spans="1:68">
      <c r="A16">
        <v>9</v>
      </c>
      <c r="B16">
        <v>2320698</v>
      </c>
      <c r="C16" s="215"/>
      <c r="D16" s="21" t="s">
        <v>1390</v>
      </c>
      <c r="E16" t="s">
        <v>1480</v>
      </c>
      <c r="F16">
        <v>1990</v>
      </c>
      <c r="G16" s="84" t="s">
        <v>2298</v>
      </c>
      <c r="H16">
        <v>5</v>
      </c>
      <c r="I16">
        <v>50</v>
      </c>
      <c r="J16" t="s">
        <v>152</v>
      </c>
      <c r="K16">
        <v>1</v>
      </c>
      <c r="L16" t="s">
        <v>422</v>
      </c>
      <c r="M16" t="s">
        <v>1688</v>
      </c>
      <c r="N16" t="s">
        <v>1688</v>
      </c>
      <c r="O16">
        <v>31</v>
      </c>
      <c r="P16" t="s">
        <v>1688</v>
      </c>
      <c r="Q16" t="s">
        <v>1688</v>
      </c>
      <c r="R16" t="s">
        <v>1688</v>
      </c>
      <c r="S16" s="88" t="str">
        <f t="shared" si="0"/>
        <v/>
      </c>
      <c r="T16" s="88" t="str">
        <f t="shared" si="1"/>
        <v/>
      </c>
      <c r="U16" s="86" t="s">
        <v>1688</v>
      </c>
      <c r="V16" s="134" t="s">
        <v>1688</v>
      </c>
      <c r="W16" s="134">
        <v>10</v>
      </c>
      <c r="X16" s="86">
        <f t="shared" si="2"/>
        <v>55</v>
      </c>
      <c r="Y16" t="s">
        <v>1828</v>
      </c>
      <c r="Z16" t="s">
        <v>1432</v>
      </c>
      <c r="AA16">
        <f t="shared" si="3"/>
        <v>1</v>
      </c>
      <c r="AB16">
        <v>1</v>
      </c>
      <c r="AC16" t="s">
        <v>1688</v>
      </c>
      <c r="AD16" t="s">
        <v>1688</v>
      </c>
      <c r="AE16" t="s">
        <v>1688</v>
      </c>
      <c r="AF16" t="s">
        <v>1688</v>
      </c>
      <c r="AG16" t="s">
        <v>1688</v>
      </c>
      <c r="AH16" t="s">
        <v>1688</v>
      </c>
      <c r="AI16" t="s">
        <v>1688</v>
      </c>
      <c r="AJ16" t="s">
        <v>1688</v>
      </c>
      <c r="AK16" t="s">
        <v>1688</v>
      </c>
      <c r="AL16" s="158" t="str">
        <f t="shared" si="4"/>
        <v>ns</v>
      </c>
      <c r="AM16" s="136" t="str">
        <f t="shared" si="5"/>
        <v>ns</v>
      </c>
      <c r="AN16" s="136" t="str">
        <f t="shared" si="6"/>
        <v>ns</v>
      </c>
      <c r="AO16" s="136" t="str">
        <f t="shared" si="7"/>
        <v>ns</v>
      </c>
      <c r="AP16" s="136" t="str">
        <f t="shared" si="8"/>
        <v>ns</v>
      </c>
      <c r="AQ16" s="136" t="str">
        <f t="shared" si="9"/>
        <v>ns</v>
      </c>
      <c r="AR16" s="136" t="str">
        <f t="shared" si="10"/>
        <v>ns</v>
      </c>
      <c r="AS16" s="136" t="str">
        <f t="shared" si="11"/>
        <v>ns</v>
      </c>
      <c r="AT16" s="134"/>
      <c r="AU16" s="86" t="str">
        <f t="shared" si="12"/>
        <v/>
      </c>
      <c r="AV16" s="86">
        <f t="shared" si="13"/>
        <v>10</v>
      </c>
      <c r="AY16" s="231" t="e">
        <f>IF(ISNUMBER(M16),M16,NA())</f>
        <v>#N/A</v>
      </c>
      <c r="AZ16" s="231" t="e">
        <f t="shared" si="14"/>
        <v>#N/A</v>
      </c>
      <c r="BA16" s="231">
        <f t="shared" si="15"/>
        <v>31</v>
      </c>
      <c r="BB16" s="231" t="e">
        <f t="shared" si="16"/>
        <v>#N/A</v>
      </c>
      <c r="BC16" s="231">
        <f t="shared" si="17"/>
        <v>10</v>
      </c>
      <c r="BD16" s="232" t="e">
        <f>IF(ISNUMBER(S16),S16,NA())</f>
        <v>#N/A</v>
      </c>
      <c r="BE16" s="232" t="e">
        <f>IF(ISNUMBER(T16),T16,NA())</f>
        <v>#N/A</v>
      </c>
      <c r="BG16" s="231">
        <v>1989</v>
      </c>
      <c r="BH16" s="231">
        <f>COUNTIF(Database!$F$8:$F$232,BG16)</f>
        <v>1</v>
      </c>
      <c r="BI16" s="231"/>
      <c r="BJ16" s="231"/>
      <c r="BK16" s="238" t="s">
        <v>2375</v>
      </c>
      <c r="BL16" s="237">
        <f>COUNTIF(AB8:AB232,7)</f>
        <v>1</v>
      </c>
      <c r="BP16">
        <v>9</v>
      </c>
    </row>
    <row r="17" spans="1:68">
      <c r="A17" s="13">
        <v>10</v>
      </c>
      <c r="B17">
        <v>2222243</v>
      </c>
      <c r="C17" s="215"/>
      <c r="D17" s="1" t="s">
        <v>1529</v>
      </c>
      <c r="E17" t="s">
        <v>1494</v>
      </c>
      <c r="F17">
        <v>1990</v>
      </c>
      <c r="G17" s="84" t="s">
        <v>2221</v>
      </c>
      <c r="H17">
        <v>67</v>
      </c>
      <c r="I17">
        <v>44</v>
      </c>
      <c r="J17" s="2" t="s">
        <v>296</v>
      </c>
      <c r="K17" s="2">
        <v>3</v>
      </c>
      <c r="L17" t="s">
        <v>1119</v>
      </c>
      <c r="M17">
        <v>73.2</v>
      </c>
      <c r="N17">
        <v>6.5</v>
      </c>
      <c r="O17">
        <v>68</v>
      </c>
      <c r="P17">
        <v>6.2</v>
      </c>
      <c r="Q17">
        <v>48</v>
      </c>
      <c r="R17">
        <v>22</v>
      </c>
      <c r="S17" s="88">
        <f t="shared" si="0"/>
        <v>71.641791044776113</v>
      </c>
      <c r="T17" s="88">
        <f t="shared" si="1"/>
        <v>50</v>
      </c>
      <c r="U17" s="86">
        <v>62.5</v>
      </c>
      <c r="V17" s="86" t="s">
        <v>1688</v>
      </c>
      <c r="W17" s="86">
        <v>5</v>
      </c>
      <c r="X17" s="86">
        <f t="shared" si="2"/>
        <v>111</v>
      </c>
      <c r="Y17" t="s">
        <v>1718</v>
      </c>
      <c r="Z17" t="s">
        <v>1446</v>
      </c>
      <c r="AA17">
        <f t="shared" si="3"/>
        <v>4</v>
      </c>
      <c r="AB17">
        <v>4</v>
      </c>
      <c r="AC17" t="s">
        <v>1688</v>
      </c>
      <c r="AD17" t="s">
        <v>1688</v>
      </c>
      <c r="AE17" t="s">
        <v>1688</v>
      </c>
      <c r="AF17" t="s">
        <v>1688</v>
      </c>
      <c r="AG17" t="s">
        <v>1688</v>
      </c>
      <c r="AH17" t="s">
        <v>1688</v>
      </c>
      <c r="AI17" t="s">
        <v>1688</v>
      </c>
      <c r="AJ17" t="s">
        <v>1688</v>
      </c>
      <c r="AK17" t="s">
        <v>1688</v>
      </c>
      <c r="AL17" s="158" t="str">
        <f t="shared" si="4"/>
        <v>ns</v>
      </c>
      <c r="AM17" s="136" t="str">
        <f t="shared" si="5"/>
        <v>ns</v>
      </c>
      <c r="AN17" s="136" t="str">
        <f t="shared" si="6"/>
        <v>ns</v>
      </c>
      <c r="AO17" s="136" t="str">
        <f t="shared" si="7"/>
        <v>ns</v>
      </c>
      <c r="AP17" s="136" t="str">
        <f t="shared" si="8"/>
        <v>ns</v>
      </c>
      <c r="AQ17" s="136" t="str">
        <f t="shared" si="9"/>
        <v>ns</v>
      </c>
      <c r="AR17" s="136" t="str">
        <f t="shared" si="10"/>
        <v>ns</v>
      </c>
      <c r="AS17" s="136" t="str">
        <f t="shared" si="11"/>
        <v>ns</v>
      </c>
      <c r="AT17" s="86">
        <v>1.5</v>
      </c>
      <c r="AU17" s="86">
        <f t="shared" si="12"/>
        <v>5</v>
      </c>
      <c r="AV17" s="86" t="str">
        <f t="shared" si="13"/>
        <v/>
      </c>
      <c r="AY17" s="231">
        <f>IF(ISNUMBER(M17),M17,NA())</f>
        <v>73.2</v>
      </c>
      <c r="AZ17" s="231">
        <f t="shared" si="14"/>
        <v>6.5</v>
      </c>
      <c r="BA17" s="231">
        <f t="shared" si="15"/>
        <v>68</v>
      </c>
      <c r="BB17" s="231">
        <f t="shared" si="16"/>
        <v>6.2</v>
      </c>
      <c r="BC17" s="231">
        <f t="shared" si="17"/>
        <v>5</v>
      </c>
      <c r="BD17" s="232">
        <f>IF(ISNUMBER(S17),S17,NA())</f>
        <v>71.641791044776113</v>
      </c>
      <c r="BE17" s="232">
        <f>IF(ISNUMBER(T17),T17,NA())</f>
        <v>50</v>
      </c>
      <c r="BG17" s="231">
        <v>1990</v>
      </c>
      <c r="BH17" s="231">
        <f>COUNTIF(Database!$F$8:$F$232,BG17)</f>
        <v>5</v>
      </c>
      <c r="BI17" s="231"/>
      <c r="BJ17" s="231"/>
      <c r="BK17" s="239" t="s">
        <v>885</v>
      </c>
      <c r="BL17" s="240">
        <f>SUM(BL11:BL16)</f>
        <v>225</v>
      </c>
      <c r="BP17">
        <v>10</v>
      </c>
    </row>
    <row r="18" spans="1:68">
      <c r="A18">
        <v>11</v>
      </c>
      <c r="B18">
        <v>1763144</v>
      </c>
      <c r="C18" s="215"/>
      <c r="D18" s="17" t="s">
        <v>1164</v>
      </c>
      <c r="E18" s="18" t="s">
        <v>932</v>
      </c>
      <c r="F18" s="16">
        <v>1991</v>
      </c>
      <c r="G18" s="84" t="s">
        <v>333</v>
      </c>
      <c r="H18" s="16">
        <v>41</v>
      </c>
      <c r="I18" s="16">
        <v>44</v>
      </c>
      <c r="J18" s="85" t="s">
        <v>296</v>
      </c>
      <c r="K18" s="85">
        <v>3</v>
      </c>
      <c r="L18" s="16" t="s">
        <v>1119</v>
      </c>
      <c r="M18" s="16">
        <v>55.3</v>
      </c>
      <c r="N18" s="16">
        <v>18.8</v>
      </c>
      <c r="O18" s="16">
        <v>56.4</v>
      </c>
      <c r="P18" s="16">
        <v>19.2</v>
      </c>
      <c r="Q18" s="16" t="s">
        <v>1688</v>
      </c>
      <c r="R18" s="16" t="s">
        <v>1688</v>
      </c>
      <c r="S18" s="88" t="str">
        <f t="shared" si="0"/>
        <v/>
      </c>
      <c r="T18" s="88" t="str">
        <f t="shared" si="1"/>
        <v/>
      </c>
      <c r="U18" s="86" t="s">
        <v>1688</v>
      </c>
      <c r="V18" s="86" t="s">
        <v>1688</v>
      </c>
      <c r="W18" s="86">
        <v>5</v>
      </c>
      <c r="X18" s="86">
        <f t="shared" si="2"/>
        <v>85</v>
      </c>
      <c r="Y18" t="s">
        <v>1291</v>
      </c>
      <c r="Z18" t="s">
        <v>1430</v>
      </c>
      <c r="AA18">
        <f t="shared" si="3"/>
        <v>4</v>
      </c>
      <c r="AB18">
        <v>4</v>
      </c>
      <c r="AC18" t="s">
        <v>1688</v>
      </c>
      <c r="AD18" t="s">
        <v>1688</v>
      </c>
      <c r="AE18" t="s">
        <v>1688</v>
      </c>
      <c r="AF18" t="s">
        <v>1688</v>
      </c>
      <c r="AG18" t="s">
        <v>1688</v>
      </c>
      <c r="AH18" t="s">
        <v>1688</v>
      </c>
      <c r="AI18" t="s">
        <v>1688</v>
      </c>
      <c r="AJ18" t="s">
        <v>1688</v>
      </c>
      <c r="AK18" t="s">
        <v>1688</v>
      </c>
      <c r="AL18" s="158" t="str">
        <f t="shared" si="4"/>
        <v>ns</v>
      </c>
      <c r="AM18" s="136" t="str">
        <f t="shared" si="5"/>
        <v>ns</v>
      </c>
      <c r="AN18" s="136" t="str">
        <f t="shared" si="6"/>
        <v>ns</v>
      </c>
      <c r="AO18" s="136" t="str">
        <f t="shared" si="7"/>
        <v>ns</v>
      </c>
      <c r="AP18" s="136" t="str">
        <f t="shared" si="8"/>
        <v>ns</v>
      </c>
      <c r="AQ18" s="136" t="str">
        <f t="shared" si="9"/>
        <v>ns</v>
      </c>
      <c r="AR18" s="136" t="str">
        <f t="shared" si="10"/>
        <v>ns</v>
      </c>
      <c r="AS18" s="136" t="str">
        <f t="shared" si="11"/>
        <v>ns</v>
      </c>
      <c r="AT18" s="86">
        <v>1.5</v>
      </c>
      <c r="AU18" s="86">
        <f t="shared" si="12"/>
        <v>5</v>
      </c>
      <c r="AV18" s="86" t="str">
        <f t="shared" si="13"/>
        <v/>
      </c>
      <c r="AY18" s="231">
        <f>IF(ISNUMBER(M18),M18,NA())</f>
        <v>55.3</v>
      </c>
      <c r="AZ18" s="231">
        <f t="shared" si="14"/>
        <v>18.8</v>
      </c>
      <c r="BA18" s="231">
        <f t="shared" si="15"/>
        <v>56.4</v>
      </c>
      <c r="BB18" s="231">
        <f t="shared" si="16"/>
        <v>19.2</v>
      </c>
      <c r="BC18" s="231">
        <f t="shared" si="17"/>
        <v>5</v>
      </c>
      <c r="BD18" s="232" t="e">
        <f>IF(ISNUMBER(S18),S18,NA())</f>
        <v>#N/A</v>
      </c>
      <c r="BE18" s="232" t="e">
        <f>IF(ISNUMBER(T18),T18,NA())</f>
        <v>#N/A</v>
      </c>
      <c r="BG18" s="231">
        <v>1991</v>
      </c>
      <c r="BH18" s="231">
        <f>COUNTIF(Database!$F$8:$F$232,BG18)</f>
        <v>7</v>
      </c>
      <c r="BI18" s="231"/>
      <c r="BJ18" s="231"/>
      <c r="BK18" s="231"/>
      <c r="BL18" s="231"/>
      <c r="BP18">
        <v>11</v>
      </c>
    </row>
    <row r="19" spans="1:68">
      <c r="A19" s="13">
        <v>12</v>
      </c>
      <c r="B19">
        <v>1821258</v>
      </c>
      <c r="C19" s="215"/>
      <c r="D19" s="17" t="s">
        <v>436</v>
      </c>
      <c r="E19" s="18" t="s">
        <v>931</v>
      </c>
      <c r="F19" s="16">
        <v>1991</v>
      </c>
      <c r="G19" s="84" t="s">
        <v>334</v>
      </c>
      <c r="H19" s="16">
        <v>20</v>
      </c>
      <c r="I19" s="16">
        <v>29</v>
      </c>
      <c r="J19" s="85" t="s">
        <v>296</v>
      </c>
      <c r="K19" s="85">
        <v>3</v>
      </c>
      <c r="L19" s="16" t="s">
        <v>1119</v>
      </c>
      <c r="M19" s="16">
        <v>52</v>
      </c>
      <c r="N19" s="16">
        <v>17.89</v>
      </c>
      <c r="O19" s="16">
        <v>57</v>
      </c>
      <c r="P19" s="16">
        <v>16.16</v>
      </c>
      <c r="Q19" s="16">
        <v>16</v>
      </c>
      <c r="R19" s="16">
        <v>18</v>
      </c>
      <c r="S19" s="88">
        <f t="shared" si="0"/>
        <v>80</v>
      </c>
      <c r="T19" s="88">
        <f t="shared" si="1"/>
        <v>62.068965517241381</v>
      </c>
      <c r="U19" s="86" t="s">
        <v>1688</v>
      </c>
      <c r="V19" s="86" t="s">
        <v>1688</v>
      </c>
      <c r="W19" s="86">
        <v>5</v>
      </c>
      <c r="X19" s="86">
        <f t="shared" si="2"/>
        <v>49</v>
      </c>
      <c r="Y19" t="s">
        <v>1290</v>
      </c>
      <c r="Z19" t="s">
        <v>1431</v>
      </c>
      <c r="AA19">
        <f t="shared" si="3"/>
        <v>4</v>
      </c>
      <c r="AB19">
        <v>4</v>
      </c>
      <c r="AC19" t="s">
        <v>1688</v>
      </c>
      <c r="AD19" t="s">
        <v>1688</v>
      </c>
      <c r="AE19" t="s">
        <v>1688</v>
      </c>
      <c r="AF19" t="s">
        <v>1688</v>
      </c>
      <c r="AG19" t="s">
        <v>1688</v>
      </c>
      <c r="AH19" t="s">
        <v>1688</v>
      </c>
      <c r="AI19" t="s">
        <v>1688</v>
      </c>
      <c r="AJ19" t="s">
        <v>1688</v>
      </c>
      <c r="AK19" t="s">
        <v>1688</v>
      </c>
      <c r="AL19" s="158" t="str">
        <f t="shared" si="4"/>
        <v>ns</v>
      </c>
      <c r="AM19" s="136" t="str">
        <f t="shared" si="5"/>
        <v>ns</v>
      </c>
      <c r="AN19" s="136" t="str">
        <f t="shared" si="6"/>
        <v>ns</v>
      </c>
      <c r="AO19" s="136" t="str">
        <f t="shared" si="7"/>
        <v>ns</v>
      </c>
      <c r="AP19" s="136" t="str">
        <f t="shared" si="8"/>
        <v>ns</v>
      </c>
      <c r="AQ19" s="136" t="str">
        <f t="shared" si="9"/>
        <v>ns</v>
      </c>
      <c r="AR19" s="136" t="str">
        <f t="shared" si="10"/>
        <v>ns</v>
      </c>
      <c r="AS19" s="136" t="str">
        <f t="shared" si="11"/>
        <v>ns</v>
      </c>
      <c r="AT19" s="86">
        <v>1.5</v>
      </c>
      <c r="AU19" s="86">
        <f t="shared" si="12"/>
        <v>5</v>
      </c>
      <c r="AV19" s="86" t="str">
        <f t="shared" si="13"/>
        <v/>
      </c>
      <c r="AY19" s="231">
        <f>IF(ISNUMBER(M19),M19,NA())</f>
        <v>52</v>
      </c>
      <c r="AZ19" s="231">
        <f t="shared" si="14"/>
        <v>17.89</v>
      </c>
      <c r="BA19" s="231">
        <f t="shared" si="15"/>
        <v>57</v>
      </c>
      <c r="BB19" s="231">
        <f t="shared" si="16"/>
        <v>16.16</v>
      </c>
      <c r="BC19" s="231">
        <f t="shared" si="17"/>
        <v>5</v>
      </c>
      <c r="BD19" s="232">
        <f>IF(ISNUMBER(S19),S19,NA())</f>
        <v>80</v>
      </c>
      <c r="BE19" s="232">
        <f>IF(ISNUMBER(T19),T19,NA())</f>
        <v>62.068965517241381</v>
      </c>
      <c r="BG19" s="231">
        <v>1992</v>
      </c>
      <c r="BH19" s="231">
        <f>COUNTIF(Database!$F$8:$F$232,BG19)</f>
        <v>6</v>
      </c>
      <c r="BI19" s="231"/>
      <c r="BJ19" s="231"/>
      <c r="BK19" s="231"/>
      <c r="BL19" s="231"/>
      <c r="BP19">
        <v>12</v>
      </c>
    </row>
    <row r="20" spans="1:68">
      <c r="A20">
        <v>13</v>
      </c>
      <c r="B20">
        <v>2015336</v>
      </c>
      <c r="C20" s="215"/>
      <c r="D20" s="17" t="s">
        <v>1437</v>
      </c>
      <c r="E20" s="18" t="s">
        <v>1436</v>
      </c>
      <c r="F20" s="16">
        <v>1991</v>
      </c>
      <c r="G20" s="84" t="s">
        <v>332</v>
      </c>
      <c r="H20" s="16">
        <v>20</v>
      </c>
      <c r="I20" s="16">
        <v>20</v>
      </c>
      <c r="J20" s="85" t="s">
        <v>296</v>
      </c>
      <c r="K20" s="85">
        <v>3</v>
      </c>
      <c r="L20" s="16" t="s">
        <v>1119</v>
      </c>
      <c r="M20" s="16">
        <v>53.8</v>
      </c>
      <c r="N20" s="16">
        <v>19.100000000000001</v>
      </c>
      <c r="O20" s="16">
        <v>51.5</v>
      </c>
      <c r="P20" s="16">
        <v>19.399999999999999</v>
      </c>
      <c r="Q20" s="16">
        <v>15</v>
      </c>
      <c r="R20" s="16">
        <v>15</v>
      </c>
      <c r="S20" s="88">
        <f t="shared" si="0"/>
        <v>75</v>
      </c>
      <c r="T20" s="88">
        <f t="shared" si="1"/>
        <v>75</v>
      </c>
      <c r="U20" s="86" t="s">
        <v>1688</v>
      </c>
      <c r="V20" s="86" t="s">
        <v>1688</v>
      </c>
      <c r="W20" s="86">
        <v>4</v>
      </c>
      <c r="X20" s="86">
        <f t="shared" si="2"/>
        <v>40</v>
      </c>
      <c r="Y20" t="s">
        <v>1527</v>
      </c>
      <c r="Z20" t="s">
        <v>838</v>
      </c>
      <c r="AA20">
        <f t="shared" si="3"/>
        <v>4</v>
      </c>
      <c r="AB20">
        <v>4</v>
      </c>
      <c r="AC20" t="s">
        <v>1688</v>
      </c>
      <c r="AD20" t="s">
        <v>1688</v>
      </c>
      <c r="AE20" t="s">
        <v>1688</v>
      </c>
      <c r="AF20" t="s">
        <v>1688</v>
      </c>
      <c r="AG20" t="s">
        <v>1688</v>
      </c>
      <c r="AH20" t="s">
        <v>1688</v>
      </c>
      <c r="AI20" t="s">
        <v>1688</v>
      </c>
      <c r="AJ20" t="s">
        <v>1688</v>
      </c>
      <c r="AK20" t="s">
        <v>1688</v>
      </c>
      <c r="AL20" s="158" t="str">
        <f t="shared" si="4"/>
        <v>ns</v>
      </c>
      <c r="AM20" s="136" t="str">
        <f t="shared" si="5"/>
        <v>ns</v>
      </c>
      <c r="AN20" s="136" t="str">
        <f t="shared" si="6"/>
        <v>ns</v>
      </c>
      <c r="AO20" s="136" t="str">
        <f t="shared" si="7"/>
        <v>ns</v>
      </c>
      <c r="AP20" s="136" t="str">
        <f t="shared" si="8"/>
        <v>ns</v>
      </c>
      <c r="AQ20" s="136" t="str">
        <f t="shared" si="9"/>
        <v>ns</v>
      </c>
      <c r="AR20" s="136" t="str">
        <f t="shared" si="10"/>
        <v>ns</v>
      </c>
      <c r="AS20" s="136" t="str">
        <f t="shared" si="11"/>
        <v>ns</v>
      </c>
      <c r="AT20" s="86">
        <v>1.5</v>
      </c>
      <c r="AU20" s="86">
        <f t="shared" si="12"/>
        <v>4</v>
      </c>
      <c r="AV20" s="86" t="str">
        <f t="shared" si="13"/>
        <v/>
      </c>
      <c r="AY20" s="231">
        <f>IF(ISNUMBER(M20),M20,NA())</f>
        <v>53.8</v>
      </c>
      <c r="AZ20" s="231">
        <f t="shared" si="14"/>
        <v>19.100000000000001</v>
      </c>
      <c r="BA20" s="231">
        <f t="shared" si="15"/>
        <v>51.5</v>
      </c>
      <c r="BB20" s="231">
        <f t="shared" si="16"/>
        <v>19.399999999999999</v>
      </c>
      <c r="BC20" s="231">
        <f t="shared" si="17"/>
        <v>4</v>
      </c>
      <c r="BD20" s="232">
        <f>IF(ISNUMBER(S20),S20,NA())</f>
        <v>75</v>
      </c>
      <c r="BE20" s="232">
        <f>IF(ISNUMBER(T20),T20,NA())</f>
        <v>75</v>
      </c>
      <c r="BG20" s="231">
        <v>1993</v>
      </c>
      <c r="BH20" s="231">
        <f>COUNTIF(Database!$F$8:$F$232,BG20)</f>
        <v>4</v>
      </c>
      <c r="BI20" s="231"/>
      <c r="BJ20" s="231"/>
      <c r="BK20" s="241" t="s">
        <v>1119</v>
      </c>
      <c r="BL20" s="242">
        <f>COUNTIF(L8:L232,"MRI")</f>
        <v>208</v>
      </c>
      <c r="BP20">
        <v>13</v>
      </c>
    </row>
    <row r="21" spans="1:68">
      <c r="A21" s="13">
        <v>14</v>
      </c>
      <c r="B21">
        <v>1715677</v>
      </c>
      <c r="C21" s="215"/>
      <c r="D21" s="9" t="s">
        <v>1533</v>
      </c>
      <c r="E21" s="18" t="s">
        <v>407</v>
      </c>
      <c r="F21" s="16">
        <v>1991</v>
      </c>
      <c r="G21" s="84" t="s">
        <v>335</v>
      </c>
      <c r="H21" s="16">
        <v>12</v>
      </c>
      <c r="I21" s="16">
        <v>68</v>
      </c>
      <c r="J21" s="85" t="s">
        <v>150</v>
      </c>
      <c r="K21" s="85">
        <v>2</v>
      </c>
      <c r="L21" s="16" t="s">
        <v>1119</v>
      </c>
      <c r="M21" s="16" t="s">
        <v>1688</v>
      </c>
      <c r="N21" s="16" t="s">
        <v>1688</v>
      </c>
      <c r="O21" s="16" t="s">
        <v>1688</v>
      </c>
      <c r="P21" s="16" t="s">
        <v>1688</v>
      </c>
      <c r="Q21" s="16" t="s">
        <v>1688</v>
      </c>
      <c r="R21" s="16" t="s">
        <v>1688</v>
      </c>
      <c r="S21" s="88" t="str">
        <f t="shared" si="0"/>
        <v/>
      </c>
      <c r="T21" s="88" t="str">
        <f t="shared" si="1"/>
        <v/>
      </c>
      <c r="U21" s="86" t="s">
        <v>1688</v>
      </c>
      <c r="V21" s="86" t="s">
        <v>1688</v>
      </c>
      <c r="W21" s="86">
        <v>8</v>
      </c>
      <c r="X21" s="86">
        <f t="shared" si="2"/>
        <v>80</v>
      </c>
      <c r="Y21" t="s">
        <v>1828</v>
      </c>
      <c r="Z21" t="s">
        <v>1432</v>
      </c>
      <c r="AA21">
        <f t="shared" si="3"/>
        <v>1</v>
      </c>
      <c r="AB21">
        <v>3</v>
      </c>
      <c r="AC21">
        <v>0</v>
      </c>
      <c r="AD21">
        <v>0</v>
      </c>
      <c r="AE21">
        <v>0</v>
      </c>
      <c r="AF21">
        <v>0</v>
      </c>
      <c r="AG21">
        <v>0</v>
      </c>
      <c r="AH21">
        <v>0</v>
      </c>
      <c r="AI21">
        <v>0</v>
      </c>
      <c r="AJ21">
        <v>12</v>
      </c>
      <c r="AK21">
        <v>0</v>
      </c>
      <c r="AL21" s="158">
        <f t="shared" si="4"/>
        <v>0</v>
      </c>
      <c r="AM21" s="136">
        <f t="shared" si="5"/>
        <v>0</v>
      </c>
      <c r="AN21" s="136">
        <f t="shared" si="6"/>
        <v>0</v>
      </c>
      <c r="AO21" s="136">
        <f t="shared" si="7"/>
        <v>0</v>
      </c>
      <c r="AP21" s="136">
        <f t="shared" si="8"/>
        <v>0</v>
      </c>
      <c r="AQ21" s="136">
        <f t="shared" si="9"/>
        <v>0</v>
      </c>
      <c r="AR21" s="136">
        <f t="shared" si="10"/>
        <v>0</v>
      </c>
      <c r="AS21" s="136">
        <f t="shared" si="11"/>
        <v>100</v>
      </c>
      <c r="AT21" s="86">
        <v>1</v>
      </c>
      <c r="AU21" s="86">
        <f t="shared" si="12"/>
        <v>8</v>
      </c>
      <c r="AV21" s="86" t="str">
        <f t="shared" si="13"/>
        <v/>
      </c>
      <c r="AY21" s="231" t="e">
        <f>IF(ISNUMBER(M21),M21,NA())</f>
        <v>#N/A</v>
      </c>
      <c r="AZ21" s="231" t="e">
        <f t="shared" si="14"/>
        <v>#N/A</v>
      </c>
      <c r="BA21" s="231" t="e">
        <f t="shared" si="15"/>
        <v>#N/A</v>
      </c>
      <c r="BB21" s="231" t="e">
        <f t="shared" si="16"/>
        <v>#N/A</v>
      </c>
      <c r="BC21" s="231">
        <f t="shared" si="17"/>
        <v>8</v>
      </c>
      <c r="BD21" s="232" t="e">
        <f>IF(ISNUMBER(S21),S21,NA())</f>
        <v>#N/A</v>
      </c>
      <c r="BE21" s="232" t="e">
        <f>IF(ISNUMBER(T21),T21,NA())</f>
        <v>#N/A</v>
      </c>
      <c r="BG21" s="231">
        <v>1994</v>
      </c>
      <c r="BH21" s="231">
        <f>COUNTIF(Database!$F$8:$F$232,BG21)</f>
        <v>2</v>
      </c>
      <c r="BI21" s="231"/>
      <c r="BJ21" s="231"/>
      <c r="BK21" s="243" t="s">
        <v>422</v>
      </c>
      <c r="BL21" s="244">
        <f>COUNTIF(L8:L232,"CT")</f>
        <v>17</v>
      </c>
      <c r="BP21">
        <v>14</v>
      </c>
    </row>
    <row r="22" spans="1:68">
      <c r="A22">
        <v>15</v>
      </c>
      <c r="B22">
        <v>1876637</v>
      </c>
      <c r="C22" s="215"/>
      <c r="D22" s="21" t="s">
        <v>1278</v>
      </c>
      <c r="E22" t="s">
        <v>625</v>
      </c>
      <c r="F22">
        <v>1991</v>
      </c>
      <c r="G22" s="1" t="s">
        <v>2320</v>
      </c>
      <c r="H22">
        <v>11</v>
      </c>
      <c r="I22">
        <v>36</v>
      </c>
      <c r="J22" s="13" t="s">
        <v>150</v>
      </c>
      <c r="K22" s="13">
        <v>2</v>
      </c>
      <c r="L22" t="s">
        <v>422</v>
      </c>
      <c r="M22" t="s">
        <v>1688</v>
      </c>
      <c r="N22" t="s">
        <v>1688</v>
      </c>
      <c r="O22" t="s">
        <v>1688</v>
      </c>
      <c r="P22" t="s">
        <v>1688</v>
      </c>
      <c r="Q22" t="s">
        <v>1688</v>
      </c>
      <c r="R22" t="s">
        <v>1688</v>
      </c>
      <c r="S22" s="88" t="str">
        <f t="shared" si="0"/>
        <v/>
      </c>
      <c r="T22" s="88" t="str">
        <f t="shared" si="1"/>
        <v/>
      </c>
      <c r="U22" t="s">
        <v>1688</v>
      </c>
      <c r="V22" t="s">
        <v>1688</v>
      </c>
      <c r="W22">
        <v>8</v>
      </c>
      <c r="X22" s="86">
        <f t="shared" si="2"/>
        <v>47</v>
      </c>
      <c r="Y22" t="s">
        <v>852</v>
      </c>
      <c r="Z22" t="s">
        <v>743</v>
      </c>
      <c r="AA22">
        <f t="shared" si="3"/>
        <v>3</v>
      </c>
      <c r="AB22">
        <v>3</v>
      </c>
      <c r="AC22" t="s">
        <v>1688</v>
      </c>
      <c r="AD22" t="s">
        <v>1688</v>
      </c>
      <c r="AE22" t="s">
        <v>1688</v>
      </c>
      <c r="AF22" t="s">
        <v>1688</v>
      </c>
      <c r="AG22" t="s">
        <v>1688</v>
      </c>
      <c r="AH22" t="s">
        <v>1688</v>
      </c>
      <c r="AI22" t="s">
        <v>1688</v>
      </c>
      <c r="AJ22" t="s">
        <v>1688</v>
      </c>
      <c r="AK22" t="s">
        <v>1688</v>
      </c>
      <c r="AL22" s="158" t="str">
        <f t="shared" si="4"/>
        <v>ns</v>
      </c>
      <c r="AM22" s="136" t="str">
        <f t="shared" si="5"/>
        <v>ns</v>
      </c>
      <c r="AN22" s="136" t="str">
        <f t="shared" si="6"/>
        <v>ns</v>
      </c>
      <c r="AO22" s="136" t="str">
        <f t="shared" si="7"/>
        <v>ns</v>
      </c>
      <c r="AP22" s="136" t="str">
        <f t="shared" si="8"/>
        <v>ns</v>
      </c>
      <c r="AQ22" s="136" t="str">
        <f t="shared" si="9"/>
        <v>ns</v>
      </c>
      <c r="AR22" s="136" t="str">
        <f t="shared" si="10"/>
        <v>ns</v>
      </c>
      <c r="AS22" s="136" t="str">
        <f t="shared" si="11"/>
        <v>ns</v>
      </c>
      <c r="AU22" s="86" t="str">
        <f t="shared" si="12"/>
        <v/>
      </c>
      <c r="AV22" s="86">
        <f t="shared" si="13"/>
        <v>8</v>
      </c>
      <c r="AY22" s="231" t="e">
        <f>IF(ISNUMBER(M22),M22,NA())</f>
        <v>#N/A</v>
      </c>
      <c r="AZ22" s="231" t="e">
        <f t="shared" si="14"/>
        <v>#N/A</v>
      </c>
      <c r="BA22" s="231" t="e">
        <f t="shared" si="15"/>
        <v>#N/A</v>
      </c>
      <c r="BB22" s="231" t="e">
        <f t="shared" si="16"/>
        <v>#N/A</v>
      </c>
      <c r="BC22" s="231">
        <f t="shared" si="17"/>
        <v>8</v>
      </c>
      <c r="BD22" s="232" t="e">
        <f>IF(ISNUMBER(S22),S22,NA())</f>
        <v>#N/A</v>
      </c>
      <c r="BE22" s="232" t="e">
        <f>IF(ISNUMBER(T22),T22,NA())</f>
        <v>#N/A</v>
      </c>
      <c r="BG22" s="231">
        <v>1995</v>
      </c>
      <c r="BH22" s="231">
        <f>COUNTIF(Database!$F$8:$F$232,BG22)</f>
        <v>5</v>
      </c>
      <c r="BI22" s="231"/>
      <c r="BJ22" s="231"/>
      <c r="BK22" s="231"/>
      <c r="BL22" s="231"/>
      <c r="BP22">
        <v>15</v>
      </c>
    </row>
    <row r="23" spans="1:68">
      <c r="A23" s="13">
        <v>16</v>
      </c>
      <c r="B23">
        <v>2018163</v>
      </c>
      <c r="C23" s="215"/>
      <c r="D23" s="9" t="s">
        <v>739</v>
      </c>
      <c r="E23" s="18" t="s">
        <v>1829</v>
      </c>
      <c r="F23" s="16">
        <v>1991</v>
      </c>
      <c r="G23" s="84" t="s">
        <v>510</v>
      </c>
      <c r="H23" s="16">
        <v>21</v>
      </c>
      <c r="I23" s="16">
        <v>14</v>
      </c>
      <c r="J23" s="85" t="s">
        <v>296</v>
      </c>
      <c r="K23" s="85">
        <v>3</v>
      </c>
      <c r="L23" s="16" t="s">
        <v>1119</v>
      </c>
      <c r="M23" s="16" t="s">
        <v>1688</v>
      </c>
      <c r="N23" s="16" t="s">
        <v>1688</v>
      </c>
      <c r="O23" s="16" t="s">
        <v>1688</v>
      </c>
      <c r="P23" s="16" t="s">
        <v>1688</v>
      </c>
      <c r="Q23" s="16" t="s">
        <v>1688</v>
      </c>
      <c r="R23" s="16" t="s">
        <v>1688</v>
      </c>
      <c r="S23" s="88" t="str">
        <f t="shared" si="0"/>
        <v/>
      </c>
      <c r="T23" s="88" t="str">
        <f t="shared" si="1"/>
        <v/>
      </c>
      <c r="U23" s="86">
        <v>54.2</v>
      </c>
      <c r="V23" s="86" t="s">
        <v>1688</v>
      </c>
      <c r="W23" s="86" t="s">
        <v>1688</v>
      </c>
      <c r="X23" s="86">
        <f t="shared" si="2"/>
        <v>35</v>
      </c>
      <c r="Y23" t="s">
        <v>1227</v>
      </c>
      <c r="Z23" t="s">
        <v>1134</v>
      </c>
      <c r="AA23">
        <f t="shared" si="3"/>
        <v>10</v>
      </c>
      <c r="AB23">
        <v>4</v>
      </c>
      <c r="AC23" t="s">
        <v>1688</v>
      </c>
      <c r="AD23" t="s">
        <v>1688</v>
      </c>
      <c r="AE23" t="s">
        <v>1688</v>
      </c>
      <c r="AF23" t="s">
        <v>1688</v>
      </c>
      <c r="AG23" t="s">
        <v>1688</v>
      </c>
      <c r="AH23" t="s">
        <v>1688</v>
      </c>
      <c r="AI23" t="s">
        <v>1688</v>
      </c>
      <c r="AJ23" t="s">
        <v>1688</v>
      </c>
      <c r="AK23" t="s">
        <v>1688</v>
      </c>
      <c r="AL23" s="158" t="str">
        <f t="shared" si="4"/>
        <v>ns</v>
      </c>
      <c r="AM23" s="136" t="str">
        <f t="shared" si="5"/>
        <v>ns</v>
      </c>
      <c r="AN23" s="136" t="str">
        <f t="shared" si="6"/>
        <v>ns</v>
      </c>
      <c r="AO23" s="136" t="str">
        <f t="shared" si="7"/>
        <v>ns</v>
      </c>
      <c r="AP23" s="136" t="str">
        <f t="shared" si="8"/>
        <v>ns</v>
      </c>
      <c r="AQ23" s="136" t="str">
        <f t="shared" si="9"/>
        <v>ns</v>
      </c>
      <c r="AR23" s="136" t="str">
        <f t="shared" si="10"/>
        <v>ns</v>
      </c>
      <c r="AS23" s="136" t="str">
        <f t="shared" si="11"/>
        <v>ns</v>
      </c>
      <c r="AT23" s="86">
        <v>1.5</v>
      </c>
      <c r="AU23" s="86" t="str">
        <f t="shared" si="12"/>
        <v/>
      </c>
      <c r="AV23" s="86" t="str">
        <f t="shared" si="13"/>
        <v/>
      </c>
      <c r="AY23" s="231" t="e">
        <f>IF(ISNUMBER(M23),M23,NA())</f>
        <v>#N/A</v>
      </c>
      <c r="AZ23" s="231" t="e">
        <f t="shared" si="14"/>
        <v>#N/A</v>
      </c>
      <c r="BA23" s="231" t="e">
        <f t="shared" si="15"/>
        <v>#N/A</v>
      </c>
      <c r="BB23" s="231" t="e">
        <f t="shared" si="16"/>
        <v>#N/A</v>
      </c>
      <c r="BC23" s="231" t="e">
        <f t="shared" si="17"/>
        <v>#N/A</v>
      </c>
      <c r="BD23" s="232" t="e">
        <f>IF(ISNUMBER(S23),S23,NA())</f>
        <v>#N/A</v>
      </c>
      <c r="BE23" s="232" t="e">
        <f>IF(ISNUMBER(T23),T23,NA())</f>
        <v>#N/A</v>
      </c>
      <c r="BG23" s="231">
        <v>1996</v>
      </c>
      <c r="BH23" s="231">
        <f>COUNTIF(Database!$F$8:$F$232,BG23)</f>
        <v>7</v>
      </c>
      <c r="BI23" s="231"/>
      <c r="BJ23" s="231"/>
      <c r="BK23" s="231"/>
      <c r="BL23" s="231"/>
      <c r="BP23">
        <v>16</v>
      </c>
    </row>
    <row r="24" spans="1:68">
      <c r="A24">
        <v>17</v>
      </c>
      <c r="B24">
        <v>1827478</v>
      </c>
      <c r="C24" s="215"/>
      <c r="D24" s="21" t="s">
        <v>819</v>
      </c>
      <c r="E24" t="s">
        <v>626</v>
      </c>
      <c r="F24">
        <v>1991</v>
      </c>
      <c r="G24" s="1" t="s">
        <v>611</v>
      </c>
      <c r="H24">
        <v>22</v>
      </c>
      <c r="I24">
        <v>10</v>
      </c>
      <c r="J24" t="s">
        <v>296</v>
      </c>
      <c r="K24">
        <v>3</v>
      </c>
      <c r="L24" t="s">
        <v>422</v>
      </c>
      <c r="M24">
        <v>51.2</v>
      </c>
      <c r="N24">
        <v>13.9</v>
      </c>
      <c r="O24">
        <v>49.1</v>
      </c>
      <c r="P24">
        <v>15.7</v>
      </c>
      <c r="Q24">
        <v>16</v>
      </c>
      <c r="R24">
        <v>6</v>
      </c>
      <c r="S24" s="88">
        <f t="shared" si="0"/>
        <v>72.727272727272734</v>
      </c>
      <c r="T24" s="88">
        <f t="shared" si="1"/>
        <v>60</v>
      </c>
      <c r="U24" s="86" t="s">
        <v>1688</v>
      </c>
      <c r="V24" s="86">
        <v>24.4</v>
      </c>
      <c r="W24" s="86">
        <v>10</v>
      </c>
      <c r="X24" s="86">
        <f t="shared" si="2"/>
        <v>32</v>
      </c>
      <c r="Y24" t="s">
        <v>2198</v>
      </c>
      <c r="Z24" s="13" t="s">
        <v>832</v>
      </c>
      <c r="AA24">
        <f t="shared" si="3"/>
        <v>3</v>
      </c>
      <c r="AB24">
        <v>4</v>
      </c>
      <c r="AC24">
        <v>0</v>
      </c>
      <c r="AD24">
        <v>0</v>
      </c>
      <c r="AE24">
        <v>0</v>
      </c>
      <c r="AF24">
        <v>0</v>
      </c>
      <c r="AG24">
        <v>0</v>
      </c>
      <c r="AH24">
        <v>0</v>
      </c>
      <c r="AI24">
        <v>0</v>
      </c>
      <c r="AJ24" t="s">
        <v>1688</v>
      </c>
      <c r="AK24" s="2" t="s">
        <v>1982</v>
      </c>
      <c r="AL24" s="158">
        <f t="shared" si="4"/>
        <v>0</v>
      </c>
      <c r="AM24" s="136">
        <f t="shared" si="5"/>
        <v>0</v>
      </c>
      <c r="AN24" s="136">
        <f t="shared" si="6"/>
        <v>0</v>
      </c>
      <c r="AO24" s="136">
        <f t="shared" si="7"/>
        <v>0</v>
      </c>
      <c r="AP24" s="136">
        <f t="shared" si="8"/>
        <v>0</v>
      </c>
      <c r="AQ24" s="136">
        <f t="shared" si="9"/>
        <v>0</v>
      </c>
      <c r="AR24" s="136">
        <f t="shared" si="10"/>
        <v>0</v>
      </c>
      <c r="AS24" s="136" t="str">
        <f t="shared" si="11"/>
        <v>ns</v>
      </c>
      <c r="AT24" s="86"/>
      <c r="AU24" s="86" t="str">
        <f t="shared" si="12"/>
        <v/>
      </c>
      <c r="AV24" s="86">
        <f t="shared" si="13"/>
        <v>10</v>
      </c>
      <c r="AY24" s="231">
        <f>IF(ISNUMBER(M24),M24,NA())</f>
        <v>51.2</v>
      </c>
      <c r="AZ24" s="231">
        <f t="shared" ref="AZ24:AZ87" si="18">IF(ISNUMBER(N24),N24,NA())</f>
        <v>13.9</v>
      </c>
      <c r="BA24" s="231">
        <f t="shared" si="15"/>
        <v>49.1</v>
      </c>
      <c r="BB24" s="231">
        <f t="shared" si="16"/>
        <v>15.7</v>
      </c>
      <c r="BC24" s="231">
        <f t="shared" si="17"/>
        <v>10</v>
      </c>
      <c r="BD24" s="232">
        <f>IF(ISNUMBER(S24),S24,NA())</f>
        <v>72.727272727272734</v>
      </c>
      <c r="BE24" s="232">
        <f>IF(ISNUMBER(T24),T24,NA())</f>
        <v>60</v>
      </c>
      <c r="BG24" s="231">
        <v>1997</v>
      </c>
      <c r="BH24" s="231">
        <f>COUNTIF(Database!$F$8:$F$232,BG24)</f>
        <v>6</v>
      </c>
      <c r="BI24" s="231"/>
      <c r="BJ24" s="231"/>
      <c r="BK24" s="231"/>
      <c r="BL24" s="231"/>
      <c r="BP24">
        <v>17</v>
      </c>
    </row>
    <row r="25" spans="1:68">
      <c r="A25" s="13">
        <v>18</v>
      </c>
      <c r="B25">
        <v>1575251</v>
      </c>
      <c r="C25" s="215"/>
      <c r="D25" s="9" t="s">
        <v>1365</v>
      </c>
      <c r="E25" s="18" t="s">
        <v>1072</v>
      </c>
      <c r="F25" s="16">
        <v>1992</v>
      </c>
      <c r="G25" s="84" t="s">
        <v>604</v>
      </c>
      <c r="H25" s="16">
        <v>28</v>
      </c>
      <c r="I25" s="16">
        <v>154</v>
      </c>
      <c r="J25" s="85" t="s">
        <v>296</v>
      </c>
      <c r="K25" s="85">
        <v>3</v>
      </c>
      <c r="L25" s="16" t="s">
        <v>1119</v>
      </c>
      <c r="M25" s="16">
        <v>40.299999999999997</v>
      </c>
      <c r="N25" s="16">
        <v>10.5</v>
      </c>
      <c r="O25" s="16">
        <v>34</v>
      </c>
      <c r="P25" s="16">
        <v>9.5</v>
      </c>
      <c r="Q25" s="16" t="s">
        <v>1688</v>
      </c>
      <c r="R25" s="16" t="s">
        <v>1688</v>
      </c>
      <c r="S25" s="88" t="str">
        <f t="shared" si="0"/>
        <v/>
      </c>
      <c r="T25" s="88" t="str">
        <f t="shared" si="1"/>
        <v/>
      </c>
      <c r="U25" s="85" t="s">
        <v>1688</v>
      </c>
      <c r="V25" s="85" t="s">
        <v>1688</v>
      </c>
      <c r="W25" s="85">
        <v>7</v>
      </c>
      <c r="X25" s="86">
        <f t="shared" si="2"/>
        <v>182</v>
      </c>
      <c r="Y25" t="s">
        <v>900</v>
      </c>
      <c r="Z25" t="s">
        <v>978</v>
      </c>
      <c r="AA25">
        <f t="shared" si="3"/>
        <v>1</v>
      </c>
      <c r="AB25">
        <v>4</v>
      </c>
      <c r="AC25" t="s">
        <v>1688</v>
      </c>
      <c r="AD25" t="s">
        <v>1688</v>
      </c>
      <c r="AE25" t="s">
        <v>1688</v>
      </c>
      <c r="AF25" t="s">
        <v>1688</v>
      </c>
      <c r="AG25" t="s">
        <v>1688</v>
      </c>
      <c r="AH25" t="s">
        <v>1688</v>
      </c>
      <c r="AI25" t="s">
        <v>1688</v>
      </c>
      <c r="AJ25" t="s">
        <v>1688</v>
      </c>
      <c r="AK25" t="s">
        <v>1688</v>
      </c>
      <c r="AL25" s="158" t="str">
        <f t="shared" si="4"/>
        <v>ns</v>
      </c>
      <c r="AM25" s="136" t="str">
        <f t="shared" si="5"/>
        <v>ns</v>
      </c>
      <c r="AN25" s="136" t="str">
        <f t="shared" si="6"/>
        <v>ns</v>
      </c>
      <c r="AO25" s="136" t="str">
        <f t="shared" si="7"/>
        <v>ns</v>
      </c>
      <c r="AP25" s="136" t="str">
        <f t="shared" si="8"/>
        <v>ns</v>
      </c>
      <c r="AQ25" s="136" t="str">
        <f t="shared" si="9"/>
        <v>ns</v>
      </c>
      <c r="AR25" s="136" t="str">
        <f t="shared" si="10"/>
        <v>ns</v>
      </c>
      <c r="AS25" s="136" t="str">
        <f t="shared" si="11"/>
        <v>ns</v>
      </c>
      <c r="AT25" s="85">
        <v>1</v>
      </c>
      <c r="AU25" s="86">
        <f t="shared" si="12"/>
        <v>7</v>
      </c>
      <c r="AV25" s="86" t="str">
        <f t="shared" si="13"/>
        <v/>
      </c>
      <c r="AY25" s="231">
        <f>IF(ISNUMBER(M25),M25,NA())</f>
        <v>40.299999999999997</v>
      </c>
      <c r="AZ25" s="231">
        <f t="shared" si="18"/>
        <v>10.5</v>
      </c>
      <c r="BA25" s="231">
        <f t="shared" si="15"/>
        <v>34</v>
      </c>
      <c r="BB25" s="231">
        <f t="shared" si="16"/>
        <v>9.5</v>
      </c>
      <c r="BC25" s="231">
        <f t="shared" si="17"/>
        <v>7</v>
      </c>
      <c r="BD25" s="232" t="e">
        <f>IF(ISNUMBER(S25),S25,NA())</f>
        <v>#N/A</v>
      </c>
      <c r="BE25" s="232" t="e">
        <f>IF(ISNUMBER(T25),T25,NA())</f>
        <v>#N/A</v>
      </c>
      <c r="BG25" s="231">
        <v>1998</v>
      </c>
      <c r="BH25" s="231">
        <f>COUNTIF(Database!$F$8:$F$232,BG25)</f>
        <v>7</v>
      </c>
      <c r="BI25" s="231"/>
      <c r="BJ25" s="231"/>
      <c r="BK25" s="231"/>
      <c r="BL25" s="231"/>
      <c r="BP25">
        <v>18</v>
      </c>
    </row>
    <row r="26" spans="1:68">
      <c r="A26">
        <v>19</v>
      </c>
      <c r="B26">
        <v>1484908</v>
      </c>
      <c r="C26" s="215"/>
      <c r="D26" s="17" t="s">
        <v>1581</v>
      </c>
      <c r="E26" s="18" t="s">
        <v>408</v>
      </c>
      <c r="F26" s="16">
        <v>1992</v>
      </c>
      <c r="G26" s="84" t="s">
        <v>1260</v>
      </c>
      <c r="H26" s="16">
        <v>119</v>
      </c>
      <c r="I26" s="16">
        <v>60</v>
      </c>
      <c r="J26" s="85" t="s">
        <v>296</v>
      </c>
      <c r="K26" s="85">
        <v>3</v>
      </c>
      <c r="L26" s="16" t="s">
        <v>1119</v>
      </c>
      <c r="M26" s="16"/>
      <c r="N26" s="16"/>
      <c r="O26" s="16"/>
      <c r="P26" s="16"/>
      <c r="Q26" s="16">
        <v>84</v>
      </c>
      <c r="R26" s="16">
        <v>39</v>
      </c>
      <c r="S26" s="88">
        <f t="shared" si="0"/>
        <v>70.588235294117652</v>
      </c>
      <c r="T26" s="88">
        <f t="shared" si="1"/>
        <v>65</v>
      </c>
      <c r="U26" s="85" t="s">
        <v>1324</v>
      </c>
      <c r="V26" s="85" t="s">
        <v>1688</v>
      </c>
      <c r="W26" s="86">
        <v>7</v>
      </c>
      <c r="X26" s="86">
        <f t="shared" si="2"/>
        <v>179</v>
      </c>
      <c r="Y26" t="s">
        <v>849</v>
      </c>
      <c r="Z26" t="s">
        <v>978</v>
      </c>
      <c r="AA26">
        <f t="shared" si="3"/>
        <v>1</v>
      </c>
      <c r="AB26">
        <v>4</v>
      </c>
      <c r="AC26" t="s">
        <v>1688</v>
      </c>
      <c r="AD26" t="s">
        <v>1688</v>
      </c>
      <c r="AE26" t="s">
        <v>1688</v>
      </c>
      <c r="AF26" t="s">
        <v>1688</v>
      </c>
      <c r="AG26" t="s">
        <v>1688</v>
      </c>
      <c r="AH26" t="s">
        <v>1688</v>
      </c>
      <c r="AI26" t="s">
        <v>1688</v>
      </c>
      <c r="AJ26" t="s">
        <v>1688</v>
      </c>
      <c r="AK26" t="s">
        <v>1688</v>
      </c>
      <c r="AL26" s="158" t="str">
        <f t="shared" si="4"/>
        <v>ns</v>
      </c>
      <c r="AM26" s="136" t="str">
        <f t="shared" si="5"/>
        <v>ns</v>
      </c>
      <c r="AN26" s="136" t="str">
        <f t="shared" si="6"/>
        <v>ns</v>
      </c>
      <c r="AO26" s="136" t="str">
        <f t="shared" si="7"/>
        <v>ns</v>
      </c>
      <c r="AP26" s="136" t="str">
        <f t="shared" si="8"/>
        <v>ns</v>
      </c>
      <c r="AQ26" s="136" t="str">
        <f t="shared" si="9"/>
        <v>ns</v>
      </c>
      <c r="AR26" s="136" t="str">
        <f t="shared" si="10"/>
        <v>ns</v>
      </c>
      <c r="AS26" s="136" t="str">
        <f t="shared" si="11"/>
        <v>ns</v>
      </c>
      <c r="AT26" s="85">
        <v>0.3</v>
      </c>
      <c r="AU26" s="86">
        <f t="shared" si="12"/>
        <v>7</v>
      </c>
      <c r="AV26" s="86" t="str">
        <f t="shared" si="13"/>
        <v/>
      </c>
      <c r="AY26" s="231" t="e">
        <f>IF(ISNUMBER(M26),M26,NA())</f>
        <v>#N/A</v>
      </c>
      <c r="AZ26" s="231" t="e">
        <f t="shared" si="18"/>
        <v>#N/A</v>
      </c>
      <c r="BA26" s="231" t="e">
        <f t="shared" si="15"/>
        <v>#N/A</v>
      </c>
      <c r="BB26" s="231" t="e">
        <f t="shared" si="16"/>
        <v>#N/A</v>
      </c>
      <c r="BC26" s="231">
        <f t="shared" si="17"/>
        <v>7</v>
      </c>
      <c r="BD26" s="232">
        <f>IF(ISNUMBER(S26),S26,NA())</f>
        <v>70.588235294117652</v>
      </c>
      <c r="BE26" s="232">
        <f>IF(ISNUMBER(T26),T26,NA())</f>
        <v>65</v>
      </c>
      <c r="BG26" s="231">
        <v>1999</v>
      </c>
      <c r="BH26" s="231">
        <f>COUNTIF(Database!$F$8:$F$232,BG26)</f>
        <v>7</v>
      </c>
      <c r="BI26" s="231"/>
      <c r="BJ26" s="231"/>
      <c r="BK26" s="231"/>
      <c r="BL26" s="231"/>
      <c r="BP26">
        <v>19</v>
      </c>
    </row>
    <row r="27" spans="1:68">
      <c r="A27" s="13">
        <v>20</v>
      </c>
      <c r="B27">
        <v>1627046</v>
      </c>
      <c r="C27" s="215"/>
      <c r="D27" s="9" t="s">
        <v>898</v>
      </c>
      <c r="E27" s="18" t="s">
        <v>1679</v>
      </c>
      <c r="F27" s="16">
        <v>1992</v>
      </c>
      <c r="G27" s="84" t="s">
        <v>2222</v>
      </c>
      <c r="H27" s="16">
        <v>50</v>
      </c>
      <c r="I27" s="16">
        <v>50</v>
      </c>
      <c r="J27" s="85" t="s">
        <v>150</v>
      </c>
      <c r="K27" s="85">
        <v>2</v>
      </c>
      <c r="L27" s="16" t="s">
        <v>1119</v>
      </c>
      <c r="M27" s="16">
        <v>48.3</v>
      </c>
      <c r="N27" s="16">
        <v>16.8</v>
      </c>
      <c r="O27" s="16">
        <v>49.2</v>
      </c>
      <c r="P27" s="16">
        <v>17.899999999999999</v>
      </c>
      <c r="Q27" s="16">
        <v>27</v>
      </c>
      <c r="R27" s="16">
        <v>27</v>
      </c>
      <c r="S27" s="88">
        <f t="shared" si="0"/>
        <v>54</v>
      </c>
      <c r="T27" s="88">
        <f t="shared" si="1"/>
        <v>54</v>
      </c>
      <c r="U27" s="85" t="s">
        <v>1688</v>
      </c>
      <c r="V27" s="85" t="s">
        <v>1688</v>
      </c>
      <c r="W27" s="85">
        <v>5</v>
      </c>
      <c r="X27" s="86">
        <f t="shared" si="2"/>
        <v>100</v>
      </c>
      <c r="Y27" t="s">
        <v>1236</v>
      </c>
      <c r="Z27" t="s">
        <v>1557</v>
      </c>
      <c r="AA27">
        <f t="shared" si="3"/>
        <v>5</v>
      </c>
      <c r="AB27">
        <v>3</v>
      </c>
      <c r="AC27" t="s">
        <v>1688</v>
      </c>
      <c r="AD27" t="s">
        <v>1688</v>
      </c>
      <c r="AE27" t="s">
        <v>1688</v>
      </c>
      <c r="AF27" t="s">
        <v>1688</v>
      </c>
      <c r="AG27" t="s">
        <v>1688</v>
      </c>
      <c r="AH27" t="s">
        <v>1688</v>
      </c>
      <c r="AI27" t="s">
        <v>1688</v>
      </c>
      <c r="AJ27" t="s">
        <v>1688</v>
      </c>
      <c r="AK27" t="s">
        <v>1688</v>
      </c>
      <c r="AL27" s="158" t="str">
        <f t="shared" si="4"/>
        <v>ns</v>
      </c>
      <c r="AM27" s="136" t="str">
        <f t="shared" si="5"/>
        <v>ns</v>
      </c>
      <c r="AN27" s="136" t="str">
        <f t="shared" si="6"/>
        <v>ns</v>
      </c>
      <c r="AO27" s="136" t="str">
        <f t="shared" si="7"/>
        <v>ns</v>
      </c>
      <c r="AP27" s="136" t="str">
        <f t="shared" si="8"/>
        <v>ns</v>
      </c>
      <c r="AQ27" s="136" t="str">
        <f t="shared" si="9"/>
        <v>ns</v>
      </c>
      <c r="AR27" s="136" t="str">
        <f t="shared" si="10"/>
        <v>ns</v>
      </c>
      <c r="AS27" s="136" t="str">
        <f t="shared" si="11"/>
        <v>ns</v>
      </c>
      <c r="AT27" s="85">
        <v>1.5</v>
      </c>
      <c r="AU27" s="86">
        <f t="shared" si="12"/>
        <v>5</v>
      </c>
      <c r="AV27" s="86" t="str">
        <f t="shared" si="13"/>
        <v/>
      </c>
      <c r="AY27" s="231">
        <f>IF(ISNUMBER(M27),M27,NA())</f>
        <v>48.3</v>
      </c>
      <c r="AZ27" s="231">
        <f t="shared" si="18"/>
        <v>16.8</v>
      </c>
      <c r="BA27" s="231">
        <f t="shared" si="15"/>
        <v>49.2</v>
      </c>
      <c r="BB27" s="231">
        <f t="shared" si="16"/>
        <v>17.899999999999999</v>
      </c>
      <c r="BC27" s="231">
        <f t="shared" si="17"/>
        <v>5</v>
      </c>
      <c r="BD27" s="232">
        <f>IF(ISNUMBER(S27),S27,NA())</f>
        <v>54</v>
      </c>
      <c r="BE27" s="232">
        <f>IF(ISNUMBER(T27),T27,NA())</f>
        <v>54</v>
      </c>
      <c r="BG27" s="231">
        <v>2000</v>
      </c>
      <c r="BH27" s="231">
        <f>COUNTIF(Database!$F$8:$F$232,BG27)</f>
        <v>7</v>
      </c>
      <c r="BI27" s="231"/>
      <c r="BJ27" s="231"/>
      <c r="BK27" s="231"/>
      <c r="BL27" s="231"/>
      <c r="BP27">
        <v>20</v>
      </c>
    </row>
    <row r="28" spans="1:68">
      <c r="A28">
        <v>21</v>
      </c>
      <c r="B28">
        <v>1486107</v>
      </c>
      <c r="C28" s="215"/>
      <c r="D28" s="21" t="s">
        <v>1237</v>
      </c>
      <c r="E28" t="s">
        <v>620</v>
      </c>
      <c r="F28">
        <v>1992</v>
      </c>
      <c r="G28" s="1" t="s">
        <v>1350</v>
      </c>
      <c r="H28">
        <v>14</v>
      </c>
      <c r="I28">
        <v>12</v>
      </c>
      <c r="J28" t="s">
        <v>296</v>
      </c>
      <c r="K28">
        <v>3</v>
      </c>
      <c r="L28" t="s">
        <v>422</v>
      </c>
      <c r="M28">
        <v>40.700000000000003</v>
      </c>
      <c r="N28">
        <v>11.2</v>
      </c>
      <c r="O28">
        <v>36.4</v>
      </c>
      <c r="P28">
        <v>12.6</v>
      </c>
      <c r="Q28" t="s">
        <v>1688</v>
      </c>
      <c r="R28">
        <v>5</v>
      </c>
      <c r="S28" s="88" t="str">
        <f t="shared" si="0"/>
        <v/>
      </c>
      <c r="T28" s="88">
        <f t="shared" si="1"/>
        <v>41.666666666666664</v>
      </c>
      <c r="U28" s="85" t="s">
        <v>1688</v>
      </c>
      <c r="V28" s="85" t="s">
        <v>1688</v>
      </c>
      <c r="W28" s="85">
        <v>10</v>
      </c>
      <c r="X28" s="86">
        <f t="shared" si="2"/>
        <v>26</v>
      </c>
      <c r="Y28" t="s">
        <v>1470</v>
      </c>
      <c r="Z28" t="s">
        <v>1432</v>
      </c>
      <c r="AA28">
        <f t="shared" si="3"/>
        <v>1</v>
      </c>
      <c r="AB28">
        <v>4</v>
      </c>
      <c r="AC28">
        <v>0</v>
      </c>
      <c r="AD28">
        <v>0</v>
      </c>
      <c r="AE28">
        <v>0</v>
      </c>
      <c r="AF28">
        <v>0</v>
      </c>
      <c r="AG28">
        <v>0</v>
      </c>
      <c r="AH28">
        <v>0</v>
      </c>
      <c r="AI28">
        <v>0</v>
      </c>
      <c r="AJ28">
        <v>14</v>
      </c>
      <c r="AL28" s="158">
        <f t="shared" si="4"/>
        <v>0</v>
      </c>
      <c r="AM28" s="136">
        <f t="shared" si="5"/>
        <v>0</v>
      </c>
      <c r="AN28" s="136">
        <f t="shared" si="6"/>
        <v>0</v>
      </c>
      <c r="AO28" s="136">
        <f t="shared" si="7"/>
        <v>0</v>
      </c>
      <c r="AP28" s="136">
        <f t="shared" si="8"/>
        <v>0</v>
      </c>
      <c r="AQ28" s="136">
        <f t="shared" si="9"/>
        <v>0</v>
      </c>
      <c r="AR28" s="136">
        <f t="shared" si="10"/>
        <v>0</v>
      </c>
      <c r="AS28" s="136">
        <f t="shared" si="11"/>
        <v>100</v>
      </c>
      <c r="AT28" s="85"/>
      <c r="AU28" s="86" t="str">
        <f t="shared" si="12"/>
        <v/>
      </c>
      <c r="AV28" s="86">
        <f t="shared" si="13"/>
        <v>10</v>
      </c>
      <c r="AY28" s="231">
        <f>IF(ISNUMBER(M28),M28,NA())</f>
        <v>40.700000000000003</v>
      </c>
      <c r="AZ28" s="231">
        <f t="shared" si="18"/>
        <v>11.2</v>
      </c>
      <c r="BA28" s="231">
        <f t="shared" si="15"/>
        <v>36.4</v>
      </c>
      <c r="BB28" s="231">
        <f t="shared" si="16"/>
        <v>12.6</v>
      </c>
      <c r="BC28" s="231">
        <f t="shared" si="17"/>
        <v>10</v>
      </c>
      <c r="BD28" s="232" t="e">
        <f>IF(ISNUMBER(S28),S28,NA())</f>
        <v>#N/A</v>
      </c>
      <c r="BE28" s="232">
        <f>IF(ISNUMBER(T28),T28,NA())</f>
        <v>41.666666666666664</v>
      </c>
      <c r="BG28" s="231">
        <v>2001</v>
      </c>
      <c r="BH28" s="231">
        <f>COUNTIF(Database!$F$8:$F$232,BG28)</f>
        <v>8</v>
      </c>
      <c r="BI28" s="231"/>
      <c r="BJ28" s="231"/>
      <c r="BK28" s="231"/>
      <c r="BL28" s="231"/>
      <c r="BP28">
        <v>21</v>
      </c>
    </row>
    <row r="29" spans="1:68">
      <c r="A29" s="13">
        <v>22</v>
      </c>
      <c r="B29">
        <v>1319168</v>
      </c>
      <c r="C29" s="215"/>
      <c r="D29" s="9" t="s">
        <v>561</v>
      </c>
      <c r="E29" s="18" t="s">
        <v>1073</v>
      </c>
      <c r="F29" s="16">
        <v>1992</v>
      </c>
      <c r="G29" s="85" t="s">
        <v>1670</v>
      </c>
      <c r="H29" s="16">
        <v>12</v>
      </c>
      <c r="I29" s="16">
        <v>68</v>
      </c>
      <c r="J29" s="85" t="s">
        <v>152</v>
      </c>
      <c r="K29" s="85">
        <v>1</v>
      </c>
      <c r="L29" s="16" t="s">
        <v>1119</v>
      </c>
      <c r="M29" s="16"/>
      <c r="N29" s="16"/>
      <c r="O29" s="16"/>
      <c r="P29" s="16"/>
      <c r="Q29" s="16"/>
      <c r="R29" s="16"/>
      <c r="S29" s="88" t="str">
        <f t="shared" si="0"/>
        <v/>
      </c>
      <c r="T29" s="88" t="str">
        <f t="shared" si="1"/>
        <v/>
      </c>
      <c r="U29" s="85" t="s">
        <v>1688</v>
      </c>
      <c r="V29" s="85" t="s">
        <v>1688</v>
      </c>
      <c r="W29" s="85">
        <v>8</v>
      </c>
      <c r="X29" s="86">
        <f t="shared" si="2"/>
        <v>80</v>
      </c>
      <c r="Y29" t="s">
        <v>1828</v>
      </c>
      <c r="Z29" t="s">
        <v>1432</v>
      </c>
      <c r="AA29">
        <f t="shared" si="3"/>
        <v>1</v>
      </c>
      <c r="AB29">
        <v>1</v>
      </c>
      <c r="AC29" t="s">
        <v>1688</v>
      </c>
      <c r="AD29" t="s">
        <v>1688</v>
      </c>
      <c r="AE29" t="s">
        <v>1688</v>
      </c>
      <c r="AF29" t="s">
        <v>1688</v>
      </c>
      <c r="AG29" t="s">
        <v>1688</v>
      </c>
      <c r="AH29" t="s">
        <v>1688</v>
      </c>
      <c r="AI29" t="s">
        <v>1688</v>
      </c>
      <c r="AJ29" t="s">
        <v>1688</v>
      </c>
      <c r="AK29" t="s">
        <v>1688</v>
      </c>
      <c r="AL29" s="158" t="str">
        <f t="shared" si="4"/>
        <v>ns</v>
      </c>
      <c r="AM29" s="136" t="str">
        <f t="shared" si="5"/>
        <v>ns</v>
      </c>
      <c r="AN29" s="136" t="str">
        <f t="shared" si="6"/>
        <v>ns</v>
      </c>
      <c r="AO29" s="136" t="str">
        <f t="shared" si="7"/>
        <v>ns</v>
      </c>
      <c r="AP29" s="136" t="str">
        <f t="shared" si="8"/>
        <v>ns</v>
      </c>
      <c r="AQ29" s="136" t="str">
        <f t="shared" si="9"/>
        <v>ns</v>
      </c>
      <c r="AR29" s="136" t="str">
        <f t="shared" si="10"/>
        <v>ns</v>
      </c>
      <c r="AS29" s="136" t="str">
        <f t="shared" si="11"/>
        <v>ns</v>
      </c>
      <c r="AT29" s="85">
        <v>1.5</v>
      </c>
      <c r="AU29" s="86">
        <f t="shared" si="12"/>
        <v>8</v>
      </c>
      <c r="AV29" s="86" t="str">
        <f t="shared" si="13"/>
        <v/>
      </c>
      <c r="AY29" s="231" t="e">
        <f>IF(ISNUMBER(M29),M29,NA())</f>
        <v>#N/A</v>
      </c>
      <c r="AZ29" s="231" t="e">
        <f t="shared" si="18"/>
        <v>#N/A</v>
      </c>
      <c r="BA29" s="231" t="e">
        <f t="shared" si="15"/>
        <v>#N/A</v>
      </c>
      <c r="BB29" s="231" t="e">
        <f t="shared" si="16"/>
        <v>#N/A</v>
      </c>
      <c r="BC29" s="231">
        <f t="shared" si="17"/>
        <v>8</v>
      </c>
      <c r="BD29" s="232" t="e">
        <f>IF(ISNUMBER(S29),S29,NA())</f>
        <v>#N/A</v>
      </c>
      <c r="BE29" s="232" t="e">
        <f>IF(ISNUMBER(T29),T29,NA())</f>
        <v>#N/A</v>
      </c>
      <c r="BG29" s="231">
        <v>2002</v>
      </c>
      <c r="BH29" s="231">
        <f>COUNTIF(Database!$F$8:$F$232,BG29)</f>
        <v>12</v>
      </c>
      <c r="BI29" s="231"/>
      <c r="BJ29" s="231"/>
      <c r="BK29" s="231"/>
      <c r="BL29" s="231"/>
      <c r="BP29">
        <v>22</v>
      </c>
    </row>
    <row r="30" spans="1:68">
      <c r="A30">
        <v>23</v>
      </c>
      <c r="B30">
        <v>1642132</v>
      </c>
      <c r="C30" s="215"/>
      <c r="D30" s="9" t="s">
        <v>1364</v>
      </c>
      <c r="E30" s="18" t="s">
        <v>1680</v>
      </c>
      <c r="F30" s="16">
        <v>1992</v>
      </c>
      <c r="G30" s="84" t="s">
        <v>1261</v>
      </c>
      <c r="H30" s="16">
        <v>27</v>
      </c>
      <c r="I30" s="16">
        <v>36</v>
      </c>
      <c r="J30" s="85" t="s">
        <v>150</v>
      </c>
      <c r="K30" s="85">
        <v>2</v>
      </c>
      <c r="L30" s="16" t="s">
        <v>1119</v>
      </c>
      <c r="M30" s="16">
        <v>57.6</v>
      </c>
      <c r="N30" s="16">
        <v>18.2</v>
      </c>
      <c r="O30" s="16">
        <v>55.8</v>
      </c>
      <c r="P30" s="16">
        <v>18.899999999999999</v>
      </c>
      <c r="Q30" s="16">
        <v>16</v>
      </c>
      <c r="R30" s="16">
        <v>20</v>
      </c>
      <c r="S30" s="88">
        <f t="shared" si="0"/>
        <v>59.25925925925926</v>
      </c>
      <c r="T30" s="88">
        <f t="shared" si="1"/>
        <v>55.555555555555557</v>
      </c>
      <c r="U30" s="85" t="s">
        <v>1688</v>
      </c>
      <c r="V30" s="85" t="s">
        <v>1688</v>
      </c>
      <c r="W30" s="85">
        <v>4</v>
      </c>
      <c r="X30" s="86">
        <f t="shared" si="2"/>
        <v>63</v>
      </c>
      <c r="Y30" t="s">
        <v>1347</v>
      </c>
      <c r="Z30" t="s">
        <v>1523</v>
      </c>
      <c r="AA30">
        <f t="shared" si="3"/>
        <v>8</v>
      </c>
      <c r="AB30">
        <v>3</v>
      </c>
      <c r="AC30" t="s">
        <v>1688</v>
      </c>
      <c r="AD30" t="s">
        <v>1688</v>
      </c>
      <c r="AE30" t="s">
        <v>1688</v>
      </c>
      <c r="AF30" t="s">
        <v>1688</v>
      </c>
      <c r="AG30" t="s">
        <v>1688</v>
      </c>
      <c r="AH30" t="s">
        <v>1688</v>
      </c>
      <c r="AI30" t="s">
        <v>1688</v>
      </c>
      <c r="AJ30" t="s">
        <v>1688</v>
      </c>
      <c r="AK30" t="s">
        <v>1688</v>
      </c>
      <c r="AL30" s="158" t="str">
        <f t="shared" si="4"/>
        <v>ns</v>
      </c>
      <c r="AM30" s="136" t="str">
        <f t="shared" si="5"/>
        <v>ns</v>
      </c>
      <c r="AN30" s="136" t="str">
        <f t="shared" si="6"/>
        <v>ns</v>
      </c>
      <c r="AO30" s="136" t="str">
        <f t="shared" si="7"/>
        <v>ns</v>
      </c>
      <c r="AP30" s="136" t="str">
        <f t="shared" si="8"/>
        <v>ns</v>
      </c>
      <c r="AQ30" s="136" t="str">
        <f t="shared" si="9"/>
        <v>ns</v>
      </c>
      <c r="AR30" s="136" t="str">
        <f t="shared" si="10"/>
        <v>ns</v>
      </c>
      <c r="AS30" s="136" t="str">
        <f t="shared" si="11"/>
        <v>ns</v>
      </c>
      <c r="AT30" s="85">
        <v>1.5</v>
      </c>
      <c r="AU30" s="86">
        <f t="shared" si="12"/>
        <v>4</v>
      </c>
      <c r="AV30" s="86" t="str">
        <f t="shared" si="13"/>
        <v/>
      </c>
      <c r="AY30" s="231">
        <f>IF(ISNUMBER(M30),M30,NA())</f>
        <v>57.6</v>
      </c>
      <c r="AZ30" s="231">
        <f t="shared" si="18"/>
        <v>18.2</v>
      </c>
      <c r="BA30" s="231">
        <f t="shared" si="15"/>
        <v>55.8</v>
      </c>
      <c r="BB30" s="231">
        <f t="shared" si="16"/>
        <v>18.899999999999999</v>
      </c>
      <c r="BC30" s="231">
        <f t="shared" si="17"/>
        <v>4</v>
      </c>
      <c r="BD30" s="232">
        <f>IF(ISNUMBER(S30),S30,NA())</f>
        <v>59.25925925925926</v>
      </c>
      <c r="BE30" s="232">
        <f>IF(ISNUMBER(T30),T30,NA())</f>
        <v>55.555555555555557</v>
      </c>
      <c r="BG30" s="231">
        <v>2003</v>
      </c>
      <c r="BH30" s="231">
        <f>COUNTIF(Database!$F$8:$F$232,BG30)</f>
        <v>17</v>
      </c>
      <c r="BI30" s="231"/>
      <c r="BJ30" s="231"/>
      <c r="BK30" s="231"/>
      <c r="BL30" s="231"/>
      <c r="BP30">
        <v>23</v>
      </c>
    </row>
    <row r="31" spans="1:68">
      <c r="A31" s="13">
        <v>24</v>
      </c>
      <c r="B31">
        <v>8341769</v>
      </c>
      <c r="C31" s="215"/>
      <c r="D31" s="9" t="s">
        <v>517</v>
      </c>
      <c r="E31" s="18" t="s">
        <v>1681</v>
      </c>
      <c r="F31" s="16">
        <v>1993</v>
      </c>
      <c r="G31" s="84" t="s">
        <v>1262</v>
      </c>
      <c r="H31" s="16">
        <v>19</v>
      </c>
      <c r="I31" s="16">
        <v>30</v>
      </c>
      <c r="J31" s="85" t="s">
        <v>150</v>
      </c>
      <c r="K31" s="85">
        <v>2</v>
      </c>
      <c r="L31" s="16" t="s">
        <v>1119</v>
      </c>
      <c r="M31" s="16">
        <v>46.7</v>
      </c>
      <c r="N31" s="16">
        <v>20.399999999999999</v>
      </c>
      <c r="O31" s="16">
        <v>56.6</v>
      </c>
      <c r="P31" s="16">
        <v>19.100000000000001</v>
      </c>
      <c r="Q31" s="16">
        <v>14</v>
      </c>
      <c r="R31" s="16">
        <v>15</v>
      </c>
      <c r="S31" s="88">
        <f t="shared" si="0"/>
        <v>73.684210526315795</v>
      </c>
      <c r="T31" s="88">
        <f t="shared" si="1"/>
        <v>50</v>
      </c>
      <c r="U31" s="85">
        <v>34</v>
      </c>
      <c r="V31" s="85" t="s">
        <v>1688</v>
      </c>
      <c r="W31" s="85">
        <v>5</v>
      </c>
      <c r="X31" s="86">
        <f t="shared" si="2"/>
        <v>49</v>
      </c>
      <c r="Y31" t="s">
        <v>1130</v>
      </c>
      <c r="Z31" t="s">
        <v>1524</v>
      </c>
      <c r="AA31">
        <f t="shared" si="3"/>
        <v>3</v>
      </c>
      <c r="AB31">
        <v>3</v>
      </c>
      <c r="AC31" t="s">
        <v>1688</v>
      </c>
      <c r="AD31" t="s">
        <v>1688</v>
      </c>
      <c r="AE31" t="s">
        <v>1688</v>
      </c>
      <c r="AF31" t="s">
        <v>1688</v>
      </c>
      <c r="AG31" t="s">
        <v>1688</v>
      </c>
      <c r="AH31" t="s">
        <v>1688</v>
      </c>
      <c r="AI31" t="s">
        <v>1688</v>
      </c>
      <c r="AJ31" t="s">
        <v>1688</v>
      </c>
      <c r="AK31" t="s">
        <v>1688</v>
      </c>
      <c r="AL31" s="158" t="str">
        <f t="shared" si="4"/>
        <v>ns</v>
      </c>
      <c r="AM31" s="136" t="str">
        <f t="shared" si="5"/>
        <v>ns</v>
      </c>
      <c r="AN31" s="136" t="str">
        <f t="shared" si="6"/>
        <v>ns</v>
      </c>
      <c r="AO31" s="136" t="str">
        <f t="shared" si="7"/>
        <v>ns</v>
      </c>
      <c r="AP31" s="136" t="str">
        <f t="shared" si="8"/>
        <v>ns</v>
      </c>
      <c r="AQ31" s="136" t="str">
        <f t="shared" si="9"/>
        <v>ns</v>
      </c>
      <c r="AR31" s="136" t="str">
        <f t="shared" si="10"/>
        <v>ns</v>
      </c>
      <c r="AS31" s="136" t="str">
        <f t="shared" si="11"/>
        <v>ns</v>
      </c>
      <c r="AT31" s="85">
        <v>1.5</v>
      </c>
      <c r="AU31" s="86">
        <f t="shared" si="12"/>
        <v>5</v>
      </c>
      <c r="AV31" s="86" t="str">
        <f t="shared" si="13"/>
        <v/>
      </c>
      <c r="AY31" s="231">
        <f>IF(ISNUMBER(M31),M31,NA())</f>
        <v>46.7</v>
      </c>
      <c r="AZ31" s="231">
        <f t="shared" si="18"/>
        <v>20.399999999999999</v>
      </c>
      <c r="BA31" s="231">
        <f t="shared" si="15"/>
        <v>56.6</v>
      </c>
      <c r="BB31" s="231">
        <f t="shared" si="16"/>
        <v>19.100000000000001</v>
      </c>
      <c r="BC31" s="231">
        <f t="shared" si="17"/>
        <v>5</v>
      </c>
      <c r="BD31" s="232">
        <f>IF(ISNUMBER(S31),S31,NA())</f>
        <v>73.684210526315795</v>
      </c>
      <c r="BE31" s="232">
        <f>IF(ISNUMBER(T31),T31,NA())</f>
        <v>50</v>
      </c>
      <c r="BG31" s="231">
        <v>2004</v>
      </c>
      <c r="BH31" s="231">
        <f>COUNTIF(Database!$F$8:$F$232,BG31)</f>
        <v>21</v>
      </c>
      <c r="BI31" s="231"/>
      <c r="BJ31" s="231"/>
      <c r="BK31" s="231"/>
      <c r="BL31" s="231"/>
      <c r="BP31">
        <v>24</v>
      </c>
    </row>
    <row r="32" spans="1:68">
      <c r="A32">
        <v>25</v>
      </c>
      <c r="B32">
        <v>8399409</v>
      </c>
      <c r="C32" s="215"/>
      <c r="D32" s="9" t="s">
        <v>797</v>
      </c>
      <c r="E32" s="18" t="s">
        <v>1679</v>
      </c>
      <c r="F32" s="16">
        <v>1993</v>
      </c>
      <c r="G32" s="84" t="s">
        <v>986</v>
      </c>
      <c r="H32" s="16">
        <v>25</v>
      </c>
      <c r="I32" s="16">
        <v>20</v>
      </c>
      <c r="J32" s="85" t="s">
        <v>150</v>
      </c>
      <c r="K32" s="85">
        <v>2</v>
      </c>
      <c r="L32" s="16" t="s">
        <v>1119</v>
      </c>
      <c r="M32" s="16">
        <v>74.099999999999994</v>
      </c>
      <c r="N32" s="16">
        <v>6.6</v>
      </c>
      <c r="O32" s="16">
        <v>72.5</v>
      </c>
      <c r="P32" s="16">
        <v>3.6</v>
      </c>
      <c r="Q32" s="16">
        <v>17</v>
      </c>
      <c r="R32" s="16">
        <v>11</v>
      </c>
      <c r="S32" s="88">
        <f t="shared" si="0"/>
        <v>68</v>
      </c>
      <c r="T32" s="88">
        <f t="shared" si="1"/>
        <v>55</v>
      </c>
      <c r="U32" s="85" t="s">
        <v>1688</v>
      </c>
      <c r="V32" s="85" t="s">
        <v>1688</v>
      </c>
      <c r="W32" s="85">
        <v>5</v>
      </c>
      <c r="X32" s="86">
        <f t="shared" si="2"/>
        <v>45</v>
      </c>
      <c r="Y32" t="s">
        <v>893</v>
      </c>
      <c r="Z32" t="s">
        <v>1135</v>
      </c>
      <c r="AA32">
        <f t="shared" si="3"/>
        <v>5</v>
      </c>
      <c r="AB32">
        <v>3</v>
      </c>
      <c r="AC32" t="s">
        <v>1688</v>
      </c>
      <c r="AD32" t="s">
        <v>1688</v>
      </c>
      <c r="AE32" t="s">
        <v>1688</v>
      </c>
      <c r="AF32" t="s">
        <v>1688</v>
      </c>
      <c r="AG32" t="s">
        <v>1688</v>
      </c>
      <c r="AH32" t="s">
        <v>1688</v>
      </c>
      <c r="AI32" t="s">
        <v>1688</v>
      </c>
      <c r="AJ32" t="s">
        <v>1688</v>
      </c>
      <c r="AK32" t="s">
        <v>1688</v>
      </c>
      <c r="AL32" s="158" t="str">
        <f t="shared" si="4"/>
        <v>ns</v>
      </c>
      <c r="AM32" s="136" t="str">
        <f t="shared" si="5"/>
        <v>ns</v>
      </c>
      <c r="AN32" s="136" t="str">
        <f t="shared" si="6"/>
        <v>ns</v>
      </c>
      <c r="AO32" s="136" t="str">
        <f t="shared" si="7"/>
        <v>ns</v>
      </c>
      <c r="AP32" s="136" t="str">
        <f t="shared" si="8"/>
        <v>ns</v>
      </c>
      <c r="AQ32" s="136" t="str">
        <f t="shared" si="9"/>
        <v>ns</v>
      </c>
      <c r="AR32" s="136" t="str">
        <f t="shared" si="10"/>
        <v>ns</v>
      </c>
      <c r="AS32" s="136" t="str">
        <f t="shared" si="11"/>
        <v>ns</v>
      </c>
      <c r="AT32" s="85">
        <v>1.5</v>
      </c>
      <c r="AU32" s="86">
        <f t="shared" si="12"/>
        <v>5</v>
      </c>
      <c r="AV32" s="86" t="str">
        <f t="shared" si="13"/>
        <v/>
      </c>
      <c r="AY32" s="231">
        <f>IF(ISNUMBER(M32),M32,NA())</f>
        <v>74.099999999999994</v>
      </c>
      <c r="AZ32" s="231">
        <f t="shared" si="18"/>
        <v>6.6</v>
      </c>
      <c r="BA32" s="231">
        <f t="shared" si="15"/>
        <v>72.5</v>
      </c>
      <c r="BB32" s="231">
        <f t="shared" si="16"/>
        <v>3.6</v>
      </c>
      <c r="BC32" s="231">
        <f t="shared" si="17"/>
        <v>5</v>
      </c>
      <c r="BD32" s="232">
        <f>IF(ISNUMBER(S32),S32,NA())</f>
        <v>68</v>
      </c>
      <c r="BE32" s="232">
        <f>IF(ISNUMBER(T32),T32,NA())</f>
        <v>55</v>
      </c>
      <c r="BG32" s="231">
        <v>2005</v>
      </c>
      <c r="BH32" s="231">
        <f>COUNTIF(Database!$F$8:$F$232,BG32)</f>
        <v>14</v>
      </c>
      <c r="BI32" s="231"/>
      <c r="BJ32" s="231"/>
      <c r="BK32" s="231"/>
      <c r="BL32" s="231"/>
      <c r="BP32">
        <v>25</v>
      </c>
    </row>
    <row r="33" spans="1:68">
      <c r="A33" s="13">
        <v>26</v>
      </c>
      <c r="B33">
        <v>8294897</v>
      </c>
      <c r="C33" s="215"/>
      <c r="D33" s="17" t="s">
        <v>1003</v>
      </c>
      <c r="E33" s="18" t="s">
        <v>1682</v>
      </c>
      <c r="F33" s="16">
        <v>1993</v>
      </c>
      <c r="G33" s="85" t="s">
        <v>1670</v>
      </c>
      <c r="H33" s="16">
        <v>21</v>
      </c>
      <c r="I33" s="16">
        <v>21</v>
      </c>
      <c r="J33" s="86" t="s">
        <v>296</v>
      </c>
      <c r="K33" s="86">
        <v>3</v>
      </c>
      <c r="L33" s="16" t="s">
        <v>1119</v>
      </c>
      <c r="M33" s="16">
        <v>65</v>
      </c>
      <c r="N33" s="16">
        <v>11</v>
      </c>
      <c r="O33" s="16">
        <v>63.5</v>
      </c>
      <c r="P33" s="16">
        <v>11</v>
      </c>
      <c r="Q33" s="16">
        <v>9</v>
      </c>
      <c r="R33" s="16">
        <v>9</v>
      </c>
      <c r="S33" s="88">
        <f t="shared" si="0"/>
        <v>42.857142857142854</v>
      </c>
      <c r="T33" s="88">
        <f t="shared" si="1"/>
        <v>42.857142857142854</v>
      </c>
      <c r="U33" s="97" t="s">
        <v>1688</v>
      </c>
      <c r="V33" s="97" t="s">
        <v>1688</v>
      </c>
      <c r="W33" s="97">
        <v>5</v>
      </c>
      <c r="X33" s="86">
        <f t="shared" si="2"/>
        <v>42</v>
      </c>
      <c r="Y33" s="22" t="s">
        <v>1761</v>
      </c>
      <c r="Z33" t="s">
        <v>1135</v>
      </c>
      <c r="AA33">
        <f t="shared" si="3"/>
        <v>5</v>
      </c>
      <c r="AB33">
        <v>4</v>
      </c>
      <c r="AC33" t="s">
        <v>1688</v>
      </c>
      <c r="AD33" t="s">
        <v>1688</v>
      </c>
      <c r="AE33" t="s">
        <v>1688</v>
      </c>
      <c r="AF33" t="s">
        <v>1688</v>
      </c>
      <c r="AG33" t="s">
        <v>1688</v>
      </c>
      <c r="AH33" t="s">
        <v>1688</v>
      </c>
      <c r="AI33" t="s">
        <v>1688</v>
      </c>
      <c r="AJ33" t="s">
        <v>1688</v>
      </c>
      <c r="AK33" t="s">
        <v>1688</v>
      </c>
      <c r="AL33" s="158" t="str">
        <f t="shared" si="4"/>
        <v>ns</v>
      </c>
      <c r="AM33" s="136" t="str">
        <f t="shared" si="5"/>
        <v>ns</v>
      </c>
      <c r="AN33" s="136" t="str">
        <f t="shared" si="6"/>
        <v>ns</v>
      </c>
      <c r="AO33" s="136" t="str">
        <f t="shared" si="7"/>
        <v>ns</v>
      </c>
      <c r="AP33" s="136" t="str">
        <f t="shared" si="8"/>
        <v>ns</v>
      </c>
      <c r="AQ33" s="136" t="str">
        <f t="shared" si="9"/>
        <v>ns</v>
      </c>
      <c r="AR33" s="136" t="str">
        <f t="shared" si="10"/>
        <v>ns</v>
      </c>
      <c r="AS33" s="136" t="str">
        <f t="shared" si="11"/>
        <v>ns</v>
      </c>
      <c r="AT33" s="85">
        <v>1.5</v>
      </c>
      <c r="AU33" s="86">
        <f t="shared" si="12"/>
        <v>5</v>
      </c>
      <c r="AV33" s="86" t="str">
        <f t="shared" si="13"/>
        <v/>
      </c>
      <c r="AY33" s="231">
        <f>IF(ISNUMBER(M33),M33,NA())</f>
        <v>65</v>
      </c>
      <c r="AZ33" s="231">
        <f t="shared" si="18"/>
        <v>11</v>
      </c>
      <c r="BA33" s="231">
        <f t="shared" si="15"/>
        <v>63.5</v>
      </c>
      <c r="BB33" s="231">
        <f t="shared" si="16"/>
        <v>11</v>
      </c>
      <c r="BC33" s="231">
        <f t="shared" si="17"/>
        <v>5</v>
      </c>
      <c r="BD33" s="232">
        <f>IF(ISNUMBER(S33),S33,NA())</f>
        <v>42.857142857142854</v>
      </c>
      <c r="BE33" s="232">
        <f>IF(ISNUMBER(T33),T33,NA())</f>
        <v>42.857142857142854</v>
      </c>
      <c r="BG33" s="231">
        <v>2006</v>
      </c>
      <c r="BH33" s="231">
        <f>COUNTIF(Database!$F$8:$F$232,BG33)</f>
        <v>16</v>
      </c>
      <c r="BI33" s="231"/>
      <c r="BJ33" s="231"/>
      <c r="BK33" s="231"/>
      <c r="BL33" s="231"/>
      <c r="BP33">
        <v>26</v>
      </c>
    </row>
    <row r="34" spans="1:68">
      <c r="A34">
        <v>27</v>
      </c>
      <c r="B34">
        <v>8326077</v>
      </c>
      <c r="C34" s="215"/>
      <c r="D34" s="9" t="s">
        <v>798</v>
      </c>
      <c r="E34" s="18" t="s">
        <v>1683</v>
      </c>
      <c r="F34" s="16">
        <v>1993</v>
      </c>
      <c r="G34" s="84" t="s">
        <v>987</v>
      </c>
      <c r="H34" s="16">
        <v>20</v>
      </c>
      <c r="I34" s="16">
        <v>16</v>
      </c>
      <c r="J34" s="85" t="s">
        <v>296</v>
      </c>
      <c r="K34" s="85">
        <v>3</v>
      </c>
      <c r="L34" s="16" t="s">
        <v>1119</v>
      </c>
      <c r="M34" s="16">
        <v>32.9</v>
      </c>
      <c r="N34" s="16">
        <v>11.5</v>
      </c>
      <c r="O34" s="16">
        <v>30.5</v>
      </c>
      <c r="P34" s="16">
        <v>9.8000000000000007</v>
      </c>
      <c r="Q34" s="16">
        <v>11</v>
      </c>
      <c r="R34" s="16">
        <v>6</v>
      </c>
      <c r="S34" s="88">
        <f t="shared" si="0"/>
        <v>55</v>
      </c>
      <c r="T34" s="88">
        <f t="shared" si="1"/>
        <v>37.5</v>
      </c>
      <c r="U34" s="85" t="s">
        <v>1688</v>
      </c>
      <c r="V34" s="85">
        <v>22.3</v>
      </c>
      <c r="W34" s="85">
        <v>5</v>
      </c>
      <c r="X34" s="86">
        <f t="shared" si="2"/>
        <v>36</v>
      </c>
      <c r="Y34" t="s">
        <v>546</v>
      </c>
      <c r="Z34" t="s">
        <v>547</v>
      </c>
      <c r="AA34">
        <f t="shared" si="3"/>
        <v>10</v>
      </c>
      <c r="AB34">
        <v>4</v>
      </c>
      <c r="AC34">
        <v>0</v>
      </c>
      <c r="AD34">
        <v>0</v>
      </c>
      <c r="AE34">
        <v>0</v>
      </c>
      <c r="AF34">
        <v>0</v>
      </c>
      <c r="AG34">
        <v>0</v>
      </c>
      <c r="AH34">
        <v>0</v>
      </c>
      <c r="AI34">
        <v>0</v>
      </c>
      <c r="AJ34">
        <v>20</v>
      </c>
      <c r="AL34" s="158">
        <f t="shared" si="4"/>
        <v>0</v>
      </c>
      <c r="AM34" s="136">
        <f t="shared" si="5"/>
        <v>0</v>
      </c>
      <c r="AN34" s="136">
        <f t="shared" si="6"/>
        <v>0</v>
      </c>
      <c r="AO34" s="136">
        <f t="shared" si="7"/>
        <v>0</v>
      </c>
      <c r="AP34" s="136">
        <f t="shared" si="8"/>
        <v>0</v>
      </c>
      <c r="AQ34" s="136">
        <f t="shared" si="9"/>
        <v>0</v>
      </c>
      <c r="AR34" s="136">
        <f t="shared" si="10"/>
        <v>0</v>
      </c>
      <c r="AS34" s="136">
        <f t="shared" si="11"/>
        <v>100</v>
      </c>
      <c r="AT34" s="85">
        <v>1.5</v>
      </c>
      <c r="AU34" s="86">
        <f t="shared" si="12"/>
        <v>5</v>
      </c>
      <c r="AV34" s="86" t="str">
        <f t="shared" si="13"/>
        <v/>
      </c>
      <c r="AY34" s="231">
        <f>IF(ISNUMBER(M34),M34,NA())</f>
        <v>32.9</v>
      </c>
      <c r="AZ34" s="231">
        <f t="shared" si="18"/>
        <v>11.5</v>
      </c>
      <c r="BA34" s="231">
        <f t="shared" si="15"/>
        <v>30.5</v>
      </c>
      <c r="BB34" s="231">
        <f t="shared" si="16"/>
        <v>9.8000000000000007</v>
      </c>
      <c r="BC34" s="231">
        <f t="shared" si="17"/>
        <v>5</v>
      </c>
      <c r="BD34" s="232">
        <f>IF(ISNUMBER(S34),S34,NA())</f>
        <v>55</v>
      </c>
      <c r="BE34" s="232">
        <f>IF(ISNUMBER(T34),T34,NA())</f>
        <v>37.5</v>
      </c>
      <c r="BG34" s="231">
        <v>2007</v>
      </c>
      <c r="BH34" s="231">
        <f>COUNTIF(Database!$F$8:$F$232,BG34)</f>
        <v>12</v>
      </c>
      <c r="BI34" s="231"/>
      <c r="BJ34" s="231"/>
      <c r="BK34" s="231"/>
      <c r="BL34" s="231"/>
      <c r="BP34">
        <v>27</v>
      </c>
    </row>
    <row r="35" spans="1:68">
      <c r="A35" s="13">
        <v>28</v>
      </c>
      <c r="B35">
        <v>8080344</v>
      </c>
      <c r="C35" s="215"/>
      <c r="D35" s="9" t="s">
        <v>1610</v>
      </c>
      <c r="E35" s="18" t="s">
        <v>406</v>
      </c>
      <c r="F35" s="16">
        <v>1994</v>
      </c>
      <c r="G35" s="84" t="s">
        <v>2318</v>
      </c>
      <c r="H35" s="16">
        <v>39</v>
      </c>
      <c r="I35" s="16">
        <v>20</v>
      </c>
      <c r="J35" s="85" t="s">
        <v>296</v>
      </c>
      <c r="K35" s="85">
        <v>3</v>
      </c>
      <c r="L35" s="16" t="s">
        <v>1119</v>
      </c>
      <c r="M35" s="16">
        <v>60.9</v>
      </c>
      <c r="N35" s="16">
        <v>8.1</v>
      </c>
      <c r="O35" s="16">
        <v>69.099999999999994</v>
      </c>
      <c r="P35" s="16">
        <v>6.5</v>
      </c>
      <c r="Q35" s="16">
        <v>17</v>
      </c>
      <c r="R35" s="16">
        <v>12</v>
      </c>
      <c r="S35" s="88">
        <f t="shared" si="0"/>
        <v>43.589743589743591</v>
      </c>
      <c r="T35" s="88">
        <f t="shared" si="1"/>
        <v>60</v>
      </c>
      <c r="U35" s="85" t="s">
        <v>1688</v>
      </c>
      <c r="V35" s="85" t="s">
        <v>251</v>
      </c>
      <c r="W35" s="85">
        <v>10</v>
      </c>
      <c r="X35" s="86">
        <f t="shared" si="2"/>
        <v>59</v>
      </c>
      <c r="Y35" t="s">
        <v>1348</v>
      </c>
      <c r="Z35" t="s">
        <v>1136</v>
      </c>
      <c r="AA35">
        <f t="shared" si="3"/>
        <v>2</v>
      </c>
      <c r="AB35">
        <v>4</v>
      </c>
      <c r="AC35">
        <v>0</v>
      </c>
      <c r="AD35">
        <v>0</v>
      </c>
      <c r="AE35">
        <v>0</v>
      </c>
      <c r="AF35">
        <v>0</v>
      </c>
      <c r="AG35">
        <v>0</v>
      </c>
      <c r="AH35">
        <v>0</v>
      </c>
      <c r="AI35">
        <v>0</v>
      </c>
      <c r="AJ35">
        <v>39</v>
      </c>
      <c r="AL35" s="158">
        <f t="shared" si="4"/>
        <v>0</v>
      </c>
      <c r="AM35" s="136">
        <f t="shared" si="5"/>
        <v>0</v>
      </c>
      <c r="AN35" s="136">
        <f t="shared" si="6"/>
        <v>0</v>
      </c>
      <c r="AO35" s="136">
        <f t="shared" si="7"/>
        <v>0</v>
      </c>
      <c r="AP35" s="136">
        <f t="shared" si="8"/>
        <v>0</v>
      </c>
      <c r="AQ35" s="136">
        <f t="shared" si="9"/>
        <v>0</v>
      </c>
      <c r="AR35" s="136">
        <f t="shared" si="10"/>
        <v>0</v>
      </c>
      <c r="AS35" s="136">
        <f t="shared" si="11"/>
        <v>100</v>
      </c>
      <c r="AT35" s="85">
        <v>1.5</v>
      </c>
      <c r="AU35" s="86">
        <f t="shared" si="12"/>
        <v>10</v>
      </c>
      <c r="AV35" s="86" t="str">
        <f t="shared" si="13"/>
        <v/>
      </c>
      <c r="AY35" s="231">
        <f>IF(ISNUMBER(M35),M35,NA())</f>
        <v>60.9</v>
      </c>
      <c r="AZ35" s="231">
        <f t="shared" si="18"/>
        <v>8.1</v>
      </c>
      <c r="BA35" s="231">
        <f t="shared" si="15"/>
        <v>69.099999999999994</v>
      </c>
      <c r="BB35" s="231">
        <f t="shared" si="16"/>
        <v>6.5</v>
      </c>
      <c r="BC35" s="231">
        <f t="shared" si="17"/>
        <v>10</v>
      </c>
      <c r="BD35" s="232">
        <f>IF(ISNUMBER(S35),S35,NA())</f>
        <v>43.589743589743591</v>
      </c>
      <c r="BE35" s="232">
        <f>IF(ISNUMBER(T35),T35,NA())</f>
        <v>60</v>
      </c>
      <c r="BG35" s="231">
        <v>2008</v>
      </c>
      <c r="BH35" s="231">
        <f>COUNTIF(Database!$F$8:$F$232,BG35)</f>
        <v>27</v>
      </c>
      <c r="BI35" s="231"/>
      <c r="BJ35" s="231"/>
      <c r="BK35" s="231"/>
      <c r="BL35" s="231"/>
      <c r="BP35">
        <v>28</v>
      </c>
    </row>
    <row r="36" spans="1:68">
      <c r="A36">
        <v>29</v>
      </c>
      <c r="B36" t="s">
        <v>1474</v>
      </c>
      <c r="C36" s="215"/>
      <c r="D36" s="1" t="s">
        <v>1733</v>
      </c>
      <c r="E36" s="11" t="s">
        <v>1230</v>
      </c>
      <c r="F36">
        <v>1994</v>
      </c>
      <c r="G36" s="1" t="s">
        <v>1771</v>
      </c>
      <c r="H36">
        <v>19</v>
      </c>
      <c r="I36">
        <v>23</v>
      </c>
      <c r="J36" t="s">
        <v>296</v>
      </c>
      <c r="K36">
        <v>3</v>
      </c>
      <c r="L36" t="s">
        <v>1119</v>
      </c>
      <c r="M36">
        <v>69</v>
      </c>
      <c r="N36">
        <v>6</v>
      </c>
      <c r="O36">
        <v>68</v>
      </c>
      <c r="P36">
        <v>8</v>
      </c>
      <c r="Q36">
        <v>13</v>
      </c>
      <c r="R36">
        <v>12</v>
      </c>
      <c r="S36" s="88">
        <f t="shared" si="0"/>
        <v>68.421052631578945</v>
      </c>
      <c r="T36" s="88">
        <f t="shared" si="1"/>
        <v>52.173913043478258</v>
      </c>
      <c r="U36" s="6" t="s">
        <v>1688</v>
      </c>
      <c r="V36" s="6">
        <v>22</v>
      </c>
      <c r="W36" s="6">
        <v>5</v>
      </c>
      <c r="X36" s="86">
        <f t="shared" si="2"/>
        <v>42</v>
      </c>
      <c r="Y36" t="s">
        <v>1442</v>
      </c>
      <c r="Z36" t="s">
        <v>978</v>
      </c>
      <c r="AA36">
        <f t="shared" si="3"/>
        <v>1</v>
      </c>
      <c r="AB36">
        <v>4</v>
      </c>
      <c r="AC36" t="s">
        <v>1688</v>
      </c>
      <c r="AD36" t="s">
        <v>1688</v>
      </c>
      <c r="AE36" t="s">
        <v>1688</v>
      </c>
      <c r="AF36" t="s">
        <v>1688</v>
      </c>
      <c r="AG36" t="s">
        <v>1688</v>
      </c>
      <c r="AH36" t="s">
        <v>1688</v>
      </c>
      <c r="AI36" t="s">
        <v>1688</v>
      </c>
      <c r="AJ36" t="s">
        <v>1688</v>
      </c>
      <c r="AK36" t="s">
        <v>1688</v>
      </c>
      <c r="AL36" s="158" t="str">
        <f t="shared" si="4"/>
        <v>ns</v>
      </c>
      <c r="AM36" s="136" t="str">
        <f t="shared" si="5"/>
        <v>ns</v>
      </c>
      <c r="AN36" s="136" t="str">
        <f t="shared" si="6"/>
        <v>ns</v>
      </c>
      <c r="AO36" s="136" t="str">
        <f t="shared" si="7"/>
        <v>ns</v>
      </c>
      <c r="AP36" s="136" t="str">
        <f t="shared" si="8"/>
        <v>ns</v>
      </c>
      <c r="AQ36" s="136" t="str">
        <f t="shared" si="9"/>
        <v>ns</v>
      </c>
      <c r="AR36" s="136" t="str">
        <f t="shared" si="10"/>
        <v>ns</v>
      </c>
      <c r="AS36" s="136" t="str">
        <f t="shared" si="11"/>
        <v>ns</v>
      </c>
      <c r="AT36" s="6">
        <v>1.5</v>
      </c>
      <c r="AU36" s="86">
        <f t="shared" si="12"/>
        <v>5</v>
      </c>
      <c r="AV36" s="86" t="str">
        <f t="shared" si="13"/>
        <v/>
      </c>
      <c r="AY36" s="231">
        <f>IF(ISNUMBER(M36),M36,NA())</f>
        <v>69</v>
      </c>
      <c r="AZ36" s="231">
        <f t="shared" si="18"/>
        <v>6</v>
      </c>
      <c r="BA36" s="231">
        <f t="shared" si="15"/>
        <v>68</v>
      </c>
      <c r="BB36" s="231">
        <f t="shared" si="16"/>
        <v>8</v>
      </c>
      <c r="BC36" s="231">
        <f t="shared" si="17"/>
        <v>5</v>
      </c>
      <c r="BD36" s="232">
        <f>IF(ISNUMBER(S36),S36,NA())</f>
        <v>68.421052631578945</v>
      </c>
      <c r="BE36" s="232">
        <f>IF(ISNUMBER(T36),T36,NA())</f>
        <v>52.173913043478258</v>
      </c>
      <c r="BP36">
        <v>29</v>
      </c>
    </row>
    <row r="37" spans="1:68">
      <c r="A37" s="13">
        <v>30</v>
      </c>
      <c r="B37">
        <v>7654126</v>
      </c>
      <c r="C37" s="215"/>
      <c r="D37" s="9" t="s">
        <v>846</v>
      </c>
      <c r="E37" s="18" t="s">
        <v>1271</v>
      </c>
      <c r="F37" s="16">
        <v>1995</v>
      </c>
      <c r="G37" s="84" t="s">
        <v>2318</v>
      </c>
      <c r="H37" s="16">
        <v>30</v>
      </c>
      <c r="I37" s="16">
        <v>26</v>
      </c>
      <c r="J37" s="85" t="s">
        <v>296</v>
      </c>
      <c r="K37" s="85">
        <v>3</v>
      </c>
      <c r="L37" s="16" t="s">
        <v>1119</v>
      </c>
      <c r="M37" s="16">
        <v>38.6</v>
      </c>
      <c r="N37" s="16">
        <v>10.6</v>
      </c>
      <c r="O37" s="16">
        <v>39.1</v>
      </c>
      <c r="P37" s="16">
        <v>9.4</v>
      </c>
      <c r="Q37" s="16">
        <v>21</v>
      </c>
      <c r="R37" s="16">
        <v>11</v>
      </c>
      <c r="S37" s="88">
        <f t="shared" si="0"/>
        <v>70</v>
      </c>
      <c r="T37" s="88">
        <f t="shared" si="1"/>
        <v>42.307692307692307</v>
      </c>
      <c r="U37" s="85" t="s">
        <v>1688</v>
      </c>
      <c r="V37" s="85">
        <v>12.5</v>
      </c>
      <c r="W37" s="85">
        <v>5</v>
      </c>
      <c r="X37" s="86">
        <f t="shared" si="2"/>
        <v>56</v>
      </c>
      <c r="Y37" s="13" t="s">
        <v>1445</v>
      </c>
      <c r="Z37" t="s">
        <v>1137</v>
      </c>
      <c r="AA37">
        <f t="shared" si="3"/>
        <v>9</v>
      </c>
      <c r="AB37">
        <v>4</v>
      </c>
      <c r="AC37">
        <v>12</v>
      </c>
      <c r="AD37" t="s">
        <v>1688</v>
      </c>
      <c r="AE37" t="s">
        <v>1688</v>
      </c>
      <c r="AF37" t="s">
        <v>1688</v>
      </c>
      <c r="AG37" t="s">
        <v>1688</v>
      </c>
      <c r="AH37">
        <v>1</v>
      </c>
      <c r="AI37">
        <v>0</v>
      </c>
      <c r="AJ37">
        <v>17</v>
      </c>
      <c r="AK37" s="2" t="s">
        <v>3</v>
      </c>
      <c r="AL37" s="158">
        <f t="shared" si="4"/>
        <v>40</v>
      </c>
      <c r="AM37" s="136" t="str">
        <f t="shared" si="5"/>
        <v>ns</v>
      </c>
      <c r="AN37" s="136" t="str">
        <f t="shared" si="6"/>
        <v>ns</v>
      </c>
      <c r="AO37" s="136" t="str">
        <f t="shared" si="7"/>
        <v>ns</v>
      </c>
      <c r="AP37" s="136" t="str">
        <f t="shared" si="8"/>
        <v>ns</v>
      </c>
      <c r="AQ37" s="136">
        <f t="shared" si="9"/>
        <v>3.3333333333333335</v>
      </c>
      <c r="AR37" s="136">
        <f t="shared" si="10"/>
        <v>0</v>
      </c>
      <c r="AS37" s="136">
        <f t="shared" si="11"/>
        <v>56.666666666666664</v>
      </c>
      <c r="AT37" s="85">
        <v>1.5</v>
      </c>
      <c r="AU37" s="86">
        <f t="shared" si="12"/>
        <v>5</v>
      </c>
      <c r="AV37" s="86" t="str">
        <f t="shared" si="13"/>
        <v/>
      </c>
      <c r="AY37" s="231">
        <f>IF(ISNUMBER(M37),M37,NA())</f>
        <v>38.6</v>
      </c>
      <c r="AZ37" s="231">
        <f t="shared" si="18"/>
        <v>10.6</v>
      </c>
      <c r="BA37" s="231">
        <f t="shared" si="15"/>
        <v>39.1</v>
      </c>
      <c r="BB37" s="231">
        <f t="shared" si="16"/>
        <v>9.4</v>
      </c>
      <c r="BC37" s="231">
        <f t="shared" si="17"/>
        <v>5</v>
      </c>
      <c r="BD37" s="232">
        <f>IF(ISNUMBER(S37),S37,NA())</f>
        <v>70</v>
      </c>
      <c r="BE37" s="232">
        <f>IF(ISNUMBER(T37),T37,NA())</f>
        <v>42.307692307692307</v>
      </c>
      <c r="BP37">
        <v>30</v>
      </c>
    </row>
    <row r="38" spans="1:68">
      <c r="A38">
        <v>31</v>
      </c>
      <c r="B38">
        <v>8672610</v>
      </c>
      <c r="C38" s="215"/>
      <c r="D38" s="9" t="s">
        <v>863</v>
      </c>
      <c r="E38" s="18" t="s">
        <v>551</v>
      </c>
      <c r="F38" s="16">
        <v>1995</v>
      </c>
      <c r="G38" s="84" t="s">
        <v>1438</v>
      </c>
      <c r="H38" s="16">
        <v>33</v>
      </c>
      <c r="I38" s="16">
        <v>32</v>
      </c>
      <c r="J38" s="85" t="s">
        <v>296</v>
      </c>
      <c r="K38" s="85">
        <v>3</v>
      </c>
      <c r="L38" s="16" t="s">
        <v>1119</v>
      </c>
      <c r="M38" s="16">
        <v>38.9</v>
      </c>
      <c r="N38" s="16">
        <v>10.199999999999999</v>
      </c>
      <c r="O38" s="16">
        <v>39.200000000000003</v>
      </c>
      <c r="P38" s="16">
        <v>8.9</v>
      </c>
      <c r="Q38" s="16">
        <v>20</v>
      </c>
      <c r="R38" s="16">
        <v>13</v>
      </c>
      <c r="S38" s="88">
        <f t="shared" si="0"/>
        <v>60.606060606060609</v>
      </c>
      <c r="T38" s="88">
        <f t="shared" si="1"/>
        <v>40.625</v>
      </c>
      <c r="U38" s="85" t="s">
        <v>1688</v>
      </c>
      <c r="V38" s="85">
        <v>12.5</v>
      </c>
      <c r="W38" s="85">
        <v>5</v>
      </c>
      <c r="X38" s="86">
        <f t="shared" si="2"/>
        <v>65</v>
      </c>
      <c r="Y38" t="s">
        <v>889</v>
      </c>
      <c r="Z38" t="s">
        <v>978</v>
      </c>
      <c r="AA38">
        <f t="shared" si="3"/>
        <v>1</v>
      </c>
      <c r="AB38">
        <v>4</v>
      </c>
      <c r="AC38">
        <v>13</v>
      </c>
      <c r="AD38" t="s">
        <v>1688</v>
      </c>
      <c r="AE38" t="s">
        <v>1688</v>
      </c>
      <c r="AF38" t="s">
        <v>1688</v>
      </c>
      <c r="AG38" t="s">
        <v>1688</v>
      </c>
      <c r="AH38">
        <v>1</v>
      </c>
      <c r="AI38" t="s">
        <v>1688</v>
      </c>
      <c r="AJ38">
        <v>18</v>
      </c>
      <c r="AL38" s="158">
        <f t="shared" si="4"/>
        <v>39.393939393939391</v>
      </c>
      <c r="AM38" s="136" t="str">
        <f t="shared" si="5"/>
        <v>ns</v>
      </c>
      <c r="AN38" s="136" t="str">
        <f t="shared" si="6"/>
        <v>ns</v>
      </c>
      <c r="AO38" s="136" t="str">
        <f t="shared" si="7"/>
        <v>ns</v>
      </c>
      <c r="AP38" s="136" t="str">
        <f t="shared" si="8"/>
        <v>ns</v>
      </c>
      <c r="AQ38" s="136">
        <f t="shared" si="9"/>
        <v>3.0303030303030303</v>
      </c>
      <c r="AR38" s="136" t="str">
        <f t="shared" si="10"/>
        <v>ns</v>
      </c>
      <c r="AS38" s="136">
        <f t="shared" si="11"/>
        <v>54.54545454545454</v>
      </c>
      <c r="AT38" s="85">
        <v>1.5</v>
      </c>
      <c r="AU38" s="86">
        <f t="shared" si="12"/>
        <v>5</v>
      </c>
      <c r="AV38" s="86" t="str">
        <f t="shared" si="13"/>
        <v/>
      </c>
      <c r="AY38" s="231">
        <f>IF(ISNUMBER(M38),M38,NA())</f>
        <v>38.9</v>
      </c>
      <c r="AZ38" s="231">
        <f t="shared" si="18"/>
        <v>10.199999999999999</v>
      </c>
      <c r="BA38" s="231">
        <f t="shared" si="15"/>
        <v>39.200000000000003</v>
      </c>
      <c r="BB38" s="231">
        <f t="shared" si="16"/>
        <v>8.9</v>
      </c>
      <c r="BC38" s="231">
        <f t="shared" si="17"/>
        <v>5</v>
      </c>
      <c r="BD38" s="232">
        <f>IF(ISNUMBER(S38),S38,NA())</f>
        <v>60.606060606060609</v>
      </c>
      <c r="BE38" s="232">
        <f>IF(ISNUMBER(T38),T38,NA())</f>
        <v>40.625</v>
      </c>
      <c r="BP38">
        <v>31</v>
      </c>
    </row>
    <row r="39" spans="1:68">
      <c r="A39" s="13">
        <v>32</v>
      </c>
      <c r="B39">
        <v>7632622</v>
      </c>
      <c r="C39" s="215"/>
      <c r="D39" s="9" t="s">
        <v>1416</v>
      </c>
      <c r="E39" s="18" t="s">
        <v>407</v>
      </c>
      <c r="F39" s="16">
        <v>1995</v>
      </c>
      <c r="G39" s="84" t="s">
        <v>1439</v>
      </c>
      <c r="H39" s="16">
        <v>27</v>
      </c>
      <c r="I39" s="16">
        <v>150</v>
      </c>
      <c r="J39" s="85" t="s">
        <v>296</v>
      </c>
      <c r="K39" s="85">
        <v>3</v>
      </c>
      <c r="L39" s="16" t="s">
        <v>1119</v>
      </c>
      <c r="M39" s="16"/>
      <c r="N39" s="16"/>
      <c r="O39" s="16"/>
      <c r="P39" s="16"/>
      <c r="Q39" s="16">
        <v>20</v>
      </c>
      <c r="R39" s="16">
        <v>91</v>
      </c>
      <c r="S39" s="88">
        <f t="shared" si="0"/>
        <v>74.074074074074076</v>
      </c>
      <c r="T39" s="88">
        <f t="shared" si="1"/>
        <v>60.666666666666664</v>
      </c>
      <c r="U39" s="85" t="s">
        <v>1688</v>
      </c>
      <c r="V39" s="85" t="s">
        <v>1688</v>
      </c>
      <c r="W39" s="85">
        <v>6.3330000000000002</v>
      </c>
      <c r="X39" s="86">
        <f t="shared" si="2"/>
        <v>177</v>
      </c>
      <c r="Y39" t="s">
        <v>1672</v>
      </c>
      <c r="Z39" t="s">
        <v>1138</v>
      </c>
      <c r="AA39">
        <f t="shared" si="3"/>
        <v>3</v>
      </c>
      <c r="AB39">
        <v>4</v>
      </c>
      <c r="AC39" t="s">
        <v>1688</v>
      </c>
      <c r="AD39" t="s">
        <v>1688</v>
      </c>
      <c r="AE39" t="s">
        <v>1688</v>
      </c>
      <c r="AF39" t="s">
        <v>1688</v>
      </c>
      <c r="AG39" t="s">
        <v>1688</v>
      </c>
      <c r="AH39" t="s">
        <v>1688</v>
      </c>
      <c r="AI39" t="s">
        <v>1688</v>
      </c>
      <c r="AJ39" t="s">
        <v>1688</v>
      </c>
      <c r="AK39" t="s">
        <v>1688</v>
      </c>
      <c r="AL39" s="158" t="str">
        <f t="shared" si="4"/>
        <v>ns</v>
      </c>
      <c r="AM39" s="136" t="str">
        <f t="shared" si="5"/>
        <v>ns</v>
      </c>
      <c r="AN39" s="136" t="str">
        <f t="shared" si="6"/>
        <v>ns</v>
      </c>
      <c r="AO39" s="136" t="str">
        <f t="shared" si="7"/>
        <v>ns</v>
      </c>
      <c r="AP39" s="136" t="str">
        <f t="shared" si="8"/>
        <v>ns</v>
      </c>
      <c r="AQ39" s="136" t="str">
        <f t="shared" si="9"/>
        <v>ns</v>
      </c>
      <c r="AR39" s="136" t="str">
        <f t="shared" si="10"/>
        <v>ns</v>
      </c>
      <c r="AS39" s="136" t="str">
        <f t="shared" si="11"/>
        <v>ns</v>
      </c>
      <c r="AT39" s="85">
        <v>1.5</v>
      </c>
      <c r="AU39" s="86">
        <f t="shared" si="12"/>
        <v>6.3330000000000002</v>
      </c>
      <c r="AV39" s="86" t="str">
        <f t="shared" si="13"/>
        <v/>
      </c>
      <c r="AY39" s="231" t="e">
        <f>IF(ISNUMBER(M39),M39,NA())</f>
        <v>#N/A</v>
      </c>
      <c r="AZ39" s="231" t="e">
        <f t="shared" si="18"/>
        <v>#N/A</v>
      </c>
      <c r="BA39" s="231" t="e">
        <f t="shared" si="15"/>
        <v>#N/A</v>
      </c>
      <c r="BB39" s="231" t="e">
        <f t="shared" si="16"/>
        <v>#N/A</v>
      </c>
      <c r="BC39" s="231">
        <f t="shared" si="17"/>
        <v>6.3330000000000002</v>
      </c>
      <c r="BD39" s="232">
        <f>IF(ISNUMBER(S39),S39,NA())</f>
        <v>74.074074074074076</v>
      </c>
      <c r="BE39" s="232">
        <f>IF(ISNUMBER(T39),T39,NA())</f>
        <v>60.666666666666664</v>
      </c>
      <c r="BP39">
        <v>32</v>
      </c>
    </row>
    <row r="40" spans="1:68">
      <c r="A40">
        <v>33</v>
      </c>
      <c r="B40">
        <v>8929756</v>
      </c>
      <c r="C40" s="215"/>
      <c r="D40" s="141" t="s">
        <v>1826</v>
      </c>
      <c r="E40" t="s">
        <v>1647</v>
      </c>
      <c r="F40">
        <v>1995</v>
      </c>
      <c r="G40" s="1" t="s">
        <v>1648</v>
      </c>
      <c r="H40">
        <v>13</v>
      </c>
      <c r="I40">
        <v>67</v>
      </c>
      <c r="J40" t="s">
        <v>152</v>
      </c>
      <c r="K40">
        <v>1</v>
      </c>
      <c r="L40" t="s">
        <v>422</v>
      </c>
      <c r="M40" t="s">
        <v>1688</v>
      </c>
      <c r="N40" t="s">
        <v>1688</v>
      </c>
      <c r="O40" t="s">
        <v>1688</v>
      </c>
      <c r="P40" t="s">
        <v>1688</v>
      </c>
      <c r="Q40" t="s">
        <v>1688</v>
      </c>
      <c r="R40" t="s">
        <v>1688</v>
      </c>
      <c r="S40" s="88" t="str">
        <f t="shared" si="0"/>
        <v/>
      </c>
      <c r="T40" s="88" t="str">
        <f t="shared" si="1"/>
        <v/>
      </c>
      <c r="U40" t="s">
        <v>1688</v>
      </c>
      <c r="V40" t="s">
        <v>1688</v>
      </c>
      <c r="W40" t="s">
        <v>1688</v>
      </c>
      <c r="X40" s="86">
        <f t="shared" si="2"/>
        <v>80</v>
      </c>
      <c r="Y40" t="s">
        <v>2056</v>
      </c>
      <c r="Z40" s="4" t="s">
        <v>2055</v>
      </c>
      <c r="AA40">
        <f t="shared" si="3"/>
        <v>2</v>
      </c>
      <c r="AB40">
        <v>1</v>
      </c>
      <c r="AC40" t="s">
        <v>1688</v>
      </c>
      <c r="AD40" t="s">
        <v>1688</v>
      </c>
      <c r="AE40" t="s">
        <v>1688</v>
      </c>
      <c r="AF40" t="s">
        <v>1688</v>
      </c>
      <c r="AG40" t="s">
        <v>1688</v>
      </c>
      <c r="AH40" t="s">
        <v>1688</v>
      </c>
      <c r="AI40" t="s">
        <v>1688</v>
      </c>
      <c r="AJ40" t="s">
        <v>1688</v>
      </c>
      <c r="AK40" t="s">
        <v>1688</v>
      </c>
      <c r="AL40" s="158" t="str">
        <f t="shared" si="4"/>
        <v>ns</v>
      </c>
      <c r="AM40" s="136" t="str">
        <f t="shared" si="5"/>
        <v>ns</v>
      </c>
      <c r="AN40" s="136" t="str">
        <f t="shared" si="6"/>
        <v>ns</v>
      </c>
      <c r="AO40" s="136" t="str">
        <f t="shared" si="7"/>
        <v>ns</v>
      </c>
      <c r="AP40" s="136" t="str">
        <f t="shared" si="8"/>
        <v>ns</v>
      </c>
      <c r="AQ40" s="136" t="str">
        <f t="shared" si="9"/>
        <v>ns</v>
      </c>
      <c r="AR40" s="136" t="str">
        <f t="shared" si="10"/>
        <v>ns</v>
      </c>
      <c r="AS40" s="136" t="str">
        <f t="shared" si="11"/>
        <v>ns</v>
      </c>
      <c r="AU40" s="86" t="str">
        <f t="shared" si="12"/>
        <v/>
      </c>
      <c r="AV40" s="86" t="str">
        <f t="shared" ref="AV40:AV71" si="19">IF(L40="CT",W40,"")</f>
        <v>ns</v>
      </c>
      <c r="AY40" s="231" t="e">
        <f>IF(ISNUMBER(M40),M40,NA())</f>
        <v>#N/A</v>
      </c>
      <c r="AZ40" s="231" t="e">
        <f t="shared" si="18"/>
        <v>#N/A</v>
      </c>
      <c r="BA40" s="231" t="e">
        <f t="shared" si="15"/>
        <v>#N/A</v>
      </c>
      <c r="BB40" s="231" t="e">
        <f t="shared" si="16"/>
        <v>#N/A</v>
      </c>
      <c r="BC40" s="231" t="e">
        <f t="shared" si="17"/>
        <v>#N/A</v>
      </c>
      <c r="BD40" s="232" t="e">
        <f>IF(ISNUMBER(S40),S40,NA())</f>
        <v>#N/A</v>
      </c>
      <c r="BE40" s="232" t="e">
        <f>IF(ISNUMBER(T40),T40,NA())</f>
        <v>#N/A</v>
      </c>
      <c r="BP40">
        <v>33</v>
      </c>
    </row>
    <row r="41" spans="1:68">
      <c r="A41" s="13">
        <v>34</v>
      </c>
      <c r="B41">
        <v>7480387</v>
      </c>
      <c r="C41" s="215"/>
      <c r="D41" s="21" t="s">
        <v>635</v>
      </c>
      <c r="E41" t="s">
        <v>624</v>
      </c>
      <c r="F41">
        <v>1995</v>
      </c>
      <c r="G41" s="1" t="s">
        <v>1641</v>
      </c>
      <c r="H41">
        <v>34</v>
      </c>
      <c r="I41">
        <v>43</v>
      </c>
      <c r="J41" t="s">
        <v>296</v>
      </c>
      <c r="K41">
        <v>3</v>
      </c>
      <c r="L41" t="s">
        <v>422</v>
      </c>
      <c r="M41">
        <v>70.7</v>
      </c>
      <c r="N41">
        <v>6.1</v>
      </c>
      <c r="O41">
        <v>70.8</v>
      </c>
      <c r="P41">
        <v>6.8</v>
      </c>
      <c r="Q41">
        <v>28</v>
      </c>
      <c r="R41">
        <v>33</v>
      </c>
      <c r="S41" s="88">
        <f t="shared" si="0"/>
        <v>82.352941176470594</v>
      </c>
      <c r="T41" s="88">
        <f t="shared" si="1"/>
        <v>76.744186046511629</v>
      </c>
      <c r="U41" s="85" t="s">
        <v>1688</v>
      </c>
      <c r="V41" s="85">
        <v>20</v>
      </c>
      <c r="W41" s="85" t="s">
        <v>1688</v>
      </c>
      <c r="X41" s="86">
        <f t="shared" si="2"/>
        <v>77</v>
      </c>
      <c r="Y41" t="s">
        <v>830</v>
      </c>
      <c r="Z41" s="13" t="s">
        <v>2199</v>
      </c>
      <c r="AA41">
        <f t="shared" si="3"/>
        <v>12</v>
      </c>
      <c r="AB41">
        <v>4</v>
      </c>
      <c r="AC41" t="s">
        <v>1688</v>
      </c>
      <c r="AD41" t="s">
        <v>1688</v>
      </c>
      <c r="AE41" t="s">
        <v>1688</v>
      </c>
      <c r="AF41" t="s">
        <v>1688</v>
      </c>
      <c r="AG41" t="s">
        <v>1688</v>
      </c>
      <c r="AH41" t="s">
        <v>1688</v>
      </c>
      <c r="AI41" t="s">
        <v>1688</v>
      </c>
      <c r="AJ41" t="s">
        <v>1688</v>
      </c>
      <c r="AK41" t="s">
        <v>1688</v>
      </c>
      <c r="AL41" s="158" t="str">
        <f t="shared" si="4"/>
        <v>ns</v>
      </c>
      <c r="AM41" s="136" t="str">
        <f t="shared" si="5"/>
        <v>ns</v>
      </c>
      <c r="AN41" s="136" t="str">
        <f t="shared" si="6"/>
        <v>ns</v>
      </c>
      <c r="AO41" s="136" t="str">
        <f t="shared" si="7"/>
        <v>ns</v>
      </c>
      <c r="AP41" s="136" t="str">
        <f t="shared" si="8"/>
        <v>ns</v>
      </c>
      <c r="AQ41" s="136" t="str">
        <f t="shared" si="9"/>
        <v>ns</v>
      </c>
      <c r="AR41" s="136" t="str">
        <f t="shared" si="10"/>
        <v>ns</v>
      </c>
      <c r="AS41" s="136" t="str">
        <f t="shared" si="11"/>
        <v>ns</v>
      </c>
      <c r="AT41" s="85"/>
      <c r="AU41" s="86" t="str">
        <f t="shared" si="12"/>
        <v/>
      </c>
      <c r="AV41" s="86" t="str">
        <f t="shared" si="19"/>
        <v>ns</v>
      </c>
      <c r="AY41" s="231">
        <f>IF(ISNUMBER(M41),M41,NA())</f>
        <v>70.7</v>
      </c>
      <c r="AZ41" s="231">
        <f t="shared" si="18"/>
        <v>6.1</v>
      </c>
      <c r="BA41" s="231">
        <f t="shared" si="15"/>
        <v>70.8</v>
      </c>
      <c r="BB41" s="231">
        <f t="shared" si="16"/>
        <v>6.8</v>
      </c>
      <c r="BC41" s="231" t="e">
        <f t="shared" si="17"/>
        <v>#N/A</v>
      </c>
      <c r="BD41" s="232">
        <f>IF(ISNUMBER(S41),S41,NA())</f>
        <v>82.352941176470594</v>
      </c>
      <c r="BE41" s="232">
        <f>IF(ISNUMBER(T41),T41,NA())</f>
        <v>76.744186046511629</v>
      </c>
      <c r="BP41">
        <v>34</v>
      </c>
    </row>
    <row r="42" spans="1:68">
      <c r="A42">
        <v>35</v>
      </c>
      <c r="B42">
        <v>8876012</v>
      </c>
      <c r="C42" s="215"/>
      <c r="D42" s="141" t="s">
        <v>1825</v>
      </c>
      <c r="E42" t="s">
        <v>1646</v>
      </c>
      <c r="F42">
        <v>1996</v>
      </c>
      <c r="G42" s="1" t="s">
        <v>1645</v>
      </c>
      <c r="H42">
        <v>24</v>
      </c>
      <c r="I42">
        <v>40</v>
      </c>
      <c r="J42" t="s">
        <v>296</v>
      </c>
      <c r="K42">
        <v>3</v>
      </c>
      <c r="L42" t="s">
        <v>422</v>
      </c>
      <c r="M42">
        <v>38.700000000000003</v>
      </c>
      <c r="N42">
        <v>12.8</v>
      </c>
      <c r="O42">
        <v>33.299999999999997</v>
      </c>
      <c r="P42">
        <v>10.4</v>
      </c>
      <c r="Q42">
        <v>16</v>
      </c>
      <c r="R42">
        <v>23</v>
      </c>
      <c r="S42" s="88">
        <f t="shared" si="0"/>
        <v>66.666666666666671</v>
      </c>
      <c r="T42" s="88">
        <f t="shared" si="1"/>
        <v>57.5</v>
      </c>
      <c r="U42">
        <v>29.7</v>
      </c>
      <c r="V42" t="s">
        <v>1688</v>
      </c>
      <c r="W42">
        <v>8</v>
      </c>
      <c r="X42" s="86">
        <f t="shared" si="2"/>
        <v>64</v>
      </c>
      <c r="Y42" t="s">
        <v>1443</v>
      </c>
      <c r="Z42" t="s">
        <v>859</v>
      </c>
      <c r="AA42">
        <f t="shared" si="3"/>
        <v>2</v>
      </c>
      <c r="AB42">
        <v>4</v>
      </c>
      <c r="AC42" t="s">
        <v>1688</v>
      </c>
      <c r="AD42" t="s">
        <v>1688</v>
      </c>
      <c r="AE42" t="s">
        <v>1688</v>
      </c>
      <c r="AF42" t="s">
        <v>1688</v>
      </c>
      <c r="AG42" t="s">
        <v>1688</v>
      </c>
      <c r="AH42" t="s">
        <v>1688</v>
      </c>
      <c r="AI42" t="s">
        <v>1688</v>
      </c>
      <c r="AJ42" t="s">
        <v>1688</v>
      </c>
      <c r="AK42" t="s">
        <v>1688</v>
      </c>
      <c r="AL42" s="158" t="str">
        <f t="shared" si="4"/>
        <v>ns</v>
      </c>
      <c r="AM42" s="136" t="str">
        <f t="shared" si="5"/>
        <v>ns</v>
      </c>
      <c r="AN42" s="136" t="str">
        <f t="shared" si="6"/>
        <v>ns</v>
      </c>
      <c r="AO42" s="136" t="str">
        <f t="shared" si="7"/>
        <v>ns</v>
      </c>
      <c r="AP42" s="136" t="str">
        <f t="shared" si="8"/>
        <v>ns</v>
      </c>
      <c r="AQ42" s="136" t="str">
        <f t="shared" si="9"/>
        <v>ns</v>
      </c>
      <c r="AR42" s="136" t="str">
        <f t="shared" si="10"/>
        <v>ns</v>
      </c>
      <c r="AS42" s="136" t="str">
        <f t="shared" si="11"/>
        <v>ns</v>
      </c>
      <c r="AU42" s="86" t="str">
        <f t="shared" si="12"/>
        <v/>
      </c>
      <c r="AV42" s="86">
        <f t="shared" si="19"/>
        <v>8</v>
      </c>
      <c r="AY42" s="231">
        <f>IF(ISNUMBER(M42),M42,NA())</f>
        <v>38.700000000000003</v>
      </c>
      <c r="AZ42" s="231">
        <f t="shared" si="18"/>
        <v>12.8</v>
      </c>
      <c r="BA42" s="231">
        <f t="shared" si="15"/>
        <v>33.299999999999997</v>
      </c>
      <c r="BB42" s="231">
        <f t="shared" si="16"/>
        <v>10.4</v>
      </c>
      <c r="BC42" s="231">
        <f t="shared" si="17"/>
        <v>8</v>
      </c>
      <c r="BD42" s="232">
        <f>IF(ISNUMBER(S42),S42,NA())</f>
        <v>66.666666666666671</v>
      </c>
      <c r="BE42" s="232">
        <f>IF(ISNUMBER(T42),T42,NA())</f>
        <v>57.5</v>
      </c>
      <c r="BP42">
        <v>35</v>
      </c>
    </row>
    <row r="43" spans="1:68">
      <c r="A43" s="13">
        <v>36</v>
      </c>
      <c r="B43">
        <v>8780429</v>
      </c>
      <c r="C43" s="215"/>
      <c r="D43" s="9" t="s">
        <v>892</v>
      </c>
      <c r="E43" s="18" t="s">
        <v>1753</v>
      </c>
      <c r="F43" s="16">
        <v>1996</v>
      </c>
      <c r="G43" s="84" t="s">
        <v>1325</v>
      </c>
      <c r="H43" s="16">
        <v>48</v>
      </c>
      <c r="I43" s="16">
        <v>39</v>
      </c>
      <c r="J43" s="85" t="s">
        <v>296</v>
      </c>
      <c r="K43" s="85">
        <v>3</v>
      </c>
      <c r="L43" s="16" t="s">
        <v>1119</v>
      </c>
      <c r="M43" s="16">
        <v>74.599999999999994</v>
      </c>
      <c r="N43" s="16">
        <v>6.1</v>
      </c>
      <c r="O43" s="16">
        <v>72.599999999999994</v>
      </c>
      <c r="P43" s="16">
        <v>6.4</v>
      </c>
      <c r="Q43" s="16">
        <v>33</v>
      </c>
      <c r="R43" s="16">
        <v>20</v>
      </c>
      <c r="S43" s="88">
        <f t="shared" si="0"/>
        <v>68.75</v>
      </c>
      <c r="T43" s="88">
        <f t="shared" si="1"/>
        <v>51.282051282051285</v>
      </c>
      <c r="U43" s="85">
        <v>62.4</v>
      </c>
      <c r="V43" s="85">
        <v>25.9</v>
      </c>
      <c r="W43" s="85">
        <v>10</v>
      </c>
      <c r="X43" s="86">
        <f t="shared" si="2"/>
        <v>87</v>
      </c>
      <c r="Y43" s="13" t="s">
        <v>1287</v>
      </c>
      <c r="Z43" t="s">
        <v>978</v>
      </c>
      <c r="AA43">
        <f t="shared" si="3"/>
        <v>1</v>
      </c>
      <c r="AB43">
        <v>4</v>
      </c>
      <c r="AC43" t="s">
        <v>1688</v>
      </c>
      <c r="AD43" t="s">
        <v>1688</v>
      </c>
      <c r="AE43" t="s">
        <v>1688</v>
      </c>
      <c r="AF43" t="s">
        <v>1688</v>
      </c>
      <c r="AG43" t="s">
        <v>1688</v>
      </c>
      <c r="AH43" t="s">
        <v>1688</v>
      </c>
      <c r="AI43" t="s">
        <v>1688</v>
      </c>
      <c r="AJ43" t="s">
        <v>1688</v>
      </c>
      <c r="AK43" t="s">
        <v>1688</v>
      </c>
      <c r="AL43" s="158" t="str">
        <f t="shared" si="4"/>
        <v>ns</v>
      </c>
      <c r="AM43" s="136" t="str">
        <f t="shared" si="5"/>
        <v>ns</v>
      </c>
      <c r="AN43" s="136" t="str">
        <f t="shared" si="6"/>
        <v>ns</v>
      </c>
      <c r="AO43" s="136" t="str">
        <f t="shared" si="7"/>
        <v>ns</v>
      </c>
      <c r="AP43" s="136" t="str">
        <f t="shared" si="8"/>
        <v>ns</v>
      </c>
      <c r="AQ43" s="136" t="str">
        <f t="shared" si="9"/>
        <v>ns</v>
      </c>
      <c r="AR43" s="136" t="str">
        <f t="shared" si="10"/>
        <v>ns</v>
      </c>
      <c r="AS43" s="136" t="str">
        <f t="shared" si="11"/>
        <v>ns</v>
      </c>
      <c r="AT43" s="85">
        <v>1</v>
      </c>
      <c r="AU43" s="86">
        <f t="shared" si="12"/>
        <v>10</v>
      </c>
      <c r="AV43" s="86" t="str">
        <f t="shared" si="19"/>
        <v/>
      </c>
      <c r="AY43" s="231">
        <f>IF(ISNUMBER(M43),M43,NA())</f>
        <v>74.599999999999994</v>
      </c>
      <c r="AZ43" s="231">
        <f t="shared" si="18"/>
        <v>6.1</v>
      </c>
      <c r="BA43" s="231">
        <f t="shared" si="15"/>
        <v>72.599999999999994</v>
      </c>
      <c r="BB43" s="231">
        <f t="shared" si="16"/>
        <v>6.4</v>
      </c>
      <c r="BC43" s="231">
        <f t="shared" si="17"/>
        <v>10</v>
      </c>
      <c r="BD43" s="232">
        <f>IF(ISNUMBER(S43),S43,NA())</f>
        <v>68.75</v>
      </c>
      <c r="BE43" s="232">
        <f>IF(ISNUMBER(T43),T43,NA())</f>
        <v>51.282051282051285</v>
      </c>
      <c r="BP43">
        <v>36</v>
      </c>
    </row>
    <row r="44" spans="1:68">
      <c r="A44">
        <v>37</v>
      </c>
      <c r="B44">
        <v>8723302</v>
      </c>
      <c r="C44" s="215"/>
      <c r="D44" s="9" t="s">
        <v>613</v>
      </c>
      <c r="E44" s="18" t="s">
        <v>1684</v>
      </c>
      <c r="F44" s="16">
        <v>1996</v>
      </c>
      <c r="G44" s="84" t="s">
        <v>1326</v>
      </c>
      <c r="H44" s="16">
        <v>19</v>
      </c>
      <c r="I44" s="16">
        <v>19</v>
      </c>
      <c r="J44" s="85" t="s">
        <v>296</v>
      </c>
      <c r="K44" s="85">
        <v>3</v>
      </c>
      <c r="L44" s="16" t="s">
        <v>1119</v>
      </c>
      <c r="M44" s="16">
        <v>67</v>
      </c>
      <c r="N44" s="16">
        <v>5.6</v>
      </c>
      <c r="O44" s="16">
        <v>64.2</v>
      </c>
      <c r="P44" s="16">
        <v>8.3000000000000007</v>
      </c>
      <c r="Q44" s="16">
        <v>16</v>
      </c>
      <c r="R44" s="16">
        <v>16</v>
      </c>
      <c r="S44" s="88">
        <f t="shared" si="0"/>
        <v>84.21052631578948</v>
      </c>
      <c r="T44" s="88">
        <f t="shared" si="1"/>
        <v>84.21052631578948</v>
      </c>
      <c r="U44" s="85">
        <v>53.8</v>
      </c>
      <c r="V44" s="85" t="s">
        <v>1688</v>
      </c>
      <c r="W44" s="85" t="s">
        <v>1688</v>
      </c>
      <c r="X44" s="86">
        <f t="shared" si="2"/>
        <v>38</v>
      </c>
      <c r="Y44" s="13" t="s">
        <v>1171</v>
      </c>
      <c r="Z44" t="s">
        <v>978</v>
      </c>
      <c r="AA44">
        <f t="shared" si="3"/>
        <v>1</v>
      </c>
      <c r="AB44">
        <v>4</v>
      </c>
      <c r="AC44" t="s">
        <v>1688</v>
      </c>
      <c r="AD44" t="s">
        <v>1688</v>
      </c>
      <c r="AE44" t="s">
        <v>1688</v>
      </c>
      <c r="AF44" t="s">
        <v>1688</v>
      </c>
      <c r="AG44" t="s">
        <v>1688</v>
      </c>
      <c r="AH44" t="s">
        <v>1688</v>
      </c>
      <c r="AI44" t="s">
        <v>1688</v>
      </c>
      <c r="AJ44" t="s">
        <v>1688</v>
      </c>
      <c r="AK44" t="s">
        <v>1688</v>
      </c>
      <c r="AL44" s="158" t="str">
        <f t="shared" si="4"/>
        <v>ns</v>
      </c>
      <c r="AM44" s="136" t="str">
        <f t="shared" si="5"/>
        <v>ns</v>
      </c>
      <c r="AN44" s="136" t="str">
        <f t="shared" si="6"/>
        <v>ns</v>
      </c>
      <c r="AO44" s="136" t="str">
        <f t="shared" si="7"/>
        <v>ns</v>
      </c>
      <c r="AP44" s="136" t="str">
        <f t="shared" si="8"/>
        <v>ns</v>
      </c>
      <c r="AQ44" s="136" t="str">
        <f t="shared" si="9"/>
        <v>ns</v>
      </c>
      <c r="AR44" s="136" t="str">
        <f t="shared" si="10"/>
        <v>ns</v>
      </c>
      <c r="AS44" s="136" t="str">
        <f t="shared" si="11"/>
        <v>ns</v>
      </c>
      <c r="AT44" s="85">
        <v>1</v>
      </c>
      <c r="AU44" s="86" t="str">
        <f t="shared" si="12"/>
        <v/>
      </c>
      <c r="AV44" s="86" t="str">
        <f t="shared" si="19"/>
        <v/>
      </c>
      <c r="AY44" s="231">
        <f>IF(ISNUMBER(M44),M44,NA())</f>
        <v>67</v>
      </c>
      <c r="AZ44" s="231">
        <f t="shared" si="18"/>
        <v>5.6</v>
      </c>
      <c r="BA44" s="231">
        <f t="shared" si="15"/>
        <v>64.2</v>
      </c>
      <c r="BB44" s="231">
        <f t="shared" si="16"/>
        <v>8.3000000000000007</v>
      </c>
      <c r="BC44" s="231" t="e">
        <f t="shared" si="17"/>
        <v>#N/A</v>
      </c>
      <c r="BD44" s="232">
        <f>IF(ISNUMBER(S44),S44,NA())</f>
        <v>84.21052631578948</v>
      </c>
      <c r="BE44" s="232">
        <f>IF(ISNUMBER(T44),T44,NA())</f>
        <v>84.21052631578948</v>
      </c>
      <c r="BP44">
        <v>37</v>
      </c>
    </row>
    <row r="45" spans="1:68">
      <c r="A45" s="13">
        <v>38</v>
      </c>
      <c r="B45">
        <v>8831435</v>
      </c>
      <c r="C45" s="215"/>
      <c r="D45" s="9" t="s">
        <v>1486</v>
      </c>
      <c r="E45" s="18" t="s">
        <v>406</v>
      </c>
      <c r="F45" s="16">
        <v>1996</v>
      </c>
      <c r="G45" s="84" t="s">
        <v>1326</v>
      </c>
      <c r="H45" s="16">
        <v>95</v>
      </c>
      <c r="I45" s="16">
        <v>165</v>
      </c>
      <c r="J45" s="85" t="s">
        <v>296</v>
      </c>
      <c r="K45" s="85">
        <v>3</v>
      </c>
      <c r="L45" s="16" t="s">
        <v>1119</v>
      </c>
      <c r="M45" s="16" t="s">
        <v>1688</v>
      </c>
      <c r="N45" s="16" t="s">
        <v>1688</v>
      </c>
      <c r="O45" s="16">
        <v>64.400000000000006</v>
      </c>
      <c r="P45" s="16">
        <v>9.6</v>
      </c>
      <c r="Q45" s="16">
        <v>48</v>
      </c>
      <c r="R45" s="16">
        <v>107</v>
      </c>
      <c r="S45" s="88">
        <f t="shared" si="0"/>
        <v>50.526315789473685</v>
      </c>
      <c r="T45" s="88">
        <f t="shared" si="1"/>
        <v>64.848484848484844</v>
      </c>
      <c r="U45" s="85" t="s">
        <v>1688</v>
      </c>
      <c r="V45" s="85" t="s">
        <v>1688</v>
      </c>
      <c r="W45" s="85">
        <v>10</v>
      </c>
      <c r="X45" s="86">
        <f t="shared" si="2"/>
        <v>260</v>
      </c>
      <c r="Y45" t="s">
        <v>1827</v>
      </c>
      <c r="Z45" t="s">
        <v>978</v>
      </c>
      <c r="AA45">
        <f t="shared" si="3"/>
        <v>1</v>
      </c>
      <c r="AB45">
        <v>4</v>
      </c>
      <c r="AC45">
        <v>0</v>
      </c>
      <c r="AD45">
        <v>0</v>
      </c>
      <c r="AE45">
        <v>0</v>
      </c>
      <c r="AF45">
        <v>0</v>
      </c>
      <c r="AG45">
        <v>0</v>
      </c>
      <c r="AH45">
        <v>0</v>
      </c>
      <c r="AI45">
        <v>0</v>
      </c>
      <c r="AJ45">
        <v>95</v>
      </c>
      <c r="AK45">
        <v>0</v>
      </c>
      <c r="AL45" s="158">
        <f t="shared" si="4"/>
        <v>0</v>
      </c>
      <c r="AM45" s="136">
        <f t="shared" si="5"/>
        <v>0</v>
      </c>
      <c r="AN45" s="136">
        <f t="shared" si="6"/>
        <v>0</v>
      </c>
      <c r="AO45" s="136">
        <f t="shared" si="7"/>
        <v>0</v>
      </c>
      <c r="AP45" s="136">
        <f t="shared" si="8"/>
        <v>0</v>
      </c>
      <c r="AQ45" s="136">
        <f t="shared" si="9"/>
        <v>0</v>
      </c>
      <c r="AR45" s="136">
        <f t="shared" si="10"/>
        <v>0</v>
      </c>
      <c r="AS45" s="136">
        <f t="shared" si="11"/>
        <v>100</v>
      </c>
      <c r="AT45" s="85">
        <v>1.5</v>
      </c>
      <c r="AU45" s="86">
        <f t="shared" si="12"/>
        <v>10</v>
      </c>
      <c r="AV45" s="86" t="str">
        <f t="shared" si="19"/>
        <v/>
      </c>
      <c r="AY45" s="231" t="e">
        <f>IF(ISNUMBER(M45),M45,NA())</f>
        <v>#N/A</v>
      </c>
      <c r="AZ45" s="231" t="e">
        <f t="shared" si="18"/>
        <v>#N/A</v>
      </c>
      <c r="BA45" s="231">
        <f t="shared" si="15"/>
        <v>64.400000000000006</v>
      </c>
      <c r="BB45" s="231">
        <f t="shared" si="16"/>
        <v>9.6</v>
      </c>
      <c r="BC45" s="231">
        <f t="shared" si="17"/>
        <v>10</v>
      </c>
      <c r="BD45" s="232">
        <f>IF(ISNUMBER(S45),S45,NA())</f>
        <v>50.526315789473685</v>
      </c>
      <c r="BE45" s="232">
        <f>IF(ISNUMBER(T45),T45,NA())</f>
        <v>64.848484848484844</v>
      </c>
      <c r="BP45">
        <v>38</v>
      </c>
    </row>
    <row r="46" spans="1:68">
      <c r="A46">
        <v>39</v>
      </c>
      <c r="B46">
        <v>8886297</v>
      </c>
      <c r="C46" s="215"/>
      <c r="D46" s="90" t="s">
        <v>667</v>
      </c>
      <c r="E46" t="s">
        <v>623</v>
      </c>
      <c r="F46">
        <v>1996</v>
      </c>
      <c r="G46" s="1" t="s">
        <v>1423</v>
      </c>
      <c r="H46">
        <v>11</v>
      </c>
      <c r="I46">
        <v>11</v>
      </c>
      <c r="J46" s="13" t="s">
        <v>296</v>
      </c>
      <c r="K46" s="13">
        <v>3</v>
      </c>
      <c r="L46" t="s">
        <v>422</v>
      </c>
      <c r="M46">
        <v>64.8</v>
      </c>
      <c r="N46">
        <v>7.3</v>
      </c>
      <c r="O46">
        <v>66.5</v>
      </c>
      <c r="P46">
        <v>4.3</v>
      </c>
      <c r="Q46">
        <v>0</v>
      </c>
      <c r="R46">
        <v>0</v>
      </c>
      <c r="S46" s="88">
        <f t="shared" si="0"/>
        <v>0</v>
      </c>
      <c r="T46" s="88">
        <f t="shared" si="1"/>
        <v>0</v>
      </c>
      <c r="U46" t="s">
        <v>1688</v>
      </c>
      <c r="V46" t="s">
        <v>1688</v>
      </c>
      <c r="W46" t="s">
        <v>1688</v>
      </c>
      <c r="X46" s="86">
        <f t="shared" si="2"/>
        <v>22</v>
      </c>
      <c r="Y46" t="s">
        <v>323</v>
      </c>
      <c r="Z46" t="s">
        <v>664</v>
      </c>
      <c r="AA46">
        <f t="shared" si="3"/>
        <v>3</v>
      </c>
      <c r="AB46">
        <v>4</v>
      </c>
      <c r="AC46">
        <v>0</v>
      </c>
      <c r="AD46">
        <v>0</v>
      </c>
      <c r="AE46">
        <v>0</v>
      </c>
      <c r="AF46">
        <v>0</v>
      </c>
      <c r="AG46">
        <v>0</v>
      </c>
      <c r="AH46" t="s">
        <v>1688</v>
      </c>
      <c r="AI46">
        <v>0</v>
      </c>
      <c r="AJ46" t="s">
        <v>1688</v>
      </c>
      <c r="AK46" t="s">
        <v>2237</v>
      </c>
      <c r="AL46" s="158">
        <f t="shared" si="4"/>
        <v>0</v>
      </c>
      <c r="AM46" s="136">
        <f t="shared" si="5"/>
        <v>0</v>
      </c>
      <c r="AN46" s="136">
        <f t="shared" si="6"/>
        <v>0</v>
      </c>
      <c r="AO46" s="136">
        <f t="shared" si="7"/>
        <v>0</v>
      </c>
      <c r="AP46" s="136">
        <f t="shared" si="8"/>
        <v>0</v>
      </c>
      <c r="AQ46" s="136" t="str">
        <f t="shared" si="9"/>
        <v>ns</v>
      </c>
      <c r="AR46" s="136">
        <f t="shared" si="10"/>
        <v>0</v>
      </c>
      <c r="AS46" s="136" t="str">
        <f t="shared" si="11"/>
        <v>ns</v>
      </c>
      <c r="AU46" s="86" t="str">
        <f t="shared" si="12"/>
        <v/>
      </c>
      <c r="AV46" s="86" t="str">
        <f t="shared" si="19"/>
        <v>ns</v>
      </c>
      <c r="AY46" s="231">
        <f>IF(ISNUMBER(M46),M46,NA())</f>
        <v>64.8</v>
      </c>
      <c r="AZ46" s="231">
        <f t="shared" si="18"/>
        <v>7.3</v>
      </c>
      <c r="BA46" s="231">
        <f t="shared" si="15"/>
        <v>66.5</v>
      </c>
      <c r="BB46" s="231">
        <f t="shared" si="16"/>
        <v>4.3</v>
      </c>
      <c r="BC46" s="231" t="e">
        <f t="shared" si="17"/>
        <v>#N/A</v>
      </c>
      <c r="BD46" s="232">
        <f>IF(ISNUMBER(S46),S46,NA())</f>
        <v>0</v>
      </c>
      <c r="BE46" s="232">
        <f>IF(ISNUMBER(T46),T46,NA())</f>
        <v>0</v>
      </c>
      <c r="BP46">
        <v>39</v>
      </c>
    </row>
    <row r="47" spans="1:68">
      <c r="A47" s="13">
        <v>40</v>
      </c>
      <c r="B47">
        <v>8632988</v>
      </c>
      <c r="C47" s="215"/>
      <c r="D47" s="9" t="s">
        <v>804</v>
      </c>
      <c r="E47" s="18" t="s">
        <v>1758</v>
      </c>
      <c r="F47" s="16">
        <v>1996</v>
      </c>
      <c r="G47" s="84" t="s">
        <v>746</v>
      </c>
      <c r="H47" s="16">
        <v>10</v>
      </c>
      <c r="I47" s="16">
        <v>10</v>
      </c>
      <c r="J47" s="85" t="s">
        <v>151</v>
      </c>
      <c r="K47" s="85">
        <v>4</v>
      </c>
      <c r="L47" s="16" t="s">
        <v>1119</v>
      </c>
      <c r="M47" s="16">
        <v>68.5</v>
      </c>
      <c r="N47" s="16">
        <v>10.4</v>
      </c>
      <c r="O47" s="16">
        <v>68</v>
      </c>
      <c r="P47" s="16">
        <v>9.5</v>
      </c>
      <c r="Q47" s="16">
        <v>10</v>
      </c>
      <c r="R47" s="16">
        <v>10</v>
      </c>
      <c r="S47" s="88">
        <f t="shared" si="0"/>
        <v>100</v>
      </c>
      <c r="T47" s="88">
        <f t="shared" si="1"/>
        <v>100</v>
      </c>
      <c r="U47" s="85" t="s">
        <v>1688</v>
      </c>
      <c r="V47" s="85" t="s">
        <v>1688</v>
      </c>
      <c r="W47" s="85">
        <v>1.25</v>
      </c>
      <c r="X47" s="86">
        <f t="shared" si="2"/>
        <v>20</v>
      </c>
      <c r="Y47" t="s">
        <v>1308</v>
      </c>
      <c r="Z47" t="s">
        <v>1353</v>
      </c>
      <c r="AA47">
        <f t="shared" si="3"/>
        <v>5</v>
      </c>
      <c r="AB47">
        <v>5</v>
      </c>
      <c r="AC47">
        <v>8</v>
      </c>
      <c r="AD47">
        <v>3</v>
      </c>
      <c r="AE47">
        <v>3</v>
      </c>
      <c r="AG47">
        <v>2</v>
      </c>
      <c r="AL47" s="158">
        <f t="shared" si="4"/>
        <v>80</v>
      </c>
      <c r="AM47" s="136">
        <f t="shared" si="5"/>
        <v>30</v>
      </c>
      <c r="AN47" s="136">
        <f t="shared" si="6"/>
        <v>30</v>
      </c>
      <c r="AO47" s="136" t="str">
        <f t="shared" si="7"/>
        <v/>
      </c>
      <c r="AP47" s="136">
        <f t="shared" si="8"/>
        <v>20</v>
      </c>
      <c r="AQ47" s="136" t="str">
        <f t="shared" si="9"/>
        <v/>
      </c>
      <c r="AR47" s="136" t="str">
        <f t="shared" si="10"/>
        <v/>
      </c>
      <c r="AS47" s="136" t="str">
        <f t="shared" si="11"/>
        <v/>
      </c>
      <c r="AT47" s="85">
        <v>1.5</v>
      </c>
      <c r="AU47" s="86">
        <f t="shared" si="12"/>
        <v>1.25</v>
      </c>
      <c r="AV47" s="86" t="str">
        <f t="shared" si="19"/>
        <v/>
      </c>
      <c r="AY47" s="231">
        <f>IF(ISNUMBER(M47),M47,NA())</f>
        <v>68.5</v>
      </c>
      <c r="AZ47" s="231">
        <f t="shared" si="18"/>
        <v>10.4</v>
      </c>
      <c r="BA47" s="231">
        <f t="shared" si="15"/>
        <v>68</v>
      </c>
      <c r="BB47" s="231">
        <f t="shared" si="16"/>
        <v>9.5</v>
      </c>
      <c r="BC47" s="231">
        <f t="shared" si="17"/>
        <v>1.25</v>
      </c>
      <c r="BD47" s="232">
        <f>IF(ISNUMBER(S47),S47,NA())</f>
        <v>100</v>
      </c>
      <c r="BE47" s="232">
        <f>IF(ISNUMBER(T47),T47,NA())</f>
        <v>100</v>
      </c>
      <c r="BP47">
        <v>40</v>
      </c>
    </row>
    <row r="48" spans="1:68">
      <c r="A48">
        <v>41</v>
      </c>
      <c r="B48">
        <v>8685300</v>
      </c>
      <c r="C48" s="215"/>
      <c r="D48" s="9" t="s">
        <v>458</v>
      </c>
      <c r="E48" s="18" t="s">
        <v>149</v>
      </c>
      <c r="F48" s="16">
        <v>1996</v>
      </c>
      <c r="G48" s="1" t="s">
        <v>2321</v>
      </c>
      <c r="H48" s="16">
        <v>44</v>
      </c>
      <c r="I48" s="16">
        <v>92</v>
      </c>
      <c r="J48" s="85" t="s">
        <v>296</v>
      </c>
      <c r="K48" s="85">
        <v>3</v>
      </c>
      <c r="L48" s="16" t="s">
        <v>1119</v>
      </c>
      <c r="M48" s="16">
        <v>43.4</v>
      </c>
      <c r="N48" s="16">
        <v>13.7</v>
      </c>
      <c r="O48" s="16">
        <v>38.799999999999997</v>
      </c>
      <c r="P48" s="16">
        <v>14</v>
      </c>
      <c r="Q48" s="16">
        <v>26</v>
      </c>
      <c r="R48" s="16">
        <v>58</v>
      </c>
      <c r="S48" s="88">
        <f t="shared" si="0"/>
        <v>59.090909090909093</v>
      </c>
      <c r="T48" s="88">
        <f t="shared" si="1"/>
        <v>63.043478260869563</v>
      </c>
      <c r="U48" s="205" t="s">
        <v>1688</v>
      </c>
      <c r="V48" s="205" t="s">
        <v>1688</v>
      </c>
      <c r="W48" s="205">
        <v>5</v>
      </c>
      <c r="X48" s="86">
        <f t="shared" si="2"/>
        <v>136</v>
      </c>
      <c r="Y48" t="s">
        <v>565</v>
      </c>
      <c r="Z48" t="s">
        <v>928</v>
      </c>
      <c r="AA48">
        <f t="shared" si="3"/>
        <v>1</v>
      </c>
      <c r="AB48">
        <v>4</v>
      </c>
      <c r="AC48" t="s">
        <v>1688</v>
      </c>
      <c r="AD48" t="s">
        <v>1688</v>
      </c>
      <c r="AE48" t="s">
        <v>1688</v>
      </c>
      <c r="AF48" t="s">
        <v>1688</v>
      </c>
      <c r="AG48" t="s">
        <v>1688</v>
      </c>
      <c r="AH48" t="s">
        <v>1688</v>
      </c>
      <c r="AI48" t="s">
        <v>1688</v>
      </c>
      <c r="AJ48" t="s">
        <v>1688</v>
      </c>
      <c r="AK48" t="s">
        <v>1688</v>
      </c>
      <c r="AL48" s="158" t="str">
        <f t="shared" si="4"/>
        <v>ns</v>
      </c>
      <c r="AM48" s="136" t="str">
        <f t="shared" si="5"/>
        <v>ns</v>
      </c>
      <c r="AN48" s="136" t="str">
        <f t="shared" si="6"/>
        <v>ns</v>
      </c>
      <c r="AO48" s="136" t="str">
        <f t="shared" si="7"/>
        <v>ns</v>
      </c>
      <c r="AP48" s="136" t="str">
        <f t="shared" si="8"/>
        <v>ns</v>
      </c>
      <c r="AQ48" s="136" t="str">
        <f t="shared" si="9"/>
        <v>ns</v>
      </c>
      <c r="AR48" s="136" t="str">
        <f t="shared" si="10"/>
        <v>ns</v>
      </c>
      <c r="AS48" s="136" t="str">
        <f t="shared" si="11"/>
        <v>ns</v>
      </c>
      <c r="AT48" s="205">
        <v>1.5</v>
      </c>
      <c r="AU48" s="86">
        <f t="shared" si="12"/>
        <v>5</v>
      </c>
      <c r="AV48" s="86" t="str">
        <f t="shared" si="19"/>
        <v/>
      </c>
      <c r="AY48" s="231">
        <f>IF(ISNUMBER(M48),M48,NA())</f>
        <v>43.4</v>
      </c>
      <c r="AZ48" s="231">
        <f t="shared" si="18"/>
        <v>13.7</v>
      </c>
      <c r="BA48" s="231">
        <f t="shared" si="15"/>
        <v>38.799999999999997</v>
      </c>
      <c r="BB48" s="231">
        <f t="shared" si="16"/>
        <v>14</v>
      </c>
      <c r="BC48" s="231">
        <f t="shared" si="17"/>
        <v>5</v>
      </c>
      <c r="BD48" s="232">
        <f>IF(ISNUMBER(S48),S48,NA())</f>
        <v>59.090909090909093</v>
      </c>
      <c r="BE48" s="232">
        <f>IF(ISNUMBER(T48),T48,NA())</f>
        <v>63.043478260869563</v>
      </c>
      <c r="BP48">
        <v>41</v>
      </c>
    </row>
    <row r="49" spans="1:68">
      <c r="A49" s="13">
        <v>42</v>
      </c>
      <c r="B49">
        <v>9298431</v>
      </c>
      <c r="C49" s="215"/>
      <c r="D49" s="21" t="s">
        <v>850</v>
      </c>
      <c r="E49" t="s">
        <v>622</v>
      </c>
      <c r="F49">
        <v>1997</v>
      </c>
      <c r="G49" s="1" t="s">
        <v>1422</v>
      </c>
      <c r="H49">
        <v>23</v>
      </c>
      <c r="I49">
        <v>56</v>
      </c>
      <c r="J49" s="13" t="s">
        <v>53</v>
      </c>
      <c r="K49" s="13"/>
      <c r="L49" t="s">
        <v>422</v>
      </c>
      <c r="M49">
        <v>51.09</v>
      </c>
      <c r="N49">
        <v>6.69</v>
      </c>
      <c r="O49">
        <v>41.04</v>
      </c>
      <c r="P49">
        <v>10.82</v>
      </c>
      <c r="Q49">
        <v>17</v>
      </c>
      <c r="R49">
        <v>37</v>
      </c>
      <c r="S49" s="88">
        <f t="shared" si="0"/>
        <v>73.913043478260875</v>
      </c>
      <c r="T49" s="88">
        <f t="shared" si="1"/>
        <v>66.071428571428569</v>
      </c>
      <c r="U49" t="s">
        <v>1688</v>
      </c>
      <c r="V49" t="s">
        <v>1688</v>
      </c>
      <c r="W49">
        <v>9</v>
      </c>
      <c r="X49" s="86">
        <f t="shared" si="2"/>
        <v>79</v>
      </c>
      <c r="Y49" t="s">
        <v>310</v>
      </c>
      <c r="Z49" t="s">
        <v>311</v>
      </c>
      <c r="AA49">
        <f t="shared" si="3"/>
        <v>4</v>
      </c>
      <c r="AB49">
        <v>6</v>
      </c>
      <c r="AC49" t="s">
        <v>1688</v>
      </c>
      <c r="AD49" t="s">
        <v>1688</v>
      </c>
      <c r="AE49" t="s">
        <v>1688</v>
      </c>
      <c r="AF49" t="s">
        <v>1688</v>
      </c>
      <c r="AG49" t="s">
        <v>1688</v>
      </c>
      <c r="AH49" t="s">
        <v>1688</v>
      </c>
      <c r="AI49" t="s">
        <v>1688</v>
      </c>
      <c r="AJ49" t="s">
        <v>1688</v>
      </c>
      <c r="AK49" t="s">
        <v>1688</v>
      </c>
      <c r="AL49" s="158" t="str">
        <f t="shared" si="4"/>
        <v>ns</v>
      </c>
      <c r="AM49" s="136" t="str">
        <f t="shared" si="5"/>
        <v>ns</v>
      </c>
      <c r="AN49" s="136" t="str">
        <f t="shared" si="6"/>
        <v>ns</v>
      </c>
      <c r="AO49" s="136" t="str">
        <f t="shared" si="7"/>
        <v>ns</v>
      </c>
      <c r="AP49" s="136" t="str">
        <f t="shared" si="8"/>
        <v>ns</v>
      </c>
      <c r="AQ49" s="136" t="str">
        <f t="shared" si="9"/>
        <v>ns</v>
      </c>
      <c r="AR49" s="136" t="str">
        <f t="shared" si="10"/>
        <v>ns</v>
      </c>
      <c r="AS49" s="136" t="str">
        <f t="shared" si="11"/>
        <v>ns</v>
      </c>
      <c r="AU49" s="86" t="str">
        <f t="shared" si="12"/>
        <v/>
      </c>
      <c r="AV49" s="86">
        <f t="shared" si="19"/>
        <v>9</v>
      </c>
      <c r="AY49" s="231">
        <f>IF(ISNUMBER(M49),M49,NA())</f>
        <v>51.09</v>
      </c>
      <c r="AZ49" s="231">
        <f t="shared" si="18"/>
        <v>6.69</v>
      </c>
      <c r="BA49" s="231">
        <f t="shared" si="15"/>
        <v>41.04</v>
      </c>
      <c r="BB49" s="231">
        <f t="shared" si="16"/>
        <v>10.82</v>
      </c>
      <c r="BC49" s="231">
        <f t="shared" si="17"/>
        <v>9</v>
      </c>
      <c r="BD49" s="232">
        <f>IF(ISNUMBER(S49),S49,NA())</f>
        <v>73.913043478260875</v>
      </c>
      <c r="BE49" s="232">
        <f>IF(ISNUMBER(T49),T49,NA())</f>
        <v>66.071428571428569</v>
      </c>
      <c r="BP49">
        <v>42</v>
      </c>
    </row>
    <row r="50" spans="1:68">
      <c r="A50">
        <v>43</v>
      </c>
      <c r="B50">
        <v>9126739</v>
      </c>
      <c r="C50" s="215"/>
      <c r="D50" s="9" t="s">
        <v>1611</v>
      </c>
      <c r="E50" s="18" t="s">
        <v>715</v>
      </c>
      <c r="F50" s="16">
        <v>1997</v>
      </c>
      <c r="G50" s="84" t="s">
        <v>808</v>
      </c>
      <c r="H50" s="16">
        <v>17</v>
      </c>
      <c r="I50" s="16">
        <v>21</v>
      </c>
      <c r="J50" s="85" t="s">
        <v>296</v>
      </c>
      <c r="K50" s="85">
        <v>3</v>
      </c>
      <c r="L50" s="16" t="s">
        <v>1119</v>
      </c>
      <c r="M50" s="16">
        <v>35</v>
      </c>
      <c r="N50" s="16">
        <v>9.4</v>
      </c>
      <c r="O50" s="16">
        <v>34</v>
      </c>
      <c r="P50" s="16">
        <v>8.1999999999999993</v>
      </c>
      <c r="Q50" s="16">
        <v>10</v>
      </c>
      <c r="R50" s="16">
        <v>11</v>
      </c>
      <c r="S50" s="88">
        <f t="shared" si="0"/>
        <v>58.823529411764703</v>
      </c>
      <c r="T50" s="88">
        <f t="shared" si="1"/>
        <v>52.38095238095238</v>
      </c>
      <c r="U50" s="85" t="s">
        <v>1688</v>
      </c>
      <c r="V50" s="85">
        <v>25.5</v>
      </c>
      <c r="W50" s="85">
        <v>1</v>
      </c>
      <c r="X50" s="86">
        <f t="shared" si="2"/>
        <v>38</v>
      </c>
      <c r="Y50" t="s">
        <v>564</v>
      </c>
      <c r="Z50" t="s">
        <v>1354</v>
      </c>
      <c r="AA50">
        <f t="shared" si="3"/>
        <v>1</v>
      </c>
      <c r="AB50">
        <v>4</v>
      </c>
      <c r="AC50" t="s">
        <v>1688</v>
      </c>
      <c r="AD50" t="s">
        <v>1688</v>
      </c>
      <c r="AE50" t="s">
        <v>1688</v>
      </c>
      <c r="AF50" t="s">
        <v>1688</v>
      </c>
      <c r="AG50" t="s">
        <v>1688</v>
      </c>
      <c r="AH50" t="s">
        <v>1688</v>
      </c>
      <c r="AI50" t="s">
        <v>1688</v>
      </c>
      <c r="AJ50" t="s">
        <v>1688</v>
      </c>
      <c r="AK50" t="s">
        <v>1688</v>
      </c>
      <c r="AL50" s="158" t="str">
        <f t="shared" si="4"/>
        <v>ns</v>
      </c>
      <c r="AM50" s="136" t="str">
        <f t="shared" si="5"/>
        <v>ns</v>
      </c>
      <c r="AN50" s="136" t="str">
        <f t="shared" si="6"/>
        <v>ns</v>
      </c>
      <c r="AO50" s="136" t="str">
        <f t="shared" si="7"/>
        <v>ns</v>
      </c>
      <c r="AP50" s="136" t="str">
        <f t="shared" si="8"/>
        <v>ns</v>
      </c>
      <c r="AQ50" s="136" t="str">
        <f t="shared" si="9"/>
        <v>ns</v>
      </c>
      <c r="AR50" s="136" t="str">
        <f t="shared" si="10"/>
        <v>ns</v>
      </c>
      <c r="AS50" s="136" t="str">
        <f t="shared" si="11"/>
        <v>ns</v>
      </c>
      <c r="AT50" s="85">
        <v>1.5</v>
      </c>
      <c r="AU50" s="86">
        <f t="shared" si="12"/>
        <v>1</v>
      </c>
      <c r="AV50" s="86" t="str">
        <f t="shared" si="19"/>
        <v/>
      </c>
      <c r="AY50" s="231">
        <f>IF(ISNUMBER(M50),M50,NA())</f>
        <v>35</v>
      </c>
      <c r="AZ50" s="231">
        <f t="shared" si="18"/>
        <v>9.4</v>
      </c>
      <c r="BA50" s="231">
        <f t="shared" si="15"/>
        <v>34</v>
      </c>
      <c r="BB50" s="231">
        <f t="shared" si="16"/>
        <v>8.1999999999999993</v>
      </c>
      <c r="BC50" s="231">
        <f t="shared" si="17"/>
        <v>1</v>
      </c>
      <c r="BD50" s="232">
        <f>IF(ISNUMBER(S50),S50,NA())</f>
        <v>58.823529411764703</v>
      </c>
      <c r="BE50" s="232">
        <f>IF(ISNUMBER(T50),T50,NA())</f>
        <v>52.38095238095238</v>
      </c>
      <c r="BP50">
        <v>43</v>
      </c>
    </row>
    <row r="51" spans="1:68">
      <c r="A51" s="13">
        <v>44</v>
      </c>
      <c r="B51">
        <v>9089834</v>
      </c>
      <c r="C51" s="215"/>
      <c r="D51" s="9" t="s">
        <v>1617</v>
      </c>
      <c r="E51" s="18" t="s">
        <v>1753</v>
      </c>
      <c r="F51" s="16">
        <v>1997</v>
      </c>
      <c r="G51" s="84" t="s">
        <v>809</v>
      </c>
      <c r="H51" s="16">
        <v>30</v>
      </c>
      <c r="I51" s="16">
        <v>36</v>
      </c>
      <c r="J51" s="85" t="s">
        <v>296</v>
      </c>
      <c r="K51" s="85">
        <v>3</v>
      </c>
      <c r="L51" s="16" t="s">
        <v>1119</v>
      </c>
      <c r="M51" s="16">
        <v>75.900000000000006</v>
      </c>
      <c r="N51" s="16">
        <v>6.7</v>
      </c>
      <c r="O51" s="16">
        <v>72.8</v>
      </c>
      <c r="P51" s="16">
        <v>6.6</v>
      </c>
      <c r="Q51" s="16">
        <v>15</v>
      </c>
      <c r="R51" s="16">
        <v>18</v>
      </c>
      <c r="S51" s="88">
        <f t="shared" si="0"/>
        <v>50</v>
      </c>
      <c r="T51" s="88">
        <f t="shared" si="1"/>
        <v>50</v>
      </c>
      <c r="U51" s="85" t="s">
        <v>1688</v>
      </c>
      <c r="V51" s="85" t="s">
        <v>1688</v>
      </c>
      <c r="W51" s="85">
        <v>3.1</v>
      </c>
      <c r="X51" s="86">
        <f t="shared" si="2"/>
        <v>66</v>
      </c>
      <c r="Y51" s="13" t="s">
        <v>1311</v>
      </c>
      <c r="Z51" t="s">
        <v>868</v>
      </c>
      <c r="AA51">
        <f t="shared" si="3"/>
        <v>14</v>
      </c>
      <c r="AB51">
        <v>4</v>
      </c>
      <c r="AC51" t="s">
        <v>1688</v>
      </c>
      <c r="AD51" t="s">
        <v>1688</v>
      </c>
      <c r="AE51" t="s">
        <v>1688</v>
      </c>
      <c r="AF51" t="s">
        <v>1688</v>
      </c>
      <c r="AG51" t="s">
        <v>1688</v>
      </c>
      <c r="AH51" t="s">
        <v>1688</v>
      </c>
      <c r="AI51" t="s">
        <v>1688</v>
      </c>
      <c r="AJ51" t="s">
        <v>1688</v>
      </c>
      <c r="AK51" t="s">
        <v>1688</v>
      </c>
      <c r="AL51" s="158" t="str">
        <f t="shared" si="4"/>
        <v>ns</v>
      </c>
      <c r="AM51" s="136" t="str">
        <f t="shared" si="5"/>
        <v>ns</v>
      </c>
      <c r="AN51" s="136" t="str">
        <f t="shared" si="6"/>
        <v>ns</v>
      </c>
      <c r="AO51" s="136" t="str">
        <f t="shared" si="7"/>
        <v>ns</v>
      </c>
      <c r="AP51" s="136" t="str">
        <f t="shared" si="8"/>
        <v>ns</v>
      </c>
      <c r="AQ51" s="136" t="str">
        <f t="shared" si="9"/>
        <v>ns</v>
      </c>
      <c r="AR51" s="136" t="str">
        <f t="shared" si="10"/>
        <v>ns</v>
      </c>
      <c r="AS51" s="136" t="str">
        <f t="shared" si="11"/>
        <v>ns</v>
      </c>
      <c r="AT51" s="85">
        <v>1</v>
      </c>
      <c r="AU51" s="86">
        <f t="shared" si="12"/>
        <v>3.1</v>
      </c>
      <c r="AV51" s="86" t="str">
        <f t="shared" si="19"/>
        <v/>
      </c>
      <c r="AY51" s="231">
        <f>IF(ISNUMBER(M51),M51,NA())</f>
        <v>75.900000000000006</v>
      </c>
      <c r="AZ51" s="231">
        <f t="shared" si="18"/>
        <v>6.7</v>
      </c>
      <c r="BA51" s="231">
        <f t="shared" si="15"/>
        <v>72.8</v>
      </c>
      <c r="BB51" s="231">
        <f t="shared" si="16"/>
        <v>6.6</v>
      </c>
      <c r="BC51" s="231">
        <f t="shared" si="17"/>
        <v>3.1</v>
      </c>
      <c r="BD51" s="232">
        <f>IF(ISNUMBER(S51),S51,NA())</f>
        <v>50</v>
      </c>
      <c r="BE51" s="232">
        <f>IF(ISNUMBER(T51),T51,NA())</f>
        <v>50</v>
      </c>
      <c r="BP51">
        <v>44</v>
      </c>
    </row>
    <row r="52" spans="1:68">
      <c r="A52">
        <v>45</v>
      </c>
      <c r="B52">
        <v>9169241</v>
      </c>
      <c r="C52" s="215"/>
      <c r="D52" s="9" t="s">
        <v>891</v>
      </c>
      <c r="E52" s="18" t="s">
        <v>1019</v>
      </c>
      <c r="F52" s="16">
        <v>1997</v>
      </c>
      <c r="G52" s="84" t="s">
        <v>810</v>
      </c>
      <c r="H52" s="16">
        <v>28</v>
      </c>
      <c r="I52" s="16">
        <v>29</v>
      </c>
      <c r="J52" s="85" t="s">
        <v>296</v>
      </c>
      <c r="K52" s="85">
        <v>3</v>
      </c>
      <c r="L52" s="16" t="s">
        <v>1119</v>
      </c>
      <c r="M52" s="16">
        <v>74.2</v>
      </c>
      <c r="N52" s="16">
        <v>8.1999999999999993</v>
      </c>
      <c r="O52" s="16">
        <v>67.2</v>
      </c>
      <c r="P52" s="16">
        <v>8.4</v>
      </c>
      <c r="Q52" s="16">
        <v>17</v>
      </c>
      <c r="R52" s="16">
        <v>17</v>
      </c>
      <c r="S52" s="88">
        <f t="shared" si="0"/>
        <v>60.714285714285715</v>
      </c>
      <c r="T52" s="88">
        <f t="shared" si="1"/>
        <v>58.620689655172413</v>
      </c>
      <c r="U52" s="85" t="s">
        <v>1688</v>
      </c>
      <c r="V52" s="85">
        <v>19.57</v>
      </c>
      <c r="W52" s="85">
        <v>5</v>
      </c>
      <c r="X52" s="86">
        <f t="shared" si="2"/>
        <v>57</v>
      </c>
      <c r="Y52" s="13" t="s">
        <v>1320</v>
      </c>
      <c r="Z52" t="s">
        <v>1139</v>
      </c>
      <c r="AA52">
        <f t="shared" si="3"/>
        <v>13</v>
      </c>
      <c r="AB52">
        <v>4</v>
      </c>
      <c r="AC52" t="s">
        <v>1688</v>
      </c>
      <c r="AD52" t="s">
        <v>1688</v>
      </c>
      <c r="AE52" t="s">
        <v>1688</v>
      </c>
      <c r="AF52" t="s">
        <v>1688</v>
      </c>
      <c r="AG52" t="s">
        <v>1688</v>
      </c>
      <c r="AH52" t="s">
        <v>1688</v>
      </c>
      <c r="AI52" t="s">
        <v>1688</v>
      </c>
      <c r="AJ52" t="s">
        <v>1688</v>
      </c>
      <c r="AK52" t="s">
        <v>1688</v>
      </c>
      <c r="AL52" s="158" t="str">
        <f t="shared" si="4"/>
        <v>ns</v>
      </c>
      <c r="AM52" s="136" t="str">
        <f t="shared" si="5"/>
        <v>ns</v>
      </c>
      <c r="AN52" s="136" t="str">
        <f t="shared" si="6"/>
        <v>ns</v>
      </c>
      <c r="AO52" s="136" t="str">
        <f t="shared" si="7"/>
        <v>ns</v>
      </c>
      <c r="AP52" s="136" t="str">
        <f t="shared" si="8"/>
        <v>ns</v>
      </c>
      <c r="AQ52" s="136" t="str">
        <f t="shared" si="9"/>
        <v>ns</v>
      </c>
      <c r="AR52" s="136" t="str">
        <f t="shared" si="10"/>
        <v>ns</v>
      </c>
      <c r="AS52" s="136" t="str">
        <f t="shared" si="11"/>
        <v>ns</v>
      </c>
      <c r="AT52" s="85">
        <v>1.5</v>
      </c>
      <c r="AU52" s="86">
        <f t="shared" si="12"/>
        <v>5</v>
      </c>
      <c r="AV52" s="86" t="str">
        <f t="shared" si="19"/>
        <v/>
      </c>
      <c r="AY52" s="231">
        <f>IF(ISNUMBER(M52),M52,NA())</f>
        <v>74.2</v>
      </c>
      <c r="AZ52" s="231">
        <f t="shared" si="18"/>
        <v>8.1999999999999993</v>
      </c>
      <c r="BA52" s="231">
        <f t="shared" si="15"/>
        <v>67.2</v>
      </c>
      <c r="BB52" s="231">
        <f t="shared" si="16"/>
        <v>8.4</v>
      </c>
      <c r="BC52" s="231">
        <f t="shared" si="17"/>
        <v>5</v>
      </c>
      <c r="BD52" s="232">
        <f>IF(ISNUMBER(S52),S52,NA())</f>
        <v>60.714285714285715</v>
      </c>
      <c r="BE52" s="232">
        <f>IF(ISNUMBER(T52),T52,NA())</f>
        <v>58.620689655172413</v>
      </c>
      <c r="BP52">
        <v>45</v>
      </c>
    </row>
    <row r="53" spans="1:68">
      <c r="A53" s="13">
        <v>46</v>
      </c>
      <c r="B53">
        <v>9089060</v>
      </c>
      <c r="C53" s="215"/>
      <c r="D53" s="9" t="s">
        <v>1277</v>
      </c>
      <c r="E53" s="18" t="s">
        <v>1030</v>
      </c>
      <c r="F53" s="16">
        <v>1997</v>
      </c>
      <c r="G53" s="84" t="s">
        <v>811</v>
      </c>
      <c r="H53" s="16">
        <v>19</v>
      </c>
      <c r="I53" s="16">
        <v>13</v>
      </c>
      <c r="J53" s="85" t="s">
        <v>296</v>
      </c>
      <c r="K53" s="85">
        <v>3</v>
      </c>
      <c r="L53" s="16" t="s">
        <v>1119</v>
      </c>
      <c r="M53" s="16">
        <v>72.400000000000006</v>
      </c>
      <c r="N53" s="16">
        <v>8.8000000000000007</v>
      </c>
      <c r="O53" s="16">
        <v>68.2</v>
      </c>
      <c r="P53" s="16">
        <v>5.3</v>
      </c>
      <c r="Q53" s="16">
        <v>15</v>
      </c>
      <c r="R53" s="16">
        <v>10</v>
      </c>
      <c r="S53" s="88">
        <f t="shared" si="0"/>
        <v>78.94736842105263</v>
      </c>
      <c r="T53" s="88">
        <f t="shared" si="1"/>
        <v>76.92307692307692</v>
      </c>
      <c r="U53" s="85">
        <v>64.2</v>
      </c>
      <c r="V53" s="85">
        <v>26.7</v>
      </c>
      <c r="W53" s="85">
        <v>1.25</v>
      </c>
      <c r="X53" s="86">
        <f t="shared" si="2"/>
        <v>32</v>
      </c>
      <c r="Y53" t="s">
        <v>1043</v>
      </c>
      <c r="Z53" t="s">
        <v>2310</v>
      </c>
      <c r="AA53">
        <f t="shared" si="3"/>
        <v>10</v>
      </c>
      <c r="AB53">
        <v>4</v>
      </c>
      <c r="AC53" t="s">
        <v>1688</v>
      </c>
      <c r="AD53" t="s">
        <v>1688</v>
      </c>
      <c r="AE53" t="s">
        <v>1688</v>
      </c>
      <c r="AF53" t="s">
        <v>1688</v>
      </c>
      <c r="AG53" t="s">
        <v>1688</v>
      </c>
      <c r="AH53" t="s">
        <v>1688</v>
      </c>
      <c r="AI53" t="s">
        <v>1688</v>
      </c>
      <c r="AJ53" t="s">
        <v>1688</v>
      </c>
      <c r="AK53" t="s">
        <v>1688</v>
      </c>
      <c r="AL53" s="158" t="str">
        <f t="shared" si="4"/>
        <v>ns</v>
      </c>
      <c r="AM53" s="136" t="str">
        <f t="shared" si="5"/>
        <v>ns</v>
      </c>
      <c r="AN53" s="136" t="str">
        <f t="shared" si="6"/>
        <v>ns</v>
      </c>
      <c r="AO53" s="136" t="str">
        <f t="shared" si="7"/>
        <v>ns</v>
      </c>
      <c r="AP53" s="136" t="str">
        <f t="shared" si="8"/>
        <v>ns</v>
      </c>
      <c r="AQ53" s="136" t="str">
        <f t="shared" si="9"/>
        <v>ns</v>
      </c>
      <c r="AR53" s="136" t="str">
        <f t="shared" si="10"/>
        <v>ns</v>
      </c>
      <c r="AS53" s="136" t="str">
        <f t="shared" si="11"/>
        <v>ns</v>
      </c>
      <c r="AT53" s="85">
        <v>1.5</v>
      </c>
      <c r="AU53" s="86">
        <f t="shared" si="12"/>
        <v>1.25</v>
      </c>
      <c r="AV53" s="86" t="str">
        <f t="shared" si="19"/>
        <v/>
      </c>
      <c r="AY53" s="231">
        <f>IF(ISNUMBER(M53),M53,NA())</f>
        <v>72.400000000000006</v>
      </c>
      <c r="AZ53" s="231">
        <f t="shared" si="18"/>
        <v>8.8000000000000007</v>
      </c>
      <c r="BA53" s="231">
        <f t="shared" si="15"/>
        <v>68.2</v>
      </c>
      <c r="BB53" s="231">
        <f t="shared" si="16"/>
        <v>5.3</v>
      </c>
      <c r="BC53" s="231">
        <f t="shared" si="17"/>
        <v>1.25</v>
      </c>
      <c r="BD53" s="232">
        <f>IF(ISNUMBER(S53),S53,NA())</f>
        <v>78.94736842105263</v>
      </c>
      <c r="BE53" s="232">
        <f>IF(ISNUMBER(T53),T53,NA())</f>
        <v>76.92307692307692</v>
      </c>
      <c r="BP53">
        <v>46</v>
      </c>
    </row>
    <row r="54" spans="1:68">
      <c r="A54">
        <v>47</v>
      </c>
      <c r="B54">
        <v>9209723</v>
      </c>
      <c r="C54" s="215"/>
      <c r="D54" s="9" t="s">
        <v>1306</v>
      </c>
      <c r="E54" s="18" t="s">
        <v>1028</v>
      </c>
      <c r="F54" s="16">
        <v>1997</v>
      </c>
      <c r="G54" s="84" t="s">
        <v>812</v>
      </c>
      <c r="H54" s="16">
        <v>38</v>
      </c>
      <c r="I54" s="16">
        <v>20</v>
      </c>
      <c r="J54" s="86" t="s">
        <v>296</v>
      </c>
      <c r="K54" s="86">
        <v>3</v>
      </c>
      <c r="L54" s="16" t="s">
        <v>1119</v>
      </c>
      <c r="M54" s="16">
        <v>38.5</v>
      </c>
      <c r="N54" s="16">
        <v>10</v>
      </c>
      <c r="O54" s="16">
        <v>40.299999999999997</v>
      </c>
      <c r="P54" s="16">
        <v>10.4</v>
      </c>
      <c r="Q54" s="16">
        <v>21</v>
      </c>
      <c r="R54" s="16">
        <v>11</v>
      </c>
      <c r="S54" s="88">
        <f t="shared" si="0"/>
        <v>55.263157894736842</v>
      </c>
      <c r="T54" s="88">
        <f t="shared" si="1"/>
        <v>55</v>
      </c>
      <c r="U54" s="85" t="s">
        <v>1688</v>
      </c>
      <c r="V54" s="85" t="s">
        <v>1688</v>
      </c>
      <c r="W54" s="85">
        <v>3</v>
      </c>
      <c r="X54" s="86">
        <f t="shared" si="2"/>
        <v>58</v>
      </c>
      <c r="Y54" t="s">
        <v>1512</v>
      </c>
      <c r="Z54" t="s">
        <v>1426</v>
      </c>
      <c r="AA54">
        <f t="shared" si="3"/>
        <v>6</v>
      </c>
      <c r="AB54">
        <v>4</v>
      </c>
      <c r="AC54" t="s">
        <v>1688</v>
      </c>
      <c r="AD54" t="s">
        <v>1688</v>
      </c>
      <c r="AE54" t="s">
        <v>1688</v>
      </c>
      <c r="AF54" t="s">
        <v>1688</v>
      </c>
      <c r="AG54" t="s">
        <v>1688</v>
      </c>
      <c r="AH54" t="s">
        <v>1688</v>
      </c>
      <c r="AI54" t="s">
        <v>1688</v>
      </c>
      <c r="AJ54" t="s">
        <v>1688</v>
      </c>
      <c r="AK54" t="s">
        <v>1688</v>
      </c>
      <c r="AL54" s="158" t="str">
        <f t="shared" si="4"/>
        <v>ns</v>
      </c>
      <c r="AM54" s="136" t="str">
        <f t="shared" si="5"/>
        <v>ns</v>
      </c>
      <c r="AN54" s="136" t="str">
        <f t="shared" si="6"/>
        <v>ns</v>
      </c>
      <c r="AO54" s="136" t="str">
        <f t="shared" si="7"/>
        <v>ns</v>
      </c>
      <c r="AP54" s="136" t="str">
        <f t="shared" si="8"/>
        <v>ns</v>
      </c>
      <c r="AQ54" s="136" t="str">
        <f t="shared" si="9"/>
        <v>ns</v>
      </c>
      <c r="AR54" s="136" t="str">
        <f t="shared" si="10"/>
        <v>ns</v>
      </c>
      <c r="AS54" s="136" t="str">
        <f t="shared" si="11"/>
        <v>ns</v>
      </c>
      <c r="AT54" s="85">
        <v>1.5</v>
      </c>
      <c r="AU54" s="86">
        <f t="shared" si="12"/>
        <v>3</v>
      </c>
      <c r="AV54" s="86" t="str">
        <f t="shared" si="19"/>
        <v/>
      </c>
      <c r="AY54" s="231">
        <f>IF(ISNUMBER(M54),M54,NA())</f>
        <v>38.5</v>
      </c>
      <c r="AZ54" s="231">
        <f t="shared" si="18"/>
        <v>10</v>
      </c>
      <c r="BA54" s="231">
        <f t="shared" si="15"/>
        <v>40.299999999999997</v>
      </c>
      <c r="BB54" s="231">
        <f t="shared" si="16"/>
        <v>10.4</v>
      </c>
      <c r="BC54" s="231">
        <f t="shared" si="17"/>
        <v>3</v>
      </c>
      <c r="BD54" s="232">
        <f>IF(ISNUMBER(S54),S54,NA())</f>
        <v>55.263157894736842</v>
      </c>
      <c r="BE54" s="232">
        <f>IF(ISNUMBER(T54),T54,NA())</f>
        <v>55</v>
      </c>
      <c r="BP54">
        <v>47</v>
      </c>
    </row>
    <row r="55" spans="1:68">
      <c r="A55" s="13">
        <v>48</v>
      </c>
      <c r="B55">
        <v>9506601</v>
      </c>
      <c r="C55" s="215"/>
      <c r="D55" s="1" t="s">
        <v>1590</v>
      </c>
      <c r="E55" t="s">
        <v>1753</v>
      </c>
      <c r="F55">
        <v>1998</v>
      </c>
      <c r="G55" s="1" t="s">
        <v>813</v>
      </c>
      <c r="H55">
        <v>35</v>
      </c>
      <c r="I55">
        <v>31</v>
      </c>
      <c r="J55" t="s">
        <v>296</v>
      </c>
      <c r="K55">
        <v>3</v>
      </c>
      <c r="L55" t="s">
        <v>1119</v>
      </c>
      <c r="M55">
        <v>74.7</v>
      </c>
      <c r="N55">
        <v>6.4</v>
      </c>
      <c r="O55">
        <v>72.900000000000006</v>
      </c>
      <c r="P55">
        <v>4.7</v>
      </c>
      <c r="Q55">
        <v>26</v>
      </c>
      <c r="R55">
        <v>13</v>
      </c>
      <c r="S55" s="88">
        <f t="shared" si="0"/>
        <v>74.285714285714292</v>
      </c>
      <c r="T55" s="88">
        <f t="shared" si="1"/>
        <v>41.935483870967744</v>
      </c>
      <c r="U55" s="85">
        <v>56.5</v>
      </c>
      <c r="V55" s="85">
        <v>27</v>
      </c>
      <c r="W55" s="85">
        <v>5</v>
      </c>
      <c r="X55" s="86">
        <f t="shared" si="2"/>
        <v>66</v>
      </c>
      <c r="Y55" t="s">
        <v>1048</v>
      </c>
      <c r="Z55" t="s">
        <v>978</v>
      </c>
      <c r="AA55">
        <f t="shared" si="3"/>
        <v>1</v>
      </c>
      <c r="AB55">
        <v>4</v>
      </c>
      <c r="AC55" t="s">
        <v>1688</v>
      </c>
      <c r="AD55" t="s">
        <v>1688</v>
      </c>
      <c r="AE55" t="s">
        <v>1688</v>
      </c>
      <c r="AF55" t="s">
        <v>1688</v>
      </c>
      <c r="AG55" t="s">
        <v>1688</v>
      </c>
      <c r="AH55" t="s">
        <v>1688</v>
      </c>
      <c r="AI55" t="s">
        <v>1688</v>
      </c>
      <c r="AJ55" t="s">
        <v>1688</v>
      </c>
      <c r="AK55" t="s">
        <v>1688</v>
      </c>
      <c r="AL55" s="158" t="str">
        <f t="shared" si="4"/>
        <v>ns</v>
      </c>
      <c r="AM55" s="136" t="str">
        <f t="shared" si="5"/>
        <v>ns</v>
      </c>
      <c r="AN55" s="136" t="str">
        <f t="shared" si="6"/>
        <v>ns</v>
      </c>
      <c r="AO55" s="136" t="str">
        <f t="shared" si="7"/>
        <v>ns</v>
      </c>
      <c r="AP55" s="136" t="str">
        <f t="shared" si="8"/>
        <v>ns</v>
      </c>
      <c r="AQ55" s="136" t="str">
        <f t="shared" si="9"/>
        <v>ns</v>
      </c>
      <c r="AR55" s="136" t="str">
        <f t="shared" si="10"/>
        <v>ns</v>
      </c>
      <c r="AS55" s="136" t="str">
        <f t="shared" si="11"/>
        <v>ns</v>
      </c>
      <c r="AT55" s="85">
        <v>1</v>
      </c>
      <c r="AU55" s="86">
        <f t="shared" si="12"/>
        <v>5</v>
      </c>
      <c r="AV55" s="86" t="str">
        <f t="shared" si="19"/>
        <v/>
      </c>
      <c r="AY55" s="231">
        <f>IF(ISNUMBER(M55),M55,NA())</f>
        <v>74.7</v>
      </c>
      <c r="AZ55" s="231">
        <f t="shared" si="18"/>
        <v>6.4</v>
      </c>
      <c r="BA55" s="231">
        <f t="shared" si="15"/>
        <v>72.900000000000006</v>
      </c>
      <c r="BB55" s="231">
        <f t="shared" si="16"/>
        <v>4.7</v>
      </c>
      <c r="BC55" s="231">
        <f t="shared" si="17"/>
        <v>5</v>
      </c>
      <c r="BD55" s="232">
        <f>IF(ISNUMBER(S55),S55,NA())</f>
        <v>74.285714285714292</v>
      </c>
      <c r="BE55" s="232">
        <f>IF(ISNUMBER(T55),T55,NA())</f>
        <v>41.935483870967744</v>
      </c>
      <c r="BP55">
        <v>48</v>
      </c>
    </row>
    <row r="56" spans="1:68">
      <c r="A56">
        <v>49</v>
      </c>
      <c r="B56">
        <v>9636205</v>
      </c>
      <c r="C56" s="215"/>
      <c r="D56" s="9" t="s">
        <v>926</v>
      </c>
      <c r="E56" s="18" t="s">
        <v>1019</v>
      </c>
      <c r="F56" s="16">
        <v>1998</v>
      </c>
      <c r="G56" s="84" t="s">
        <v>814</v>
      </c>
      <c r="H56" s="16">
        <v>35</v>
      </c>
      <c r="I56" s="16">
        <v>30</v>
      </c>
      <c r="J56" s="85" t="s">
        <v>151</v>
      </c>
      <c r="K56" s="85">
        <v>4</v>
      </c>
      <c r="L56" s="16" t="s">
        <v>1119</v>
      </c>
      <c r="M56" s="16">
        <v>74.569999999999993</v>
      </c>
      <c r="N56" s="16">
        <v>6.91</v>
      </c>
      <c r="O56" s="16">
        <v>69.430000000000007</v>
      </c>
      <c r="P56" s="16">
        <v>6.09</v>
      </c>
      <c r="Q56" s="16">
        <v>25</v>
      </c>
      <c r="R56" s="16">
        <v>23</v>
      </c>
      <c r="S56" s="88">
        <f t="shared" si="0"/>
        <v>71.428571428571431</v>
      </c>
      <c r="T56" s="88">
        <f t="shared" si="1"/>
        <v>76.666666666666671</v>
      </c>
      <c r="U56" s="85">
        <v>71.260000000000005</v>
      </c>
      <c r="V56" s="85">
        <v>19.739999999999998</v>
      </c>
      <c r="W56" s="85">
        <v>5</v>
      </c>
      <c r="X56" s="86">
        <f t="shared" si="2"/>
        <v>65</v>
      </c>
      <c r="Y56" t="s">
        <v>1625</v>
      </c>
      <c r="Z56" t="s">
        <v>1316</v>
      </c>
      <c r="AA56">
        <f t="shared" si="3"/>
        <v>4</v>
      </c>
      <c r="AB56">
        <v>5</v>
      </c>
      <c r="AC56" t="s">
        <v>1688</v>
      </c>
      <c r="AD56" t="s">
        <v>1688</v>
      </c>
      <c r="AE56" t="s">
        <v>1688</v>
      </c>
      <c r="AF56" t="s">
        <v>1688</v>
      </c>
      <c r="AG56" t="s">
        <v>1688</v>
      </c>
      <c r="AH56" t="s">
        <v>1688</v>
      </c>
      <c r="AI56" t="s">
        <v>1688</v>
      </c>
      <c r="AJ56" t="s">
        <v>1688</v>
      </c>
      <c r="AK56" t="s">
        <v>1688</v>
      </c>
      <c r="AL56" s="158" t="str">
        <f t="shared" si="4"/>
        <v>ns</v>
      </c>
      <c r="AM56" s="136" t="str">
        <f t="shared" si="5"/>
        <v>ns</v>
      </c>
      <c r="AN56" s="136" t="str">
        <f t="shared" si="6"/>
        <v>ns</v>
      </c>
      <c r="AO56" s="136" t="str">
        <f t="shared" si="7"/>
        <v>ns</v>
      </c>
      <c r="AP56" s="136" t="str">
        <f t="shared" si="8"/>
        <v>ns</v>
      </c>
      <c r="AQ56" s="136" t="str">
        <f t="shared" si="9"/>
        <v>ns</v>
      </c>
      <c r="AR56" s="136" t="str">
        <f t="shared" si="10"/>
        <v>ns</v>
      </c>
      <c r="AS56" s="136" t="str">
        <f t="shared" si="11"/>
        <v>ns</v>
      </c>
      <c r="AT56" s="85">
        <v>1.5</v>
      </c>
      <c r="AU56" s="86">
        <f t="shared" si="12"/>
        <v>5</v>
      </c>
      <c r="AV56" s="86" t="str">
        <f t="shared" si="19"/>
        <v/>
      </c>
      <c r="AY56" s="231">
        <f>IF(ISNUMBER(M56),M56,NA())</f>
        <v>74.569999999999993</v>
      </c>
      <c r="AZ56" s="231">
        <f t="shared" si="18"/>
        <v>6.91</v>
      </c>
      <c r="BA56" s="231">
        <f t="shared" si="15"/>
        <v>69.430000000000007</v>
      </c>
      <c r="BB56" s="231">
        <f t="shared" si="16"/>
        <v>6.09</v>
      </c>
      <c r="BC56" s="231">
        <f t="shared" si="17"/>
        <v>5</v>
      </c>
      <c r="BD56" s="232">
        <f>IF(ISNUMBER(S56),S56,NA())</f>
        <v>71.428571428571431</v>
      </c>
      <c r="BE56" s="232">
        <f>IF(ISNUMBER(T56),T56,NA())</f>
        <v>76.666666666666671</v>
      </c>
      <c r="BP56">
        <v>49</v>
      </c>
    </row>
    <row r="57" spans="1:68">
      <c r="A57" s="13">
        <v>50</v>
      </c>
      <c r="B57">
        <v>9859118</v>
      </c>
      <c r="C57" s="215"/>
      <c r="D57" s="9" t="s">
        <v>1289</v>
      </c>
      <c r="E57" s="18" t="s">
        <v>1030</v>
      </c>
      <c r="F57" s="16">
        <v>1998</v>
      </c>
      <c r="G57" s="84" t="s">
        <v>1144</v>
      </c>
      <c r="H57" s="16">
        <v>19</v>
      </c>
      <c r="I57" s="16">
        <v>13</v>
      </c>
      <c r="J57" s="85" t="s">
        <v>296</v>
      </c>
      <c r="K57" s="85">
        <v>3</v>
      </c>
      <c r="L57" s="16" t="s">
        <v>1119</v>
      </c>
      <c r="M57" s="16">
        <v>72.400000000000006</v>
      </c>
      <c r="N57" s="16">
        <v>8.8000000000000007</v>
      </c>
      <c r="O57" s="16">
        <v>68.2</v>
      </c>
      <c r="P57" s="16">
        <v>5.3</v>
      </c>
      <c r="Q57" s="16">
        <v>15</v>
      </c>
      <c r="R57" s="16">
        <v>10</v>
      </c>
      <c r="S57" s="88">
        <f t="shared" si="0"/>
        <v>78.94736842105263</v>
      </c>
      <c r="T57" s="88">
        <f t="shared" si="1"/>
        <v>76.92307692307692</v>
      </c>
      <c r="U57" s="85" t="s">
        <v>1688</v>
      </c>
      <c r="V57" s="85">
        <v>26.7</v>
      </c>
      <c r="W57" s="85">
        <v>1.2</v>
      </c>
      <c r="X57" s="86">
        <f t="shared" si="2"/>
        <v>32</v>
      </c>
      <c r="Y57" s="22" t="s">
        <v>553</v>
      </c>
      <c r="Z57" t="s">
        <v>2311</v>
      </c>
      <c r="AA57">
        <f t="shared" si="3"/>
        <v>9</v>
      </c>
      <c r="AB57">
        <v>4</v>
      </c>
      <c r="AL57" s="158" t="str">
        <f t="shared" si="4"/>
        <v/>
      </c>
      <c r="AM57" s="136" t="str">
        <f t="shared" si="5"/>
        <v/>
      </c>
      <c r="AN57" s="136" t="str">
        <f t="shared" si="6"/>
        <v/>
      </c>
      <c r="AO57" s="136" t="str">
        <f t="shared" si="7"/>
        <v/>
      </c>
      <c r="AP57" s="136" t="str">
        <f t="shared" si="8"/>
        <v/>
      </c>
      <c r="AQ57" s="136" t="str">
        <f t="shared" si="9"/>
        <v/>
      </c>
      <c r="AR57" s="136" t="str">
        <f t="shared" si="10"/>
        <v/>
      </c>
      <c r="AS57" s="136" t="str">
        <f t="shared" si="11"/>
        <v/>
      </c>
      <c r="AT57" s="85">
        <v>1.5</v>
      </c>
      <c r="AU57" s="86">
        <f t="shared" si="12"/>
        <v>1.2</v>
      </c>
      <c r="AV57" s="86" t="str">
        <f t="shared" si="19"/>
        <v/>
      </c>
      <c r="AY57" s="231">
        <f>IF(ISNUMBER(M57),M57,NA())</f>
        <v>72.400000000000006</v>
      </c>
      <c r="AZ57" s="231">
        <f t="shared" si="18"/>
        <v>8.8000000000000007</v>
      </c>
      <c r="BA57" s="231">
        <f t="shared" si="15"/>
        <v>68.2</v>
      </c>
      <c r="BB57" s="231">
        <f t="shared" si="16"/>
        <v>5.3</v>
      </c>
      <c r="BC57" s="231">
        <f t="shared" si="17"/>
        <v>1.2</v>
      </c>
      <c r="BD57" s="232">
        <f>IF(ISNUMBER(S57),S57,NA())</f>
        <v>78.94736842105263</v>
      </c>
      <c r="BE57" s="232">
        <f>IF(ISNUMBER(T57),T57,NA())</f>
        <v>76.92307692307692</v>
      </c>
      <c r="BP57">
        <v>50</v>
      </c>
    </row>
    <row r="58" spans="1:68">
      <c r="A58">
        <v>51</v>
      </c>
      <c r="B58">
        <v>9870413</v>
      </c>
      <c r="C58" s="215"/>
      <c r="D58" s="9" t="s">
        <v>324</v>
      </c>
      <c r="E58" s="18" t="s">
        <v>1029</v>
      </c>
      <c r="F58" s="16">
        <v>1998</v>
      </c>
      <c r="G58" s="84" t="s">
        <v>1609</v>
      </c>
      <c r="H58" s="16">
        <v>72</v>
      </c>
      <c r="I58" s="16">
        <v>38</v>
      </c>
      <c r="J58" s="85" t="s">
        <v>296</v>
      </c>
      <c r="K58" s="85">
        <v>3</v>
      </c>
      <c r="L58" s="16" t="s">
        <v>1119</v>
      </c>
      <c r="M58" s="16">
        <v>55.4</v>
      </c>
      <c r="N58" s="16">
        <v>16.8</v>
      </c>
      <c r="O58" s="16">
        <v>55.1</v>
      </c>
      <c r="P58" s="16">
        <v>17.100000000000001</v>
      </c>
      <c r="Q58" s="16">
        <v>45</v>
      </c>
      <c r="R58" s="16">
        <v>22</v>
      </c>
      <c r="S58" s="88">
        <f t="shared" si="0"/>
        <v>62.5</v>
      </c>
      <c r="T58" s="88">
        <f t="shared" si="1"/>
        <v>57.89473684210526</v>
      </c>
      <c r="U58" s="85">
        <v>38.5</v>
      </c>
      <c r="V58" s="85" t="s">
        <v>1688</v>
      </c>
      <c r="W58" s="85">
        <v>5</v>
      </c>
      <c r="X58" s="86">
        <f t="shared" si="2"/>
        <v>110</v>
      </c>
      <c r="Y58" t="s">
        <v>573</v>
      </c>
      <c r="Z58" t="s">
        <v>574</v>
      </c>
      <c r="AA58">
        <f t="shared" si="3"/>
        <v>9</v>
      </c>
      <c r="AB58">
        <v>4</v>
      </c>
      <c r="AC58" t="s">
        <v>1688</v>
      </c>
      <c r="AD58" t="s">
        <v>1688</v>
      </c>
      <c r="AE58" t="s">
        <v>1688</v>
      </c>
      <c r="AF58" t="s">
        <v>1688</v>
      </c>
      <c r="AG58" t="s">
        <v>1688</v>
      </c>
      <c r="AH58" t="s">
        <v>1688</v>
      </c>
      <c r="AI58" t="s">
        <v>1688</v>
      </c>
      <c r="AJ58" t="s">
        <v>1688</v>
      </c>
      <c r="AK58" t="s">
        <v>1688</v>
      </c>
      <c r="AL58" s="158" t="str">
        <f t="shared" si="4"/>
        <v>ns</v>
      </c>
      <c r="AM58" s="136" t="str">
        <f t="shared" si="5"/>
        <v>ns</v>
      </c>
      <c r="AN58" s="136" t="str">
        <f t="shared" si="6"/>
        <v>ns</v>
      </c>
      <c r="AO58" s="136" t="str">
        <f t="shared" si="7"/>
        <v>ns</v>
      </c>
      <c r="AP58" s="136" t="str">
        <f t="shared" si="8"/>
        <v>ns</v>
      </c>
      <c r="AQ58" s="136" t="str">
        <f t="shared" si="9"/>
        <v>ns</v>
      </c>
      <c r="AR58" s="136" t="str">
        <f t="shared" si="10"/>
        <v>ns</v>
      </c>
      <c r="AS58" s="136" t="str">
        <f t="shared" si="11"/>
        <v>ns</v>
      </c>
      <c r="AT58" s="85">
        <v>1.5</v>
      </c>
      <c r="AU58" s="86">
        <f t="shared" si="12"/>
        <v>5</v>
      </c>
      <c r="AV58" s="86" t="str">
        <f t="shared" si="19"/>
        <v/>
      </c>
      <c r="AY58" s="231">
        <f>IF(ISNUMBER(M58),M58,NA())</f>
        <v>55.4</v>
      </c>
      <c r="AZ58" s="231">
        <f t="shared" si="18"/>
        <v>16.8</v>
      </c>
      <c r="BA58" s="231">
        <f t="shared" si="15"/>
        <v>55.1</v>
      </c>
      <c r="BB58" s="231">
        <f t="shared" si="16"/>
        <v>17.100000000000001</v>
      </c>
      <c r="BC58" s="231">
        <f t="shared" si="17"/>
        <v>5</v>
      </c>
      <c r="BD58" s="232">
        <f>IF(ISNUMBER(S58),S58,NA())</f>
        <v>62.5</v>
      </c>
      <c r="BE58" s="232">
        <f>IF(ISNUMBER(T58),T58,NA())</f>
        <v>57.89473684210526</v>
      </c>
      <c r="BP58">
        <v>51</v>
      </c>
    </row>
    <row r="59" spans="1:68">
      <c r="A59" s="13">
        <v>52</v>
      </c>
      <c r="B59">
        <v>10710164</v>
      </c>
      <c r="C59" s="215"/>
      <c r="D59" s="9" t="s">
        <v>758</v>
      </c>
      <c r="E59" s="18" t="s">
        <v>1028</v>
      </c>
      <c r="F59" s="16">
        <v>1998</v>
      </c>
      <c r="G59" s="1" t="s">
        <v>1819</v>
      </c>
      <c r="H59" s="16">
        <v>38</v>
      </c>
      <c r="I59" s="16">
        <v>20</v>
      </c>
      <c r="J59" s="85" t="s">
        <v>296</v>
      </c>
      <c r="K59" s="85">
        <v>3</v>
      </c>
      <c r="L59" s="16" t="s">
        <v>1119</v>
      </c>
      <c r="M59" s="16">
        <v>38.5</v>
      </c>
      <c r="N59" s="16">
        <v>10</v>
      </c>
      <c r="O59" s="16">
        <v>40.299999999999997</v>
      </c>
      <c r="P59" s="16">
        <v>10.4</v>
      </c>
      <c r="Q59" s="16">
        <v>21</v>
      </c>
      <c r="R59" s="16">
        <v>11</v>
      </c>
      <c r="S59" s="88">
        <f t="shared" si="0"/>
        <v>55.263157894736842</v>
      </c>
      <c r="T59" s="88">
        <f t="shared" si="1"/>
        <v>55</v>
      </c>
      <c r="U59" s="85" t="s">
        <v>1688</v>
      </c>
      <c r="V59" s="85">
        <v>20.6</v>
      </c>
      <c r="W59" s="85">
        <v>3</v>
      </c>
      <c r="X59" s="86">
        <f t="shared" si="2"/>
        <v>58</v>
      </c>
      <c r="Y59" t="s">
        <v>1094</v>
      </c>
      <c r="Z59" t="s">
        <v>578</v>
      </c>
      <c r="AA59">
        <f t="shared" si="3"/>
        <v>4</v>
      </c>
      <c r="AB59">
        <v>4</v>
      </c>
      <c r="AC59" t="s">
        <v>1688</v>
      </c>
      <c r="AD59" t="s">
        <v>1688</v>
      </c>
      <c r="AE59" t="s">
        <v>1688</v>
      </c>
      <c r="AF59" t="s">
        <v>1688</v>
      </c>
      <c r="AG59" t="s">
        <v>1688</v>
      </c>
      <c r="AH59" t="s">
        <v>1688</v>
      </c>
      <c r="AI59" t="s">
        <v>1688</v>
      </c>
      <c r="AJ59" t="s">
        <v>1688</v>
      </c>
      <c r="AK59" t="s">
        <v>1688</v>
      </c>
      <c r="AL59" s="158" t="str">
        <f t="shared" si="4"/>
        <v>ns</v>
      </c>
      <c r="AM59" s="136" t="str">
        <f t="shared" si="5"/>
        <v>ns</v>
      </c>
      <c r="AN59" s="136" t="str">
        <f t="shared" si="6"/>
        <v>ns</v>
      </c>
      <c r="AO59" s="136" t="str">
        <f t="shared" si="7"/>
        <v>ns</v>
      </c>
      <c r="AP59" s="136" t="str">
        <f t="shared" si="8"/>
        <v>ns</v>
      </c>
      <c r="AQ59" s="136" t="str">
        <f t="shared" si="9"/>
        <v>ns</v>
      </c>
      <c r="AR59" s="136" t="str">
        <f t="shared" si="10"/>
        <v>ns</v>
      </c>
      <c r="AS59" s="136" t="str">
        <f t="shared" si="11"/>
        <v>ns</v>
      </c>
      <c r="AT59" s="85">
        <v>1.5</v>
      </c>
      <c r="AU59" s="86">
        <f t="shared" si="12"/>
        <v>3</v>
      </c>
      <c r="AV59" s="86" t="str">
        <f t="shared" si="19"/>
        <v/>
      </c>
      <c r="AY59" s="231">
        <f>IF(ISNUMBER(M59),M59,NA())</f>
        <v>38.5</v>
      </c>
      <c r="AZ59" s="231">
        <f t="shared" si="18"/>
        <v>10</v>
      </c>
      <c r="BA59" s="231">
        <f t="shared" si="15"/>
        <v>40.299999999999997</v>
      </c>
      <c r="BB59" s="231">
        <f t="shared" si="16"/>
        <v>10.4</v>
      </c>
      <c r="BC59" s="231">
        <f t="shared" si="17"/>
        <v>3</v>
      </c>
      <c r="BD59" s="232">
        <f>IF(ISNUMBER(S59),S59,NA())</f>
        <v>55.263157894736842</v>
      </c>
      <c r="BE59" s="232">
        <f>IF(ISNUMBER(T59),T59,NA())</f>
        <v>55</v>
      </c>
      <c r="BP59">
        <v>52</v>
      </c>
    </row>
    <row r="60" spans="1:68" ht="13.5" customHeight="1">
      <c r="A60">
        <v>53</v>
      </c>
      <c r="B60">
        <v>9674587</v>
      </c>
      <c r="C60" s="215"/>
      <c r="D60" s="9" t="s">
        <v>552</v>
      </c>
      <c r="E60" s="18" t="s">
        <v>1758</v>
      </c>
      <c r="F60" s="16">
        <v>1998</v>
      </c>
      <c r="G60" s="1" t="s">
        <v>1309</v>
      </c>
      <c r="H60" s="16">
        <v>20</v>
      </c>
      <c r="I60" s="16">
        <v>20</v>
      </c>
      <c r="J60" s="85" t="s">
        <v>151</v>
      </c>
      <c r="K60" s="85">
        <v>4</v>
      </c>
      <c r="L60" s="16" t="s">
        <v>1119</v>
      </c>
      <c r="M60" s="16">
        <v>54</v>
      </c>
      <c r="N60" s="16">
        <v>18</v>
      </c>
      <c r="O60" s="16">
        <v>53</v>
      </c>
      <c r="P60" s="16">
        <v>17</v>
      </c>
      <c r="Q60" s="16">
        <v>20</v>
      </c>
      <c r="R60" s="16">
        <v>20</v>
      </c>
      <c r="S60" s="88">
        <f t="shared" si="0"/>
        <v>100</v>
      </c>
      <c r="T60" s="88">
        <f t="shared" si="1"/>
        <v>100</v>
      </c>
      <c r="U60" s="85" t="s">
        <v>1688</v>
      </c>
      <c r="V60" s="85">
        <v>5</v>
      </c>
      <c r="W60" s="85">
        <v>1.25</v>
      </c>
      <c r="X60" s="86">
        <f t="shared" si="2"/>
        <v>40</v>
      </c>
      <c r="Y60" t="s">
        <v>1449</v>
      </c>
      <c r="Z60" t="s">
        <v>575</v>
      </c>
      <c r="AA60">
        <f t="shared" si="3"/>
        <v>7</v>
      </c>
      <c r="AB60">
        <v>5</v>
      </c>
      <c r="AC60">
        <v>14</v>
      </c>
      <c r="AD60">
        <v>4</v>
      </c>
      <c r="AE60">
        <v>5</v>
      </c>
      <c r="AG60">
        <v>5</v>
      </c>
      <c r="AH60" t="s">
        <v>1688</v>
      </c>
      <c r="AI60" t="s">
        <v>1688</v>
      </c>
      <c r="AJ60" t="s">
        <v>1688</v>
      </c>
      <c r="AK60" t="s">
        <v>1688</v>
      </c>
      <c r="AL60" s="158">
        <f t="shared" si="4"/>
        <v>70</v>
      </c>
      <c r="AM60" s="136">
        <f t="shared" si="5"/>
        <v>20</v>
      </c>
      <c r="AN60" s="136">
        <f t="shared" si="6"/>
        <v>25</v>
      </c>
      <c r="AO60" s="136" t="str">
        <f t="shared" si="7"/>
        <v/>
      </c>
      <c r="AP60" s="136">
        <f t="shared" si="8"/>
        <v>25</v>
      </c>
      <c r="AQ60" s="136" t="str">
        <f t="shared" si="9"/>
        <v>ns</v>
      </c>
      <c r="AR60" s="136" t="str">
        <f t="shared" si="10"/>
        <v>ns</v>
      </c>
      <c r="AS60" s="136" t="str">
        <f t="shared" si="11"/>
        <v>ns</v>
      </c>
      <c r="AT60" s="85">
        <v>1.5</v>
      </c>
      <c r="AU60" s="86">
        <f t="shared" si="12"/>
        <v>1.25</v>
      </c>
      <c r="AV60" s="86" t="str">
        <f t="shared" si="19"/>
        <v/>
      </c>
      <c r="AY60" s="231">
        <f>IF(ISNUMBER(M60),M60,NA())</f>
        <v>54</v>
      </c>
      <c r="AZ60" s="231">
        <f t="shared" si="18"/>
        <v>18</v>
      </c>
      <c r="BA60" s="231">
        <f t="shared" si="15"/>
        <v>53</v>
      </c>
      <c r="BB60" s="231">
        <f t="shared" si="16"/>
        <v>17</v>
      </c>
      <c r="BC60" s="231">
        <f t="shared" si="17"/>
        <v>1.25</v>
      </c>
      <c r="BD60" s="232">
        <f>IF(ISNUMBER(S60),S60,NA())</f>
        <v>100</v>
      </c>
      <c r="BE60" s="232">
        <f>IF(ISNUMBER(T60),T60,NA())</f>
        <v>100</v>
      </c>
      <c r="BP60">
        <v>53</v>
      </c>
    </row>
    <row r="61" spans="1:68">
      <c r="A61" s="13">
        <v>54</v>
      </c>
      <c r="B61">
        <v>9818735</v>
      </c>
      <c r="C61" s="215"/>
      <c r="D61" s="9" t="s">
        <v>1537</v>
      </c>
      <c r="E61" s="18" t="s">
        <v>1756</v>
      </c>
      <c r="F61" s="16">
        <v>1998</v>
      </c>
      <c r="G61" s="84" t="s">
        <v>1820</v>
      </c>
      <c r="H61" s="16">
        <v>68</v>
      </c>
      <c r="I61" s="16">
        <v>28</v>
      </c>
      <c r="J61" s="85" t="s">
        <v>151</v>
      </c>
      <c r="K61" s="85">
        <v>4</v>
      </c>
      <c r="L61" s="16" t="s">
        <v>1119</v>
      </c>
      <c r="M61" s="16">
        <v>70.72</v>
      </c>
      <c r="N61" s="16">
        <v>8.3699999999999992</v>
      </c>
      <c r="O61" s="16">
        <v>69.17</v>
      </c>
      <c r="P61" s="16">
        <v>8.3699999999999992</v>
      </c>
      <c r="Q61" s="16">
        <v>54</v>
      </c>
      <c r="R61" s="16">
        <v>13</v>
      </c>
      <c r="S61" s="88">
        <f t="shared" si="0"/>
        <v>79.411764705882348</v>
      </c>
      <c r="T61" s="88">
        <f t="shared" si="1"/>
        <v>46.428571428571431</v>
      </c>
      <c r="U61" s="85" t="s">
        <v>1688</v>
      </c>
      <c r="V61" s="85" t="s">
        <v>1688</v>
      </c>
      <c r="W61" s="85">
        <v>5</v>
      </c>
      <c r="X61" s="86">
        <f t="shared" si="2"/>
        <v>96</v>
      </c>
      <c r="Y61" t="s">
        <v>1293</v>
      </c>
      <c r="Z61" t="s">
        <v>894</v>
      </c>
      <c r="AA61">
        <f t="shared" si="3"/>
        <v>1</v>
      </c>
      <c r="AB61">
        <v>5</v>
      </c>
      <c r="AC61" t="s">
        <v>1688</v>
      </c>
      <c r="AD61" t="s">
        <v>1688</v>
      </c>
      <c r="AE61" t="s">
        <v>1688</v>
      </c>
      <c r="AF61" t="s">
        <v>1688</v>
      </c>
      <c r="AG61" t="s">
        <v>1688</v>
      </c>
      <c r="AH61" t="s">
        <v>1688</v>
      </c>
      <c r="AI61" t="s">
        <v>1688</v>
      </c>
      <c r="AJ61" t="s">
        <v>1688</v>
      </c>
      <c r="AK61" t="s">
        <v>1688</v>
      </c>
      <c r="AL61" s="158" t="str">
        <f t="shared" si="4"/>
        <v>ns</v>
      </c>
      <c r="AM61" s="136" t="str">
        <f t="shared" si="5"/>
        <v>ns</v>
      </c>
      <c r="AN61" s="136" t="str">
        <f t="shared" si="6"/>
        <v>ns</v>
      </c>
      <c r="AO61" s="136" t="str">
        <f t="shared" si="7"/>
        <v>ns</v>
      </c>
      <c r="AP61" s="136" t="str">
        <f t="shared" si="8"/>
        <v>ns</v>
      </c>
      <c r="AQ61" s="136" t="str">
        <f t="shared" si="9"/>
        <v>ns</v>
      </c>
      <c r="AR61" s="136" t="str">
        <f t="shared" si="10"/>
        <v>ns</v>
      </c>
      <c r="AS61" s="136" t="str">
        <f t="shared" si="11"/>
        <v>ns</v>
      </c>
      <c r="AT61" s="85">
        <v>1.5</v>
      </c>
      <c r="AU61" s="86">
        <f t="shared" si="12"/>
        <v>5</v>
      </c>
      <c r="AV61" s="86" t="str">
        <f t="shared" si="19"/>
        <v/>
      </c>
      <c r="AY61" s="231">
        <f>IF(ISNUMBER(M61),M61,NA())</f>
        <v>70.72</v>
      </c>
      <c r="AZ61" s="231">
        <f t="shared" si="18"/>
        <v>8.3699999999999992</v>
      </c>
      <c r="BA61" s="231">
        <f t="shared" si="15"/>
        <v>69.17</v>
      </c>
      <c r="BB61" s="231">
        <f t="shared" si="16"/>
        <v>8.3699999999999992</v>
      </c>
      <c r="BC61" s="231">
        <f t="shared" si="17"/>
        <v>5</v>
      </c>
      <c r="BD61" s="232">
        <f>IF(ISNUMBER(S61),S61,NA())</f>
        <v>79.411764705882348</v>
      </c>
      <c r="BE61" s="232">
        <f>IF(ISNUMBER(T61),T61,NA())</f>
        <v>46.428571428571431</v>
      </c>
      <c r="BP61">
        <v>54</v>
      </c>
    </row>
    <row r="62" spans="1:68">
      <c r="A62">
        <v>55</v>
      </c>
      <c r="B62">
        <v>10405084</v>
      </c>
      <c r="C62" s="215"/>
      <c r="D62" s="9" t="s">
        <v>420</v>
      </c>
      <c r="E62" s="18" t="s">
        <v>1027</v>
      </c>
      <c r="F62" s="16">
        <v>1999</v>
      </c>
      <c r="G62" s="84" t="s">
        <v>1821</v>
      </c>
      <c r="H62" s="16">
        <v>40</v>
      </c>
      <c r="I62" s="16">
        <v>46</v>
      </c>
      <c r="J62" s="85" t="s">
        <v>296</v>
      </c>
      <c r="K62" s="85">
        <v>3</v>
      </c>
      <c r="L62" s="16" t="s">
        <v>1119</v>
      </c>
      <c r="M62" s="16">
        <v>74.3</v>
      </c>
      <c r="N62" s="16">
        <v>6</v>
      </c>
      <c r="O62" s="16">
        <v>71.400000000000006</v>
      </c>
      <c r="P62" s="16">
        <v>0.3</v>
      </c>
      <c r="Q62" s="16">
        <v>28</v>
      </c>
      <c r="R62" s="16">
        <v>28</v>
      </c>
      <c r="S62" s="88">
        <f t="shared" si="0"/>
        <v>70</v>
      </c>
      <c r="T62" s="88">
        <f t="shared" si="1"/>
        <v>60.869565217391305</v>
      </c>
      <c r="U62" s="86">
        <v>61.5</v>
      </c>
      <c r="V62" s="86">
        <v>26.1</v>
      </c>
      <c r="W62" s="85">
        <v>3.1</v>
      </c>
      <c r="X62" s="86">
        <f t="shared" si="2"/>
        <v>86</v>
      </c>
      <c r="Y62" t="s">
        <v>1091</v>
      </c>
      <c r="Z62" t="s">
        <v>895</v>
      </c>
      <c r="AA62">
        <f t="shared" si="3"/>
        <v>8</v>
      </c>
      <c r="AB62">
        <v>4</v>
      </c>
      <c r="AC62" t="s">
        <v>1688</v>
      </c>
      <c r="AD62" t="s">
        <v>1688</v>
      </c>
      <c r="AE62" t="s">
        <v>1688</v>
      </c>
      <c r="AF62" t="s">
        <v>1688</v>
      </c>
      <c r="AG62" t="s">
        <v>1688</v>
      </c>
      <c r="AH62" t="s">
        <v>1688</v>
      </c>
      <c r="AI62" t="s">
        <v>1688</v>
      </c>
      <c r="AJ62" t="s">
        <v>1688</v>
      </c>
      <c r="AK62" t="s">
        <v>1688</v>
      </c>
      <c r="AL62" s="158" t="str">
        <f t="shared" si="4"/>
        <v>ns</v>
      </c>
      <c r="AM62" s="136" t="str">
        <f t="shared" si="5"/>
        <v>ns</v>
      </c>
      <c r="AN62" s="136" t="str">
        <f t="shared" si="6"/>
        <v>ns</v>
      </c>
      <c r="AO62" s="136" t="str">
        <f t="shared" si="7"/>
        <v>ns</v>
      </c>
      <c r="AP62" s="136" t="str">
        <f t="shared" si="8"/>
        <v>ns</v>
      </c>
      <c r="AQ62" s="136" t="str">
        <f t="shared" si="9"/>
        <v>ns</v>
      </c>
      <c r="AR62" s="136" t="str">
        <f t="shared" si="10"/>
        <v>ns</v>
      </c>
      <c r="AS62" s="136" t="str">
        <f t="shared" si="11"/>
        <v>ns</v>
      </c>
      <c r="AT62" s="85">
        <v>1</v>
      </c>
      <c r="AU62" s="86">
        <f t="shared" si="12"/>
        <v>3.1</v>
      </c>
      <c r="AV62" s="86" t="str">
        <f t="shared" si="19"/>
        <v/>
      </c>
      <c r="AY62" s="231">
        <f>IF(ISNUMBER(M62),M62,NA())</f>
        <v>74.3</v>
      </c>
      <c r="AZ62" s="231">
        <f t="shared" si="18"/>
        <v>6</v>
      </c>
      <c r="BA62" s="231">
        <f t="shared" si="15"/>
        <v>71.400000000000006</v>
      </c>
      <c r="BB62" s="231">
        <f t="shared" si="16"/>
        <v>0.3</v>
      </c>
      <c r="BC62" s="231">
        <f t="shared" si="17"/>
        <v>3.1</v>
      </c>
      <c r="BD62" s="232">
        <f>IF(ISNUMBER(S62),S62,NA())</f>
        <v>70</v>
      </c>
      <c r="BE62" s="232">
        <f>IF(ISNUMBER(T62),T62,NA())</f>
        <v>60.869565217391305</v>
      </c>
      <c r="BP62">
        <v>55</v>
      </c>
    </row>
    <row r="63" spans="1:68">
      <c r="A63" s="13">
        <v>56</v>
      </c>
      <c r="B63">
        <v>10610044</v>
      </c>
      <c r="C63" s="215"/>
      <c r="D63" s="21" t="s">
        <v>456</v>
      </c>
      <c r="E63" t="s">
        <v>454</v>
      </c>
      <c r="F63">
        <v>1999</v>
      </c>
      <c r="G63" s="1" t="s">
        <v>455</v>
      </c>
      <c r="H63" s="16">
        <v>25</v>
      </c>
      <c r="I63">
        <v>67</v>
      </c>
      <c r="J63" t="s">
        <v>296</v>
      </c>
      <c r="K63">
        <v>3</v>
      </c>
      <c r="L63" s="16" t="s">
        <v>1119</v>
      </c>
      <c r="M63" s="16" t="s">
        <v>1688</v>
      </c>
      <c r="N63" s="16" t="s">
        <v>1688</v>
      </c>
      <c r="O63" s="16">
        <v>28.6</v>
      </c>
      <c r="P63" s="16">
        <v>6.2</v>
      </c>
      <c r="Q63" s="16" t="s">
        <v>1688</v>
      </c>
      <c r="R63" s="16">
        <v>30</v>
      </c>
      <c r="S63" s="88" t="str">
        <f t="shared" si="0"/>
        <v/>
      </c>
      <c r="T63" s="88">
        <f t="shared" si="1"/>
        <v>44.776119402985074</v>
      </c>
      <c r="U63" s="85" t="s">
        <v>1688</v>
      </c>
      <c r="V63" s="85" t="s">
        <v>1688</v>
      </c>
      <c r="W63" s="85">
        <v>3.1</v>
      </c>
      <c r="X63" s="86">
        <f t="shared" si="2"/>
        <v>92</v>
      </c>
      <c r="Y63" t="s">
        <v>890</v>
      </c>
      <c r="Z63" t="s">
        <v>806</v>
      </c>
      <c r="AA63">
        <f t="shared" si="3"/>
        <v>5</v>
      </c>
      <c r="AB63">
        <v>4</v>
      </c>
      <c r="AC63" t="s">
        <v>1688</v>
      </c>
      <c r="AD63" t="s">
        <v>1688</v>
      </c>
      <c r="AE63" t="s">
        <v>1688</v>
      </c>
      <c r="AF63" t="s">
        <v>1688</v>
      </c>
      <c r="AG63" t="s">
        <v>1688</v>
      </c>
      <c r="AH63" t="s">
        <v>1688</v>
      </c>
      <c r="AI63" t="s">
        <v>1688</v>
      </c>
      <c r="AJ63" t="s">
        <v>1688</v>
      </c>
      <c r="AK63" t="s">
        <v>1688</v>
      </c>
      <c r="AL63" s="158" t="str">
        <f t="shared" si="4"/>
        <v>ns</v>
      </c>
      <c r="AM63" s="136" t="str">
        <f t="shared" si="5"/>
        <v>ns</v>
      </c>
      <c r="AN63" s="136" t="str">
        <f t="shared" si="6"/>
        <v>ns</v>
      </c>
      <c r="AO63" s="136" t="str">
        <f t="shared" si="7"/>
        <v>ns</v>
      </c>
      <c r="AP63" s="136" t="str">
        <f t="shared" si="8"/>
        <v>ns</v>
      </c>
      <c r="AQ63" s="136" t="str">
        <f t="shared" si="9"/>
        <v>ns</v>
      </c>
      <c r="AR63" s="136" t="str">
        <f t="shared" si="10"/>
        <v>ns</v>
      </c>
      <c r="AS63" s="136" t="str">
        <f t="shared" si="11"/>
        <v>ns</v>
      </c>
      <c r="AT63" s="85">
        <v>1</v>
      </c>
      <c r="AU63" s="86">
        <f t="shared" si="12"/>
        <v>3.1</v>
      </c>
      <c r="AV63" s="86" t="str">
        <f t="shared" si="19"/>
        <v/>
      </c>
      <c r="AY63" s="231" t="e">
        <f>IF(ISNUMBER(M63),M63,NA())</f>
        <v>#N/A</v>
      </c>
      <c r="AZ63" s="231" t="e">
        <f t="shared" si="18"/>
        <v>#N/A</v>
      </c>
      <c r="BA63" s="231">
        <f t="shared" si="15"/>
        <v>28.6</v>
      </c>
      <c r="BB63" s="231">
        <f t="shared" si="16"/>
        <v>6.2</v>
      </c>
      <c r="BC63" s="231">
        <f t="shared" si="17"/>
        <v>3.1</v>
      </c>
      <c r="BD63" s="232" t="e">
        <f>IF(ISNUMBER(S63),S63,NA())</f>
        <v>#N/A</v>
      </c>
      <c r="BE63" s="232">
        <f>IF(ISNUMBER(T63),T63,NA())</f>
        <v>44.776119402985074</v>
      </c>
      <c r="BP63">
        <v>56</v>
      </c>
    </row>
    <row r="64" spans="1:68">
      <c r="A64">
        <v>57</v>
      </c>
      <c r="B64">
        <v>10080561</v>
      </c>
      <c r="C64" s="215"/>
      <c r="D64" s="9" t="s">
        <v>548</v>
      </c>
      <c r="E64" s="18" t="s">
        <v>1026</v>
      </c>
      <c r="F64" s="16">
        <v>1999</v>
      </c>
      <c r="G64" s="84" t="s">
        <v>1822</v>
      </c>
      <c r="H64" s="16">
        <v>41</v>
      </c>
      <c r="I64" s="16">
        <v>38</v>
      </c>
      <c r="J64" s="85" t="s">
        <v>296</v>
      </c>
      <c r="K64" s="85">
        <v>3</v>
      </c>
      <c r="L64" s="16" t="s">
        <v>1119</v>
      </c>
      <c r="M64" s="16">
        <v>74.599999999999994</v>
      </c>
      <c r="N64" s="16">
        <v>6</v>
      </c>
      <c r="O64" s="16">
        <v>72.8</v>
      </c>
      <c r="P64" s="16">
        <v>6.4</v>
      </c>
      <c r="Q64" s="16">
        <v>30</v>
      </c>
      <c r="R64" s="16">
        <v>19</v>
      </c>
      <c r="S64" s="88">
        <f t="shared" si="0"/>
        <v>73.170731707317074</v>
      </c>
      <c r="T64" s="88">
        <f t="shared" si="1"/>
        <v>50</v>
      </c>
      <c r="U64" s="85" t="s">
        <v>1688</v>
      </c>
      <c r="V64" s="85">
        <v>26</v>
      </c>
      <c r="W64" s="85">
        <v>7</v>
      </c>
      <c r="X64" s="86">
        <f t="shared" si="2"/>
        <v>79</v>
      </c>
      <c r="Y64" t="s">
        <v>610</v>
      </c>
      <c r="Z64" t="s">
        <v>978</v>
      </c>
      <c r="AA64">
        <f t="shared" si="3"/>
        <v>1</v>
      </c>
      <c r="AB64">
        <v>4</v>
      </c>
      <c r="AC64" t="s">
        <v>1688</v>
      </c>
      <c r="AD64" t="s">
        <v>1688</v>
      </c>
      <c r="AE64" t="s">
        <v>1688</v>
      </c>
      <c r="AF64" t="s">
        <v>1688</v>
      </c>
      <c r="AG64" t="s">
        <v>1688</v>
      </c>
      <c r="AH64" t="s">
        <v>1688</v>
      </c>
      <c r="AI64" t="s">
        <v>1688</v>
      </c>
      <c r="AJ64" t="s">
        <v>1688</v>
      </c>
      <c r="AK64" t="s">
        <v>1688</v>
      </c>
      <c r="AL64" s="158" t="str">
        <f t="shared" si="4"/>
        <v>ns</v>
      </c>
      <c r="AM64" s="136" t="str">
        <f t="shared" si="5"/>
        <v>ns</v>
      </c>
      <c r="AN64" s="136" t="str">
        <f t="shared" si="6"/>
        <v>ns</v>
      </c>
      <c r="AO64" s="136" t="str">
        <f t="shared" si="7"/>
        <v>ns</v>
      </c>
      <c r="AP64" s="136" t="str">
        <f t="shared" si="8"/>
        <v>ns</v>
      </c>
      <c r="AQ64" s="136" t="str">
        <f t="shared" si="9"/>
        <v>ns</v>
      </c>
      <c r="AR64" s="136" t="str">
        <f t="shared" si="10"/>
        <v>ns</v>
      </c>
      <c r="AS64" s="136" t="str">
        <f t="shared" si="11"/>
        <v>ns</v>
      </c>
      <c r="AT64" s="85">
        <v>1</v>
      </c>
      <c r="AU64" s="86">
        <f t="shared" si="12"/>
        <v>7</v>
      </c>
      <c r="AV64" s="86" t="str">
        <f t="shared" si="19"/>
        <v/>
      </c>
      <c r="AY64" s="231">
        <f>IF(ISNUMBER(M64),M64,NA())</f>
        <v>74.599999999999994</v>
      </c>
      <c r="AZ64" s="231">
        <f t="shared" si="18"/>
        <v>6</v>
      </c>
      <c r="BA64" s="231">
        <f t="shared" si="15"/>
        <v>72.8</v>
      </c>
      <c r="BB64" s="231">
        <f t="shared" si="16"/>
        <v>6.4</v>
      </c>
      <c r="BC64" s="231">
        <f t="shared" si="17"/>
        <v>7</v>
      </c>
      <c r="BD64" s="232">
        <f>IF(ISNUMBER(S64),S64,NA())</f>
        <v>73.170731707317074</v>
      </c>
      <c r="BE64" s="232">
        <f>IF(ISNUMBER(T64),T64,NA())</f>
        <v>50</v>
      </c>
      <c r="BP64">
        <v>57</v>
      </c>
    </row>
    <row r="65" spans="1:68">
      <c r="A65" s="13">
        <v>58</v>
      </c>
      <c r="B65">
        <v>10518173</v>
      </c>
      <c r="C65" s="215"/>
      <c r="D65" s="9" t="s">
        <v>979</v>
      </c>
      <c r="E65" s="18" t="s">
        <v>1121</v>
      </c>
      <c r="F65" s="16">
        <v>1999</v>
      </c>
      <c r="G65" s="84" t="s">
        <v>1822</v>
      </c>
      <c r="H65" s="16">
        <v>24</v>
      </c>
      <c r="I65" s="16">
        <v>24</v>
      </c>
      <c r="J65" s="13" t="s">
        <v>151</v>
      </c>
      <c r="K65" s="13">
        <v>4</v>
      </c>
      <c r="L65" s="16" t="s">
        <v>1119</v>
      </c>
      <c r="M65" s="16">
        <v>52.7</v>
      </c>
      <c r="N65" s="16">
        <v>18.399999999999999</v>
      </c>
      <c r="O65" s="16">
        <v>52.8</v>
      </c>
      <c r="P65" s="16"/>
      <c r="Q65" s="16">
        <v>24</v>
      </c>
      <c r="R65" s="16">
        <v>24</v>
      </c>
      <c r="S65" s="88">
        <f t="shared" si="0"/>
        <v>100</v>
      </c>
      <c r="T65" s="88">
        <f t="shared" si="1"/>
        <v>100</v>
      </c>
      <c r="U65" s="85" t="s">
        <v>1688</v>
      </c>
      <c r="V65" s="85" t="s">
        <v>1688</v>
      </c>
      <c r="W65" s="85" t="s">
        <v>1688</v>
      </c>
      <c r="X65" s="86">
        <f t="shared" si="2"/>
        <v>48</v>
      </c>
      <c r="Y65" t="s">
        <v>567</v>
      </c>
      <c r="Z65" t="s">
        <v>978</v>
      </c>
      <c r="AA65">
        <f t="shared" si="3"/>
        <v>1</v>
      </c>
      <c r="AB65">
        <v>5</v>
      </c>
      <c r="AC65">
        <v>16</v>
      </c>
      <c r="AD65" t="s">
        <v>1688</v>
      </c>
      <c r="AE65" t="s">
        <v>1688</v>
      </c>
      <c r="AF65" t="s">
        <v>1688</v>
      </c>
      <c r="AG65" t="s">
        <v>1688</v>
      </c>
      <c r="AH65" t="s">
        <v>1688</v>
      </c>
      <c r="AI65" t="s">
        <v>1688</v>
      </c>
      <c r="AJ65" t="s">
        <v>1688</v>
      </c>
      <c r="AK65" t="s">
        <v>1688</v>
      </c>
      <c r="AL65" s="158">
        <f t="shared" si="4"/>
        <v>66.666666666666657</v>
      </c>
      <c r="AM65" s="136" t="str">
        <f t="shared" si="5"/>
        <v>ns</v>
      </c>
      <c r="AN65" s="136" t="str">
        <f t="shared" si="6"/>
        <v>ns</v>
      </c>
      <c r="AO65" s="136" t="str">
        <f t="shared" si="7"/>
        <v>ns</v>
      </c>
      <c r="AP65" s="136" t="str">
        <f t="shared" si="8"/>
        <v>ns</v>
      </c>
      <c r="AQ65" s="136" t="str">
        <f t="shared" si="9"/>
        <v>ns</v>
      </c>
      <c r="AR65" s="136" t="str">
        <f t="shared" si="10"/>
        <v>ns</v>
      </c>
      <c r="AS65" s="136" t="str">
        <f t="shared" si="11"/>
        <v>ns</v>
      </c>
      <c r="AT65" s="85">
        <v>1.5</v>
      </c>
      <c r="AU65" s="86" t="str">
        <f t="shared" si="12"/>
        <v/>
      </c>
      <c r="AV65" s="86" t="str">
        <f t="shared" si="19"/>
        <v/>
      </c>
      <c r="AY65" s="231">
        <f>IF(ISNUMBER(M65),M65,NA())</f>
        <v>52.7</v>
      </c>
      <c r="AZ65" s="231">
        <f t="shared" si="18"/>
        <v>18.399999999999999</v>
      </c>
      <c r="BA65" s="231">
        <f t="shared" si="15"/>
        <v>52.8</v>
      </c>
      <c r="BB65" s="231" t="e">
        <f t="shared" si="16"/>
        <v>#N/A</v>
      </c>
      <c r="BC65" s="231" t="e">
        <f t="shared" si="17"/>
        <v>#N/A</v>
      </c>
      <c r="BD65" s="232">
        <f>IF(ISNUMBER(S65),S65,NA())</f>
        <v>100</v>
      </c>
      <c r="BE65" s="232">
        <f>IF(ISNUMBER(T65),T65,NA())</f>
        <v>100</v>
      </c>
      <c r="BP65">
        <v>58</v>
      </c>
    </row>
    <row r="66" spans="1:68">
      <c r="A66">
        <v>59</v>
      </c>
      <c r="B66">
        <v>10588417</v>
      </c>
      <c r="C66" s="215"/>
      <c r="D66" s="9" t="s">
        <v>1099</v>
      </c>
      <c r="E66" s="18" t="s">
        <v>1122</v>
      </c>
      <c r="F66" s="16">
        <v>1999</v>
      </c>
      <c r="G66" s="84" t="s">
        <v>1823</v>
      </c>
      <c r="H66" s="16">
        <v>24</v>
      </c>
      <c r="I66" s="16">
        <v>24</v>
      </c>
      <c r="J66" s="13" t="s">
        <v>151</v>
      </c>
      <c r="K66" s="13">
        <v>4</v>
      </c>
      <c r="L66" s="16" t="s">
        <v>1119</v>
      </c>
      <c r="M66" s="16">
        <v>53</v>
      </c>
      <c r="N66" s="16" t="s">
        <v>1688</v>
      </c>
      <c r="O66" s="16">
        <v>53</v>
      </c>
      <c r="P66" s="16" t="s">
        <v>1688</v>
      </c>
      <c r="Q66" s="16">
        <v>24</v>
      </c>
      <c r="R66" s="16">
        <v>24</v>
      </c>
      <c r="S66" s="88">
        <f t="shared" si="0"/>
        <v>100</v>
      </c>
      <c r="T66" s="88">
        <f t="shared" si="1"/>
        <v>100</v>
      </c>
      <c r="U66" s="205" t="s">
        <v>1688</v>
      </c>
      <c r="V66" s="205" t="s">
        <v>1688</v>
      </c>
      <c r="W66" s="205">
        <v>1.25</v>
      </c>
      <c r="X66" s="86">
        <f t="shared" si="2"/>
        <v>48</v>
      </c>
      <c r="Y66" t="s">
        <v>1234</v>
      </c>
      <c r="Z66" t="s">
        <v>897</v>
      </c>
      <c r="AA66">
        <f t="shared" si="3"/>
        <v>4</v>
      </c>
      <c r="AB66">
        <v>5</v>
      </c>
      <c r="AC66" t="s">
        <v>1688</v>
      </c>
      <c r="AD66" t="s">
        <v>1688</v>
      </c>
      <c r="AE66" t="s">
        <v>1688</v>
      </c>
      <c r="AF66" t="s">
        <v>1688</v>
      </c>
      <c r="AG66" t="s">
        <v>1688</v>
      </c>
      <c r="AH66" t="s">
        <v>1688</v>
      </c>
      <c r="AI66" t="s">
        <v>1688</v>
      </c>
      <c r="AJ66" t="s">
        <v>1688</v>
      </c>
      <c r="AK66" t="s">
        <v>1688</v>
      </c>
      <c r="AL66" s="158" t="str">
        <f t="shared" si="4"/>
        <v>ns</v>
      </c>
      <c r="AM66" s="136" t="str">
        <f t="shared" si="5"/>
        <v>ns</v>
      </c>
      <c r="AN66" s="136" t="str">
        <f t="shared" si="6"/>
        <v>ns</v>
      </c>
      <c r="AO66" s="136" t="str">
        <f t="shared" si="7"/>
        <v>ns</v>
      </c>
      <c r="AP66" s="136" t="str">
        <f t="shared" si="8"/>
        <v>ns</v>
      </c>
      <c r="AQ66" s="136" t="str">
        <f t="shared" si="9"/>
        <v>ns</v>
      </c>
      <c r="AR66" s="136" t="str">
        <f t="shared" si="10"/>
        <v>ns</v>
      </c>
      <c r="AS66" s="136" t="str">
        <f t="shared" si="11"/>
        <v>ns</v>
      </c>
      <c r="AT66" s="140"/>
      <c r="AU66" s="86">
        <f t="shared" si="12"/>
        <v>1.25</v>
      </c>
      <c r="AV66" s="86" t="str">
        <f t="shared" si="19"/>
        <v/>
      </c>
      <c r="AY66" s="231">
        <f>IF(ISNUMBER(M66),M66,NA())</f>
        <v>53</v>
      </c>
      <c r="AZ66" s="231" t="e">
        <f t="shared" si="18"/>
        <v>#N/A</v>
      </c>
      <c r="BA66" s="231">
        <f t="shared" si="15"/>
        <v>53</v>
      </c>
      <c r="BB66" s="231" t="e">
        <f t="shared" si="16"/>
        <v>#N/A</v>
      </c>
      <c r="BC66" s="231">
        <f t="shared" si="17"/>
        <v>1.25</v>
      </c>
      <c r="BD66" s="232">
        <f>IF(ISNUMBER(S66),S66,NA())</f>
        <v>100</v>
      </c>
      <c r="BE66" s="232">
        <f>IF(ISNUMBER(T66),T66,NA())</f>
        <v>100</v>
      </c>
      <c r="BP66">
        <v>59</v>
      </c>
    </row>
    <row r="67" spans="1:68">
      <c r="A67" s="13">
        <v>60</v>
      </c>
      <c r="B67">
        <v>10448451</v>
      </c>
      <c r="C67" s="215"/>
      <c r="D67" s="21" t="s">
        <v>1525</v>
      </c>
      <c r="E67" t="s">
        <v>621</v>
      </c>
      <c r="F67">
        <v>1999</v>
      </c>
      <c r="G67" s="1" t="s">
        <v>1421</v>
      </c>
      <c r="H67">
        <v>10</v>
      </c>
      <c r="I67">
        <v>89</v>
      </c>
      <c r="J67" s="13" t="s">
        <v>296</v>
      </c>
      <c r="K67" s="13">
        <v>3</v>
      </c>
      <c r="L67" t="s">
        <v>422</v>
      </c>
      <c r="M67">
        <v>85</v>
      </c>
      <c r="N67">
        <v>1</v>
      </c>
      <c r="O67">
        <v>85</v>
      </c>
      <c r="P67">
        <v>1</v>
      </c>
      <c r="Q67" t="s">
        <v>1688</v>
      </c>
      <c r="R67" t="s">
        <v>1688</v>
      </c>
      <c r="S67" s="88" t="str">
        <f t="shared" si="0"/>
        <v/>
      </c>
      <c r="T67" s="88" t="str">
        <f t="shared" si="1"/>
        <v/>
      </c>
      <c r="U67" t="s">
        <v>1688</v>
      </c>
      <c r="V67" t="s">
        <v>1688</v>
      </c>
      <c r="W67">
        <v>10</v>
      </c>
      <c r="X67" s="86">
        <f t="shared" si="2"/>
        <v>99</v>
      </c>
      <c r="Y67" t="s">
        <v>358</v>
      </c>
      <c r="Z67" t="s">
        <v>1779</v>
      </c>
      <c r="AA67">
        <f t="shared" si="3"/>
        <v>5</v>
      </c>
      <c r="AB67">
        <v>4</v>
      </c>
      <c r="AC67" t="s">
        <v>1688</v>
      </c>
      <c r="AD67" t="s">
        <v>1688</v>
      </c>
      <c r="AE67" t="s">
        <v>1688</v>
      </c>
      <c r="AF67" t="s">
        <v>1688</v>
      </c>
      <c r="AG67" t="s">
        <v>1688</v>
      </c>
      <c r="AH67" t="s">
        <v>1688</v>
      </c>
      <c r="AI67" t="s">
        <v>1688</v>
      </c>
      <c r="AJ67" t="s">
        <v>1688</v>
      </c>
      <c r="AK67" t="s">
        <v>1688</v>
      </c>
      <c r="AL67" s="158" t="str">
        <f t="shared" si="4"/>
        <v>ns</v>
      </c>
      <c r="AM67" s="136" t="str">
        <f t="shared" si="5"/>
        <v>ns</v>
      </c>
      <c r="AN67" s="136" t="str">
        <f t="shared" si="6"/>
        <v>ns</v>
      </c>
      <c r="AO67" s="136" t="str">
        <f t="shared" si="7"/>
        <v>ns</v>
      </c>
      <c r="AP67" s="136" t="str">
        <f t="shared" si="8"/>
        <v>ns</v>
      </c>
      <c r="AQ67" s="136" t="str">
        <f t="shared" si="9"/>
        <v>ns</v>
      </c>
      <c r="AR67" s="136" t="str">
        <f t="shared" si="10"/>
        <v>ns</v>
      </c>
      <c r="AS67" s="136" t="str">
        <f t="shared" si="11"/>
        <v>ns</v>
      </c>
      <c r="AU67" s="86" t="str">
        <f t="shared" si="12"/>
        <v/>
      </c>
      <c r="AV67" s="86">
        <f t="shared" si="19"/>
        <v>10</v>
      </c>
      <c r="AY67" s="231">
        <f>IF(ISNUMBER(M67),M67,NA())</f>
        <v>85</v>
      </c>
      <c r="AZ67" s="231">
        <f t="shared" si="18"/>
        <v>1</v>
      </c>
      <c r="BA67" s="231">
        <f t="shared" si="15"/>
        <v>85</v>
      </c>
      <c r="BB67" s="231">
        <f t="shared" si="16"/>
        <v>1</v>
      </c>
      <c r="BC67" s="231">
        <f t="shared" si="17"/>
        <v>10</v>
      </c>
      <c r="BD67" s="232" t="e">
        <f>IF(ISNUMBER(S67),S67,NA())</f>
        <v>#N/A</v>
      </c>
      <c r="BE67" s="232" t="e">
        <f>IF(ISNUMBER(T67),T67,NA())</f>
        <v>#N/A</v>
      </c>
      <c r="BP67">
        <v>60</v>
      </c>
    </row>
    <row r="68" spans="1:68">
      <c r="A68">
        <v>61</v>
      </c>
      <c r="B68">
        <v>10366636</v>
      </c>
      <c r="C68" s="215"/>
      <c r="D68" s="1" t="s">
        <v>1583</v>
      </c>
      <c r="E68" t="s">
        <v>1758</v>
      </c>
      <c r="F68">
        <v>1999</v>
      </c>
      <c r="G68" s="1" t="s">
        <v>1823</v>
      </c>
      <c r="H68">
        <v>24</v>
      </c>
      <c r="I68">
        <v>24</v>
      </c>
      <c r="J68" s="13" t="s">
        <v>151</v>
      </c>
      <c r="K68" s="13">
        <v>4</v>
      </c>
      <c r="L68" t="s">
        <v>1119</v>
      </c>
      <c r="M68">
        <v>52.8</v>
      </c>
      <c r="N68">
        <v>18.399999999999999</v>
      </c>
      <c r="O68">
        <v>52.8</v>
      </c>
      <c r="P68">
        <v>17.8</v>
      </c>
      <c r="Q68">
        <v>24</v>
      </c>
      <c r="R68">
        <v>24</v>
      </c>
      <c r="S68" s="88">
        <f t="shared" si="0"/>
        <v>100</v>
      </c>
      <c r="T68" s="88">
        <f t="shared" si="1"/>
        <v>100</v>
      </c>
      <c r="U68" s="85" t="s">
        <v>1688</v>
      </c>
      <c r="V68" s="85" t="s">
        <v>1688</v>
      </c>
      <c r="W68" s="85">
        <v>1.25</v>
      </c>
      <c r="X68" s="86">
        <f t="shared" si="2"/>
        <v>48</v>
      </c>
      <c r="Y68" t="s">
        <v>1307</v>
      </c>
      <c r="Z68" t="s">
        <v>1506</v>
      </c>
      <c r="AA68">
        <f t="shared" si="3"/>
        <v>10</v>
      </c>
      <c r="AB68">
        <v>5</v>
      </c>
      <c r="AC68">
        <v>16</v>
      </c>
      <c r="AD68">
        <v>4</v>
      </c>
      <c r="AE68">
        <v>5</v>
      </c>
      <c r="AF68">
        <v>1</v>
      </c>
      <c r="AG68">
        <v>6</v>
      </c>
      <c r="AH68" t="s">
        <v>1688</v>
      </c>
      <c r="AI68" t="s">
        <v>1688</v>
      </c>
      <c r="AJ68" t="s">
        <v>1688</v>
      </c>
      <c r="AK68" t="s">
        <v>1688</v>
      </c>
      <c r="AL68" s="158">
        <f t="shared" si="4"/>
        <v>66.666666666666657</v>
      </c>
      <c r="AM68" s="136">
        <f t="shared" si="5"/>
        <v>16.666666666666664</v>
      </c>
      <c r="AN68" s="136">
        <f t="shared" si="6"/>
        <v>20.833333333333336</v>
      </c>
      <c r="AO68" s="136">
        <f t="shared" si="7"/>
        <v>4.1666666666666661</v>
      </c>
      <c r="AP68" s="136">
        <f t="shared" si="8"/>
        <v>25</v>
      </c>
      <c r="AQ68" s="136" t="str">
        <f t="shared" si="9"/>
        <v>ns</v>
      </c>
      <c r="AR68" s="136" t="str">
        <f t="shared" si="10"/>
        <v>ns</v>
      </c>
      <c r="AS68" s="136" t="str">
        <f t="shared" si="11"/>
        <v>ns</v>
      </c>
      <c r="AT68" s="85">
        <v>1.5</v>
      </c>
      <c r="AU68" s="86">
        <f t="shared" si="12"/>
        <v>1.25</v>
      </c>
      <c r="AV68" s="86" t="str">
        <f t="shared" si="19"/>
        <v/>
      </c>
      <c r="AY68" s="231">
        <f>IF(ISNUMBER(M68),M68,NA())</f>
        <v>52.8</v>
      </c>
      <c r="AZ68" s="231">
        <f t="shared" si="18"/>
        <v>18.399999999999999</v>
      </c>
      <c r="BA68" s="231">
        <f t="shared" si="15"/>
        <v>52.8</v>
      </c>
      <c r="BB68" s="231">
        <f t="shared" si="16"/>
        <v>17.8</v>
      </c>
      <c r="BC68" s="231">
        <f t="shared" si="17"/>
        <v>1.25</v>
      </c>
      <c r="BD68" s="232">
        <f>IF(ISNUMBER(S68),S68,NA())</f>
        <v>100</v>
      </c>
      <c r="BE68" s="232">
        <f>IF(ISNUMBER(T68),T68,NA())</f>
        <v>100</v>
      </c>
      <c r="BP68">
        <v>61</v>
      </c>
    </row>
    <row r="69" spans="1:68">
      <c r="A69" s="13">
        <v>62</v>
      </c>
      <c r="B69">
        <v>10618023</v>
      </c>
      <c r="C69" s="215"/>
      <c r="D69" s="9" t="s">
        <v>954</v>
      </c>
      <c r="E69" s="18" t="s">
        <v>1020</v>
      </c>
      <c r="F69" s="16">
        <v>2000</v>
      </c>
      <c r="G69" s="84" t="s">
        <v>1824</v>
      </c>
      <c r="H69" s="16">
        <v>16</v>
      </c>
      <c r="I69" s="16">
        <v>16</v>
      </c>
      <c r="J69" s="85" t="s">
        <v>151</v>
      </c>
      <c r="K69" s="85">
        <v>4</v>
      </c>
      <c r="L69" s="16" t="s">
        <v>1119</v>
      </c>
      <c r="M69" s="16">
        <v>43</v>
      </c>
      <c r="N69" s="16">
        <v>8</v>
      </c>
      <c r="O69" s="16">
        <v>45</v>
      </c>
      <c r="P69" s="16">
        <v>10</v>
      </c>
      <c r="Q69" s="16">
        <v>6</v>
      </c>
      <c r="R69" s="16">
        <v>6</v>
      </c>
      <c r="S69" s="88">
        <f t="shared" si="0"/>
        <v>37.5</v>
      </c>
      <c r="T69" s="88">
        <f t="shared" si="1"/>
        <v>37.5</v>
      </c>
      <c r="U69" s="85" t="s">
        <v>1688</v>
      </c>
      <c r="V69" s="85" t="s">
        <v>1688</v>
      </c>
      <c r="W69" s="85">
        <v>3</v>
      </c>
      <c r="X69" s="86">
        <f t="shared" si="2"/>
        <v>32</v>
      </c>
      <c r="Y69" t="s">
        <v>1369</v>
      </c>
      <c r="Z69" t="s">
        <v>816</v>
      </c>
      <c r="AA69">
        <f t="shared" si="3"/>
        <v>16</v>
      </c>
      <c r="AB69">
        <v>5</v>
      </c>
      <c r="AC69">
        <v>16</v>
      </c>
      <c r="AD69">
        <v>0</v>
      </c>
      <c r="AE69">
        <v>0</v>
      </c>
      <c r="AF69">
        <v>0</v>
      </c>
      <c r="AG69">
        <v>0</v>
      </c>
      <c r="AH69">
        <v>0</v>
      </c>
      <c r="AI69">
        <v>0</v>
      </c>
      <c r="AJ69">
        <v>0</v>
      </c>
      <c r="AK69">
        <v>0</v>
      </c>
      <c r="AL69" s="158">
        <f t="shared" si="4"/>
        <v>100</v>
      </c>
      <c r="AM69" s="136">
        <f t="shared" si="5"/>
        <v>0</v>
      </c>
      <c r="AN69" s="136">
        <f t="shared" si="6"/>
        <v>0</v>
      </c>
      <c r="AO69" s="136">
        <f t="shared" si="7"/>
        <v>0</v>
      </c>
      <c r="AP69" s="136">
        <f t="shared" si="8"/>
        <v>0</v>
      </c>
      <c r="AQ69" s="136">
        <f t="shared" si="9"/>
        <v>0</v>
      </c>
      <c r="AR69" s="136">
        <f t="shared" si="10"/>
        <v>0</v>
      </c>
      <c r="AS69" s="136">
        <f t="shared" si="11"/>
        <v>0</v>
      </c>
      <c r="AT69" s="85">
        <v>1.5</v>
      </c>
      <c r="AU69" s="86">
        <f t="shared" si="12"/>
        <v>3</v>
      </c>
      <c r="AV69" s="86" t="str">
        <f t="shared" si="19"/>
        <v/>
      </c>
      <c r="AY69" s="231">
        <f>IF(ISNUMBER(M69),M69,NA())</f>
        <v>43</v>
      </c>
      <c r="AZ69" s="231">
        <f t="shared" si="18"/>
        <v>8</v>
      </c>
      <c r="BA69" s="231">
        <f t="shared" si="15"/>
        <v>45</v>
      </c>
      <c r="BB69" s="231">
        <f t="shared" si="16"/>
        <v>10</v>
      </c>
      <c r="BC69" s="231">
        <f t="shared" si="17"/>
        <v>3</v>
      </c>
      <c r="BD69" s="232">
        <f>IF(ISNUMBER(S69),S69,NA())</f>
        <v>37.5</v>
      </c>
      <c r="BE69" s="232">
        <f>IF(ISNUMBER(T69),T69,NA())</f>
        <v>37.5</v>
      </c>
      <c r="BP69">
        <v>62</v>
      </c>
    </row>
    <row r="70" spans="1:68">
      <c r="A70">
        <v>63</v>
      </c>
      <c r="B70">
        <v>10693154</v>
      </c>
      <c r="C70" s="215"/>
      <c r="D70" s="9" t="s">
        <v>545</v>
      </c>
      <c r="E70" s="18" t="s">
        <v>559</v>
      </c>
      <c r="F70" s="16">
        <v>2000</v>
      </c>
      <c r="G70" s="84" t="s">
        <v>1462</v>
      </c>
      <c r="H70" s="16">
        <v>51</v>
      </c>
      <c r="I70" s="16">
        <v>30</v>
      </c>
      <c r="J70" s="85" t="s">
        <v>151</v>
      </c>
      <c r="K70" s="85">
        <v>4</v>
      </c>
      <c r="L70" s="16" t="s">
        <v>1119</v>
      </c>
      <c r="M70" s="16">
        <v>74.3</v>
      </c>
      <c r="N70" s="16">
        <v>6.56</v>
      </c>
      <c r="O70" s="16">
        <v>69.430000000000007</v>
      </c>
      <c r="P70" s="16">
        <v>6.09</v>
      </c>
      <c r="Q70" s="16">
        <v>36</v>
      </c>
      <c r="R70" s="16">
        <v>23</v>
      </c>
      <c r="S70" s="88">
        <f t="shared" si="0"/>
        <v>70.588235294117652</v>
      </c>
      <c r="T70" s="88">
        <f t="shared" si="1"/>
        <v>76.666666666666671</v>
      </c>
      <c r="U70" s="85" t="s">
        <v>1688</v>
      </c>
      <c r="V70" s="85">
        <v>19.8</v>
      </c>
      <c r="W70" s="85">
        <v>5</v>
      </c>
      <c r="X70" s="86">
        <f t="shared" si="2"/>
        <v>81</v>
      </c>
      <c r="Y70" t="s">
        <v>563</v>
      </c>
      <c r="Z70" t="s">
        <v>1140</v>
      </c>
      <c r="AA70">
        <f t="shared" si="3"/>
        <v>4</v>
      </c>
      <c r="AB70">
        <v>5</v>
      </c>
      <c r="AC70" t="s">
        <v>1688</v>
      </c>
      <c r="AD70" t="s">
        <v>1688</v>
      </c>
      <c r="AE70" t="s">
        <v>1688</v>
      </c>
      <c r="AF70" t="s">
        <v>1688</v>
      </c>
      <c r="AG70" t="s">
        <v>1688</v>
      </c>
      <c r="AH70" t="s">
        <v>1688</v>
      </c>
      <c r="AI70" t="s">
        <v>1688</v>
      </c>
      <c r="AJ70" t="s">
        <v>1688</v>
      </c>
      <c r="AK70" t="s">
        <v>1688</v>
      </c>
      <c r="AL70" s="158" t="str">
        <f t="shared" si="4"/>
        <v>ns</v>
      </c>
      <c r="AM70" s="136" t="str">
        <f t="shared" si="5"/>
        <v>ns</v>
      </c>
      <c r="AN70" s="136" t="str">
        <f t="shared" si="6"/>
        <v>ns</v>
      </c>
      <c r="AO70" s="136" t="str">
        <f t="shared" si="7"/>
        <v>ns</v>
      </c>
      <c r="AP70" s="136" t="str">
        <f t="shared" si="8"/>
        <v>ns</v>
      </c>
      <c r="AQ70" s="136" t="str">
        <f t="shared" si="9"/>
        <v>ns</v>
      </c>
      <c r="AR70" s="136" t="str">
        <f t="shared" si="10"/>
        <v>ns</v>
      </c>
      <c r="AS70" s="136" t="str">
        <f t="shared" si="11"/>
        <v>ns</v>
      </c>
      <c r="AT70" s="85">
        <v>1.5</v>
      </c>
      <c r="AU70" s="86">
        <f t="shared" si="12"/>
        <v>5</v>
      </c>
      <c r="AV70" s="86" t="str">
        <f t="shared" si="19"/>
        <v/>
      </c>
      <c r="AY70" s="231">
        <f>IF(ISNUMBER(M70),M70,NA())</f>
        <v>74.3</v>
      </c>
      <c r="AZ70" s="231">
        <f t="shared" si="18"/>
        <v>6.56</v>
      </c>
      <c r="BA70" s="231">
        <f t="shared" si="15"/>
        <v>69.430000000000007</v>
      </c>
      <c r="BB70" s="231">
        <f t="shared" si="16"/>
        <v>6.09</v>
      </c>
      <c r="BC70" s="231">
        <f t="shared" si="17"/>
        <v>5</v>
      </c>
      <c r="BD70" s="232">
        <f>IF(ISNUMBER(S70),S70,NA())</f>
        <v>70.588235294117652</v>
      </c>
      <c r="BE70" s="232">
        <f>IF(ISNUMBER(T70),T70,NA())</f>
        <v>76.666666666666671</v>
      </c>
      <c r="BP70">
        <v>63</v>
      </c>
    </row>
    <row r="71" spans="1:68">
      <c r="A71" s="13">
        <v>64</v>
      </c>
      <c r="B71">
        <v>11090724</v>
      </c>
      <c r="C71" s="215"/>
      <c r="D71" s="9" t="s">
        <v>731</v>
      </c>
      <c r="E71" s="18" t="s">
        <v>560</v>
      </c>
      <c r="F71" s="16">
        <v>2000</v>
      </c>
      <c r="G71" s="84" t="s">
        <v>1463</v>
      </c>
      <c r="H71" s="16">
        <v>34</v>
      </c>
      <c r="I71" s="16">
        <v>30</v>
      </c>
      <c r="J71" s="85" t="s">
        <v>151</v>
      </c>
      <c r="K71" s="85">
        <v>4</v>
      </c>
      <c r="L71" s="16" t="s">
        <v>1119</v>
      </c>
      <c r="M71" s="16">
        <v>74.290000000000006</v>
      </c>
      <c r="N71" s="16">
        <v>6.82</v>
      </c>
      <c r="O71" s="16">
        <v>69.430000000000007</v>
      </c>
      <c r="P71" s="16">
        <v>6.09</v>
      </c>
      <c r="Q71" s="16">
        <v>24</v>
      </c>
      <c r="R71" s="16">
        <v>23</v>
      </c>
      <c r="S71" s="88">
        <f t="shared" si="0"/>
        <v>70.588235294117652</v>
      </c>
      <c r="T71" s="88">
        <f t="shared" si="1"/>
        <v>76.666666666666671</v>
      </c>
      <c r="U71" s="85">
        <v>60</v>
      </c>
      <c r="V71" s="85" t="s">
        <v>1688</v>
      </c>
      <c r="W71" s="85">
        <v>5</v>
      </c>
      <c r="X71" s="86">
        <f t="shared" si="2"/>
        <v>64</v>
      </c>
      <c r="Y71" t="s">
        <v>724</v>
      </c>
      <c r="Z71" t="s">
        <v>817</v>
      </c>
      <c r="AA71">
        <f t="shared" si="3"/>
        <v>3</v>
      </c>
      <c r="AB71">
        <v>5</v>
      </c>
      <c r="AC71" t="s">
        <v>1688</v>
      </c>
      <c r="AD71" t="s">
        <v>1688</v>
      </c>
      <c r="AE71" t="s">
        <v>1688</v>
      </c>
      <c r="AF71" t="s">
        <v>1688</v>
      </c>
      <c r="AG71" t="s">
        <v>1688</v>
      </c>
      <c r="AH71" t="s">
        <v>1688</v>
      </c>
      <c r="AI71" t="s">
        <v>1688</v>
      </c>
      <c r="AJ71" t="s">
        <v>1688</v>
      </c>
      <c r="AK71" t="s">
        <v>1688</v>
      </c>
      <c r="AL71" s="158" t="str">
        <f t="shared" si="4"/>
        <v>ns</v>
      </c>
      <c r="AM71" s="136" t="str">
        <f t="shared" si="5"/>
        <v>ns</v>
      </c>
      <c r="AN71" s="136" t="str">
        <f t="shared" si="6"/>
        <v>ns</v>
      </c>
      <c r="AO71" s="136" t="str">
        <f t="shared" si="7"/>
        <v>ns</v>
      </c>
      <c r="AP71" s="136" t="str">
        <f t="shared" si="8"/>
        <v>ns</v>
      </c>
      <c r="AQ71" s="136" t="str">
        <f t="shared" si="9"/>
        <v>ns</v>
      </c>
      <c r="AR71" s="136" t="str">
        <f t="shared" si="10"/>
        <v>ns</v>
      </c>
      <c r="AS71" s="136" t="str">
        <f t="shared" si="11"/>
        <v>ns</v>
      </c>
      <c r="AT71" s="85">
        <v>1.5</v>
      </c>
      <c r="AU71" s="86">
        <f t="shared" si="12"/>
        <v>5</v>
      </c>
      <c r="AV71" s="86" t="str">
        <f t="shared" si="19"/>
        <v/>
      </c>
      <c r="AY71" s="231">
        <f>IF(ISNUMBER(M71),M71,NA())</f>
        <v>74.290000000000006</v>
      </c>
      <c r="AZ71" s="231">
        <f t="shared" si="18"/>
        <v>6.82</v>
      </c>
      <c r="BA71" s="231">
        <f t="shared" si="15"/>
        <v>69.430000000000007</v>
      </c>
      <c r="BB71" s="231">
        <f t="shared" si="16"/>
        <v>6.09</v>
      </c>
      <c r="BC71" s="231">
        <f t="shared" si="17"/>
        <v>5</v>
      </c>
      <c r="BD71" s="232">
        <f>IF(ISNUMBER(S71),S71,NA())</f>
        <v>70.588235294117652</v>
      </c>
      <c r="BE71" s="232">
        <f>IF(ISNUMBER(T71),T71,NA())</f>
        <v>76.666666666666671</v>
      </c>
      <c r="BP71">
        <v>64</v>
      </c>
    </row>
    <row r="72" spans="1:68">
      <c r="A72">
        <v>65</v>
      </c>
      <c r="B72">
        <v>11082470</v>
      </c>
      <c r="C72" s="215"/>
      <c r="D72" s="9" t="s">
        <v>856</v>
      </c>
      <c r="E72" s="18" t="s">
        <v>1025</v>
      </c>
      <c r="F72" s="16">
        <v>2000</v>
      </c>
      <c r="G72" s="84" t="s">
        <v>1464</v>
      </c>
      <c r="H72" s="16">
        <v>20</v>
      </c>
      <c r="I72" s="16">
        <v>20</v>
      </c>
      <c r="J72" s="85" t="s">
        <v>151</v>
      </c>
      <c r="K72" s="85">
        <v>4</v>
      </c>
      <c r="L72" s="16" t="s">
        <v>1119</v>
      </c>
      <c r="M72" s="16">
        <v>66.650000000000006</v>
      </c>
      <c r="N72" s="16">
        <v>5.65</v>
      </c>
      <c r="O72" s="16">
        <v>71.790000000000006</v>
      </c>
      <c r="P72" s="16">
        <v>4.4400000000000004</v>
      </c>
      <c r="Q72" s="16">
        <v>11</v>
      </c>
      <c r="R72" s="16">
        <v>14</v>
      </c>
      <c r="S72" s="88">
        <f t="shared" ref="S72:S135" si="20">IF(OR(Q72="",Q72="ns"),"",100*Q72/H72)</f>
        <v>55</v>
      </c>
      <c r="T72" s="88">
        <f t="shared" ref="T72:T135" si="21">IF(OR(R72="",R72="ns"),"",100*R72/I72)</f>
        <v>70</v>
      </c>
      <c r="U72" s="85">
        <v>44.75</v>
      </c>
      <c r="V72" s="85" t="s">
        <v>1688</v>
      </c>
      <c r="W72" s="85">
        <v>3</v>
      </c>
      <c r="X72" s="86">
        <f t="shared" ref="X72:X135" si="22">H72+I72</f>
        <v>40</v>
      </c>
      <c r="Y72" t="s">
        <v>2195</v>
      </c>
      <c r="Z72" t="s">
        <v>2196</v>
      </c>
      <c r="AA72">
        <f t="shared" ref="AA72:AA135" si="23">LEN(TRIM(Z72))-LEN(SUBSTITUTE(Z72," ",""))+1</f>
        <v>3</v>
      </c>
      <c r="AB72">
        <v>5</v>
      </c>
      <c r="AC72">
        <v>15</v>
      </c>
      <c r="AD72" t="s">
        <v>1688</v>
      </c>
      <c r="AE72" t="s">
        <v>1688</v>
      </c>
      <c r="AF72" t="s">
        <v>1688</v>
      </c>
      <c r="AG72" t="s">
        <v>1688</v>
      </c>
      <c r="AH72" t="s">
        <v>1688</v>
      </c>
      <c r="AI72" t="s">
        <v>1688</v>
      </c>
      <c r="AJ72" t="s">
        <v>1688</v>
      </c>
      <c r="AK72" t="s">
        <v>1688</v>
      </c>
      <c r="AL72" s="158">
        <f t="shared" ref="AL72:AL135" si="24">IF(OR(AC72="ns",AC72=""),(IF(AC72="ns","ns","")),100*(AC72/$H72))</f>
        <v>75</v>
      </c>
      <c r="AM72" s="136" t="str">
        <f t="shared" ref="AM72:AM135" si="25">IF(OR(AD72="ns",AD72=""),(IF(AD72="ns","ns","")),100*(AD72/$H72))</f>
        <v>ns</v>
      </c>
      <c r="AN72" s="136" t="str">
        <f t="shared" ref="AN72:AN135" si="26">IF(OR(AE72="ns",AE72=""),(IF(AE72="ns","ns","")),100*(AE72/$H72))</f>
        <v>ns</v>
      </c>
      <c r="AO72" s="136" t="str">
        <f t="shared" ref="AO72:AO135" si="27">IF(OR(AF72="ns",AF72=""),(IF(AF72="ns","ns","")),100*(AF72/$H72))</f>
        <v>ns</v>
      </c>
      <c r="AP72" s="136" t="str">
        <f t="shared" ref="AP72:AP135" si="28">IF(OR(AG72="ns",AG72=""),(IF(AG72="ns","ns","")),100*(AG72/$H72))</f>
        <v>ns</v>
      </c>
      <c r="AQ72" s="136" t="str">
        <f t="shared" ref="AQ72:AQ135" si="29">IF(OR(AH72="ns",AH72=""),(IF(AH72="ns","ns","")),100*(AH72/$H72))</f>
        <v>ns</v>
      </c>
      <c r="AR72" s="136" t="str">
        <f t="shared" ref="AR72:AR135" si="30">IF(OR(AI72="ns",AI72=""),(IF(AI72="ns","ns","")),100*(AI72/$H72))</f>
        <v>ns</v>
      </c>
      <c r="AS72" s="136" t="str">
        <f t="shared" ref="AS72:AS135" si="31">IF(OR(AJ72="ns",AJ72=""),(IF(AJ72="ns","ns","")),100*(AJ72/$H72))</f>
        <v>ns</v>
      </c>
      <c r="AT72" s="85">
        <v>1.5</v>
      </c>
      <c r="AU72" s="86">
        <f t="shared" ref="AU72:AU135" si="32">IF(L72="MRI",IF(ISTEXT(W72),"",W72),"")</f>
        <v>3</v>
      </c>
      <c r="AV72" s="86" t="str">
        <f t="shared" ref="AV72:AV103" si="33">IF(L72="CT",W72,"")</f>
        <v/>
      </c>
      <c r="AY72" s="231">
        <f>IF(ISNUMBER(M72),M72,NA())</f>
        <v>66.650000000000006</v>
      </c>
      <c r="AZ72" s="231">
        <f t="shared" si="18"/>
        <v>5.65</v>
      </c>
      <c r="BA72" s="231">
        <f t="shared" si="15"/>
        <v>71.790000000000006</v>
      </c>
      <c r="BB72" s="231">
        <f t="shared" si="16"/>
        <v>4.4400000000000004</v>
      </c>
      <c r="BC72" s="231">
        <f t="shared" si="17"/>
        <v>3</v>
      </c>
      <c r="BD72" s="232">
        <f>IF(ISNUMBER(S72),S72,NA())</f>
        <v>55</v>
      </c>
      <c r="BE72" s="232">
        <f>IF(ISNUMBER(T72),T72,NA())</f>
        <v>70</v>
      </c>
      <c r="BP72">
        <v>65</v>
      </c>
    </row>
    <row r="73" spans="1:68">
      <c r="A73" s="13">
        <v>66</v>
      </c>
      <c r="B73">
        <v>11044878</v>
      </c>
      <c r="C73" s="215"/>
      <c r="D73" s="9" t="s">
        <v>884</v>
      </c>
      <c r="E73" s="18" t="s">
        <v>1829</v>
      </c>
      <c r="F73" s="16">
        <v>2000</v>
      </c>
      <c r="G73" s="84" t="s">
        <v>1333</v>
      </c>
      <c r="H73" s="16">
        <v>14</v>
      </c>
      <c r="I73" s="16">
        <v>21</v>
      </c>
      <c r="J73" s="85" t="s">
        <v>296</v>
      </c>
      <c r="K73" s="85">
        <v>3</v>
      </c>
      <c r="L73" s="16" t="s">
        <v>1119</v>
      </c>
      <c r="M73" s="16">
        <v>69.3</v>
      </c>
      <c r="N73" s="16">
        <v>8.8000000000000007</v>
      </c>
      <c r="O73" s="16" t="s">
        <v>1688</v>
      </c>
      <c r="P73" s="16" t="s">
        <v>1688</v>
      </c>
      <c r="Q73" s="16" t="s">
        <v>1688</v>
      </c>
      <c r="R73" s="16" t="s">
        <v>1688</v>
      </c>
      <c r="S73" s="88" t="str">
        <f t="shared" si="20"/>
        <v/>
      </c>
      <c r="T73" s="88" t="str">
        <f t="shared" si="21"/>
        <v/>
      </c>
      <c r="U73" s="85" t="s">
        <v>1688</v>
      </c>
      <c r="V73" s="85" t="s">
        <v>1688</v>
      </c>
      <c r="W73" s="85">
        <v>5</v>
      </c>
      <c r="X73" s="86">
        <f t="shared" si="22"/>
        <v>35</v>
      </c>
      <c r="Y73" t="s">
        <v>1666</v>
      </c>
      <c r="Z73" t="s">
        <v>576</v>
      </c>
      <c r="AA73">
        <f t="shared" si="23"/>
        <v>11</v>
      </c>
      <c r="AB73">
        <v>4</v>
      </c>
      <c r="AC73" t="s">
        <v>1688</v>
      </c>
      <c r="AD73" t="s">
        <v>1688</v>
      </c>
      <c r="AE73" t="s">
        <v>1688</v>
      </c>
      <c r="AF73" t="s">
        <v>1688</v>
      </c>
      <c r="AG73" t="s">
        <v>1688</v>
      </c>
      <c r="AH73" t="s">
        <v>1688</v>
      </c>
      <c r="AI73" t="s">
        <v>1688</v>
      </c>
      <c r="AJ73" t="s">
        <v>1688</v>
      </c>
      <c r="AK73" t="s">
        <v>1688</v>
      </c>
      <c r="AL73" s="158" t="str">
        <f t="shared" si="24"/>
        <v>ns</v>
      </c>
      <c r="AM73" s="136" t="str">
        <f t="shared" si="25"/>
        <v>ns</v>
      </c>
      <c r="AN73" s="136" t="str">
        <f t="shared" si="26"/>
        <v>ns</v>
      </c>
      <c r="AO73" s="136" t="str">
        <f t="shared" si="27"/>
        <v>ns</v>
      </c>
      <c r="AP73" s="136" t="str">
        <f t="shared" si="28"/>
        <v>ns</v>
      </c>
      <c r="AQ73" s="136" t="str">
        <f t="shared" si="29"/>
        <v>ns</v>
      </c>
      <c r="AR73" s="136" t="str">
        <f t="shared" si="30"/>
        <v>ns</v>
      </c>
      <c r="AS73" s="136" t="str">
        <f t="shared" si="31"/>
        <v>ns</v>
      </c>
      <c r="AT73" s="85">
        <v>1.5</v>
      </c>
      <c r="AU73" s="86">
        <f t="shared" si="32"/>
        <v>5</v>
      </c>
      <c r="AV73" s="86" t="str">
        <f t="shared" si="33"/>
        <v/>
      </c>
      <c r="AY73" s="231">
        <f>IF(ISNUMBER(M73),M73,NA())</f>
        <v>69.3</v>
      </c>
      <c r="AZ73" s="231">
        <f t="shared" si="18"/>
        <v>8.8000000000000007</v>
      </c>
      <c r="BA73" s="231" t="e">
        <f t="shared" ref="BA73:BA136" si="34">IF(ISNUMBER(O73),O73,NA())</f>
        <v>#N/A</v>
      </c>
      <c r="BB73" s="231" t="e">
        <f t="shared" ref="BB73:BB136" si="35">IF(ISNUMBER(P73),P73,NA())</f>
        <v>#N/A</v>
      </c>
      <c r="BC73" s="231">
        <f t="shared" ref="BC73:BC136" si="36">IF(ISNUMBER(W73),W73,NA())</f>
        <v>5</v>
      </c>
      <c r="BD73" s="232" t="e">
        <f>IF(ISNUMBER(S73),S73,NA())</f>
        <v>#N/A</v>
      </c>
      <c r="BE73" s="232" t="e">
        <f>IF(ISNUMBER(T73),T73,NA())</f>
        <v>#N/A</v>
      </c>
      <c r="BP73">
        <v>66</v>
      </c>
    </row>
    <row r="74" spans="1:68">
      <c r="A74">
        <v>67</v>
      </c>
      <c r="B74">
        <v>10960161</v>
      </c>
      <c r="C74" s="215"/>
      <c r="D74" s="9" t="s">
        <v>513</v>
      </c>
      <c r="E74" s="18" t="s">
        <v>1756</v>
      </c>
      <c r="F74" s="16">
        <v>2000</v>
      </c>
      <c r="G74" s="84" t="s">
        <v>1334</v>
      </c>
      <c r="H74" s="16">
        <v>66</v>
      </c>
      <c r="I74" s="16">
        <v>18</v>
      </c>
      <c r="J74" t="s">
        <v>151</v>
      </c>
      <c r="K74">
        <v>4</v>
      </c>
      <c r="L74" s="16" t="s">
        <v>1119</v>
      </c>
      <c r="M74" s="16">
        <v>71.739999999999995</v>
      </c>
      <c r="N74" s="16">
        <v>8.42</v>
      </c>
      <c r="O74" s="16">
        <v>67.11</v>
      </c>
      <c r="P74" s="16">
        <v>5.04</v>
      </c>
      <c r="Q74" s="16">
        <v>51</v>
      </c>
      <c r="R74" s="16">
        <v>9</v>
      </c>
      <c r="S74" s="88">
        <f t="shared" si="20"/>
        <v>77.272727272727266</v>
      </c>
      <c r="T74" s="88">
        <f t="shared" si="21"/>
        <v>50</v>
      </c>
      <c r="U74" s="85" t="s">
        <v>1688</v>
      </c>
      <c r="V74" s="85" t="s">
        <v>1688</v>
      </c>
      <c r="W74" s="85">
        <v>3</v>
      </c>
      <c r="X74" s="86">
        <f t="shared" si="22"/>
        <v>84</v>
      </c>
      <c r="Y74" t="s">
        <v>1120</v>
      </c>
      <c r="Z74" t="s">
        <v>577</v>
      </c>
      <c r="AA74">
        <f t="shared" si="23"/>
        <v>2</v>
      </c>
      <c r="AB74">
        <v>5</v>
      </c>
      <c r="AC74" t="s">
        <v>1688</v>
      </c>
      <c r="AD74" t="s">
        <v>1688</v>
      </c>
      <c r="AE74" t="s">
        <v>1688</v>
      </c>
      <c r="AF74" t="s">
        <v>1688</v>
      </c>
      <c r="AG74" t="s">
        <v>1688</v>
      </c>
      <c r="AH74" t="s">
        <v>1688</v>
      </c>
      <c r="AI74" t="s">
        <v>1688</v>
      </c>
      <c r="AJ74" t="s">
        <v>1688</v>
      </c>
      <c r="AK74" t="s">
        <v>1688</v>
      </c>
      <c r="AL74" s="158" t="str">
        <f t="shared" si="24"/>
        <v>ns</v>
      </c>
      <c r="AM74" s="136" t="str">
        <f t="shared" si="25"/>
        <v>ns</v>
      </c>
      <c r="AN74" s="136" t="str">
        <f t="shared" si="26"/>
        <v>ns</v>
      </c>
      <c r="AO74" s="136" t="str">
        <f t="shared" si="27"/>
        <v>ns</v>
      </c>
      <c r="AP74" s="136" t="str">
        <f t="shared" si="28"/>
        <v>ns</v>
      </c>
      <c r="AQ74" s="136" t="str">
        <f t="shared" si="29"/>
        <v>ns</v>
      </c>
      <c r="AR74" s="136" t="str">
        <f t="shared" si="30"/>
        <v>ns</v>
      </c>
      <c r="AS74" s="136" t="str">
        <f t="shared" si="31"/>
        <v>ns</v>
      </c>
      <c r="AT74" s="85">
        <v>1.5</v>
      </c>
      <c r="AU74" s="86">
        <f t="shared" si="32"/>
        <v>3</v>
      </c>
      <c r="AV74" s="86" t="str">
        <f t="shared" si="33"/>
        <v/>
      </c>
      <c r="AY74" s="231">
        <f>IF(ISNUMBER(M74),M74,NA())</f>
        <v>71.739999999999995</v>
      </c>
      <c r="AZ74" s="231">
        <f t="shared" si="18"/>
        <v>8.42</v>
      </c>
      <c r="BA74" s="231">
        <f t="shared" si="34"/>
        <v>67.11</v>
      </c>
      <c r="BB74" s="231">
        <f t="shared" si="35"/>
        <v>5.04</v>
      </c>
      <c r="BC74" s="231">
        <f t="shared" si="36"/>
        <v>3</v>
      </c>
      <c r="BD74" s="232">
        <f>IF(ISNUMBER(S74),S74,NA())</f>
        <v>77.272727272727266</v>
      </c>
      <c r="BE74" s="232">
        <f>IF(ISNUMBER(T74),T74,NA())</f>
        <v>50</v>
      </c>
      <c r="BP74">
        <v>67</v>
      </c>
    </row>
    <row r="75" spans="1:68">
      <c r="A75" s="13">
        <v>68</v>
      </c>
      <c r="B75">
        <v>10862809</v>
      </c>
      <c r="C75" s="215"/>
      <c r="D75" s="9" t="s">
        <v>1126</v>
      </c>
      <c r="E75" s="18" t="s">
        <v>1024</v>
      </c>
      <c r="F75" s="16">
        <v>2000</v>
      </c>
      <c r="G75" s="84" t="s">
        <v>1335</v>
      </c>
      <c r="H75" s="16">
        <v>38</v>
      </c>
      <c r="I75" s="16">
        <v>20</v>
      </c>
      <c r="J75" s="86" t="s">
        <v>296</v>
      </c>
      <c r="K75" s="86">
        <v>3</v>
      </c>
      <c r="L75" s="16" t="s">
        <v>1119</v>
      </c>
      <c r="M75" s="16">
        <v>38.5</v>
      </c>
      <c r="N75" s="16">
        <v>10</v>
      </c>
      <c r="O75" s="16">
        <v>40.299999999999997</v>
      </c>
      <c r="P75" s="16">
        <v>10.4</v>
      </c>
      <c r="Q75" s="16">
        <v>21</v>
      </c>
      <c r="R75" s="16">
        <v>11</v>
      </c>
      <c r="S75" s="88">
        <f t="shared" si="20"/>
        <v>55.263157894736842</v>
      </c>
      <c r="T75" s="88">
        <f t="shared" si="21"/>
        <v>55</v>
      </c>
      <c r="U75" s="85" t="s">
        <v>1688</v>
      </c>
      <c r="V75" s="85" t="s">
        <v>1688</v>
      </c>
      <c r="W75" s="85">
        <v>3</v>
      </c>
      <c r="X75" s="86">
        <f t="shared" si="22"/>
        <v>58</v>
      </c>
      <c r="Y75" t="s">
        <v>1752</v>
      </c>
      <c r="Z75" t="s">
        <v>577</v>
      </c>
      <c r="AA75">
        <f t="shared" si="23"/>
        <v>2</v>
      </c>
      <c r="AB75">
        <v>4</v>
      </c>
      <c r="AC75" t="s">
        <v>1688</v>
      </c>
      <c r="AD75" t="s">
        <v>1688</v>
      </c>
      <c r="AE75" t="s">
        <v>1688</v>
      </c>
      <c r="AF75" t="s">
        <v>1688</v>
      </c>
      <c r="AG75" t="s">
        <v>1688</v>
      </c>
      <c r="AH75" t="s">
        <v>1688</v>
      </c>
      <c r="AI75" t="s">
        <v>1688</v>
      </c>
      <c r="AJ75" t="s">
        <v>1688</v>
      </c>
      <c r="AK75" t="s">
        <v>1688</v>
      </c>
      <c r="AL75" s="158" t="str">
        <f t="shared" si="24"/>
        <v>ns</v>
      </c>
      <c r="AM75" s="136" t="str">
        <f t="shared" si="25"/>
        <v>ns</v>
      </c>
      <c r="AN75" s="136" t="str">
        <f t="shared" si="26"/>
        <v>ns</v>
      </c>
      <c r="AO75" s="136" t="str">
        <f t="shared" si="27"/>
        <v>ns</v>
      </c>
      <c r="AP75" s="136" t="str">
        <f t="shared" si="28"/>
        <v>ns</v>
      </c>
      <c r="AQ75" s="136" t="str">
        <f t="shared" si="29"/>
        <v>ns</v>
      </c>
      <c r="AR75" s="136" t="str">
        <f t="shared" si="30"/>
        <v>ns</v>
      </c>
      <c r="AS75" s="136" t="str">
        <f t="shared" si="31"/>
        <v>ns</v>
      </c>
      <c r="AT75" s="85">
        <v>1.5</v>
      </c>
      <c r="AU75" s="86">
        <f t="shared" si="32"/>
        <v>3</v>
      </c>
      <c r="AV75" s="86" t="str">
        <f t="shared" si="33"/>
        <v/>
      </c>
      <c r="AY75" s="231">
        <f>IF(ISNUMBER(M75),M75,NA())</f>
        <v>38.5</v>
      </c>
      <c r="AZ75" s="231">
        <f t="shared" si="18"/>
        <v>10</v>
      </c>
      <c r="BA75" s="231">
        <f t="shared" si="34"/>
        <v>40.299999999999997</v>
      </c>
      <c r="BB75" s="231">
        <f t="shared" si="35"/>
        <v>10.4</v>
      </c>
      <c r="BC75" s="231">
        <f t="shared" si="36"/>
        <v>3</v>
      </c>
      <c r="BD75" s="232">
        <f>IF(ISNUMBER(S75),S75,NA())</f>
        <v>55.263157894736842</v>
      </c>
      <c r="BE75" s="232">
        <f>IF(ISNUMBER(T75),T75,NA())</f>
        <v>55</v>
      </c>
      <c r="BP75">
        <v>68</v>
      </c>
    </row>
    <row r="76" spans="1:68">
      <c r="A76">
        <v>69</v>
      </c>
      <c r="B76">
        <v>11756014</v>
      </c>
      <c r="C76" s="215"/>
      <c r="D76" s="9" t="s">
        <v>236</v>
      </c>
      <c r="E76" s="18" t="s">
        <v>1831</v>
      </c>
      <c r="F76" s="16">
        <v>2001</v>
      </c>
      <c r="G76" s="84" t="s">
        <v>1336</v>
      </c>
      <c r="H76" s="16">
        <v>17</v>
      </c>
      <c r="I76" s="16">
        <v>39</v>
      </c>
      <c r="J76" s="85" t="s">
        <v>151</v>
      </c>
      <c r="K76" s="85">
        <v>4</v>
      </c>
      <c r="L76" s="16" t="s">
        <v>1119</v>
      </c>
      <c r="M76" s="16">
        <v>42.8</v>
      </c>
      <c r="N76" s="16">
        <v>9.1999999999999993</v>
      </c>
      <c r="O76" s="16">
        <v>36.6</v>
      </c>
      <c r="P76" s="16">
        <v>9.6999999999999993</v>
      </c>
      <c r="Q76" s="16">
        <v>16</v>
      </c>
      <c r="R76" s="16">
        <v>14</v>
      </c>
      <c r="S76" s="88">
        <f t="shared" si="20"/>
        <v>94.117647058823536</v>
      </c>
      <c r="T76" s="88">
        <f t="shared" si="21"/>
        <v>35.897435897435898</v>
      </c>
      <c r="U76" s="85" t="s">
        <v>1688</v>
      </c>
      <c r="V76" s="85" t="s">
        <v>1688</v>
      </c>
      <c r="W76" s="85">
        <v>1.5</v>
      </c>
      <c r="X76" s="86">
        <f t="shared" si="22"/>
        <v>56</v>
      </c>
      <c r="Y76" t="s">
        <v>1519</v>
      </c>
      <c r="Z76" t="s">
        <v>699</v>
      </c>
      <c r="AA76">
        <f t="shared" si="23"/>
        <v>3</v>
      </c>
      <c r="AB76">
        <v>5</v>
      </c>
      <c r="AC76">
        <v>0</v>
      </c>
      <c r="AD76">
        <v>0</v>
      </c>
      <c r="AE76">
        <v>0</v>
      </c>
      <c r="AF76">
        <v>0</v>
      </c>
      <c r="AG76">
        <v>0</v>
      </c>
      <c r="AH76">
        <v>0</v>
      </c>
      <c r="AI76">
        <v>0</v>
      </c>
      <c r="AJ76">
        <v>17</v>
      </c>
      <c r="AK76">
        <v>0</v>
      </c>
      <c r="AL76" s="158">
        <f t="shared" si="24"/>
        <v>0</v>
      </c>
      <c r="AM76" s="136">
        <f t="shared" si="25"/>
        <v>0</v>
      </c>
      <c r="AN76" s="136">
        <f t="shared" si="26"/>
        <v>0</v>
      </c>
      <c r="AO76" s="136">
        <f t="shared" si="27"/>
        <v>0</v>
      </c>
      <c r="AP76" s="136">
        <f t="shared" si="28"/>
        <v>0</v>
      </c>
      <c r="AQ76" s="136">
        <f t="shared" si="29"/>
        <v>0</v>
      </c>
      <c r="AR76" s="136">
        <f t="shared" si="30"/>
        <v>0</v>
      </c>
      <c r="AS76" s="136">
        <f t="shared" si="31"/>
        <v>100</v>
      </c>
      <c r="AT76" s="85">
        <v>1.5</v>
      </c>
      <c r="AU76" s="86">
        <f t="shared" si="32"/>
        <v>1.5</v>
      </c>
      <c r="AV76" s="86" t="str">
        <f t="shared" si="33"/>
        <v/>
      </c>
      <c r="AY76" s="231">
        <f>IF(ISNUMBER(M76),M76,NA())</f>
        <v>42.8</v>
      </c>
      <c r="AZ76" s="231">
        <f t="shared" si="18"/>
        <v>9.1999999999999993</v>
      </c>
      <c r="BA76" s="231">
        <f t="shared" si="34"/>
        <v>36.6</v>
      </c>
      <c r="BB76" s="231">
        <f t="shared" si="35"/>
        <v>9.6999999999999993</v>
      </c>
      <c r="BC76" s="231">
        <f t="shared" si="36"/>
        <v>1.5</v>
      </c>
      <c r="BD76" s="232">
        <f>IF(ISNUMBER(S76),S76,NA())</f>
        <v>94.117647058823536</v>
      </c>
      <c r="BE76" s="232">
        <f>IF(ISNUMBER(T76),T76,NA())</f>
        <v>35.897435897435898</v>
      </c>
      <c r="BP76">
        <v>69</v>
      </c>
    </row>
    <row r="77" spans="1:68">
      <c r="A77" s="13">
        <v>70</v>
      </c>
      <c r="B77">
        <v>11559382</v>
      </c>
      <c r="C77" s="215"/>
      <c r="D77" s="9" t="s">
        <v>1483</v>
      </c>
      <c r="E77" s="18" t="s">
        <v>1753</v>
      </c>
      <c r="F77" s="16">
        <v>2001</v>
      </c>
      <c r="G77" s="84" t="s">
        <v>1329</v>
      </c>
      <c r="H77" s="16">
        <v>81</v>
      </c>
      <c r="I77" s="16">
        <v>70</v>
      </c>
      <c r="J77" s="85" t="s">
        <v>296</v>
      </c>
      <c r="K77" s="85">
        <v>3</v>
      </c>
      <c r="L77" s="16" t="s">
        <v>1119</v>
      </c>
      <c r="M77" s="16"/>
      <c r="N77" s="16"/>
      <c r="O77" s="16"/>
      <c r="P77" s="16"/>
      <c r="Q77" s="16">
        <v>58</v>
      </c>
      <c r="R77" s="16">
        <v>33</v>
      </c>
      <c r="S77" s="88">
        <f t="shared" si="20"/>
        <v>71.604938271604937</v>
      </c>
      <c r="T77" s="88">
        <f t="shared" si="21"/>
        <v>47.142857142857146</v>
      </c>
      <c r="U77" s="85" t="s">
        <v>1324</v>
      </c>
      <c r="V77" s="85" t="s">
        <v>1324</v>
      </c>
      <c r="W77" s="85">
        <v>6</v>
      </c>
      <c r="X77" s="86">
        <f t="shared" si="22"/>
        <v>151</v>
      </c>
      <c r="Y77" t="s">
        <v>1817</v>
      </c>
      <c r="Z77" t="s">
        <v>978</v>
      </c>
      <c r="AA77">
        <f t="shared" si="23"/>
        <v>1</v>
      </c>
      <c r="AB77">
        <v>4</v>
      </c>
      <c r="AC77" t="s">
        <v>1688</v>
      </c>
      <c r="AD77" t="s">
        <v>1688</v>
      </c>
      <c r="AE77" t="s">
        <v>1688</v>
      </c>
      <c r="AF77" t="s">
        <v>1688</v>
      </c>
      <c r="AG77" t="s">
        <v>1688</v>
      </c>
      <c r="AH77" t="s">
        <v>1688</v>
      </c>
      <c r="AI77" t="s">
        <v>1688</v>
      </c>
      <c r="AJ77" t="s">
        <v>1688</v>
      </c>
      <c r="AK77" t="s">
        <v>1688</v>
      </c>
      <c r="AL77" s="158" t="str">
        <f t="shared" si="24"/>
        <v>ns</v>
      </c>
      <c r="AM77" s="136" t="str">
        <f t="shared" si="25"/>
        <v>ns</v>
      </c>
      <c r="AN77" s="136" t="str">
        <f t="shared" si="26"/>
        <v>ns</v>
      </c>
      <c r="AO77" s="136" t="str">
        <f t="shared" si="27"/>
        <v>ns</v>
      </c>
      <c r="AP77" s="136" t="str">
        <f t="shared" si="28"/>
        <v>ns</v>
      </c>
      <c r="AQ77" s="136" t="str">
        <f t="shared" si="29"/>
        <v>ns</v>
      </c>
      <c r="AR77" s="136" t="str">
        <f t="shared" si="30"/>
        <v>ns</v>
      </c>
      <c r="AS77" s="136" t="str">
        <f t="shared" si="31"/>
        <v>ns</v>
      </c>
      <c r="AT77" s="85">
        <v>1</v>
      </c>
      <c r="AU77" s="86">
        <f t="shared" si="32"/>
        <v>6</v>
      </c>
      <c r="AV77" s="86" t="str">
        <f t="shared" si="33"/>
        <v/>
      </c>
      <c r="AY77" s="231" t="e">
        <f>IF(ISNUMBER(M77),M77,NA())</f>
        <v>#N/A</v>
      </c>
      <c r="AZ77" s="231" t="e">
        <f t="shared" si="18"/>
        <v>#N/A</v>
      </c>
      <c r="BA77" s="231" t="e">
        <f t="shared" si="34"/>
        <v>#N/A</v>
      </c>
      <c r="BB77" s="231" t="e">
        <f t="shared" si="35"/>
        <v>#N/A</v>
      </c>
      <c r="BC77" s="231">
        <f t="shared" si="36"/>
        <v>6</v>
      </c>
      <c r="BD77" s="232">
        <f>IF(ISNUMBER(S77),S77,NA())</f>
        <v>71.604938271604937</v>
      </c>
      <c r="BE77" s="232">
        <f>IF(ISNUMBER(T77),T77,NA())</f>
        <v>47.142857142857146</v>
      </c>
      <c r="BP77">
        <v>70</v>
      </c>
    </row>
    <row r="78" spans="1:68">
      <c r="A78">
        <v>71</v>
      </c>
      <c r="B78">
        <v>11331089</v>
      </c>
      <c r="C78" s="215"/>
      <c r="D78" s="9" t="s">
        <v>1093</v>
      </c>
      <c r="E78" s="18" t="s">
        <v>1023</v>
      </c>
      <c r="F78" s="16">
        <v>2001</v>
      </c>
      <c r="G78" s="84" t="s">
        <v>1330</v>
      </c>
      <c r="H78" s="16">
        <v>88</v>
      </c>
      <c r="I78" s="16">
        <v>47</v>
      </c>
      <c r="J78" s="85" t="s">
        <v>151</v>
      </c>
      <c r="K78" s="85">
        <v>4</v>
      </c>
      <c r="L78" s="16" t="s">
        <v>1119</v>
      </c>
      <c r="M78" s="16">
        <v>72.599999999999994</v>
      </c>
      <c r="N78" s="16">
        <v>7.9</v>
      </c>
      <c r="O78" s="16">
        <v>72.209999999999994</v>
      </c>
      <c r="P78" s="16">
        <v>6.25</v>
      </c>
      <c r="Q78" s="16">
        <v>63</v>
      </c>
      <c r="R78" s="16" t="s">
        <v>1688</v>
      </c>
      <c r="S78" s="88">
        <f t="shared" si="20"/>
        <v>71.590909090909093</v>
      </c>
      <c r="T78" s="88" t="str">
        <f t="shared" si="21"/>
        <v/>
      </c>
      <c r="U78" s="85">
        <v>49.3</v>
      </c>
      <c r="V78" s="85" t="s">
        <v>1688</v>
      </c>
      <c r="W78" s="85">
        <v>3</v>
      </c>
      <c r="X78" s="86">
        <f t="shared" si="22"/>
        <v>135</v>
      </c>
      <c r="Y78" t="s">
        <v>1296</v>
      </c>
      <c r="Z78" s="4" t="s">
        <v>978</v>
      </c>
      <c r="AA78">
        <f t="shared" si="23"/>
        <v>1</v>
      </c>
      <c r="AB78">
        <v>5</v>
      </c>
      <c r="AC78" t="s">
        <v>1688</v>
      </c>
      <c r="AD78" t="s">
        <v>1688</v>
      </c>
      <c r="AE78" t="s">
        <v>1688</v>
      </c>
      <c r="AF78" t="s">
        <v>1688</v>
      </c>
      <c r="AG78" t="s">
        <v>1688</v>
      </c>
      <c r="AH78" t="s">
        <v>1688</v>
      </c>
      <c r="AI78" t="s">
        <v>1688</v>
      </c>
      <c r="AJ78" t="s">
        <v>1688</v>
      </c>
      <c r="AK78" t="s">
        <v>1688</v>
      </c>
      <c r="AL78" s="158" t="str">
        <f t="shared" si="24"/>
        <v>ns</v>
      </c>
      <c r="AM78" s="136" t="str">
        <f t="shared" si="25"/>
        <v>ns</v>
      </c>
      <c r="AN78" s="136" t="str">
        <f t="shared" si="26"/>
        <v>ns</v>
      </c>
      <c r="AO78" s="136" t="str">
        <f t="shared" si="27"/>
        <v>ns</v>
      </c>
      <c r="AP78" s="136" t="str">
        <f t="shared" si="28"/>
        <v>ns</v>
      </c>
      <c r="AQ78" s="136" t="str">
        <f t="shared" si="29"/>
        <v>ns</v>
      </c>
      <c r="AR78" s="136" t="str">
        <f t="shared" si="30"/>
        <v>ns</v>
      </c>
      <c r="AS78" s="136" t="str">
        <f t="shared" si="31"/>
        <v>ns</v>
      </c>
      <c r="AT78" s="85">
        <v>1.5</v>
      </c>
      <c r="AU78" s="86">
        <f t="shared" si="32"/>
        <v>3</v>
      </c>
      <c r="AV78" s="86" t="str">
        <f t="shared" si="33"/>
        <v/>
      </c>
      <c r="AY78" s="231">
        <f>IF(ISNUMBER(M78),M78,NA())</f>
        <v>72.599999999999994</v>
      </c>
      <c r="AZ78" s="231">
        <f t="shared" si="18"/>
        <v>7.9</v>
      </c>
      <c r="BA78" s="231">
        <f t="shared" si="34"/>
        <v>72.209999999999994</v>
      </c>
      <c r="BB78" s="231">
        <f t="shared" si="35"/>
        <v>6.25</v>
      </c>
      <c r="BC78" s="231">
        <f t="shared" si="36"/>
        <v>3</v>
      </c>
      <c r="BD78" s="232">
        <f>IF(ISNUMBER(S78),S78,NA())</f>
        <v>71.590909090909093</v>
      </c>
      <c r="BE78" s="232" t="e">
        <f>IF(ISNUMBER(T78),T78,NA())</f>
        <v>#N/A</v>
      </c>
      <c r="BP78">
        <v>71</v>
      </c>
    </row>
    <row r="79" spans="1:68">
      <c r="A79" s="13">
        <v>72</v>
      </c>
      <c r="B79">
        <v>11200955</v>
      </c>
      <c r="C79" s="215"/>
      <c r="D79" s="1" t="s">
        <v>1142</v>
      </c>
      <c r="E79" t="s">
        <v>799</v>
      </c>
      <c r="F79">
        <v>2001</v>
      </c>
      <c r="G79" s="1" t="s">
        <v>800</v>
      </c>
      <c r="H79">
        <v>9</v>
      </c>
      <c r="I79">
        <v>29</v>
      </c>
      <c r="J79" t="s">
        <v>296</v>
      </c>
      <c r="K79">
        <v>3</v>
      </c>
      <c r="L79" s="16" t="s">
        <v>1119</v>
      </c>
      <c r="M79" s="16">
        <v>43.56</v>
      </c>
      <c r="N79" s="16">
        <v>9.3800000000000008</v>
      </c>
      <c r="O79" s="16">
        <v>42.76</v>
      </c>
      <c r="P79" s="16">
        <v>9.91</v>
      </c>
      <c r="Q79" s="16">
        <v>5</v>
      </c>
      <c r="R79" s="16">
        <v>16</v>
      </c>
      <c r="S79" s="88">
        <f t="shared" si="20"/>
        <v>55.555555555555557</v>
      </c>
      <c r="T79" s="88">
        <f t="shared" si="21"/>
        <v>55.172413793103445</v>
      </c>
      <c r="U79" s="85" t="s">
        <v>1688</v>
      </c>
      <c r="V79" s="85" t="s">
        <v>1688</v>
      </c>
      <c r="W79" s="85">
        <v>1.88</v>
      </c>
      <c r="X79" s="86">
        <f t="shared" si="22"/>
        <v>38</v>
      </c>
      <c r="Y79" t="s">
        <v>802</v>
      </c>
      <c r="Z79" t="s">
        <v>803</v>
      </c>
      <c r="AA79">
        <f t="shared" si="23"/>
        <v>17</v>
      </c>
      <c r="AB79">
        <v>4</v>
      </c>
      <c r="AC79" t="s">
        <v>1688</v>
      </c>
      <c r="AD79" t="s">
        <v>1688</v>
      </c>
      <c r="AE79" t="s">
        <v>1688</v>
      </c>
      <c r="AF79" t="s">
        <v>1688</v>
      </c>
      <c r="AG79" t="s">
        <v>1688</v>
      </c>
      <c r="AH79" t="s">
        <v>1688</v>
      </c>
      <c r="AI79" t="s">
        <v>1688</v>
      </c>
      <c r="AJ79" t="s">
        <v>1688</v>
      </c>
      <c r="AK79" t="s">
        <v>1688</v>
      </c>
      <c r="AL79" s="158" t="str">
        <f t="shared" si="24"/>
        <v>ns</v>
      </c>
      <c r="AM79" s="136" t="str">
        <f t="shared" si="25"/>
        <v>ns</v>
      </c>
      <c r="AN79" s="136" t="str">
        <f t="shared" si="26"/>
        <v>ns</v>
      </c>
      <c r="AO79" s="136" t="str">
        <f t="shared" si="27"/>
        <v>ns</v>
      </c>
      <c r="AP79" s="136" t="str">
        <f t="shared" si="28"/>
        <v>ns</v>
      </c>
      <c r="AQ79" s="136" t="str">
        <f t="shared" si="29"/>
        <v>ns</v>
      </c>
      <c r="AR79" s="136" t="str">
        <f t="shared" si="30"/>
        <v>ns</v>
      </c>
      <c r="AS79" s="136" t="str">
        <f t="shared" si="31"/>
        <v>ns</v>
      </c>
      <c r="AT79" s="85">
        <v>1</v>
      </c>
      <c r="AU79" s="86">
        <f t="shared" si="32"/>
        <v>1.88</v>
      </c>
      <c r="AV79" s="86" t="str">
        <f t="shared" si="33"/>
        <v/>
      </c>
      <c r="AY79" s="231">
        <f>IF(ISNUMBER(M79),M79,NA())</f>
        <v>43.56</v>
      </c>
      <c r="AZ79" s="231">
        <f t="shared" si="18"/>
        <v>9.3800000000000008</v>
      </c>
      <c r="BA79" s="231">
        <f t="shared" si="34"/>
        <v>42.76</v>
      </c>
      <c r="BB79" s="231">
        <f t="shared" si="35"/>
        <v>9.91</v>
      </c>
      <c r="BC79" s="231">
        <f t="shared" si="36"/>
        <v>1.88</v>
      </c>
      <c r="BD79" s="232">
        <f>IF(ISNUMBER(S79),S79,NA())</f>
        <v>55.555555555555557</v>
      </c>
      <c r="BE79" s="232">
        <f>IF(ISNUMBER(T79),T79,NA())</f>
        <v>55.172413793103445</v>
      </c>
      <c r="BP79">
        <v>72</v>
      </c>
    </row>
    <row r="80" spans="1:68">
      <c r="A80">
        <v>73</v>
      </c>
      <c r="B80">
        <v>11593278</v>
      </c>
      <c r="C80" s="215"/>
      <c r="D80" s="9" t="s">
        <v>1780</v>
      </c>
      <c r="E80" s="18" t="s">
        <v>1022</v>
      </c>
      <c r="F80" s="16">
        <v>2001</v>
      </c>
      <c r="G80" s="84" t="s">
        <v>1331</v>
      </c>
      <c r="H80" s="16">
        <v>30</v>
      </c>
      <c r="I80" s="16">
        <v>20</v>
      </c>
      <c r="J80" s="86" t="s">
        <v>54</v>
      </c>
      <c r="K80" s="86"/>
      <c r="L80" s="16" t="s">
        <v>1119</v>
      </c>
      <c r="M80" s="16">
        <v>71</v>
      </c>
      <c r="N80" s="16">
        <v>8.1999999999999993</v>
      </c>
      <c r="O80" s="16">
        <v>66.5</v>
      </c>
      <c r="P80" s="85" t="s">
        <v>113</v>
      </c>
      <c r="Q80" s="16">
        <v>23</v>
      </c>
      <c r="R80" s="16">
        <v>14</v>
      </c>
      <c r="S80" s="88">
        <f t="shared" si="20"/>
        <v>76.666666666666671</v>
      </c>
      <c r="T80" s="88">
        <f t="shared" si="21"/>
        <v>70</v>
      </c>
      <c r="U80" s="85" t="s">
        <v>1688</v>
      </c>
      <c r="V80" s="85" t="s">
        <v>1688</v>
      </c>
      <c r="W80" s="85" t="s">
        <v>1688</v>
      </c>
      <c r="X80" s="86">
        <f t="shared" si="22"/>
        <v>50</v>
      </c>
      <c r="Y80" t="s">
        <v>925</v>
      </c>
      <c r="Z80" t="s">
        <v>978</v>
      </c>
      <c r="AA80">
        <f t="shared" si="23"/>
        <v>1</v>
      </c>
      <c r="AB80">
        <v>6</v>
      </c>
      <c r="AC80" t="s">
        <v>1688</v>
      </c>
      <c r="AD80" t="s">
        <v>1688</v>
      </c>
      <c r="AE80" t="s">
        <v>1688</v>
      </c>
      <c r="AF80" t="s">
        <v>1688</v>
      </c>
      <c r="AG80" t="s">
        <v>1688</v>
      </c>
      <c r="AH80" t="s">
        <v>1688</v>
      </c>
      <c r="AI80" t="s">
        <v>1688</v>
      </c>
      <c r="AJ80" t="s">
        <v>1688</v>
      </c>
      <c r="AK80" t="s">
        <v>1688</v>
      </c>
      <c r="AL80" s="158" t="str">
        <f t="shared" si="24"/>
        <v>ns</v>
      </c>
      <c r="AM80" s="136" t="str">
        <f t="shared" si="25"/>
        <v>ns</v>
      </c>
      <c r="AN80" s="136" t="str">
        <f t="shared" si="26"/>
        <v>ns</v>
      </c>
      <c r="AO80" s="136" t="str">
        <f t="shared" si="27"/>
        <v>ns</v>
      </c>
      <c r="AP80" s="136" t="str">
        <f t="shared" si="28"/>
        <v>ns</v>
      </c>
      <c r="AQ80" s="136" t="str">
        <f t="shared" si="29"/>
        <v>ns</v>
      </c>
      <c r="AR80" s="136" t="str">
        <f t="shared" si="30"/>
        <v>ns</v>
      </c>
      <c r="AS80" s="136" t="str">
        <f t="shared" si="31"/>
        <v>ns</v>
      </c>
      <c r="AT80" s="85" t="s">
        <v>1688</v>
      </c>
      <c r="AU80" s="86" t="str">
        <f t="shared" si="32"/>
        <v/>
      </c>
      <c r="AV80" s="86" t="str">
        <f t="shared" si="33"/>
        <v/>
      </c>
      <c r="AY80" s="231">
        <f>IF(ISNUMBER(M80),M80,NA())</f>
        <v>71</v>
      </c>
      <c r="AZ80" s="231">
        <f t="shared" si="18"/>
        <v>8.1999999999999993</v>
      </c>
      <c r="BA80" s="231">
        <f t="shared" si="34"/>
        <v>66.5</v>
      </c>
      <c r="BB80" s="231" t="e">
        <f t="shared" si="35"/>
        <v>#N/A</v>
      </c>
      <c r="BC80" s="231" t="e">
        <f t="shared" si="36"/>
        <v>#N/A</v>
      </c>
      <c r="BD80" s="232">
        <f>IF(ISNUMBER(S80),S80,NA())</f>
        <v>76.666666666666671</v>
      </c>
      <c r="BE80" s="232">
        <f>IF(ISNUMBER(T80),T80,NA())</f>
        <v>70</v>
      </c>
      <c r="BP80">
        <v>73</v>
      </c>
    </row>
    <row r="81" spans="1:68" ht="12.75" customHeight="1">
      <c r="A81" s="13">
        <v>74</v>
      </c>
      <c r="B81">
        <v>11200959</v>
      </c>
      <c r="C81" s="215"/>
      <c r="D81" s="21" t="s">
        <v>514</v>
      </c>
      <c r="E81" t="s">
        <v>621</v>
      </c>
      <c r="F81">
        <v>2001</v>
      </c>
      <c r="G81" s="1" t="s">
        <v>1552</v>
      </c>
      <c r="H81">
        <v>20</v>
      </c>
      <c r="I81">
        <v>89</v>
      </c>
      <c r="J81" s="2" t="s">
        <v>296</v>
      </c>
      <c r="K81" s="2">
        <v>3</v>
      </c>
      <c r="L81" t="s">
        <v>422</v>
      </c>
      <c r="M81" t="s">
        <v>1778</v>
      </c>
      <c r="N81" t="s">
        <v>1688</v>
      </c>
      <c r="O81" t="s">
        <v>1778</v>
      </c>
      <c r="Q81" t="s">
        <v>1688</v>
      </c>
      <c r="R81" t="s">
        <v>1688</v>
      </c>
      <c r="S81" s="88" t="str">
        <f t="shared" si="20"/>
        <v/>
      </c>
      <c r="T81" s="88" t="str">
        <f t="shared" si="21"/>
        <v/>
      </c>
      <c r="U81" t="s">
        <v>1688</v>
      </c>
      <c r="V81" t="s">
        <v>1688</v>
      </c>
      <c r="W81">
        <v>10</v>
      </c>
      <c r="X81" s="86">
        <f t="shared" si="22"/>
        <v>109</v>
      </c>
      <c r="Y81" t="s">
        <v>358</v>
      </c>
      <c r="Z81" t="s">
        <v>1779</v>
      </c>
      <c r="AA81">
        <f t="shared" si="23"/>
        <v>5</v>
      </c>
      <c r="AB81">
        <v>4</v>
      </c>
      <c r="AC81" t="s">
        <v>1688</v>
      </c>
      <c r="AD81" t="s">
        <v>1688</v>
      </c>
      <c r="AE81" t="s">
        <v>1688</v>
      </c>
      <c r="AF81" t="s">
        <v>1688</v>
      </c>
      <c r="AG81" t="s">
        <v>1688</v>
      </c>
      <c r="AH81" t="s">
        <v>1688</v>
      </c>
      <c r="AI81" t="s">
        <v>1688</v>
      </c>
      <c r="AJ81" t="s">
        <v>1688</v>
      </c>
      <c r="AK81" t="s">
        <v>1688</v>
      </c>
      <c r="AL81" s="158" t="str">
        <f t="shared" si="24"/>
        <v>ns</v>
      </c>
      <c r="AM81" s="136" t="str">
        <f t="shared" si="25"/>
        <v>ns</v>
      </c>
      <c r="AN81" s="136" t="str">
        <f t="shared" si="26"/>
        <v>ns</v>
      </c>
      <c r="AO81" s="136" t="str">
        <f t="shared" si="27"/>
        <v>ns</v>
      </c>
      <c r="AP81" s="136" t="str">
        <f t="shared" si="28"/>
        <v>ns</v>
      </c>
      <c r="AQ81" s="136" t="str">
        <f t="shared" si="29"/>
        <v>ns</v>
      </c>
      <c r="AR81" s="136" t="str">
        <f t="shared" si="30"/>
        <v>ns</v>
      </c>
      <c r="AS81" s="136" t="str">
        <f t="shared" si="31"/>
        <v>ns</v>
      </c>
      <c r="AT81" t="s">
        <v>422</v>
      </c>
      <c r="AU81" s="86" t="str">
        <f t="shared" si="32"/>
        <v/>
      </c>
      <c r="AV81" s="86">
        <f t="shared" si="33"/>
        <v>10</v>
      </c>
      <c r="AY81" s="231" t="e">
        <f>IF(ISNUMBER(M81),M81,NA())</f>
        <v>#N/A</v>
      </c>
      <c r="AZ81" s="231" t="e">
        <f t="shared" si="18"/>
        <v>#N/A</v>
      </c>
      <c r="BA81" s="231" t="e">
        <f t="shared" si="34"/>
        <v>#N/A</v>
      </c>
      <c r="BB81" s="231" t="e">
        <f t="shared" si="35"/>
        <v>#N/A</v>
      </c>
      <c r="BC81" s="231">
        <f t="shared" si="36"/>
        <v>10</v>
      </c>
      <c r="BD81" s="232" t="e">
        <f>IF(ISNUMBER(S81),S81,NA())</f>
        <v>#N/A</v>
      </c>
      <c r="BE81" s="232" t="e">
        <f>IF(ISNUMBER(T81),T81,NA())</f>
        <v>#N/A</v>
      </c>
      <c r="BP81">
        <v>74</v>
      </c>
    </row>
    <row r="82" spans="1:68">
      <c r="A82">
        <v>75</v>
      </c>
      <c r="B82">
        <v>11750892</v>
      </c>
      <c r="C82" s="215"/>
      <c r="D82" s="9" t="s">
        <v>1031</v>
      </c>
      <c r="E82" s="18" t="s">
        <v>1021</v>
      </c>
      <c r="F82" s="16">
        <v>2001</v>
      </c>
      <c r="G82" s="84" t="s">
        <v>1332</v>
      </c>
      <c r="H82" s="16">
        <v>25</v>
      </c>
      <c r="I82" s="16">
        <v>15</v>
      </c>
      <c r="J82" s="85" t="s">
        <v>151</v>
      </c>
      <c r="K82" s="85">
        <v>4</v>
      </c>
      <c r="L82" s="16" t="s">
        <v>1119</v>
      </c>
      <c r="M82" s="16">
        <v>33.200000000000003</v>
      </c>
      <c r="N82" s="16">
        <v>9.5</v>
      </c>
      <c r="O82" s="16">
        <v>37.4</v>
      </c>
      <c r="P82" s="16">
        <v>14.4</v>
      </c>
      <c r="Q82" s="16">
        <v>14</v>
      </c>
      <c r="R82" s="16">
        <v>9</v>
      </c>
      <c r="S82" s="88">
        <f t="shared" si="20"/>
        <v>56</v>
      </c>
      <c r="T82" s="88">
        <f t="shared" si="21"/>
        <v>60</v>
      </c>
      <c r="U82" s="85" t="s">
        <v>1688</v>
      </c>
      <c r="V82" s="85">
        <v>19.399999999999999</v>
      </c>
      <c r="W82" s="85">
        <v>1.2</v>
      </c>
      <c r="X82" s="86">
        <f t="shared" si="22"/>
        <v>40</v>
      </c>
      <c r="Y82" t="s">
        <v>1574</v>
      </c>
      <c r="Z82" t="s">
        <v>577</v>
      </c>
      <c r="AA82">
        <f t="shared" si="23"/>
        <v>2</v>
      </c>
      <c r="AB82">
        <v>5</v>
      </c>
      <c r="AC82" t="s">
        <v>1688</v>
      </c>
      <c r="AD82" t="s">
        <v>1688</v>
      </c>
      <c r="AE82" t="s">
        <v>1688</v>
      </c>
      <c r="AF82" t="s">
        <v>1688</v>
      </c>
      <c r="AG82" t="s">
        <v>1688</v>
      </c>
      <c r="AH82" t="s">
        <v>1688</v>
      </c>
      <c r="AI82" t="s">
        <v>1688</v>
      </c>
      <c r="AJ82">
        <v>25</v>
      </c>
      <c r="AK82" t="s">
        <v>1688</v>
      </c>
      <c r="AL82" s="158" t="str">
        <f t="shared" si="24"/>
        <v>ns</v>
      </c>
      <c r="AM82" s="136" t="str">
        <f t="shared" si="25"/>
        <v>ns</v>
      </c>
      <c r="AN82" s="136" t="str">
        <f t="shared" si="26"/>
        <v>ns</v>
      </c>
      <c r="AO82" s="136" t="str">
        <f t="shared" si="27"/>
        <v>ns</v>
      </c>
      <c r="AP82" s="136" t="str">
        <f t="shared" si="28"/>
        <v>ns</v>
      </c>
      <c r="AQ82" s="136" t="str">
        <f t="shared" si="29"/>
        <v>ns</v>
      </c>
      <c r="AR82" s="136" t="str">
        <f t="shared" si="30"/>
        <v>ns</v>
      </c>
      <c r="AS82" s="136">
        <f t="shared" si="31"/>
        <v>100</v>
      </c>
      <c r="AT82" s="85">
        <v>1.5</v>
      </c>
      <c r="AU82" s="86">
        <f t="shared" si="32"/>
        <v>1.2</v>
      </c>
      <c r="AV82" s="86" t="str">
        <f t="shared" si="33"/>
        <v/>
      </c>
      <c r="AY82" s="231">
        <f>IF(ISNUMBER(M82),M82,NA())</f>
        <v>33.200000000000003</v>
      </c>
      <c r="AZ82" s="231">
        <f t="shared" si="18"/>
        <v>9.5</v>
      </c>
      <c r="BA82" s="231">
        <f t="shared" si="34"/>
        <v>37.4</v>
      </c>
      <c r="BB82" s="231">
        <f t="shared" si="35"/>
        <v>14.4</v>
      </c>
      <c r="BC82" s="231">
        <f t="shared" si="36"/>
        <v>1.2</v>
      </c>
      <c r="BD82" s="232">
        <f>IF(ISNUMBER(S82),S82,NA())</f>
        <v>56</v>
      </c>
      <c r="BE82" s="232">
        <f>IF(ISNUMBER(T82),T82,NA())</f>
        <v>60</v>
      </c>
      <c r="BP82">
        <v>75</v>
      </c>
    </row>
    <row r="83" spans="1:68">
      <c r="A83" s="13">
        <v>76</v>
      </c>
      <c r="B83">
        <v>11522262</v>
      </c>
      <c r="C83" s="215"/>
      <c r="D83" s="9" t="s">
        <v>1105</v>
      </c>
      <c r="E83" s="18" t="s">
        <v>1832</v>
      </c>
      <c r="F83" s="16">
        <v>2001</v>
      </c>
      <c r="G83" s="84" t="s">
        <v>1572</v>
      </c>
      <c r="H83" s="16">
        <v>13</v>
      </c>
      <c r="I83" s="16">
        <v>34</v>
      </c>
      <c r="J83" s="85" t="s">
        <v>151</v>
      </c>
      <c r="K83" s="85">
        <v>4</v>
      </c>
      <c r="L83" s="16" t="s">
        <v>1119</v>
      </c>
      <c r="M83" s="16">
        <v>41.2</v>
      </c>
      <c r="N83" s="16">
        <v>9.6</v>
      </c>
      <c r="O83" s="16">
        <v>36.6</v>
      </c>
      <c r="P83" s="16">
        <v>9.6</v>
      </c>
      <c r="Q83" s="16">
        <v>12</v>
      </c>
      <c r="R83" s="16">
        <v>13</v>
      </c>
      <c r="S83" s="88">
        <f t="shared" si="20"/>
        <v>92.307692307692307</v>
      </c>
      <c r="T83" s="88">
        <f t="shared" si="21"/>
        <v>38.235294117647058</v>
      </c>
      <c r="U83" s="85" t="s">
        <v>1688</v>
      </c>
      <c r="V83" s="85" t="s">
        <v>1688</v>
      </c>
      <c r="W83" s="85">
        <v>1.5</v>
      </c>
      <c r="X83" s="86">
        <f t="shared" si="22"/>
        <v>47</v>
      </c>
      <c r="Y83" t="s">
        <v>1172</v>
      </c>
      <c r="Z83" t="s">
        <v>700</v>
      </c>
      <c r="AA83">
        <f t="shared" si="23"/>
        <v>2</v>
      </c>
      <c r="AB83">
        <v>5</v>
      </c>
      <c r="AC83">
        <v>0</v>
      </c>
      <c r="AD83">
        <v>0</v>
      </c>
      <c r="AE83">
        <v>0</v>
      </c>
      <c r="AF83">
        <v>0</v>
      </c>
      <c r="AG83">
        <v>0</v>
      </c>
      <c r="AH83">
        <v>0</v>
      </c>
      <c r="AI83">
        <v>0</v>
      </c>
      <c r="AJ83">
        <v>13</v>
      </c>
      <c r="AK83">
        <v>0</v>
      </c>
      <c r="AL83" s="158">
        <f t="shared" si="24"/>
        <v>0</v>
      </c>
      <c r="AM83" s="136">
        <f t="shared" si="25"/>
        <v>0</v>
      </c>
      <c r="AN83" s="136">
        <f t="shared" si="26"/>
        <v>0</v>
      </c>
      <c r="AO83" s="136">
        <f t="shared" si="27"/>
        <v>0</v>
      </c>
      <c r="AP83" s="136">
        <f t="shared" si="28"/>
        <v>0</v>
      </c>
      <c r="AQ83" s="136">
        <f t="shared" si="29"/>
        <v>0</v>
      </c>
      <c r="AR83" s="136">
        <f t="shared" si="30"/>
        <v>0</v>
      </c>
      <c r="AS83" s="136">
        <f t="shared" si="31"/>
        <v>100</v>
      </c>
      <c r="AT83" s="85">
        <v>1.5</v>
      </c>
      <c r="AU83" s="86">
        <f t="shared" si="32"/>
        <v>1.5</v>
      </c>
      <c r="AV83" s="86" t="str">
        <f t="shared" si="33"/>
        <v/>
      </c>
      <c r="AY83" s="231">
        <f>IF(ISNUMBER(M83),M83,NA())</f>
        <v>41.2</v>
      </c>
      <c r="AZ83" s="231">
        <f t="shared" si="18"/>
        <v>9.6</v>
      </c>
      <c r="BA83" s="231">
        <f t="shared" si="34"/>
        <v>36.6</v>
      </c>
      <c r="BB83" s="231">
        <f t="shared" si="35"/>
        <v>9.6</v>
      </c>
      <c r="BC83" s="231">
        <f t="shared" si="36"/>
        <v>1.5</v>
      </c>
      <c r="BD83" s="232">
        <f>IF(ISNUMBER(S83),S83,NA())</f>
        <v>92.307692307692307</v>
      </c>
      <c r="BE83" s="232">
        <f>IF(ISNUMBER(T83),T83,NA())</f>
        <v>38.235294117647058</v>
      </c>
      <c r="BP83">
        <v>76</v>
      </c>
    </row>
    <row r="84" spans="1:68">
      <c r="A84">
        <v>77</v>
      </c>
      <c r="B84">
        <v>11958786</v>
      </c>
      <c r="C84" s="215"/>
      <c r="D84" s="9" t="s">
        <v>1818</v>
      </c>
      <c r="E84" s="18" t="s">
        <v>714</v>
      </c>
      <c r="F84" s="16">
        <v>2002</v>
      </c>
      <c r="G84" s="84" t="s">
        <v>1573</v>
      </c>
      <c r="H84" s="16">
        <v>48</v>
      </c>
      <c r="I84" s="16">
        <v>48</v>
      </c>
      <c r="J84" s="86" t="s">
        <v>151</v>
      </c>
      <c r="K84" s="86">
        <v>4</v>
      </c>
      <c r="L84" s="16" t="s">
        <v>1119</v>
      </c>
      <c r="M84" s="16"/>
      <c r="N84" s="16"/>
      <c r="O84" s="16"/>
      <c r="P84" s="16"/>
      <c r="Q84" s="16">
        <v>48</v>
      </c>
      <c r="R84" s="16">
        <v>48</v>
      </c>
      <c r="S84" s="88">
        <f t="shared" si="20"/>
        <v>100</v>
      </c>
      <c r="T84" s="88">
        <f t="shared" si="21"/>
        <v>100</v>
      </c>
      <c r="U84" s="85">
        <v>15.2</v>
      </c>
      <c r="V84" s="85" t="s">
        <v>1688</v>
      </c>
      <c r="W84" s="85">
        <v>1</v>
      </c>
      <c r="X84" s="86">
        <f t="shared" si="22"/>
        <v>96</v>
      </c>
      <c r="Y84" t="s">
        <v>1628</v>
      </c>
      <c r="Z84" t="s">
        <v>701</v>
      </c>
      <c r="AA84">
        <f t="shared" si="23"/>
        <v>3</v>
      </c>
      <c r="AB84">
        <v>5</v>
      </c>
      <c r="AC84" t="s">
        <v>1688</v>
      </c>
      <c r="AD84" t="s">
        <v>1688</v>
      </c>
      <c r="AE84" t="s">
        <v>1688</v>
      </c>
      <c r="AF84" t="s">
        <v>1688</v>
      </c>
      <c r="AG84" t="s">
        <v>1688</v>
      </c>
      <c r="AH84" t="s">
        <v>1688</v>
      </c>
      <c r="AI84" t="s">
        <v>1688</v>
      </c>
      <c r="AJ84" t="s">
        <v>1688</v>
      </c>
      <c r="AK84" t="s">
        <v>1688</v>
      </c>
      <c r="AL84" s="158" t="str">
        <f t="shared" si="24"/>
        <v>ns</v>
      </c>
      <c r="AM84" s="136" t="str">
        <f t="shared" si="25"/>
        <v>ns</v>
      </c>
      <c r="AN84" s="136" t="str">
        <f t="shared" si="26"/>
        <v>ns</v>
      </c>
      <c r="AO84" s="136" t="str">
        <f t="shared" si="27"/>
        <v>ns</v>
      </c>
      <c r="AP84" s="136" t="str">
        <f t="shared" si="28"/>
        <v>ns</v>
      </c>
      <c r="AQ84" s="136" t="str">
        <f t="shared" si="29"/>
        <v>ns</v>
      </c>
      <c r="AR84" s="136" t="str">
        <f t="shared" si="30"/>
        <v>ns</v>
      </c>
      <c r="AS84" s="136" t="str">
        <f t="shared" si="31"/>
        <v>ns</v>
      </c>
      <c r="AT84" s="85">
        <v>1.5</v>
      </c>
      <c r="AU84" s="86">
        <f t="shared" si="32"/>
        <v>1</v>
      </c>
      <c r="AV84" s="86" t="str">
        <f t="shared" si="33"/>
        <v/>
      </c>
      <c r="AY84" s="231" t="e">
        <f>IF(ISNUMBER(M84),M84,NA())</f>
        <v>#N/A</v>
      </c>
      <c r="AZ84" s="231" t="e">
        <f t="shared" si="18"/>
        <v>#N/A</v>
      </c>
      <c r="BA84" s="231" t="e">
        <f t="shared" si="34"/>
        <v>#N/A</v>
      </c>
      <c r="BB84" s="231" t="e">
        <f t="shared" si="35"/>
        <v>#N/A</v>
      </c>
      <c r="BC84" s="231">
        <f t="shared" si="36"/>
        <v>1</v>
      </c>
      <c r="BD84" s="232">
        <f>IF(ISNUMBER(S84),S84,NA())</f>
        <v>100</v>
      </c>
      <c r="BE84" s="232">
        <f>IF(ISNUMBER(T84),T84,NA())</f>
        <v>100</v>
      </c>
      <c r="BP84">
        <v>77</v>
      </c>
    </row>
    <row r="85" spans="1:68">
      <c r="A85" s="13">
        <v>78</v>
      </c>
      <c r="B85">
        <v>12431853</v>
      </c>
      <c r="C85" s="215"/>
      <c r="D85" s="9" t="s">
        <v>991</v>
      </c>
      <c r="E85" s="18" t="s">
        <v>1830</v>
      </c>
      <c r="F85" s="16">
        <v>2002</v>
      </c>
      <c r="G85" s="84" t="s">
        <v>1739</v>
      </c>
      <c r="H85" s="16">
        <v>18</v>
      </c>
      <c r="I85" s="16">
        <v>38</v>
      </c>
      <c r="J85" s="85" t="s">
        <v>151</v>
      </c>
      <c r="K85" s="85">
        <v>4</v>
      </c>
      <c r="L85" s="16" t="s">
        <v>1119</v>
      </c>
      <c r="M85" s="16">
        <v>42</v>
      </c>
      <c r="N85" s="16">
        <v>10</v>
      </c>
      <c r="O85" s="16">
        <v>37</v>
      </c>
      <c r="P85" s="16">
        <v>10</v>
      </c>
      <c r="Q85" s="16">
        <v>17</v>
      </c>
      <c r="R85" s="16">
        <v>14</v>
      </c>
      <c r="S85" s="88">
        <f t="shared" si="20"/>
        <v>94.444444444444443</v>
      </c>
      <c r="T85" s="88">
        <f t="shared" si="21"/>
        <v>36.842105263157897</v>
      </c>
      <c r="U85" s="85" t="s">
        <v>1688</v>
      </c>
      <c r="V85" s="85" t="s">
        <v>1688</v>
      </c>
      <c r="W85" s="85">
        <v>1.5</v>
      </c>
      <c r="X85" s="86">
        <f t="shared" si="22"/>
        <v>56</v>
      </c>
      <c r="Y85" t="s">
        <v>1520</v>
      </c>
      <c r="Z85" t="s">
        <v>702</v>
      </c>
      <c r="AA85">
        <f t="shared" si="23"/>
        <v>2</v>
      </c>
      <c r="AB85">
        <v>5</v>
      </c>
      <c r="AC85">
        <v>0</v>
      </c>
      <c r="AD85">
        <v>0</v>
      </c>
      <c r="AE85">
        <v>0</v>
      </c>
      <c r="AF85">
        <v>0</v>
      </c>
      <c r="AG85">
        <v>0</v>
      </c>
      <c r="AH85">
        <v>0</v>
      </c>
      <c r="AI85">
        <v>0</v>
      </c>
      <c r="AJ85">
        <v>18</v>
      </c>
      <c r="AK85">
        <v>0</v>
      </c>
      <c r="AL85" s="158">
        <f t="shared" si="24"/>
        <v>0</v>
      </c>
      <c r="AM85" s="136">
        <f t="shared" si="25"/>
        <v>0</v>
      </c>
      <c r="AN85" s="136">
        <f t="shared" si="26"/>
        <v>0</v>
      </c>
      <c r="AO85" s="136">
        <f t="shared" si="27"/>
        <v>0</v>
      </c>
      <c r="AP85" s="136">
        <f t="shared" si="28"/>
        <v>0</v>
      </c>
      <c r="AQ85" s="136">
        <f t="shared" si="29"/>
        <v>0</v>
      </c>
      <c r="AR85" s="136">
        <f t="shared" si="30"/>
        <v>0</v>
      </c>
      <c r="AS85" s="136">
        <f t="shared" si="31"/>
        <v>100</v>
      </c>
      <c r="AT85" s="85">
        <v>1.5</v>
      </c>
      <c r="AU85" s="86">
        <f t="shared" si="32"/>
        <v>1.5</v>
      </c>
      <c r="AV85" s="86" t="str">
        <f t="shared" si="33"/>
        <v/>
      </c>
      <c r="AY85" s="231">
        <f>IF(ISNUMBER(M85),M85,NA())</f>
        <v>42</v>
      </c>
      <c r="AZ85" s="231">
        <f t="shared" si="18"/>
        <v>10</v>
      </c>
      <c r="BA85" s="231">
        <f t="shared" si="34"/>
        <v>37</v>
      </c>
      <c r="BB85" s="231">
        <f t="shared" si="35"/>
        <v>10</v>
      </c>
      <c r="BC85" s="231">
        <f t="shared" si="36"/>
        <v>1.5</v>
      </c>
      <c r="BD85" s="232">
        <f>IF(ISNUMBER(S85),S85,NA())</f>
        <v>94.444444444444443</v>
      </c>
      <c r="BE85" s="232">
        <f>IF(ISNUMBER(T85),T85,NA())</f>
        <v>36.842105263157897</v>
      </c>
      <c r="BP85">
        <v>78</v>
      </c>
    </row>
    <row r="86" spans="1:68">
      <c r="A86">
        <v>79</v>
      </c>
      <c r="B86">
        <v>11958777</v>
      </c>
      <c r="C86" s="215"/>
      <c r="D86" s="9" t="s">
        <v>554</v>
      </c>
      <c r="E86" s="18" t="s">
        <v>1020</v>
      </c>
      <c r="F86" s="16">
        <v>2002</v>
      </c>
      <c r="G86" s="84" t="s">
        <v>1575</v>
      </c>
      <c r="H86" s="16">
        <v>15</v>
      </c>
      <c r="I86" s="16">
        <v>20</v>
      </c>
      <c r="J86" s="85" t="s">
        <v>151</v>
      </c>
      <c r="K86" s="85">
        <v>4</v>
      </c>
      <c r="L86" s="16" t="s">
        <v>1119</v>
      </c>
      <c r="M86" s="16">
        <v>43</v>
      </c>
      <c r="N86" s="16">
        <v>8</v>
      </c>
      <c r="O86" s="16">
        <v>45</v>
      </c>
      <c r="P86" s="16">
        <v>11</v>
      </c>
      <c r="Q86" s="16">
        <v>5</v>
      </c>
      <c r="R86" s="16">
        <v>9</v>
      </c>
      <c r="S86" s="88">
        <f t="shared" si="20"/>
        <v>33.333333333333336</v>
      </c>
      <c r="T86" s="88">
        <f t="shared" si="21"/>
        <v>45</v>
      </c>
      <c r="U86" s="85" t="s">
        <v>1688</v>
      </c>
      <c r="V86" s="85" t="s">
        <v>1688</v>
      </c>
      <c r="W86" s="85">
        <v>3</v>
      </c>
      <c r="X86" s="86">
        <f t="shared" si="22"/>
        <v>35</v>
      </c>
      <c r="Y86" t="s">
        <v>235</v>
      </c>
      <c r="Z86" t="s">
        <v>943</v>
      </c>
      <c r="AA86">
        <f t="shared" si="23"/>
        <v>5</v>
      </c>
      <c r="AB86">
        <v>5</v>
      </c>
      <c r="AC86">
        <v>15</v>
      </c>
      <c r="AD86" t="s">
        <v>1688</v>
      </c>
      <c r="AE86" t="s">
        <v>1688</v>
      </c>
      <c r="AF86" t="s">
        <v>1688</v>
      </c>
      <c r="AG86" t="s">
        <v>1688</v>
      </c>
      <c r="AH86" t="s">
        <v>1688</v>
      </c>
      <c r="AI86" t="s">
        <v>1688</v>
      </c>
      <c r="AJ86" t="s">
        <v>1688</v>
      </c>
      <c r="AK86" t="s">
        <v>1688</v>
      </c>
      <c r="AL86" s="158">
        <f t="shared" si="24"/>
        <v>100</v>
      </c>
      <c r="AM86" s="136" t="str">
        <f t="shared" si="25"/>
        <v>ns</v>
      </c>
      <c r="AN86" s="136" t="str">
        <f t="shared" si="26"/>
        <v>ns</v>
      </c>
      <c r="AO86" s="136" t="str">
        <f t="shared" si="27"/>
        <v>ns</v>
      </c>
      <c r="AP86" s="136" t="str">
        <f t="shared" si="28"/>
        <v>ns</v>
      </c>
      <c r="AQ86" s="136" t="str">
        <f t="shared" si="29"/>
        <v>ns</v>
      </c>
      <c r="AR86" s="136" t="str">
        <f t="shared" si="30"/>
        <v>ns</v>
      </c>
      <c r="AS86" s="136" t="str">
        <f t="shared" si="31"/>
        <v>ns</v>
      </c>
      <c r="AT86" s="85">
        <v>1.5</v>
      </c>
      <c r="AU86" s="86">
        <f t="shared" si="32"/>
        <v>3</v>
      </c>
      <c r="AV86" s="86" t="str">
        <f t="shared" si="33"/>
        <v/>
      </c>
      <c r="AY86" s="231">
        <f>IF(ISNUMBER(M86),M86,NA())</f>
        <v>43</v>
      </c>
      <c r="AZ86" s="231">
        <f t="shared" si="18"/>
        <v>8</v>
      </c>
      <c r="BA86" s="231">
        <f t="shared" si="34"/>
        <v>45</v>
      </c>
      <c r="BB86" s="231">
        <f t="shared" si="35"/>
        <v>11</v>
      </c>
      <c r="BC86" s="231">
        <f t="shared" si="36"/>
        <v>3</v>
      </c>
      <c r="BD86" s="232">
        <f>IF(ISNUMBER(S86),S86,NA())</f>
        <v>33.333333333333336</v>
      </c>
      <c r="BE86" s="232">
        <f>IF(ISNUMBER(T86),T86,NA())</f>
        <v>45</v>
      </c>
      <c r="BP86">
        <v>79</v>
      </c>
    </row>
    <row r="87" spans="1:68">
      <c r="A87" s="13">
        <v>80</v>
      </c>
      <c r="B87">
        <v>11983184</v>
      </c>
      <c r="C87" s="215"/>
      <c r="D87" s="9" t="s">
        <v>459</v>
      </c>
      <c r="E87" s="18" t="s">
        <v>938</v>
      </c>
      <c r="F87" s="16">
        <v>2002</v>
      </c>
      <c r="G87" s="84" t="s">
        <v>1740</v>
      </c>
      <c r="H87" s="16">
        <v>30</v>
      </c>
      <c r="I87" s="16">
        <v>30</v>
      </c>
      <c r="J87" s="85" t="s">
        <v>151</v>
      </c>
      <c r="K87" s="85">
        <v>4</v>
      </c>
      <c r="L87" s="16" t="s">
        <v>1119</v>
      </c>
      <c r="M87" s="16">
        <v>40.299999999999997</v>
      </c>
      <c r="N87" s="16">
        <v>12.6</v>
      </c>
      <c r="O87" s="16">
        <v>40.6</v>
      </c>
      <c r="P87" s="16">
        <v>12.5</v>
      </c>
      <c r="Q87" s="16">
        <v>17</v>
      </c>
      <c r="R87" s="16">
        <v>17</v>
      </c>
      <c r="S87" s="88">
        <f t="shared" si="20"/>
        <v>56.666666666666664</v>
      </c>
      <c r="T87" s="88">
        <f t="shared" si="21"/>
        <v>56.666666666666664</v>
      </c>
      <c r="U87" s="85">
        <v>40</v>
      </c>
      <c r="V87" s="85">
        <v>24.8</v>
      </c>
      <c r="W87" s="85">
        <v>1.5</v>
      </c>
      <c r="X87" s="86">
        <f t="shared" si="22"/>
        <v>60</v>
      </c>
      <c r="Y87" t="s">
        <v>453</v>
      </c>
      <c r="Z87" t="s">
        <v>703</v>
      </c>
      <c r="AA87">
        <f t="shared" si="23"/>
        <v>5</v>
      </c>
      <c r="AB87">
        <v>5</v>
      </c>
      <c r="AC87">
        <v>26</v>
      </c>
      <c r="AD87">
        <v>8</v>
      </c>
      <c r="AE87">
        <v>12</v>
      </c>
      <c r="AF87">
        <v>0</v>
      </c>
      <c r="AG87">
        <v>6</v>
      </c>
      <c r="AH87" t="s">
        <v>1688</v>
      </c>
      <c r="AI87" t="s">
        <v>1688</v>
      </c>
      <c r="AJ87" t="s">
        <v>1688</v>
      </c>
      <c r="AK87" t="s">
        <v>1688</v>
      </c>
      <c r="AL87" s="158">
        <f t="shared" si="24"/>
        <v>86.666666666666671</v>
      </c>
      <c r="AM87" s="136">
        <f t="shared" si="25"/>
        <v>26.666666666666668</v>
      </c>
      <c r="AN87" s="136">
        <f t="shared" si="26"/>
        <v>40</v>
      </c>
      <c r="AO87" s="136">
        <f t="shared" si="27"/>
        <v>0</v>
      </c>
      <c r="AP87" s="136">
        <f t="shared" si="28"/>
        <v>20</v>
      </c>
      <c r="AQ87" s="136" t="str">
        <f t="shared" si="29"/>
        <v>ns</v>
      </c>
      <c r="AR87" s="136" t="str">
        <f t="shared" si="30"/>
        <v>ns</v>
      </c>
      <c r="AS87" s="136" t="str">
        <f t="shared" si="31"/>
        <v>ns</v>
      </c>
      <c r="AT87" s="85">
        <v>1.5</v>
      </c>
      <c r="AU87" s="86">
        <f t="shared" si="32"/>
        <v>1.5</v>
      </c>
      <c r="AV87" s="86" t="str">
        <f t="shared" si="33"/>
        <v/>
      </c>
      <c r="AY87" s="231">
        <f>IF(ISNUMBER(M87),M87,NA())</f>
        <v>40.299999999999997</v>
      </c>
      <c r="AZ87" s="231">
        <f t="shared" si="18"/>
        <v>12.6</v>
      </c>
      <c r="BA87" s="231">
        <f t="shared" si="34"/>
        <v>40.6</v>
      </c>
      <c r="BB87" s="231">
        <f t="shared" si="35"/>
        <v>12.5</v>
      </c>
      <c r="BC87" s="231">
        <f t="shared" si="36"/>
        <v>1.5</v>
      </c>
      <c r="BD87" s="232">
        <f>IF(ISNUMBER(S87),S87,NA())</f>
        <v>56.666666666666664</v>
      </c>
      <c r="BE87" s="232">
        <f>IF(ISNUMBER(T87),T87,NA())</f>
        <v>56.666666666666664</v>
      </c>
      <c r="BP87">
        <v>80</v>
      </c>
    </row>
    <row r="88" spans="1:68">
      <c r="A88">
        <v>81</v>
      </c>
      <c r="B88">
        <v>12091188</v>
      </c>
      <c r="C88" s="215"/>
      <c r="D88" s="9" t="s">
        <v>1382</v>
      </c>
      <c r="E88" s="18" t="s">
        <v>437</v>
      </c>
      <c r="F88" s="16">
        <v>2002</v>
      </c>
      <c r="G88" s="84" t="s">
        <v>1741</v>
      </c>
      <c r="H88" s="16">
        <v>30</v>
      </c>
      <c r="I88" s="16">
        <v>30</v>
      </c>
      <c r="J88" s="85" t="s">
        <v>151</v>
      </c>
      <c r="K88" s="85">
        <v>4</v>
      </c>
      <c r="L88" s="16" t="s">
        <v>1119</v>
      </c>
      <c r="M88" s="16">
        <v>40.299999999999997</v>
      </c>
      <c r="N88" s="16">
        <v>12.6</v>
      </c>
      <c r="O88" s="16">
        <v>40.6</v>
      </c>
      <c r="P88" s="16">
        <v>12.5</v>
      </c>
      <c r="Q88" s="16">
        <v>17</v>
      </c>
      <c r="R88" s="16">
        <v>17</v>
      </c>
      <c r="S88" s="88">
        <f t="shared" si="20"/>
        <v>56.666666666666664</v>
      </c>
      <c r="T88" s="88">
        <f t="shared" si="21"/>
        <v>56.666666666666664</v>
      </c>
      <c r="U88" s="85">
        <v>40</v>
      </c>
      <c r="V88" s="85">
        <v>24.8</v>
      </c>
      <c r="W88" s="85">
        <v>1.5</v>
      </c>
      <c r="X88" s="86">
        <f t="shared" si="22"/>
        <v>60</v>
      </c>
      <c r="Y88" t="s">
        <v>1377</v>
      </c>
      <c r="Z88" t="s">
        <v>704</v>
      </c>
      <c r="AA88">
        <f t="shared" si="23"/>
        <v>6</v>
      </c>
      <c r="AB88">
        <v>5</v>
      </c>
      <c r="AC88" t="s">
        <v>1688</v>
      </c>
      <c r="AD88" t="s">
        <v>1688</v>
      </c>
      <c r="AE88" t="s">
        <v>1688</v>
      </c>
      <c r="AF88" t="s">
        <v>1688</v>
      </c>
      <c r="AG88" t="s">
        <v>1688</v>
      </c>
      <c r="AH88" t="s">
        <v>1688</v>
      </c>
      <c r="AI88" t="s">
        <v>1688</v>
      </c>
      <c r="AJ88" t="s">
        <v>1688</v>
      </c>
      <c r="AK88" t="s">
        <v>1688</v>
      </c>
      <c r="AL88" s="158" t="str">
        <f t="shared" si="24"/>
        <v>ns</v>
      </c>
      <c r="AM88" s="136" t="str">
        <f t="shared" si="25"/>
        <v>ns</v>
      </c>
      <c r="AN88" s="136" t="str">
        <f t="shared" si="26"/>
        <v>ns</v>
      </c>
      <c r="AO88" s="136" t="str">
        <f t="shared" si="27"/>
        <v>ns</v>
      </c>
      <c r="AP88" s="136" t="str">
        <f t="shared" si="28"/>
        <v>ns</v>
      </c>
      <c r="AQ88" s="136" t="str">
        <f t="shared" si="29"/>
        <v>ns</v>
      </c>
      <c r="AR88" s="136" t="str">
        <f t="shared" si="30"/>
        <v>ns</v>
      </c>
      <c r="AS88" s="136" t="str">
        <f t="shared" si="31"/>
        <v>ns</v>
      </c>
      <c r="AT88" s="85">
        <v>1.5</v>
      </c>
      <c r="AU88" s="86">
        <f t="shared" si="32"/>
        <v>1.5</v>
      </c>
      <c r="AV88" s="86" t="str">
        <f t="shared" si="33"/>
        <v/>
      </c>
      <c r="AY88" s="231">
        <f>IF(ISNUMBER(M88),M88,NA())</f>
        <v>40.299999999999997</v>
      </c>
      <c r="AZ88" s="231">
        <f t="shared" ref="AZ88:AZ151" si="37">IF(ISNUMBER(N88),N88,NA())</f>
        <v>12.6</v>
      </c>
      <c r="BA88" s="231">
        <f t="shared" si="34"/>
        <v>40.6</v>
      </c>
      <c r="BB88" s="231">
        <f t="shared" si="35"/>
        <v>12.5</v>
      </c>
      <c r="BC88" s="231">
        <f t="shared" si="36"/>
        <v>1.5</v>
      </c>
      <c r="BD88" s="232">
        <f>IF(ISNUMBER(S88),S88,NA())</f>
        <v>56.666666666666664</v>
      </c>
      <c r="BE88" s="232">
        <f>IF(ISNUMBER(T88),T88,NA())</f>
        <v>56.666666666666664</v>
      </c>
      <c r="BP88">
        <v>81</v>
      </c>
    </row>
    <row r="89" spans="1:68">
      <c r="A89" s="13">
        <v>82</v>
      </c>
      <c r="B89">
        <v>11790518</v>
      </c>
      <c r="C89" s="215"/>
      <c r="D89" s="9" t="s">
        <v>737</v>
      </c>
      <c r="E89" s="18" t="s">
        <v>1019</v>
      </c>
      <c r="F89" s="16">
        <v>2002</v>
      </c>
      <c r="G89" s="84" t="s">
        <v>1742</v>
      </c>
      <c r="H89" s="16">
        <v>51</v>
      </c>
      <c r="I89" s="16">
        <v>30</v>
      </c>
      <c r="J89" s="85" t="s">
        <v>151</v>
      </c>
      <c r="K89" s="85">
        <v>4</v>
      </c>
      <c r="L89" s="16" t="s">
        <v>1119</v>
      </c>
      <c r="M89" s="16">
        <v>74.3</v>
      </c>
      <c r="N89" s="16">
        <v>6.56</v>
      </c>
      <c r="O89" s="16">
        <v>69.430000000000007</v>
      </c>
      <c r="P89" s="16">
        <v>6.09</v>
      </c>
      <c r="Q89" s="16">
        <v>36</v>
      </c>
      <c r="R89" s="16">
        <v>23</v>
      </c>
      <c r="S89" s="88">
        <f t="shared" si="20"/>
        <v>70.588235294117652</v>
      </c>
      <c r="T89" s="88">
        <f t="shared" si="21"/>
        <v>76.666666666666671</v>
      </c>
      <c r="U89" s="85" t="s">
        <v>1688</v>
      </c>
      <c r="V89" s="85">
        <v>19.8</v>
      </c>
      <c r="W89" s="85">
        <v>5</v>
      </c>
      <c r="X89" s="86">
        <f t="shared" si="22"/>
        <v>81</v>
      </c>
      <c r="Y89" t="s">
        <v>1528</v>
      </c>
      <c r="Z89" t="s">
        <v>1141</v>
      </c>
      <c r="AA89">
        <f t="shared" si="23"/>
        <v>2</v>
      </c>
      <c r="AB89">
        <v>5</v>
      </c>
      <c r="AC89" t="s">
        <v>1688</v>
      </c>
      <c r="AD89" t="s">
        <v>1688</v>
      </c>
      <c r="AE89" t="s">
        <v>1688</v>
      </c>
      <c r="AF89" t="s">
        <v>1688</v>
      </c>
      <c r="AG89" t="s">
        <v>1688</v>
      </c>
      <c r="AH89" t="s">
        <v>1688</v>
      </c>
      <c r="AI89" t="s">
        <v>1688</v>
      </c>
      <c r="AJ89" t="s">
        <v>1688</v>
      </c>
      <c r="AK89" t="s">
        <v>1688</v>
      </c>
      <c r="AL89" s="158" t="str">
        <f t="shared" si="24"/>
        <v>ns</v>
      </c>
      <c r="AM89" s="136" t="str">
        <f t="shared" si="25"/>
        <v>ns</v>
      </c>
      <c r="AN89" s="136" t="str">
        <f t="shared" si="26"/>
        <v>ns</v>
      </c>
      <c r="AO89" s="136" t="str">
        <f t="shared" si="27"/>
        <v>ns</v>
      </c>
      <c r="AP89" s="136" t="str">
        <f t="shared" si="28"/>
        <v>ns</v>
      </c>
      <c r="AQ89" s="136" t="str">
        <f t="shared" si="29"/>
        <v>ns</v>
      </c>
      <c r="AR89" s="136" t="str">
        <f t="shared" si="30"/>
        <v>ns</v>
      </c>
      <c r="AS89" s="136" t="str">
        <f t="shared" si="31"/>
        <v>ns</v>
      </c>
      <c r="AT89" s="85">
        <v>1.5</v>
      </c>
      <c r="AU89" s="86">
        <f t="shared" si="32"/>
        <v>5</v>
      </c>
      <c r="AV89" s="86" t="str">
        <f t="shared" si="33"/>
        <v/>
      </c>
      <c r="AY89" s="231">
        <f>IF(ISNUMBER(M89),M89,NA())</f>
        <v>74.3</v>
      </c>
      <c r="AZ89" s="231">
        <f t="shared" si="37"/>
        <v>6.56</v>
      </c>
      <c r="BA89" s="231">
        <f t="shared" si="34"/>
        <v>69.430000000000007</v>
      </c>
      <c r="BB89" s="231">
        <f t="shared" si="35"/>
        <v>6.09</v>
      </c>
      <c r="BC89" s="231">
        <f t="shared" si="36"/>
        <v>5</v>
      </c>
      <c r="BD89" s="232">
        <f>IF(ISNUMBER(S89),S89,NA())</f>
        <v>70.588235294117652</v>
      </c>
      <c r="BE89" s="232">
        <f>IF(ISNUMBER(T89),T89,NA())</f>
        <v>76.666666666666671</v>
      </c>
      <c r="BP89">
        <v>82</v>
      </c>
    </row>
    <row r="90" spans="1:68">
      <c r="A90">
        <v>83</v>
      </c>
      <c r="B90">
        <v>11825139</v>
      </c>
      <c r="C90" s="215"/>
      <c r="D90" s="9" t="s">
        <v>686</v>
      </c>
      <c r="E90" s="18" t="s">
        <v>1042</v>
      </c>
      <c r="F90" s="16">
        <v>2002</v>
      </c>
      <c r="G90" s="84" t="s">
        <v>1743</v>
      </c>
      <c r="H90" s="16">
        <v>22</v>
      </c>
      <c r="I90" s="16">
        <v>22</v>
      </c>
      <c r="J90" s="85" t="s">
        <v>151</v>
      </c>
      <c r="K90" s="85">
        <v>4</v>
      </c>
      <c r="L90" s="16" t="s">
        <v>1119</v>
      </c>
      <c r="M90" s="16"/>
      <c r="N90" s="16"/>
      <c r="O90" s="16"/>
      <c r="P90" s="16"/>
      <c r="Q90" s="16">
        <v>12</v>
      </c>
      <c r="R90" s="16">
        <v>12</v>
      </c>
      <c r="S90" s="88">
        <f t="shared" si="20"/>
        <v>54.545454545454547</v>
      </c>
      <c r="T90" s="88">
        <f t="shared" si="21"/>
        <v>54.545454545454547</v>
      </c>
      <c r="U90" s="85">
        <v>12.18</v>
      </c>
      <c r="V90" s="85" t="s">
        <v>1688</v>
      </c>
      <c r="W90" s="85">
        <v>1.5</v>
      </c>
      <c r="X90" s="86">
        <f t="shared" si="22"/>
        <v>44</v>
      </c>
      <c r="Y90" t="s">
        <v>1526</v>
      </c>
      <c r="Z90" t="s">
        <v>1270</v>
      </c>
      <c r="AA90">
        <f t="shared" si="23"/>
        <v>7</v>
      </c>
      <c r="AB90">
        <v>5</v>
      </c>
      <c r="AC90" t="s">
        <v>1688</v>
      </c>
      <c r="AD90" t="s">
        <v>1688</v>
      </c>
      <c r="AE90" t="s">
        <v>1688</v>
      </c>
      <c r="AF90" t="s">
        <v>1688</v>
      </c>
      <c r="AG90" t="s">
        <v>1688</v>
      </c>
      <c r="AH90" t="s">
        <v>1688</v>
      </c>
      <c r="AI90" t="s">
        <v>1688</v>
      </c>
      <c r="AJ90" t="s">
        <v>1688</v>
      </c>
      <c r="AK90" t="s">
        <v>1688</v>
      </c>
      <c r="AL90" s="158" t="str">
        <f t="shared" si="24"/>
        <v>ns</v>
      </c>
      <c r="AM90" s="136" t="str">
        <f t="shared" si="25"/>
        <v>ns</v>
      </c>
      <c r="AN90" s="136" t="str">
        <f t="shared" si="26"/>
        <v>ns</v>
      </c>
      <c r="AO90" s="136" t="str">
        <f t="shared" si="27"/>
        <v>ns</v>
      </c>
      <c r="AP90" s="136" t="str">
        <f t="shared" si="28"/>
        <v>ns</v>
      </c>
      <c r="AQ90" s="136" t="str">
        <f t="shared" si="29"/>
        <v>ns</v>
      </c>
      <c r="AR90" s="136" t="str">
        <f t="shared" si="30"/>
        <v>ns</v>
      </c>
      <c r="AS90" s="136" t="str">
        <f t="shared" si="31"/>
        <v>ns</v>
      </c>
      <c r="AT90" s="85">
        <v>1.5</v>
      </c>
      <c r="AU90" s="86">
        <f t="shared" si="32"/>
        <v>1.5</v>
      </c>
      <c r="AV90" s="86" t="str">
        <f t="shared" si="33"/>
        <v/>
      </c>
      <c r="AY90" s="231" t="e">
        <f>IF(ISNUMBER(M90),M90,NA())</f>
        <v>#N/A</v>
      </c>
      <c r="AZ90" s="231" t="e">
        <f t="shared" si="37"/>
        <v>#N/A</v>
      </c>
      <c r="BA90" s="231" t="e">
        <f t="shared" si="34"/>
        <v>#N/A</v>
      </c>
      <c r="BB90" s="231" t="e">
        <f t="shared" si="35"/>
        <v>#N/A</v>
      </c>
      <c r="BC90" s="231">
        <f t="shared" si="36"/>
        <v>1.5</v>
      </c>
      <c r="BD90" s="232">
        <f>IF(ISNUMBER(S90),S90,NA())</f>
        <v>54.545454545454547</v>
      </c>
      <c r="BE90" s="232">
        <f>IF(ISNUMBER(T90),T90,NA())</f>
        <v>54.545454545454547</v>
      </c>
      <c r="BP90">
        <v>83</v>
      </c>
    </row>
    <row r="91" spans="1:68">
      <c r="A91" s="13">
        <v>84</v>
      </c>
      <c r="B91">
        <v>11771978</v>
      </c>
      <c r="C91" s="215"/>
      <c r="D91" s="9" t="s">
        <v>307</v>
      </c>
      <c r="E91" s="18" t="s">
        <v>1041</v>
      </c>
      <c r="F91" s="16">
        <v>2002</v>
      </c>
      <c r="G91" s="84" t="s">
        <v>1255</v>
      </c>
      <c r="H91" s="16">
        <v>57</v>
      </c>
      <c r="I91" s="16">
        <v>37</v>
      </c>
      <c r="J91" s="86" t="s">
        <v>151</v>
      </c>
      <c r="K91" s="86">
        <v>4</v>
      </c>
      <c r="L91" s="16" t="s">
        <v>1119</v>
      </c>
      <c r="M91" s="16">
        <v>60.8</v>
      </c>
      <c r="N91" s="16">
        <v>9.3000000000000007</v>
      </c>
      <c r="O91" s="16">
        <v>58.6</v>
      </c>
      <c r="P91" s="16">
        <v>7.3</v>
      </c>
      <c r="Q91" s="16">
        <v>34</v>
      </c>
      <c r="R91" s="16">
        <v>22</v>
      </c>
      <c r="S91" s="88">
        <f t="shared" si="20"/>
        <v>59.649122807017541</v>
      </c>
      <c r="T91" s="88">
        <f t="shared" si="21"/>
        <v>59.45945945945946</v>
      </c>
      <c r="U91" s="85">
        <v>50</v>
      </c>
      <c r="V91" s="85">
        <v>28.8</v>
      </c>
      <c r="W91" s="85">
        <v>2.2999999999999998</v>
      </c>
      <c r="X91" s="86">
        <f t="shared" si="22"/>
        <v>94</v>
      </c>
      <c r="Y91" t="s">
        <v>373</v>
      </c>
      <c r="Z91" t="s">
        <v>374</v>
      </c>
      <c r="AA91">
        <f t="shared" si="23"/>
        <v>7</v>
      </c>
      <c r="AB91">
        <v>5</v>
      </c>
      <c r="AC91" t="s">
        <v>1688</v>
      </c>
      <c r="AD91">
        <v>24</v>
      </c>
      <c r="AE91">
        <v>23</v>
      </c>
      <c r="AF91" t="s">
        <v>1688</v>
      </c>
      <c r="AG91" t="s">
        <v>1688</v>
      </c>
      <c r="AH91" t="s">
        <v>1688</v>
      </c>
      <c r="AI91" t="s">
        <v>1688</v>
      </c>
      <c r="AJ91" t="s">
        <v>1688</v>
      </c>
      <c r="AK91" t="s">
        <v>1688</v>
      </c>
      <c r="AL91" s="158" t="str">
        <f t="shared" si="24"/>
        <v>ns</v>
      </c>
      <c r="AM91" s="136">
        <f t="shared" si="25"/>
        <v>42.105263157894733</v>
      </c>
      <c r="AN91" s="136">
        <f t="shared" si="26"/>
        <v>40.350877192982452</v>
      </c>
      <c r="AO91" s="136" t="str">
        <f t="shared" si="27"/>
        <v>ns</v>
      </c>
      <c r="AP91" s="136" t="str">
        <f t="shared" si="28"/>
        <v>ns</v>
      </c>
      <c r="AQ91" s="136" t="str">
        <f t="shared" si="29"/>
        <v>ns</v>
      </c>
      <c r="AR91" s="136" t="str">
        <f t="shared" si="30"/>
        <v>ns</v>
      </c>
      <c r="AS91" s="136" t="str">
        <f t="shared" si="31"/>
        <v>ns</v>
      </c>
      <c r="AT91" s="85">
        <v>1.5</v>
      </c>
      <c r="AU91" s="86">
        <f t="shared" si="32"/>
        <v>2.2999999999999998</v>
      </c>
      <c r="AV91" s="86" t="str">
        <f t="shared" si="33"/>
        <v/>
      </c>
      <c r="AY91" s="231">
        <f>IF(ISNUMBER(M91),M91,NA())</f>
        <v>60.8</v>
      </c>
      <c r="AZ91" s="231">
        <f t="shared" si="37"/>
        <v>9.3000000000000007</v>
      </c>
      <c r="BA91" s="231">
        <f t="shared" si="34"/>
        <v>58.6</v>
      </c>
      <c r="BB91" s="231">
        <f t="shared" si="35"/>
        <v>7.3</v>
      </c>
      <c r="BC91" s="231">
        <f t="shared" si="36"/>
        <v>2.2999999999999998</v>
      </c>
      <c r="BD91" s="232">
        <f>IF(ISNUMBER(S91),S91,NA())</f>
        <v>59.649122807017541</v>
      </c>
      <c r="BE91" s="232">
        <f>IF(ISNUMBER(T91),T91,NA())</f>
        <v>59.45945945945946</v>
      </c>
      <c r="BP91">
        <v>84</v>
      </c>
    </row>
    <row r="92" spans="1:68">
      <c r="A92">
        <v>85</v>
      </c>
      <c r="B92">
        <v>12271802</v>
      </c>
      <c r="C92" s="215"/>
      <c r="D92" s="9" t="s">
        <v>1055</v>
      </c>
      <c r="E92" s="18" t="s">
        <v>230</v>
      </c>
      <c r="F92" s="16">
        <v>2002</v>
      </c>
      <c r="G92" s="84" t="s">
        <v>1256</v>
      </c>
      <c r="H92" s="16">
        <v>37</v>
      </c>
      <c r="I92" s="16">
        <v>19</v>
      </c>
      <c r="J92" s="86" t="s">
        <v>151</v>
      </c>
      <c r="K92" s="86">
        <v>4</v>
      </c>
      <c r="L92" s="16" t="s">
        <v>1119</v>
      </c>
      <c r="M92" s="16"/>
      <c r="N92" s="16"/>
      <c r="O92" s="16">
        <v>30.5</v>
      </c>
      <c r="P92" s="16">
        <v>8.4</v>
      </c>
      <c r="Q92" s="16">
        <v>21</v>
      </c>
      <c r="R92" s="16">
        <v>7</v>
      </c>
      <c r="S92" s="88">
        <f t="shared" si="20"/>
        <v>56.756756756756758</v>
      </c>
      <c r="T92" s="88">
        <f t="shared" si="21"/>
        <v>36.842105263157897</v>
      </c>
      <c r="U92" s="85" t="s">
        <v>1688</v>
      </c>
      <c r="V92" s="85" t="s">
        <v>1688</v>
      </c>
      <c r="W92" s="85">
        <v>5.4</v>
      </c>
      <c r="X92" s="86">
        <f t="shared" si="22"/>
        <v>56</v>
      </c>
      <c r="Y92" t="s">
        <v>1131</v>
      </c>
      <c r="Z92" t="s">
        <v>1050</v>
      </c>
      <c r="AA92">
        <f t="shared" si="23"/>
        <v>30</v>
      </c>
      <c r="AB92">
        <v>5</v>
      </c>
      <c r="AC92" t="s">
        <v>1688</v>
      </c>
      <c r="AD92" t="s">
        <v>1688</v>
      </c>
      <c r="AE92" t="s">
        <v>1688</v>
      </c>
      <c r="AF92" t="s">
        <v>1688</v>
      </c>
      <c r="AG92" t="s">
        <v>1688</v>
      </c>
      <c r="AH92" t="s">
        <v>1688</v>
      </c>
      <c r="AI92" t="s">
        <v>1688</v>
      </c>
      <c r="AJ92" t="s">
        <v>1688</v>
      </c>
      <c r="AK92" t="s">
        <v>1688</v>
      </c>
      <c r="AL92" s="158" t="str">
        <f t="shared" si="24"/>
        <v>ns</v>
      </c>
      <c r="AM92" s="136" t="str">
        <f t="shared" si="25"/>
        <v>ns</v>
      </c>
      <c r="AN92" s="136" t="str">
        <f t="shared" si="26"/>
        <v>ns</v>
      </c>
      <c r="AO92" s="136" t="str">
        <f t="shared" si="27"/>
        <v>ns</v>
      </c>
      <c r="AP92" s="136" t="str">
        <f t="shared" si="28"/>
        <v>ns</v>
      </c>
      <c r="AQ92" s="136" t="str">
        <f t="shared" si="29"/>
        <v>ns</v>
      </c>
      <c r="AR92" s="136" t="str">
        <f t="shared" si="30"/>
        <v>ns</v>
      </c>
      <c r="AS92" s="136" t="str">
        <f t="shared" si="31"/>
        <v>ns</v>
      </c>
      <c r="AT92" s="85">
        <v>1.5</v>
      </c>
      <c r="AU92" s="86">
        <f t="shared" si="32"/>
        <v>5.4</v>
      </c>
      <c r="AV92" s="86" t="str">
        <f t="shared" si="33"/>
        <v/>
      </c>
      <c r="AY92" s="231" t="e">
        <f>IF(ISNUMBER(M92),M92,NA())</f>
        <v>#N/A</v>
      </c>
      <c r="AZ92" s="231" t="e">
        <f t="shared" si="37"/>
        <v>#N/A</v>
      </c>
      <c r="BA92" s="231">
        <f t="shared" si="34"/>
        <v>30.5</v>
      </c>
      <c r="BB92" s="231">
        <f t="shared" si="35"/>
        <v>8.4</v>
      </c>
      <c r="BC92" s="231">
        <f t="shared" si="36"/>
        <v>5.4</v>
      </c>
      <c r="BD92" s="232">
        <f>IF(ISNUMBER(S92),S92,NA())</f>
        <v>56.756756756756758</v>
      </c>
      <c r="BE92" s="232">
        <f>IF(ISNUMBER(T92),T92,NA())</f>
        <v>36.842105263157897</v>
      </c>
      <c r="BP92">
        <v>85</v>
      </c>
    </row>
    <row r="93" spans="1:68">
      <c r="A93" s="13">
        <v>86</v>
      </c>
      <c r="B93">
        <v>11983641</v>
      </c>
      <c r="C93" s="215"/>
      <c r="D93" s="9" t="s">
        <v>853</v>
      </c>
      <c r="E93" s="18" t="s">
        <v>229</v>
      </c>
      <c r="F93" s="16">
        <v>2002</v>
      </c>
      <c r="G93" s="84" t="s">
        <v>1257</v>
      </c>
      <c r="H93" s="16">
        <v>40</v>
      </c>
      <c r="I93" s="16">
        <v>20</v>
      </c>
      <c r="J93" s="85" t="s">
        <v>151</v>
      </c>
      <c r="K93" s="85">
        <v>4</v>
      </c>
      <c r="L93" s="16" t="s">
        <v>1119</v>
      </c>
      <c r="M93" s="16"/>
      <c r="N93" s="16"/>
      <c r="O93" s="16">
        <v>49.3</v>
      </c>
      <c r="P93" s="16">
        <v>11.8</v>
      </c>
      <c r="Q93" s="16">
        <v>14</v>
      </c>
      <c r="R93" s="16">
        <v>7</v>
      </c>
      <c r="S93" s="88">
        <f t="shared" si="20"/>
        <v>35</v>
      </c>
      <c r="T93" s="88">
        <f t="shared" si="21"/>
        <v>35</v>
      </c>
      <c r="U93" s="85" t="s">
        <v>1688</v>
      </c>
      <c r="V93" s="85" t="s">
        <v>1688</v>
      </c>
      <c r="W93" s="85">
        <v>1.875</v>
      </c>
      <c r="X93" s="86">
        <f t="shared" si="22"/>
        <v>60</v>
      </c>
      <c r="Y93" t="s">
        <v>1056</v>
      </c>
      <c r="Z93" s="4" t="s">
        <v>375</v>
      </c>
      <c r="AA93">
        <f t="shared" si="23"/>
        <v>13</v>
      </c>
      <c r="AB93">
        <v>5</v>
      </c>
      <c r="AL93" s="158" t="str">
        <f t="shared" si="24"/>
        <v/>
      </c>
      <c r="AM93" s="136" t="str">
        <f t="shared" si="25"/>
        <v/>
      </c>
      <c r="AN93" s="136" t="str">
        <f t="shared" si="26"/>
        <v/>
      </c>
      <c r="AO93" s="136" t="str">
        <f t="shared" si="27"/>
        <v/>
      </c>
      <c r="AP93" s="136" t="str">
        <f t="shared" si="28"/>
        <v/>
      </c>
      <c r="AQ93" s="136" t="str">
        <f t="shared" si="29"/>
        <v/>
      </c>
      <c r="AR93" s="136" t="str">
        <f t="shared" si="30"/>
        <v/>
      </c>
      <c r="AS93" s="136" t="str">
        <f t="shared" si="31"/>
        <v/>
      </c>
      <c r="AT93" s="85">
        <v>1</v>
      </c>
      <c r="AU93" s="86">
        <f t="shared" si="32"/>
        <v>1.875</v>
      </c>
      <c r="AV93" s="86" t="str">
        <f t="shared" si="33"/>
        <v/>
      </c>
      <c r="AY93" s="231" t="e">
        <f>IF(ISNUMBER(M93),M93,NA())</f>
        <v>#N/A</v>
      </c>
      <c r="AZ93" s="231" t="e">
        <f t="shared" si="37"/>
        <v>#N/A</v>
      </c>
      <c r="BA93" s="231">
        <f t="shared" si="34"/>
        <v>49.3</v>
      </c>
      <c r="BB93" s="231">
        <f t="shared" si="35"/>
        <v>11.8</v>
      </c>
      <c r="BC93" s="231">
        <f t="shared" si="36"/>
        <v>1.875</v>
      </c>
      <c r="BD93" s="232">
        <f>IF(ISNUMBER(S93),S93,NA())</f>
        <v>35</v>
      </c>
      <c r="BE93" s="232">
        <f>IF(ISNUMBER(T93),T93,NA())</f>
        <v>35</v>
      </c>
      <c r="BP93">
        <v>86</v>
      </c>
    </row>
    <row r="94" spans="1:68">
      <c r="A94">
        <v>87</v>
      </c>
      <c r="B94">
        <v>12242057</v>
      </c>
      <c r="C94" s="215"/>
      <c r="D94" s="9" t="s">
        <v>844</v>
      </c>
      <c r="E94" s="18" t="s">
        <v>228</v>
      </c>
      <c r="F94" s="16">
        <v>2002</v>
      </c>
      <c r="G94" s="84" t="s">
        <v>1258</v>
      </c>
      <c r="H94" s="16">
        <v>19</v>
      </c>
      <c r="I94" s="16">
        <v>38</v>
      </c>
      <c r="J94" s="86" t="s">
        <v>296</v>
      </c>
      <c r="K94" s="86">
        <v>3</v>
      </c>
      <c r="L94" s="16" t="s">
        <v>1119</v>
      </c>
      <c r="M94" s="16">
        <v>15.4</v>
      </c>
      <c r="N94" s="16">
        <v>1.9</v>
      </c>
      <c r="O94" s="16">
        <v>14.6</v>
      </c>
      <c r="P94" s="16">
        <v>1.5</v>
      </c>
      <c r="Q94" s="16">
        <v>16</v>
      </c>
      <c r="R94" s="16">
        <v>25</v>
      </c>
      <c r="S94" s="88">
        <f t="shared" si="20"/>
        <v>84.21052631578948</v>
      </c>
      <c r="T94" s="88">
        <f t="shared" si="21"/>
        <v>65.78947368421052</v>
      </c>
      <c r="U94" s="85" t="s">
        <v>1688</v>
      </c>
      <c r="V94" s="85">
        <v>17.3</v>
      </c>
      <c r="W94" s="85">
        <v>1.5</v>
      </c>
      <c r="X94" s="86">
        <f t="shared" si="22"/>
        <v>57</v>
      </c>
      <c r="Y94" t="s">
        <v>738</v>
      </c>
      <c r="Z94" t="s">
        <v>460</v>
      </c>
      <c r="AA94">
        <f t="shared" si="23"/>
        <v>6</v>
      </c>
      <c r="AB94">
        <v>4</v>
      </c>
      <c r="AC94">
        <v>0</v>
      </c>
      <c r="AD94">
        <v>0</v>
      </c>
      <c r="AE94">
        <v>0</v>
      </c>
      <c r="AF94">
        <v>0</v>
      </c>
      <c r="AG94">
        <v>0</v>
      </c>
      <c r="AH94" t="s">
        <v>1688</v>
      </c>
      <c r="AI94" t="s">
        <v>1688</v>
      </c>
      <c r="AJ94">
        <v>19</v>
      </c>
      <c r="AK94" t="s">
        <v>1688</v>
      </c>
      <c r="AL94" s="158">
        <f t="shared" si="24"/>
        <v>0</v>
      </c>
      <c r="AM94" s="136">
        <f t="shared" si="25"/>
        <v>0</v>
      </c>
      <c r="AN94" s="136">
        <f t="shared" si="26"/>
        <v>0</v>
      </c>
      <c r="AO94" s="136">
        <f t="shared" si="27"/>
        <v>0</v>
      </c>
      <c r="AP94" s="136">
        <f t="shared" si="28"/>
        <v>0</v>
      </c>
      <c r="AQ94" s="136" t="str">
        <f t="shared" si="29"/>
        <v>ns</v>
      </c>
      <c r="AR94" s="136" t="str">
        <f t="shared" si="30"/>
        <v>ns</v>
      </c>
      <c r="AS94" s="136">
        <f t="shared" si="31"/>
        <v>100</v>
      </c>
      <c r="AT94" s="85">
        <v>1.5</v>
      </c>
      <c r="AU94" s="86">
        <f t="shared" si="32"/>
        <v>1.5</v>
      </c>
      <c r="AV94" s="86" t="str">
        <f t="shared" si="33"/>
        <v/>
      </c>
      <c r="AY94" s="231">
        <f>IF(ISNUMBER(M94),M94,NA())</f>
        <v>15.4</v>
      </c>
      <c r="AZ94" s="231">
        <f t="shared" si="37"/>
        <v>1.9</v>
      </c>
      <c r="BA94" s="231">
        <f t="shared" si="34"/>
        <v>14.6</v>
      </c>
      <c r="BB94" s="231">
        <f t="shared" si="35"/>
        <v>1.5</v>
      </c>
      <c r="BC94" s="231">
        <f t="shared" si="36"/>
        <v>1.5</v>
      </c>
      <c r="BD94" s="232">
        <f>IF(ISNUMBER(S94),S94,NA())</f>
        <v>84.21052631578948</v>
      </c>
      <c r="BE94" s="232">
        <f>IF(ISNUMBER(T94),T94,NA())</f>
        <v>65.78947368421052</v>
      </c>
      <c r="BP94">
        <v>87</v>
      </c>
    </row>
    <row r="95" spans="1:68">
      <c r="A95" s="13">
        <v>88</v>
      </c>
      <c r="B95">
        <v>12169341</v>
      </c>
      <c r="C95" s="215"/>
      <c r="D95" s="9" t="s">
        <v>1006</v>
      </c>
      <c r="E95" s="18" t="s">
        <v>227</v>
      </c>
      <c r="F95" s="16">
        <v>2002</v>
      </c>
      <c r="G95" s="84" t="s">
        <v>467</v>
      </c>
      <c r="H95" s="16">
        <v>115</v>
      </c>
      <c r="I95" s="16">
        <v>37</v>
      </c>
      <c r="J95" s="85" t="s">
        <v>296</v>
      </c>
      <c r="K95" s="85">
        <v>3</v>
      </c>
      <c r="L95" s="16" t="s">
        <v>1119</v>
      </c>
      <c r="M95" s="16">
        <v>66.7</v>
      </c>
      <c r="N95" s="16">
        <v>10.9</v>
      </c>
      <c r="O95" s="16">
        <v>65.900000000000006</v>
      </c>
      <c r="P95" s="16">
        <v>9.4</v>
      </c>
      <c r="Q95" s="16">
        <v>84</v>
      </c>
      <c r="R95" s="16">
        <v>24</v>
      </c>
      <c r="S95" s="88">
        <f t="shared" si="20"/>
        <v>73.043478260869563</v>
      </c>
      <c r="T95" s="88">
        <f t="shared" si="21"/>
        <v>64.86486486486487</v>
      </c>
      <c r="U95" s="85" t="s">
        <v>1688</v>
      </c>
      <c r="V95" s="85" t="s">
        <v>1688</v>
      </c>
      <c r="W95" s="85">
        <v>5</v>
      </c>
      <c r="X95" s="86">
        <f t="shared" si="22"/>
        <v>152</v>
      </c>
      <c r="Y95" t="s">
        <v>1264</v>
      </c>
      <c r="Z95" t="s">
        <v>978</v>
      </c>
      <c r="AA95">
        <f t="shared" si="23"/>
        <v>1</v>
      </c>
      <c r="AB95">
        <v>4</v>
      </c>
      <c r="AC95" t="s">
        <v>1688</v>
      </c>
      <c r="AD95" t="s">
        <v>1688</v>
      </c>
      <c r="AE95" t="s">
        <v>1688</v>
      </c>
      <c r="AF95" t="s">
        <v>1688</v>
      </c>
      <c r="AG95" t="s">
        <v>1688</v>
      </c>
      <c r="AH95" t="s">
        <v>1688</v>
      </c>
      <c r="AI95" t="s">
        <v>1688</v>
      </c>
      <c r="AJ95" t="s">
        <v>1688</v>
      </c>
      <c r="AK95" t="s">
        <v>1688</v>
      </c>
      <c r="AL95" s="158" t="str">
        <f t="shared" si="24"/>
        <v>ns</v>
      </c>
      <c r="AM95" s="136" t="str">
        <f t="shared" si="25"/>
        <v>ns</v>
      </c>
      <c r="AN95" s="136" t="str">
        <f t="shared" si="26"/>
        <v>ns</v>
      </c>
      <c r="AO95" s="136" t="str">
        <f t="shared" si="27"/>
        <v>ns</v>
      </c>
      <c r="AP95" s="136" t="str">
        <f t="shared" si="28"/>
        <v>ns</v>
      </c>
      <c r="AQ95" s="136" t="str">
        <f t="shared" si="29"/>
        <v>ns</v>
      </c>
      <c r="AR95" s="136" t="str">
        <f t="shared" si="30"/>
        <v>ns</v>
      </c>
      <c r="AS95" s="136" t="str">
        <f t="shared" si="31"/>
        <v>ns</v>
      </c>
      <c r="AT95" s="85">
        <v>1.5</v>
      </c>
      <c r="AU95" s="86">
        <f t="shared" si="32"/>
        <v>5</v>
      </c>
      <c r="AV95" s="86" t="str">
        <f t="shared" si="33"/>
        <v/>
      </c>
      <c r="AY95" s="231">
        <f>IF(ISNUMBER(M95),M95,NA())</f>
        <v>66.7</v>
      </c>
      <c r="AZ95" s="231">
        <f t="shared" si="37"/>
        <v>10.9</v>
      </c>
      <c r="BA95" s="231">
        <f t="shared" si="34"/>
        <v>65.900000000000006</v>
      </c>
      <c r="BB95" s="231">
        <f t="shared" si="35"/>
        <v>9.4</v>
      </c>
      <c r="BC95" s="231">
        <f t="shared" si="36"/>
        <v>5</v>
      </c>
      <c r="BD95" s="232">
        <f>IF(ISNUMBER(S95),S95,NA())</f>
        <v>73.043478260869563</v>
      </c>
      <c r="BE95" s="232">
        <f>IF(ISNUMBER(T95),T95,NA())</f>
        <v>64.86486486486487</v>
      </c>
      <c r="BP95">
        <v>88</v>
      </c>
    </row>
    <row r="96" spans="1:68">
      <c r="A96">
        <v>89</v>
      </c>
      <c r="B96">
        <v>12974987</v>
      </c>
      <c r="C96" s="215"/>
      <c r="D96" s="9" t="s">
        <v>1555</v>
      </c>
      <c r="E96" s="18" t="s">
        <v>226</v>
      </c>
      <c r="F96" s="16">
        <v>2003</v>
      </c>
      <c r="G96" s="84" t="s">
        <v>468</v>
      </c>
      <c r="H96" s="16">
        <v>37</v>
      </c>
      <c r="I96" s="16">
        <v>27</v>
      </c>
      <c r="J96" s="85" t="s">
        <v>151</v>
      </c>
      <c r="K96" s="85">
        <v>4</v>
      </c>
      <c r="L96" s="16" t="s">
        <v>1119</v>
      </c>
      <c r="M96" s="16">
        <v>55</v>
      </c>
      <c r="N96" s="16">
        <v>16.3</v>
      </c>
      <c r="O96" s="16">
        <v>50</v>
      </c>
      <c r="P96" s="16">
        <v>11.2</v>
      </c>
      <c r="Q96" s="16">
        <v>21</v>
      </c>
      <c r="R96" s="16">
        <v>14</v>
      </c>
      <c r="S96" s="88">
        <f t="shared" si="20"/>
        <v>56.756756756756758</v>
      </c>
      <c r="T96" s="88">
        <f t="shared" si="21"/>
        <v>51.851851851851855</v>
      </c>
      <c r="U96" s="85" t="s">
        <v>1688</v>
      </c>
      <c r="V96" s="85">
        <v>31.4</v>
      </c>
      <c r="W96" s="85">
        <v>5</v>
      </c>
      <c r="X96" s="86">
        <f t="shared" si="22"/>
        <v>64</v>
      </c>
      <c r="Y96" s="2" t="s">
        <v>0</v>
      </c>
      <c r="Z96" t="s">
        <v>978</v>
      </c>
      <c r="AA96">
        <f t="shared" si="23"/>
        <v>1</v>
      </c>
      <c r="AB96">
        <v>5</v>
      </c>
      <c r="AC96" t="s">
        <v>1688</v>
      </c>
      <c r="AD96" t="s">
        <v>1688</v>
      </c>
      <c r="AE96" t="s">
        <v>1688</v>
      </c>
      <c r="AF96" t="s">
        <v>1688</v>
      </c>
      <c r="AG96" t="s">
        <v>1688</v>
      </c>
      <c r="AH96" t="s">
        <v>1688</v>
      </c>
      <c r="AI96" t="s">
        <v>1688</v>
      </c>
      <c r="AJ96" t="s">
        <v>1688</v>
      </c>
      <c r="AK96" t="s">
        <v>1688</v>
      </c>
      <c r="AL96" s="158" t="str">
        <f t="shared" si="24"/>
        <v>ns</v>
      </c>
      <c r="AM96" s="136" t="str">
        <f t="shared" si="25"/>
        <v>ns</v>
      </c>
      <c r="AN96" s="136" t="str">
        <f t="shared" si="26"/>
        <v>ns</v>
      </c>
      <c r="AO96" s="136" t="str">
        <f t="shared" si="27"/>
        <v>ns</v>
      </c>
      <c r="AP96" s="136" t="str">
        <f t="shared" si="28"/>
        <v>ns</v>
      </c>
      <c r="AQ96" s="136" t="str">
        <f t="shared" si="29"/>
        <v>ns</v>
      </c>
      <c r="AR96" s="136" t="str">
        <f t="shared" si="30"/>
        <v>ns</v>
      </c>
      <c r="AS96" s="136" t="str">
        <f t="shared" si="31"/>
        <v>ns</v>
      </c>
      <c r="AT96" s="85">
        <v>2</v>
      </c>
      <c r="AU96" s="86">
        <f t="shared" si="32"/>
        <v>5</v>
      </c>
      <c r="AV96" s="86" t="str">
        <f t="shared" si="33"/>
        <v/>
      </c>
      <c r="AY96" s="231">
        <f>IF(ISNUMBER(M96),M96,NA())</f>
        <v>55</v>
      </c>
      <c r="AZ96" s="231">
        <f t="shared" si="37"/>
        <v>16.3</v>
      </c>
      <c r="BA96" s="231">
        <f t="shared" si="34"/>
        <v>50</v>
      </c>
      <c r="BB96" s="231">
        <f t="shared" si="35"/>
        <v>11.2</v>
      </c>
      <c r="BC96" s="231">
        <f t="shared" si="36"/>
        <v>5</v>
      </c>
      <c r="BD96" s="232">
        <f>IF(ISNUMBER(S96),S96,NA())</f>
        <v>56.756756756756758</v>
      </c>
      <c r="BE96" s="232">
        <f>IF(ISNUMBER(T96),T96,NA())</f>
        <v>51.851851851851855</v>
      </c>
      <c r="BP96">
        <v>89</v>
      </c>
    </row>
    <row r="97" spans="1:68">
      <c r="A97" s="13">
        <v>90</v>
      </c>
      <c r="B97">
        <v>12785469</v>
      </c>
      <c r="C97" s="215"/>
      <c r="D97" s="9" t="s">
        <v>1314</v>
      </c>
      <c r="E97" s="18" t="s">
        <v>225</v>
      </c>
      <c r="F97" s="16">
        <v>2003</v>
      </c>
      <c r="G97" s="84" t="s">
        <v>469</v>
      </c>
      <c r="H97" s="16">
        <v>51</v>
      </c>
      <c r="I97" s="16">
        <v>37</v>
      </c>
      <c r="J97" s="86" t="s">
        <v>151</v>
      </c>
      <c r="K97" s="86">
        <v>4</v>
      </c>
      <c r="L97" s="16" t="s">
        <v>1119</v>
      </c>
      <c r="M97" s="16"/>
      <c r="N97" s="16"/>
      <c r="O97" s="16">
        <v>72.900000000000006</v>
      </c>
      <c r="P97" s="16">
        <v>6.83</v>
      </c>
      <c r="Q97" s="16">
        <v>41</v>
      </c>
      <c r="R97" s="16">
        <v>27</v>
      </c>
      <c r="S97" s="88">
        <f t="shared" si="20"/>
        <v>80.392156862745097</v>
      </c>
      <c r="T97" s="88">
        <f t="shared" si="21"/>
        <v>72.972972972972968</v>
      </c>
      <c r="U97" s="85" t="s">
        <v>1324</v>
      </c>
      <c r="V97" s="85" t="s">
        <v>1688</v>
      </c>
      <c r="W97" s="85">
        <v>1</v>
      </c>
      <c r="X97" s="86">
        <f t="shared" si="22"/>
        <v>88</v>
      </c>
      <c r="Y97" t="s">
        <v>1295</v>
      </c>
      <c r="Z97" t="s">
        <v>461</v>
      </c>
      <c r="AA97">
        <f t="shared" si="23"/>
        <v>4</v>
      </c>
      <c r="AB97">
        <v>5</v>
      </c>
      <c r="AC97" t="s">
        <v>1688</v>
      </c>
      <c r="AD97" t="s">
        <v>1688</v>
      </c>
      <c r="AE97" t="s">
        <v>1688</v>
      </c>
      <c r="AF97" t="s">
        <v>1688</v>
      </c>
      <c r="AG97" t="s">
        <v>1688</v>
      </c>
      <c r="AH97" t="s">
        <v>1688</v>
      </c>
      <c r="AI97" t="s">
        <v>1688</v>
      </c>
      <c r="AJ97" t="s">
        <v>1688</v>
      </c>
      <c r="AK97" t="s">
        <v>1688</v>
      </c>
      <c r="AL97" s="158" t="str">
        <f t="shared" si="24"/>
        <v>ns</v>
      </c>
      <c r="AM97" s="136" t="str">
        <f t="shared" si="25"/>
        <v>ns</v>
      </c>
      <c r="AN97" s="136" t="str">
        <f t="shared" si="26"/>
        <v>ns</v>
      </c>
      <c r="AO97" s="136" t="str">
        <f t="shared" si="27"/>
        <v>ns</v>
      </c>
      <c r="AP97" s="136" t="str">
        <f t="shared" si="28"/>
        <v>ns</v>
      </c>
      <c r="AQ97" s="136" t="str">
        <f t="shared" si="29"/>
        <v>ns</v>
      </c>
      <c r="AR97" s="136" t="str">
        <f t="shared" si="30"/>
        <v>ns</v>
      </c>
      <c r="AS97" s="136" t="str">
        <f t="shared" si="31"/>
        <v>ns</v>
      </c>
      <c r="AT97" s="85">
        <v>1</v>
      </c>
      <c r="AU97" s="86">
        <f t="shared" si="32"/>
        <v>1</v>
      </c>
      <c r="AV97" s="86" t="str">
        <f t="shared" si="33"/>
        <v/>
      </c>
      <c r="AY97" s="231" t="e">
        <f>IF(ISNUMBER(M97),M97,NA())</f>
        <v>#N/A</v>
      </c>
      <c r="AZ97" s="231" t="e">
        <f t="shared" si="37"/>
        <v>#N/A</v>
      </c>
      <c r="BA97" s="231">
        <f t="shared" si="34"/>
        <v>72.900000000000006</v>
      </c>
      <c r="BB97" s="231">
        <f t="shared" si="35"/>
        <v>6.83</v>
      </c>
      <c r="BC97" s="231">
        <f t="shared" si="36"/>
        <v>1</v>
      </c>
      <c r="BD97" s="232">
        <f>IF(ISNUMBER(S97),S97,NA())</f>
        <v>80.392156862745097</v>
      </c>
      <c r="BE97" s="232">
        <f>IF(ISNUMBER(T97),T97,NA())</f>
        <v>72.972972972972968</v>
      </c>
      <c r="BP97">
        <v>90</v>
      </c>
    </row>
    <row r="98" spans="1:68">
      <c r="A98">
        <v>91</v>
      </c>
      <c r="B98">
        <v>12823084</v>
      </c>
      <c r="C98" s="215"/>
      <c r="D98" s="9" t="s">
        <v>612</v>
      </c>
      <c r="E98" s="18" t="s">
        <v>224</v>
      </c>
      <c r="F98" s="16">
        <v>2003</v>
      </c>
      <c r="G98" s="84" t="s">
        <v>470</v>
      </c>
      <c r="H98" s="16">
        <v>55</v>
      </c>
      <c r="I98" s="16">
        <v>37</v>
      </c>
      <c r="J98" s="85" t="s">
        <v>151</v>
      </c>
      <c r="K98" s="85">
        <v>4</v>
      </c>
      <c r="L98" s="16" t="s">
        <v>1119</v>
      </c>
      <c r="M98" s="16">
        <v>60.6</v>
      </c>
      <c r="N98" s="16">
        <v>9.4</v>
      </c>
      <c r="O98" s="16">
        <v>58.6</v>
      </c>
      <c r="P98" s="16">
        <v>7.3</v>
      </c>
      <c r="Q98" s="16">
        <v>33</v>
      </c>
      <c r="R98" s="16">
        <v>22</v>
      </c>
      <c r="S98" s="88">
        <f t="shared" si="20"/>
        <v>60</v>
      </c>
      <c r="T98" s="88">
        <f t="shared" si="21"/>
        <v>59.45945945945946</v>
      </c>
      <c r="U98" s="85">
        <v>50.5</v>
      </c>
      <c r="V98" s="85">
        <v>28.9</v>
      </c>
      <c r="W98" s="85">
        <v>2.2999999999999998</v>
      </c>
      <c r="X98" s="86">
        <f t="shared" si="22"/>
        <v>92</v>
      </c>
      <c r="Y98" t="s">
        <v>423</v>
      </c>
      <c r="Z98" t="s">
        <v>990</v>
      </c>
      <c r="AA98">
        <f t="shared" si="23"/>
        <v>6</v>
      </c>
      <c r="AB98">
        <v>5</v>
      </c>
      <c r="AC98" t="s">
        <v>1688</v>
      </c>
      <c r="AD98" t="s">
        <v>1688</v>
      </c>
      <c r="AE98" t="s">
        <v>1688</v>
      </c>
      <c r="AF98" t="s">
        <v>1688</v>
      </c>
      <c r="AG98" t="s">
        <v>1688</v>
      </c>
      <c r="AH98" t="s">
        <v>1688</v>
      </c>
      <c r="AI98" t="s">
        <v>1688</v>
      </c>
      <c r="AJ98" t="s">
        <v>1688</v>
      </c>
      <c r="AK98" t="s">
        <v>1688</v>
      </c>
      <c r="AL98" s="158" t="str">
        <f t="shared" si="24"/>
        <v>ns</v>
      </c>
      <c r="AM98" s="136" t="str">
        <f t="shared" si="25"/>
        <v>ns</v>
      </c>
      <c r="AN98" s="136" t="str">
        <f t="shared" si="26"/>
        <v>ns</v>
      </c>
      <c r="AO98" s="136" t="str">
        <f t="shared" si="27"/>
        <v>ns</v>
      </c>
      <c r="AP98" s="136" t="str">
        <f t="shared" si="28"/>
        <v>ns</v>
      </c>
      <c r="AQ98" s="136" t="str">
        <f t="shared" si="29"/>
        <v>ns</v>
      </c>
      <c r="AR98" s="136" t="str">
        <f t="shared" si="30"/>
        <v>ns</v>
      </c>
      <c r="AS98" s="136" t="str">
        <f t="shared" si="31"/>
        <v>ns</v>
      </c>
      <c r="AT98" s="85">
        <v>1.5</v>
      </c>
      <c r="AU98" s="86">
        <f t="shared" si="32"/>
        <v>2.2999999999999998</v>
      </c>
      <c r="AV98" s="86" t="str">
        <f t="shared" si="33"/>
        <v/>
      </c>
      <c r="AY98" s="231">
        <f>IF(ISNUMBER(M98),M98,NA())</f>
        <v>60.6</v>
      </c>
      <c r="AZ98" s="231">
        <f t="shared" si="37"/>
        <v>9.4</v>
      </c>
      <c r="BA98" s="231">
        <f t="shared" si="34"/>
        <v>58.6</v>
      </c>
      <c r="BB98" s="231">
        <f t="shared" si="35"/>
        <v>7.3</v>
      </c>
      <c r="BC98" s="231">
        <f t="shared" si="36"/>
        <v>2.2999999999999998</v>
      </c>
      <c r="BD98" s="232">
        <f>IF(ISNUMBER(S98),S98,NA())</f>
        <v>60</v>
      </c>
      <c r="BE98" s="232">
        <f>IF(ISNUMBER(T98),T98,NA())</f>
        <v>59.45945945945946</v>
      </c>
      <c r="BP98">
        <v>91</v>
      </c>
    </row>
    <row r="99" spans="1:68">
      <c r="A99" s="13">
        <v>92</v>
      </c>
      <c r="B99">
        <v>12586453</v>
      </c>
      <c r="C99" s="215"/>
      <c r="D99" s="9" t="s">
        <v>1558</v>
      </c>
      <c r="E99" s="18" t="s">
        <v>1098</v>
      </c>
      <c r="F99" s="16">
        <v>2003</v>
      </c>
      <c r="G99" s="84" t="s">
        <v>471</v>
      </c>
      <c r="H99" s="16">
        <v>57</v>
      </c>
      <c r="I99" s="16">
        <v>57</v>
      </c>
      <c r="J99" s="85" t="s">
        <v>151</v>
      </c>
      <c r="K99" s="85">
        <v>4</v>
      </c>
      <c r="L99" s="16" t="s">
        <v>1119</v>
      </c>
      <c r="M99" s="16"/>
      <c r="N99" s="16"/>
      <c r="O99" s="16"/>
      <c r="P99" s="16"/>
      <c r="Q99" s="16">
        <v>30</v>
      </c>
      <c r="R99" s="16">
        <v>30</v>
      </c>
      <c r="S99" s="88">
        <f t="shared" si="20"/>
        <v>52.631578947368418</v>
      </c>
      <c r="T99" s="88">
        <f t="shared" si="21"/>
        <v>52.631578947368418</v>
      </c>
      <c r="U99" s="85">
        <v>40</v>
      </c>
      <c r="V99" s="85">
        <v>24.8</v>
      </c>
      <c r="W99" s="85">
        <v>1.5</v>
      </c>
      <c r="X99" s="86">
        <f t="shared" si="22"/>
        <v>114</v>
      </c>
      <c r="Y99" t="s">
        <v>421</v>
      </c>
      <c r="Z99" t="s">
        <v>462</v>
      </c>
      <c r="AA99">
        <f t="shared" si="23"/>
        <v>2</v>
      </c>
      <c r="AB99">
        <v>5</v>
      </c>
      <c r="AC99" t="s">
        <v>1688</v>
      </c>
      <c r="AD99" t="s">
        <v>1688</v>
      </c>
      <c r="AE99" t="s">
        <v>1688</v>
      </c>
      <c r="AF99" t="s">
        <v>1688</v>
      </c>
      <c r="AG99" t="s">
        <v>1688</v>
      </c>
      <c r="AH99" t="s">
        <v>1688</v>
      </c>
      <c r="AI99" t="s">
        <v>1688</v>
      </c>
      <c r="AJ99">
        <v>7</v>
      </c>
      <c r="AK99" t="s">
        <v>1688</v>
      </c>
      <c r="AL99" s="158" t="str">
        <f t="shared" si="24"/>
        <v>ns</v>
      </c>
      <c r="AM99" s="136" t="str">
        <f t="shared" si="25"/>
        <v>ns</v>
      </c>
      <c r="AN99" s="136" t="str">
        <f t="shared" si="26"/>
        <v>ns</v>
      </c>
      <c r="AO99" s="136" t="str">
        <f t="shared" si="27"/>
        <v>ns</v>
      </c>
      <c r="AP99" s="136" t="str">
        <f t="shared" si="28"/>
        <v>ns</v>
      </c>
      <c r="AQ99" s="136" t="str">
        <f t="shared" si="29"/>
        <v>ns</v>
      </c>
      <c r="AR99" s="136" t="str">
        <f t="shared" si="30"/>
        <v>ns</v>
      </c>
      <c r="AS99" s="136">
        <f t="shared" si="31"/>
        <v>12.280701754385964</v>
      </c>
      <c r="AT99" s="85">
        <v>1.5</v>
      </c>
      <c r="AU99" s="86">
        <f t="shared" si="32"/>
        <v>1.5</v>
      </c>
      <c r="AV99" s="86" t="str">
        <f t="shared" si="33"/>
        <v/>
      </c>
      <c r="AY99" s="231" t="e">
        <f>IF(ISNUMBER(M99),M99,NA())</f>
        <v>#N/A</v>
      </c>
      <c r="AZ99" s="231" t="e">
        <f t="shared" si="37"/>
        <v>#N/A</v>
      </c>
      <c r="BA99" s="231" t="e">
        <f t="shared" si="34"/>
        <v>#N/A</v>
      </c>
      <c r="BB99" s="231" t="e">
        <f t="shared" si="35"/>
        <v>#N/A</v>
      </c>
      <c r="BC99" s="231">
        <f t="shared" si="36"/>
        <v>1.5</v>
      </c>
      <c r="BD99" s="232">
        <f>IF(ISNUMBER(S99),S99,NA())</f>
        <v>52.631578947368418</v>
      </c>
      <c r="BE99" s="232">
        <f>IF(ISNUMBER(T99),T99,NA())</f>
        <v>52.631578947368418</v>
      </c>
      <c r="BP99">
        <v>92</v>
      </c>
    </row>
    <row r="100" spans="1:68">
      <c r="A100">
        <v>93</v>
      </c>
      <c r="B100">
        <v>14623065</v>
      </c>
      <c r="C100" s="215"/>
      <c r="D100" s="9" t="s">
        <v>376</v>
      </c>
      <c r="E100" s="18" t="s">
        <v>539</v>
      </c>
      <c r="F100" s="16">
        <v>2003</v>
      </c>
      <c r="G100" s="84" t="s">
        <v>472</v>
      </c>
      <c r="H100" s="16">
        <v>25</v>
      </c>
      <c r="I100" s="16">
        <v>48</v>
      </c>
      <c r="J100" s="85" t="s">
        <v>151</v>
      </c>
      <c r="K100" s="85">
        <v>4</v>
      </c>
      <c r="L100" s="16" t="s">
        <v>1119</v>
      </c>
      <c r="M100" s="16">
        <v>41.2</v>
      </c>
      <c r="N100" s="16">
        <v>11.04</v>
      </c>
      <c r="O100" s="16">
        <v>35.06</v>
      </c>
      <c r="P100" s="16">
        <v>10.029999999999999</v>
      </c>
      <c r="Q100" s="16">
        <v>4</v>
      </c>
      <c r="R100" s="16">
        <v>29</v>
      </c>
      <c r="S100" s="88">
        <f t="shared" si="20"/>
        <v>16</v>
      </c>
      <c r="T100" s="88">
        <f t="shared" si="21"/>
        <v>60.416666666666664</v>
      </c>
      <c r="U100" s="85">
        <v>29.44</v>
      </c>
      <c r="V100" s="85">
        <v>10.91</v>
      </c>
      <c r="W100" s="85">
        <v>5</v>
      </c>
      <c r="X100" s="86">
        <f t="shared" si="22"/>
        <v>73</v>
      </c>
      <c r="Y100" t="s">
        <v>582</v>
      </c>
      <c r="Z100" t="s">
        <v>463</v>
      </c>
      <c r="AA100">
        <f t="shared" si="23"/>
        <v>6</v>
      </c>
      <c r="AB100">
        <v>5</v>
      </c>
      <c r="AC100">
        <v>0</v>
      </c>
      <c r="AD100">
        <v>0</v>
      </c>
      <c r="AE100">
        <v>0</v>
      </c>
      <c r="AF100">
        <v>0</v>
      </c>
      <c r="AG100">
        <v>0</v>
      </c>
      <c r="AH100">
        <v>0</v>
      </c>
      <c r="AI100">
        <v>0</v>
      </c>
      <c r="AJ100">
        <v>25</v>
      </c>
      <c r="AK100">
        <v>0</v>
      </c>
      <c r="AL100" s="158">
        <f t="shared" si="24"/>
        <v>0</v>
      </c>
      <c r="AM100" s="136">
        <f t="shared" si="25"/>
        <v>0</v>
      </c>
      <c r="AN100" s="136">
        <f t="shared" si="26"/>
        <v>0</v>
      </c>
      <c r="AO100" s="136">
        <f t="shared" si="27"/>
        <v>0</v>
      </c>
      <c r="AP100" s="136">
        <f t="shared" si="28"/>
        <v>0</v>
      </c>
      <c r="AQ100" s="136">
        <f t="shared" si="29"/>
        <v>0</v>
      </c>
      <c r="AR100" s="136">
        <f t="shared" si="30"/>
        <v>0</v>
      </c>
      <c r="AS100" s="136">
        <f t="shared" si="31"/>
        <v>100</v>
      </c>
      <c r="AT100" s="85">
        <v>1.5</v>
      </c>
      <c r="AU100" s="86">
        <f t="shared" si="32"/>
        <v>5</v>
      </c>
      <c r="AV100" s="86" t="str">
        <f t="shared" si="33"/>
        <v/>
      </c>
      <c r="AY100" s="231">
        <f>IF(ISNUMBER(M100),M100,NA())</f>
        <v>41.2</v>
      </c>
      <c r="AZ100" s="231">
        <f t="shared" si="37"/>
        <v>11.04</v>
      </c>
      <c r="BA100" s="231">
        <f t="shared" si="34"/>
        <v>35.06</v>
      </c>
      <c r="BB100" s="231">
        <f t="shared" si="35"/>
        <v>10.029999999999999</v>
      </c>
      <c r="BC100" s="231">
        <f t="shared" si="36"/>
        <v>5</v>
      </c>
      <c r="BD100" s="232">
        <f>IF(ISNUMBER(S100),S100,NA())</f>
        <v>16</v>
      </c>
      <c r="BE100" s="232">
        <f>IF(ISNUMBER(T100),T100,NA())</f>
        <v>60.416666666666664</v>
      </c>
      <c r="BP100">
        <v>93</v>
      </c>
    </row>
    <row r="101" spans="1:68">
      <c r="A101" s="13">
        <v>94</v>
      </c>
      <c r="B101">
        <v>12946881</v>
      </c>
      <c r="C101" s="215"/>
      <c r="D101" s="9" t="s">
        <v>1053</v>
      </c>
      <c r="E101" s="18" t="s">
        <v>1660</v>
      </c>
      <c r="F101" s="16">
        <v>2003</v>
      </c>
      <c r="G101" s="84" t="s">
        <v>473</v>
      </c>
      <c r="H101" s="16">
        <v>41</v>
      </c>
      <c r="I101" s="16">
        <v>41</v>
      </c>
      <c r="J101" s="85" t="s">
        <v>151</v>
      </c>
      <c r="K101" s="85">
        <v>4</v>
      </c>
      <c r="L101" s="16" t="s">
        <v>1119</v>
      </c>
      <c r="M101" s="16">
        <v>68.73</v>
      </c>
      <c r="N101" s="16">
        <v>6.98</v>
      </c>
      <c r="O101" s="16">
        <v>71.150000000000006</v>
      </c>
      <c r="P101" s="16">
        <v>6.25</v>
      </c>
      <c r="Q101" s="16">
        <v>21</v>
      </c>
      <c r="R101" s="16">
        <v>34</v>
      </c>
      <c r="S101" s="88">
        <f t="shared" si="20"/>
        <v>51.219512195121951</v>
      </c>
      <c r="T101" s="88">
        <f t="shared" si="21"/>
        <v>82.926829268292678</v>
      </c>
      <c r="U101" s="85">
        <v>47.92</v>
      </c>
      <c r="V101" s="85">
        <v>20.2</v>
      </c>
      <c r="W101" s="85" t="s">
        <v>1688</v>
      </c>
      <c r="X101" s="86">
        <f t="shared" si="22"/>
        <v>82</v>
      </c>
      <c r="Y101" t="s">
        <v>162</v>
      </c>
      <c r="Z101" t="s">
        <v>2197</v>
      </c>
      <c r="AA101">
        <f t="shared" si="23"/>
        <v>5</v>
      </c>
      <c r="AB101">
        <v>5</v>
      </c>
      <c r="AC101">
        <v>23</v>
      </c>
      <c r="AD101" t="s">
        <v>1688</v>
      </c>
      <c r="AE101" t="s">
        <v>1688</v>
      </c>
      <c r="AF101" t="s">
        <v>1688</v>
      </c>
      <c r="AG101" t="s">
        <v>1688</v>
      </c>
      <c r="AH101" t="s">
        <v>1688</v>
      </c>
      <c r="AI101" t="s">
        <v>1688</v>
      </c>
      <c r="AJ101" t="s">
        <v>1688</v>
      </c>
      <c r="AK101" t="s">
        <v>1688</v>
      </c>
      <c r="AL101" s="158">
        <f t="shared" si="24"/>
        <v>56.09756097560976</v>
      </c>
      <c r="AM101" s="136" t="str">
        <f t="shared" si="25"/>
        <v>ns</v>
      </c>
      <c r="AN101" s="136" t="str">
        <f t="shared" si="26"/>
        <v>ns</v>
      </c>
      <c r="AO101" s="136" t="str">
        <f t="shared" si="27"/>
        <v>ns</v>
      </c>
      <c r="AP101" s="136" t="str">
        <f t="shared" si="28"/>
        <v>ns</v>
      </c>
      <c r="AQ101" s="136" t="str">
        <f t="shared" si="29"/>
        <v>ns</v>
      </c>
      <c r="AR101" s="136" t="str">
        <f t="shared" si="30"/>
        <v>ns</v>
      </c>
      <c r="AS101" s="136" t="str">
        <f t="shared" si="31"/>
        <v>ns</v>
      </c>
      <c r="AT101" s="85">
        <v>1.5</v>
      </c>
      <c r="AU101" s="86" t="str">
        <f t="shared" si="32"/>
        <v/>
      </c>
      <c r="AV101" s="86" t="str">
        <f t="shared" si="33"/>
        <v/>
      </c>
      <c r="AY101" s="231">
        <f>IF(ISNUMBER(M101),M101,NA())</f>
        <v>68.73</v>
      </c>
      <c r="AZ101" s="231">
        <f t="shared" si="37"/>
        <v>6.98</v>
      </c>
      <c r="BA101" s="231">
        <f t="shared" si="34"/>
        <v>71.150000000000006</v>
      </c>
      <c r="BB101" s="231">
        <f t="shared" si="35"/>
        <v>6.25</v>
      </c>
      <c r="BC101" s="231" t="e">
        <f t="shared" si="36"/>
        <v>#N/A</v>
      </c>
      <c r="BD101" s="232">
        <f>IF(ISNUMBER(S101),S101,NA())</f>
        <v>51.219512195121951</v>
      </c>
      <c r="BE101" s="232">
        <f>IF(ISNUMBER(T101),T101,NA())</f>
        <v>82.926829268292678</v>
      </c>
      <c r="BP101">
        <v>94</v>
      </c>
    </row>
    <row r="102" spans="1:68">
      <c r="A102">
        <v>95</v>
      </c>
      <c r="B102">
        <v>12804127</v>
      </c>
      <c r="C102" s="215"/>
      <c r="D102" s="9" t="s">
        <v>412</v>
      </c>
      <c r="E102" s="18" t="s">
        <v>1659</v>
      </c>
      <c r="F102" s="16">
        <v>2003</v>
      </c>
      <c r="G102" s="84" t="s">
        <v>279</v>
      </c>
      <c r="H102" s="16">
        <v>23</v>
      </c>
      <c r="I102" s="16">
        <v>23</v>
      </c>
      <c r="J102" s="85" t="s">
        <v>151</v>
      </c>
      <c r="K102" s="85">
        <v>4</v>
      </c>
      <c r="L102" s="16" t="s">
        <v>1119</v>
      </c>
      <c r="M102" s="16"/>
      <c r="N102" s="16"/>
      <c r="O102" s="16"/>
      <c r="P102" s="16"/>
      <c r="Q102" s="16">
        <v>13</v>
      </c>
      <c r="R102" s="16">
        <v>13</v>
      </c>
      <c r="S102" s="88">
        <f t="shared" si="20"/>
        <v>56.521739130434781</v>
      </c>
      <c r="T102" s="88">
        <f t="shared" si="21"/>
        <v>56.521739130434781</v>
      </c>
      <c r="U102" s="85">
        <v>11.84</v>
      </c>
      <c r="V102" s="85" t="s">
        <v>1688</v>
      </c>
      <c r="W102" s="85">
        <v>1.5</v>
      </c>
      <c r="X102" s="86">
        <f t="shared" si="22"/>
        <v>46</v>
      </c>
      <c r="Y102" t="s">
        <v>1374</v>
      </c>
      <c r="Z102" t="s">
        <v>464</v>
      </c>
      <c r="AA102">
        <f t="shared" si="23"/>
        <v>4</v>
      </c>
      <c r="AB102">
        <v>5</v>
      </c>
      <c r="AC102">
        <v>0</v>
      </c>
      <c r="AD102">
        <v>0</v>
      </c>
      <c r="AE102">
        <v>0</v>
      </c>
      <c r="AF102">
        <v>0</v>
      </c>
      <c r="AG102">
        <v>0</v>
      </c>
      <c r="AH102">
        <v>0</v>
      </c>
      <c r="AI102">
        <v>0</v>
      </c>
      <c r="AJ102">
        <v>23</v>
      </c>
      <c r="AK102">
        <v>0</v>
      </c>
      <c r="AL102" s="158">
        <f t="shared" si="24"/>
        <v>0</v>
      </c>
      <c r="AM102" s="136">
        <f t="shared" si="25"/>
        <v>0</v>
      </c>
      <c r="AN102" s="136">
        <f t="shared" si="26"/>
        <v>0</v>
      </c>
      <c r="AO102" s="136">
        <f t="shared" si="27"/>
        <v>0</v>
      </c>
      <c r="AP102" s="136">
        <f t="shared" si="28"/>
        <v>0</v>
      </c>
      <c r="AQ102" s="136">
        <f t="shared" si="29"/>
        <v>0</v>
      </c>
      <c r="AR102" s="136">
        <f t="shared" si="30"/>
        <v>0</v>
      </c>
      <c r="AS102" s="136">
        <f t="shared" si="31"/>
        <v>100</v>
      </c>
      <c r="AT102" s="85">
        <v>1.5</v>
      </c>
      <c r="AU102" s="86">
        <f t="shared" si="32"/>
        <v>1.5</v>
      </c>
      <c r="AV102" s="86" t="str">
        <f t="shared" si="33"/>
        <v/>
      </c>
      <c r="AY102" s="231" t="e">
        <f>IF(ISNUMBER(M102),M102,NA())</f>
        <v>#N/A</v>
      </c>
      <c r="AZ102" s="231" t="e">
        <f t="shared" si="37"/>
        <v>#N/A</v>
      </c>
      <c r="BA102" s="231" t="e">
        <f t="shared" si="34"/>
        <v>#N/A</v>
      </c>
      <c r="BB102" s="231" t="e">
        <f t="shared" si="35"/>
        <v>#N/A</v>
      </c>
      <c r="BC102" s="231">
        <f t="shared" si="36"/>
        <v>1.5</v>
      </c>
      <c r="BD102" s="232">
        <f>IF(ISNUMBER(S102),S102,NA())</f>
        <v>56.521739130434781</v>
      </c>
      <c r="BE102" s="232">
        <f>IF(ISNUMBER(T102),T102,NA())</f>
        <v>56.521739130434781</v>
      </c>
      <c r="BP102">
        <v>95</v>
      </c>
    </row>
    <row r="103" spans="1:68">
      <c r="A103" s="13">
        <v>96</v>
      </c>
      <c r="B103">
        <v>12552118</v>
      </c>
      <c r="C103" s="215"/>
      <c r="D103" s="9" t="s">
        <v>434</v>
      </c>
      <c r="E103" s="18" t="s">
        <v>1658</v>
      </c>
      <c r="F103" s="16">
        <v>2003</v>
      </c>
      <c r="G103" s="84" t="s">
        <v>280</v>
      </c>
      <c r="H103" s="16">
        <v>37</v>
      </c>
      <c r="I103" s="16">
        <v>37</v>
      </c>
      <c r="J103" s="85" t="s">
        <v>151</v>
      </c>
      <c r="K103" s="85">
        <v>4</v>
      </c>
      <c r="L103" s="16" t="s">
        <v>1119</v>
      </c>
      <c r="M103" s="16">
        <v>28.4</v>
      </c>
      <c r="N103" s="16">
        <v>11.8</v>
      </c>
      <c r="O103" s="16">
        <v>28.4</v>
      </c>
      <c r="P103" s="16">
        <v>11.5</v>
      </c>
      <c r="Q103" s="16">
        <v>13</v>
      </c>
      <c r="R103" s="16">
        <v>13</v>
      </c>
      <c r="S103" s="88">
        <f t="shared" si="20"/>
        <v>35.135135135135137</v>
      </c>
      <c r="T103" s="88">
        <f t="shared" si="21"/>
        <v>35.135135135135137</v>
      </c>
      <c r="U103" s="85">
        <v>26.3</v>
      </c>
      <c r="V103" s="85">
        <v>19.100000000000001</v>
      </c>
      <c r="W103" s="85">
        <v>1.2</v>
      </c>
      <c r="X103" s="86">
        <f t="shared" si="22"/>
        <v>74</v>
      </c>
      <c r="Y103" t="s">
        <v>1120</v>
      </c>
      <c r="Z103" t="s">
        <v>577</v>
      </c>
      <c r="AA103">
        <f t="shared" si="23"/>
        <v>2</v>
      </c>
      <c r="AB103">
        <v>5</v>
      </c>
      <c r="AC103" t="s">
        <v>1688</v>
      </c>
      <c r="AD103" t="s">
        <v>1688</v>
      </c>
      <c r="AE103" t="s">
        <v>1688</v>
      </c>
      <c r="AF103" t="s">
        <v>1688</v>
      </c>
      <c r="AG103" t="s">
        <v>1688</v>
      </c>
      <c r="AH103">
        <v>0</v>
      </c>
      <c r="AI103" t="s">
        <v>1688</v>
      </c>
      <c r="AJ103" t="s">
        <v>1688</v>
      </c>
      <c r="AK103" t="s">
        <v>1688</v>
      </c>
      <c r="AL103" s="158" t="str">
        <f t="shared" si="24"/>
        <v>ns</v>
      </c>
      <c r="AM103" s="136" t="str">
        <f t="shared" si="25"/>
        <v>ns</v>
      </c>
      <c r="AN103" s="136" t="str">
        <f t="shared" si="26"/>
        <v>ns</v>
      </c>
      <c r="AO103" s="136" t="str">
        <f t="shared" si="27"/>
        <v>ns</v>
      </c>
      <c r="AP103" s="136" t="str">
        <f t="shared" si="28"/>
        <v>ns</v>
      </c>
      <c r="AQ103" s="136">
        <f t="shared" si="29"/>
        <v>0</v>
      </c>
      <c r="AR103" s="136" t="str">
        <f t="shared" si="30"/>
        <v>ns</v>
      </c>
      <c r="AS103" s="136" t="str">
        <f t="shared" si="31"/>
        <v>ns</v>
      </c>
      <c r="AT103" s="85">
        <v>1.5</v>
      </c>
      <c r="AU103" s="86">
        <f t="shared" si="32"/>
        <v>1.2</v>
      </c>
      <c r="AV103" s="86" t="str">
        <f t="shared" si="33"/>
        <v/>
      </c>
      <c r="AY103" s="231">
        <f>IF(ISNUMBER(M103),M103,NA())</f>
        <v>28.4</v>
      </c>
      <c r="AZ103" s="231">
        <f t="shared" si="37"/>
        <v>11.8</v>
      </c>
      <c r="BA103" s="231">
        <f t="shared" si="34"/>
        <v>28.4</v>
      </c>
      <c r="BB103" s="231">
        <f t="shared" si="35"/>
        <v>11.5</v>
      </c>
      <c r="BC103" s="231">
        <f t="shared" si="36"/>
        <v>1.2</v>
      </c>
      <c r="BD103" s="232">
        <f>IF(ISNUMBER(S103),S103,NA())</f>
        <v>35.135135135135137</v>
      </c>
      <c r="BE103" s="232">
        <f>IF(ISNUMBER(T103),T103,NA())</f>
        <v>35.135135135135137</v>
      </c>
      <c r="BP103">
        <v>96</v>
      </c>
    </row>
    <row r="104" spans="1:68">
      <c r="A104">
        <v>97</v>
      </c>
      <c r="B104">
        <v>14655115</v>
      </c>
      <c r="C104" s="215"/>
      <c r="D104" s="1" t="s">
        <v>361</v>
      </c>
      <c r="E104" s="2" t="s">
        <v>2386</v>
      </c>
      <c r="F104">
        <v>2003</v>
      </c>
      <c r="G104" s="1" t="s">
        <v>1433</v>
      </c>
      <c r="H104">
        <v>10</v>
      </c>
      <c r="I104">
        <v>16</v>
      </c>
      <c r="J104" s="13" t="s">
        <v>54</v>
      </c>
      <c r="K104" s="13"/>
      <c r="L104" t="s">
        <v>1119</v>
      </c>
      <c r="M104">
        <v>39.799999999999997</v>
      </c>
      <c r="O104">
        <v>39.299999999999997</v>
      </c>
      <c r="S104" s="88" t="str">
        <f t="shared" si="20"/>
        <v/>
      </c>
      <c r="T104" s="88" t="str">
        <f t="shared" si="21"/>
        <v/>
      </c>
      <c r="U104" s="85" t="s">
        <v>1688</v>
      </c>
      <c r="V104" s="85" t="s">
        <v>1688</v>
      </c>
      <c r="W104" s="85">
        <v>1.5</v>
      </c>
      <c r="X104" s="86">
        <f t="shared" si="22"/>
        <v>26</v>
      </c>
      <c r="Y104" t="s">
        <v>1616</v>
      </c>
      <c r="Z104" s="4" t="s">
        <v>1447</v>
      </c>
      <c r="AA104">
        <f t="shared" si="23"/>
        <v>12</v>
      </c>
      <c r="AB104">
        <v>6</v>
      </c>
      <c r="AC104" t="s">
        <v>1688</v>
      </c>
      <c r="AD104" t="s">
        <v>1688</v>
      </c>
      <c r="AE104" t="s">
        <v>1688</v>
      </c>
      <c r="AF104" t="s">
        <v>1688</v>
      </c>
      <c r="AG104" t="s">
        <v>1688</v>
      </c>
      <c r="AH104" t="s">
        <v>1688</v>
      </c>
      <c r="AI104" t="s">
        <v>1688</v>
      </c>
      <c r="AJ104" t="s">
        <v>1688</v>
      </c>
      <c r="AK104" t="s">
        <v>1688</v>
      </c>
      <c r="AL104" s="158" t="str">
        <f t="shared" si="24"/>
        <v>ns</v>
      </c>
      <c r="AM104" s="136" t="str">
        <f t="shared" si="25"/>
        <v>ns</v>
      </c>
      <c r="AN104" s="136" t="str">
        <f t="shared" si="26"/>
        <v>ns</v>
      </c>
      <c r="AO104" s="136" t="str">
        <f t="shared" si="27"/>
        <v>ns</v>
      </c>
      <c r="AP104" s="136" t="str">
        <f t="shared" si="28"/>
        <v>ns</v>
      </c>
      <c r="AQ104" s="136" t="str">
        <f t="shared" si="29"/>
        <v>ns</v>
      </c>
      <c r="AR104" s="136" t="str">
        <f t="shared" si="30"/>
        <v>ns</v>
      </c>
      <c r="AS104" s="136" t="str">
        <f t="shared" si="31"/>
        <v>ns</v>
      </c>
      <c r="AT104" s="85">
        <v>0.5</v>
      </c>
      <c r="AU104" s="86">
        <f t="shared" si="32"/>
        <v>1.5</v>
      </c>
      <c r="AV104" s="86" t="str">
        <f t="shared" ref="AV104:AV135" si="38">IF(L104="CT",W104,"")</f>
        <v/>
      </c>
      <c r="AY104" s="231">
        <f>IF(ISNUMBER(M104),M104,NA())</f>
        <v>39.799999999999997</v>
      </c>
      <c r="AZ104" s="231" t="e">
        <f t="shared" si="37"/>
        <v>#N/A</v>
      </c>
      <c r="BA104" s="231">
        <f t="shared" si="34"/>
        <v>39.299999999999997</v>
      </c>
      <c r="BB104" s="231" t="e">
        <f t="shared" si="35"/>
        <v>#N/A</v>
      </c>
      <c r="BC104" s="231">
        <f t="shared" si="36"/>
        <v>1.5</v>
      </c>
      <c r="BD104" s="232" t="e">
        <f>IF(ISNUMBER(S104),S104,NA())</f>
        <v>#N/A</v>
      </c>
      <c r="BE104" s="232" t="e">
        <f>IF(ISNUMBER(T104),T104,NA())</f>
        <v>#N/A</v>
      </c>
      <c r="BP104">
        <v>97</v>
      </c>
    </row>
    <row r="105" spans="1:68">
      <c r="A105" s="13">
        <v>98</v>
      </c>
      <c r="B105">
        <v>12505805</v>
      </c>
      <c r="C105" s="215"/>
      <c r="D105" s="9" t="s">
        <v>961</v>
      </c>
      <c r="E105" s="18" t="s">
        <v>1759</v>
      </c>
      <c r="F105" s="16">
        <v>2003</v>
      </c>
      <c r="G105" s="84" t="s">
        <v>389</v>
      </c>
      <c r="H105" s="16">
        <v>27</v>
      </c>
      <c r="I105" s="16">
        <v>42</v>
      </c>
      <c r="J105" s="85" t="s">
        <v>151</v>
      </c>
      <c r="K105" s="85">
        <v>4</v>
      </c>
      <c r="L105" s="16" t="s">
        <v>1119</v>
      </c>
      <c r="M105" s="16">
        <v>33</v>
      </c>
      <c r="N105" s="16">
        <v>10.7</v>
      </c>
      <c r="O105" s="16">
        <v>33.200000000000003</v>
      </c>
      <c r="P105" s="16">
        <v>10.8</v>
      </c>
      <c r="Q105" s="16">
        <v>15</v>
      </c>
      <c r="R105" s="16">
        <v>23</v>
      </c>
      <c r="S105" s="88">
        <f t="shared" si="20"/>
        <v>55.555555555555557</v>
      </c>
      <c r="T105" s="88">
        <f t="shared" si="21"/>
        <v>54.761904761904759</v>
      </c>
      <c r="U105" s="85" t="s">
        <v>1688</v>
      </c>
      <c r="V105" s="85">
        <v>27.3</v>
      </c>
      <c r="W105" s="85">
        <v>1</v>
      </c>
      <c r="X105" s="86">
        <f t="shared" si="22"/>
        <v>69</v>
      </c>
      <c r="Y105" t="s">
        <v>1127</v>
      </c>
      <c r="Z105" t="s">
        <v>465</v>
      </c>
      <c r="AA105">
        <f t="shared" si="23"/>
        <v>3</v>
      </c>
      <c r="AB105">
        <v>5</v>
      </c>
      <c r="AC105" t="s">
        <v>1688</v>
      </c>
      <c r="AD105" t="s">
        <v>1688</v>
      </c>
      <c r="AE105" t="s">
        <v>1688</v>
      </c>
      <c r="AF105" t="s">
        <v>1688</v>
      </c>
      <c r="AG105" t="s">
        <v>1688</v>
      </c>
      <c r="AH105" t="s">
        <v>1688</v>
      </c>
      <c r="AI105" t="s">
        <v>1688</v>
      </c>
      <c r="AJ105" t="s">
        <v>1688</v>
      </c>
      <c r="AK105" t="s">
        <v>1688</v>
      </c>
      <c r="AL105" s="158" t="str">
        <f t="shared" si="24"/>
        <v>ns</v>
      </c>
      <c r="AM105" s="136" t="str">
        <f t="shared" si="25"/>
        <v>ns</v>
      </c>
      <c r="AN105" s="136" t="str">
        <f t="shared" si="26"/>
        <v>ns</v>
      </c>
      <c r="AO105" s="136" t="str">
        <f t="shared" si="27"/>
        <v>ns</v>
      </c>
      <c r="AP105" s="136" t="str">
        <f t="shared" si="28"/>
        <v>ns</v>
      </c>
      <c r="AQ105" s="136" t="str">
        <f t="shared" si="29"/>
        <v>ns</v>
      </c>
      <c r="AR105" s="136" t="str">
        <f t="shared" si="30"/>
        <v>ns</v>
      </c>
      <c r="AS105" s="136" t="str">
        <f t="shared" si="31"/>
        <v>ns</v>
      </c>
      <c r="AT105" s="85">
        <v>1.5</v>
      </c>
      <c r="AU105" s="86">
        <f t="shared" si="32"/>
        <v>1</v>
      </c>
      <c r="AV105" s="86" t="str">
        <f t="shared" si="38"/>
        <v/>
      </c>
      <c r="AY105" s="231">
        <f>IF(ISNUMBER(M105),M105,NA())</f>
        <v>33</v>
      </c>
      <c r="AZ105" s="231">
        <f t="shared" si="37"/>
        <v>10.7</v>
      </c>
      <c r="BA105" s="231">
        <f t="shared" si="34"/>
        <v>33.200000000000003</v>
      </c>
      <c r="BB105" s="231">
        <f t="shared" si="35"/>
        <v>10.8</v>
      </c>
      <c r="BC105" s="231">
        <f t="shared" si="36"/>
        <v>1</v>
      </c>
      <c r="BD105" s="232">
        <f>IF(ISNUMBER(S105),S105,NA())</f>
        <v>55.555555555555557</v>
      </c>
      <c r="BE105" s="232">
        <f>IF(ISNUMBER(T105),T105,NA())</f>
        <v>54.761904761904759</v>
      </c>
      <c r="BP105">
        <v>98</v>
      </c>
    </row>
    <row r="106" spans="1:68">
      <c r="A106">
        <v>99</v>
      </c>
      <c r="B106">
        <v>14612223</v>
      </c>
      <c r="C106" s="215"/>
      <c r="D106" s="9" t="s">
        <v>1586</v>
      </c>
      <c r="E106" s="18" t="s">
        <v>1832</v>
      </c>
      <c r="F106" s="16">
        <v>2003</v>
      </c>
      <c r="G106" s="84" t="s">
        <v>1434</v>
      </c>
      <c r="H106" s="16">
        <v>18</v>
      </c>
      <c r="I106" s="16">
        <v>38</v>
      </c>
      <c r="J106" s="85" t="s">
        <v>151</v>
      </c>
      <c r="K106" s="85">
        <v>4</v>
      </c>
      <c r="L106" s="16" t="s">
        <v>1119</v>
      </c>
      <c r="M106" s="16">
        <v>42.8</v>
      </c>
      <c r="N106" s="16">
        <v>9.1999999999999993</v>
      </c>
      <c r="O106" s="16">
        <v>36.799999999999997</v>
      </c>
      <c r="P106" s="16">
        <v>9.6999999999999993</v>
      </c>
      <c r="Q106" s="16">
        <v>16</v>
      </c>
      <c r="R106" s="16">
        <v>14</v>
      </c>
      <c r="S106" s="88">
        <f t="shared" si="20"/>
        <v>88.888888888888886</v>
      </c>
      <c r="T106" s="88">
        <f t="shared" si="21"/>
        <v>36.842105263157897</v>
      </c>
      <c r="U106" s="85">
        <v>30</v>
      </c>
      <c r="V106" s="85" t="s">
        <v>1688</v>
      </c>
      <c r="W106" s="85">
        <v>1.5</v>
      </c>
      <c r="X106" s="86">
        <f t="shared" si="22"/>
        <v>56</v>
      </c>
      <c r="Y106" t="s">
        <v>1282</v>
      </c>
      <c r="Z106" t="s">
        <v>978</v>
      </c>
      <c r="AA106">
        <f t="shared" si="23"/>
        <v>1</v>
      </c>
      <c r="AB106">
        <v>5</v>
      </c>
      <c r="AC106">
        <v>0</v>
      </c>
      <c r="AD106">
        <v>0</v>
      </c>
      <c r="AE106">
        <v>0</v>
      </c>
      <c r="AF106">
        <v>0</v>
      </c>
      <c r="AG106">
        <v>0</v>
      </c>
      <c r="AH106">
        <v>0</v>
      </c>
      <c r="AI106">
        <v>0</v>
      </c>
      <c r="AJ106">
        <v>18</v>
      </c>
      <c r="AK106">
        <v>0</v>
      </c>
      <c r="AL106" s="158">
        <f t="shared" si="24"/>
        <v>0</v>
      </c>
      <c r="AM106" s="136">
        <f t="shared" si="25"/>
        <v>0</v>
      </c>
      <c r="AN106" s="136">
        <f t="shared" si="26"/>
        <v>0</v>
      </c>
      <c r="AO106" s="136">
        <f t="shared" si="27"/>
        <v>0</v>
      </c>
      <c r="AP106" s="136">
        <f t="shared" si="28"/>
        <v>0</v>
      </c>
      <c r="AQ106" s="136">
        <f t="shared" si="29"/>
        <v>0</v>
      </c>
      <c r="AR106" s="136">
        <f t="shared" si="30"/>
        <v>0</v>
      </c>
      <c r="AS106" s="136">
        <f t="shared" si="31"/>
        <v>100</v>
      </c>
      <c r="AT106" s="85">
        <v>1.5</v>
      </c>
      <c r="AU106" s="86">
        <f t="shared" si="32"/>
        <v>1.5</v>
      </c>
      <c r="AV106" s="86" t="str">
        <f t="shared" si="38"/>
        <v/>
      </c>
      <c r="AY106" s="231">
        <f>IF(ISNUMBER(M106),M106,NA())</f>
        <v>42.8</v>
      </c>
      <c r="AZ106" s="231">
        <f t="shared" si="37"/>
        <v>9.1999999999999993</v>
      </c>
      <c r="BA106" s="231">
        <f t="shared" si="34"/>
        <v>36.799999999999997</v>
      </c>
      <c r="BB106" s="231">
        <f t="shared" si="35"/>
        <v>9.6999999999999993</v>
      </c>
      <c r="BC106" s="231">
        <f t="shared" si="36"/>
        <v>1.5</v>
      </c>
      <c r="BD106" s="232">
        <f>IF(ISNUMBER(S106),S106,NA())</f>
        <v>88.888888888888886</v>
      </c>
      <c r="BE106" s="232">
        <f>IF(ISNUMBER(T106),T106,NA())</f>
        <v>36.842105263157897</v>
      </c>
      <c r="BP106">
        <v>99</v>
      </c>
    </row>
    <row r="107" spans="1:68">
      <c r="A107" s="13">
        <v>100</v>
      </c>
      <c r="B107">
        <v>12900317</v>
      </c>
      <c r="C107" s="215"/>
      <c r="D107" s="9" t="s">
        <v>1352</v>
      </c>
      <c r="E107" s="18" t="s">
        <v>1758</v>
      </c>
      <c r="F107" s="16">
        <v>2003</v>
      </c>
      <c r="G107" s="84" t="s">
        <v>919</v>
      </c>
      <c r="H107" s="16">
        <v>38</v>
      </c>
      <c r="I107" s="16">
        <v>38</v>
      </c>
      <c r="J107" s="85" t="s">
        <v>151</v>
      </c>
      <c r="K107" s="85">
        <v>4</v>
      </c>
      <c r="L107" s="16" t="s">
        <v>1119</v>
      </c>
      <c r="M107" s="16">
        <v>50.8</v>
      </c>
      <c r="N107" s="16">
        <v>17.100000000000001</v>
      </c>
      <c r="O107" s="16" t="s">
        <v>1688</v>
      </c>
      <c r="P107" s="16" t="s">
        <v>1688</v>
      </c>
      <c r="Q107" s="16">
        <v>38</v>
      </c>
      <c r="R107" s="16" t="s">
        <v>1688</v>
      </c>
      <c r="S107" s="88">
        <f t="shared" si="20"/>
        <v>100</v>
      </c>
      <c r="T107" s="88" t="str">
        <f t="shared" si="21"/>
        <v/>
      </c>
      <c r="U107" s="85" t="s">
        <v>1688</v>
      </c>
      <c r="V107" s="86">
        <v>6.7</v>
      </c>
      <c r="W107" s="85" t="s">
        <v>1688</v>
      </c>
      <c r="X107" s="86">
        <f t="shared" si="22"/>
        <v>76</v>
      </c>
      <c r="Y107" t="s">
        <v>1281</v>
      </c>
      <c r="Z107" t="s">
        <v>466</v>
      </c>
      <c r="AA107">
        <f t="shared" si="23"/>
        <v>4</v>
      </c>
      <c r="AB107">
        <v>5</v>
      </c>
      <c r="AC107" t="s">
        <v>1688</v>
      </c>
      <c r="AD107" t="s">
        <v>1688</v>
      </c>
      <c r="AE107" t="s">
        <v>1688</v>
      </c>
      <c r="AF107" t="s">
        <v>1688</v>
      </c>
      <c r="AG107" t="s">
        <v>1688</v>
      </c>
      <c r="AH107" t="s">
        <v>1688</v>
      </c>
      <c r="AI107" t="s">
        <v>1688</v>
      </c>
      <c r="AJ107" t="s">
        <v>1688</v>
      </c>
      <c r="AK107" t="s">
        <v>1688</v>
      </c>
      <c r="AL107" s="158" t="str">
        <f t="shared" si="24"/>
        <v>ns</v>
      </c>
      <c r="AM107" s="136" t="str">
        <f t="shared" si="25"/>
        <v>ns</v>
      </c>
      <c r="AN107" s="136" t="str">
        <f t="shared" si="26"/>
        <v>ns</v>
      </c>
      <c r="AO107" s="136" t="str">
        <f t="shared" si="27"/>
        <v>ns</v>
      </c>
      <c r="AP107" s="136" t="str">
        <f t="shared" si="28"/>
        <v>ns</v>
      </c>
      <c r="AQ107" s="136" t="str">
        <f t="shared" si="29"/>
        <v>ns</v>
      </c>
      <c r="AR107" s="136" t="str">
        <f t="shared" si="30"/>
        <v>ns</v>
      </c>
      <c r="AS107" s="136" t="str">
        <f t="shared" si="31"/>
        <v>ns</v>
      </c>
      <c r="AT107" s="85">
        <v>1.5</v>
      </c>
      <c r="AU107" s="86" t="str">
        <f t="shared" si="32"/>
        <v/>
      </c>
      <c r="AV107" s="86" t="str">
        <f t="shared" si="38"/>
        <v/>
      </c>
      <c r="AY107" s="231">
        <f>IF(ISNUMBER(M107),M107,NA())</f>
        <v>50.8</v>
      </c>
      <c r="AZ107" s="231">
        <f t="shared" si="37"/>
        <v>17.100000000000001</v>
      </c>
      <c r="BA107" s="231" t="e">
        <f t="shared" si="34"/>
        <v>#N/A</v>
      </c>
      <c r="BB107" s="231" t="e">
        <f t="shared" si="35"/>
        <v>#N/A</v>
      </c>
      <c r="BC107" s="231" t="e">
        <f t="shared" si="36"/>
        <v>#N/A</v>
      </c>
      <c r="BD107" s="232">
        <f>IF(ISNUMBER(S107),S107,NA())</f>
        <v>100</v>
      </c>
      <c r="BE107" s="232" t="e">
        <f>IF(ISNUMBER(T107),T107,NA())</f>
        <v>#N/A</v>
      </c>
      <c r="BP107">
        <v>100</v>
      </c>
    </row>
    <row r="108" spans="1:68">
      <c r="A108">
        <v>101</v>
      </c>
      <c r="B108">
        <v>12724182</v>
      </c>
      <c r="C108" s="215"/>
      <c r="D108" s="9" t="s">
        <v>899</v>
      </c>
      <c r="E108" s="18" t="s">
        <v>1757</v>
      </c>
      <c r="F108" s="16">
        <v>2003</v>
      </c>
      <c r="G108" s="84" t="s">
        <v>920</v>
      </c>
      <c r="H108" s="16">
        <v>7</v>
      </c>
      <c r="I108" s="16">
        <v>8</v>
      </c>
      <c r="J108" s="85" t="s">
        <v>151</v>
      </c>
      <c r="K108" s="85">
        <v>4</v>
      </c>
      <c r="L108" s="16" t="s">
        <v>1119</v>
      </c>
      <c r="M108" s="16"/>
      <c r="N108" s="16"/>
      <c r="O108" s="16"/>
      <c r="P108" s="16"/>
      <c r="Q108" s="16">
        <v>3</v>
      </c>
      <c r="R108" s="16">
        <v>4</v>
      </c>
      <c r="S108" s="88">
        <f t="shared" si="20"/>
        <v>42.857142857142854</v>
      </c>
      <c r="T108" s="88">
        <f t="shared" si="21"/>
        <v>50</v>
      </c>
      <c r="U108" s="85" t="s">
        <v>1688</v>
      </c>
      <c r="V108" s="85" t="s">
        <v>1688</v>
      </c>
      <c r="W108" s="85">
        <v>3.8</v>
      </c>
      <c r="X108" s="86">
        <f t="shared" si="22"/>
        <v>15</v>
      </c>
      <c r="Y108" t="s">
        <v>1279</v>
      </c>
      <c r="Z108" s="4" t="s">
        <v>462</v>
      </c>
      <c r="AA108">
        <f t="shared" si="23"/>
        <v>2</v>
      </c>
      <c r="AB108">
        <v>5</v>
      </c>
      <c r="AC108" t="s">
        <v>1688</v>
      </c>
      <c r="AD108" t="s">
        <v>1688</v>
      </c>
      <c r="AE108" t="s">
        <v>1688</v>
      </c>
      <c r="AF108" t="s">
        <v>1688</v>
      </c>
      <c r="AG108" t="s">
        <v>1688</v>
      </c>
      <c r="AH108" t="s">
        <v>1688</v>
      </c>
      <c r="AI108" t="s">
        <v>1688</v>
      </c>
      <c r="AJ108" t="s">
        <v>1688</v>
      </c>
      <c r="AK108" t="s">
        <v>1688</v>
      </c>
      <c r="AL108" s="158" t="str">
        <f t="shared" si="24"/>
        <v>ns</v>
      </c>
      <c r="AM108" s="136" t="str">
        <f t="shared" si="25"/>
        <v>ns</v>
      </c>
      <c r="AN108" s="136" t="str">
        <f t="shared" si="26"/>
        <v>ns</v>
      </c>
      <c r="AO108" s="136" t="str">
        <f t="shared" si="27"/>
        <v>ns</v>
      </c>
      <c r="AP108" s="136" t="str">
        <f t="shared" si="28"/>
        <v>ns</v>
      </c>
      <c r="AQ108" s="136" t="str">
        <f t="shared" si="29"/>
        <v>ns</v>
      </c>
      <c r="AR108" s="136" t="str">
        <f t="shared" si="30"/>
        <v>ns</v>
      </c>
      <c r="AS108" s="136" t="str">
        <f t="shared" si="31"/>
        <v>ns</v>
      </c>
      <c r="AT108" s="85">
        <v>1.5</v>
      </c>
      <c r="AU108" s="86">
        <f t="shared" si="32"/>
        <v>3.8</v>
      </c>
      <c r="AV108" s="86" t="str">
        <f t="shared" si="38"/>
        <v/>
      </c>
      <c r="AY108" s="231" t="e">
        <f>IF(ISNUMBER(M108),M108,NA())</f>
        <v>#N/A</v>
      </c>
      <c r="AZ108" s="231" t="e">
        <f t="shared" si="37"/>
        <v>#N/A</v>
      </c>
      <c r="BA108" s="231" t="e">
        <f t="shared" si="34"/>
        <v>#N/A</v>
      </c>
      <c r="BB108" s="231" t="e">
        <f t="shared" si="35"/>
        <v>#N/A</v>
      </c>
      <c r="BC108" s="231">
        <f t="shared" si="36"/>
        <v>3.8</v>
      </c>
      <c r="BD108" s="232">
        <f>IF(ISNUMBER(S108),S108,NA())</f>
        <v>42.857142857142854</v>
      </c>
      <c r="BE108" s="232">
        <f>IF(ISNUMBER(T108),T108,NA())</f>
        <v>50</v>
      </c>
      <c r="BP108">
        <v>101</v>
      </c>
    </row>
    <row r="109" spans="1:68">
      <c r="A109" s="13">
        <v>102</v>
      </c>
      <c r="B109">
        <v>12656939</v>
      </c>
      <c r="C109" s="215"/>
      <c r="D109" s="9" t="s">
        <v>695</v>
      </c>
      <c r="E109" s="18" t="s">
        <v>1702</v>
      </c>
      <c r="F109" s="16">
        <v>2003</v>
      </c>
      <c r="G109" s="84" t="s">
        <v>921</v>
      </c>
      <c r="H109" s="16">
        <v>11</v>
      </c>
      <c r="I109" s="16">
        <v>19</v>
      </c>
      <c r="J109" s="85" t="s">
        <v>151</v>
      </c>
      <c r="K109" s="85">
        <v>4</v>
      </c>
      <c r="L109" s="16" t="s">
        <v>1119</v>
      </c>
      <c r="M109" s="16">
        <v>34.4</v>
      </c>
      <c r="N109" s="16"/>
      <c r="O109" s="16">
        <v>35.9</v>
      </c>
      <c r="P109" s="16"/>
      <c r="Q109" s="16">
        <v>7</v>
      </c>
      <c r="R109" s="16">
        <v>10</v>
      </c>
      <c r="S109" s="88">
        <f t="shared" si="20"/>
        <v>63.636363636363633</v>
      </c>
      <c r="T109" s="88">
        <f t="shared" si="21"/>
        <v>52.631578947368418</v>
      </c>
      <c r="U109" s="85">
        <v>26.6</v>
      </c>
      <c r="V109" s="85">
        <v>21.9</v>
      </c>
      <c r="W109" s="85">
        <v>5</v>
      </c>
      <c r="X109" s="86">
        <f t="shared" si="22"/>
        <v>30</v>
      </c>
      <c r="Y109" t="s">
        <v>923</v>
      </c>
      <c r="Z109" t="s">
        <v>978</v>
      </c>
      <c r="AA109">
        <f t="shared" si="23"/>
        <v>1</v>
      </c>
      <c r="AB109">
        <v>5</v>
      </c>
      <c r="AC109" t="s">
        <v>1688</v>
      </c>
      <c r="AD109" t="s">
        <v>1688</v>
      </c>
      <c r="AE109" t="s">
        <v>1688</v>
      </c>
      <c r="AF109" t="s">
        <v>1688</v>
      </c>
      <c r="AG109" t="s">
        <v>1688</v>
      </c>
      <c r="AH109" t="s">
        <v>1688</v>
      </c>
      <c r="AI109" t="s">
        <v>1688</v>
      </c>
      <c r="AJ109" t="s">
        <v>1688</v>
      </c>
      <c r="AK109" t="s">
        <v>1688</v>
      </c>
      <c r="AL109" s="158" t="str">
        <f t="shared" si="24"/>
        <v>ns</v>
      </c>
      <c r="AM109" s="136" t="str">
        <f t="shared" si="25"/>
        <v>ns</v>
      </c>
      <c r="AN109" s="136" t="str">
        <f t="shared" si="26"/>
        <v>ns</v>
      </c>
      <c r="AO109" s="136" t="str">
        <f t="shared" si="27"/>
        <v>ns</v>
      </c>
      <c r="AP109" s="136" t="str">
        <f t="shared" si="28"/>
        <v>ns</v>
      </c>
      <c r="AQ109" s="136" t="str">
        <f t="shared" si="29"/>
        <v>ns</v>
      </c>
      <c r="AR109" s="136" t="str">
        <f t="shared" si="30"/>
        <v>ns</v>
      </c>
      <c r="AS109" s="136" t="str">
        <f t="shared" si="31"/>
        <v>ns</v>
      </c>
      <c r="AT109" s="85">
        <v>0.5</v>
      </c>
      <c r="AU109" s="86">
        <f t="shared" si="32"/>
        <v>5</v>
      </c>
      <c r="AV109" s="86" t="str">
        <f t="shared" si="38"/>
        <v/>
      </c>
      <c r="AY109" s="231">
        <f>IF(ISNUMBER(M109),M109,NA())</f>
        <v>34.4</v>
      </c>
      <c r="AZ109" s="231" t="e">
        <f t="shared" si="37"/>
        <v>#N/A</v>
      </c>
      <c r="BA109" s="231">
        <f t="shared" si="34"/>
        <v>35.9</v>
      </c>
      <c r="BB109" s="231" t="e">
        <f t="shared" si="35"/>
        <v>#N/A</v>
      </c>
      <c r="BC109" s="231">
        <f t="shared" si="36"/>
        <v>5</v>
      </c>
      <c r="BD109" s="232">
        <f>IF(ISNUMBER(S109),S109,NA())</f>
        <v>63.636363636363633</v>
      </c>
      <c r="BE109" s="232">
        <f>IF(ISNUMBER(T109),T109,NA())</f>
        <v>52.631578947368418</v>
      </c>
      <c r="BP109">
        <v>102</v>
      </c>
    </row>
    <row r="110" spans="1:68">
      <c r="A110">
        <v>103</v>
      </c>
      <c r="B110">
        <v>14512206</v>
      </c>
      <c r="C110" s="215"/>
      <c r="D110" s="1" t="s">
        <v>331</v>
      </c>
      <c r="E110" t="s">
        <v>1920</v>
      </c>
      <c r="F110">
        <v>2003</v>
      </c>
      <c r="G110" s="1" t="s">
        <v>1250</v>
      </c>
      <c r="H110">
        <v>145</v>
      </c>
      <c r="I110">
        <v>100</v>
      </c>
      <c r="J110" s="13" t="s">
        <v>151</v>
      </c>
      <c r="K110" s="13">
        <v>4</v>
      </c>
      <c r="L110" t="s">
        <v>1119</v>
      </c>
      <c r="M110">
        <v>69.7</v>
      </c>
      <c r="O110">
        <v>70.8</v>
      </c>
      <c r="Q110">
        <v>95</v>
      </c>
      <c r="R110">
        <v>69</v>
      </c>
      <c r="S110" s="88">
        <f t="shared" si="20"/>
        <v>65.517241379310349</v>
      </c>
      <c r="T110" s="88">
        <f t="shared" si="21"/>
        <v>69</v>
      </c>
      <c r="U110" s="85" t="s">
        <v>1688</v>
      </c>
      <c r="V110" s="85" t="s">
        <v>1688</v>
      </c>
      <c r="W110" s="85">
        <v>3</v>
      </c>
      <c r="X110" s="86">
        <f t="shared" si="22"/>
        <v>245</v>
      </c>
      <c r="Y110" t="s">
        <v>1096</v>
      </c>
      <c r="Z110" t="s">
        <v>1448</v>
      </c>
      <c r="AA110">
        <f t="shared" si="23"/>
        <v>2</v>
      </c>
      <c r="AB110">
        <v>5</v>
      </c>
      <c r="AC110" t="s">
        <v>1688</v>
      </c>
      <c r="AD110" t="s">
        <v>1688</v>
      </c>
      <c r="AE110" t="s">
        <v>1688</v>
      </c>
      <c r="AF110" t="s">
        <v>1688</v>
      </c>
      <c r="AG110" t="s">
        <v>1688</v>
      </c>
      <c r="AH110" t="s">
        <v>1688</v>
      </c>
      <c r="AI110" t="s">
        <v>1688</v>
      </c>
      <c r="AJ110" t="s">
        <v>1688</v>
      </c>
      <c r="AK110" t="s">
        <v>1688</v>
      </c>
      <c r="AL110" s="158" t="str">
        <f t="shared" si="24"/>
        <v>ns</v>
      </c>
      <c r="AM110" s="136" t="str">
        <f t="shared" si="25"/>
        <v>ns</v>
      </c>
      <c r="AN110" s="136" t="str">
        <f t="shared" si="26"/>
        <v>ns</v>
      </c>
      <c r="AO110" s="136" t="str">
        <f t="shared" si="27"/>
        <v>ns</v>
      </c>
      <c r="AP110" s="136" t="str">
        <f t="shared" si="28"/>
        <v>ns</v>
      </c>
      <c r="AQ110" s="136" t="str">
        <f t="shared" si="29"/>
        <v>ns</v>
      </c>
      <c r="AR110" s="136" t="str">
        <f t="shared" si="30"/>
        <v>ns</v>
      </c>
      <c r="AS110" s="136" t="str">
        <f t="shared" si="31"/>
        <v>ns</v>
      </c>
      <c r="AT110" s="85">
        <v>1.5</v>
      </c>
      <c r="AU110" s="86">
        <f t="shared" si="32"/>
        <v>3</v>
      </c>
      <c r="AV110" s="86" t="str">
        <f t="shared" si="38"/>
        <v/>
      </c>
      <c r="AY110" s="231">
        <f>IF(ISNUMBER(M110),M110,NA())</f>
        <v>69.7</v>
      </c>
      <c r="AZ110" s="231" t="e">
        <f t="shared" si="37"/>
        <v>#N/A</v>
      </c>
      <c r="BA110" s="231">
        <f t="shared" si="34"/>
        <v>70.8</v>
      </c>
      <c r="BB110" s="231" t="e">
        <f t="shared" si="35"/>
        <v>#N/A</v>
      </c>
      <c r="BC110" s="231">
        <f t="shared" si="36"/>
        <v>3</v>
      </c>
      <c r="BD110" s="232">
        <f>IF(ISNUMBER(S110),S110,NA())</f>
        <v>65.517241379310349</v>
      </c>
      <c r="BE110" s="232">
        <f>IF(ISNUMBER(T110),T110,NA())</f>
        <v>69</v>
      </c>
      <c r="BP110">
        <v>103</v>
      </c>
    </row>
    <row r="111" spans="1:68">
      <c r="A111" s="13">
        <v>104</v>
      </c>
      <c r="B111">
        <v>14532909</v>
      </c>
      <c r="C111" s="215"/>
      <c r="D111" s="9" t="s">
        <v>1723</v>
      </c>
      <c r="E111" s="18" t="s">
        <v>1921</v>
      </c>
      <c r="F111" s="16">
        <v>2003</v>
      </c>
      <c r="G111" s="84" t="s">
        <v>1249</v>
      </c>
      <c r="H111" s="16">
        <v>30</v>
      </c>
      <c r="I111" s="16">
        <v>40</v>
      </c>
      <c r="J111" t="s">
        <v>151</v>
      </c>
      <c r="K111">
        <v>4</v>
      </c>
      <c r="L111" s="16" t="s">
        <v>1119</v>
      </c>
      <c r="M111" s="16">
        <v>69.599999999999994</v>
      </c>
      <c r="N111" s="16">
        <v>7.15</v>
      </c>
      <c r="O111" s="16">
        <v>70.900000000000006</v>
      </c>
      <c r="P111" s="16">
        <v>6.13</v>
      </c>
      <c r="Q111" s="16">
        <v>16</v>
      </c>
      <c r="R111" s="16">
        <v>33</v>
      </c>
      <c r="S111" s="88">
        <f t="shared" si="20"/>
        <v>53.333333333333336</v>
      </c>
      <c r="T111" s="88">
        <f t="shared" si="21"/>
        <v>82.5</v>
      </c>
      <c r="U111" s="85" t="s">
        <v>1688</v>
      </c>
      <c r="V111" s="85" t="s">
        <v>1688</v>
      </c>
      <c r="W111" s="85">
        <v>3</v>
      </c>
      <c r="X111" s="86">
        <f t="shared" si="22"/>
        <v>70</v>
      </c>
      <c r="Y111" t="s">
        <v>1088</v>
      </c>
      <c r="Z111" t="s">
        <v>807</v>
      </c>
      <c r="AA111">
        <f t="shared" si="23"/>
        <v>4</v>
      </c>
      <c r="AB111">
        <v>5</v>
      </c>
      <c r="AC111" t="s">
        <v>1688</v>
      </c>
      <c r="AD111" t="s">
        <v>1688</v>
      </c>
      <c r="AE111" t="s">
        <v>1688</v>
      </c>
      <c r="AF111" t="s">
        <v>1688</v>
      </c>
      <c r="AG111" t="s">
        <v>1688</v>
      </c>
      <c r="AH111" t="s">
        <v>1688</v>
      </c>
      <c r="AI111" t="s">
        <v>1688</v>
      </c>
      <c r="AJ111" t="s">
        <v>1688</v>
      </c>
      <c r="AK111" t="s">
        <v>1688</v>
      </c>
      <c r="AL111" s="158" t="str">
        <f t="shared" si="24"/>
        <v>ns</v>
      </c>
      <c r="AM111" s="136" t="str">
        <f t="shared" si="25"/>
        <v>ns</v>
      </c>
      <c r="AN111" s="136" t="str">
        <f t="shared" si="26"/>
        <v>ns</v>
      </c>
      <c r="AO111" s="136" t="str">
        <f t="shared" si="27"/>
        <v>ns</v>
      </c>
      <c r="AP111" s="136" t="str">
        <f t="shared" si="28"/>
        <v>ns</v>
      </c>
      <c r="AQ111" s="136" t="str">
        <f t="shared" si="29"/>
        <v>ns</v>
      </c>
      <c r="AR111" s="136" t="str">
        <f t="shared" si="30"/>
        <v>ns</v>
      </c>
      <c r="AS111" s="136" t="str">
        <f t="shared" si="31"/>
        <v>ns</v>
      </c>
      <c r="AT111" s="85">
        <v>1.5</v>
      </c>
      <c r="AU111" s="86">
        <f t="shared" si="32"/>
        <v>3</v>
      </c>
      <c r="AV111" s="86" t="str">
        <f t="shared" si="38"/>
        <v/>
      </c>
      <c r="AY111" s="231">
        <f>IF(ISNUMBER(M111),M111,NA())</f>
        <v>69.599999999999994</v>
      </c>
      <c r="AZ111" s="231">
        <f t="shared" si="37"/>
        <v>7.15</v>
      </c>
      <c r="BA111" s="231">
        <f t="shared" si="34"/>
        <v>70.900000000000006</v>
      </c>
      <c r="BB111" s="231">
        <f t="shared" si="35"/>
        <v>6.13</v>
      </c>
      <c r="BC111" s="231">
        <f t="shared" si="36"/>
        <v>3</v>
      </c>
      <c r="BD111" s="232">
        <f>IF(ISNUMBER(S111),S111,NA())</f>
        <v>53.333333333333336</v>
      </c>
      <c r="BE111" s="232">
        <f>IF(ISNUMBER(T111),T111,NA())</f>
        <v>82.5</v>
      </c>
      <c r="BP111">
        <v>104</v>
      </c>
    </row>
    <row r="112" spans="1:68">
      <c r="A112">
        <v>105</v>
      </c>
      <c r="B112">
        <v>12547470</v>
      </c>
      <c r="C112" s="215"/>
      <c r="D112" s="9" t="s">
        <v>1444</v>
      </c>
      <c r="E112" s="18" t="s">
        <v>1145</v>
      </c>
      <c r="F112" s="16">
        <v>2003</v>
      </c>
      <c r="G112" s="84" t="s">
        <v>1251</v>
      </c>
      <c r="H112" s="16">
        <v>41</v>
      </c>
      <c r="I112" s="16">
        <v>40</v>
      </c>
      <c r="J112" t="s">
        <v>151</v>
      </c>
      <c r="K112">
        <v>4</v>
      </c>
      <c r="L112" s="16" t="s">
        <v>1119</v>
      </c>
      <c r="M112" s="16">
        <v>68.73</v>
      </c>
      <c r="N112" s="16">
        <v>6.98</v>
      </c>
      <c r="O112" s="16">
        <v>71.42</v>
      </c>
      <c r="P112" s="16">
        <v>6.07</v>
      </c>
      <c r="Q112" s="16">
        <v>21</v>
      </c>
      <c r="R112" s="16">
        <v>33</v>
      </c>
      <c r="S112" s="88">
        <f t="shared" si="20"/>
        <v>51.219512195121951</v>
      </c>
      <c r="T112" s="88">
        <f t="shared" si="21"/>
        <v>82.5</v>
      </c>
      <c r="U112" s="85" t="s">
        <v>1688</v>
      </c>
      <c r="V112" s="85" t="s">
        <v>1688</v>
      </c>
      <c r="W112" s="85">
        <v>3</v>
      </c>
      <c r="X112" s="86">
        <f t="shared" si="22"/>
        <v>81</v>
      </c>
      <c r="Y112" t="s">
        <v>1674</v>
      </c>
      <c r="Z112" t="s">
        <v>638</v>
      </c>
      <c r="AA112">
        <f t="shared" si="23"/>
        <v>6</v>
      </c>
      <c r="AB112">
        <v>5</v>
      </c>
      <c r="AC112" t="s">
        <v>1688</v>
      </c>
      <c r="AD112" t="s">
        <v>1688</v>
      </c>
      <c r="AE112" t="s">
        <v>1688</v>
      </c>
      <c r="AF112" t="s">
        <v>1688</v>
      </c>
      <c r="AG112" t="s">
        <v>1688</v>
      </c>
      <c r="AH112" t="s">
        <v>1688</v>
      </c>
      <c r="AI112" t="s">
        <v>1688</v>
      </c>
      <c r="AJ112" t="s">
        <v>1688</v>
      </c>
      <c r="AK112" t="s">
        <v>1688</v>
      </c>
      <c r="AL112" s="158" t="str">
        <f t="shared" si="24"/>
        <v>ns</v>
      </c>
      <c r="AM112" s="136" t="str">
        <f t="shared" si="25"/>
        <v>ns</v>
      </c>
      <c r="AN112" s="136" t="str">
        <f t="shared" si="26"/>
        <v>ns</v>
      </c>
      <c r="AO112" s="136" t="str">
        <f t="shared" si="27"/>
        <v>ns</v>
      </c>
      <c r="AP112" s="136" t="str">
        <f t="shared" si="28"/>
        <v>ns</v>
      </c>
      <c r="AQ112" s="136" t="str">
        <f t="shared" si="29"/>
        <v>ns</v>
      </c>
      <c r="AR112" s="136" t="str">
        <f t="shared" si="30"/>
        <v>ns</v>
      </c>
      <c r="AS112" s="136" t="str">
        <f t="shared" si="31"/>
        <v>ns</v>
      </c>
      <c r="AT112" s="85">
        <v>1.5</v>
      </c>
      <c r="AU112" s="86">
        <f t="shared" si="32"/>
        <v>3</v>
      </c>
      <c r="AV112" s="86" t="str">
        <f t="shared" si="38"/>
        <v/>
      </c>
      <c r="AY112" s="231">
        <f>IF(ISNUMBER(M112),M112,NA())</f>
        <v>68.73</v>
      </c>
      <c r="AZ112" s="231">
        <f t="shared" si="37"/>
        <v>6.98</v>
      </c>
      <c r="BA112" s="231">
        <f t="shared" si="34"/>
        <v>71.42</v>
      </c>
      <c r="BB112" s="231">
        <f t="shared" si="35"/>
        <v>6.07</v>
      </c>
      <c r="BC112" s="231">
        <f t="shared" si="36"/>
        <v>3</v>
      </c>
      <c r="BD112" s="232">
        <f>IF(ISNUMBER(S112),S112,NA())</f>
        <v>51.219512195121951</v>
      </c>
      <c r="BE112" s="232">
        <f>IF(ISNUMBER(T112),T112,NA())</f>
        <v>82.5</v>
      </c>
      <c r="BP112">
        <v>105</v>
      </c>
    </row>
    <row r="113" spans="1:68">
      <c r="A113" s="13">
        <v>106</v>
      </c>
      <c r="B113">
        <v>14971633</v>
      </c>
      <c r="C113" s="215"/>
      <c r="D113" s="9" t="s">
        <v>544</v>
      </c>
      <c r="E113" s="18" t="s">
        <v>1755</v>
      </c>
      <c r="F113" s="16">
        <v>2004</v>
      </c>
      <c r="G113" s="84" t="s">
        <v>1252</v>
      </c>
      <c r="H113" s="16">
        <v>50</v>
      </c>
      <c r="I113" s="16">
        <v>35</v>
      </c>
      <c r="J113" s="85" t="s">
        <v>151</v>
      </c>
      <c r="K113" s="85">
        <v>4</v>
      </c>
      <c r="L113" s="16" t="s">
        <v>1119</v>
      </c>
      <c r="M113" s="16"/>
      <c r="N113" s="16"/>
      <c r="O113" s="16">
        <v>72.8</v>
      </c>
      <c r="P113" s="16">
        <v>6.56</v>
      </c>
      <c r="Q113" s="16">
        <v>30</v>
      </c>
      <c r="R113" s="16">
        <v>24</v>
      </c>
      <c r="S113" s="88">
        <f t="shared" si="20"/>
        <v>60</v>
      </c>
      <c r="T113" s="88">
        <f t="shared" si="21"/>
        <v>68.571428571428569</v>
      </c>
      <c r="U113" s="85" t="s">
        <v>1688</v>
      </c>
      <c r="V113" s="85">
        <v>4.8</v>
      </c>
      <c r="W113" s="85">
        <v>3</v>
      </c>
      <c r="X113" s="86">
        <f t="shared" si="22"/>
        <v>85</v>
      </c>
      <c r="Y113" t="s">
        <v>411</v>
      </c>
      <c r="Z113" t="s">
        <v>1095</v>
      </c>
      <c r="AA113">
        <f t="shared" si="23"/>
        <v>4</v>
      </c>
      <c r="AB113">
        <v>5</v>
      </c>
      <c r="AC113" t="s">
        <v>1688</v>
      </c>
      <c r="AD113">
        <v>18</v>
      </c>
      <c r="AE113">
        <v>15</v>
      </c>
      <c r="AF113" t="s">
        <v>1688</v>
      </c>
      <c r="AG113" t="s">
        <v>1688</v>
      </c>
      <c r="AH113" t="s">
        <v>1688</v>
      </c>
      <c r="AI113">
        <v>7</v>
      </c>
      <c r="AJ113" t="s">
        <v>1688</v>
      </c>
      <c r="AK113" t="s">
        <v>155</v>
      </c>
      <c r="AL113" s="158" t="str">
        <f t="shared" si="24"/>
        <v>ns</v>
      </c>
      <c r="AM113" s="136">
        <f t="shared" si="25"/>
        <v>36</v>
      </c>
      <c r="AN113" s="136">
        <f t="shared" si="26"/>
        <v>30</v>
      </c>
      <c r="AO113" s="136" t="str">
        <f t="shared" si="27"/>
        <v>ns</v>
      </c>
      <c r="AP113" s="136" t="str">
        <f t="shared" si="28"/>
        <v>ns</v>
      </c>
      <c r="AQ113" s="136" t="str">
        <f t="shared" si="29"/>
        <v>ns</v>
      </c>
      <c r="AR113" s="136">
        <f t="shared" si="30"/>
        <v>14.000000000000002</v>
      </c>
      <c r="AS113" s="136" t="str">
        <f t="shared" si="31"/>
        <v>ns</v>
      </c>
      <c r="AT113" s="85">
        <v>1.5</v>
      </c>
      <c r="AU113" s="86">
        <f t="shared" si="32"/>
        <v>3</v>
      </c>
      <c r="AV113" s="86" t="str">
        <f t="shared" si="38"/>
        <v/>
      </c>
      <c r="AY113" s="231" t="e">
        <f>IF(ISNUMBER(M113),M113,NA())</f>
        <v>#N/A</v>
      </c>
      <c r="AZ113" s="231" t="e">
        <f t="shared" si="37"/>
        <v>#N/A</v>
      </c>
      <c r="BA113" s="231">
        <f t="shared" si="34"/>
        <v>72.8</v>
      </c>
      <c r="BB113" s="231">
        <f t="shared" si="35"/>
        <v>6.56</v>
      </c>
      <c r="BC113" s="231">
        <f t="shared" si="36"/>
        <v>3</v>
      </c>
      <c r="BD113" s="232">
        <f>IF(ISNUMBER(S113),S113,NA())</f>
        <v>60</v>
      </c>
      <c r="BE113" s="232">
        <f>IF(ISNUMBER(T113),T113,NA())</f>
        <v>68.571428571428569</v>
      </c>
      <c r="BP113">
        <v>106</v>
      </c>
    </row>
    <row r="114" spans="1:68">
      <c r="A114">
        <v>107</v>
      </c>
      <c r="B114">
        <v>14702257</v>
      </c>
      <c r="C114" s="215"/>
      <c r="D114" s="9" t="s">
        <v>883</v>
      </c>
      <c r="E114" s="18" t="s">
        <v>438</v>
      </c>
      <c r="F114" s="16">
        <v>2004</v>
      </c>
      <c r="G114" s="84" t="s">
        <v>1357</v>
      </c>
      <c r="H114" s="16">
        <v>24</v>
      </c>
      <c r="I114" s="16">
        <v>19</v>
      </c>
      <c r="J114" s="85" t="s">
        <v>151</v>
      </c>
      <c r="K114" s="85">
        <v>4</v>
      </c>
      <c r="L114" s="16" t="s">
        <v>1119</v>
      </c>
      <c r="M114" s="16">
        <v>65.849999999999994</v>
      </c>
      <c r="N114" s="16">
        <v>8.18</v>
      </c>
      <c r="O114" s="16">
        <v>66.239999999999995</v>
      </c>
      <c r="P114" s="16">
        <v>7.25</v>
      </c>
      <c r="Q114" s="16">
        <v>18</v>
      </c>
      <c r="R114" s="16">
        <v>15</v>
      </c>
      <c r="S114" s="88">
        <f t="shared" si="20"/>
        <v>75</v>
      </c>
      <c r="T114" s="88">
        <f t="shared" si="21"/>
        <v>78.94736842105263</v>
      </c>
      <c r="U114" s="85">
        <v>35</v>
      </c>
      <c r="V114" s="85" t="s">
        <v>1688</v>
      </c>
      <c r="W114" s="85">
        <v>1.4</v>
      </c>
      <c r="X114" s="86">
        <f t="shared" si="22"/>
        <v>43</v>
      </c>
      <c r="Y114" t="s">
        <v>690</v>
      </c>
      <c r="Z114" t="s">
        <v>1192</v>
      </c>
      <c r="AA114">
        <f t="shared" si="23"/>
        <v>24</v>
      </c>
      <c r="AB114">
        <v>5</v>
      </c>
      <c r="AC114">
        <v>0</v>
      </c>
      <c r="AD114">
        <v>0</v>
      </c>
      <c r="AE114">
        <v>0</v>
      </c>
      <c r="AF114">
        <v>0</v>
      </c>
      <c r="AG114">
        <v>0</v>
      </c>
      <c r="AH114">
        <v>0</v>
      </c>
      <c r="AI114">
        <v>0</v>
      </c>
      <c r="AJ114">
        <v>24</v>
      </c>
      <c r="AK114" t="s">
        <v>1688</v>
      </c>
      <c r="AL114" s="158">
        <f t="shared" si="24"/>
        <v>0</v>
      </c>
      <c r="AM114" s="136">
        <f t="shared" si="25"/>
        <v>0</v>
      </c>
      <c r="AN114" s="136">
        <f t="shared" si="26"/>
        <v>0</v>
      </c>
      <c r="AO114" s="136">
        <f t="shared" si="27"/>
        <v>0</v>
      </c>
      <c r="AP114" s="136">
        <f t="shared" si="28"/>
        <v>0</v>
      </c>
      <c r="AQ114" s="136">
        <f t="shared" si="29"/>
        <v>0</v>
      </c>
      <c r="AR114" s="136">
        <f t="shared" si="30"/>
        <v>0</v>
      </c>
      <c r="AS114" s="136">
        <f t="shared" si="31"/>
        <v>100</v>
      </c>
      <c r="AT114" s="85">
        <v>1.5</v>
      </c>
      <c r="AU114" s="86">
        <f t="shared" si="32"/>
        <v>1.4</v>
      </c>
      <c r="AV114" s="86" t="str">
        <f t="shared" si="38"/>
        <v/>
      </c>
      <c r="AY114" s="231">
        <f>IF(ISNUMBER(M114),M114,NA())</f>
        <v>65.849999999999994</v>
      </c>
      <c r="AZ114" s="231">
        <f t="shared" si="37"/>
        <v>8.18</v>
      </c>
      <c r="BA114" s="231">
        <f t="shared" si="34"/>
        <v>66.239999999999995</v>
      </c>
      <c r="BB114" s="231">
        <f t="shared" si="35"/>
        <v>7.25</v>
      </c>
      <c r="BC114" s="231">
        <f t="shared" si="36"/>
        <v>1.4</v>
      </c>
      <c r="BD114" s="232">
        <f>IF(ISNUMBER(S114),S114,NA())</f>
        <v>75</v>
      </c>
      <c r="BE114" s="232">
        <f>IF(ISNUMBER(T114),T114,NA())</f>
        <v>78.94736842105263</v>
      </c>
      <c r="BP114">
        <v>107</v>
      </c>
    </row>
    <row r="115" spans="1:68">
      <c r="A115" s="13">
        <v>108</v>
      </c>
      <c r="B115">
        <v>15514411</v>
      </c>
      <c r="C115" s="215"/>
      <c r="D115" s="9" t="s">
        <v>841</v>
      </c>
      <c r="E115" s="18" t="s">
        <v>439</v>
      </c>
      <c r="F115" s="16">
        <v>2004</v>
      </c>
      <c r="G115" s="84" t="s">
        <v>1389</v>
      </c>
      <c r="H115" s="16">
        <v>17</v>
      </c>
      <c r="I115" s="16">
        <v>17</v>
      </c>
      <c r="J115" s="85" t="s">
        <v>151</v>
      </c>
      <c r="K115" s="85">
        <v>4</v>
      </c>
      <c r="L115" s="16" t="s">
        <v>1119</v>
      </c>
      <c r="M115" s="16">
        <v>75.239999999999995</v>
      </c>
      <c r="N115" s="16">
        <v>8.52</v>
      </c>
      <c r="O115" s="16">
        <v>73.88</v>
      </c>
      <c r="P115" s="16">
        <v>7.61</v>
      </c>
      <c r="Q115" s="16">
        <v>11</v>
      </c>
      <c r="R115" s="16">
        <v>11</v>
      </c>
      <c r="S115" s="88">
        <f t="shared" si="20"/>
        <v>64.705882352941174</v>
      </c>
      <c r="T115" s="88">
        <f t="shared" si="21"/>
        <v>64.705882352941174</v>
      </c>
      <c r="U115" s="85">
        <v>71.88</v>
      </c>
      <c r="V115" s="85">
        <v>18.41</v>
      </c>
      <c r="W115" s="85">
        <v>1.4</v>
      </c>
      <c r="X115" s="86">
        <f t="shared" si="22"/>
        <v>34</v>
      </c>
      <c r="Y115" t="s">
        <v>818</v>
      </c>
      <c r="Z115" t="s">
        <v>1193</v>
      </c>
      <c r="AA115">
        <f t="shared" si="23"/>
        <v>8</v>
      </c>
      <c r="AB115">
        <v>5</v>
      </c>
      <c r="AC115">
        <v>0</v>
      </c>
      <c r="AD115">
        <v>0</v>
      </c>
      <c r="AE115">
        <v>0</v>
      </c>
      <c r="AF115">
        <v>0</v>
      </c>
      <c r="AG115">
        <v>0</v>
      </c>
      <c r="AH115">
        <v>0</v>
      </c>
      <c r="AI115">
        <v>0</v>
      </c>
      <c r="AJ115">
        <v>17</v>
      </c>
      <c r="AK115" t="s">
        <v>1688</v>
      </c>
      <c r="AL115" s="158">
        <f t="shared" si="24"/>
        <v>0</v>
      </c>
      <c r="AM115" s="136">
        <f t="shared" si="25"/>
        <v>0</v>
      </c>
      <c r="AN115" s="136">
        <f t="shared" si="26"/>
        <v>0</v>
      </c>
      <c r="AO115" s="136">
        <f t="shared" si="27"/>
        <v>0</v>
      </c>
      <c r="AP115" s="136">
        <f t="shared" si="28"/>
        <v>0</v>
      </c>
      <c r="AQ115" s="136">
        <f t="shared" si="29"/>
        <v>0</v>
      </c>
      <c r="AR115" s="136">
        <f t="shared" si="30"/>
        <v>0</v>
      </c>
      <c r="AS115" s="136">
        <f t="shared" si="31"/>
        <v>100</v>
      </c>
      <c r="AT115" s="85">
        <v>1.5</v>
      </c>
      <c r="AU115" s="86">
        <f t="shared" si="32"/>
        <v>1.4</v>
      </c>
      <c r="AV115" s="86" t="str">
        <f t="shared" si="38"/>
        <v/>
      </c>
      <c r="AY115" s="231">
        <f>IF(ISNUMBER(M115),M115,NA())</f>
        <v>75.239999999999995</v>
      </c>
      <c r="AZ115" s="231">
        <f t="shared" si="37"/>
        <v>8.52</v>
      </c>
      <c r="BA115" s="231">
        <f t="shared" si="34"/>
        <v>73.88</v>
      </c>
      <c r="BB115" s="231">
        <f t="shared" si="35"/>
        <v>7.61</v>
      </c>
      <c r="BC115" s="231">
        <f t="shared" si="36"/>
        <v>1.4</v>
      </c>
      <c r="BD115" s="232">
        <f>IF(ISNUMBER(S115),S115,NA())</f>
        <v>64.705882352941174</v>
      </c>
      <c r="BE115" s="232">
        <f>IF(ISNUMBER(T115),T115,NA())</f>
        <v>64.705882352941174</v>
      </c>
      <c r="BP115">
        <v>108</v>
      </c>
    </row>
    <row r="116" spans="1:68">
      <c r="A116">
        <v>109</v>
      </c>
      <c r="B116">
        <v>14960291</v>
      </c>
      <c r="C116" s="215"/>
      <c r="D116" s="1" t="s">
        <v>1129</v>
      </c>
      <c r="E116" t="s">
        <v>1919</v>
      </c>
      <c r="F116">
        <v>2004</v>
      </c>
      <c r="G116" s="1" t="s">
        <v>1253</v>
      </c>
      <c r="H116">
        <v>24</v>
      </c>
      <c r="I116">
        <v>19</v>
      </c>
      <c r="J116" t="s">
        <v>151</v>
      </c>
      <c r="K116">
        <v>4</v>
      </c>
      <c r="L116" t="s">
        <v>1119</v>
      </c>
      <c r="M116">
        <v>65.849999999999994</v>
      </c>
      <c r="N116">
        <v>8.18</v>
      </c>
      <c r="O116">
        <v>66.239999999999995</v>
      </c>
      <c r="P116">
        <v>7.25</v>
      </c>
      <c r="Q116">
        <v>18</v>
      </c>
      <c r="R116">
        <v>15</v>
      </c>
      <c r="S116" s="88">
        <f t="shared" si="20"/>
        <v>75</v>
      </c>
      <c r="T116" s="88">
        <f t="shared" si="21"/>
        <v>78.94736842105263</v>
      </c>
      <c r="U116" s="85">
        <v>35</v>
      </c>
      <c r="V116" s="85">
        <v>17.329999999999998</v>
      </c>
      <c r="W116" s="85">
        <v>1.4</v>
      </c>
      <c r="X116" s="86">
        <f t="shared" si="22"/>
        <v>43</v>
      </c>
      <c r="Y116" t="s">
        <v>1312</v>
      </c>
      <c r="Z116" t="s">
        <v>1507</v>
      </c>
      <c r="AA116">
        <f t="shared" si="23"/>
        <v>4</v>
      </c>
      <c r="AB116">
        <v>5</v>
      </c>
      <c r="AC116">
        <v>0</v>
      </c>
      <c r="AD116">
        <v>0</v>
      </c>
      <c r="AE116">
        <v>0</v>
      </c>
      <c r="AF116">
        <v>0</v>
      </c>
      <c r="AG116">
        <v>0</v>
      </c>
      <c r="AH116">
        <v>0</v>
      </c>
      <c r="AI116">
        <v>0</v>
      </c>
      <c r="AJ116">
        <v>24</v>
      </c>
      <c r="AK116" t="s">
        <v>1688</v>
      </c>
      <c r="AL116" s="158">
        <f t="shared" si="24"/>
        <v>0</v>
      </c>
      <c r="AM116" s="136">
        <f t="shared" si="25"/>
        <v>0</v>
      </c>
      <c r="AN116" s="136">
        <f t="shared" si="26"/>
        <v>0</v>
      </c>
      <c r="AO116" s="136">
        <f t="shared" si="27"/>
        <v>0</v>
      </c>
      <c r="AP116" s="136">
        <f t="shared" si="28"/>
        <v>0</v>
      </c>
      <c r="AQ116" s="136">
        <f t="shared" si="29"/>
        <v>0</v>
      </c>
      <c r="AR116" s="136">
        <f t="shared" si="30"/>
        <v>0</v>
      </c>
      <c r="AS116" s="136">
        <f t="shared" si="31"/>
        <v>100</v>
      </c>
      <c r="AT116" s="85">
        <v>1.5</v>
      </c>
      <c r="AU116" s="86">
        <f t="shared" si="32"/>
        <v>1.4</v>
      </c>
      <c r="AV116" s="86" t="str">
        <f t="shared" si="38"/>
        <v/>
      </c>
      <c r="AY116" s="231">
        <f>IF(ISNUMBER(M116),M116,NA())</f>
        <v>65.849999999999994</v>
      </c>
      <c r="AZ116" s="231">
        <f t="shared" si="37"/>
        <v>8.18</v>
      </c>
      <c r="BA116" s="231">
        <f t="shared" si="34"/>
        <v>66.239999999999995</v>
      </c>
      <c r="BB116" s="231">
        <f t="shared" si="35"/>
        <v>7.25</v>
      </c>
      <c r="BC116" s="231">
        <f t="shared" si="36"/>
        <v>1.4</v>
      </c>
      <c r="BD116" s="232">
        <f>IF(ISNUMBER(S116),S116,NA())</f>
        <v>75</v>
      </c>
      <c r="BE116" s="232">
        <f>IF(ISNUMBER(T116),T116,NA())</f>
        <v>78.94736842105263</v>
      </c>
      <c r="BP116">
        <v>109</v>
      </c>
    </row>
    <row r="117" spans="1:68">
      <c r="A117" s="13">
        <v>110</v>
      </c>
      <c r="B117">
        <v>14742592</v>
      </c>
      <c r="C117" s="215"/>
      <c r="D117" s="9" t="s">
        <v>537</v>
      </c>
      <c r="E117" s="18" t="s">
        <v>1830</v>
      </c>
      <c r="F117" s="16">
        <v>2004</v>
      </c>
      <c r="G117" s="84" t="s">
        <v>1633</v>
      </c>
      <c r="H117" s="16">
        <v>23</v>
      </c>
      <c r="I117" s="16">
        <v>36</v>
      </c>
      <c r="J117" s="85" t="s">
        <v>151</v>
      </c>
      <c r="K117" s="85">
        <v>4</v>
      </c>
      <c r="L117" s="16" t="s">
        <v>1119</v>
      </c>
      <c r="M117" s="16">
        <v>41</v>
      </c>
      <c r="N117" s="16">
        <v>10</v>
      </c>
      <c r="O117" s="16">
        <v>37</v>
      </c>
      <c r="P117" s="16">
        <v>10</v>
      </c>
      <c r="Q117" s="16">
        <v>19</v>
      </c>
      <c r="R117" s="16">
        <v>13</v>
      </c>
      <c r="S117" s="88">
        <f t="shared" si="20"/>
        <v>82.608695652173907</v>
      </c>
      <c r="T117" s="88">
        <f t="shared" si="21"/>
        <v>36.111111111111114</v>
      </c>
      <c r="U117" s="85" t="s">
        <v>1688</v>
      </c>
      <c r="V117" s="85">
        <v>11</v>
      </c>
      <c r="W117" s="85">
        <v>3</v>
      </c>
      <c r="X117" s="86">
        <f t="shared" si="22"/>
        <v>59</v>
      </c>
      <c r="Y117" t="s">
        <v>639</v>
      </c>
      <c r="Z117" t="s">
        <v>1194</v>
      </c>
      <c r="AA117">
        <f t="shared" si="23"/>
        <v>5</v>
      </c>
      <c r="AB117">
        <v>5</v>
      </c>
      <c r="AC117">
        <v>0</v>
      </c>
      <c r="AD117">
        <v>0</v>
      </c>
      <c r="AE117">
        <v>0</v>
      </c>
      <c r="AF117">
        <v>0</v>
      </c>
      <c r="AG117">
        <v>0</v>
      </c>
      <c r="AH117">
        <v>0</v>
      </c>
      <c r="AI117">
        <v>0</v>
      </c>
      <c r="AJ117">
        <v>23</v>
      </c>
      <c r="AK117" t="s">
        <v>1688</v>
      </c>
      <c r="AL117" s="158">
        <f t="shared" si="24"/>
        <v>0</v>
      </c>
      <c r="AM117" s="136">
        <f t="shared" si="25"/>
        <v>0</v>
      </c>
      <c r="AN117" s="136">
        <f t="shared" si="26"/>
        <v>0</v>
      </c>
      <c r="AO117" s="136">
        <f t="shared" si="27"/>
        <v>0</v>
      </c>
      <c r="AP117" s="136">
        <f t="shared" si="28"/>
        <v>0</v>
      </c>
      <c r="AQ117" s="136">
        <f t="shared" si="29"/>
        <v>0</v>
      </c>
      <c r="AR117" s="136">
        <f t="shared" si="30"/>
        <v>0</v>
      </c>
      <c r="AS117" s="136">
        <f t="shared" si="31"/>
        <v>100</v>
      </c>
      <c r="AT117" s="85">
        <v>1.5</v>
      </c>
      <c r="AU117" s="86">
        <f t="shared" si="32"/>
        <v>3</v>
      </c>
      <c r="AV117" s="86" t="str">
        <f t="shared" si="38"/>
        <v/>
      </c>
      <c r="AY117" s="231">
        <f>IF(ISNUMBER(M117),M117,NA())</f>
        <v>41</v>
      </c>
      <c r="AZ117" s="231">
        <f t="shared" si="37"/>
        <v>10</v>
      </c>
      <c r="BA117" s="231">
        <f t="shared" si="34"/>
        <v>37</v>
      </c>
      <c r="BB117" s="231">
        <f t="shared" si="35"/>
        <v>10</v>
      </c>
      <c r="BC117" s="231">
        <f t="shared" si="36"/>
        <v>3</v>
      </c>
      <c r="BD117" s="232">
        <f>IF(ISNUMBER(S117),S117,NA())</f>
        <v>82.608695652173907</v>
      </c>
      <c r="BE117" s="232">
        <f>IF(ISNUMBER(T117),T117,NA())</f>
        <v>36.111111111111114</v>
      </c>
      <c r="BP117">
        <v>110</v>
      </c>
    </row>
    <row r="118" spans="1:68">
      <c r="A118">
        <v>111</v>
      </c>
      <c r="B118">
        <v>15184238</v>
      </c>
      <c r="C118" s="215"/>
      <c r="D118" s="1" t="s">
        <v>1536</v>
      </c>
      <c r="E118" t="s">
        <v>1630</v>
      </c>
      <c r="F118">
        <v>2004</v>
      </c>
      <c r="G118" s="1" t="s">
        <v>2104</v>
      </c>
      <c r="H118">
        <v>100</v>
      </c>
      <c r="I118">
        <v>40</v>
      </c>
      <c r="J118" s="13" t="s">
        <v>151</v>
      </c>
      <c r="K118" s="13">
        <v>4</v>
      </c>
      <c r="L118" t="s">
        <v>1119</v>
      </c>
      <c r="M118">
        <v>70.8</v>
      </c>
      <c r="N118">
        <v>6.6</v>
      </c>
      <c r="O118">
        <v>69.900000000000006</v>
      </c>
      <c r="P118">
        <v>7.2</v>
      </c>
      <c r="Q118">
        <v>69</v>
      </c>
      <c r="R118">
        <v>22</v>
      </c>
      <c r="S118" s="88">
        <f t="shared" si="20"/>
        <v>69</v>
      </c>
      <c r="T118" s="88">
        <f t="shared" si="21"/>
        <v>55</v>
      </c>
      <c r="U118">
        <v>57.7</v>
      </c>
      <c r="V118">
        <v>21.6</v>
      </c>
      <c r="W118" t="s">
        <v>1688</v>
      </c>
      <c r="X118" s="86">
        <f t="shared" si="22"/>
        <v>140</v>
      </c>
      <c r="Y118" t="s">
        <v>1485</v>
      </c>
      <c r="Z118" t="s">
        <v>858</v>
      </c>
      <c r="AA118">
        <f t="shared" si="23"/>
        <v>3</v>
      </c>
      <c r="AB118">
        <v>5</v>
      </c>
      <c r="AC118" t="s">
        <v>1688</v>
      </c>
      <c r="AD118">
        <v>12</v>
      </c>
      <c r="AE118">
        <v>7</v>
      </c>
      <c r="AF118" t="s">
        <v>1688</v>
      </c>
      <c r="AG118">
        <v>1</v>
      </c>
      <c r="AH118" t="s">
        <v>1688</v>
      </c>
      <c r="AI118" t="s">
        <v>1688</v>
      </c>
      <c r="AJ118">
        <v>86</v>
      </c>
      <c r="AK118" t="s">
        <v>1688</v>
      </c>
      <c r="AL118" s="158" t="str">
        <f t="shared" si="24"/>
        <v>ns</v>
      </c>
      <c r="AM118" s="136">
        <f t="shared" si="25"/>
        <v>12</v>
      </c>
      <c r="AN118" s="136">
        <f t="shared" si="26"/>
        <v>7.0000000000000009</v>
      </c>
      <c r="AO118" s="136" t="str">
        <f t="shared" si="27"/>
        <v>ns</v>
      </c>
      <c r="AP118" s="136">
        <f t="shared" si="28"/>
        <v>1</v>
      </c>
      <c r="AQ118" s="136" t="str">
        <f t="shared" si="29"/>
        <v>ns</v>
      </c>
      <c r="AR118" s="136" t="str">
        <f t="shared" si="30"/>
        <v>ns</v>
      </c>
      <c r="AS118" s="136">
        <f t="shared" si="31"/>
        <v>86</v>
      </c>
      <c r="AU118" s="86" t="str">
        <f t="shared" si="32"/>
        <v/>
      </c>
      <c r="AV118" s="86" t="str">
        <f t="shared" si="38"/>
        <v/>
      </c>
      <c r="AY118" s="231">
        <f>IF(ISNUMBER(M118),M118,NA())</f>
        <v>70.8</v>
      </c>
      <c r="AZ118" s="231">
        <f t="shared" si="37"/>
        <v>6.6</v>
      </c>
      <c r="BA118" s="231">
        <f t="shared" si="34"/>
        <v>69.900000000000006</v>
      </c>
      <c r="BB118" s="231">
        <f t="shared" si="35"/>
        <v>7.2</v>
      </c>
      <c r="BC118" s="231" t="e">
        <f t="shared" si="36"/>
        <v>#N/A</v>
      </c>
      <c r="BD118" s="232">
        <f>IF(ISNUMBER(S118),S118,NA())</f>
        <v>69</v>
      </c>
      <c r="BE118" s="232">
        <f>IF(ISNUMBER(T118),T118,NA())</f>
        <v>55</v>
      </c>
      <c r="BP118">
        <v>111</v>
      </c>
    </row>
    <row r="119" spans="1:68">
      <c r="A119" s="13">
        <v>112</v>
      </c>
      <c r="B119">
        <v>15598548</v>
      </c>
      <c r="C119" s="215"/>
      <c r="D119" s="9" t="s">
        <v>258</v>
      </c>
      <c r="E119" s="18" t="s">
        <v>1831</v>
      </c>
      <c r="F119" s="16">
        <v>2004</v>
      </c>
      <c r="G119" s="84" t="s">
        <v>1634</v>
      </c>
      <c r="H119" s="16">
        <v>31</v>
      </c>
      <c r="I119" s="16">
        <v>31</v>
      </c>
      <c r="J119" s="85" t="s">
        <v>151</v>
      </c>
      <c r="K119" s="85">
        <v>4</v>
      </c>
      <c r="L119" s="16" t="s">
        <v>1119</v>
      </c>
      <c r="M119" s="16">
        <v>39.200000000000003</v>
      </c>
      <c r="N119" s="16">
        <v>11.9</v>
      </c>
      <c r="O119" s="16">
        <v>36.700000000000003</v>
      </c>
      <c r="P119" s="16">
        <v>10.7</v>
      </c>
      <c r="Q119" s="16">
        <v>24</v>
      </c>
      <c r="R119" s="16">
        <v>24</v>
      </c>
      <c r="S119" s="88">
        <f t="shared" si="20"/>
        <v>77.41935483870968</v>
      </c>
      <c r="T119" s="88">
        <f t="shared" si="21"/>
        <v>77.41935483870968</v>
      </c>
      <c r="U119" s="85" t="s">
        <v>1698</v>
      </c>
      <c r="V119" s="85" t="s">
        <v>252</v>
      </c>
      <c r="W119" s="85">
        <v>1.5</v>
      </c>
      <c r="X119" s="86">
        <f t="shared" si="22"/>
        <v>62</v>
      </c>
      <c r="Y119" t="s">
        <v>847</v>
      </c>
      <c r="Z119" t="s">
        <v>1149</v>
      </c>
      <c r="AA119">
        <f t="shared" si="23"/>
        <v>11</v>
      </c>
      <c r="AB119">
        <v>5</v>
      </c>
      <c r="AC119">
        <v>0</v>
      </c>
      <c r="AD119">
        <v>0</v>
      </c>
      <c r="AE119">
        <v>0</v>
      </c>
      <c r="AF119">
        <v>0</v>
      </c>
      <c r="AG119">
        <v>0</v>
      </c>
      <c r="AH119">
        <v>0</v>
      </c>
      <c r="AI119">
        <v>0</v>
      </c>
      <c r="AJ119">
        <v>31</v>
      </c>
      <c r="AK119" t="s">
        <v>1688</v>
      </c>
      <c r="AL119" s="158">
        <f t="shared" si="24"/>
        <v>0</v>
      </c>
      <c r="AM119" s="136">
        <f t="shared" si="25"/>
        <v>0</v>
      </c>
      <c r="AN119" s="136">
        <f t="shared" si="26"/>
        <v>0</v>
      </c>
      <c r="AO119" s="136">
        <f t="shared" si="27"/>
        <v>0</v>
      </c>
      <c r="AP119" s="136">
        <f t="shared" si="28"/>
        <v>0</v>
      </c>
      <c r="AQ119" s="136">
        <f t="shared" si="29"/>
        <v>0</v>
      </c>
      <c r="AR119" s="136">
        <f t="shared" si="30"/>
        <v>0</v>
      </c>
      <c r="AS119" s="136">
        <f t="shared" si="31"/>
        <v>100</v>
      </c>
      <c r="AT119" s="85">
        <v>1.5</v>
      </c>
      <c r="AU119" s="86">
        <f t="shared" si="32"/>
        <v>1.5</v>
      </c>
      <c r="AV119" s="86" t="str">
        <f t="shared" si="38"/>
        <v/>
      </c>
      <c r="AY119" s="231">
        <f>IF(ISNUMBER(M119),M119,NA())</f>
        <v>39.200000000000003</v>
      </c>
      <c r="AZ119" s="231">
        <f t="shared" si="37"/>
        <v>11.9</v>
      </c>
      <c r="BA119" s="231">
        <f t="shared" si="34"/>
        <v>36.700000000000003</v>
      </c>
      <c r="BB119" s="231">
        <f t="shared" si="35"/>
        <v>10.7</v>
      </c>
      <c r="BC119" s="231">
        <f t="shared" si="36"/>
        <v>1.5</v>
      </c>
      <c r="BD119" s="232">
        <f>IF(ISNUMBER(S119),S119,NA())</f>
        <v>77.41935483870968</v>
      </c>
      <c r="BE119" s="232">
        <f>IF(ISNUMBER(T119),T119,NA())</f>
        <v>77.41935483870968</v>
      </c>
      <c r="BP119">
        <v>112</v>
      </c>
    </row>
    <row r="120" spans="1:68">
      <c r="A120">
        <v>113</v>
      </c>
      <c r="B120">
        <v>15545328</v>
      </c>
      <c r="C120" s="215"/>
      <c r="D120" s="9" t="s">
        <v>965</v>
      </c>
      <c r="E120" s="18" t="s">
        <v>1754</v>
      </c>
      <c r="F120" s="16">
        <v>2004</v>
      </c>
      <c r="G120" s="84" t="s">
        <v>2361</v>
      </c>
      <c r="H120" s="16">
        <v>29</v>
      </c>
      <c r="I120" s="16">
        <v>32</v>
      </c>
      <c r="J120" s="85" t="s">
        <v>151</v>
      </c>
      <c r="K120" s="85">
        <v>4</v>
      </c>
      <c r="L120" s="16" t="s">
        <v>1119</v>
      </c>
      <c r="M120" s="16">
        <v>75.7</v>
      </c>
      <c r="N120" s="16">
        <v>5.9</v>
      </c>
      <c r="O120" s="16">
        <v>74.900000000000006</v>
      </c>
      <c r="P120" s="16">
        <v>7</v>
      </c>
      <c r="Q120" s="16">
        <v>23</v>
      </c>
      <c r="R120" s="16">
        <v>25</v>
      </c>
      <c r="S120" s="88">
        <f t="shared" si="20"/>
        <v>79.310344827586206</v>
      </c>
      <c r="T120" s="88">
        <f t="shared" si="21"/>
        <v>78.125</v>
      </c>
      <c r="U120" s="85" t="s">
        <v>1688</v>
      </c>
      <c r="V120" s="85" t="s">
        <v>1688</v>
      </c>
      <c r="W120" s="85">
        <v>5</v>
      </c>
      <c r="X120" s="86">
        <f t="shared" si="22"/>
        <v>61</v>
      </c>
      <c r="Y120" t="s">
        <v>550</v>
      </c>
      <c r="Z120" t="s">
        <v>978</v>
      </c>
      <c r="AA120">
        <f t="shared" si="23"/>
        <v>1</v>
      </c>
      <c r="AB120">
        <v>5</v>
      </c>
      <c r="AC120" t="s">
        <v>1688</v>
      </c>
      <c r="AD120" t="s">
        <v>1688</v>
      </c>
      <c r="AE120" t="s">
        <v>1688</v>
      </c>
      <c r="AF120" t="s">
        <v>1688</v>
      </c>
      <c r="AG120" t="s">
        <v>1688</v>
      </c>
      <c r="AH120" t="s">
        <v>1688</v>
      </c>
      <c r="AI120" t="s">
        <v>1688</v>
      </c>
      <c r="AJ120" t="s">
        <v>1688</v>
      </c>
      <c r="AK120" t="s">
        <v>1688</v>
      </c>
      <c r="AL120" s="158" t="str">
        <f t="shared" si="24"/>
        <v>ns</v>
      </c>
      <c r="AM120" s="136" t="str">
        <f t="shared" si="25"/>
        <v>ns</v>
      </c>
      <c r="AN120" s="136" t="str">
        <f t="shared" si="26"/>
        <v>ns</v>
      </c>
      <c r="AO120" s="136" t="str">
        <f t="shared" si="27"/>
        <v>ns</v>
      </c>
      <c r="AP120" s="136" t="str">
        <f t="shared" si="28"/>
        <v>ns</v>
      </c>
      <c r="AQ120" s="136" t="str">
        <f t="shared" si="29"/>
        <v>ns</v>
      </c>
      <c r="AR120" s="136" t="str">
        <f t="shared" si="30"/>
        <v>ns</v>
      </c>
      <c r="AS120" s="136" t="str">
        <f t="shared" si="31"/>
        <v>ns</v>
      </c>
      <c r="AT120" s="85">
        <v>1</v>
      </c>
      <c r="AU120" s="86">
        <f t="shared" si="32"/>
        <v>5</v>
      </c>
      <c r="AV120" s="86" t="str">
        <f t="shared" si="38"/>
        <v/>
      </c>
      <c r="AY120" s="231">
        <f>IF(ISNUMBER(M120),M120,NA())</f>
        <v>75.7</v>
      </c>
      <c r="AZ120" s="231">
        <f t="shared" si="37"/>
        <v>5.9</v>
      </c>
      <c r="BA120" s="231">
        <f t="shared" si="34"/>
        <v>74.900000000000006</v>
      </c>
      <c r="BB120" s="231">
        <f t="shared" si="35"/>
        <v>7</v>
      </c>
      <c r="BC120" s="231">
        <f t="shared" si="36"/>
        <v>5</v>
      </c>
      <c r="BD120" s="232">
        <f>IF(ISNUMBER(S120),S120,NA())</f>
        <v>79.310344827586206</v>
      </c>
      <c r="BE120" s="232">
        <f>IF(ISNUMBER(T120),T120,NA())</f>
        <v>78.125</v>
      </c>
      <c r="BP120">
        <v>113</v>
      </c>
    </row>
    <row r="121" spans="1:68">
      <c r="A121" s="13">
        <v>114</v>
      </c>
      <c r="B121">
        <v>14757594</v>
      </c>
      <c r="C121" s="215"/>
      <c r="D121" s="9" t="s">
        <v>1394</v>
      </c>
      <c r="E121" s="18" t="s">
        <v>938</v>
      </c>
      <c r="F121" s="16">
        <v>2004</v>
      </c>
      <c r="G121" s="84" t="s">
        <v>1622</v>
      </c>
      <c r="H121" s="16">
        <v>40</v>
      </c>
      <c r="I121" s="16">
        <v>40</v>
      </c>
      <c r="J121" s="85" t="s">
        <v>151</v>
      </c>
      <c r="K121" s="85">
        <v>4</v>
      </c>
      <c r="L121" s="16" t="s">
        <v>1119</v>
      </c>
      <c r="M121" s="16">
        <v>44.4</v>
      </c>
      <c r="N121" s="16">
        <v>11.7</v>
      </c>
      <c r="O121" s="16">
        <v>41.7</v>
      </c>
      <c r="P121" s="16">
        <v>12.1</v>
      </c>
      <c r="Q121" s="16">
        <v>19</v>
      </c>
      <c r="R121" s="16">
        <v>19</v>
      </c>
      <c r="S121" s="88">
        <f t="shared" si="20"/>
        <v>47.5</v>
      </c>
      <c r="T121" s="88">
        <f t="shared" si="21"/>
        <v>47.5</v>
      </c>
      <c r="U121" s="85">
        <v>37.1</v>
      </c>
      <c r="V121" s="85">
        <v>22.7</v>
      </c>
      <c r="W121" s="85">
        <v>1.5</v>
      </c>
      <c r="X121" s="86">
        <f t="shared" si="22"/>
        <v>80</v>
      </c>
      <c r="Y121" t="s">
        <v>1322</v>
      </c>
      <c r="Z121" s="4" t="s">
        <v>1150</v>
      </c>
      <c r="AA121">
        <f t="shared" si="23"/>
        <v>5</v>
      </c>
      <c r="AB121">
        <v>5</v>
      </c>
      <c r="AC121">
        <v>36</v>
      </c>
      <c r="AD121">
        <v>14</v>
      </c>
      <c r="AE121">
        <v>7</v>
      </c>
      <c r="AF121">
        <v>0</v>
      </c>
      <c r="AG121">
        <v>16</v>
      </c>
      <c r="AH121" t="s">
        <v>1688</v>
      </c>
      <c r="AI121" t="s">
        <v>1688</v>
      </c>
      <c r="AJ121" t="s">
        <v>1688</v>
      </c>
      <c r="AK121" t="s">
        <v>1688</v>
      </c>
      <c r="AL121" s="158">
        <f t="shared" si="24"/>
        <v>90</v>
      </c>
      <c r="AM121" s="136">
        <f t="shared" si="25"/>
        <v>35</v>
      </c>
      <c r="AN121" s="136">
        <f t="shared" si="26"/>
        <v>17.5</v>
      </c>
      <c r="AO121" s="136">
        <f t="shared" si="27"/>
        <v>0</v>
      </c>
      <c r="AP121" s="136">
        <f t="shared" si="28"/>
        <v>40</v>
      </c>
      <c r="AQ121" s="136" t="str">
        <f t="shared" si="29"/>
        <v>ns</v>
      </c>
      <c r="AR121" s="136" t="str">
        <f t="shared" si="30"/>
        <v>ns</v>
      </c>
      <c r="AS121" s="136" t="str">
        <f t="shared" si="31"/>
        <v>ns</v>
      </c>
      <c r="AT121" s="85">
        <v>1.5</v>
      </c>
      <c r="AU121" s="86">
        <f t="shared" si="32"/>
        <v>1.5</v>
      </c>
      <c r="AV121" s="86" t="str">
        <f t="shared" si="38"/>
        <v/>
      </c>
      <c r="AY121" s="231">
        <f>IF(ISNUMBER(M121),M121,NA())</f>
        <v>44.4</v>
      </c>
      <c r="AZ121" s="231">
        <f t="shared" si="37"/>
        <v>11.7</v>
      </c>
      <c r="BA121" s="231">
        <f t="shared" si="34"/>
        <v>41.7</v>
      </c>
      <c r="BB121" s="231">
        <f t="shared" si="35"/>
        <v>12.1</v>
      </c>
      <c r="BC121" s="231">
        <f t="shared" si="36"/>
        <v>1.5</v>
      </c>
      <c r="BD121" s="232">
        <f>IF(ISNUMBER(S121),S121,NA())</f>
        <v>47.5</v>
      </c>
      <c r="BE121" s="232">
        <f>IF(ISNUMBER(T121),T121,NA())</f>
        <v>47.5</v>
      </c>
      <c r="BP121">
        <v>114</v>
      </c>
    </row>
    <row r="122" spans="1:68">
      <c r="A122">
        <v>115</v>
      </c>
      <c r="B122">
        <v>15119911</v>
      </c>
      <c r="C122" s="215"/>
      <c r="D122" s="9" t="s">
        <v>933</v>
      </c>
      <c r="E122" s="18" t="s">
        <v>437</v>
      </c>
      <c r="F122" s="16">
        <v>2004</v>
      </c>
      <c r="G122" s="84" t="s">
        <v>1623</v>
      </c>
      <c r="H122" s="16">
        <v>30</v>
      </c>
      <c r="I122" s="16">
        <v>30</v>
      </c>
      <c r="J122" s="85" t="s">
        <v>151</v>
      </c>
      <c r="K122" s="85">
        <v>4</v>
      </c>
      <c r="L122" s="16" t="s">
        <v>1119</v>
      </c>
      <c r="M122" s="16">
        <v>48.4</v>
      </c>
      <c r="N122" s="16">
        <v>13.4</v>
      </c>
      <c r="O122" s="16">
        <v>45.7</v>
      </c>
      <c r="P122" s="16">
        <v>12.9</v>
      </c>
      <c r="Q122" s="16">
        <v>18</v>
      </c>
      <c r="R122" s="16">
        <v>18</v>
      </c>
      <c r="S122" s="88">
        <f t="shared" si="20"/>
        <v>60</v>
      </c>
      <c r="T122" s="88">
        <f t="shared" si="21"/>
        <v>60</v>
      </c>
      <c r="U122" s="85">
        <v>39.299999999999997</v>
      </c>
      <c r="V122" s="85">
        <v>23.7</v>
      </c>
      <c r="W122" s="85">
        <v>1.5</v>
      </c>
      <c r="X122" s="86">
        <f t="shared" si="22"/>
        <v>60</v>
      </c>
      <c r="Y122" t="s">
        <v>674</v>
      </c>
      <c r="Z122" t="s">
        <v>1151</v>
      </c>
      <c r="AA122">
        <f t="shared" si="23"/>
        <v>4</v>
      </c>
      <c r="AB122">
        <v>5</v>
      </c>
      <c r="AC122" t="s">
        <v>1688</v>
      </c>
      <c r="AD122">
        <v>9</v>
      </c>
      <c r="AE122">
        <v>8</v>
      </c>
      <c r="AF122">
        <v>0</v>
      </c>
      <c r="AG122">
        <v>11</v>
      </c>
      <c r="AH122">
        <v>7</v>
      </c>
      <c r="AI122" t="s">
        <v>1688</v>
      </c>
      <c r="AJ122">
        <v>2</v>
      </c>
      <c r="AK122" t="s">
        <v>1688</v>
      </c>
      <c r="AL122" s="158" t="str">
        <f t="shared" si="24"/>
        <v>ns</v>
      </c>
      <c r="AM122" s="136">
        <f t="shared" si="25"/>
        <v>30</v>
      </c>
      <c r="AN122" s="136">
        <f t="shared" si="26"/>
        <v>26.666666666666668</v>
      </c>
      <c r="AO122" s="136">
        <f t="shared" si="27"/>
        <v>0</v>
      </c>
      <c r="AP122" s="136">
        <f t="shared" si="28"/>
        <v>36.666666666666664</v>
      </c>
      <c r="AQ122" s="136">
        <f t="shared" si="29"/>
        <v>23.333333333333332</v>
      </c>
      <c r="AR122" s="136" t="str">
        <f t="shared" si="30"/>
        <v>ns</v>
      </c>
      <c r="AS122" s="136">
        <f t="shared" si="31"/>
        <v>6.666666666666667</v>
      </c>
      <c r="AT122" s="85">
        <v>1.5</v>
      </c>
      <c r="AU122" s="86">
        <f t="shared" si="32"/>
        <v>1.5</v>
      </c>
      <c r="AV122" s="86" t="str">
        <f t="shared" si="38"/>
        <v/>
      </c>
      <c r="AY122" s="231">
        <f>IF(ISNUMBER(M122),M122,NA())</f>
        <v>48.4</v>
      </c>
      <c r="AZ122" s="231">
        <f t="shared" si="37"/>
        <v>13.4</v>
      </c>
      <c r="BA122" s="231">
        <f t="shared" si="34"/>
        <v>45.7</v>
      </c>
      <c r="BB122" s="231">
        <f t="shared" si="35"/>
        <v>12.9</v>
      </c>
      <c r="BC122" s="231">
        <f t="shared" si="36"/>
        <v>1.5</v>
      </c>
      <c r="BD122" s="232">
        <f>IF(ISNUMBER(S122),S122,NA())</f>
        <v>60</v>
      </c>
      <c r="BE122" s="232">
        <f>IF(ISNUMBER(T122),T122,NA())</f>
        <v>60</v>
      </c>
      <c r="BP122">
        <v>115</v>
      </c>
    </row>
    <row r="123" spans="1:68">
      <c r="A123" s="13">
        <v>116</v>
      </c>
      <c r="B123">
        <v>14997169</v>
      </c>
      <c r="C123" s="215"/>
      <c r="D123" s="9" t="s">
        <v>1319</v>
      </c>
      <c r="E123" s="18" t="s">
        <v>993</v>
      </c>
      <c r="F123" s="16">
        <v>2004</v>
      </c>
      <c r="G123" s="84" t="s">
        <v>1624</v>
      </c>
      <c r="H123" s="16">
        <v>18</v>
      </c>
      <c r="I123" s="16">
        <v>18</v>
      </c>
      <c r="J123" s="85" t="s">
        <v>296</v>
      </c>
      <c r="K123" s="85">
        <v>3</v>
      </c>
      <c r="L123" s="16" t="s">
        <v>1119</v>
      </c>
      <c r="M123" s="16">
        <v>38.9</v>
      </c>
      <c r="N123" s="16">
        <v>11.4</v>
      </c>
      <c r="O123" s="16">
        <v>34.799999999999997</v>
      </c>
      <c r="P123" s="16">
        <v>13.6</v>
      </c>
      <c r="Q123" s="16">
        <v>10</v>
      </c>
      <c r="R123" s="16">
        <v>10</v>
      </c>
      <c r="S123" s="88">
        <f t="shared" si="20"/>
        <v>55.555555555555557</v>
      </c>
      <c r="T123" s="88">
        <f t="shared" si="21"/>
        <v>55.555555555555557</v>
      </c>
      <c r="U123" s="85" t="s">
        <v>1688</v>
      </c>
      <c r="V123" s="85">
        <v>23</v>
      </c>
      <c r="W123" s="85">
        <v>1.5</v>
      </c>
      <c r="X123" s="86">
        <f t="shared" si="22"/>
        <v>36</v>
      </c>
      <c r="Y123" t="s">
        <v>1092</v>
      </c>
      <c r="Z123" t="s">
        <v>2089</v>
      </c>
      <c r="AA123">
        <f t="shared" si="23"/>
        <v>9</v>
      </c>
      <c r="AB123">
        <v>4</v>
      </c>
      <c r="AC123">
        <v>0</v>
      </c>
      <c r="AD123">
        <v>0</v>
      </c>
      <c r="AE123">
        <v>0</v>
      </c>
      <c r="AF123">
        <v>0</v>
      </c>
      <c r="AG123">
        <v>0</v>
      </c>
      <c r="AH123">
        <v>0</v>
      </c>
      <c r="AI123">
        <v>0</v>
      </c>
      <c r="AJ123">
        <v>18</v>
      </c>
      <c r="AK123" t="s">
        <v>1688</v>
      </c>
      <c r="AL123" s="158">
        <f t="shared" si="24"/>
        <v>0</v>
      </c>
      <c r="AM123" s="136">
        <f t="shared" si="25"/>
        <v>0</v>
      </c>
      <c r="AN123" s="136">
        <f t="shared" si="26"/>
        <v>0</v>
      </c>
      <c r="AO123" s="136">
        <f t="shared" si="27"/>
        <v>0</v>
      </c>
      <c r="AP123" s="136">
        <f t="shared" si="28"/>
        <v>0</v>
      </c>
      <c r="AQ123" s="136">
        <f t="shared" si="29"/>
        <v>0</v>
      </c>
      <c r="AR123" s="136">
        <f t="shared" si="30"/>
        <v>0</v>
      </c>
      <c r="AS123" s="136">
        <f t="shared" si="31"/>
        <v>100</v>
      </c>
      <c r="AT123" s="85">
        <v>1.5</v>
      </c>
      <c r="AU123" s="86">
        <f t="shared" si="32"/>
        <v>1.5</v>
      </c>
      <c r="AV123" s="86" t="str">
        <f t="shared" si="38"/>
        <v/>
      </c>
      <c r="AY123" s="231">
        <f>IF(ISNUMBER(M123),M123,NA())</f>
        <v>38.9</v>
      </c>
      <c r="AZ123" s="231">
        <f t="shared" si="37"/>
        <v>11.4</v>
      </c>
      <c r="BA123" s="231">
        <f t="shared" si="34"/>
        <v>34.799999999999997</v>
      </c>
      <c r="BB123" s="231">
        <f t="shared" si="35"/>
        <v>13.6</v>
      </c>
      <c r="BC123" s="231">
        <f t="shared" si="36"/>
        <v>1.5</v>
      </c>
      <c r="BD123" s="232">
        <f>IF(ISNUMBER(S123),S123,NA())</f>
        <v>55.555555555555557</v>
      </c>
      <c r="BE123" s="232">
        <f>IF(ISNUMBER(T123),T123,NA())</f>
        <v>55.555555555555557</v>
      </c>
      <c r="BP123">
        <v>116</v>
      </c>
    </row>
    <row r="124" spans="1:68">
      <c r="A124">
        <v>117</v>
      </c>
      <c r="B124">
        <v>15576058</v>
      </c>
      <c r="C124" s="215"/>
      <c r="D124" s="1" t="s">
        <v>579</v>
      </c>
      <c r="E124" t="s">
        <v>1713</v>
      </c>
      <c r="F124">
        <v>2004</v>
      </c>
      <c r="G124" s="1" t="s">
        <v>1591</v>
      </c>
      <c r="H124">
        <v>28</v>
      </c>
      <c r="I124">
        <v>41</v>
      </c>
      <c r="J124" t="s">
        <v>151</v>
      </c>
      <c r="K124">
        <v>4</v>
      </c>
      <c r="L124" t="s">
        <v>1119</v>
      </c>
      <c r="M124">
        <v>64.040000000000006</v>
      </c>
      <c r="N124">
        <v>10.9</v>
      </c>
      <c r="O124">
        <v>62.37</v>
      </c>
      <c r="P124">
        <v>11.38</v>
      </c>
      <c r="Q124">
        <v>28</v>
      </c>
      <c r="R124">
        <v>41</v>
      </c>
      <c r="S124" s="88">
        <f t="shared" si="20"/>
        <v>100</v>
      </c>
      <c r="T124" s="88">
        <f t="shared" si="21"/>
        <v>100</v>
      </c>
      <c r="U124" s="85">
        <v>33.04</v>
      </c>
      <c r="V124" s="85" t="s">
        <v>1688</v>
      </c>
      <c r="W124" s="85">
        <v>1.2</v>
      </c>
      <c r="X124" s="86">
        <f t="shared" si="22"/>
        <v>69</v>
      </c>
      <c r="Y124" t="s">
        <v>2359</v>
      </c>
      <c r="Z124" t="s">
        <v>2413</v>
      </c>
      <c r="AA124">
        <f t="shared" si="23"/>
        <v>17</v>
      </c>
      <c r="AB124">
        <v>5</v>
      </c>
      <c r="AC124">
        <v>17</v>
      </c>
      <c r="AD124" t="s">
        <v>1688</v>
      </c>
      <c r="AE124" t="s">
        <v>1688</v>
      </c>
      <c r="AF124" t="s">
        <v>1688</v>
      </c>
      <c r="AG124" t="s">
        <v>1688</v>
      </c>
      <c r="AH124">
        <v>7</v>
      </c>
      <c r="AI124">
        <v>4</v>
      </c>
      <c r="AJ124">
        <v>6</v>
      </c>
      <c r="AK124" t="s">
        <v>1688</v>
      </c>
      <c r="AL124" s="158">
        <f t="shared" si="24"/>
        <v>60.714285714285708</v>
      </c>
      <c r="AM124" s="136" t="str">
        <f t="shared" si="25"/>
        <v>ns</v>
      </c>
      <c r="AN124" s="136" t="str">
        <f t="shared" si="26"/>
        <v>ns</v>
      </c>
      <c r="AO124" s="136" t="str">
        <f t="shared" si="27"/>
        <v>ns</v>
      </c>
      <c r="AP124" s="136" t="str">
        <f t="shared" si="28"/>
        <v>ns</v>
      </c>
      <c r="AQ124" s="136">
        <f t="shared" si="29"/>
        <v>25</v>
      </c>
      <c r="AR124" s="136">
        <f t="shared" si="30"/>
        <v>14.285714285714285</v>
      </c>
      <c r="AS124" s="136">
        <f t="shared" si="31"/>
        <v>21.428571428571427</v>
      </c>
      <c r="AT124" s="85">
        <v>1.5</v>
      </c>
      <c r="AU124" s="86">
        <f t="shared" si="32"/>
        <v>1.2</v>
      </c>
      <c r="AV124" s="86" t="str">
        <f t="shared" si="38"/>
        <v/>
      </c>
      <c r="AY124" s="231">
        <f>IF(ISNUMBER(M124),M124,NA())</f>
        <v>64.040000000000006</v>
      </c>
      <c r="AZ124" s="231">
        <f t="shared" si="37"/>
        <v>10.9</v>
      </c>
      <c r="BA124" s="231">
        <f t="shared" si="34"/>
        <v>62.37</v>
      </c>
      <c r="BB124" s="231">
        <f t="shared" si="35"/>
        <v>11.38</v>
      </c>
      <c r="BC124" s="231">
        <f t="shared" si="36"/>
        <v>1.2</v>
      </c>
      <c r="BD124" s="232">
        <f>IF(ISNUMBER(S124),S124,NA())</f>
        <v>100</v>
      </c>
      <c r="BE124" s="232">
        <f>IF(ISNUMBER(T124),T124,NA())</f>
        <v>100</v>
      </c>
      <c r="BP124">
        <v>117</v>
      </c>
    </row>
    <row r="125" spans="1:68">
      <c r="A125" s="13">
        <v>118</v>
      </c>
      <c r="B125">
        <v>14960287</v>
      </c>
      <c r="C125" s="215"/>
      <c r="D125" s="9" t="s">
        <v>1393</v>
      </c>
      <c r="E125" s="18" t="s">
        <v>539</v>
      </c>
      <c r="F125" s="16">
        <v>2004</v>
      </c>
      <c r="G125" s="84" t="s">
        <v>1592</v>
      </c>
      <c r="H125" s="16">
        <v>31</v>
      </c>
      <c r="I125" s="16">
        <v>34</v>
      </c>
      <c r="J125" s="85" t="s">
        <v>151</v>
      </c>
      <c r="K125" s="85">
        <v>4</v>
      </c>
      <c r="L125" s="16" t="s">
        <v>1119</v>
      </c>
      <c r="M125" s="16">
        <v>39.26</v>
      </c>
      <c r="N125" s="16">
        <v>11.9</v>
      </c>
      <c r="O125" s="16">
        <v>37.03</v>
      </c>
      <c r="P125" s="16">
        <v>11.88</v>
      </c>
      <c r="Q125" s="16">
        <v>24</v>
      </c>
      <c r="R125" s="16">
        <v>22</v>
      </c>
      <c r="S125" s="88">
        <f t="shared" si="20"/>
        <v>77.41935483870968</v>
      </c>
      <c r="T125" s="88">
        <f t="shared" si="21"/>
        <v>64.705882352941174</v>
      </c>
      <c r="U125" s="85">
        <v>27.94</v>
      </c>
      <c r="V125" s="85">
        <v>14.07</v>
      </c>
      <c r="W125" s="85">
        <v>1.5</v>
      </c>
      <c r="X125" s="86">
        <f t="shared" si="22"/>
        <v>65</v>
      </c>
      <c r="Y125" t="s">
        <v>2296</v>
      </c>
      <c r="Z125" t="s">
        <v>2088</v>
      </c>
      <c r="AA125">
        <f t="shared" si="23"/>
        <v>9</v>
      </c>
      <c r="AB125">
        <v>5</v>
      </c>
      <c r="AC125" t="s">
        <v>1688</v>
      </c>
      <c r="AD125" t="s">
        <v>1688</v>
      </c>
      <c r="AE125" t="s">
        <v>1688</v>
      </c>
      <c r="AF125" t="s">
        <v>1688</v>
      </c>
      <c r="AG125" t="s">
        <v>1688</v>
      </c>
      <c r="AH125" t="s">
        <v>1688</v>
      </c>
      <c r="AI125" t="s">
        <v>1688</v>
      </c>
      <c r="AJ125">
        <v>31</v>
      </c>
      <c r="AK125" t="s">
        <v>1688</v>
      </c>
      <c r="AL125" s="158" t="str">
        <f t="shared" si="24"/>
        <v>ns</v>
      </c>
      <c r="AM125" s="136" t="str">
        <f t="shared" si="25"/>
        <v>ns</v>
      </c>
      <c r="AN125" s="136" t="str">
        <f t="shared" si="26"/>
        <v>ns</v>
      </c>
      <c r="AO125" s="136" t="str">
        <f t="shared" si="27"/>
        <v>ns</v>
      </c>
      <c r="AP125" s="136" t="str">
        <f t="shared" si="28"/>
        <v>ns</v>
      </c>
      <c r="AQ125" s="136" t="str">
        <f t="shared" si="29"/>
        <v>ns</v>
      </c>
      <c r="AR125" s="136" t="str">
        <f t="shared" si="30"/>
        <v>ns</v>
      </c>
      <c r="AS125" s="136">
        <f t="shared" si="31"/>
        <v>100</v>
      </c>
      <c r="AT125" s="85">
        <v>1.5</v>
      </c>
      <c r="AU125" s="86">
        <f t="shared" si="32"/>
        <v>1.5</v>
      </c>
      <c r="AV125" s="86" t="str">
        <f t="shared" si="38"/>
        <v/>
      </c>
      <c r="AY125" s="231">
        <f>IF(ISNUMBER(M125),M125,NA())</f>
        <v>39.26</v>
      </c>
      <c r="AZ125" s="231">
        <f t="shared" si="37"/>
        <v>11.9</v>
      </c>
      <c r="BA125" s="231">
        <f t="shared" si="34"/>
        <v>37.03</v>
      </c>
      <c r="BB125" s="231">
        <f t="shared" si="35"/>
        <v>11.88</v>
      </c>
      <c r="BC125" s="231">
        <f t="shared" si="36"/>
        <v>1.5</v>
      </c>
      <c r="BD125" s="232">
        <f>IF(ISNUMBER(S125),S125,NA())</f>
        <v>77.41935483870968</v>
      </c>
      <c r="BE125" s="232">
        <f>IF(ISNUMBER(T125),T125,NA())</f>
        <v>64.705882352941174</v>
      </c>
      <c r="BP125">
        <v>118</v>
      </c>
    </row>
    <row r="126" spans="1:68">
      <c r="A126">
        <v>119</v>
      </c>
      <c r="B126">
        <v>15554576</v>
      </c>
      <c r="C126" s="215"/>
      <c r="D126" s="1" t="s">
        <v>1143</v>
      </c>
      <c r="E126" s="11" t="s">
        <v>337</v>
      </c>
      <c r="F126">
        <v>2004</v>
      </c>
      <c r="G126" s="1" t="s">
        <v>338</v>
      </c>
      <c r="H126">
        <v>17</v>
      </c>
      <c r="I126">
        <v>17</v>
      </c>
      <c r="J126" t="s">
        <v>151</v>
      </c>
      <c r="K126">
        <v>4</v>
      </c>
      <c r="L126" t="s">
        <v>1119</v>
      </c>
      <c r="M126">
        <v>34</v>
      </c>
      <c r="N126">
        <v>10</v>
      </c>
      <c r="O126">
        <v>32</v>
      </c>
      <c r="P126">
        <v>6</v>
      </c>
      <c r="Q126">
        <v>17</v>
      </c>
      <c r="R126">
        <v>17</v>
      </c>
      <c r="S126" s="88">
        <f t="shared" si="20"/>
        <v>100</v>
      </c>
      <c r="T126" s="88">
        <f t="shared" si="21"/>
        <v>100</v>
      </c>
      <c r="U126" s="6">
        <v>29</v>
      </c>
      <c r="V126" s="6">
        <v>22</v>
      </c>
      <c r="W126" s="6">
        <v>1.3</v>
      </c>
      <c r="X126" s="86">
        <f t="shared" si="22"/>
        <v>34</v>
      </c>
      <c r="Y126" t="s">
        <v>1781</v>
      </c>
      <c r="Z126" t="s">
        <v>1782</v>
      </c>
      <c r="AA126">
        <f t="shared" si="23"/>
        <v>7</v>
      </c>
      <c r="AB126">
        <v>5</v>
      </c>
      <c r="AC126">
        <v>17</v>
      </c>
      <c r="AD126" t="s">
        <v>1688</v>
      </c>
      <c r="AE126" t="s">
        <v>1688</v>
      </c>
      <c r="AF126" t="s">
        <v>1688</v>
      </c>
      <c r="AG126" t="s">
        <v>1688</v>
      </c>
      <c r="AH126" t="s">
        <v>1688</v>
      </c>
      <c r="AI126" t="s">
        <v>1688</v>
      </c>
      <c r="AJ126">
        <v>0</v>
      </c>
      <c r="AK126" t="s">
        <v>1688</v>
      </c>
      <c r="AL126" s="158">
        <f t="shared" si="24"/>
        <v>100</v>
      </c>
      <c r="AM126" s="136" t="str">
        <f t="shared" si="25"/>
        <v>ns</v>
      </c>
      <c r="AN126" s="136" t="str">
        <f t="shared" si="26"/>
        <v>ns</v>
      </c>
      <c r="AO126" s="136" t="str">
        <f t="shared" si="27"/>
        <v>ns</v>
      </c>
      <c r="AP126" s="136" t="str">
        <f t="shared" si="28"/>
        <v>ns</v>
      </c>
      <c r="AQ126" s="136" t="str">
        <f t="shared" si="29"/>
        <v>ns</v>
      </c>
      <c r="AR126" s="136" t="str">
        <f t="shared" si="30"/>
        <v>ns</v>
      </c>
      <c r="AS126" s="136">
        <f t="shared" si="31"/>
        <v>0</v>
      </c>
      <c r="AT126" s="6">
        <v>1.5</v>
      </c>
      <c r="AU126" s="86">
        <f t="shared" si="32"/>
        <v>1.3</v>
      </c>
      <c r="AV126" s="86" t="str">
        <f t="shared" si="38"/>
        <v/>
      </c>
      <c r="AY126" s="231">
        <f>IF(ISNUMBER(M126),M126,NA())</f>
        <v>34</v>
      </c>
      <c r="AZ126" s="231">
        <f t="shared" si="37"/>
        <v>10</v>
      </c>
      <c r="BA126" s="231">
        <f t="shared" si="34"/>
        <v>32</v>
      </c>
      <c r="BB126" s="231">
        <f t="shared" si="35"/>
        <v>6</v>
      </c>
      <c r="BC126" s="231">
        <f t="shared" si="36"/>
        <v>1.3</v>
      </c>
      <c r="BD126" s="232">
        <f>IF(ISNUMBER(S126),S126,NA())</f>
        <v>100</v>
      </c>
      <c r="BE126" s="232">
        <f>IF(ISNUMBER(T126),T126,NA())</f>
        <v>100</v>
      </c>
      <c r="BP126">
        <v>119</v>
      </c>
    </row>
    <row r="127" spans="1:68">
      <c r="A127" s="13">
        <v>120</v>
      </c>
      <c r="B127">
        <v>15545334</v>
      </c>
      <c r="C127" s="215"/>
      <c r="D127" s="9" t="s">
        <v>247</v>
      </c>
      <c r="E127" s="18" t="s">
        <v>538</v>
      </c>
      <c r="F127" s="16">
        <v>2004</v>
      </c>
      <c r="G127" s="84" t="s">
        <v>1978</v>
      </c>
      <c r="H127" s="16">
        <v>41</v>
      </c>
      <c r="I127" s="16">
        <v>41</v>
      </c>
      <c r="J127" s="85" t="s">
        <v>151</v>
      </c>
      <c r="K127" s="85">
        <v>4</v>
      </c>
      <c r="L127" s="16" t="s">
        <v>1119</v>
      </c>
      <c r="M127" s="16">
        <v>70.5</v>
      </c>
      <c r="N127" s="16">
        <v>7.6</v>
      </c>
      <c r="O127" s="16">
        <v>72.2</v>
      </c>
      <c r="P127" s="16">
        <v>7.3</v>
      </c>
      <c r="Q127" s="16">
        <v>32</v>
      </c>
      <c r="R127" s="16">
        <v>20</v>
      </c>
      <c r="S127" s="88">
        <f t="shared" si="20"/>
        <v>78.048780487804876</v>
      </c>
      <c r="T127" s="88">
        <f t="shared" si="21"/>
        <v>48.780487804878049</v>
      </c>
      <c r="U127" s="85">
        <v>48.5</v>
      </c>
      <c r="V127" s="85" t="s">
        <v>1688</v>
      </c>
      <c r="W127" s="85">
        <v>1.4</v>
      </c>
      <c r="X127" s="86">
        <f t="shared" si="22"/>
        <v>82</v>
      </c>
      <c r="Y127" s="19" t="s">
        <v>673</v>
      </c>
      <c r="Z127" t="s">
        <v>1152</v>
      </c>
      <c r="AA127">
        <f t="shared" si="23"/>
        <v>13</v>
      </c>
      <c r="AB127">
        <v>5</v>
      </c>
      <c r="AC127">
        <v>0</v>
      </c>
      <c r="AD127">
        <v>0</v>
      </c>
      <c r="AE127">
        <v>0</v>
      </c>
      <c r="AF127">
        <v>0</v>
      </c>
      <c r="AG127">
        <v>0</v>
      </c>
      <c r="AH127">
        <v>0</v>
      </c>
      <c r="AI127">
        <v>0</v>
      </c>
      <c r="AJ127">
        <v>41</v>
      </c>
      <c r="AK127">
        <v>0</v>
      </c>
      <c r="AL127" s="158">
        <f t="shared" si="24"/>
        <v>0</v>
      </c>
      <c r="AM127" s="136">
        <f t="shared" si="25"/>
        <v>0</v>
      </c>
      <c r="AN127" s="136">
        <f t="shared" si="26"/>
        <v>0</v>
      </c>
      <c r="AO127" s="136">
        <f t="shared" si="27"/>
        <v>0</v>
      </c>
      <c r="AP127" s="136">
        <f t="shared" si="28"/>
        <v>0</v>
      </c>
      <c r="AQ127" s="136">
        <f t="shared" si="29"/>
        <v>0</v>
      </c>
      <c r="AR127" s="136">
        <f t="shared" si="30"/>
        <v>0</v>
      </c>
      <c r="AS127" s="136">
        <f t="shared" si="31"/>
        <v>100</v>
      </c>
      <c r="AT127" s="85">
        <v>1.5</v>
      </c>
      <c r="AU127" s="86">
        <f t="shared" si="32"/>
        <v>1.4</v>
      </c>
      <c r="AV127" s="86" t="str">
        <f t="shared" si="38"/>
        <v/>
      </c>
      <c r="AY127" s="231">
        <f>IF(ISNUMBER(M127),M127,NA())</f>
        <v>70.5</v>
      </c>
      <c r="AZ127" s="231">
        <f t="shared" si="37"/>
        <v>7.6</v>
      </c>
      <c r="BA127" s="231">
        <f t="shared" si="34"/>
        <v>72.2</v>
      </c>
      <c r="BB127" s="231">
        <f t="shared" si="35"/>
        <v>7.3</v>
      </c>
      <c r="BC127" s="231">
        <f t="shared" si="36"/>
        <v>1.4</v>
      </c>
      <c r="BD127" s="232">
        <f>IF(ISNUMBER(S127),S127,NA())</f>
        <v>78.048780487804876</v>
      </c>
      <c r="BE127" s="232">
        <f>IF(ISNUMBER(T127),T127,NA())</f>
        <v>48.780487804878049</v>
      </c>
      <c r="BP127">
        <v>120</v>
      </c>
    </row>
    <row r="128" spans="1:68">
      <c r="A128">
        <v>121</v>
      </c>
      <c r="B128">
        <v>15172942</v>
      </c>
      <c r="C128" s="215"/>
      <c r="D128" s="1" t="s">
        <v>963</v>
      </c>
      <c r="E128" t="s">
        <v>1493</v>
      </c>
      <c r="F128">
        <v>2004</v>
      </c>
      <c r="G128" s="1" t="s">
        <v>1593</v>
      </c>
      <c r="H128">
        <v>51</v>
      </c>
      <c r="I128">
        <v>39</v>
      </c>
      <c r="J128" s="13" t="s">
        <v>151</v>
      </c>
      <c r="K128" s="13">
        <v>4</v>
      </c>
      <c r="L128" t="s">
        <v>1119</v>
      </c>
      <c r="M128">
        <v>74</v>
      </c>
      <c r="N128">
        <v>6.3</v>
      </c>
      <c r="O128">
        <v>73.099999999999994</v>
      </c>
      <c r="P128">
        <v>6.7</v>
      </c>
      <c r="Q128">
        <v>41</v>
      </c>
      <c r="R128">
        <v>29</v>
      </c>
      <c r="S128" s="88">
        <f t="shared" si="20"/>
        <v>80.392156862745097</v>
      </c>
      <c r="T128" s="88">
        <f t="shared" si="21"/>
        <v>74.358974358974365</v>
      </c>
      <c r="U128" s="216">
        <v>57</v>
      </c>
      <c r="V128" s="86" t="s">
        <v>1688</v>
      </c>
      <c r="W128" s="86">
        <v>1</v>
      </c>
      <c r="X128" s="86">
        <f t="shared" si="22"/>
        <v>90</v>
      </c>
      <c r="Y128" t="s">
        <v>1540</v>
      </c>
      <c r="Z128" t="s">
        <v>1396</v>
      </c>
      <c r="AA128">
        <f t="shared" si="23"/>
        <v>10</v>
      </c>
      <c r="AB128">
        <v>5</v>
      </c>
      <c r="AC128" t="s">
        <v>1688</v>
      </c>
      <c r="AD128" t="s">
        <v>1688</v>
      </c>
      <c r="AE128" t="s">
        <v>1688</v>
      </c>
      <c r="AF128" t="s">
        <v>1688</v>
      </c>
      <c r="AG128" t="s">
        <v>1688</v>
      </c>
      <c r="AH128" t="s">
        <v>1688</v>
      </c>
      <c r="AI128" t="s">
        <v>1688</v>
      </c>
      <c r="AJ128" t="s">
        <v>1688</v>
      </c>
      <c r="AK128" t="s">
        <v>1688</v>
      </c>
      <c r="AL128" s="158" t="str">
        <f t="shared" si="24"/>
        <v>ns</v>
      </c>
      <c r="AM128" s="136" t="str">
        <f t="shared" si="25"/>
        <v>ns</v>
      </c>
      <c r="AN128" s="136" t="str">
        <f t="shared" si="26"/>
        <v>ns</v>
      </c>
      <c r="AO128" s="136" t="str">
        <f t="shared" si="27"/>
        <v>ns</v>
      </c>
      <c r="AP128" s="136" t="str">
        <f t="shared" si="28"/>
        <v>ns</v>
      </c>
      <c r="AQ128" s="136" t="str">
        <f t="shared" si="29"/>
        <v>ns</v>
      </c>
      <c r="AR128" s="136" t="str">
        <f t="shared" si="30"/>
        <v>ns</v>
      </c>
      <c r="AS128" s="136" t="str">
        <f t="shared" si="31"/>
        <v>ns</v>
      </c>
      <c r="AT128" s="86">
        <v>1</v>
      </c>
      <c r="AU128" s="86">
        <f t="shared" si="32"/>
        <v>1</v>
      </c>
      <c r="AV128" s="86" t="str">
        <f t="shared" si="38"/>
        <v/>
      </c>
      <c r="AY128" s="231">
        <f>IF(ISNUMBER(M128),M128,NA())</f>
        <v>74</v>
      </c>
      <c r="AZ128" s="231">
        <f t="shared" si="37"/>
        <v>6.3</v>
      </c>
      <c r="BA128" s="231">
        <f t="shared" si="34"/>
        <v>73.099999999999994</v>
      </c>
      <c r="BB128" s="231">
        <f t="shared" si="35"/>
        <v>6.7</v>
      </c>
      <c r="BC128" s="231">
        <f t="shared" si="36"/>
        <v>1</v>
      </c>
      <c r="BD128" s="232">
        <f>IF(ISNUMBER(S128),S128,NA())</f>
        <v>80.392156862745097</v>
      </c>
      <c r="BE128" s="232">
        <f>IF(ISNUMBER(T128),T128,NA())</f>
        <v>74.358974358974365</v>
      </c>
      <c r="BP128">
        <v>121</v>
      </c>
    </row>
    <row r="129" spans="1:68">
      <c r="A129" s="13">
        <v>122</v>
      </c>
      <c r="B129">
        <v>14969587</v>
      </c>
      <c r="C129" s="215"/>
      <c r="D129" s="9" t="s">
        <v>1580</v>
      </c>
      <c r="E129" s="18" t="s">
        <v>936</v>
      </c>
      <c r="F129" s="16">
        <v>2004</v>
      </c>
      <c r="G129" s="84" t="s">
        <v>1594</v>
      </c>
      <c r="H129" s="16">
        <v>17</v>
      </c>
      <c r="I129" s="16">
        <v>17</v>
      </c>
      <c r="J129" s="86" t="s">
        <v>151</v>
      </c>
      <c r="K129" s="86">
        <v>4</v>
      </c>
      <c r="L129" s="16" t="s">
        <v>1119</v>
      </c>
      <c r="M129" s="16">
        <v>16.670000000000002</v>
      </c>
      <c r="N129" s="16">
        <v>1.83</v>
      </c>
      <c r="O129" s="16">
        <v>16.23</v>
      </c>
      <c r="P129" s="16">
        <v>1.61</v>
      </c>
      <c r="Q129" s="16">
        <v>9</v>
      </c>
      <c r="R129" s="16">
        <v>9</v>
      </c>
      <c r="S129" s="88">
        <f t="shared" si="20"/>
        <v>52.941176470588232</v>
      </c>
      <c r="T129" s="88">
        <f t="shared" si="21"/>
        <v>52.941176470588232</v>
      </c>
      <c r="U129" s="86">
        <v>14.06</v>
      </c>
      <c r="V129" s="86" t="s">
        <v>1688</v>
      </c>
      <c r="W129" s="86">
        <v>1.5</v>
      </c>
      <c r="X129" s="86">
        <f t="shared" si="22"/>
        <v>34</v>
      </c>
      <c r="Y129" t="s">
        <v>606</v>
      </c>
      <c r="Z129" t="s">
        <v>1323</v>
      </c>
      <c r="AA129">
        <f t="shared" si="23"/>
        <v>4</v>
      </c>
      <c r="AB129">
        <v>5</v>
      </c>
      <c r="AC129">
        <v>1</v>
      </c>
      <c r="AD129">
        <v>1</v>
      </c>
      <c r="AE129">
        <v>0</v>
      </c>
      <c r="AF129">
        <v>0</v>
      </c>
      <c r="AG129">
        <v>0</v>
      </c>
      <c r="AH129">
        <v>0</v>
      </c>
      <c r="AI129">
        <v>0</v>
      </c>
      <c r="AJ129">
        <v>14</v>
      </c>
      <c r="AK129" t="s">
        <v>314</v>
      </c>
      <c r="AL129" s="158">
        <f t="shared" si="24"/>
        <v>5.8823529411764701</v>
      </c>
      <c r="AM129" s="136">
        <f t="shared" si="25"/>
        <v>5.8823529411764701</v>
      </c>
      <c r="AN129" s="136">
        <f t="shared" si="26"/>
        <v>0</v>
      </c>
      <c r="AO129" s="136">
        <f t="shared" si="27"/>
        <v>0</v>
      </c>
      <c r="AP129" s="136">
        <f t="shared" si="28"/>
        <v>0</v>
      </c>
      <c r="AQ129" s="136">
        <f t="shared" si="29"/>
        <v>0</v>
      </c>
      <c r="AR129" s="136">
        <f t="shared" si="30"/>
        <v>0</v>
      </c>
      <c r="AS129" s="136">
        <f t="shared" si="31"/>
        <v>82.35294117647058</v>
      </c>
      <c r="AT129" s="86">
        <v>1.5</v>
      </c>
      <c r="AU129" s="86">
        <f t="shared" si="32"/>
        <v>1.5</v>
      </c>
      <c r="AV129" s="86" t="str">
        <f t="shared" si="38"/>
        <v/>
      </c>
      <c r="AY129" s="231">
        <f>IF(ISNUMBER(M129),M129,NA())</f>
        <v>16.670000000000002</v>
      </c>
      <c r="AZ129" s="231">
        <f t="shared" si="37"/>
        <v>1.83</v>
      </c>
      <c r="BA129" s="231">
        <f t="shared" si="34"/>
        <v>16.23</v>
      </c>
      <c r="BB129" s="231">
        <f t="shared" si="35"/>
        <v>1.61</v>
      </c>
      <c r="BC129" s="231">
        <f t="shared" si="36"/>
        <v>1.5</v>
      </c>
      <c r="BD129" s="232">
        <f>IF(ISNUMBER(S129),S129,NA())</f>
        <v>52.941176470588232</v>
      </c>
      <c r="BE129" s="232">
        <f>IF(ISNUMBER(T129),T129,NA())</f>
        <v>52.941176470588232</v>
      </c>
      <c r="BP129">
        <v>122</v>
      </c>
    </row>
    <row r="130" spans="1:68">
      <c r="A130">
        <v>123</v>
      </c>
      <c r="B130">
        <v>15003427</v>
      </c>
      <c r="C130" s="215"/>
      <c r="D130" s="9" t="s">
        <v>1580</v>
      </c>
      <c r="E130" s="18" t="s">
        <v>937</v>
      </c>
      <c r="F130" s="16">
        <v>2004</v>
      </c>
      <c r="G130" s="84" t="s">
        <v>1595</v>
      </c>
      <c r="H130" s="16">
        <v>17</v>
      </c>
      <c r="I130" s="16">
        <v>17</v>
      </c>
      <c r="J130" s="85" t="s">
        <v>151</v>
      </c>
      <c r="K130" s="85">
        <v>4</v>
      </c>
      <c r="L130" s="16" t="s">
        <v>1119</v>
      </c>
      <c r="M130" s="16">
        <v>16.670000000000002</v>
      </c>
      <c r="N130" s="16">
        <v>1.83</v>
      </c>
      <c r="O130" s="16">
        <v>16.23</v>
      </c>
      <c r="P130" s="16">
        <v>1.61</v>
      </c>
      <c r="Q130" s="16">
        <v>9</v>
      </c>
      <c r="R130" s="16">
        <v>9</v>
      </c>
      <c r="S130" s="88">
        <f t="shared" si="20"/>
        <v>52.941176470588232</v>
      </c>
      <c r="T130" s="88">
        <f t="shared" si="21"/>
        <v>52.941176470588232</v>
      </c>
      <c r="U130" s="86">
        <v>14.06</v>
      </c>
      <c r="V130" s="86" t="s">
        <v>1688</v>
      </c>
      <c r="W130" s="86">
        <v>1.45</v>
      </c>
      <c r="X130" s="86">
        <f t="shared" si="22"/>
        <v>34</v>
      </c>
      <c r="Y130" t="s">
        <v>530</v>
      </c>
      <c r="Z130" t="s">
        <v>1315</v>
      </c>
      <c r="AA130">
        <f t="shared" si="23"/>
        <v>1</v>
      </c>
      <c r="AB130">
        <v>5</v>
      </c>
      <c r="AC130">
        <v>1</v>
      </c>
      <c r="AD130">
        <v>1</v>
      </c>
      <c r="AE130">
        <v>0</v>
      </c>
      <c r="AF130">
        <v>0</v>
      </c>
      <c r="AG130">
        <v>0</v>
      </c>
      <c r="AH130">
        <v>0</v>
      </c>
      <c r="AI130">
        <v>0</v>
      </c>
      <c r="AJ130">
        <v>14</v>
      </c>
      <c r="AK130" t="s">
        <v>314</v>
      </c>
      <c r="AL130" s="158">
        <f t="shared" si="24"/>
        <v>5.8823529411764701</v>
      </c>
      <c r="AM130" s="136">
        <f t="shared" si="25"/>
        <v>5.8823529411764701</v>
      </c>
      <c r="AN130" s="136">
        <f t="shared" si="26"/>
        <v>0</v>
      </c>
      <c r="AO130" s="136">
        <f t="shared" si="27"/>
        <v>0</v>
      </c>
      <c r="AP130" s="136">
        <f t="shared" si="28"/>
        <v>0</v>
      </c>
      <c r="AQ130" s="136">
        <f t="shared" si="29"/>
        <v>0</v>
      </c>
      <c r="AR130" s="136">
        <f t="shared" si="30"/>
        <v>0</v>
      </c>
      <c r="AS130" s="136">
        <f t="shared" si="31"/>
        <v>82.35294117647058</v>
      </c>
      <c r="AT130" s="86">
        <v>1.5</v>
      </c>
      <c r="AU130" s="86">
        <f t="shared" si="32"/>
        <v>1.45</v>
      </c>
      <c r="AV130" s="86" t="str">
        <f t="shared" si="38"/>
        <v/>
      </c>
      <c r="AY130" s="231">
        <f>IF(ISNUMBER(M130),M130,NA())</f>
        <v>16.670000000000002</v>
      </c>
      <c r="AZ130" s="231">
        <f t="shared" si="37"/>
        <v>1.83</v>
      </c>
      <c r="BA130" s="231">
        <f t="shared" si="34"/>
        <v>16.23</v>
      </c>
      <c r="BB130" s="231">
        <f t="shared" si="35"/>
        <v>1.61</v>
      </c>
      <c r="BC130" s="231">
        <f t="shared" si="36"/>
        <v>1.45</v>
      </c>
      <c r="BD130" s="232">
        <f>IF(ISNUMBER(S130),S130,NA())</f>
        <v>52.941176470588232</v>
      </c>
      <c r="BE130" s="232">
        <f>IF(ISNUMBER(T130),T130,NA())</f>
        <v>52.941176470588232</v>
      </c>
      <c r="BP130">
        <v>123</v>
      </c>
    </row>
    <row r="131" spans="1:68">
      <c r="A131" s="13">
        <v>124</v>
      </c>
      <c r="B131">
        <v>15465296</v>
      </c>
      <c r="C131" s="215"/>
      <c r="D131" s="9" t="s">
        <v>1148</v>
      </c>
      <c r="E131" s="18" t="s">
        <v>1703</v>
      </c>
      <c r="F131" s="16">
        <v>2004</v>
      </c>
      <c r="G131" s="84" t="s">
        <v>1596</v>
      </c>
      <c r="H131" s="16">
        <v>10</v>
      </c>
      <c r="I131" s="16">
        <v>10</v>
      </c>
      <c r="J131" s="85" t="s">
        <v>151</v>
      </c>
      <c r="K131" s="85">
        <v>4</v>
      </c>
      <c r="L131" s="16" t="s">
        <v>1119</v>
      </c>
      <c r="M131" s="16">
        <v>48.9</v>
      </c>
      <c r="N131" s="16">
        <v>13.8</v>
      </c>
      <c r="O131" s="16">
        <v>48.3</v>
      </c>
      <c r="P131" s="16">
        <v>15.7</v>
      </c>
      <c r="Q131" s="16">
        <v>6</v>
      </c>
      <c r="R131" s="16">
        <v>6</v>
      </c>
      <c r="S131" s="88">
        <f t="shared" si="20"/>
        <v>60</v>
      </c>
      <c r="T131" s="88">
        <f t="shared" si="21"/>
        <v>60</v>
      </c>
      <c r="U131" s="86" t="s">
        <v>1688</v>
      </c>
      <c r="V131" s="86" t="s">
        <v>1688</v>
      </c>
      <c r="W131" s="86">
        <v>4</v>
      </c>
      <c r="X131" s="86">
        <f t="shared" si="22"/>
        <v>20</v>
      </c>
      <c r="Y131" t="s">
        <v>529</v>
      </c>
      <c r="Z131" t="s">
        <v>1397</v>
      </c>
      <c r="AA131">
        <f t="shared" si="23"/>
        <v>4</v>
      </c>
      <c r="AB131">
        <v>5</v>
      </c>
      <c r="AC131" t="s">
        <v>1688</v>
      </c>
      <c r="AD131" t="s">
        <v>1688</v>
      </c>
      <c r="AE131" t="s">
        <v>1688</v>
      </c>
      <c r="AF131" t="s">
        <v>1688</v>
      </c>
      <c r="AG131" t="s">
        <v>1688</v>
      </c>
      <c r="AH131" t="s">
        <v>1688</v>
      </c>
      <c r="AI131" t="s">
        <v>1688</v>
      </c>
      <c r="AJ131">
        <v>0</v>
      </c>
      <c r="AK131" s="2" t="s">
        <v>1982</v>
      </c>
      <c r="AL131" s="158" t="str">
        <f t="shared" si="24"/>
        <v>ns</v>
      </c>
      <c r="AM131" s="136" t="str">
        <f t="shared" si="25"/>
        <v>ns</v>
      </c>
      <c r="AN131" s="136" t="str">
        <f t="shared" si="26"/>
        <v>ns</v>
      </c>
      <c r="AO131" s="136" t="str">
        <f t="shared" si="27"/>
        <v>ns</v>
      </c>
      <c r="AP131" s="136" t="str">
        <f t="shared" si="28"/>
        <v>ns</v>
      </c>
      <c r="AQ131" s="136" t="str">
        <f t="shared" si="29"/>
        <v>ns</v>
      </c>
      <c r="AR131" s="136" t="str">
        <f t="shared" si="30"/>
        <v>ns</v>
      </c>
      <c r="AS131" s="136">
        <f t="shared" si="31"/>
        <v>0</v>
      </c>
      <c r="AT131" s="86">
        <v>1.5</v>
      </c>
      <c r="AU131" s="86">
        <f t="shared" si="32"/>
        <v>4</v>
      </c>
      <c r="AV131" s="86" t="str">
        <f t="shared" si="38"/>
        <v/>
      </c>
      <c r="AY131" s="231">
        <f>IF(ISNUMBER(M131),M131,NA())</f>
        <v>48.9</v>
      </c>
      <c r="AZ131" s="231">
        <f t="shared" si="37"/>
        <v>13.8</v>
      </c>
      <c r="BA131" s="231">
        <f t="shared" si="34"/>
        <v>48.3</v>
      </c>
      <c r="BB131" s="231">
        <f t="shared" si="35"/>
        <v>15.7</v>
      </c>
      <c r="BC131" s="231">
        <f t="shared" si="36"/>
        <v>4</v>
      </c>
      <c r="BD131" s="232">
        <f>IF(ISNUMBER(S131),S131,NA())</f>
        <v>60</v>
      </c>
      <c r="BE131" s="232">
        <f>IF(ISNUMBER(T131),T131,NA())</f>
        <v>60</v>
      </c>
      <c r="BP131">
        <v>124</v>
      </c>
    </row>
    <row r="132" spans="1:68">
      <c r="A132">
        <v>125</v>
      </c>
      <c r="B132">
        <v>15231442</v>
      </c>
      <c r="C132" s="215"/>
      <c r="D132" s="9" t="s">
        <v>722</v>
      </c>
      <c r="E132" s="18" t="s">
        <v>992</v>
      </c>
      <c r="F132" s="16">
        <v>2004</v>
      </c>
      <c r="G132" s="84" t="s">
        <v>1597</v>
      </c>
      <c r="H132" s="16">
        <v>38</v>
      </c>
      <c r="I132" s="16">
        <v>33</v>
      </c>
      <c r="J132" s="85" t="s">
        <v>151</v>
      </c>
      <c r="K132" s="85">
        <v>4</v>
      </c>
      <c r="L132" s="16" t="s">
        <v>1119</v>
      </c>
      <c r="M132" s="16">
        <v>41</v>
      </c>
      <c r="N132" s="16">
        <v>11</v>
      </c>
      <c r="O132" s="16">
        <v>34</v>
      </c>
      <c r="P132" s="16">
        <v>10</v>
      </c>
      <c r="Q132" s="16">
        <v>23</v>
      </c>
      <c r="R132" s="16">
        <v>21</v>
      </c>
      <c r="S132" s="88">
        <f t="shared" si="20"/>
        <v>60.526315789473685</v>
      </c>
      <c r="T132" s="88">
        <f t="shared" si="21"/>
        <v>63.636363636363633</v>
      </c>
      <c r="U132" s="86" t="s">
        <v>1688</v>
      </c>
      <c r="V132" s="86" t="s">
        <v>1688</v>
      </c>
      <c r="W132" s="86">
        <v>1.5</v>
      </c>
      <c r="X132" s="86">
        <f t="shared" si="22"/>
        <v>71</v>
      </c>
      <c r="Y132" t="s">
        <v>839</v>
      </c>
      <c r="Z132" t="s">
        <v>1154</v>
      </c>
      <c r="AA132">
        <f t="shared" si="23"/>
        <v>13</v>
      </c>
      <c r="AB132">
        <v>5</v>
      </c>
      <c r="AC132">
        <v>0</v>
      </c>
      <c r="AD132">
        <v>0</v>
      </c>
      <c r="AE132">
        <f>-AF132</f>
        <v>0</v>
      </c>
      <c r="AF132">
        <v>0</v>
      </c>
      <c r="AG132">
        <v>0</v>
      </c>
      <c r="AH132" t="s">
        <v>1688</v>
      </c>
      <c r="AI132" t="s">
        <v>1688</v>
      </c>
      <c r="AJ132">
        <v>15</v>
      </c>
      <c r="AK132" t="s">
        <v>1688</v>
      </c>
      <c r="AL132" s="158">
        <f t="shared" si="24"/>
        <v>0</v>
      </c>
      <c r="AM132" s="136">
        <f t="shared" si="25"/>
        <v>0</v>
      </c>
      <c r="AN132" s="136">
        <f t="shared" si="26"/>
        <v>0</v>
      </c>
      <c r="AO132" s="136">
        <f t="shared" si="27"/>
        <v>0</v>
      </c>
      <c r="AP132" s="136">
        <f t="shared" si="28"/>
        <v>0</v>
      </c>
      <c r="AQ132" s="136" t="str">
        <f t="shared" si="29"/>
        <v>ns</v>
      </c>
      <c r="AR132" s="136" t="str">
        <f t="shared" si="30"/>
        <v>ns</v>
      </c>
      <c r="AS132" s="136">
        <f t="shared" si="31"/>
        <v>39.473684210526315</v>
      </c>
      <c r="AT132" s="86">
        <v>1.5</v>
      </c>
      <c r="AU132" s="86">
        <f t="shared" si="32"/>
        <v>1.5</v>
      </c>
      <c r="AV132" s="86" t="str">
        <f t="shared" si="38"/>
        <v/>
      </c>
      <c r="AY132" s="231">
        <f>IF(ISNUMBER(M132),M132,NA())</f>
        <v>41</v>
      </c>
      <c r="AZ132" s="231">
        <f t="shared" si="37"/>
        <v>11</v>
      </c>
      <c r="BA132" s="231">
        <f t="shared" si="34"/>
        <v>34</v>
      </c>
      <c r="BB132" s="231">
        <f t="shared" si="35"/>
        <v>10</v>
      </c>
      <c r="BC132" s="231">
        <f t="shared" si="36"/>
        <v>1.5</v>
      </c>
      <c r="BD132" s="232">
        <f>IF(ISNUMBER(S132),S132,NA())</f>
        <v>60.526315789473685</v>
      </c>
      <c r="BE132" s="232">
        <f>IF(ISNUMBER(T132),T132,NA())</f>
        <v>63.636363636363633</v>
      </c>
      <c r="BP132">
        <v>125</v>
      </c>
    </row>
    <row r="133" spans="1:68">
      <c r="A133" s="13">
        <v>126</v>
      </c>
      <c r="B133">
        <v>15641704</v>
      </c>
      <c r="C133" s="215"/>
      <c r="D133" s="9" t="s">
        <v>512</v>
      </c>
      <c r="E133" s="18" t="s">
        <v>542</v>
      </c>
      <c r="F133" s="16">
        <v>2004</v>
      </c>
      <c r="G133" s="85" t="s">
        <v>1670</v>
      </c>
      <c r="H133">
        <v>22</v>
      </c>
      <c r="I133">
        <v>13</v>
      </c>
      <c r="J133" s="85" t="s">
        <v>55</v>
      </c>
      <c r="K133" s="85"/>
      <c r="L133" s="16" t="s">
        <v>1119</v>
      </c>
      <c r="M133" s="16">
        <v>39.5</v>
      </c>
      <c r="N133" s="16">
        <v>12.05</v>
      </c>
      <c r="O133" s="16">
        <v>35.43</v>
      </c>
      <c r="P133" s="16">
        <v>8.86</v>
      </c>
      <c r="Q133" s="16">
        <v>10</v>
      </c>
      <c r="R133" s="16">
        <v>8</v>
      </c>
      <c r="S133" s="88">
        <f t="shared" si="20"/>
        <v>45.454545454545453</v>
      </c>
      <c r="T133" s="88">
        <f t="shared" si="21"/>
        <v>61.53846153846154</v>
      </c>
      <c r="U133" s="97" t="s">
        <v>1688</v>
      </c>
      <c r="V133" s="85">
        <v>21.45</v>
      </c>
      <c r="W133" s="97">
        <v>1.2</v>
      </c>
      <c r="X133" s="86">
        <f t="shared" si="22"/>
        <v>35</v>
      </c>
      <c r="Y133" t="s">
        <v>674</v>
      </c>
      <c r="Z133" t="s">
        <v>1151</v>
      </c>
      <c r="AA133">
        <f t="shared" si="23"/>
        <v>4</v>
      </c>
      <c r="AB133">
        <v>7</v>
      </c>
      <c r="AC133" t="s">
        <v>1688</v>
      </c>
      <c r="AD133" t="s">
        <v>1688</v>
      </c>
      <c r="AE133" t="s">
        <v>1688</v>
      </c>
      <c r="AF133" t="s">
        <v>1688</v>
      </c>
      <c r="AG133" t="s">
        <v>1688</v>
      </c>
      <c r="AH133" t="s">
        <v>1688</v>
      </c>
      <c r="AI133" t="s">
        <v>1688</v>
      </c>
      <c r="AJ133" t="s">
        <v>1688</v>
      </c>
      <c r="AK133" t="s">
        <v>1688</v>
      </c>
      <c r="AL133" s="158" t="str">
        <f t="shared" si="24"/>
        <v>ns</v>
      </c>
      <c r="AM133" s="136" t="str">
        <f t="shared" si="25"/>
        <v>ns</v>
      </c>
      <c r="AN133" s="136" t="str">
        <f t="shared" si="26"/>
        <v>ns</v>
      </c>
      <c r="AO133" s="136" t="str">
        <f t="shared" si="27"/>
        <v>ns</v>
      </c>
      <c r="AP133" s="136" t="str">
        <f t="shared" si="28"/>
        <v>ns</v>
      </c>
      <c r="AQ133" s="136" t="str">
        <f t="shared" si="29"/>
        <v>ns</v>
      </c>
      <c r="AR133" s="136" t="str">
        <f t="shared" si="30"/>
        <v>ns</v>
      </c>
      <c r="AS133" s="136" t="str">
        <f t="shared" si="31"/>
        <v>ns</v>
      </c>
      <c r="AT133" s="85">
        <v>1.5</v>
      </c>
      <c r="AU133" s="86">
        <f t="shared" si="32"/>
        <v>1.2</v>
      </c>
      <c r="AV133" s="86" t="str">
        <f t="shared" si="38"/>
        <v/>
      </c>
      <c r="AY133" s="231">
        <f>IF(ISNUMBER(M133),M133,NA())</f>
        <v>39.5</v>
      </c>
      <c r="AZ133" s="231">
        <f t="shared" si="37"/>
        <v>12.05</v>
      </c>
      <c r="BA133" s="231">
        <f t="shared" si="34"/>
        <v>35.43</v>
      </c>
      <c r="BB133" s="231">
        <f t="shared" si="35"/>
        <v>8.86</v>
      </c>
      <c r="BC133" s="231">
        <f t="shared" si="36"/>
        <v>1.2</v>
      </c>
      <c r="BD133" s="232">
        <f>IF(ISNUMBER(S133),S133,NA())</f>
        <v>45.454545454545453</v>
      </c>
      <c r="BE133" s="232">
        <f>IF(ISNUMBER(T133),T133,NA())</f>
        <v>61.53846153846154</v>
      </c>
      <c r="BP133">
        <v>126</v>
      </c>
    </row>
    <row r="134" spans="1:68">
      <c r="A134">
        <v>127</v>
      </c>
      <c r="B134">
        <v>16223965</v>
      </c>
      <c r="C134" s="215"/>
      <c r="D134" s="9" t="s">
        <v>1534</v>
      </c>
      <c r="E134" s="18" t="s">
        <v>541</v>
      </c>
      <c r="F134" s="16">
        <v>2005</v>
      </c>
      <c r="G134" s="84" t="s">
        <v>1979</v>
      </c>
      <c r="H134" s="16">
        <v>39</v>
      </c>
      <c r="I134" s="16">
        <v>20</v>
      </c>
      <c r="J134" s="85" t="s">
        <v>151</v>
      </c>
      <c r="K134" s="85">
        <v>4</v>
      </c>
      <c r="L134" s="16" t="s">
        <v>1119</v>
      </c>
      <c r="M134" s="16">
        <v>69.900000000000006</v>
      </c>
      <c r="N134" s="16">
        <v>5.2</v>
      </c>
      <c r="O134" s="16">
        <v>73.599999999999994</v>
      </c>
      <c r="P134" s="16">
        <v>5.0999999999999996</v>
      </c>
      <c r="Q134" s="16">
        <v>26</v>
      </c>
      <c r="R134" s="16">
        <v>14</v>
      </c>
      <c r="S134" s="88">
        <f t="shared" si="20"/>
        <v>66.666666666666671</v>
      </c>
      <c r="T134" s="88">
        <f t="shared" si="21"/>
        <v>70</v>
      </c>
      <c r="U134" s="86">
        <v>66.5</v>
      </c>
      <c r="V134" s="86">
        <v>21.7</v>
      </c>
      <c r="W134" s="86">
        <v>7</v>
      </c>
      <c r="X134" s="86">
        <f t="shared" si="22"/>
        <v>59</v>
      </c>
      <c r="Y134" t="s">
        <v>481</v>
      </c>
      <c r="Z134" t="s">
        <v>978</v>
      </c>
      <c r="AA134">
        <f t="shared" si="23"/>
        <v>1</v>
      </c>
      <c r="AB134">
        <v>5</v>
      </c>
      <c r="AC134">
        <v>13</v>
      </c>
      <c r="AD134" t="s">
        <v>1688</v>
      </c>
      <c r="AE134" t="s">
        <v>1688</v>
      </c>
      <c r="AF134" t="s">
        <v>1688</v>
      </c>
      <c r="AG134" t="s">
        <v>1688</v>
      </c>
      <c r="AH134" t="s">
        <v>1688</v>
      </c>
      <c r="AI134" t="s">
        <v>1688</v>
      </c>
      <c r="AJ134" t="s">
        <v>1688</v>
      </c>
      <c r="AK134" t="s">
        <v>1688</v>
      </c>
      <c r="AL134" s="158">
        <f t="shared" si="24"/>
        <v>33.333333333333329</v>
      </c>
      <c r="AM134" s="136" t="str">
        <f t="shared" si="25"/>
        <v>ns</v>
      </c>
      <c r="AN134" s="136" t="str">
        <f t="shared" si="26"/>
        <v>ns</v>
      </c>
      <c r="AO134" s="136" t="str">
        <f t="shared" si="27"/>
        <v>ns</v>
      </c>
      <c r="AP134" s="136" t="str">
        <f t="shared" si="28"/>
        <v>ns</v>
      </c>
      <c r="AQ134" s="136" t="str">
        <f t="shared" si="29"/>
        <v>ns</v>
      </c>
      <c r="AR134" s="136" t="str">
        <f t="shared" si="30"/>
        <v>ns</v>
      </c>
      <c r="AS134" s="136" t="str">
        <f t="shared" si="31"/>
        <v>ns</v>
      </c>
      <c r="AT134" s="86">
        <v>3</v>
      </c>
      <c r="AU134" s="86">
        <f t="shared" si="32"/>
        <v>7</v>
      </c>
      <c r="AV134" s="86" t="str">
        <f t="shared" si="38"/>
        <v/>
      </c>
      <c r="AY134" s="231">
        <f>IF(ISNUMBER(M134),M134,NA())</f>
        <v>69.900000000000006</v>
      </c>
      <c r="AZ134" s="231">
        <f t="shared" si="37"/>
        <v>5.2</v>
      </c>
      <c r="BA134" s="231">
        <f t="shared" si="34"/>
        <v>73.599999999999994</v>
      </c>
      <c r="BB134" s="231">
        <f t="shared" si="35"/>
        <v>5.0999999999999996</v>
      </c>
      <c r="BC134" s="231">
        <f t="shared" si="36"/>
        <v>7</v>
      </c>
      <c r="BD134" s="232">
        <f>IF(ISNUMBER(S134),S134,NA())</f>
        <v>66.666666666666671</v>
      </c>
      <c r="BE134" s="232">
        <f>IF(ISNUMBER(T134),T134,NA())</f>
        <v>70</v>
      </c>
      <c r="BP134">
        <v>127</v>
      </c>
    </row>
    <row r="135" spans="1:68">
      <c r="A135" s="13">
        <v>128</v>
      </c>
      <c r="B135">
        <v>16135631</v>
      </c>
      <c r="C135" s="215"/>
      <c r="D135" s="9" t="s">
        <v>281</v>
      </c>
      <c r="E135" s="18" t="s">
        <v>540</v>
      </c>
      <c r="F135" s="16">
        <v>2005</v>
      </c>
      <c r="G135" s="84" t="s">
        <v>1598</v>
      </c>
      <c r="H135" s="16">
        <v>10</v>
      </c>
      <c r="I135" s="16">
        <v>10</v>
      </c>
      <c r="J135" s="86" t="s">
        <v>151</v>
      </c>
      <c r="K135" s="86">
        <v>4</v>
      </c>
      <c r="L135" s="16" t="s">
        <v>1119</v>
      </c>
      <c r="M135" s="16">
        <v>21.9</v>
      </c>
      <c r="N135" s="16">
        <v>4.9000000000000004</v>
      </c>
      <c r="O135" s="16">
        <v>22.1</v>
      </c>
      <c r="P135" s="16">
        <v>6</v>
      </c>
      <c r="Q135" s="16">
        <v>4</v>
      </c>
      <c r="R135" s="16">
        <v>4</v>
      </c>
      <c r="S135" s="88">
        <f t="shared" si="20"/>
        <v>40</v>
      </c>
      <c r="T135" s="88">
        <f t="shared" si="21"/>
        <v>40</v>
      </c>
      <c r="U135" s="86" t="s">
        <v>1688</v>
      </c>
      <c r="V135" s="86" t="s">
        <v>1688</v>
      </c>
      <c r="W135" s="86">
        <v>1</v>
      </c>
      <c r="X135" s="86">
        <f t="shared" si="22"/>
        <v>20</v>
      </c>
      <c r="Y135" t="s">
        <v>483</v>
      </c>
      <c r="Z135" t="s">
        <v>1475</v>
      </c>
      <c r="AA135">
        <f t="shared" si="23"/>
        <v>4</v>
      </c>
      <c r="AB135">
        <v>5</v>
      </c>
      <c r="AC135" t="s">
        <v>1688</v>
      </c>
      <c r="AD135" t="s">
        <v>1688</v>
      </c>
      <c r="AE135" t="s">
        <v>1688</v>
      </c>
      <c r="AF135" t="s">
        <v>1688</v>
      </c>
      <c r="AG135" t="s">
        <v>1688</v>
      </c>
      <c r="AH135" t="s">
        <v>1688</v>
      </c>
      <c r="AI135" t="s">
        <v>1688</v>
      </c>
      <c r="AJ135" t="s">
        <v>1688</v>
      </c>
      <c r="AK135" t="s">
        <v>1688</v>
      </c>
      <c r="AL135" s="158" t="str">
        <f t="shared" si="24"/>
        <v>ns</v>
      </c>
      <c r="AM135" s="136" t="str">
        <f t="shared" si="25"/>
        <v>ns</v>
      </c>
      <c r="AN135" s="136" t="str">
        <f t="shared" si="26"/>
        <v>ns</v>
      </c>
      <c r="AO135" s="136" t="str">
        <f t="shared" si="27"/>
        <v>ns</v>
      </c>
      <c r="AP135" s="136" t="str">
        <f t="shared" si="28"/>
        <v>ns</v>
      </c>
      <c r="AQ135" s="136" t="str">
        <f t="shared" si="29"/>
        <v>ns</v>
      </c>
      <c r="AR135" s="136" t="str">
        <f t="shared" si="30"/>
        <v>ns</v>
      </c>
      <c r="AS135" s="136" t="str">
        <f t="shared" si="31"/>
        <v>ns</v>
      </c>
      <c r="AT135" s="86">
        <v>1.5</v>
      </c>
      <c r="AU135" s="86">
        <f t="shared" si="32"/>
        <v>1</v>
      </c>
      <c r="AV135" s="86" t="str">
        <f t="shared" si="38"/>
        <v/>
      </c>
      <c r="AY135" s="231">
        <f>IF(ISNUMBER(M135),M135,NA())</f>
        <v>21.9</v>
      </c>
      <c r="AZ135" s="231">
        <f t="shared" si="37"/>
        <v>4.9000000000000004</v>
      </c>
      <c r="BA135" s="231">
        <f t="shared" si="34"/>
        <v>22.1</v>
      </c>
      <c r="BB135" s="231">
        <f t="shared" si="35"/>
        <v>6</v>
      </c>
      <c r="BC135" s="231">
        <f t="shared" si="36"/>
        <v>1</v>
      </c>
      <c r="BD135" s="232">
        <f>IF(ISNUMBER(S135),S135,NA())</f>
        <v>40</v>
      </c>
      <c r="BE135" s="232">
        <f>IF(ISNUMBER(T135),T135,NA())</f>
        <v>40</v>
      </c>
      <c r="BP135">
        <v>128</v>
      </c>
    </row>
    <row r="136" spans="1:68">
      <c r="A136">
        <v>129</v>
      </c>
      <c r="B136">
        <v>15738499</v>
      </c>
      <c r="C136" s="215"/>
      <c r="D136" s="9" t="s">
        <v>996</v>
      </c>
      <c r="E136" s="18" t="s">
        <v>934</v>
      </c>
      <c r="F136" s="16">
        <v>2005</v>
      </c>
      <c r="G136" s="84" t="s">
        <v>1599</v>
      </c>
      <c r="H136" s="16">
        <v>51</v>
      </c>
      <c r="I136" s="16">
        <v>20</v>
      </c>
      <c r="J136" s="85" t="s">
        <v>151</v>
      </c>
      <c r="K136" s="85">
        <v>4</v>
      </c>
      <c r="L136" s="16" t="s">
        <v>1119</v>
      </c>
      <c r="M136" s="16">
        <v>53.5</v>
      </c>
      <c r="N136" s="16">
        <v>13.5</v>
      </c>
      <c r="O136" s="16">
        <v>55.8</v>
      </c>
      <c r="P136" s="16">
        <v>10</v>
      </c>
      <c r="Q136" s="16">
        <v>44</v>
      </c>
      <c r="R136" s="16">
        <v>11</v>
      </c>
      <c r="S136" s="88">
        <f t="shared" ref="S136:S199" si="39">IF(OR(Q136="",Q136="ns"),"",100*Q136/H136)</f>
        <v>86.274509803921575</v>
      </c>
      <c r="T136" s="88">
        <f t="shared" ref="T136:T199" si="40">IF(OR(R136="",R136="ns"),"",100*R136/I136)</f>
        <v>55</v>
      </c>
      <c r="U136" s="86">
        <v>38.4</v>
      </c>
      <c r="V136" s="86">
        <v>24.9</v>
      </c>
      <c r="W136" s="86">
        <v>1.5</v>
      </c>
      <c r="X136" s="86">
        <f t="shared" ref="X136:X198" si="41">H136+I136</f>
        <v>71</v>
      </c>
      <c r="Y136" t="s">
        <v>1730</v>
      </c>
      <c r="Z136" s="4" t="s">
        <v>1731</v>
      </c>
      <c r="AA136">
        <f t="shared" ref="AA136:AA198" si="42">LEN(TRIM(Z136))-LEN(SUBSTITUTE(Z136," ",""))+1</f>
        <v>4</v>
      </c>
      <c r="AB136">
        <v>5</v>
      </c>
      <c r="AC136" t="s">
        <v>1688</v>
      </c>
      <c r="AD136" t="s">
        <v>1688</v>
      </c>
      <c r="AE136" t="s">
        <v>1688</v>
      </c>
      <c r="AF136" t="s">
        <v>1688</v>
      </c>
      <c r="AG136" t="s">
        <v>1688</v>
      </c>
      <c r="AH136" t="s">
        <v>1688</v>
      </c>
      <c r="AI136" t="s">
        <v>1688</v>
      </c>
      <c r="AJ136" t="s">
        <v>1688</v>
      </c>
      <c r="AK136" t="s">
        <v>1688</v>
      </c>
      <c r="AL136" s="158" t="str">
        <f t="shared" ref="AL136:AL198" si="43">IF(OR(AC136="ns",AC136=""),(IF(AC136="ns","ns","")),100*(AC136/$H136))</f>
        <v>ns</v>
      </c>
      <c r="AM136" s="136" t="str">
        <f t="shared" ref="AM136:AM198" si="44">IF(OR(AD136="ns",AD136=""),(IF(AD136="ns","ns","")),100*(AD136/$H136))</f>
        <v>ns</v>
      </c>
      <c r="AN136" s="136" t="str">
        <f t="shared" ref="AN136:AN198" si="45">IF(OR(AE136="ns",AE136=""),(IF(AE136="ns","ns","")),100*(AE136/$H136))</f>
        <v>ns</v>
      </c>
      <c r="AO136" s="136" t="str">
        <f t="shared" ref="AO136:AO198" si="46">IF(OR(AF136="ns",AF136=""),(IF(AF136="ns","ns","")),100*(AF136/$H136))</f>
        <v>ns</v>
      </c>
      <c r="AP136" s="136" t="str">
        <f t="shared" ref="AP136:AP198" si="47">IF(OR(AG136="ns",AG136=""),(IF(AG136="ns","ns","")),100*(AG136/$H136))</f>
        <v>ns</v>
      </c>
      <c r="AQ136" s="136" t="str">
        <f t="shared" ref="AQ136:AQ198" si="48">IF(OR(AH136="ns",AH136=""),(IF(AH136="ns","ns","")),100*(AH136/$H136))</f>
        <v>ns</v>
      </c>
      <c r="AR136" s="136" t="str">
        <f t="shared" ref="AR136:AR198" si="49">IF(OR(AI136="ns",AI136=""),(IF(AI136="ns","ns","")),100*(AI136/$H136))</f>
        <v>ns</v>
      </c>
      <c r="AS136" s="136" t="str">
        <f t="shared" ref="AS136:AS198" si="50">IF(OR(AJ136="ns",AJ136=""),(IF(AJ136="ns","ns","")),100*(AJ136/$H136))</f>
        <v>ns</v>
      </c>
      <c r="AT136" s="86">
        <v>1.5</v>
      </c>
      <c r="AU136" s="86">
        <f t="shared" ref="AU136:AU199" si="51">IF(L136="MRI",IF(ISTEXT(W136),"",W136),"")</f>
        <v>1.5</v>
      </c>
      <c r="AV136" s="86" t="str">
        <f t="shared" ref="AV136:AV167" si="52">IF(L136="CT",W136,"")</f>
        <v/>
      </c>
      <c r="AY136" s="231">
        <f>IF(ISNUMBER(M136),M136,NA())</f>
        <v>53.5</v>
      </c>
      <c r="AZ136" s="231">
        <f t="shared" si="37"/>
        <v>13.5</v>
      </c>
      <c r="BA136" s="231">
        <f t="shared" si="34"/>
        <v>55.8</v>
      </c>
      <c r="BB136" s="231">
        <f t="shared" si="35"/>
        <v>10</v>
      </c>
      <c r="BC136" s="231">
        <f t="shared" si="36"/>
        <v>1.5</v>
      </c>
      <c r="BD136" s="232">
        <f>IF(ISNUMBER(S136),S136,NA())</f>
        <v>86.274509803921575</v>
      </c>
      <c r="BE136" s="232">
        <f>IF(ISNUMBER(T136),T136,NA())</f>
        <v>55</v>
      </c>
      <c r="BP136">
        <v>129</v>
      </c>
    </row>
    <row r="137" spans="1:68">
      <c r="A137" s="13">
        <v>130</v>
      </c>
      <c r="B137">
        <v>15780703</v>
      </c>
      <c r="C137" s="215"/>
      <c r="D137" s="17" t="s">
        <v>515</v>
      </c>
      <c r="E137" s="18" t="s">
        <v>935</v>
      </c>
      <c r="F137" s="16">
        <v>2005</v>
      </c>
      <c r="G137" s="84" t="s">
        <v>1722</v>
      </c>
      <c r="H137" s="16">
        <v>47</v>
      </c>
      <c r="I137" s="16">
        <v>21</v>
      </c>
      <c r="J137" s="85" t="s">
        <v>151</v>
      </c>
      <c r="K137" s="85">
        <v>4</v>
      </c>
      <c r="L137" s="16" t="s">
        <v>1119</v>
      </c>
      <c r="M137" s="16">
        <v>52.8</v>
      </c>
      <c r="N137" s="16">
        <v>12.6</v>
      </c>
      <c r="O137" s="16">
        <v>54.7</v>
      </c>
      <c r="P137" s="16">
        <v>9.1</v>
      </c>
      <c r="Q137" s="16">
        <v>30</v>
      </c>
      <c r="R137" s="16">
        <v>13</v>
      </c>
      <c r="S137" s="88">
        <f t="shared" si="39"/>
        <v>63.829787234042556</v>
      </c>
      <c r="T137" s="88">
        <f t="shared" si="40"/>
        <v>61.904761904761905</v>
      </c>
      <c r="U137" s="86">
        <v>38.299999999999997</v>
      </c>
      <c r="V137" s="86">
        <v>27.7</v>
      </c>
      <c r="W137" s="86">
        <v>1.5</v>
      </c>
      <c r="X137" s="86">
        <f t="shared" si="41"/>
        <v>68</v>
      </c>
      <c r="Y137" t="s">
        <v>1546</v>
      </c>
      <c r="Z137" t="s">
        <v>978</v>
      </c>
      <c r="AA137">
        <f t="shared" si="42"/>
        <v>1</v>
      </c>
      <c r="AB137">
        <v>5</v>
      </c>
      <c r="AC137" t="s">
        <v>1688</v>
      </c>
      <c r="AD137" t="s">
        <v>1688</v>
      </c>
      <c r="AE137" t="s">
        <v>1688</v>
      </c>
      <c r="AF137" t="s">
        <v>1688</v>
      </c>
      <c r="AG137" t="s">
        <v>1688</v>
      </c>
      <c r="AH137" t="s">
        <v>1688</v>
      </c>
      <c r="AI137" t="s">
        <v>1688</v>
      </c>
      <c r="AJ137" t="s">
        <v>1688</v>
      </c>
      <c r="AK137" t="s">
        <v>1688</v>
      </c>
      <c r="AL137" s="158" t="str">
        <f t="shared" si="43"/>
        <v>ns</v>
      </c>
      <c r="AM137" s="136" t="str">
        <f t="shared" si="44"/>
        <v>ns</v>
      </c>
      <c r="AN137" s="136" t="str">
        <f t="shared" si="45"/>
        <v>ns</v>
      </c>
      <c r="AO137" s="136" t="str">
        <f t="shared" si="46"/>
        <v>ns</v>
      </c>
      <c r="AP137" s="136" t="str">
        <f t="shared" si="47"/>
        <v>ns</v>
      </c>
      <c r="AQ137" s="136" t="str">
        <f t="shared" si="48"/>
        <v>ns</v>
      </c>
      <c r="AR137" s="136" t="str">
        <f t="shared" si="49"/>
        <v>ns</v>
      </c>
      <c r="AS137" s="136" t="str">
        <f t="shared" si="50"/>
        <v>ns</v>
      </c>
      <c r="AT137" s="86">
        <v>1.5</v>
      </c>
      <c r="AU137" s="86">
        <f t="shared" si="51"/>
        <v>1.5</v>
      </c>
      <c r="AV137" s="86" t="str">
        <f t="shared" si="52"/>
        <v/>
      </c>
      <c r="AY137" s="231">
        <f>IF(ISNUMBER(M137),M137,NA())</f>
        <v>52.8</v>
      </c>
      <c r="AZ137" s="231">
        <f t="shared" si="37"/>
        <v>12.6</v>
      </c>
      <c r="BA137" s="231">
        <f t="shared" ref="BA137:BA200" si="53">IF(ISNUMBER(O137),O137,NA())</f>
        <v>54.7</v>
      </c>
      <c r="BB137" s="231">
        <f t="shared" ref="BB137:BB200" si="54">IF(ISNUMBER(P137),P137,NA())</f>
        <v>9.1</v>
      </c>
      <c r="BC137" s="231">
        <f t="shared" ref="BC137:BC200" si="55">IF(ISNUMBER(W137),W137,NA())</f>
        <v>1.5</v>
      </c>
      <c r="BD137" s="232">
        <f>IF(ISNUMBER(S137),S137,NA())</f>
        <v>63.829787234042556</v>
      </c>
      <c r="BE137" s="232">
        <f>IF(ISNUMBER(T137),T137,NA())</f>
        <v>61.904761904761905</v>
      </c>
      <c r="BP137">
        <v>130</v>
      </c>
    </row>
    <row r="138" spans="1:68">
      <c r="A138">
        <v>131</v>
      </c>
      <c r="B138">
        <v>16298109</v>
      </c>
      <c r="C138" s="215"/>
      <c r="D138" s="9" t="s">
        <v>1425</v>
      </c>
      <c r="E138" s="18" t="s">
        <v>1097</v>
      </c>
      <c r="F138" s="16">
        <v>2005</v>
      </c>
      <c r="G138" s="84" t="s">
        <v>1588</v>
      </c>
      <c r="H138" s="16">
        <v>50</v>
      </c>
      <c r="I138" s="16">
        <v>35</v>
      </c>
      <c r="J138" s="85" t="s">
        <v>151</v>
      </c>
      <c r="K138" s="85">
        <v>4</v>
      </c>
      <c r="L138" s="16" t="s">
        <v>1119</v>
      </c>
      <c r="M138" s="16">
        <v>40.6</v>
      </c>
      <c r="N138" s="16">
        <v>10.3</v>
      </c>
      <c r="O138" s="16">
        <v>39.200000000000003</v>
      </c>
      <c r="P138" s="16">
        <v>9.8000000000000007</v>
      </c>
      <c r="Q138" s="16">
        <v>17</v>
      </c>
      <c r="R138" s="16">
        <v>14</v>
      </c>
      <c r="S138" s="88">
        <f t="shared" si="39"/>
        <v>34</v>
      </c>
      <c r="T138" s="88">
        <f t="shared" si="40"/>
        <v>40</v>
      </c>
      <c r="U138" s="86">
        <v>27.8</v>
      </c>
      <c r="V138" s="86">
        <v>19.899999999999999</v>
      </c>
      <c r="W138" s="86">
        <v>5</v>
      </c>
      <c r="X138" s="86">
        <f t="shared" si="41"/>
        <v>85</v>
      </c>
      <c r="Y138" t="s">
        <v>1185</v>
      </c>
      <c r="Z138" t="s">
        <v>978</v>
      </c>
      <c r="AA138">
        <f t="shared" si="42"/>
        <v>1</v>
      </c>
      <c r="AB138">
        <v>5</v>
      </c>
      <c r="AC138" t="s">
        <v>1688</v>
      </c>
      <c r="AD138" t="s">
        <v>1688</v>
      </c>
      <c r="AE138" t="s">
        <v>1688</v>
      </c>
      <c r="AF138" t="s">
        <v>1688</v>
      </c>
      <c r="AG138" t="s">
        <v>1688</v>
      </c>
      <c r="AH138" t="s">
        <v>1688</v>
      </c>
      <c r="AI138" t="s">
        <v>1688</v>
      </c>
      <c r="AJ138">
        <v>50</v>
      </c>
      <c r="AK138" t="s">
        <v>1688</v>
      </c>
      <c r="AL138" s="158" t="str">
        <f t="shared" si="43"/>
        <v>ns</v>
      </c>
      <c r="AM138" s="136" t="str">
        <f t="shared" si="44"/>
        <v>ns</v>
      </c>
      <c r="AN138" s="136" t="str">
        <f t="shared" si="45"/>
        <v>ns</v>
      </c>
      <c r="AO138" s="136" t="str">
        <f t="shared" si="46"/>
        <v>ns</v>
      </c>
      <c r="AP138" s="136" t="str">
        <f t="shared" si="47"/>
        <v>ns</v>
      </c>
      <c r="AQ138" s="136" t="str">
        <f t="shared" si="48"/>
        <v>ns</v>
      </c>
      <c r="AR138" s="136" t="str">
        <f t="shared" si="49"/>
        <v>ns</v>
      </c>
      <c r="AS138" s="136">
        <f t="shared" si="50"/>
        <v>100</v>
      </c>
      <c r="AT138" s="86">
        <v>1.5</v>
      </c>
      <c r="AU138" s="86">
        <f t="shared" si="51"/>
        <v>5</v>
      </c>
      <c r="AV138" s="86" t="str">
        <f t="shared" si="52"/>
        <v/>
      </c>
      <c r="AY138" s="231">
        <f>IF(ISNUMBER(M138),M138,NA())</f>
        <v>40.6</v>
      </c>
      <c r="AZ138" s="231">
        <f t="shared" si="37"/>
        <v>10.3</v>
      </c>
      <c r="BA138" s="231">
        <f t="shared" si="53"/>
        <v>39.200000000000003</v>
      </c>
      <c r="BB138" s="231">
        <f t="shared" si="54"/>
        <v>9.8000000000000007</v>
      </c>
      <c r="BC138" s="231">
        <f t="shared" si="55"/>
        <v>5</v>
      </c>
      <c r="BD138" s="232">
        <f>IF(ISNUMBER(S138),S138,NA())</f>
        <v>34</v>
      </c>
      <c r="BE138" s="232">
        <f>IF(ISNUMBER(T138),T138,NA())</f>
        <v>40</v>
      </c>
      <c r="BP138">
        <v>131</v>
      </c>
    </row>
    <row r="139" spans="1:68">
      <c r="A139" s="13">
        <v>132</v>
      </c>
      <c r="B139">
        <v>15804385</v>
      </c>
      <c r="C139" s="215"/>
      <c r="D139" s="9" t="s">
        <v>854</v>
      </c>
      <c r="E139" s="18" t="s">
        <v>539</v>
      </c>
      <c r="F139" s="16">
        <v>2005</v>
      </c>
      <c r="G139" s="84" t="s">
        <v>1339</v>
      </c>
      <c r="H139" s="16">
        <v>22</v>
      </c>
      <c r="I139" s="16">
        <v>39</v>
      </c>
      <c r="J139" s="85" t="s">
        <v>151</v>
      </c>
      <c r="K139" s="85">
        <v>4</v>
      </c>
      <c r="L139" s="16" t="s">
        <v>1119</v>
      </c>
      <c r="M139" s="16">
        <v>41.4</v>
      </c>
      <c r="N139" s="16">
        <v>11.1</v>
      </c>
      <c r="O139" s="16">
        <v>35.799999999999997</v>
      </c>
      <c r="P139" s="16">
        <v>10.5</v>
      </c>
      <c r="Q139" s="16">
        <v>19</v>
      </c>
      <c r="R139" s="16">
        <v>15</v>
      </c>
      <c r="S139" s="88">
        <f t="shared" si="39"/>
        <v>86.36363636363636</v>
      </c>
      <c r="T139" s="88">
        <f t="shared" si="40"/>
        <v>38.46153846153846</v>
      </c>
      <c r="U139" s="86" t="s">
        <v>1688</v>
      </c>
      <c r="V139" s="86" t="s">
        <v>1688</v>
      </c>
      <c r="W139" s="86">
        <v>3</v>
      </c>
      <c r="X139" s="86">
        <f t="shared" si="41"/>
        <v>61</v>
      </c>
      <c r="Y139" s="19" t="s">
        <v>1124</v>
      </c>
      <c r="Z139" t="s">
        <v>1106</v>
      </c>
      <c r="AA139">
        <f t="shared" si="42"/>
        <v>14</v>
      </c>
      <c r="AB139">
        <v>5</v>
      </c>
      <c r="AC139">
        <v>0</v>
      </c>
      <c r="AD139">
        <v>0</v>
      </c>
      <c r="AE139">
        <v>0</v>
      </c>
      <c r="AF139">
        <v>0</v>
      </c>
      <c r="AG139">
        <v>0</v>
      </c>
      <c r="AH139">
        <v>0</v>
      </c>
      <c r="AI139">
        <v>0</v>
      </c>
      <c r="AJ139">
        <v>22</v>
      </c>
      <c r="AK139">
        <v>0</v>
      </c>
      <c r="AL139" s="158">
        <f t="shared" si="43"/>
        <v>0</v>
      </c>
      <c r="AM139" s="136">
        <f t="shared" si="44"/>
        <v>0</v>
      </c>
      <c r="AN139" s="136">
        <f t="shared" si="45"/>
        <v>0</v>
      </c>
      <c r="AO139" s="136">
        <f t="shared" si="46"/>
        <v>0</v>
      </c>
      <c r="AP139" s="136">
        <f t="shared" si="47"/>
        <v>0</v>
      </c>
      <c r="AQ139" s="136">
        <f t="shared" si="48"/>
        <v>0</v>
      </c>
      <c r="AR139" s="136">
        <f t="shared" si="49"/>
        <v>0</v>
      </c>
      <c r="AS139" s="136">
        <f t="shared" si="50"/>
        <v>100</v>
      </c>
      <c r="AT139" s="86">
        <v>1.5</v>
      </c>
      <c r="AU139" s="86">
        <f t="shared" si="51"/>
        <v>3</v>
      </c>
      <c r="AV139" s="86" t="str">
        <f t="shared" si="52"/>
        <v/>
      </c>
      <c r="AY139" s="231">
        <f>IF(ISNUMBER(M139),M139,NA())</f>
        <v>41.4</v>
      </c>
      <c r="AZ139" s="231">
        <f t="shared" si="37"/>
        <v>11.1</v>
      </c>
      <c r="BA139" s="231">
        <f t="shared" si="53"/>
        <v>35.799999999999997</v>
      </c>
      <c r="BB139" s="231">
        <f t="shared" si="54"/>
        <v>10.5</v>
      </c>
      <c r="BC139" s="231">
        <f t="shared" si="55"/>
        <v>3</v>
      </c>
      <c r="BD139" s="232">
        <f>IF(ISNUMBER(S139),S139,NA())</f>
        <v>86.36363636363636</v>
      </c>
      <c r="BE139" s="232">
        <f>IF(ISNUMBER(T139),T139,NA())</f>
        <v>38.46153846153846</v>
      </c>
      <c r="BP139">
        <v>132</v>
      </c>
    </row>
    <row r="140" spans="1:68">
      <c r="A140">
        <v>133</v>
      </c>
      <c r="B140">
        <v>16086609</v>
      </c>
      <c r="C140" s="215"/>
      <c r="D140" s="9" t="s">
        <v>1351</v>
      </c>
      <c r="E140" s="18" t="s">
        <v>538</v>
      </c>
      <c r="F140" s="16">
        <v>2005</v>
      </c>
      <c r="G140" s="84" t="s">
        <v>1228</v>
      </c>
      <c r="H140" s="16">
        <v>41</v>
      </c>
      <c r="I140" s="16">
        <v>41</v>
      </c>
      <c r="J140" s="85" t="s">
        <v>151</v>
      </c>
      <c r="K140" s="85">
        <v>4</v>
      </c>
      <c r="L140" s="16" t="s">
        <v>1119</v>
      </c>
      <c r="M140" s="16">
        <v>70.5</v>
      </c>
      <c r="N140" s="16">
        <v>7.6</v>
      </c>
      <c r="O140" s="16">
        <v>72.2</v>
      </c>
      <c r="P140" s="16">
        <v>7.3</v>
      </c>
      <c r="Q140" s="16">
        <v>32</v>
      </c>
      <c r="R140" s="16">
        <v>20</v>
      </c>
      <c r="S140" s="88">
        <f t="shared" si="39"/>
        <v>78.048780487804876</v>
      </c>
      <c r="T140" s="88">
        <f t="shared" si="40"/>
        <v>48.780487804878049</v>
      </c>
      <c r="U140" s="85" t="s">
        <v>15</v>
      </c>
      <c r="V140" s="85">
        <v>17.7</v>
      </c>
      <c r="W140" s="85">
        <v>1.4</v>
      </c>
      <c r="X140" s="86">
        <f t="shared" si="41"/>
        <v>82</v>
      </c>
      <c r="Y140" s="19" t="s">
        <v>672</v>
      </c>
      <c r="Z140" t="s">
        <v>1107</v>
      </c>
      <c r="AA140">
        <f t="shared" si="42"/>
        <v>13</v>
      </c>
      <c r="AB140">
        <v>5</v>
      </c>
      <c r="AC140">
        <v>0</v>
      </c>
      <c r="AD140">
        <v>0</v>
      </c>
      <c r="AE140">
        <v>0</v>
      </c>
      <c r="AF140">
        <v>0</v>
      </c>
      <c r="AG140">
        <v>0</v>
      </c>
      <c r="AH140">
        <v>0</v>
      </c>
      <c r="AI140">
        <v>0</v>
      </c>
      <c r="AJ140">
        <v>41</v>
      </c>
      <c r="AK140">
        <v>0</v>
      </c>
      <c r="AL140" s="158">
        <f t="shared" si="43"/>
        <v>0</v>
      </c>
      <c r="AM140" s="136">
        <f t="shared" si="44"/>
        <v>0</v>
      </c>
      <c r="AN140" s="136">
        <f t="shared" si="45"/>
        <v>0</v>
      </c>
      <c r="AO140" s="136">
        <f t="shared" si="46"/>
        <v>0</v>
      </c>
      <c r="AP140" s="136">
        <f t="shared" si="47"/>
        <v>0</v>
      </c>
      <c r="AQ140" s="136">
        <f t="shared" si="48"/>
        <v>0</v>
      </c>
      <c r="AR140" s="136">
        <f t="shared" si="49"/>
        <v>0</v>
      </c>
      <c r="AS140" s="136">
        <f t="shared" si="50"/>
        <v>100</v>
      </c>
      <c r="AT140" s="85">
        <v>1.5</v>
      </c>
      <c r="AU140" s="86">
        <f t="shared" si="51"/>
        <v>1.4</v>
      </c>
      <c r="AV140" s="86" t="str">
        <f t="shared" si="52"/>
        <v/>
      </c>
      <c r="AY140" s="231">
        <f>IF(ISNUMBER(M140),M140,NA())</f>
        <v>70.5</v>
      </c>
      <c r="AZ140" s="231">
        <f t="shared" si="37"/>
        <v>7.6</v>
      </c>
      <c r="BA140" s="231">
        <f t="shared" si="53"/>
        <v>72.2</v>
      </c>
      <c r="BB140" s="231">
        <f t="shared" si="54"/>
        <v>7.3</v>
      </c>
      <c r="BC140" s="231">
        <f t="shared" si="55"/>
        <v>1.4</v>
      </c>
      <c r="BD140" s="232">
        <f>IF(ISNUMBER(S140),S140,NA())</f>
        <v>78.048780487804876</v>
      </c>
      <c r="BE140" s="232">
        <f>IF(ISNUMBER(T140),T140,NA())</f>
        <v>48.780487804878049</v>
      </c>
      <c r="BP140">
        <v>133</v>
      </c>
    </row>
    <row r="141" spans="1:68">
      <c r="A141" s="13">
        <v>134</v>
      </c>
      <c r="B141">
        <v>16248124</v>
      </c>
      <c r="C141" s="215"/>
      <c r="D141" s="9" t="s">
        <v>901</v>
      </c>
      <c r="E141" s="18" t="s">
        <v>959</v>
      </c>
      <c r="F141" s="16">
        <v>2005</v>
      </c>
      <c r="G141" s="84" t="s">
        <v>945</v>
      </c>
      <c r="H141" s="16">
        <v>37</v>
      </c>
      <c r="I141" s="16">
        <v>18</v>
      </c>
      <c r="J141" s="85" t="s">
        <v>151</v>
      </c>
      <c r="K141" s="85">
        <v>4</v>
      </c>
      <c r="L141" s="16" t="s">
        <v>1119</v>
      </c>
      <c r="M141" s="16">
        <v>72.2</v>
      </c>
      <c r="N141" s="16">
        <v>3.6</v>
      </c>
      <c r="O141" s="16">
        <v>70.2</v>
      </c>
      <c r="P141" s="16">
        <v>4.7</v>
      </c>
      <c r="Q141" s="16">
        <v>23</v>
      </c>
      <c r="R141" s="16">
        <v>12</v>
      </c>
      <c r="S141" s="88">
        <f t="shared" si="39"/>
        <v>62.162162162162161</v>
      </c>
      <c r="T141" s="88">
        <f t="shared" si="40"/>
        <v>66.666666666666671</v>
      </c>
      <c r="U141" s="86">
        <v>63.7</v>
      </c>
      <c r="V141" s="86">
        <v>21.9</v>
      </c>
      <c r="W141" s="86">
        <v>5</v>
      </c>
      <c r="X141" s="86">
        <f t="shared" si="41"/>
        <v>55</v>
      </c>
      <c r="Y141" t="s">
        <v>1579</v>
      </c>
      <c r="Z141" t="s">
        <v>1398</v>
      </c>
      <c r="AA141">
        <f t="shared" si="42"/>
        <v>4</v>
      </c>
      <c r="AB141">
        <v>5</v>
      </c>
      <c r="AC141" t="s">
        <v>1688</v>
      </c>
      <c r="AD141" t="s">
        <v>1688</v>
      </c>
      <c r="AE141" t="s">
        <v>1688</v>
      </c>
      <c r="AF141" t="s">
        <v>1688</v>
      </c>
      <c r="AG141" t="s">
        <v>1688</v>
      </c>
      <c r="AH141" t="s">
        <v>1688</v>
      </c>
      <c r="AI141" t="s">
        <v>1688</v>
      </c>
      <c r="AJ141" t="s">
        <v>1688</v>
      </c>
      <c r="AK141" t="s">
        <v>1688</v>
      </c>
      <c r="AL141" s="158" t="str">
        <f t="shared" si="43"/>
        <v>ns</v>
      </c>
      <c r="AM141" s="136" t="str">
        <f t="shared" si="44"/>
        <v>ns</v>
      </c>
      <c r="AN141" s="136" t="str">
        <f t="shared" si="45"/>
        <v>ns</v>
      </c>
      <c r="AO141" s="136" t="str">
        <f t="shared" si="46"/>
        <v>ns</v>
      </c>
      <c r="AP141" s="136" t="str">
        <f t="shared" si="47"/>
        <v>ns</v>
      </c>
      <c r="AQ141" s="136" t="str">
        <f t="shared" si="48"/>
        <v>ns</v>
      </c>
      <c r="AR141" s="136" t="str">
        <f t="shared" si="49"/>
        <v>ns</v>
      </c>
      <c r="AS141" s="136" t="str">
        <f t="shared" si="50"/>
        <v>ns</v>
      </c>
      <c r="AT141" s="86">
        <v>3</v>
      </c>
      <c r="AU141" s="86">
        <f t="shared" si="51"/>
        <v>5</v>
      </c>
      <c r="AV141" s="86" t="str">
        <f t="shared" si="52"/>
        <v/>
      </c>
      <c r="AY141" s="231">
        <f>IF(ISNUMBER(M141),M141,NA())</f>
        <v>72.2</v>
      </c>
      <c r="AZ141" s="231">
        <f t="shared" si="37"/>
        <v>3.6</v>
      </c>
      <c r="BA141" s="231">
        <f t="shared" si="53"/>
        <v>70.2</v>
      </c>
      <c r="BB141" s="231">
        <f t="shared" si="54"/>
        <v>4.7</v>
      </c>
      <c r="BC141" s="231">
        <f t="shared" si="55"/>
        <v>5</v>
      </c>
      <c r="BD141" s="232">
        <f>IF(ISNUMBER(S141),S141,NA())</f>
        <v>62.162162162162161</v>
      </c>
      <c r="BE141" s="232">
        <f>IF(ISNUMBER(T141),T141,NA())</f>
        <v>66.666666666666671</v>
      </c>
      <c r="BP141">
        <v>134</v>
      </c>
    </row>
    <row r="142" spans="1:68">
      <c r="A142">
        <v>135</v>
      </c>
      <c r="B142">
        <v>15589560</v>
      </c>
      <c r="C142" s="215"/>
      <c r="D142" s="1" t="s">
        <v>474</v>
      </c>
      <c r="E142" t="s">
        <v>1492</v>
      </c>
      <c r="F142">
        <v>2005</v>
      </c>
      <c r="G142" s="1" t="s">
        <v>946</v>
      </c>
      <c r="H142">
        <v>27</v>
      </c>
      <c r="I142">
        <v>30</v>
      </c>
      <c r="J142" s="13" t="s">
        <v>151</v>
      </c>
      <c r="K142" s="13">
        <v>4</v>
      </c>
      <c r="L142" t="s">
        <v>1119</v>
      </c>
      <c r="M142">
        <v>53.43</v>
      </c>
      <c r="N142">
        <v>10.84</v>
      </c>
      <c r="O142">
        <v>52.69</v>
      </c>
      <c r="P142">
        <v>8.9700000000000006</v>
      </c>
      <c r="Q142">
        <v>19</v>
      </c>
      <c r="R142">
        <v>18</v>
      </c>
      <c r="S142" s="88">
        <f t="shared" si="39"/>
        <v>70.370370370370367</v>
      </c>
      <c r="T142" s="88">
        <f t="shared" si="40"/>
        <v>60</v>
      </c>
      <c r="U142" s="86">
        <v>37.049999999999997</v>
      </c>
      <c r="V142" s="86">
        <v>24.95</v>
      </c>
      <c r="W142" s="86">
        <v>7</v>
      </c>
      <c r="X142" s="86">
        <f t="shared" si="41"/>
        <v>57</v>
      </c>
      <c r="Y142" t="s">
        <v>942</v>
      </c>
      <c r="Z142" t="s">
        <v>978</v>
      </c>
      <c r="AA142">
        <f t="shared" si="42"/>
        <v>1</v>
      </c>
      <c r="AB142">
        <v>5</v>
      </c>
      <c r="AC142" t="s">
        <v>1688</v>
      </c>
      <c r="AD142" t="s">
        <v>1688</v>
      </c>
      <c r="AE142" t="s">
        <v>1688</v>
      </c>
      <c r="AF142" t="s">
        <v>1688</v>
      </c>
      <c r="AG142" t="s">
        <v>1688</v>
      </c>
      <c r="AH142" t="s">
        <v>1688</v>
      </c>
      <c r="AI142" t="s">
        <v>1688</v>
      </c>
      <c r="AJ142" t="s">
        <v>1688</v>
      </c>
      <c r="AK142" t="s">
        <v>1688</v>
      </c>
      <c r="AL142" s="158" t="str">
        <f t="shared" si="43"/>
        <v>ns</v>
      </c>
      <c r="AM142" s="136" t="str">
        <f t="shared" si="44"/>
        <v>ns</v>
      </c>
      <c r="AN142" s="136" t="str">
        <f t="shared" si="45"/>
        <v>ns</v>
      </c>
      <c r="AO142" s="136" t="str">
        <f t="shared" si="46"/>
        <v>ns</v>
      </c>
      <c r="AP142" s="136" t="str">
        <f t="shared" si="47"/>
        <v>ns</v>
      </c>
      <c r="AQ142" s="136" t="str">
        <f t="shared" si="48"/>
        <v>ns</v>
      </c>
      <c r="AR142" s="136" t="str">
        <f t="shared" si="49"/>
        <v>ns</v>
      </c>
      <c r="AS142" s="136" t="str">
        <f t="shared" si="50"/>
        <v>ns</v>
      </c>
      <c r="AT142" s="86">
        <v>1.5</v>
      </c>
      <c r="AU142" s="86">
        <f t="shared" si="51"/>
        <v>7</v>
      </c>
      <c r="AV142" s="86" t="str">
        <f t="shared" si="52"/>
        <v/>
      </c>
      <c r="AY142" s="231">
        <f>IF(ISNUMBER(M142),M142,NA())</f>
        <v>53.43</v>
      </c>
      <c r="AZ142" s="231">
        <f t="shared" si="37"/>
        <v>10.84</v>
      </c>
      <c r="BA142" s="231">
        <f t="shared" si="53"/>
        <v>52.69</v>
      </c>
      <c r="BB142" s="231">
        <f t="shared" si="54"/>
        <v>8.9700000000000006</v>
      </c>
      <c r="BC142" s="231">
        <f t="shared" si="55"/>
        <v>7</v>
      </c>
      <c r="BD142" s="232">
        <f>IF(ISNUMBER(S142),S142,NA())</f>
        <v>70.370370370370367</v>
      </c>
      <c r="BE142" s="232">
        <f>IF(ISNUMBER(T142),T142,NA())</f>
        <v>60</v>
      </c>
      <c r="BP142">
        <v>135</v>
      </c>
    </row>
    <row r="143" spans="1:68">
      <c r="A143" s="13">
        <v>136</v>
      </c>
      <c r="B143">
        <v>15820716</v>
      </c>
      <c r="C143" s="215"/>
      <c r="D143" s="9" t="s">
        <v>1701</v>
      </c>
      <c r="E143" s="18" t="s">
        <v>1147</v>
      </c>
      <c r="F143" s="16">
        <v>2005</v>
      </c>
      <c r="G143" s="84" t="s">
        <v>947</v>
      </c>
      <c r="H143" s="16">
        <v>31</v>
      </c>
      <c r="I143" s="16">
        <v>57</v>
      </c>
      <c r="J143" s="85" t="s">
        <v>151</v>
      </c>
      <c r="K143" s="85">
        <v>4</v>
      </c>
      <c r="L143" s="16" t="s">
        <v>1119</v>
      </c>
      <c r="M143" s="16">
        <v>40.1</v>
      </c>
      <c r="N143" s="16">
        <v>13.1</v>
      </c>
      <c r="O143" s="16">
        <v>38</v>
      </c>
      <c r="P143" s="16">
        <v>10.9</v>
      </c>
      <c r="Q143" s="16">
        <v>23</v>
      </c>
      <c r="R143" s="16">
        <v>36</v>
      </c>
      <c r="S143" s="88">
        <f t="shared" si="39"/>
        <v>74.193548387096769</v>
      </c>
      <c r="T143" s="88">
        <f t="shared" si="40"/>
        <v>63.157894736842103</v>
      </c>
      <c r="U143" s="86">
        <v>24.6</v>
      </c>
      <c r="V143" s="86">
        <v>1.3</v>
      </c>
      <c r="W143" s="86">
        <v>0.6</v>
      </c>
      <c r="X143" s="86">
        <f t="shared" si="41"/>
        <v>88</v>
      </c>
      <c r="Y143" t="s">
        <v>998</v>
      </c>
      <c r="Z143" s="4" t="s">
        <v>999</v>
      </c>
      <c r="AA143">
        <f t="shared" si="42"/>
        <v>7</v>
      </c>
      <c r="AB143">
        <v>5</v>
      </c>
      <c r="AC143">
        <v>0</v>
      </c>
      <c r="AD143">
        <v>0</v>
      </c>
      <c r="AE143">
        <v>0</v>
      </c>
      <c r="AF143">
        <v>0</v>
      </c>
      <c r="AG143">
        <v>0</v>
      </c>
      <c r="AH143" t="s">
        <v>1688</v>
      </c>
      <c r="AI143" t="s">
        <v>1688</v>
      </c>
      <c r="AJ143">
        <v>8</v>
      </c>
      <c r="AK143" t="s">
        <v>1688</v>
      </c>
      <c r="AL143" s="158">
        <f t="shared" si="43"/>
        <v>0</v>
      </c>
      <c r="AM143" s="136">
        <f t="shared" si="44"/>
        <v>0</v>
      </c>
      <c r="AN143" s="136">
        <f t="shared" si="45"/>
        <v>0</v>
      </c>
      <c r="AO143" s="136">
        <f t="shared" si="46"/>
        <v>0</v>
      </c>
      <c r="AP143" s="136">
        <f t="shared" si="47"/>
        <v>0</v>
      </c>
      <c r="AQ143" s="136" t="str">
        <f t="shared" si="48"/>
        <v>ns</v>
      </c>
      <c r="AR143" s="136" t="str">
        <f t="shared" si="49"/>
        <v>ns</v>
      </c>
      <c r="AS143" s="136">
        <f t="shared" si="50"/>
        <v>25.806451612903224</v>
      </c>
      <c r="AT143" s="86">
        <v>3</v>
      </c>
      <c r="AU143" s="86">
        <f t="shared" si="51"/>
        <v>0.6</v>
      </c>
      <c r="AV143" s="86" t="str">
        <f t="shared" si="52"/>
        <v/>
      </c>
      <c r="AY143" s="231">
        <f>IF(ISNUMBER(M143),M143,NA())</f>
        <v>40.1</v>
      </c>
      <c r="AZ143" s="231">
        <f t="shared" si="37"/>
        <v>13.1</v>
      </c>
      <c r="BA143" s="231">
        <f t="shared" si="53"/>
        <v>38</v>
      </c>
      <c r="BB143" s="231">
        <f t="shared" si="54"/>
        <v>10.9</v>
      </c>
      <c r="BC143" s="231">
        <f t="shared" si="55"/>
        <v>0.6</v>
      </c>
      <c r="BD143" s="232">
        <f>IF(ISNUMBER(S143),S143,NA())</f>
        <v>74.193548387096769</v>
      </c>
      <c r="BE143" s="232">
        <f>IF(ISNUMBER(T143),T143,NA())</f>
        <v>63.157894736842103</v>
      </c>
      <c r="BP143">
        <v>136</v>
      </c>
    </row>
    <row r="144" spans="1:68">
      <c r="A144">
        <v>137</v>
      </c>
      <c r="B144">
        <v>15956995</v>
      </c>
      <c r="C144" s="215"/>
      <c r="D144" s="17" t="s">
        <v>451</v>
      </c>
      <c r="E144" t="s">
        <v>525</v>
      </c>
      <c r="F144">
        <v>2005</v>
      </c>
      <c r="G144" s="1" t="s">
        <v>526</v>
      </c>
      <c r="H144" s="16">
        <v>13</v>
      </c>
      <c r="I144" s="136">
        <v>78</v>
      </c>
      <c r="J144" s="86" t="s">
        <v>54</v>
      </c>
      <c r="K144" s="86"/>
      <c r="L144" s="16" t="s">
        <v>1119</v>
      </c>
      <c r="M144" s="16" t="s">
        <v>1688</v>
      </c>
      <c r="N144" s="16" t="s">
        <v>1688</v>
      </c>
      <c r="O144" s="16">
        <v>28</v>
      </c>
      <c r="P144" s="16">
        <v>8</v>
      </c>
      <c r="Q144" s="16" t="s">
        <v>1688</v>
      </c>
      <c r="R144" s="16">
        <v>32</v>
      </c>
      <c r="S144" s="88" t="str">
        <f t="shared" si="39"/>
        <v/>
      </c>
      <c r="T144" s="88">
        <f t="shared" si="40"/>
        <v>41.025641025641029</v>
      </c>
      <c r="U144" s="86" t="s">
        <v>1688</v>
      </c>
      <c r="V144" s="86" t="s">
        <v>1688</v>
      </c>
      <c r="W144" s="86">
        <v>1.5</v>
      </c>
      <c r="X144" s="86">
        <f t="shared" si="41"/>
        <v>91</v>
      </c>
      <c r="Y144" t="s">
        <v>385</v>
      </c>
      <c r="Z144" s="4" t="s">
        <v>1315</v>
      </c>
      <c r="AA144">
        <f t="shared" si="42"/>
        <v>1</v>
      </c>
      <c r="AB144">
        <v>6</v>
      </c>
      <c r="AC144" t="s">
        <v>1688</v>
      </c>
      <c r="AD144" t="s">
        <v>1688</v>
      </c>
      <c r="AE144" t="s">
        <v>1688</v>
      </c>
      <c r="AF144" t="s">
        <v>1688</v>
      </c>
      <c r="AG144" t="s">
        <v>1688</v>
      </c>
      <c r="AH144" t="s">
        <v>1688</v>
      </c>
      <c r="AI144" t="s">
        <v>1688</v>
      </c>
      <c r="AJ144" t="s">
        <v>1688</v>
      </c>
      <c r="AK144" t="s">
        <v>1688</v>
      </c>
      <c r="AL144" s="158" t="str">
        <f t="shared" si="43"/>
        <v>ns</v>
      </c>
      <c r="AM144" s="136" t="str">
        <f t="shared" si="44"/>
        <v>ns</v>
      </c>
      <c r="AN144" s="136" t="str">
        <f t="shared" si="45"/>
        <v>ns</v>
      </c>
      <c r="AO144" s="136" t="str">
        <f t="shared" si="46"/>
        <v>ns</v>
      </c>
      <c r="AP144" s="136" t="str">
        <f t="shared" si="47"/>
        <v>ns</v>
      </c>
      <c r="AQ144" s="136" t="str">
        <f t="shared" si="48"/>
        <v>ns</v>
      </c>
      <c r="AR144" s="136" t="str">
        <f t="shared" si="49"/>
        <v>ns</v>
      </c>
      <c r="AS144" s="136" t="str">
        <f t="shared" si="50"/>
        <v>ns</v>
      </c>
      <c r="AT144" s="86">
        <v>1.5</v>
      </c>
      <c r="AU144" s="86">
        <f t="shared" si="51"/>
        <v>1.5</v>
      </c>
      <c r="AV144" s="86" t="str">
        <f t="shared" si="52"/>
        <v/>
      </c>
      <c r="AY144" s="231" t="e">
        <f>IF(ISNUMBER(M144),M144,NA())</f>
        <v>#N/A</v>
      </c>
      <c r="AZ144" s="231" t="e">
        <f t="shared" si="37"/>
        <v>#N/A</v>
      </c>
      <c r="BA144" s="231">
        <f t="shared" si="53"/>
        <v>28</v>
      </c>
      <c r="BB144" s="231">
        <f t="shared" si="54"/>
        <v>8</v>
      </c>
      <c r="BC144" s="231">
        <f t="shared" si="55"/>
        <v>1.5</v>
      </c>
      <c r="BD144" s="232" t="e">
        <f>IF(ISNUMBER(S144),S144,NA())</f>
        <v>#N/A</v>
      </c>
      <c r="BE144" s="232">
        <f>IF(ISNUMBER(T144),T144,NA())</f>
        <v>41.025641025641029</v>
      </c>
      <c r="BP144">
        <v>137</v>
      </c>
    </row>
    <row r="145" spans="1:68">
      <c r="A145" s="13">
        <v>138</v>
      </c>
      <c r="B145">
        <v>15607296</v>
      </c>
      <c r="C145" s="215"/>
      <c r="D145" s="9" t="s">
        <v>1359</v>
      </c>
      <c r="E145" s="18" t="s">
        <v>958</v>
      </c>
      <c r="F145" s="16">
        <v>2005</v>
      </c>
      <c r="G145" s="84" t="s">
        <v>948</v>
      </c>
      <c r="H145" s="16">
        <v>20</v>
      </c>
      <c r="I145" s="16">
        <v>24</v>
      </c>
      <c r="J145" s="85" t="s">
        <v>151</v>
      </c>
      <c r="K145" s="85">
        <v>4</v>
      </c>
      <c r="L145" s="16" t="s">
        <v>1119</v>
      </c>
      <c r="M145" s="16">
        <v>15.35</v>
      </c>
      <c r="N145" s="16">
        <v>1.5209999999999999</v>
      </c>
      <c r="O145" s="16">
        <v>14.08</v>
      </c>
      <c r="P145" s="16">
        <v>1.5189999999999999</v>
      </c>
      <c r="Q145" s="16">
        <v>17</v>
      </c>
      <c r="R145" s="16">
        <v>16</v>
      </c>
      <c r="S145" s="88">
        <f t="shared" si="39"/>
        <v>85</v>
      </c>
      <c r="T145" s="88">
        <f t="shared" si="40"/>
        <v>66.666666666666671</v>
      </c>
      <c r="U145" s="86">
        <v>12.8</v>
      </c>
      <c r="V145" s="86">
        <v>16.55</v>
      </c>
      <c r="W145" s="86">
        <v>1.5</v>
      </c>
      <c r="X145" s="86">
        <f t="shared" si="41"/>
        <v>44</v>
      </c>
      <c r="Y145" t="s">
        <v>796</v>
      </c>
      <c r="Z145" t="s">
        <v>1101</v>
      </c>
      <c r="AA145">
        <f t="shared" si="42"/>
        <v>7</v>
      </c>
      <c r="AB145">
        <v>5</v>
      </c>
      <c r="AC145">
        <v>0</v>
      </c>
      <c r="AD145">
        <v>0</v>
      </c>
      <c r="AE145">
        <v>0</v>
      </c>
      <c r="AF145">
        <v>0</v>
      </c>
      <c r="AG145">
        <v>0</v>
      </c>
      <c r="AH145">
        <v>0</v>
      </c>
      <c r="AI145">
        <v>0</v>
      </c>
      <c r="AJ145">
        <v>20</v>
      </c>
      <c r="AK145">
        <v>0</v>
      </c>
      <c r="AL145" s="158">
        <f t="shared" si="43"/>
        <v>0</v>
      </c>
      <c r="AM145" s="136">
        <f t="shared" si="44"/>
        <v>0</v>
      </c>
      <c r="AN145" s="136">
        <f t="shared" si="45"/>
        <v>0</v>
      </c>
      <c r="AO145" s="136">
        <f t="shared" si="46"/>
        <v>0</v>
      </c>
      <c r="AP145" s="136">
        <f t="shared" si="47"/>
        <v>0</v>
      </c>
      <c r="AQ145" s="136">
        <f t="shared" si="48"/>
        <v>0</v>
      </c>
      <c r="AR145" s="136">
        <f t="shared" si="49"/>
        <v>0</v>
      </c>
      <c r="AS145" s="136">
        <f t="shared" si="50"/>
        <v>100</v>
      </c>
      <c r="AT145" s="86">
        <v>1.5</v>
      </c>
      <c r="AU145" s="86">
        <f t="shared" si="51"/>
        <v>1.5</v>
      </c>
      <c r="AV145" s="86" t="str">
        <f t="shared" si="52"/>
        <v/>
      </c>
      <c r="AY145" s="231">
        <f>IF(ISNUMBER(M145),M145,NA())</f>
        <v>15.35</v>
      </c>
      <c r="AZ145" s="231">
        <f t="shared" si="37"/>
        <v>1.5209999999999999</v>
      </c>
      <c r="BA145" s="231">
        <f t="shared" si="53"/>
        <v>14.08</v>
      </c>
      <c r="BB145" s="231">
        <f t="shared" si="54"/>
        <v>1.5189999999999999</v>
      </c>
      <c r="BC145" s="231">
        <f t="shared" si="55"/>
        <v>1.5</v>
      </c>
      <c r="BD145" s="232">
        <f>IF(ISNUMBER(S145),S145,NA())</f>
        <v>85</v>
      </c>
      <c r="BE145" s="232">
        <f>IF(ISNUMBER(T145),T145,NA())</f>
        <v>66.666666666666671</v>
      </c>
      <c r="BP145">
        <v>138</v>
      </c>
    </row>
    <row r="146" spans="1:68">
      <c r="A146">
        <v>139</v>
      </c>
      <c r="B146">
        <v>15927454</v>
      </c>
      <c r="C146" s="215"/>
      <c r="D146" s="9" t="s">
        <v>1280</v>
      </c>
      <c r="E146" s="18" t="s">
        <v>1145</v>
      </c>
      <c r="F146" s="16">
        <v>2005</v>
      </c>
      <c r="G146" s="1" t="s">
        <v>949</v>
      </c>
      <c r="H146" s="16">
        <v>253</v>
      </c>
      <c r="I146" s="16">
        <v>146</v>
      </c>
      <c r="J146" s="85" t="s">
        <v>151</v>
      </c>
      <c r="K146" s="85">
        <v>4</v>
      </c>
      <c r="L146" s="16" t="s">
        <v>1119</v>
      </c>
      <c r="M146" s="16">
        <v>70.48</v>
      </c>
      <c r="N146" s="16">
        <v>6.23</v>
      </c>
      <c r="O146" s="16">
        <v>69.849999999999994</v>
      </c>
      <c r="P146" s="16">
        <v>7.54</v>
      </c>
      <c r="Q146" s="16">
        <v>170</v>
      </c>
      <c r="R146" s="16">
        <v>103</v>
      </c>
      <c r="S146" s="88">
        <f t="shared" si="39"/>
        <v>67.193675889328063</v>
      </c>
      <c r="T146" s="88">
        <f t="shared" si="40"/>
        <v>70.547945205479451</v>
      </c>
      <c r="U146" s="86" t="s">
        <v>1688</v>
      </c>
      <c r="V146" s="86" t="s">
        <v>1688</v>
      </c>
      <c r="W146" s="86">
        <v>3</v>
      </c>
      <c r="X146" s="86">
        <f t="shared" si="41"/>
        <v>399</v>
      </c>
      <c r="Y146" t="s">
        <v>925</v>
      </c>
      <c r="Z146" t="s">
        <v>978</v>
      </c>
      <c r="AA146">
        <f t="shared" si="42"/>
        <v>1</v>
      </c>
      <c r="AB146">
        <v>5</v>
      </c>
      <c r="AC146" t="s">
        <v>1688</v>
      </c>
      <c r="AD146" t="s">
        <v>1688</v>
      </c>
      <c r="AE146" t="s">
        <v>1688</v>
      </c>
      <c r="AF146" t="s">
        <v>1688</v>
      </c>
      <c r="AG146" t="s">
        <v>1688</v>
      </c>
      <c r="AH146" t="s">
        <v>1688</v>
      </c>
      <c r="AI146" t="s">
        <v>1688</v>
      </c>
      <c r="AJ146" t="s">
        <v>1688</v>
      </c>
      <c r="AK146" t="s">
        <v>1688</v>
      </c>
      <c r="AL146" s="158" t="str">
        <f t="shared" si="43"/>
        <v>ns</v>
      </c>
      <c r="AM146" s="136" t="str">
        <f t="shared" si="44"/>
        <v>ns</v>
      </c>
      <c r="AN146" s="136" t="str">
        <f t="shared" si="45"/>
        <v>ns</v>
      </c>
      <c r="AO146" s="136" t="str">
        <f t="shared" si="46"/>
        <v>ns</v>
      </c>
      <c r="AP146" s="136" t="str">
        <f t="shared" si="47"/>
        <v>ns</v>
      </c>
      <c r="AQ146" s="136" t="str">
        <f t="shared" si="48"/>
        <v>ns</v>
      </c>
      <c r="AR146" s="136" t="str">
        <f t="shared" si="49"/>
        <v>ns</v>
      </c>
      <c r="AS146" s="136" t="str">
        <f t="shared" si="50"/>
        <v>ns</v>
      </c>
      <c r="AT146" s="86">
        <v>1.5</v>
      </c>
      <c r="AU146" s="86">
        <f t="shared" si="51"/>
        <v>3</v>
      </c>
      <c r="AV146" s="86" t="str">
        <f t="shared" si="52"/>
        <v/>
      </c>
      <c r="AY146" s="231">
        <f>IF(ISNUMBER(M146),M146,NA())</f>
        <v>70.48</v>
      </c>
      <c r="AZ146" s="231">
        <f t="shared" si="37"/>
        <v>6.23</v>
      </c>
      <c r="BA146" s="231">
        <f t="shared" si="53"/>
        <v>69.849999999999994</v>
      </c>
      <c r="BB146" s="231">
        <f t="shared" si="54"/>
        <v>7.54</v>
      </c>
      <c r="BC146" s="231">
        <f t="shared" si="55"/>
        <v>3</v>
      </c>
      <c r="BD146" s="232">
        <f>IF(ISNUMBER(S146),S146,NA())</f>
        <v>67.193675889328063</v>
      </c>
      <c r="BE146" s="232">
        <f>IF(ISNUMBER(T146),T146,NA())</f>
        <v>70.547945205479451</v>
      </c>
      <c r="BP146">
        <v>139</v>
      </c>
    </row>
    <row r="147" spans="1:68">
      <c r="A147" s="13">
        <v>140</v>
      </c>
      <c r="B147">
        <v>15867107</v>
      </c>
      <c r="C147" s="215"/>
      <c r="D147" s="9" t="s">
        <v>1668</v>
      </c>
      <c r="E147" s="18" t="s">
        <v>1146</v>
      </c>
      <c r="F147" s="16">
        <v>2005</v>
      </c>
      <c r="G147" s="84" t="s">
        <v>1081</v>
      </c>
      <c r="H147" s="16">
        <v>135</v>
      </c>
      <c r="I147" s="16">
        <v>83</v>
      </c>
      <c r="J147" t="s">
        <v>151</v>
      </c>
      <c r="K147">
        <v>4</v>
      </c>
      <c r="L147" s="16" t="s">
        <v>1119</v>
      </c>
      <c r="M147" s="16">
        <v>70</v>
      </c>
      <c r="N147" s="16">
        <v>7.3</v>
      </c>
      <c r="O147" s="16">
        <v>69.400000000000006</v>
      </c>
      <c r="P147" s="16">
        <v>6.3</v>
      </c>
      <c r="Q147" s="16">
        <v>90</v>
      </c>
      <c r="R147" s="16">
        <v>64</v>
      </c>
      <c r="S147" s="88">
        <f t="shared" si="39"/>
        <v>66.666666666666671</v>
      </c>
      <c r="T147" s="88">
        <f t="shared" si="40"/>
        <v>77.108433734939766</v>
      </c>
      <c r="U147" s="86">
        <v>46.9</v>
      </c>
      <c r="V147" s="86" t="s">
        <v>1688</v>
      </c>
      <c r="W147" s="86">
        <v>3</v>
      </c>
      <c r="X147" s="86">
        <f t="shared" si="41"/>
        <v>218</v>
      </c>
      <c r="Y147" t="s">
        <v>1212</v>
      </c>
      <c r="Z147" t="s">
        <v>1102</v>
      </c>
      <c r="AA147">
        <f t="shared" si="42"/>
        <v>3</v>
      </c>
      <c r="AB147">
        <v>5</v>
      </c>
      <c r="AC147" t="s">
        <v>1688</v>
      </c>
      <c r="AD147" t="s">
        <v>1688</v>
      </c>
      <c r="AE147" t="s">
        <v>1688</v>
      </c>
      <c r="AF147" t="s">
        <v>1688</v>
      </c>
      <c r="AG147" t="s">
        <v>1688</v>
      </c>
      <c r="AH147" t="s">
        <v>1688</v>
      </c>
      <c r="AI147" t="s">
        <v>1688</v>
      </c>
      <c r="AJ147" t="s">
        <v>1688</v>
      </c>
      <c r="AK147" t="s">
        <v>1688</v>
      </c>
      <c r="AL147" s="158" t="str">
        <f t="shared" si="43"/>
        <v>ns</v>
      </c>
      <c r="AM147" s="136" t="str">
        <f t="shared" si="44"/>
        <v>ns</v>
      </c>
      <c r="AN147" s="136" t="str">
        <f t="shared" si="45"/>
        <v>ns</v>
      </c>
      <c r="AO147" s="136" t="str">
        <f t="shared" si="46"/>
        <v>ns</v>
      </c>
      <c r="AP147" s="136" t="str">
        <f t="shared" si="47"/>
        <v>ns</v>
      </c>
      <c r="AQ147" s="136" t="str">
        <f t="shared" si="48"/>
        <v>ns</v>
      </c>
      <c r="AR147" s="136" t="str">
        <f t="shared" si="49"/>
        <v>ns</v>
      </c>
      <c r="AS147" s="136" t="str">
        <f t="shared" si="50"/>
        <v>ns</v>
      </c>
      <c r="AT147" s="86">
        <v>1.5</v>
      </c>
      <c r="AU147" s="86">
        <f t="shared" si="51"/>
        <v>3</v>
      </c>
      <c r="AV147" s="86" t="str">
        <f t="shared" si="52"/>
        <v/>
      </c>
      <c r="AY147" s="231">
        <f>IF(ISNUMBER(M147),M147,NA())</f>
        <v>70</v>
      </c>
      <c r="AZ147" s="231">
        <f t="shared" si="37"/>
        <v>7.3</v>
      </c>
      <c r="BA147" s="231">
        <f t="shared" si="53"/>
        <v>69.400000000000006</v>
      </c>
      <c r="BB147" s="231">
        <f t="shared" si="54"/>
        <v>6.3</v>
      </c>
      <c r="BC147" s="231">
        <f t="shared" si="55"/>
        <v>3</v>
      </c>
      <c r="BD147" s="232">
        <f>IF(ISNUMBER(S147),S147,NA())</f>
        <v>66.666666666666671</v>
      </c>
      <c r="BE147" s="232">
        <f>IF(ISNUMBER(T147),T147,NA())</f>
        <v>77.108433734939766</v>
      </c>
      <c r="BP147">
        <v>140</v>
      </c>
    </row>
    <row r="148" spans="1:68">
      <c r="A148">
        <v>141</v>
      </c>
      <c r="B148">
        <v>16876144</v>
      </c>
      <c r="C148" s="215"/>
      <c r="D148" s="1" t="s">
        <v>1338</v>
      </c>
      <c r="E148" s="94" t="s">
        <v>1637</v>
      </c>
      <c r="F148" s="86">
        <v>2006</v>
      </c>
      <c r="G148" s="1" t="s">
        <v>1082</v>
      </c>
      <c r="H148">
        <v>106</v>
      </c>
      <c r="I148">
        <v>84</v>
      </c>
      <c r="J148" t="s">
        <v>151</v>
      </c>
      <c r="K148">
        <v>4</v>
      </c>
      <c r="L148" t="s">
        <v>1119</v>
      </c>
      <c r="M148">
        <v>70</v>
      </c>
      <c r="N148">
        <v>6.4</v>
      </c>
      <c r="O148">
        <v>71.7</v>
      </c>
      <c r="P148">
        <v>6</v>
      </c>
      <c r="Q148">
        <v>73</v>
      </c>
      <c r="R148">
        <v>54</v>
      </c>
      <c r="S148" s="88">
        <f t="shared" si="39"/>
        <v>68.867924528301884</v>
      </c>
      <c r="T148" s="88">
        <f t="shared" si="40"/>
        <v>64.285714285714292</v>
      </c>
      <c r="U148" s="86">
        <v>42.6</v>
      </c>
      <c r="V148" s="86" t="s">
        <v>1688</v>
      </c>
      <c r="W148" s="86">
        <v>3</v>
      </c>
      <c r="X148" s="86">
        <f t="shared" si="41"/>
        <v>190</v>
      </c>
      <c r="Y148" t="s">
        <v>1924</v>
      </c>
      <c r="Z148" t="s">
        <v>1501</v>
      </c>
      <c r="AA148">
        <f t="shared" si="42"/>
        <v>1</v>
      </c>
      <c r="AB148">
        <v>5</v>
      </c>
      <c r="AC148" t="s">
        <v>1688</v>
      </c>
      <c r="AD148" t="s">
        <v>1688</v>
      </c>
      <c r="AE148" t="s">
        <v>1688</v>
      </c>
      <c r="AF148" t="s">
        <v>1688</v>
      </c>
      <c r="AG148" t="s">
        <v>1688</v>
      </c>
      <c r="AH148" t="s">
        <v>1688</v>
      </c>
      <c r="AI148" t="s">
        <v>1688</v>
      </c>
      <c r="AJ148" t="s">
        <v>1688</v>
      </c>
      <c r="AK148" t="s">
        <v>1688</v>
      </c>
      <c r="AL148" s="158" t="str">
        <f t="shared" si="43"/>
        <v>ns</v>
      </c>
      <c r="AM148" s="136" t="str">
        <f t="shared" si="44"/>
        <v>ns</v>
      </c>
      <c r="AN148" s="136" t="str">
        <f t="shared" si="45"/>
        <v>ns</v>
      </c>
      <c r="AO148" s="136" t="str">
        <f t="shared" si="46"/>
        <v>ns</v>
      </c>
      <c r="AP148" s="136" t="str">
        <f t="shared" si="47"/>
        <v>ns</v>
      </c>
      <c r="AQ148" s="136" t="str">
        <f t="shared" si="48"/>
        <v>ns</v>
      </c>
      <c r="AR148" s="136" t="str">
        <f t="shared" si="49"/>
        <v>ns</v>
      </c>
      <c r="AS148" s="136" t="str">
        <f t="shared" si="50"/>
        <v>ns</v>
      </c>
      <c r="AT148" s="86">
        <v>1.5</v>
      </c>
      <c r="AU148" s="86">
        <f t="shared" si="51"/>
        <v>3</v>
      </c>
      <c r="AV148" s="86" t="str">
        <f t="shared" si="52"/>
        <v/>
      </c>
      <c r="AY148" s="231">
        <f>IF(ISNUMBER(M148),M148,NA())</f>
        <v>70</v>
      </c>
      <c r="AZ148" s="231">
        <f t="shared" si="37"/>
        <v>6.4</v>
      </c>
      <c r="BA148" s="231">
        <f t="shared" si="53"/>
        <v>71.7</v>
      </c>
      <c r="BB148" s="231">
        <f t="shared" si="54"/>
        <v>6</v>
      </c>
      <c r="BC148" s="231">
        <f t="shared" si="55"/>
        <v>3</v>
      </c>
      <c r="BD148" s="232">
        <f>IF(ISNUMBER(S148),S148,NA())</f>
        <v>68.867924528301884</v>
      </c>
      <c r="BE148" s="232">
        <f>IF(ISNUMBER(T148),T148,NA())</f>
        <v>64.285714285714292</v>
      </c>
      <c r="BP148">
        <v>141</v>
      </c>
    </row>
    <row r="149" spans="1:68">
      <c r="A149" s="13">
        <v>142</v>
      </c>
      <c r="B149">
        <v>16421128</v>
      </c>
      <c r="C149" s="215"/>
      <c r="D149" s="9" t="s">
        <v>1089</v>
      </c>
      <c r="E149" s="18" t="s">
        <v>957</v>
      </c>
      <c r="F149" s="16">
        <v>2006</v>
      </c>
      <c r="G149" s="84" t="s">
        <v>1083</v>
      </c>
      <c r="H149" s="16">
        <v>17</v>
      </c>
      <c r="I149" s="16">
        <v>26</v>
      </c>
      <c r="J149" s="86" t="s">
        <v>54</v>
      </c>
      <c r="K149" s="86"/>
      <c r="L149" s="16" t="s">
        <v>1119</v>
      </c>
      <c r="M149" s="16">
        <v>26.1</v>
      </c>
      <c r="N149" s="16">
        <v>4.9000000000000004</v>
      </c>
      <c r="O149" s="16">
        <v>22.5</v>
      </c>
      <c r="P149" s="16">
        <v>4.4000000000000004</v>
      </c>
      <c r="Q149" s="16">
        <v>11</v>
      </c>
      <c r="R149" s="16">
        <v>9</v>
      </c>
      <c r="S149" s="88">
        <f t="shared" si="39"/>
        <v>64.705882352941174</v>
      </c>
      <c r="T149" s="88">
        <f t="shared" si="40"/>
        <v>34.615384615384613</v>
      </c>
      <c r="U149" s="86" t="s">
        <v>1688</v>
      </c>
      <c r="V149" s="86" t="s">
        <v>1688</v>
      </c>
      <c r="W149" s="86">
        <v>3</v>
      </c>
      <c r="X149" s="86">
        <f t="shared" si="41"/>
        <v>43</v>
      </c>
      <c r="Y149" t="s">
        <v>1211</v>
      </c>
      <c r="Z149" t="s">
        <v>1132</v>
      </c>
      <c r="AA149">
        <f t="shared" si="42"/>
        <v>2</v>
      </c>
      <c r="AB149">
        <v>6</v>
      </c>
      <c r="AC149" t="s">
        <v>1688</v>
      </c>
      <c r="AD149" t="s">
        <v>1688</v>
      </c>
      <c r="AE149" t="s">
        <v>1688</v>
      </c>
      <c r="AF149" t="s">
        <v>1688</v>
      </c>
      <c r="AG149" t="s">
        <v>1688</v>
      </c>
      <c r="AH149" t="s">
        <v>1688</v>
      </c>
      <c r="AI149">
        <v>0</v>
      </c>
      <c r="AJ149" t="s">
        <v>1688</v>
      </c>
      <c r="AK149" t="s">
        <v>1688</v>
      </c>
      <c r="AL149" s="158" t="str">
        <f t="shared" si="43"/>
        <v>ns</v>
      </c>
      <c r="AM149" s="136" t="str">
        <f t="shared" si="44"/>
        <v>ns</v>
      </c>
      <c r="AN149" s="136" t="str">
        <f t="shared" si="45"/>
        <v>ns</v>
      </c>
      <c r="AO149" s="136" t="str">
        <f t="shared" si="46"/>
        <v>ns</v>
      </c>
      <c r="AP149" s="136" t="str">
        <f t="shared" si="47"/>
        <v>ns</v>
      </c>
      <c r="AQ149" s="136" t="str">
        <f t="shared" si="48"/>
        <v>ns</v>
      </c>
      <c r="AR149" s="136">
        <f t="shared" si="49"/>
        <v>0</v>
      </c>
      <c r="AS149" s="136" t="str">
        <f t="shared" si="50"/>
        <v>ns</v>
      </c>
      <c r="AT149" s="86">
        <v>1.5</v>
      </c>
      <c r="AU149" s="86">
        <f t="shared" si="51"/>
        <v>3</v>
      </c>
      <c r="AV149" s="86" t="str">
        <f t="shared" si="52"/>
        <v/>
      </c>
      <c r="AY149" s="231">
        <f>IF(ISNUMBER(M149),M149,NA())</f>
        <v>26.1</v>
      </c>
      <c r="AZ149" s="231">
        <f t="shared" si="37"/>
        <v>4.9000000000000004</v>
      </c>
      <c r="BA149" s="231">
        <f t="shared" si="53"/>
        <v>22.5</v>
      </c>
      <c r="BB149" s="231">
        <f t="shared" si="54"/>
        <v>4.4000000000000004</v>
      </c>
      <c r="BC149" s="231">
        <f t="shared" si="55"/>
        <v>3</v>
      </c>
      <c r="BD149" s="232">
        <f>IF(ISNUMBER(S149),S149,NA())</f>
        <v>64.705882352941174</v>
      </c>
      <c r="BE149" s="232">
        <f>IF(ISNUMBER(T149),T149,NA())</f>
        <v>34.615384615384613</v>
      </c>
      <c r="BP149">
        <v>142</v>
      </c>
    </row>
    <row r="150" spans="1:68">
      <c r="A150">
        <v>143</v>
      </c>
      <c r="B150">
        <v>16414029</v>
      </c>
      <c r="C150" s="215"/>
      <c r="D150" s="9" t="s">
        <v>902</v>
      </c>
      <c r="E150" s="18" t="s">
        <v>1831</v>
      </c>
      <c r="F150" s="16">
        <v>2006</v>
      </c>
      <c r="G150" s="84" t="s">
        <v>950</v>
      </c>
      <c r="H150" s="16">
        <v>31</v>
      </c>
      <c r="I150" s="16">
        <v>31</v>
      </c>
      <c r="J150" s="85" t="s">
        <v>151</v>
      </c>
      <c r="K150" s="85">
        <v>4</v>
      </c>
      <c r="L150" s="16" t="s">
        <v>1119</v>
      </c>
      <c r="M150" s="16">
        <v>39.200000000000003</v>
      </c>
      <c r="N150" s="16">
        <v>11.9</v>
      </c>
      <c r="O150" s="16">
        <v>36.700000000000003</v>
      </c>
      <c r="P150" s="16">
        <v>10.7</v>
      </c>
      <c r="Q150" s="16">
        <v>24</v>
      </c>
      <c r="R150" s="16">
        <v>24</v>
      </c>
      <c r="S150" s="88">
        <f t="shared" si="39"/>
        <v>77.41935483870968</v>
      </c>
      <c r="T150" s="88">
        <f t="shared" si="40"/>
        <v>77.41935483870968</v>
      </c>
      <c r="U150" s="86">
        <v>27.9</v>
      </c>
      <c r="V150" s="86">
        <v>11.8</v>
      </c>
      <c r="W150" s="86">
        <v>1.5</v>
      </c>
      <c r="X150" s="86">
        <f t="shared" si="41"/>
        <v>62</v>
      </c>
      <c r="Y150" t="s">
        <v>1210</v>
      </c>
      <c r="Z150" t="s">
        <v>1103</v>
      </c>
      <c r="AA150">
        <f t="shared" si="42"/>
        <v>4</v>
      </c>
      <c r="AB150">
        <v>5</v>
      </c>
      <c r="AC150">
        <v>0</v>
      </c>
      <c r="AD150">
        <v>0</v>
      </c>
      <c r="AE150">
        <v>0</v>
      </c>
      <c r="AF150">
        <v>0</v>
      </c>
      <c r="AG150">
        <v>0</v>
      </c>
      <c r="AH150">
        <v>0</v>
      </c>
      <c r="AI150">
        <v>0</v>
      </c>
      <c r="AJ150">
        <v>31</v>
      </c>
      <c r="AK150">
        <v>0</v>
      </c>
      <c r="AL150" s="158">
        <f t="shared" si="43"/>
        <v>0</v>
      </c>
      <c r="AM150" s="136">
        <f t="shared" si="44"/>
        <v>0</v>
      </c>
      <c r="AN150" s="136">
        <f t="shared" si="45"/>
        <v>0</v>
      </c>
      <c r="AO150" s="136">
        <f t="shared" si="46"/>
        <v>0</v>
      </c>
      <c r="AP150" s="136">
        <f t="shared" si="47"/>
        <v>0</v>
      </c>
      <c r="AQ150" s="136">
        <f t="shared" si="48"/>
        <v>0</v>
      </c>
      <c r="AR150" s="136">
        <f t="shared" si="49"/>
        <v>0</v>
      </c>
      <c r="AS150" s="136">
        <f t="shared" si="50"/>
        <v>100</v>
      </c>
      <c r="AT150" s="86">
        <v>1.5</v>
      </c>
      <c r="AU150" s="86">
        <f t="shared" si="51"/>
        <v>1.5</v>
      </c>
      <c r="AV150" s="86" t="str">
        <f t="shared" si="52"/>
        <v/>
      </c>
      <c r="AY150" s="231">
        <f>IF(ISNUMBER(M150),M150,NA())</f>
        <v>39.200000000000003</v>
      </c>
      <c r="AZ150" s="231">
        <f t="shared" si="37"/>
        <v>11.9</v>
      </c>
      <c r="BA150" s="231">
        <f t="shared" si="53"/>
        <v>36.700000000000003</v>
      </c>
      <c r="BB150" s="231">
        <f t="shared" si="54"/>
        <v>10.7</v>
      </c>
      <c r="BC150" s="231">
        <f t="shared" si="55"/>
        <v>1.5</v>
      </c>
      <c r="BD150" s="232">
        <f>IF(ISNUMBER(S150),S150,NA())</f>
        <v>77.41935483870968</v>
      </c>
      <c r="BE150" s="232">
        <f>IF(ISNUMBER(T150),T150,NA())</f>
        <v>77.41935483870968</v>
      </c>
      <c r="BP150">
        <v>143</v>
      </c>
    </row>
    <row r="151" spans="1:68">
      <c r="A151" s="13">
        <v>144</v>
      </c>
      <c r="B151">
        <v>16323250</v>
      </c>
      <c r="C151" s="215"/>
      <c r="D151" s="9" t="s">
        <v>745</v>
      </c>
      <c r="E151" s="18" t="s">
        <v>541</v>
      </c>
      <c r="F151" s="16">
        <v>2006</v>
      </c>
      <c r="G151" s="84" t="s">
        <v>951</v>
      </c>
      <c r="H151" s="16">
        <v>14</v>
      </c>
      <c r="I151" s="16">
        <v>11</v>
      </c>
      <c r="J151" s="85" t="s">
        <v>151</v>
      </c>
      <c r="K151" s="85">
        <v>4</v>
      </c>
      <c r="L151" s="16" t="s">
        <v>1119</v>
      </c>
      <c r="M151" s="16">
        <v>75.099999999999994</v>
      </c>
      <c r="N151" s="16">
        <v>6.3</v>
      </c>
      <c r="O151" s="16">
        <v>72.599999999999994</v>
      </c>
      <c r="P151" s="16">
        <v>8.1</v>
      </c>
      <c r="Q151" s="16">
        <v>8</v>
      </c>
      <c r="R151" s="16">
        <v>7</v>
      </c>
      <c r="S151" s="88">
        <f t="shared" si="39"/>
        <v>57.142857142857146</v>
      </c>
      <c r="T151" s="88">
        <f t="shared" si="40"/>
        <v>63.636363636363633</v>
      </c>
      <c r="U151" s="86">
        <v>70</v>
      </c>
      <c r="V151" s="86">
        <v>22</v>
      </c>
      <c r="W151" s="86">
        <v>5</v>
      </c>
      <c r="X151" s="86">
        <f t="shared" si="41"/>
        <v>25</v>
      </c>
      <c r="Y151" t="s">
        <v>1556</v>
      </c>
      <c r="Z151" t="s">
        <v>978</v>
      </c>
      <c r="AA151">
        <f t="shared" si="42"/>
        <v>1</v>
      </c>
      <c r="AB151">
        <v>5</v>
      </c>
      <c r="AC151" t="s">
        <v>1688</v>
      </c>
      <c r="AD151" t="s">
        <v>1688</v>
      </c>
      <c r="AE151" t="s">
        <v>1688</v>
      </c>
      <c r="AF151" t="s">
        <v>1688</v>
      </c>
      <c r="AG151" t="s">
        <v>1688</v>
      </c>
      <c r="AH151" t="s">
        <v>1688</v>
      </c>
      <c r="AI151" t="s">
        <v>1688</v>
      </c>
      <c r="AJ151" t="s">
        <v>1688</v>
      </c>
      <c r="AK151" t="s">
        <v>1688</v>
      </c>
      <c r="AL151" s="158" t="str">
        <f t="shared" si="43"/>
        <v>ns</v>
      </c>
      <c r="AM151" s="136" t="str">
        <f t="shared" si="44"/>
        <v>ns</v>
      </c>
      <c r="AN151" s="136" t="str">
        <f t="shared" si="45"/>
        <v>ns</v>
      </c>
      <c r="AO151" s="136" t="str">
        <f t="shared" si="46"/>
        <v>ns</v>
      </c>
      <c r="AP151" s="136" t="str">
        <f t="shared" si="47"/>
        <v>ns</v>
      </c>
      <c r="AQ151" s="136" t="str">
        <f t="shared" si="48"/>
        <v>ns</v>
      </c>
      <c r="AR151" s="136" t="str">
        <f t="shared" si="49"/>
        <v>ns</v>
      </c>
      <c r="AS151" s="136" t="str">
        <f t="shared" si="50"/>
        <v>ns</v>
      </c>
      <c r="AT151" s="86">
        <v>3</v>
      </c>
      <c r="AU151" s="86">
        <f t="shared" si="51"/>
        <v>5</v>
      </c>
      <c r="AV151" s="86" t="str">
        <f t="shared" si="52"/>
        <v/>
      </c>
      <c r="AY151" s="231">
        <f>IF(ISNUMBER(M151),M151,NA())</f>
        <v>75.099999999999994</v>
      </c>
      <c r="AZ151" s="231">
        <f t="shared" si="37"/>
        <v>6.3</v>
      </c>
      <c r="BA151" s="231">
        <f t="shared" si="53"/>
        <v>72.599999999999994</v>
      </c>
      <c r="BB151" s="231">
        <f t="shared" si="54"/>
        <v>8.1</v>
      </c>
      <c r="BC151" s="231">
        <f t="shared" si="55"/>
        <v>5</v>
      </c>
      <c r="BD151" s="232">
        <f>IF(ISNUMBER(S151),S151,NA())</f>
        <v>57.142857142857146</v>
      </c>
      <c r="BE151" s="232">
        <f>IF(ISNUMBER(T151),T151,NA())</f>
        <v>63.636363636363633</v>
      </c>
      <c r="BP151">
        <v>144</v>
      </c>
    </row>
    <row r="152" spans="1:68">
      <c r="A152">
        <v>145</v>
      </c>
      <c r="B152">
        <v>16478567</v>
      </c>
      <c r="C152" s="215"/>
      <c r="D152" s="9" t="s">
        <v>1671</v>
      </c>
      <c r="E152" s="18" t="s">
        <v>536</v>
      </c>
      <c r="F152" s="16">
        <v>2006</v>
      </c>
      <c r="G152" s="84" t="s">
        <v>952</v>
      </c>
      <c r="H152" s="16">
        <v>164</v>
      </c>
      <c r="I152" s="16">
        <v>126</v>
      </c>
      <c r="J152" t="s">
        <v>151</v>
      </c>
      <c r="K152">
        <v>4</v>
      </c>
      <c r="L152" s="16" t="s">
        <v>1119</v>
      </c>
      <c r="M152" s="16">
        <v>68.930000000000007</v>
      </c>
      <c r="N152" s="16">
        <v>7.04</v>
      </c>
      <c r="O152" s="16">
        <v>69.83</v>
      </c>
      <c r="P152" s="16">
        <v>6.25</v>
      </c>
      <c r="Q152" s="16">
        <v>102</v>
      </c>
      <c r="R152" s="16">
        <v>90</v>
      </c>
      <c r="S152" s="88">
        <f t="shared" si="39"/>
        <v>62.195121951219512</v>
      </c>
      <c r="T152" s="88">
        <f t="shared" si="40"/>
        <v>71.428571428571431</v>
      </c>
      <c r="U152" s="86" t="s">
        <v>1688</v>
      </c>
      <c r="V152" s="86" t="s">
        <v>1688</v>
      </c>
      <c r="W152" s="86">
        <v>3</v>
      </c>
      <c r="X152" s="86">
        <f t="shared" si="41"/>
        <v>290</v>
      </c>
      <c r="Y152" t="s">
        <v>1123</v>
      </c>
      <c r="Z152" t="s">
        <v>978</v>
      </c>
      <c r="AA152">
        <f t="shared" si="42"/>
        <v>1</v>
      </c>
      <c r="AB152">
        <v>5</v>
      </c>
      <c r="AC152" t="s">
        <v>1688</v>
      </c>
      <c r="AD152" t="s">
        <v>1688</v>
      </c>
      <c r="AE152" t="s">
        <v>1688</v>
      </c>
      <c r="AF152" t="s">
        <v>1688</v>
      </c>
      <c r="AG152" t="s">
        <v>1688</v>
      </c>
      <c r="AH152" t="s">
        <v>1688</v>
      </c>
      <c r="AI152" t="s">
        <v>1688</v>
      </c>
      <c r="AJ152" t="s">
        <v>1688</v>
      </c>
      <c r="AK152" t="s">
        <v>1688</v>
      </c>
      <c r="AL152" s="158" t="str">
        <f t="shared" si="43"/>
        <v>ns</v>
      </c>
      <c r="AM152" s="136" t="str">
        <f t="shared" si="44"/>
        <v>ns</v>
      </c>
      <c r="AN152" s="136" t="str">
        <f t="shared" si="45"/>
        <v>ns</v>
      </c>
      <c r="AO152" s="136" t="str">
        <f t="shared" si="46"/>
        <v>ns</v>
      </c>
      <c r="AP152" s="136" t="str">
        <f t="shared" si="47"/>
        <v>ns</v>
      </c>
      <c r="AQ152" s="136" t="str">
        <f t="shared" si="48"/>
        <v>ns</v>
      </c>
      <c r="AR152" s="136" t="str">
        <f t="shared" si="49"/>
        <v>ns</v>
      </c>
      <c r="AS152" s="136" t="str">
        <f t="shared" si="50"/>
        <v>ns</v>
      </c>
      <c r="AT152" s="86">
        <v>1.5</v>
      </c>
      <c r="AU152" s="86">
        <f t="shared" si="51"/>
        <v>3</v>
      </c>
      <c r="AV152" s="86" t="str">
        <f t="shared" si="52"/>
        <v/>
      </c>
      <c r="AY152" s="231">
        <f>IF(ISNUMBER(M152),M152,NA())</f>
        <v>68.930000000000007</v>
      </c>
      <c r="AZ152" s="231">
        <f t="shared" ref="AZ152:AZ215" si="56">IF(ISNUMBER(N152),N152,NA())</f>
        <v>7.04</v>
      </c>
      <c r="BA152" s="231">
        <f t="shared" si="53"/>
        <v>69.83</v>
      </c>
      <c r="BB152" s="231">
        <f t="shared" si="54"/>
        <v>6.25</v>
      </c>
      <c r="BC152" s="231">
        <f t="shared" si="55"/>
        <v>3</v>
      </c>
      <c r="BD152" s="232">
        <f>IF(ISNUMBER(S152),S152,NA())</f>
        <v>62.195121951219512</v>
      </c>
      <c r="BE152" s="232">
        <f>IF(ISNUMBER(T152),T152,NA())</f>
        <v>71.428571428571431</v>
      </c>
      <c r="BP152">
        <v>145</v>
      </c>
    </row>
    <row r="153" spans="1:68">
      <c r="A153" s="13">
        <v>146</v>
      </c>
      <c r="B153">
        <v>16951734</v>
      </c>
      <c r="C153" s="215"/>
      <c r="D153" s="9" t="s">
        <v>995</v>
      </c>
      <c r="E153" s="18" t="s">
        <v>1098</v>
      </c>
      <c r="F153" s="16">
        <v>2006</v>
      </c>
      <c r="G153" s="84" t="s">
        <v>756</v>
      </c>
      <c r="H153" s="16">
        <v>34</v>
      </c>
      <c r="I153" s="16">
        <v>34</v>
      </c>
      <c r="J153" s="86" t="s">
        <v>151</v>
      </c>
      <c r="K153" s="86">
        <v>4</v>
      </c>
      <c r="L153" s="16" t="s">
        <v>1119</v>
      </c>
      <c r="M153" s="16">
        <v>45.5</v>
      </c>
      <c r="N153" s="16">
        <v>11.9</v>
      </c>
      <c r="O153" s="16">
        <v>43.6</v>
      </c>
      <c r="P153" s="16">
        <v>13.2</v>
      </c>
      <c r="Q153" s="16">
        <v>15</v>
      </c>
      <c r="R153" s="16">
        <v>15</v>
      </c>
      <c r="S153" s="88">
        <f t="shared" si="39"/>
        <v>44.117647058823529</v>
      </c>
      <c r="T153" s="88">
        <f t="shared" si="40"/>
        <v>44.117647058823529</v>
      </c>
      <c r="U153" s="86">
        <v>38.799999999999997</v>
      </c>
      <c r="V153" s="86">
        <v>24.8</v>
      </c>
      <c r="W153" s="86">
        <v>1.5</v>
      </c>
      <c r="X153" s="86">
        <f t="shared" si="41"/>
        <v>68</v>
      </c>
      <c r="Y153" t="s">
        <v>1375</v>
      </c>
      <c r="Z153" t="s">
        <v>1104</v>
      </c>
      <c r="AA153">
        <f t="shared" si="42"/>
        <v>9</v>
      </c>
      <c r="AB153">
        <v>5</v>
      </c>
      <c r="AC153">
        <v>31</v>
      </c>
      <c r="AD153">
        <v>8</v>
      </c>
      <c r="AE153">
        <v>7</v>
      </c>
      <c r="AF153">
        <v>1</v>
      </c>
      <c r="AG153">
        <v>15</v>
      </c>
      <c r="AH153" t="s">
        <v>1688</v>
      </c>
      <c r="AI153">
        <v>4</v>
      </c>
      <c r="AJ153">
        <v>3</v>
      </c>
      <c r="AK153" t="s">
        <v>1688</v>
      </c>
      <c r="AL153" s="158">
        <f t="shared" si="43"/>
        <v>91.17647058823529</v>
      </c>
      <c r="AM153" s="136">
        <f t="shared" si="44"/>
        <v>23.52941176470588</v>
      </c>
      <c r="AN153" s="136">
        <f t="shared" si="45"/>
        <v>20.588235294117645</v>
      </c>
      <c r="AO153" s="136">
        <f t="shared" si="46"/>
        <v>2.9411764705882351</v>
      </c>
      <c r="AP153" s="136">
        <f t="shared" si="47"/>
        <v>44.117647058823529</v>
      </c>
      <c r="AQ153" s="136" t="str">
        <f t="shared" si="48"/>
        <v>ns</v>
      </c>
      <c r="AR153" s="136">
        <f t="shared" si="49"/>
        <v>11.76470588235294</v>
      </c>
      <c r="AS153" s="136">
        <f t="shared" si="50"/>
        <v>8.8235294117647065</v>
      </c>
      <c r="AT153" s="86"/>
      <c r="AU153" s="86">
        <f t="shared" si="51"/>
        <v>1.5</v>
      </c>
      <c r="AV153" s="86" t="str">
        <f t="shared" si="52"/>
        <v/>
      </c>
      <c r="AY153" s="231">
        <f>IF(ISNUMBER(M153),M153,NA())</f>
        <v>45.5</v>
      </c>
      <c r="AZ153" s="231">
        <f t="shared" si="56"/>
        <v>11.9</v>
      </c>
      <c r="BA153" s="231">
        <f t="shared" si="53"/>
        <v>43.6</v>
      </c>
      <c r="BB153" s="231">
        <f t="shared" si="54"/>
        <v>13.2</v>
      </c>
      <c r="BC153" s="231">
        <f t="shared" si="55"/>
        <v>1.5</v>
      </c>
      <c r="BD153" s="232">
        <f>IF(ISNUMBER(S153),S153,NA())</f>
        <v>44.117647058823529</v>
      </c>
      <c r="BE153" s="232">
        <f>IF(ISNUMBER(T153),T153,NA())</f>
        <v>44.117647058823529</v>
      </c>
      <c r="BP153">
        <v>146</v>
      </c>
    </row>
    <row r="154" spans="1:68">
      <c r="A154">
        <v>147</v>
      </c>
      <c r="B154">
        <v>16955447</v>
      </c>
      <c r="C154" s="215"/>
      <c r="D154" s="1" t="s">
        <v>1087</v>
      </c>
      <c r="E154" s="94" t="s">
        <v>1636</v>
      </c>
      <c r="F154" s="86">
        <v>2006</v>
      </c>
      <c r="G154" s="1" t="s">
        <v>757</v>
      </c>
      <c r="H154">
        <v>182</v>
      </c>
      <c r="I154">
        <v>64</v>
      </c>
      <c r="J154" s="2" t="s">
        <v>151</v>
      </c>
      <c r="K154" s="2">
        <v>4</v>
      </c>
      <c r="L154" t="s">
        <v>1119</v>
      </c>
      <c r="M154">
        <v>70.2</v>
      </c>
      <c r="N154">
        <v>5.8</v>
      </c>
      <c r="O154">
        <v>70</v>
      </c>
      <c r="P154">
        <v>7.7</v>
      </c>
      <c r="Q154">
        <v>129</v>
      </c>
      <c r="R154">
        <v>41</v>
      </c>
      <c r="S154" s="88">
        <f t="shared" si="39"/>
        <v>70.879120879120876</v>
      </c>
      <c r="T154" s="88">
        <f t="shared" si="40"/>
        <v>64.0625</v>
      </c>
      <c r="U154" s="85">
        <v>43.7</v>
      </c>
      <c r="V154" s="85" t="s">
        <v>1688</v>
      </c>
      <c r="W154" s="85">
        <v>3</v>
      </c>
      <c r="X154" s="86">
        <f t="shared" si="41"/>
        <v>246</v>
      </c>
      <c r="Y154" t="s">
        <v>388</v>
      </c>
      <c r="Z154" t="s">
        <v>1399</v>
      </c>
      <c r="AA154">
        <f t="shared" si="42"/>
        <v>5</v>
      </c>
      <c r="AB154">
        <v>5</v>
      </c>
      <c r="AC154" t="s">
        <v>1688</v>
      </c>
      <c r="AD154" t="s">
        <v>1688</v>
      </c>
      <c r="AE154" t="s">
        <v>1688</v>
      </c>
      <c r="AF154" t="s">
        <v>1688</v>
      </c>
      <c r="AG154" t="s">
        <v>1688</v>
      </c>
      <c r="AH154" t="s">
        <v>1688</v>
      </c>
      <c r="AI154" t="s">
        <v>1688</v>
      </c>
      <c r="AJ154" t="s">
        <v>1688</v>
      </c>
      <c r="AK154" t="s">
        <v>1688</v>
      </c>
      <c r="AL154" s="158" t="str">
        <f t="shared" si="43"/>
        <v>ns</v>
      </c>
      <c r="AM154" s="136" t="str">
        <f t="shared" si="44"/>
        <v>ns</v>
      </c>
      <c r="AN154" s="136" t="str">
        <f t="shared" si="45"/>
        <v>ns</v>
      </c>
      <c r="AO154" s="136" t="str">
        <f t="shared" si="46"/>
        <v>ns</v>
      </c>
      <c r="AP154" s="136" t="str">
        <f t="shared" si="47"/>
        <v>ns</v>
      </c>
      <c r="AQ154" s="136" t="str">
        <f t="shared" si="48"/>
        <v>ns</v>
      </c>
      <c r="AR154" s="136" t="str">
        <f t="shared" si="49"/>
        <v>ns</v>
      </c>
      <c r="AS154" s="136" t="str">
        <f t="shared" si="50"/>
        <v>ns</v>
      </c>
      <c r="AT154" s="85">
        <v>1.5</v>
      </c>
      <c r="AU154" s="86">
        <f t="shared" si="51"/>
        <v>3</v>
      </c>
      <c r="AV154" s="86" t="str">
        <f t="shared" si="52"/>
        <v/>
      </c>
      <c r="AY154" s="231">
        <f>IF(ISNUMBER(M154),M154,NA())</f>
        <v>70.2</v>
      </c>
      <c r="AZ154" s="231">
        <f t="shared" si="56"/>
        <v>5.8</v>
      </c>
      <c r="BA154" s="231">
        <f t="shared" si="53"/>
        <v>70</v>
      </c>
      <c r="BB154" s="231">
        <f t="shared" si="54"/>
        <v>7.7</v>
      </c>
      <c r="BC154" s="231">
        <f t="shared" si="55"/>
        <v>3</v>
      </c>
      <c r="BD154" s="232">
        <f>IF(ISNUMBER(S154),S154,NA())</f>
        <v>70.879120879120876</v>
      </c>
      <c r="BE154" s="232">
        <f>IF(ISNUMBER(T154),T154,NA())</f>
        <v>64.0625</v>
      </c>
      <c r="BP154">
        <v>147</v>
      </c>
    </row>
    <row r="155" spans="1:68">
      <c r="A155" s="13">
        <v>148</v>
      </c>
      <c r="B155">
        <v>16449707</v>
      </c>
      <c r="C155" s="215"/>
      <c r="D155" s="17" t="s">
        <v>543</v>
      </c>
      <c r="E155" s="18" t="s">
        <v>1097</v>
      </c>
      <c r="F155" s="16">
        <v>2006</v>
      </c>
      <c r="G155" s="84" t="s">
        <v>761</v>
      </c>
      <c r="H155" s="16">
        <v>84</v>
      </c>
      <c r="I155" s="16">
        <v>35</v>
      </c>
      <c r="J155" s="85" t="s">
        <v>296</v>
      </c>
      <c r="K155" s="85">
        <v>3</v>
      </c>
      <c r="L155" s="16" t="s">
        <v>1119</v>
      </c>
      <c r="M155" s="16"/>
      <c r="N155" s="16"/>
      <c r="O155" s="16">
        <v>39.200000000000003</v>
      </c>
      <c r="P155" s="16">
        <v>9.8000000000000007</v>
      </c>
      <c r="Q155" s="16">
        <v>34</v>
      </c>
      <c r="R155" s="16">
        <v>14</v>
      </c>
      <c r="S155" s="88">
        <f t="shared" si="39"/>
        <v>40.476190476190474</v>
      </c>
      <c r="T155" s="88">
        <f t="shared" si="40"/>
        <v>40</v>
      </c>
      <c r="U155" s="86" t="s">
        <v>1688</v>
      </c>
      <c r="V155" s="86">
        <v>21.6</v>
      </c>
      <c r="W155" s="86">
        <v>3</v>
      </c>
      <c r="X155" s="86">
        <f t="shared" si="41"/>
        <v>119</v>
      </c>
      <c r="Y155" t="s">
        <v>1294</v>
      </c>
      <c r="Z155" t="s">
        <v>978</v>
      </c>
      <c r="AA155">
        <f t="shared" si="42"/>
        <v>1</v>
      </c>
      <c r="AB155">
        <v>4</v>
      </c>
      <c r="AC155" t="s">
        <v>1688</v>
      </c>
      <c r="AD155" t="s">
        <v>1688</v>
      </c>
      <c r="AE155" t="s">
        <v>1688</v>
      </c>
      <c r="AF155" t="s">
        <v>1688</v>
      </c>
      <c r="AG155" t="s">
        <v>1688</v>
      </c>
      <c r="AH155" t="s">
        <v>1688</v>
      </c>
      <c r="AI155" t="s">
        <v>1688</v>
      </c>
      <c r="AJ155" t="s">
        <v>1688</v>
      </c>
      <c r="AK155" t="s">
        <v>1688</v>
      </c>
      <c r="AL155" s="158" t="str">
        <f t="shared" si="43"/>
        <v>ns</v>
      </c>
      <c r="AM155" s="136" t="str">
        <f t="shared" si="44"/>
        <v>ns</v>
      </c>
      <c r="AN155" s="136" t="str">
        <f t="shared" si="45"/>
        <v>ns</v>
      </c>
      <c r="AO155" s="136" t="str">
        <f t="shared" si="46"/>
        <v>ns</v>
      </c>
      <c r="AP155" s="136" t="str">
        <f t="shared" si="47"/>
        <v>ns</v>
      </c>
      <c r="AQ155" s="136" t="str">
        <f t="shared" si="48"/>
        <v>ns</v>
      </c>
      <c r="AR155" s="136" t="str">
        <f t="shared" si="49"/>
        <v>ns</v>
      </c>
      <c r="AS155" s="136" t="str">
        <f t="shared" si="50"/>
        <v>ns</v>
      </c>
      <c r="AT155" s="86">
        <v>1.5</v>
      </c>
      <c r="AU155" s="86">
        <f t="shared" si="51"/>
        <v>3</v>
      </c>
      <c r="AV155" s="86" t="str">
        <f t="shared" si="52"/>
        <v/>
      </c>
      <c r="AY155" s="231" t="e">
        <f>IF(ISNUMBER(M155),M155,NA())</f>
        <v>#N/A</v>
      </c>
      <c r="AZ155" s="231" t="e">
        <f t="shared" si="56"/>
        <v>#N/A</v>
      </c>
      <c r="BA155" s="231">
        <f t="shared" si="53"/>
        <v>39.200000000000003</v>
      </c>
      <c r="BB155" s="231">
        <f t="shared" si="54"/>
        <v>9.8000000000000007</v>
      </c>
      <c r="BC155" s="231">
        <f t="shared" si="55"/>
        <v>3</v>
      </c>
      <c r="BD155" s="232">
        <f>IF(ISNUMBER(S155),S155,NA())</f>
        <v>40.476190476190474</v>
      </c>
      <c r="BE155" s="232">
        <f>IF(ISNUMBER(T155),T155,NA())</f>
        <v>40</v>
      </c>
      <c r="BP155">
        <v>148</v>
      </c>
    </row>
    <row r="156" spans="1:68">
      <c r="A156">
        <v>149</v>
      </c>
      <c r="B156">
        <v>16373773</v>
      </c>
      <c r="C156" s="215"/>
      <c r="D156" s="141" t="s">
        <v>1355</v>
      </c>
      <c r="E156" t="s">
        <v>2275</v>
      </c>
      <c r="F156">
        <v>2006</v>
      </c>
      <c r="G156" s="1" t="s">
        <v>2276</v>
      </c>
      <c r="H156">
        <v>52</v>
      </c>
      <c r="I156">
        <v>15</v>
      </c>
      <c r="J156" t="s">
        <v>151</v>
      </c>
      <c r="K156">
        <v>4</v>
      </c>
      <c r="L156" t="s">
        <v>1119</v>
      </c>
      <c r="O156">
        <v>63.9</v>
      </c>
      <c r="P156">
        <v>6.5</v>
      </c>
      <c r="Q156">
        <v>31</v>
      </c>
      <c r="R156">
        <v>9</v>
      </c>
      <c r="S156" s="88">
        <f t="shared" si="39"/>
        <v>59.615384615384613</v>
      </c>
      <c r="T156" s="88">
        <f t="shared" si="40"/>
        <v>60</v>
      </c>
      <c r="U156" t="s">
        <v>111</v>
      </c>
      <c r="V156" t="s">
        <v>111</v>
      </c>
      <c r="W156">
        <v>5</v>
      </c>
      <c r="X156" s="86">
        <f t="shared" si="41"/>
        <v>67</v>
      </c>
      <c r="Y156" t="s">
        <v>1116</v>
      </c>
      <c r="Z156" t="s">
        <v>1117</v>
      </c>
      <c r="AA156">
        <f t="shared" si="42"/>
        <v>2</v>
      </c>
      <c r="AB156">
        <v>5</v>
      </c>
      <c r="AC156" t="s">
        <v>1688</v>
      </c>
      <c r="AD156" t="s">
        <v>1688</v>
      </c>
      <c r="AE156" t="s">
        <v>1688</v>
      </c>
      <c r="AF156" t="s">
        <v>1688</v>
      </c>
      <c r="AG156" t="s">
        <v>1688</v>
      </c>
      <c r="AH156" t="s">
        <v>1688</v>
      </c>
      <c r="AI156" t="s">
        <v>1688</v>
      </c>
      <c r="AJ156" t="s">
        <v>1688</v>
      </c>
      <c r="AL156" s="158" t="str">
        <f t="shared" si="43"/>
        <v>ns</v>
      </c>
      <c r="AM156" s="136" t="str">
        <f t="shared" si="44"/>
        <v>ns</v>
      </c>
      <c r="AN156" s="136" t="str">
        <f t="shared" si="45"/>
        <v>ns</v>
      </c>
      <c r="AO156" s="136" t="str">
        <f t="shared" si="46"/>
        <v>ns</v>
      </c>
      <c r="AP156" s="136" t="str">
        <f t="shared" si="47"/>
        <v>ns</v>
      </c>
      <c r="AQ156" s="136" t="str">
        <f t="shared" si="48"/>
        <v>ns</v>
      </c>
      <c r="AR156" s="136" t="str">
        <f t="shared" si="49"/>
        <v>ns</v>
      </c>
      <c r="AS156" s="136" t="str">
        <f t="shared" si="50"/>
        <v>ns</v>
      </c>
      <c r="AT156">
        <v>1.5</v>
      </c>
      <c r="AU156" s="86">
        <f t="shared" si="51"/>
        <v>5</v>
      </c>
      <c r="AV156" s="86" t="str">
        <f t="shared" si="52"/>
        <v/>
      </c>
      <c r="AY156" s="231" t="e">
        <f>IF(ISNUMBER(M156),M156,NA())</f>
        <v>#N/A</v>
      </c>
      <c r="AZ156" s="231" t="e">
        <f t="shared" si="56"/>
        <v>#N/A</v>
      </c>
      <c r="BA156" s="231">
        <f t="shared" si="53"/>
        <v>63.9</v>
      </c>
      <c r="BB156" s="231">
        <f t="shared" si="54"/>
        <v>6.5</v>
      </c>
      <c r="BC156" s="231">
        <f t="shared" si="55"/>
        <v>5</v>
      </c>
      <c r="BD156" s="232">
        <f>IF(ISNUMBER(S156),S156,NA())</f>
        <v>59.615384615384613</v>
      </c>
      <c r="BE156" s="232">
        <f>IF(ISNUMBER(T156),T156,NA())</f>
        <v>60</v>
      </c>
      <c r="BP156">
        <v>149</v>
      </c>
    </row>
    <row r="157" spans="1:68">
      <c r="A157" s="13">
        <v>150</v>
      </c>
      <c r="B157">
        <v>16341022</v>
      </c>
      <c r="C157" s="215"/>
      <c r="D157" s="1" t="s">
        <v>1732</v>
      </c>
      <c r="E157" t="s">
        <v>1023</v>
      </c>
      <c r="F157">
        <v>2006</v>
      </c>
      <c r="G157" s="1" t="s">
        <v>1885</v>
      </c>
      <c r="H157">
        <v>49</v>
      </c>
      <c r="I157">
        <v>50</v>
      </c>
      <c r="J157" t="s">
        <v>151</v>
      </c>
      <c r="K157">
        <v>4</v>
      </c>
      <c r="L157" t="s">
        <v>1119</v>
      </c>
      <c r="M157">
        <v>68.2</v>
      </c>
      <c r="N157">
        <v>6.4</v>
      </c>
      <c r="O157">
        <v>68.599999999999994</v>
      </c>
      <c r="P157">
        <v>5.7</v>
      </c>
      <c r="Q157">
        <v>31</v>
      </c>
      <c r="R157">
        <v>31</v>
      </c>
      <c r="S157" s="88">
        <f t="shared" si="39"/>
        <v>63.265306122448976</v>
      </c>
      <c r="T157" s="88">
        <f t="shared" si="40"/>
        <v>62</v>
      </c>
      <c r="U157">
        <v>40</v>
      </c>
      <c r="V157" t="s">
        <v>1688</v>
      </c>
      <c r="W157">
        <v>3</v>
      </c>
      <c r="X157" s="86">
        <f t="shared" si="41"/>
        <v>99</v>
      </c>
      <c r="Y157" t="s">
        <v>744</v>
      </c>
      <c r="Z157" t="s">
        <v>978</v>
      </c>
      <c r="AA157">
        <f t="shared" si="42"/>
        <v>1</v>
      </c>
      <c r="AB157">
        <v>5</v>
      </c>
      <c r="AC157" t="s">
        <v>1688</v>
      </c>
      <c r="AD157" t="s">
        <v>1688</v>
      </c>
      <c r="AE157" t="s">
        <v>1688</v>
      </c>
      <c r="AF157" t="s">
        <v>1688</v>
      </c>
      <c r="AG157" t="s">
        <v>1688</v>
      </c>
      <c r="AH157" t="s">
        <v>1688</v>
      </c>
      <c r="AI157" t="s">
        <v>1688</v>
      </c>
      <c r="AJ157" t="s">
        <v>1688</v>
      </c>
      <c r="AK157" t="s">
        <v>1688</v>
      </c>
      <c r="AL157" s="158" t="str">
        <f t="shared" si="43"/>
        <v>ns</v>
      </c>
      <c r="AM157" s="136" t="str">
        <f t="shared" si="44"/>
        <v>ns</v>
      </c>
      <c r="AN157" s="136" t="str">
        <f t="shared" si="45"/>
        <v>ns</v>
      </c>
      <c r="AO157" s="136" t="str">
        <f t="shared" si="46"/>
        <v>ns</v>
      </c>
      <c r="AP157" s="136" t="str">
        <f t="shared" si="47"/>
        <v>ns</v>
      </c>
      <c r="AQ157" s="136" t="str">
        <f t="shared" si="48"/>
        <v>ns</v>
      </c>
      <c r="AR157" s="136" t="str">
        <f t="shared" si="49"/>
        <v>ns</v>
      </c>
      <c r="AS157" s="136" t="str">
        <f t="shared" si="50"/>
        <v>ns</v>
      </c>
      <c r="AT157">
        <v>1.5</v>
      </c>
      <c r="AU157" s="86">
        <f t="shared" si="51"/>
        <v>3</v>
      </c>
      <c r="AV157" s="86" t="str">
        <f t="shared" si="52"/>
        <v/>
      </c>
      <c r="AY157" s="231">
        <f>IF(ISNUMBER(M157),M157,NA())</f>
        <v>68.2</v>
      </c>
      <c r="AZ157" s="231">
        <f t="shared" si="56"/>
        <v>6.4</v>
      </c>
      <c r="BA157" s="231">
        <f t="shared" si="53"/>
        <v>68.599999999999994</v>
      </c>
      <c r="BB157" s="231">
        <f t="shared" si="54"/>
        <v>5.7</v>
      </c>
      <c r="BC157" s="231">
        <f t="shared" si="55"/>
        <v>3</v>
      </c>
      <c r="BD157" s="232">
        <f>IF(ISNUMBER(S157),S157,NA())</f>
        <v>63.265306122448976</v>
      </c>
      <c r="BE157" s="232">
        <f>IF(ISNUMBER(T157),T157,NA())</f>
        <v>62</v>
      </c>
      <c r="BP157">
        <v>150</v>
      </c>
    </row>
    <row r="158" spans="1:68">
      <c r="A158">
        <v>151</v>
      </c>
      <c r="B158">
        <v>16876142</v>
      </c>
      <c r="C158" s="215"/>
      <c r="D158" s="1" t="s">
        <v>1461</v>
      </c>
      <c r="E158" s="94" t="s">
        <v>917</v>
      </c>
      <c r="F158" s="86">
        <v>2006</v>
      </c>
      <c r="G158" s="1" t="s">
        <v>1179</v>
      </c>
      <c r="H158">
        <v>35</v>
      </c>
      <c r="I158">
        <v>35</v>
      </c>
      <c r="J158" t="s">
        <v>151</v>
      </c>
      <c r="K158">
        <v>4</v>
      </c>
      <c r="L158" t="s">
        <v>1119</v>
      </c>
      <c r="M158">
        <v>14.49</v>
      </c>
      <c r="N158">
        <v>2.5299999999999998</v>
      </c>
      <c r="O158">
        <v>14.33</v>
      </c>
      <c r="P158">
        <v>2.46</v>
      </c>
      <c r="Q158">
        <v>20</v>
      </c>
      <c r="R158">
        <v>20</v>
      </c>
      <c r="S158" s="88">
        <f t="shared" si="39"/>
        <v>57.142857142857146</v>
      </c>
      <c r="T158" s="88">
        <f t="shared" si="40"/>
        <v>57.142857142857146</v>
      </c>
      <c r="U158" s="86" t="s">
        <v>112</v>
      </c>
      <c r="V158" s="86">
        <v>13.77</v>
      </c>
      <c r="W158" s="86">
        <v>1.5</v>
      </c>
      <c r="X158" s="86">
        <f t="shared" si="41"/>
        <v>70</v>
      </c>
      <c r="Y158" t="s">
        <v>815</v>
      </c>
      <c r="Z158" t="s">
        <v>700</v>
      </c>
      <c r="AA158">
        <f t="shared" si="42"/>
        <v>2</v>
      </c>
      <c r="AB158">
        <v>5</v>
      </c>
      <c r="AC158" t="s">
        <v>1688</v>
      </c>
      <c r="AD158" t="s">
        <v>1688</v>
      </c>
      <c r="AE158" t="s">
        <v>1688</v>
      </c>
      <c r="AF158" t="s">
        <v>1688</v>
      </c>
      <c r="AG158" t="s">
        <v>1688</v>
      </c>
      <c r="AH158" t="s">
        <v>1688</v>
      </c>
      <c r="AI158" t="s">
        <v>1688</v>
      </c>
      <c r="AJ158" t="s">
        <v>1688</v>
      </c>
      <c r="AK158" t="s">
        <v>1688</v>
      </c>
      <c r="AL158" s="158" t="str">
        <f t="shared" si="43"/>
        <v>ns</v>
      </c>
      <c r="AM158" s="136" t="str">
        <f t="shared" si="44"/>
        <v>ns</v>
      </c>
      <c r="AN158" s="136" t="str">
        <f t="shared" si="45"/>
        <v>ns</v>
      </c>
      <c r="AO158" s="136" t="str">
        <f t="shared" si="46"/>
        <v>ns</v>
      </c>
      <c r="AP158" s="136" t="str">
        <f t="shared" si="47"/>
        <v>ns</v>
      </c>
      <c r="AQ158" s="136" t="str">
        <f t="shared" si="48"/>
        <v>ns</v>
      </c>
      <c r="AR158" s="136" t="str">
        <f t="shared" si="49"/>
        <v>ns</v>
      </c>
      <c r="AS158" s="136" t="str">
        <f t="shared" si="50"/>
        <v>ns</v>
      </c>
      <c r="AT158" s="86">
        <v>1.5</v>
      </c>
      <c r="AU158" s="86">
        <f t="shared" si="51"/>
        <v>1.5</v>
      </c>
      <c r="AV158" s="86" t="str">
        <f t="shared" si="52"/>
        <v/>
      </c>
      <c r="AY158" s="231">
        <f>IF(ISNUMBER(M158),M158,NA())</f>
        <v>14.49</v>
      </c>
      <c r="AZ158" s="231">
        <f t="shared" si="56"/>
        <v>2.5299999999999998</v>
      </c>
      <c r="BA158" s="231">
        <f t="shared" si="53"/>
        <v>14.33</v>
      </c>
      <c r="BB158" s="231">
        <f t="shared" si="54"/>
        <v>2.46</v>
      </c>
      <c r="BC158" s="231">
        <f t="shared" si="55"/>
        <v>1.5</v>
      </c>
      <c r="BD158" s="232">
        <f>IF(ISNUMBER(S158),S158,NA())</f>
        <v>57.142857142857146</v>
      </c>
      <c r="BE158" s="232">
        <f>IF(ISNUMBER(T158),T158,NA())</f>
        <v>57.142857142857146</v>
      </c>
      <c r="BP158">
        <v>151</v>
      </c>
    </row>
    <row r="159" spans="1:68">
      <c r="A159" s="13">
        <v>152</v>
      </c>
      <c r="B159">
        <v>16894588</v>
      </c>
      <c r="C159" s="215"/>
      <c r="D159" s="1" t="s">
        <v>482</v>
      </c>
      <c r="E159" t="s">
        <v>1303</v>
      </c>
      <c r="F159">
        <v>2006</v>
      </c>
      <c r="G159" s="1" t="s">
        <v>1179</v>
      </c>
      <c r="H159">
        <v>29</v>
      </c>
      <c r="I159">
        <v>22</v>
      </c>
      <c r="J159" s="13" t="s">
        <v>151</v>
      </c>
      <c r="K159" s="13">
        <v>4</v>
      </c>
      <c r="L159" t="s">
        <v>1119</v>
      </c>
      <c r="M159">
        <v>71</v>
      </c>
      <c r="N159">
        <v>6.54</v>
      </c>
      <c r="O159">
        <v>72.900000000000006</v>
      </c>
      <c r="P159">
        <v>5.38</v>
      </c>
      <c r="Q159">
        <v>12</v>
      </c>
      <c r="R159">
        <v>16</v>
      </c>
      <c r="S159" s="88">
        <f t="shared" si="39"/>
        <v>41.379310344827587</v>
      </c>
      <c r="T159" s="88">
        <f t="shared" si="40"/>
        <v>72.727272727272734</v>
      </c>
      <c r="U159" s="86" t="s">
        <v>1688</v>
      </c>
      <c r="V159" s="86" t="s">
        <v>1688</v>
      </c>
      <c r="W159" s="86">
        <v>3</v>
      </c>
      <c r="X159" s="86">
        <f t="shared" si="41"/>
        <v>51</v>
      </c>
      <c r="Y159" t="s">
        <v>1075</v>
      </c>
      <c r="Z159" t="s">
        <v>978</v>
      </c>
      <c r="AA159">
        <f t="shared" si="42"/>
        <v>1</v>
      </c>
      <c r="AB159">
        <v>5</v>
      </c>
      <c r="AC159" t="s">
        <v>1688</v>
      </c>
      <c r="AD159" t="s">
        <v>1688</v>
      </c>
      <c r="AE159" t="s">
        <v>1688</v>
      </c>
      <c r="AF159" t="s">
        <v>1688</v>
      </c>
      <c r="AG159" t="s">
        <v>1688</v>
      </c>
      <c r="AH159" t="s">
        <v>1688</v>
      </c>
      <c r="AI159" t="s">
        <v>1688</v>
      </c>
      <c r="AJ159" t="s">
        <v>1688</v>
      </c>
      <c r="AK159" t="s">
        <v>1688</v>
      </c>
      <c r="AL159" s="158" t="str">
        <f t="shared" si="43"/>
        <v>ns</v>
      </c>
      <c r="AM159" s="136" t="str">
        <f t="shared" si="44"/>
        <v>ns</v>
      </c>
      <c r="AN159" s="136" t="str">
        <f t="shared" si="45"/>
        <v>ns</v>
      </c>
      <c r="AO159" s="136" t="str">
        <f t="shared" si="46"/>
        <v>ns</v>
      </c>
      <c r="AP159" s="136" t="str">
        <f t="shared" si="47"/>
        <v>ns</v>
      </c>
      <c r="AQ159" s="136" t="str">
        <f t="shared" si="48"/>
        <v>ns</v>
      </c>
      <c r="AR159" s="136" t="str">
        <f t="shared" si="49"/>
        <v>ns</v>
      </c>
      <c r="AS159" s="136" t="str">
        <f t="shared" si="50"/>
        <v>ns</v>
      </c>
      <c r="AT159" s="86">
        <v>1.5</v>
      </c>
      <c r="AU159" s="86">
        <f t="shared" si="51"/>
        <v>3</v>
      </c>
      <c r="AV159" s="86" t="str">
        <f t="shared" si="52"/>
        <v/>
      </c>
      <c r="AY159" s="231">
        <f>IF(ISNUMBER(M159),M159,NA())</f>
        <v>71</v>
      </c>
      <c r="AZ159" s="231">
        <f t="shared" si="56"/>
        <v>6.54</v>
      </c>
      <c r="BA159" s="231">
        <f t="shared" si="53"/>
        <v>72.900000000000006</v>
      </c>
      <c r="BB159" s="231">
        <f t="shared" si="54"/>
        <v>5.38</v>
      </c>
      <c r="BC159" s="231">
        <f t="shared" si="55"/>
        <v>3</v>
      </c>
      <c r="BD159" s="232">
        <f>IF(ISNUMBER(S159),S159,NA())</f>
        <v>41.379310344827587</v>
      </c>
      <c r="BE159" s="232">
        <f>IF(ISNUMBER(T159),T159,NA())</f>
        <v>72.727272727272734</v>
      </c>
      <c r="BP159">
        <v>152</v>
      </c>
    </row>
    <row r="160" spans="1:68">
      <c r="A160">
        <v>153</v>
      </c>
      <c r="B160">
        <v>16395541</v>
      </c>
      <c r="C160" s="215"/>
      <c r="D160" s="1" t="s">
        <v>1170</v>
      </c>
      <c r="E160" s="94" t="s">
        <v>1360</v>
      </c>
      <c r="F160" s="86">
        <v>2006</v>
      </c>
      <c r="G160" s="1" t="s">
        <v>1547</v>
      </c>
      <c r="H160">
        <v>24</v>
      </c>
      <c r="I160">
        <v>24</v>
      </c>
      <c r="J160" t="s">
        <v>151</v>
      </c>
      <c r="K160">
        <v>4</v>
      </c>
      <c r="L160" t="s">
        <v>1119</v>
      </c>
      <c r="M160">
        <v>33.4</v>
      </c>
      <c r="N160">
        <v>9.3000000000000007</v>
      </c>
      <c r="O160">
        <v>30.16</v>
      </c>
      <c r="P160">
        <v>6.1</v>
      </c>
      <c r="Q160">
        <v>18</v>
      </c>
      <c r="R160">
        <v>18</v>
      </c>
      <c r="S160" s="88">
        <f t="shared" si="39"/>
        <v>75</v>
      </c>
      <c r="T160" s="88">
        <f t="shared" si="40"/>
        <v>75</v>
      </c>
      <c r="U160" s="86" t="s">
        <v>1688</v>
      </c>
      <c r="V160" s="86">
        <v>24.4</v>
      </c>
      <c r="W160" s="86">
        <v>2</v>
      </c>
      <c r="X160" s="86">
        <f t="shared" si="41"/>
        <v>48</v>
      </c>
      <c r="Y160" t="s">
        <v>1066</v>
      </c>
      <c r="Z160" t="s">
        <v>1502</v>
      </c>
      <c r="AA160">
        <f t="shared" si="42"/>
        <v>3</v>
      </c>
      <c r="AB160">
        <v>5</v>
      </c>
      <c r="AC160">
        <v>0</v>
      </c>
      <c r="AD160">
        <v>0</v>
      </c>
      <c r="AE160">
        <v>0</v>
      </c>
      <c r="AF160">
        <v>0</v>
      </c>
      <c r="AG160">
        <v>0</v>
      </c>
      <c r="AH160">
        <v>0</v>
      </c>
      <c r="AI160">
        <v>0</v>
      </c>
      <c r="AJ160">
        <v>24</v>
      </c>
      <c r="AK160">
        <v>0</v>
      </c>
      <c r="AL160" s="158">
        <f t="shared" si="43"/>
        <v>0</v>
      </c>
      <c r="AM160" s="136">
        <f t="shared" si="44"/>
        <v>0</v>
      </c>
      <c r="AN160" s="136">
        <f t="shared" si="45"/>
        <v>0</v>
      </c>
      <c r="AO160" s="136">
        <f t="shared" si="46"/>
        <v>0</v>
      </c>
      <c r="AP160" s="136">
        <f t="shared" si="47"/>
        <v>0</v>
      </c>
      <c r="AQ160" s="136">
        <f t="shared" si="48"/>
        <v>0</v>
      </c>
      <c r="AR160" s="136">
        <f t="shared" si="49"/>
        <v>0</v>
      </c>
      <c r="AS160" s="136">
        <f t="shared" si="50"/>
        <v>100</v>
      </c>
      <c r="AT160" s="86">
        <v>1.5</v>
      </c>
      <c r="AU160" s="86">
        <f t="shared" si="51"/>
        <v>2</v>
      </c>
      <c r="AV160" s="86" t="str">
        <f t="shared" si="52"/>
        <v/>
      </c>
      <c r="AY160" s="231">
        <f>IF(ISNUMBER(M160),M160,NA())</f>
        <v>33.4</v>
      </c>
      <c r="AZ160" s="231">
        <f t="shared" si="56"/>
        <v>9.3000000000000007</v>
      </c>
      <c r="BA160" s="231">
        <f t="shared" si="53"/>
        <v>30.16</v>
      </c>
      <c r="BB160" s="231">
        <f t="shared" si="54"/>
        <v>6.1</v>
      </c>
      <c r="BC160" s="231">
        <f t="shared" si="55"/>
        <v>2</v>
      </c>
      <c r="BD160" s="232">
        <f>IF(ISNUMBER(S160),S160,NA())</f>
        <v>75</v>
      </c>
      <c r="BE160" s="232">
        <f>IF(ISNUMBER(T160),T160,NA())</f>
        <v>75</v>
      </c>
      <c r="BP160">
        <v>153</v>
      </c>
    </row>
    <row r="161" spans="1:68">
      <c r="A161" s="13">
        <v>154</v>
      </c>
      <c r="B161">
        <v>16461856</v>
      </c>
      <c r="C161" s="215"/>
      <c r="D161" s="1" t="s">
        <v>569</v>
      </c>
      <c r="E161" t="s">
        <v>631</v>
      </c>
      <c r="F161">
        <v>2006</v>
      </c>
      <c r="G161" s="1" t="s">
        <v>632</v>
      </c>
      <c r="H161">
        <v>12</v>
      </c>
      <c r="I161">
        <v>87</v>
      </c>
      <c r="J161" t="s">
        <v>296</v>
      </c>
      <c r="K161">
        <v>3</v>
      </c>
      <c r="L161" t="s">
        <v>1119</v>
      </c>
      <c r="M161">
        <v>22.6</v>
      </c>
      <c r="N161">
        <v>4.0999999999999996</v>
      </c>
      <c r="O161">
        <v>26.9</v>
      </c>
      <c r="P161">
        <v>10</v>
      </c>
      <c r="Q161">
        <v>5</v>
      </c>
      <c r="R161">
        <v>32</v>
      </c>
      <c r="S161" s="88">
        <f t="shared" si="39"/>
        <v>41.666666666666664</v>
      </c>
      <c r="T161" s="88">
        <f t="shared" si="40"/>
        <v>36.781609195402297</v>
      </c>
      <c r="U161" s="86">
        <v>21.5</v>
      </c>
      <c r="V161" s="86" t="s">
        <v>1688</v>
      </c>
      <c r="W161" s="86">
        <v>1.5</v>
      </c>
      <c r="X161" s="86">
        <f t="shared" si="41"/>
        <v>99</v>
      </c>
      <c r="Y161" t="s">
        <v>570</v>
      </c>
      <c r="Z161" t="s">
        <v>1699</v>
      </c>
      <c r="AA161">
        <f t="shared" si="42"/>
        <v>6</v>
      </c>
      <c r="AB161">
        <v>4</v>
      </c>
      <c r="AC161" t="s">
        <v>1688</v>
      </c>
      <c r="AD161" t="s">
        <v>1688</v>
      </c>
      <c r="AE161" t="s">
        <v>1688</v>
      </c>
      <c r="AF161" t="s">
        <v>1688</v>
      </c>
      <c r="AG161" t="s">
        <v>1688</v>
      </c>
      <c r="AH161" t="s">
        <v>1688</v>
      </c>
      <c r="AI161" t="s">
        <v>1688</v>
      </c>
      <c r="AJ161" t="s">
        <v>1688</v>
      </c>
      <c r="AK161" t="s">
        <v>1688</v>
      </c>
      <c r="AL161" s="158" t="str">
        <f t="shared" si="43"/>
        <v>ns</v>
      </c>
      <c r="AM161" s="136" t="str">
        <f t="shared" si="44"/>
        <v>ns</v>
      </c>
      <c r="AN161" s="136" t="str">
        <f t="shared" si="45"/>
        <v>ns</v>
      </c>
      <c r="AO161" s="136" t="str">
        <f t="shared" si="46"/>
        <v>ns</v>
      </c>
      <c r="AP161" s="136" t="str">
        <f t="shared" si="47"/>
        <v>ns</v>
      </c>
      <c r="AQ161" s="136" t="str">
        <f t="shared" si="48"/>
        <v>ns</v>
      </c>
      <c r="AR161" s="136" t="str">
        <f t="shared" si="49"/>
        <v>ns</v>
      </c>
      <c r="AS161" s="136" t="str">
        <f t="shared" si="50"/>
        <v>ns</v>
      </c>
      <c r="AT161" s="86">
        <v>1.5</v>
      </c>
      <c r="AU161" s="86">
        <f t="shared" si="51"/>
        <v>1.5</v>
      </c>
      <c r="AV161" s="86" t="str">
        <f t="shared" si="52"/>
        <v/>
      </c>
      <c r="AY161" s="231">
        <f>IF(ISNUMBER(M161),M161,NA())</f>
        <v>22.6</v>
      </c>
      <c r="AZ161" s="231">
        <f t="shared" si="56"/>
        <v>4.0999999999999996</v>
      </c>
      <c r="BA161" s="231">
        <f t="shared" si="53"/>
        <v>26.9</v>
      </c>
      <c r="BB161" s="231">
        <f t="shared" si="54"/>
        <v>10</v>
      </c>
      <c r="BC161" s="231">
        <f t="shared" si="55"/>
        <v>1.5</v>
      </c>
      <c r="BD161" s="232">
        <f>IF(ISNUMBER(S161),S161,NA())</f>
        <v>41.666666666666664</v>
      </c>
      <c r="BE161" s="232">
        <f>IF(ISNUMBER(T161),T161,NA())</f>
        <v>36.781609195402297</v>
      </c>
      <c r="BP161">
        <v>154</v>
      </c>
    </row>
    <row r="162" spans="1:68">
      <c r="A162">
        <v>155</v>
      </c>
      <c r="B162">
        <v>16740316</v>
      </c>
      <c r="C162" s="215"/>
      <c r="D162" s="1" t="s">
        <v>1376</v>
      </c>
      <c r="E162" s="94" t="s">
        <v>1638</v>
      </c>
      <c r="F162" s="86">
        <v>2006</v>
      </c>
      <c r="G162" s="1" t="s">
        <v>1548</v>
      </c>
      <c r="H162">
        <v>21</v>
      </c>
      <c r="I162">
        <v>23</v>
      </c>
      <c r="J162" t="s">
        <v>151</v>
      </c>
      <c r="K162">
        <v>4</v>
      </c>
      <c r="L162" t="s">
        <v>1119</v>
      </c>
      <c r="M162">
        <v>34</v>
      </c>
      <c r="N162">
        <v>9</v>
      </c>
      <c r="O162">
        <v>32</v>
      </c>
      <c r="P162">
        <v>7</v>
      </c>
      <c r="Q162">
        <v>21</v>
      </c>
      <c r="R162">
        <v>23</v>
      </c>
      <c r="S162" s="88">
        <f t="shared" si="39"/>
        <v>100</v>
      </c>
      <c r="T162" s="88">
        <f t="shared" si="40"/>
        <v>100</v>
      </c>
      <c r="U162" s="86">
        <v>28</v>
      </c>
      <c r="V162" s="86">
        <v>23</v>
      </c>
      <c r="W162" s="86">
        <v>1.3</v>
      </c>
      <c r="X162" s="86">
        <f t="shared" si="41"/>
        <v>44</v>
      </c>
      <c r="Y162" t="s">
        <v>1673</v>
      </c>
      <c r="Z162" t="s">
        <v>1503</v>
      </c>
      <c r="AA162">
        <f t="shared" si="42"/>
        <v>6</v>
      </c>
      <c r="AB162">
        <v>5</v>
      </c>
      <c r="AC162">
        <v>21</v>
      </c>
      <c r="AD162" t="s">
        <v>1688</v>
      </c>
      <c r="AE162" t="s">
        <v>1688</v>
      </c>
      <c r="AF162" t="s">
        <v>1688</v>
      </c>
      <c r="AG162" t="s">
        <v>1688</v>
      </c>
      <c r="AH162" t="s">
        <v>1688</v>
      </c>
      <c r="AI162" t="s">
        <v>1688</v>
      </c>
      <c r="AJ162">
        <v>0</v>
      </c>
      <c r="AK162" t="s">
        <v>1688</v>
      </c>
      <c r="AL162" s="158">
        <f t="shared" si="43"/>
        <v>100</v>
      </c>
      <c r="AM162" s="136" t="str">
        <f t="shared" si="44"/>
        <v>ns</v>
      </c>
      <c r="AN162" s="136" t="str">
        <f t="shared" si="45"/>
        <v>ns</v>
      </c>
      <c r="AO162" s="136" t="str">
        <f t="shared" si="46"/>
        <v>ns</v>
      </c>
      <c r="AP162" s="136" t="str">
        <f t="shared" si="47"/>
        <v>ns</v>
      </c>
      <c r="AQ162" s="136" t="str">
        <f t="shared" si="48"/>
        <v>ns</v>
      </c>
      <c r="AR162" s="136" t="str">
        <f t="shared" si="49"/>
        <v>ns</v>
      </c>
      <c r="AS162" s="136">
        <f t="shared" si="50"/>
        <v>0</v>
      </c>
      <c r="AT162" s="86">
        <v>1.5</v>
      </c>
      <c r="AU162" s="86">
        <f t="shared" si="51"/>
        <v>1.3</v>
      </c>
      <c r="AV162" s="86" t="str">
        <f t="shared" si="52"/>
        <v/>
      </c>
      <c r="AY162" s="231">
        <f>IF(ISNUMBER(M162),M162,NA())</f>
        <v>34</v>
      </c>
      <c r="AZ162" s="231">
        <f t="shared" si="56"/>
        <v>9</v>
      </c>
      <c r="BA162" s="231">
        <f t="shared" si="53"/>
        <v>32</v>
      </c>
      <c r="BB162" s="231">
        <f t="shared" si="54"/>
        <v>7</v>
      </c>
      <c r="BC162" s="231">
        <f t="shared" si="55"/>
        <v>1.3</v>
      </c>
      <c r="BD162" s="232">
        <f>IF(ISNUMBER(S162),S162,NA())</f>
        <v>100</v>
      </c>
      <c r="BE162" s="232">
        <f>IF(ISNUMBER(T162),T162,NA())</f>
        <v>100</v>
      </c>
      <c r="BP162">
        <v>155</v>
      </c>
    </row>
    <row r="163" spans="1:68">
      <c r="A163" s="13">
        <v>156</v>
      </c>
      <c r="B163">
        <v>17097277</v>
      </c>
      <c r="C163" s="215"/>
      <c r="D163" s="1" t="s">
        <v>723</v>
      </c>
      <c r="E163" s="94" t="s">
        <v>1635</v>
      </c>
      <c r="F163" s="86">
        <v>2006</v>
      </c>
      <c r="G163" s="1" t="s">
        <v>1549</v>
      </c>
      <c r="H163">
        <v>11</v>
      </c>
      <c r="I163">
        <v>8</v>
      </c>
      <c r="J163" t="s">
        <v>151</v>
      </c>
      <c r="K163">
        <v>4</v>
      </c>
      <c r="L163" t="s">
        <v>1119</v>
      </c>
      <c r="M163">
        <v>72.2</v>
      </c>
      <c r="N163">
        <v>5.3</v>
      </c>
      <c r="O163">
        <v>72.3</v>
      </c>
      <c r="P163">
        <v>4.8</v>
      </c>
      <c r="Q163">
        <v>6</v>
      </c>
      <c r="R163">
        <v>4</v>
      </c>
      <c r="S163" s="88">
        <f t="shared" si="39"/>
        <v>54.545454545454547</v>
      </c>
      <c r="T163" s="88">
        <f t="shared" si="40"/>
        <v>50</v>
      </c>
      <c r="U163" s="86" t="s">
        <v>1688</v>
      </c>
      <c r="V163" s="86">
        <v>20.3</v>
      </c>
      <c r="W163" s="86">
        <v>5</v>
      </c>
      <c r="X163" s="86">
        <f t="shared" si="41"/>
        <v>19</v>
      </c>
      <c r="Y163" t="s">
        <v>1373</v>
      </c>
      <c r="Z163" t="s">
        <v>978</v>
      </c>
      <c r="AA163">
        <f t="shared" si="42"/>
        <v>1</v>
      </c>
      <c r="AB163">
        <v>5</v>
      </c>
      <c r="AC163" t="s">
        <v>1688</v>
      </c>
      <c r="AD163" t="s">
        <v>1688</v>
      </c>
      <c r="AE163" t="s">
        <v>1688</v>
      </c>
      <c r="AF163" t="s">
        <v>1688</v>
      </c>
      <c r="AG163" t="s">
        <v>1688</v>
      </c>
      <c r="AH163" t="s">
        <v>1688</v>
      </c>
      <c r="AI163" t="s">
        <v>1688</v>
      </c>
      <c r="AJ163" t="s">
        <v>1688</v>
      </c>
      <c r="AK163" t="s">
        <v>1688</v>
      </c>
      <c r="AL163" s="158" t="str">
        <f t="shared" si="43"/>
        <v>ns</v>
      </c>
      <c r="AM163" s="136" t="str">
        <f t="shared" si="44"/>
        <v>ns</v>
      </c>
      <c r="AN163" s="136" t="str">
        <f t="shared" si="45"/>
        <v>ns</v>
      </c>
      <c r="AO163" s="136" t="str">
        <f t="shared" si="46"/>
        <v>ns</v>
      </c>
      <c r="AP163" s="136" t="str">
        <f t="shared" si="47"/>
        <v>ns</v>
      </c>
      <c r="AQ163" s="136" t="str">
        <f t="shared" si="48"/>
        <v>ns</v>
      </c>
      <c r="AR163" s="136" t="str">
        <f t="shared" si="49"/>
        <v>ns</v>
      </c>
      <c r="AS163" s="136" t="str">
        <f t="shared" si="50"/>
        <v>ns</v>
      </c>
      <c r="AT163" s="86">
        <v>1.5</v>
      </c>
      <c r="AU163" s="86">
        <f t="shared" si="51"/>
        <v>5</v>
      </c>
      <c r="AV163" s="86" t="str">
        <f t="shared" si="52"/>
        <v/>
      </c>
      <c r="AY163" s="231">
        <f>IF(ISNUMBER(M163),M163,NA())</f>
        <v>72.2</v>
      </c>
      <c r="AZ163" s="231">
        <f t="shared" si="56"/>
        <v>5.3</v>
      </c>
      <c r="BA163" s="231">
        <f t="shared" si="53"/>
        <v>72.3</v>
      </c>
      <c r="BB163" s="231">
        <f t="shared" si="54"/>
        <v>4.8</v>
      </c>
      <c r="BC163" s="231">
        <f t="shared" si="55"/>
        <v>5</v>
      </c>
      <c r="BD163" s="232">
        <f>IF(ISNUMBER(S163),S163,NA())</f>
        <v>54.545454545454547</v>
      </c>
      <c r="BE163" s="232">
        <f>IF(ISNUMBER(T163),T163,NA())</f>
        <v>50</v>
      </c>
      <c r="BP163">
        <v>156</v>
      </c>
    </row>
    <row r="164" spans="1:68">
      <c r="A164">
        <v>157</v>
      </c>
      <c r="B164">
        <v>17949901</v>
      </c>
      <c r="C164" s="215"/>
      <c r="D164" s="1" t="s">
        <v>1620</v>
      </c>
      <c r="E164" s="94" t="s">
        <v>1831</v>
      </c>
      <c r="F164" s="86">
        <v>2007</v>
      </c>
      <c r="G164" s="1" t="s">
        <v>1550</v>
      </c>
      <c r="H164">
        <v>19</v>
      </c>
      <c r="I164">
        <v>24</v>
      </c>
      <c r="J164" t="s">
        <v>151</v>
      </c>
      <c r="K164">
        <v>4</v>
      </c>
      <c r="L164" t="s">
        <v>1119</v>
      </c>
      <c r="M164">
        <v>13</v>
      </c>
      <c r="N164">
        <v>2.4</v>
      </c>
      <c r="O164">
        <v>13.9</v>
      </c>
      <c r="P164">
        <v>2.9</v>
      </c>
      <c r="Q164">
        <v>6</v>
      </c>
      <c r="R164">
        <v>11</v>
      </c>
      <c r="S164" s="88">
        <f t="shared" si="39"/>
        <v>31.578947368421051</v>
      </c>
      <c r="T164" s="88">
        <f t="shared" si="40"/>
        <v>45.833333333333336</v>
      </c>
      <c r="U164" s="86">
        <v>10.3</v>
      </c>
      <c r="V164" s="86" t="s">
        <v>1688</v>
      </c>
      <c r="W164" s="86">
        <v>1</v>
      </c>
      <c r="X164" s="86">
        <f t="shared" si="41"/>
        <v>43</v>
      </c>
      <c r="Y164" t="s">
        <v>1835</v>
      </c>
      <c r="Z164" t="s">
        <v>1505</v>
      </c>
      <c r="AA164">
        <f t="shared" si="42"/>
        <v>5</v>
      </c>
      <c r="AB164">
        <v>5</v>
      </c>
      <c r="AC164">
        <v>9</v>
      </c>
      <c r="AD164">
        <v>5</v>
      </c>
      <c r="AE164" t="s">
        <v>1688</v>
      </c>
      <c r="AF164" t="s">
        <v>1688</v>
      </c>
      <c r="AG164">
        <v>1</v>
      </c>
      <c r="AH164" t="s">
        <v>1688</v>
      </c>
      <c r="AI164" t="s">
        <v>1688</v>
      </c>
      <c r="AJ164">
        <v>10</v>
      </c>
      <c r="AK164" t="s">
        <v>1688</v>
      </c>
      <c r="AL164" s="158">
        <f t="shared" si="43"/>
        <v>47.368421052631575</v>
      </c>
      <c r="AM164" s="136">
        <f t="shared" si="44"/>
        <v>26.315789473684209</v>
      </c>
      <c r="AN164" s="136" t="str">
        <f t="shared" si="45"/>
        <v>ns</v>
      </c>
      <c r="AO164" s="136" t="str">
        <f t="shared" si="46"/>
        <v>ns</v>
      </c>
      <c r="AP164" s="136">
        <f t="shared" si="47"/>
        <v>5.2631578947368416</v>
      </c>
      <c r="AQ164" s="136" t="str">
        <f t="shared" si="48"/>
        <v>ns</v>
      </c>
      <c r="AR164" s="136" t="str">
        <f t="shared" si="49"/>
        <v>ns</v>
      </c>
      <c r="AS164" s="136">
        <f t="shared" si="50"/>
        <v>52.631578947368418</v>
      </c>
      <c r="AT164" s="86">
        <v>1.5</v>
      </c>
      <c r="AU164" s="86">
        <f t="shared" si="51"/>
        <v>1</v>
      </c>
      <c r="AV164" s="86" t="str">
        <f t="shared" si="52"/>
        <v/>
      </c>
      <c r="AY164" s="231">
        <f>IF(ISNUMBER(M164),M164,NA())</f>
        <v>13</v>
      </c>
      <c r="AZ164" s="231">
        <f t="shared" si="56"/>
        <v>2.4</v>
      </c>
      <c r="BA164" s="231">
        <f t="shared" si="53"/>
        <v>13.9</v>
      </c>
      <c r="BB164" s="231">
        <f t="shared" si="54"/>
        <v>2.9</v>
      </c>
      <c r="BC164" s="231">
        <f t="shared" si="55"/>
        <v>1</v>
      </c>
      <c r="BD164" s="232">
        <f>IF(ISNUMBER(S164),S164,NA())</f>
        <v>31.578947368421051</v>
      </c>
      <c r="BE164" s="232">
        <f>IF(ISNUMBER(T164),T164,NA())</f>
        <v>45.833333333333336</v>
      </c>
      <c r="BP164">
        <v>157</v>
      </c>
    </row>
    <row r="165" spans="1:68">
      <c r="A165" s="13">
        <v>158</v>
      </c>
      <c r="B165">
        <v>17023001</v>
      </c>
      <c r="C165" s="215"/>
      <c r="D165" s="1" t="s">
        <v>1231</v>
      </c>
      <c r="E165" s="94" t="s">
        <v>1714</v>
      </c>
      <c r="F165" s="86">
        <v>2007</v>
      </c>
      <c r="G165" s="1" t="s">
        <v>1418</v>
      </c>
      <c r="H165">
        <v>24</v>
      </c>
      <c r="I165">
        <v>14</v>
      </c>
      <c r="J165" t="s">
        <v>151</v>
      </c>
      <c r="K165">
        <v>4</v>
      </c>
      <c r="L165" t="s">
        <v>1119</v>
      </c>
      <c r="M165">
        <v>54.5</v>
      </c>
      <c r="N165">
        <v>11.9</v>
      </c>
      <c r="O165">
        <v>53.8</v>
      </c>
      <c r="P165">
        <v>17.7</v>
      </c>
      <c r="Q165">
        <v>15</v>
      </c>
      <c r="R165">
        <v>8</v>
      </c>
      <c r="S165" s="88">
        <f t="shared" si="39"/>
        <v>62.5</v>
      </c>
      <c r="T165" s="88">
        <f t="shared" si="40"/>
        <v>57.142857142857146</v>
      </c>
      <c r="U165" s="86" t="s">
        <v>1688</v>
      </c>
      <c r="V165" s="86">
        <v>25.3</v>
      </c>
      <c r="W165" s="86">
        <v>1.05</v>
      </c>
      <c r="X165" s="86">
        <f t="shared" si="41"/>
        <v>38</v>
      </c>
      <c r="Y165" t="s">
        <v>1371</v>
      </c>
      <c r="Z165" t="s">
        <v>1656</v>
      </c>
      <c r="AA165">
        <f t="shared" si="42"/>
        <v>4</v>
      </c>
      <c r="AB165">
        <v>5</v>
      </c>
      <c r="AC165">
        <v>0</v>
      </c>
      <c r="AD165">
        <v>0</v>
      </c>
      <c r="AE165">
        <v>0</v>
      </c>
      <c r="AF165">
        <v>0</v>
      </c>
      <c r="AG165">
        <v>0</v>
      </c>
      <c r="AH165">
        <v>0</v>
      </c>
      <c r="AI165">
        <v>0</v>
      </c>
      <c r="AJ165" t="s">
        <v>1688</v>
      </c>
      <c r="AK165" t="s">
        <v>2111</v>
      </c>
      <c r="AL165" s="158">
        <f t="shared" si="43"/>
        <v>0</v>
      </c>
      <c r="AM165" s="136">
        <f t="shared" si="44"/>
        <v>0</v>
      </c>
      <c r="AN165" s="136">
        <f t="shared" si="45"/>
        <v>0</v>
      </c>
      <c r="AO165" s="136">
        <f t="shared" si="46"/>
        <v>0</v>
      </c>
      <c r="AP165" s="136">
        <f t="shared" si="47"/>
        <v>0</v>
      </c>
      <c r="AQ165" s="136">
        <f t="shared" si="48"/>
        <v>0</v>
      </c>
      <c r="AR165" s="136">
        <f t="shared" si="49"/>
        <v>0</v>
      </c>
      <c r="AS165" s="136" t="str">
        <f t="shared" si="50"/>
        <v>ns</v>
      </c>
      <c r="AT165" s="86">
        <v>1.5</v>
      </c>
      <c r="AU165" s="86">
        <f t="shared" si="51"/>
        <v>1.05</v>
      </c>
      <c r="AV165" s="86" t="str">
        <f t="shared" si="52"/>
        <v/>
      </c>
      <c r="AY165" s="231">
        <f>IF(ISNUMBER(M165),M165,NA())</f>
        <v>54.5</v>
      </c>
      <c r="AZ165" s="231">
        <f t="shared" si="56"/>
        <v>11.9</v>
      </c>
      <c r="BA165" s="231">
        <f t="shared" si="53"/>
        <v>53.8</v>
      </c>
      <c r="BB165" s="231">
        <f t="shared" si="54"/>
        <v>17.7</v>
      </c>
      <c r="BC165" s="231">
        <f t="shared" si="55"/>
        <v>1.05</v>
      </c>
      <c r="BD165" s="232">
        <f>IF(ISNUMBER(S165),S165,NA())</f>
        <v>62.5</v>
      </c>
      <c r="BE165" s="232">
        <f>IF(ISNUMBER(T165),T165,NA())</f>
        <v>57.142857142857146</v>
      </c>
      <c r="BP165">
        <v>158</v>
      </c>
    </row>
    <row r="166" spans="1:68">
      <c r="A166">
        <v>159</v>
      </c>
      <c r="B166">
        <v>17404118</v>
      </c>
      <c r="C166" s="215"/>
      <c r="D166" s="1" t="s">
        <v>603</v>
      </c>
      <c r="E166" s="94" t="s">
        <v>1098</v>
      </c>
      <c r="F166" s="86">
        <v>2007</v>
      </c>
      <c r="G166" s="1" t="s">
        <v>1419</v>
      </c>
      <c r="H166">
        <v>60</v>
      </c>
      <c r="I166">
        <v>60</v>
      </c>
      <c r="J166" s="2" t="s">
        <v>151</v>
      </c>
      <c r="K166" s="2">
        <v>4</v>
      </c>
      <c r="L166" t="s">
        <v>1119</v>
      </c>
      <c r="M166">
        <v>44.2</v>
      </c>
      <c r="N166">
        <v>11.8</v>
      </c>
      <c r="O166">
        <v>41.6</v>
      </c>
      <c r="P166">
        <v>12.3</v>
      </c>
      <c r="Q166">
        <v>29</v>
      </c>
      <c r="R166">
        <v>29</v>
      </c>
      <c r="S166" s="88">
        <f t="shared" si="39"/>
        <v>48.333333333333336</v>
      </c>
      <c r="T166" s="88">
        <f t="shared" si="40"/>
        <v>48.333333333333336</v>
      </c>
      <c r="U166" s="86">
        <v>37.700000000000003</v>
      </c>
      <c r="V166" s="86">
        <v>23</v>
      </c>
      <c r="W166" s="86">
        <v>1.5</v>
      </c>
      <c r="X166" s="86">
        <f t="shared" si="41"/>
        <v>120</v>
      </c>
      <c r="Y166" t="s">
        <v>1504</v>
      </c>
      <c r="Z166" s="4" t="s">
        <v>1495</v>
      </c>
      <c r="AA166">
        <f t="shared" si="42"/>
        <v>7</v>
      </c>
      <c r="AB166">
        <v>5</v>
      </c>
      <c r="AC166">
        <v>51</v>
      </c>
      <c r="AD166">
        <v>17</v>
      </c>
      <c r="AE166">
        <v>11</v>
      </c>
      <c r="AF166">
        <v>0</v>
      </c>
      <c r="AG166">
        <v>23</v>
      </c>
      <c r="AH166" t="s">
        <v>1688</v>
      </c>
      <c r="AI166" t="s">
        <v>1688</v>
      </c>
      <c r="AJ166" t="s">
        <v>1688</v>
      </c>
      <c r="AK166" t="s">
        <v>1688</v>
      </c>
      <c r="AL166" s="158">
        <f t="shared" si="43"/>
        <v>85</v>
      </c>
      <c r="AM166" s="136">
        <f t="shared" si="44"/>
        <v>28.333333333333332</v>
      </c>
      <c r="AN166" s="136">
        <f t="shared" si="45"/>
        <v>18.333333333333332</v>
      </c>
      <c r="AO166" s="136">
        <f t="shared" si="46"/>
        <v>0</v>
      </c>
      <c r="AP166" s="136">
        <f t="shared" si="47"/>
        <v>38.333333333333336</v>
      </c>
      <c r="AQ166" s="136" t="str">
        <f t="shared" si="48"/>
        <v>ns</v>
      </c>
      <c r="AR166" s="136" t="str">
        <f t="shared" si="49"/>
        <v>ns</v>
      </c>
      <c r="AS166" s="136" t="str">
        <f t="shared" si="50"/>
        <v>ns</v>
      </c>
      <c r="AT166" s="86">
        <v>1.5</v>
      </c>
      <c r="AU166" s="86">
        <f t="shared" si="51"/>
        <v>1.5</v>
      </c>
      <c r="AV166" s="86" t="str">
        <f t="shared" si="52"/>
        <v/>
      </c>
      <c r="AY166" s="231">
        <f>IF(ISNUMBER(M166),M166,NA())</f>
        <v>44.2</v>
      </c>
      <c r="AZ166" s="231">
        <f t="shared" si="56"/>
        <v>11.8</v>
      </c>
      <c r="BA166" s="231">
        <f t="shared" si="53"/>
        <v>41.6</v>
      </c>
      <c r="BB166" s="231">
        <f t="shared" si="54"/>
        <v>12.3</v>
      </c>
      <c r="BC166" s="231">
        <f t="shared" si="55"/>
        <v>1.5</v>
      </c>
      <c r="BD166" s="232">
        <f>IF(ISNUMBER(S166),S166,NA())</f>
        <v>48.333333333333336</v>
      </c>
      <c r="BE166" s="232">
        <f>IF(ISNUMBER(T166),T166,NA())</f>
        <v>48.333333333333336</v>
      </c>
      <c r="BP166">
        <v>159</v>
      </c>
    </row>
    <row r="167" spans="1:68">
      <c r="A167" s="13">
        <v>160</v>
      </c>
      <c r="B167">
        <v>16930719</v>
      </c>
      <c r="C167" s="215"/>
      <c r="D167" s="1" t="s">
        <v>1100</v>
      </c>
      <c r="E167" s="94" t="s">
        <v>930</v>
      </c>
      <c r="F167" s="86">
        <v>2007</v>
      </c>
      <c r="G167" s="1" t="s">
        <v>1238</v>
      </c>
      <c r="H167">
        <v>45</v>
      </c>
      <c r="I167">
        <v>16</v>
      </c>
      <c r="J167" s="13" t="s">
        <v>151</v>
      </c>
      <c r="K167" s="13">
        <v>4</v>
      </c>
      <c r="L167" t="s">
        <v>1119</v>
      </c>
      <c r="M167">
        <v>52</v>
      </c>
      <c r="N167">
        <v>12.8</v>
      </c>
      <c r="O167">
        <v>55.8</v>
      </c>
      <c r="P167">
        <v>10.3</v>
      </c>
      <c r="Q167">
        <v>30</v>
      </c>
      <c r="R167">
        <v>9</v>
      </c>
      <c r="S167" s="88">
        <f t="shared" si="39"/>
        <v>66.666666666666671</v>
      </c>
      <c r="T167" s="88">
        <f t="shared" si="40"/>
        <v>56.25</v>
      </c>
      <c r="U167" s="86">
        <v>36.1</v>
      </c>
      <c r="V167" s="86">
        <v>26.8</v>
      </c>
      <c r="W167" s="86">
        <v>1.5</v>
      </c>
      <c r="X167" s="86">
        <f t="shared" si="41"/>
        <v>61</v>
      </c>
      <c r="Y167" t="s">
        <v>381</v>
      </c>
      <c r="Z167" t="s">
        <v>1496</v>
      </c>
      <c r="AA167">
        <f t="shared" si="42"/>
        <v>5</v>
      </c>
      <c r="AB167">
        <v>5</v>
      </c>
      <c r="AC167">
        <v>29</v>
      </c>
      <c r="AD167" t="s">
        <v>1688</v>
      </c>
      <c r="AE167">
        <v>3</v>
      </c>
      <c r="AF167" t="s">
        <v>1688</v>
      </c>
      <c r="AG167" t="s">
        <v>1688</v>
      </c>
      <c r="AH167" t="s">
        <v>1688</v>
      </c>
      <c r="AI167" t="s">
        <v>1688</v>
      </c>
      <c r="AJ167" t="s">
        <v>1688</v>
      </c>
      <c r="AK167" t="s">
        <v>1688</v>
      </c>
      <c r="AL167" s="158">
        <f t="shared" si="43"/>
        <v>64.444444444444443</v>
      </c>
      <c r="AM167" s="136" t="str">
        <f t="shared" si="44"/>
        <v>ns</v>
      </c>
      <c r="AN167" s="136">
        <f t="shared" si="45"/>
        <v>6.666666666666667</v>
      </c>
      <c r="AO167" s="136" t="str">
        <f t="shared" si="46"/>
        <v>ns</v>
      </c>
      <c r="AP167" s="136" t="str">
        <f t="shared" si="47"/>
        <v>ns</v>
      </c>
      <c r="AQ167" s="136" t="str">
        <f t="shared" si="48"/>
        <v>ns</v>
      </c>
      <c r="AR167" s="136" t="str">
        <f t="shared" si="49"/>
        <v>ns</v>
      </c>
      <c r="AS167" s="136" t="str">
        <f t="shared" si="50"/>
        <v>ns</v>
      </c>
      <c r="AT167" s="86">
        <v>1.5</v>
      </c>
      <c r="AU167" s="86">
        <f t="shared" si="51"/>
        <v>1.5</v>
      </c>
      <c r="AV167" s="86" t="str">
        <f t="shared" si="52"/>
        <v/>
      </c>
      <c r="AY167" s="231">
        <f>IF(ISNUMBER(M167),M167,NA())</f>
        <v>52</v>
      </c>
      <c r="AZ167" s="231">
        <f t="shared" si="56"/>
        <v>12.8</v>
      </c>
      <c r="BA167" s="231">
        <f t="shared" si="53"/>
        <v>55.8</v>
      </c>
      <c r="BB167" s="231">
        <f t="shared" si="54"/>
        <v>10.3</v>
      </c>
      <c r="BC167" s="231">
        <f t="shared" si="55"/>
        <v>1.5</v>
      </c>
      <c r="BD167" s="232">
        <f>IF(ISNUMBER(S167),S167,NA())</f>
        <v>66.666666666666671</v>
      </c>
      <c r="BE167" s="232">
        <f>IF(ISNUMBER(T167),T167,NA())</f>
        <v>56.25</v>
      </c>
      <c r="BP167">
        <v>160</v>
      </c>
    </row>
    <row r="168" spans="1:68">
      <c r="A168">
        <v>161</v>
      </c>
      <c r="B168">
        <v>17210630</v>
      </c>
      <c r="C168" s="215"/>
      <c r="D168" s="1" t="s">
        <v>1169</v>
      </c>
      <c r="E168" s="94" t="s">
        <v>1713</v>
      </c>
      <c r="F168" s="86">
        <v>2007</v>
      </c>
      <c r="G168" s="1" t="s">
        <v>1239</v>
      </c>
      <c r="H168">
        <v>28</v>
      </c>
      <c r="I168">
        <v>22</v>
      </c>
      <c r="J168" t="s">
        <v>151</v>
      </c>
      <c r="K168">
        <v>4</v>
      </c>
      <c r="L168" t="s">
        <v>1119</v>
      </c>
      <c r="O168">
        <v>71.05</v>
      </c>
      <c r="P168">
        <v>7.5</v>
      </c>
      <c r="Q168">
        <v>28</v>
      </c>
      <c r="R168">
        <v>22</v>
      </c>
      <c r="S168" s="88">
        <f t="shared" si="39"/>
        <v>100</v>
      </c>
      <c r="T168" s="88">
        <f t="shared" si="40"/>
        <v>100</v>
      </c>
      <c r="U168" s="86">
        <v>33.619999999999997</v>
      </c>
      <c r="V168" s="86" t="s">
        <v>1688</v>
      </c>
      <c r="W168" s="86" t="s">
        <v>1688</v>
      </c>
      <c r="X168" s="86">
        <f t="shared" si="41"/>
        <v>50</v>
      </c>
      <c r="Y168" t="s">
        <v>382</v>
      </c>
      <c r="Z168" t="s">
        <v>325</v>
      </c>
      <c r="AA168">
        <f t="shared" si="42"/>
        <v>3</v>
      </c>
      <c r="AB168">
        <v>5</v>
      </c>
      <c r="AC168" t="s">
        <v>1688</v>
      </c>
      <c r="AD168" t="s">
        <v>1688</v>
      </c>
      <c r="AE168" t="s">
        <v>1688</v>
      </c>
      <c r="AF168" t="s">
        <v>1688</v>
      </c>
      <c r="AG168" t="s">
        <v>1688</v>
      </c>
      <c r="AH168" t="s">
        <v>1688</v>
      </c>
      <c r="AI168" t="s">
        <v>1688</v>
      </c>
      <c r="AJ168" t="s">
        <v>1688</v>
      </c>
      <c r="AK168" t="s">
        <v>1688</v>
      </c>
      <c r="AL168" s="158" t="str">
        <f t="shared" si="43"/>
        <v>ns</v>
      </c>
      <c r="AM168" s="136" t="str">
        <f t="shared" si="44"/>
        <v>ns</v>
      </c>
      <c r="AN168" s="136" t="str">
        <f t="shared" si="45"/>
        <v>ns</v>
      </c>
      <c r="AO168" s="136" t="str">
        <f t="shared" si="46"/>
        <v>ns</v>
      </c>
      <c r="AP168" s="136" t="str">
        <f t="shared" si="47"/>
        <v>ns</v>
      </c>
      <c r="AQ168" s="136" t="str">
        <f t="shared" si="48"/>
        <v>ns</v>
      </c>
      <c r="AR168" s="136" t="str">
        <f t="shared" si="49"/>
        <v>ns</v>
      </c>
      <c r="AS168" s="136" t="str">
        <f t="shared" si="50"/>
        <v>ns</v>
      </c>
      <c r="AT168" s="86">
        <v>1.5</v>
      </c>
      <c r="AU168" s="86" t="str">
        <f t="shared" si="51"/>
        <v/>
      </c>
      <c r="AV168" s="86" t="str">
        <f t="shared" ref="AV168:AV204" si="57">IF(L168="CT",W168,"")</f>
        <v/>
      </c>
      <c r="AY168" s="231" t="e">
        <f>IF(ISNUMBER(M168),M168,NA())</f>
        <v>#N/A</v>
      </c>
      <c r="AZ168" s="231" t="e">
        <f t="shared" si="56"/>
        <v>#N/A</v>
      </c>
      <c r="BA168" s="231">
        <f t="shared" si="53"/>
        <v>71.05</v>
      </c>
      <c r="BB168" s="231">
        <f t="shared" si="54"/>
        <v>7.5</v>
      </c>
      <c r="BC168" s="231" t="e">
        <f t="shared" si="55"/>
        <v>#N/A</v>
      </c>
      <c r="BD168" s="232">
        <f>IF(ISNUMBER(S168),S168,NA())</f>
        <v>100</v>
      </c>
      <c r="BE168" s="232">
        <f>IF(ISNUMBER(T168),T168,NA())</f>
        <v>100</v>
      </c>
      <c r="BP168">
        <v>161</v>
      </c>
    </row>
    <row r="169" spans="1:68">
      <c r="A169" s="13">
        <v>162</v>
      </c>
      <c r="B169">
        <v>17463189</v>
      </c>
      <c r="C169" s="215"/>
      <c r="D169" s="1" t="s">
        <v>1559</v>
      </c>
      <c r="E169" s="94" t="s">
        <v>538</v>
      </c>
      <c r="F169" s="86">
        <v>2007</v>
      </c>
      <c r="G169" s="1" t="s">
        <v>1980</v>
      </c>
      <c r="H169">
        <v>43</v>
      </c>
      <c r="I169">
        <v>41</v>
      </c>
      <c r="J169" s="13" t="s">
        <v>151</v>
      </c>
      <c r="K169" s="13">
        <v>4</v>
      </c>
      <c r="L169" t="s">
        <v>1119</v>
      </c>
      <c r="M169">
        <v>70.67</v>
      </c>
      <c r="N169">
        <v>7.76</v>
      </c>
      <c r="O169">
        <v>72.19</v>
      </c>
      <c r="P169">
        <v>7.27</v>
      </c>
      <c r="Q169">
        <v>33</v>
      </c>
      <c r="R169">
        <v>20</v>
      </c>
      <c r="S169" s="88">
        <f t="shared" si="39"/>
        <v>76.744186046511629</v>
      </c>
      <c r="T169" s="88">
        <f t="shared" si="40"/>
        <v>48.780487804878049</v>
      </c>
      <c r="U169" s="85">
        <v>49.6</v>
      </c>
      <c r="V169" s="85">
        <v>17.7</v>
      </c>
      <c r="W169" s="85">
        <v>1.4</v>
      </c>
      <c r="X169" s="86">
        <f t="shared" si="41"/>
        <v>84</v>
      </c>
      <c r="Y169" t="s">
        <v>452</v>
      </c>
      <c r="Z169" t="s">
        <v>1499</v>
      </c>
      <c r="AA169">
        <f t="shared" si="42"/>
        <v>9</v>
      </c>
      <c r="AB169">
        <v>5</v>
      </c>
      <c r="AC169">
        <v>0</v>
      </c>
      <c r="AD169">
        <v>0</v>
      </c>
      <c r="AE169">
        <v>0</v>
      </c>
      <c r="AF169">
        <v>0</v>
      </c>
      <c r="AG169">
        <v>0</v>
      </c>
      <c r="AH169">
        <v>0</v>
      </c>
      <c r="AI169">
        <v>0</v>
      </c>
      <c r="AJ169">
        <v>43</v>
      </c>
      <c r="AK169">
        <v>0</v>
      </c>
      <c r="AL169" s="158">
        <f t="shared" si="43"/>
        <v>0</v>
      </c>
      <c r="AM169" s="136">
        <f t="shared" si="44"/>
        <v>0</v>
      </c>
      <c r="AN169" s="136">
        <f t="shared" si="45"/>
        <v>0</v>
      </c>
      <c r="AO169" s="136">
        <f t="shared" si="46"/>
        <v>0</v>
      </c>
      <c r="AP169" s="136">
        <f t="shared" si="47"/>
        <v>0</v>
      </c>
      <c r="AQ169" s="136">
        <f t="shared" si="48"/>
        <v>0</v>
      </c>
      <c r="AR169" s="136">
        <f t="shared" si="49"/>
        <v>0</v>
      </c>
      <c r="AS169" s="136">
        <f t="shared" si="50"/>
        <v>100</v>
      </c>
      <c r="AT169" s="85">
        <v>1.5</v>
      </c>
      <c r="AU169" s="86">
        <f t="shared" si="51"/>
        <v>1.4</v>
      </c>
      <c r="AV169" s="86" t="str">
        <f t="shared" si="57"/>
        <v/>
      </c>
      <c r="AY169" s="231">
        <f>IF(ISNUMBER(M169),M169,NA())</f>
        <v>70.67</v>
      </c>
      <c r="AZ169" s="231">
        <f t="shared" si="56"/>
        <v>7.76</v>
      </c>
      <c r="BA169" s="231">
        <f t="shared" si="53"/>
        <v>72.19</v>
      </c>
      <c r="BB169" s="231">
        <f t="shared" si="54"/>
        <v>7.27</v>
      </c>
      <c r="BC169" s="231">
        <f t="shared" si="55"/>
        <v>1.4</v>
      </c>
      <c r="BD169" s="232">
        <f>IF(ISNUMBER(S169),S169,NA())</f>
        <v>76.744186046511629</v>
      </c>
      <c r="BE169" s="232">
        <f>IF(ISNUMBER(T169),T169,NA())</f>
        <v>48.780487804878049</v>
      </c>
      <c r="BP169">
        <v>162</v>
      </c>
    </row>
    <row r="170" spans="1:68">
      <c r="A170">
        <v>163</v>
      </c>
      <c r="B170">
        <v>17604352</v>
      </c>
      <c r="C170" s="215"/>
      <c r="D170" s="1" t="s">
        <v>1363</v>
      </c>
      <c r="E170" s="94" t="s">
        <v>1708</v>
      </c>
      <c r="F170" s="86">
        <v>2007</v>
      </c>
      <c r="G170" s="1" t="s">
        <v>1240</v>
      </c>
      <c r="H170">
        <v>45</v>
      </c>
      <c r="I170">
        <v>30</v>
      </c>
      <c r="J170" s="92" t="s">
        <v>151</v>
      </c>
      <c r="K170" s="92">
        <v>4</v>
      </c>
      <c r="L170" t="s">
        <v>1119</v>
      </c>
      <c r="Q170">
        <v>23</v>
      </c>
      <c r="R170">
        <v>17</v>
      </c>
      <c r="S170" s="88">
        <f t="shared" si="39"/>
        <v>51.111111111111114</v>
      </c>
      <c r="T170" s="88">
        <f t="shared" si="40"/>
        <v>56.666666666666664</v>
      </c>
      <c r="U170" s="86" t="s">
        <v>1688</v>
      </c>
      <c r="V170" s="86" t="s">
        <v>1688</v>
      </c>
      <c r="W170" s="86">
        <v>0.94</v>
      </c>
      <c r="X170" s="86">
        <f t="shared" si="41"/>
        <v>75</v>
      </c>
      <c r="Y170" t="s">
        <v>1508</v>
      </c>
      <c r="Z170" t="s">
        <v>1500</v>
      </c>
      <c r="AA170">
        <f t="shared" si="42"/>
        <v>11</v>
      </c>
      <c r="AB170">
        <v>5</v>
      </c>
      <c r="AC170" t="s">
        <v>1688</v>
      </c>
      <c r="AD170" t="s">
        <v>1688</v>
      </c>
      <c r="AE170" t="s">
        <v>1688</v>
      </c>
      <c r="AF170" t="s">
        <v>1688</v>
      </c>
      <c r="AG170" t="s">
        <v>1688</v>
      </c>
      <c r="AH170" t="s">
        <v>1688</v>
      </c>
      <c r="AI170" t="s">
        <v>1688</v>
      </c>
      <c r="AJ170" t="s">
        <v>1688</v>
      </c>
      <c r="AK170" t="s">
        <v>1688</v>
      </c>
      <c r="AL170" s="158" t="str">
        <f t="shared" si="43"/>
        <v>ns</v>
      </c>
      <c r="AM170" s="136" t="str">
        <f t="shared" si="44"/>
        <v>ns</v>
      </c>
      <c r="AN170" s="136" t="str">
        <f t="shared" si="45"/>
        <v>ns</v>
      </c>
      <c r="AO170" s="136" t="str">
        <f t="shared" si="46"/>
        <v>ns</v>
      </c>
      <c r="AP170" s="136" t="str">
        <f t="shared" si="47"/>
        <v>ns</v>
      </c>
      <c r="AQ170" s="136" t="str">
        <f t="shared" si="48"/>
        <v>ns</v>
      </c>
      <c r="AR170" s="136" t="str">
        <f t="shared" si="49"/>
        <v>ns</v>
      </c>
      <c r="AS170" s="136" t="str">
        <f t="shared" si="50"/>
        <v>ns</v>
      </c>
      <c r="AT170" s="86">
        <v>1.5</v>
      </c>
      <c r="AU170" s="86">
        <f t="shared" si="51"/>
        <v>0.94</v>
      </c>
      <c r="AV170" s="86" t="str">
        <f t="shared" si="57"/>
        <v/>
      </c>
      <c r="AY170" s="231" t="e">
        <f>IF(ISNUMBER(M170),M170,NA())</f>
        <v>#N/A</v>
      </c>
      <c r="AZ170" s="231" t="e">
        <f t="shared" si="56"/>
        <v>#N/A</v>
      </c>
      <c r="BA170" s="231" t="e">
        <f t="shared" si="53"/>
        <v>#N/A</v>
      </c>
      <c r="BB170" s="231" t="e">
        <f t="shared" si="54"/>
        <v>#N/A</v>
      </c>
      <c r="BC170" s="231">
        <f t="shared" si="55"/>
        <v>0.94</v>
      </c>
      <c r="BD170" s="232">
        <f>IF(ISNUMBER(S170),S170,NA())</f>
        <v>51.111111111111114</v>
      </c>
      <c r="BE170" s="232">
        <f>IF(ISNUMBER(T170),T170,NA())</f>
        <v>56.666666666666664</v>
      </c>
      <c r="BP170">
        <v>163</v>
      </c>
    </row>
    <row r="171" spans="1:68">
      <c r="A171" s="13">
        <v>164</v>
      </c>
      <c r="B171">
        <v>17389903</v>
      </c>
      <c r="C171" s="215"/>
      <c r="D171" s="1" t="s">
        <v>833</v>
      </c>
      <c r="E171" s="94" t="s">
        <v>1710</v>
      </c>
      <c r="F171" s="86">
        <v>2007</v>
      </c>
      <c r="G171" s="1" t="s">
        <v>1693</v>
      </c>
      <c r="H171">
        <v>17</v>
      </c>
      <c r="I171">
        <v>17</v>
      </c>
      <c r="J171" t="s">
        <v>151</v>
      </c>
      <c r="K171">
        <v>4</v>
      </c>
      <c r="L171" t="s">
        <v>1119</v>
      </c>
      <c r="O171">
        <v>31.3</v>
      </c>
      <c r="P171">
        <v>8.3000000000000007</v>
      </c>
      <c r="Q171">
        <v>17</v>
      </c>
      <c r="R171">
        <v>17</v>
      </c>
      <c r="S171" s="88">
        <f t="shared" si="39"/>
        <v>100</v>
      </c>
      <c r="T171" s="88">
        <f t="shared" si="40"/>
        <v>100</v>
      </c>
      <c r="U171" s="86" t="s">
        <v>749</v>
      </c>
      <c r="V171" s="86" t="s">
        <v>750</v>
      </c>
      <c r="W171" s="86">
        <v>1.5</v>
      </c>
      <c r="X171" s="86">
        <f t="shared" si="41"/>
        <v>34</v>
      </c>
      <c r="Y171" t="s">
        <v>1057</v>
      </c>
      <c r="Z171" t="s">
        <v>1049</v>
      </c>
      <c r="AA171">
        <f t="shared" si="42"/>
        <v>10</v>
      </c>
      <c r="AB171">
        <v>5</v>
      </c>
      <c r="AC171">
        <v>0</v>
      </c>
      <c r="AD171">
        <v>0</v>
      </c>
      <c r="AE171">
        <v>0</v>
      </c>
      <c r="AF171">
        <v>0</v>
      </c>
      <c r="AG171">
        <v>0</v>
      </c>
      <c r="AH171">
        <v>0</v>
      </c>
      <c r="AI171">
        <v>0</v>
      </c>
      <c r="AJ171">
        <v>17</v>
      </c>
      <c r="AK171">
        <v>0</v>
      </c>
      <c r="AL171" s="158">
        <f t="shared" si="43"/>
        <v>0</v>
      </c>
      <c r="AM171" s="136">
        <f t="shared" si="44"/>
        <v>0</v>
      </c>
      <c r="AN171" s="136">
        <f t="shared" si="45"/>
        <v>0</v>
      </c>
      <c r="AO171" s="136">
        <f t="shared" si="46"/>
        <v>0</v>
      </c>
      <c r="AP171" s="136">
        <f t="shared" si="47"/>
        <v>0</v>
      </c>
      <c r="AQ171" s="136">
        <f t="shared" si="48"/>
        <v>0</v>
      </c>
      <c r="AR171" s="136">
        <f t="shared" si="49"/>
        <v>0</v>
      </c>
      <c r="AS171" s="136">
        <f t="shared" si="50"/>
        <v>100</v>
      </c>
      <c r="AT171" s="86">
        <v>1.5</v>
      </c>
      <c r="AU171" s="86">
        <f t="shared" si="51"/>
        <v>1.5</v>
      </c>
      <c r="AV171" s="86" t="str">
        <f t="shared" si="57"/>
        <v/>
      </c>
      <c r="AY171" s="231" t="e">
        <f>IF(ISNUMBER(M171),M171,NA())</f>
        <v>#N/A</v>
      </c>
      <c r="AZ171" s="231" t="e">
        <f t="shared" si="56"/>
        <v>#N/A</v>
      </c>
      <c r="BA171" s="231">
        <f t="shared" si="53"/>
        <v>31.3</v>
      </c>
      <c r="BB171" s="231">
        <f t="shared" si="54"/>
        <v>8.3000000000000007</v>
      </c>
      <c r="BC171" s="231">
        <f t="shared" si="55"/>
        <v>1.5</v>
      </c>
      <c r="BD171" s="232">
        <f>IF(ISNUMBER(S171),S171,NA())</f>
        <v>100</v>
      </c>
      <c r="BE171" s="232">
        <f>IF(ISNUMBER(T171),T171,NA())</f>
        <v>100</v>
      </c>
      <c r="BP171">
        <v>164</v>
      </c>
    </row>
    <row r="172" spans="1:68">
      <c r="A172">
        <v>165</v>
      </c>
      <c r="B172">
        <v>17511971</v>
      </c>
      <c r="C172" s="215"/>
      <c r="D172" s="1" t="s">
        <v>1539</v>
      </c>
      <c r="E172" s="94" t="s">
        <v>1709</v>
      </c>
      <c r="F172" s="86">
        <v>2007</v>
      </c>
      <c r="G172" s="1" t="s">
        <v>1694</v>
      </c>
      <c r="H172">
        <v>26</v>
      </c>
      <c r="I172">
        <v>18</v>
      </c>
      <c r="J172" s="13" t="s">
        <v>151</v>
      </c>
      <c r="K172" s="13">
        <v>4</v>
      </c>
      <c r="L172" t="s">
        <v>1119</v>
      </c>
      <c r="M172">
        <v>20.54</v>
      </c>
      <c r="N172">
        <v>1.75</v>
      </c>
      <c r="O172">
        <v>20.73</v>
      </c>
      <c r="P172">
        <v>2.0699999999999998</v>
      </c>
      <c r="Q172">
        <v>26</v>
      </c>
      <c r="R172">
        <v>18</v>
      </c>
      <c r="S172" s="88">
        <f t="shared" si="39"/>
        <v>100</v>
      </c>
      <c r="T172" s="88">
        <f t="shared" si="40"/>
        <v>100</v>
      </c>
      <c r="U172" s="86">
        <v>15.58</v>
      </c>
      <c r="V172" s="86" t="s">
        <v>1688</v>
      </c>
      <c r="W172" s="86">
        <v>1</v>
      </c>
      <c r="X172" s="86">
        <f t="shared" si="41"/>
        <v>44</v>
      </c>
      <c r="Y172" t="s">
        <v>549</v>
      </c>
      <c r="Z172" t="s">
        <v>691</v>
      </c>
      <c r="AA172">
        <f t="shared" si="42"/>
        <v>7</v>
      </c>
      <c r="AB172">
        <v>5</v>
      </c>
      <c r="AC172" t="s">
        <v>1688</v>
      </c>
      <c r="AD172" t="s">
        <v>1688</v>
      </c>
      <c r="AE172" t="s">
        <v>1688</v>
      </c>
      <c r="AF172" t="s">
        <v>1688</v>
      </c>
      <c r="AG172" t="s">
        <v>1688</v>
      </c>
      <c r="AH172" t="s">
        <v>1688</v>
      </c>
      <c r="AI172" t="s">
        <v>1688</v>
      </c>
      <c r="AJ172" t="s">
        <v>1688</v>
      </c>
      <c r="AK172" t="s">
        <v>1688</v>
      </c>
      <c r="AL172" s="158" t="str">
        <f t="shared" si="43"/>
        <v>ns</v>
      </c>
      <c r="AM172" s="136" t="str">
        <f t="shared" si="44"/>
        <v>ns</v>
      </c>
      <c r="AN172" s="136" t="str">
        <f t="shared" si="45"/>
        <v>ns</v>
      </c>
      <c r="AO172" s="136" t="str">
        <f t="shared" si="46"/>
        <v>ns</v>
      </c>
      <c r="AP172" s="136" t="str">
        <f t="shared" si="47"/>
        <v>ns</v>
      </c>
      <c r="AQ172" s="136" t="str">
        <f t="shared" si="48"/>
        <v>ns</v>
      </c>
      <c r="AR172" s="136" t="str">
        <f t="shared" si="49"/>
        <v>ns</v>
      </c>
      <c r="AS172" s="136" t="str">
        <f t="shared" si="50"/>
        <v>ns</v>
      </c>
      <c r="AT172" s="86">
        <v>1.5</v>
      </c>
      <c r="AU172" s="86">
        <f t="shared" si="51"/>
        <v>1</v>
      </c>
      <c r="AV172" s="86" t="str">
        <f t="shared" si="57"/>
        <v/>
      </c>
      <c r="AY172" s="231">
        <f>IF(ISNUMBER(M172),M172,NA())</f>
        <v>20.54</v>
      </c>
      <c r="AZ172" s="231">
        <f t="shared" si="56"/>
        <v>1.75</v>
      </c>
      <c r="BA172" s="231">
        <f t="shared" si="53"/>
        <v>20.73</v>
      </c>
      <c r="BB172" s="231">
        <f t="shared" si="54"/>
        <v>2.0699999999999998</v>
      </c>
      <c r="BC172" s="231">
        <f t="shared" si="55"/>
        <v>1</v>
      </c>
      <c r="BD172" s="232">
        <f>IF(ISNUMBER(S172),S172,NA())</f>
        <v>100</v>
      </c>
      <c r="BE172" s="232">
        <f>IF(ISNUMBER(T172),T172,NA())</f>
        <v>100</v>
      </c>
      <c r="BP172">
        <v>165</v>
      </c>
    </row>
    <row r="173" spans="1:68">
      <c r="A173" s="13">
        <v>166</v>
      </c>
      <c r="B173">
        <v>16919335</v>
      </c>
      <c r="C173" s="215"/>
      <c r="D173" s="1" t="s">
        <v>1738</v>
      </c>
      <c r="E173" s="94" t="s">
        <v>1715</v>
      </c>
      <c r="F173" s="86">
        <v>2007</v>
      </c>
      <c r="G173" s="1" t="s">
        <v>1695</v>
      </c>
      <c r="H173">
        <v>50</v>
      </c>
      <c r="I173">
        <v>35</v>
      </c>
      <c r="J173" s="13" t="s">
        <v>151</v>
      </c>
      <c r="K173" s="13">
        <v>4</v>
      </c>
      <c r="L173" t="s">
        <v>1119</v>
      </c>
      <c r="O173">
        <v>72.8</v>
      </c>
      <c r="P173">
        <v>6.56</v>
      </c>
      <c r="Q173">
        <v>30</v>
      </c>
      <c r="R173">
        <v>24</v>
      </c>
      <c r="S173" s="88">
        <f t="shared" si="39"/>
        <v>60</v>
      </c>
      <c r="T173" s="88">
        <f t="shared" si="40"/>
        <v>68.571428571428569</v>
      </c>
      <c r="U173" s="86" t="s">
        <v>1688</v>
      </c>
      <c r="V173" s="86" t="s">
        <v>1688</v>
      </c>
      <c r="W173" s="86">
        <v>3</v>
      </c>
      <c r="X173" s="86">
        <f t="shared" si="41"/>
        <v>85</v>
      </c>
      <c r="Y173" t="s">
        <v>1405</v>
      </c>
      <c r="Z173" t="s">
        <v>978</v>
      </c>
      <c r="AA173">
        <f t="shared" si="42"/>
        <v>1</v>
      </c>
      <c r="AB173">
        <v>5</v>
      </c>
      <c r="AC173" t="s">
        <v>1688</v>
      </c>
      <c r="AD173" t="s">
        <v>1688</v>
      </c>
      <c r="AE173" t="s">
        <v>1688</v>
      </c>
      <c r="AF173" t="s">
        <v>1688</v>
      </c>
      <c r="AG173" t="s">
        <v>1688</v>
      </c>
      <c r="AH173" t="s">
        <v>1688</v>
      </c>
      <c r="AI173" t="s">
        <v>1688</v>
      </c>
      <c r="AJ173" t="s">
        <v>1688</v>
      </c>
      <c r="AK173" t="s">
        <v>1688</v>
      </c>
      <c r="AL173" s="158" t="str">
        <f t="shared" si="43"/>
        <v>ns</v>
      </c>
      <c r="AM173" s="136" t="str">
        <f t="shared" si="44"/>
        <v>ns</v>
      </c>
      <c r="AN173" s="136" t="str">
        <f t="shared" si="45"/>
        <v>ns</v>
      </c>
      <c r="AO173" s="136" t="str">
        <f t="shared" si="46"/>
        <v>ns</v>
      </c>
      <c r="AP173" s="136" t="str">
        <f t="shared" si="47"/>
        <v>ns</v>
      </c>
      <c r="AQ173" s="136" t="str">
        <f t="shared" si="48"/>
        <v>ns</v>
      </c>
      <c r="AR173" s="136" t="str">
        <f t="shared" si="49"/>
        <v>ns</v>
      </c>
      <c r="AS173" s="136" t="str">
        <f t="shared" si="50"/>
        <v>ns</v>
      </c>
      <c r="AT173" s="86">
        <v>1.5</v>
      </c>
      <c r="AU173" s="86">
        <f t="shared" si="51"/>
        <v>3</v>
      </c>
      <c r="AV173" s="86" t="str">
        <f t="shared" si="57"/>
        <v/>
      </c>
      <c r="AY173" s="231" t="e">
        <f>IF(ISNUMBER(M173),M173,NA())</f>
        <v>#N/A</v>
      </c>
      <c r="AZ173" s="231" t="e">
        <f t="shared" si="56"/>
        <v>#N/A</v>
      </c>
      <c r="BA173" s="231">
        <f t="shared" si="53"/>
        <v>72.8</v>
      </c>
      <c r="BB173" s="231">
        <f t="shared" si="54"/>
        <v>6.56</v>
      </c>
      <c r="BC173" s="231">
        <f t="shared" si="55"/>
        <v>3</v>
      </c>
      <c r="BD173" s="232">
        <f>IF(ISNUMBER(S173),S173,NA())</f>
        <v>60</v>
      </c>
      <c r="BE173" s="232">
        <f>IF(ISNUMBER(T173),T173,NA())</f>
        <v>68.571428571428569</v>
      </c>
      <c r="BP173">
        <v>166</v>
      </c>
    </row>
    <row r="174" spans="1:68">
      <c r="A174">
        <v>167</v>
      </c>
      <c r="B174">
        <v>17299509</v>
      </c>
      <c r="C174" s="215"/>
      <c r="D174" s="1" t="s">
        <v>1168</v>
      </c>
      <c r="E174" s="94" t="s">
        <v>1712</v>
      </c>
      <c r="F174" s="86">
        <v>2007</v>
      </c>
      <c r="G174" s="1" t="s">
        <v>1696</v>
      </c>
      <c r="H174">
        <v>83</v>
      </c>
      <c r="I174">
        <v>47</v>
      </c>
      <c r="J174" s="13" t="s">
        <v>151</v>
      </c>
      <c r="K174" s="13">
        <v>4</v>
      </c>
      <c r="L174" t="s">
        <v>1119</v>
      </c>
      <c r="M174">
        <v>71.61</v>
      </c>
      <c r="N174">
        <v>6.25</v>
      </c>
      <c r="O174">
        <v>74.06</v>
      </c>
      <c r="P174">
        <v>6.41</v>
      </c>
      <c r="Q174">
        <v>49</v>
      </c>
      <c r="R174">
        <v>30</v>
      </c>
      <c r="S174" s="88">
        <f t="shared" si="39"/>
        <v>59.036144578313255</v>
      </c>
      <c r="T174" s="88">
        <f t="shared" si="40"/>
        <v>63.829787234042556</v>
      </c>
      <c r="U174" s="86" t="s">
        <v>1688</v>
      </c>
      <c r="V174" s="86" t="s">
        <v>1688</v>
      </c>
      <c r="W174" s="86">
        <v>3</v>
      </c>
      <c r="X174" s="86">
        <f t="shared" si="41"/>
        <v>130</v>
      </c>
      <c r="Y174" t="s">
        <v>851</v>
      </c>
      <c r="Z174" t="s">
        <v>978</v>
      </c>
      <c r="AA174">
        <f t="shared" si="42"/>
        <v>1</v>
      </c>
      <c r="AB174">
        <v>5</v>
      </c>
      <c r="AL174" s="158" t="str">
        <f t="shared" si="43"/>
        <v/>
      </c>
      <c r="AM174" s="136" t="str">
        <f t="shared" si="44"/>
        <v/>
      </c>
      <c r="AN174" s="136" t="str">
        <f t="shared" si="45"/>
        <v/>
      </c>
      <c r="AO174" s="136" t="str">
        <f t="shared" si="46"/>
        <v/>
      </c>
      <c r="AP174" s="136" t="str">
        <f t="shared" si="47"/>
        <v/>
      </c>
      <c r="AQ174" s="136" t="str">
        <f t="shared" si="48"/>
        <v/>
      </c>
      <c r="AR174" s="136" t="str">
        <f t="shared" si="49"/>
        <v/>
      </c>
      <c r="AS174" s="136" t="str">
        <f t="shared" si="50"/>
        <v/>
      </c>
      <c r="AT174" s="86">
        <v>1.5</v>
      </c>
      <c r="AU174" s="86">
        <f t="shared" si="51"/>
        <v>3</v>
      </c>
      <c r="AV174" s="86" t="str">
        <f t="shared" si="57"/>
        <v/>
      </c>
      <c r="AY174" s="231">
        <f>IF(ISNUMBER(M174),M174,NA())</f>
        <v>71.61</v>
      </c>
      <c r="AZ174" s="231">
        <f t="shared" si="56"/>
        <v>6.25</v>
      </c>
      <c r="BA174" s="231">
        <f t="shared" si="53"/>
        <v>74.06</v>
      </c>
      <c r="BB174" s="231">
        <f t="shared" si="54"/>
        <v>6.41</v>
      </c>
      <c r="BC174" s="231">
        <f t="shared" si="55"/>
        <v>3</v>
      </c>
      <c r="BD174" s="232">
        <f>IF(ISNUMBER(S174),S174,NA())</f>
        <v>59.036144578313255</v>
      </c>
      <c r="BE174" s="232">
        <f>IF(ISNUMBER(T174),T174,NA())</f>
        <v>63.829787234042556</v>
      </c>
      <c r="BP174">
        <v>167</v>
      </c>
    </row>
    <row r="175" spans="1:68">
      <c r="A175" s="13">
        <v>168</v>
      </c>
      <c r="B175">
        <v>17335636</v>
      </c>
      <c r="C175" s="215"/>
      <c r="D175" s="1" t="s">
        <v>997</v>
      </c>
      <c r="E175" s="94" t="s">
        <v>1711</v>
      </c>
      <c r="F175" s="86">
        <v>2007</v>
      </c>
      <c r="G175" s="1" t="s">
        <v>1664</v>
      </c>
      <c r="H175">
        <v>226</v>
      </c>
      <c r="I175">
        <v>144</v>
      </c>
      <c r="J175" s="13" t="s">
        <v>151</v>
      </c>
      <c r="K175" s="13">
        <v>4</v>
      </c>
      <c r="L175" t="s">
        <v>1119</v>
      </c>
      <c r="M175">
        <v>70</v>
      </c>
      <c r="N175">
        <v>7.4</v>
      </c>
      <c r="O175">
        <v>70.3</v>
      </c>
      <c r="P175">
        <v>6.5</v>
      </c>
      <c r="Q175">
        <v>150</v>
      </c>
      <c r="R175">
        <v>100</v>
      </c>
      <c r="S175" s="88">
        <f t="shared" si="39"/>
        <v>66.371681415929203</v>
      </c>
      <c r="T175" s="88">
        <f t="shared" si="40"/>
        <v>69.444444444444443</v>
      </c>
      <c r="U175" s="86">
        <v>45.4</v>
      </c>
      <c r="V175" s="86" t="s">
        <v>1688</v>
      </c>
      <c r="W175" s="86">
        <v>3</v>
      </c>
      <c r="X175" s="86">
        <f t="shared" si="41"/>
        <v>370</v>
      </c>
      <c r="Y175" t="s">
        <v>888</v>
      </c>
      <c r="Z175" t="s">
        <v>2108</v>
      </c>
      <c r="AA175">
        <f t="shared" si="42"/>
        <v>5</v>
      </c>
      <c r="AB175">
        <v>5</v>
      </c>
      <c r="AC175" t="s">
        <v>1688</v>
      </c>
      <c r="AD175" t="s">
        <v>1688</v>
      </c>
      <c r="AE175" t="s">
        <v>1688</v>
      </c>
      <c r="AF175" t="s">
        <v>1688</v>
      </c>
      <c r="AG175" t="s">
        <v>1688</v>
      </c>
      <c r="AH175" t="s">
        <v>1688</v>
      </c>
      <c r="AI175" t="s">
        <v>1688</v>
      </c>
      <c r="AJ175" t="s">
        <v>1688</v>
      </c>
      <c r="AK175" t="s">
        <v>1688</v>
      </c>
      <c r="AL175" s="158" t="str">
        <f t="shared" si="43"/>
        <v>ns</v>
      </c>
      <c r="AM175" s="136" t="str">
        <f t="shared" si="44"/>
        <v>ns</v>
      </c>
      <c r="AN175" s="136" t="str">
        <f t="shared" si="45"/>
        <v>ns</v>
      </c>
      <c r="AO175" s="136" t="str">
        <f t="shared" si="46"/>
        <v>ns</v>
      </c>
      <c r="AP175" s="136" t="str">
        <f t="shared" si="47"/>
        <v>ns</v>
      </c>
      <c r="AQ175" s="136" t="str">
        <f t="shared" si="48"/>
        <v>ns</v>
      </c>
      <c r="AR175" s="136" t="str">
        <f t="shared" si="49"/>
        <v>ns</v>
      </c>
      <c r="AS175" s="136" t="str">
        <f t="shared" si="50"/>
        <v>ns</v>
      </c>
      <c r="AT175" s="86">
        <v>1.5</v>
      </c>
      <c r="AU175" s="86">
        <f t="shared" si="51"/>
        <v>3</v>
      </c>
      <c r="AV175" s="86" t="str">
        <f t="shared" si="57"/>
        <v/>
      </c>
      <c r="AY175" s="231">
        <f>IF(ISNUMBER(M175),M175,NA())</f>
        <v>70</v>
      </c>
      <c r="AZ175" s="231">
        <f t="shared" si="56"/>
        <v>7.4</v>
      </c>
      <c r="BA175" s="231">
        <f t="shared" si="53"/>
        <v>70.3</v>
      </c>
      <c r="BB175" s="231">
        <f t="shared" si="54"/>
        <v>6.5</v>
      </c>
      <c r="BC175" s="231">
        <f t="shared" si="55"/>
        <v>3</v>
      </c>
      <c r="BD175" s="232">
        <f>IF(ISNUMBER(S175),S175,NA())</f>
        <v>66.371681415929203</v>
      </c>
      <c r="BE175" s="232">
        <f>IF(ISNUMBER(T175),T175,NA())</f>
        <v>69.444444444444443</v>
      </c>
      <c r="BP175">
        <v>168</v>
      </c>
    </row>
    <row r="176" spans="1:68">
      <c r="A176">
        <v>169</v>
      </c>
      <c r="B176">
        <v>18075490</v>
      </c>
      <c r="C176" s="3"/>
      <c r="D176" s="141" t="s">
        <v>1424</v>
      </c>
      <c r="E176" t="s">
        <v>367</v>
      </c>
      <c r="F176" s="22">
        <v>2008</v>
      </c>
      <c r="G176" s="84" t="s">
        <v>440</v>
      </c>
      <c r="H176">
        <v>71</v>
      </c>
      <c r="I176">
        <v>32</v>
      </c>
      <c r="J176" t="s">
        <v>151</v>
      </c>
      <c r="K176">
        <v>4</v>
      </c>
      <c r="L176" t="s">
        <v>1119</v>
      </c>
      <c r="M176">
        <v>72.2</v>
      </c>
      <c r="N176">
        <v>6.2</v>
      </c>
      <c r="O176">
        <v>71</v>
      </c>
      <c r="P176">
        <v>6.7</v>
      </c>
      <c r="Q176">
        <v>49</v>
      </c>
      <c r="R176">
        <v>17</v>
      </c>
      <c r="S176" s="88">
        <f t="shared" si="39"/>
        <v>69.014084507042256</v>
      </c>
      <c r="T176" s="88">
        <f t="shared" si="40"/>
        <v>53.125</v>
      </c>
      <c r="U176">
        <v>52.3</v>
      </c>
      <c r="V176">
        <v>18.3</v>
      </c>
      <c r="W176">
        <v>1.5</v>
      </c>
      <c r="X176" s="86">
        <f t="shared" si="41"/>
        <v>103</v>
      </c>
      <c r="Y176" s="19" t="s">
        <v>1216</v>
      </c>
      <c r="Z176" s="13" t="s">
        <v>1362</v>
      </c>
      <c r="AA176">
        <f t="shared" si="42"/>
        <v>26</v>
      </c>
      <c r="AB176">
        <v>5</v>
      </c>
      <c r="AC176">
        <v>12</v>
      </c>
      <c r="AD176" t="s">
        <v>1688</v>
      </c>
      <c r="AE176" t="s">
        <v>1688</v>
      </c>
      <c r="AF176" t="s">
        <v>1688</v>
      </c>
      <c r="AG176" t="s">
        <v>1688</v>
      </c>
      <c r="AH176" t="s">
        <v>1688</v>
      </c>
      <c r="AI176">
        <v>1</v>
      </c>
      <c r="AJ176" t="s">
        <v>1688</v>
      </c>
      <c r="AK176" s="2" t="s">
        <v>4</v>
      </c>
      <c r="AL176" s="158">
        <f t="shared" si="43"/>
        <v>16.901408450704224</v>
      </c>
      <c r="AM176" s="136" t="str">
        <f t="shared" si="44"/>
        <v>ns</v>
      </c>
      <c r="AN176" s="136" t="str">
        <f t="shared" si="45"/>
        <v>ns</v>
      </c>
      <c r="AO176" s="136" t="str">
        <f t="shared" si="46"/>
        <v>ns</v>
      </c>
      <c r="AP176" s="136" t="str">
        <f t="shared" si="47"/>
        <v>ns</v>
      </c>
      <c r="AQ176" s="136" t="str">
        <f t="shared" si="48"/>
        <v>ns</v>
      </c>
      <c r="AR176" s="136">
        <f t="shared" si="49"/>
        <v>1.4084507042253522</v>
      </c>
      <c r="AS176" s="136" t="str">
        <f t="shared" si="50"/>
        <v>ns</v>
      </c>
      <c r="AT176">
        <v>1.5</v>
      </c>
      <c r="AU176" s="86">
        <f t="shared" si="51"/>
        <v>1.5</v>
      </c>
      <c r="AV176" s="86" t="str">
        <f t="shared" si="57"/>
        <v/>
      </c>
      <c r="AY176" s="231">
        <f>IF(ISNUMBER(M176),M176,NA())</f>
        <v>72.2</v>
      </c>
      <c r="AZ176" s="231">
        <f t="shared" si="56"/>
        <v>6.2</v>
      </c>
      <c r="BA176" s="231">
        <f t="shared" si="53"/>
        <v>71</v>
      </c>
      <c r="BB176" s="231">
        <f t="shared" si="54"/>
        <v>6.7</v>
      </c>
      <c r="BC176" s="231">
        <f t="shared" si="55"/>
        <v>1.5</v>
      </c>
      <c r="BD176" s="232">
        <f>IF(ISNUMBER(S176),S176,NA())</f>
        <v>69.014084507042256</v>
      </c>
      <c r="BE176" s="232">
        <f>IF(ISNUMBER(T176),T176,NA())</f>
        <v>53.125</v>
      </c>
      <c r="BP176">
        <v>169</v>
      </c>
    </row>
    <row r="177" spans="1:68">
      <c r="A177" s="13">
        <v>170</v>
      </c>
      <c r="B177">
        <v>17986679</v>
      </c>
      <c r="C177" s="215"/>
      <c r="D177" s="3" t="s">
        <v>1619</v>
      </c>
      <c r="E177" s="94" t="s">
        <v>438</v>
      </c>
      <c r="F177" s="86">
        <v>2008</v>
      </c>
      <c r="G177" s="1" t="s">
        <v>1665</v>
      </c>
      <c r="H177">
        <v>46</v>
      </c>
      <c r="I177">
        <v>34</v>
      </c>
      <c r="J177" s="13" t="s">
        <v>151</v>
      </c>
      <c r="K177" s="13">
        <v>4</v>
      </c>
      <c r="L177" t="s">
        <v>1119</v>
      </c>
      <c r="M177">
        <v>71.099999999999994</v>
      </c>
      <c r="N177">
        <v>7.66</v>
      </c>
      <c r="O177">
        <v>72.38</v>
      </c>
      <c r="P177">
        <v>6.93</v>
      </c>
      <c r="Q177">
        <v>34</v>
      </c>
      <c r="R177">
        <v>19</v>
      </c>
      <c r="S177" s="88">
        <f t="shared" si="39"/>
        <v>73.913043478260875</v>
      </c>
      <c r="T177" s="88">
        <f t="shared" si="40"/>
        <v>55.882352941176471</v>
      </c>
      <c r="U177" s="86">
        <v>51.43</v>
      </c>
      <c r="V177" s="86">
        <v>17.73</v>
      </c>
      <c r="W177" s="86">
        <v>1.4</v>
      </c>
      <c r="X177" s="86">
        <f t="shared" si="41"/>
        <v>80</v>
      </c>
      <c r="Y177" t="s">
        <v>843</v>
      </c>
      <c r="Z177" t="s">
        <v>1406</v>
      </c>
      <c r="AA177">
        <f t="shared" si="42"/>
        <v>3</v>
      </c>
      <c r="AB177">
        <v>5</v>
      </c>
      <c r="AC177">
        <v>0</v>
      </c>
      <c r="AD177">
        <v>0</v>
      </c>
      <c r="AE177">
        <v>0</v>
      </c>
      <c r="AF177">
        <v>0</v>
      </c>
      <c r="AG177">
        <v>0</v>
      </c>
      <c r="AH177">
        <v>0</v>
      </c>
      <c r="AI177">
        <v>0</v>
      </c>
      <c r="AJ177">
        <v>46</v>
      </c>
      <c r="AK177">
        <v>0</v>
      </c>
      <c r="AL177" s="158">
        <f t="shared" si="43"/>
        <v>0</v>
      </c>
      <c r="AM177" s="136">
        <f t="shared" si="44"/>
        <v>0</v>
      </c>
      <c r="AN177" s="136">
        <f t="shared" si="45"/>
        <v>0</v>
      </c>
      <c r="AO177" s="136">
        <f t="shared" si="46"/>
        <v>0</v>
      </c>
      <c r="AP177" s="136">
        <f t="shared" si="47"/>
        <v>0</v>
      </c>
      <c r="AQ177" s="136">
        <f t="shared" si="48"/>
        <v>0</v>
      </c>
      <c r="AR177" s="136">
        <f t="shared" si="49"/>
        <v>0</v>
      </c>
      <c r="AS177" s="136">
        <f t="shared" si="50"/>
        <v>100</v>
      </c>
      <c r="AT177" s="86">
        <v>1.5</v>
      </c>
      <c r="AU177" s="86">
        <f t="shared" si="51"/>
        <v>1.4</v>
      </c>
      <c r="AV177" s="86" t="str">
        <f t="shared" si="57"/>
        <v/>
      </c>
      <c r="AY177" s="231">
        <f>IF(ISNUMBER(M177),M177,NA())</f>
        <v>71.099999999999994</v>
      </c>
      <c r="AZ177" s="231">
        <f t="shared" si="56"/>
        <v>7.66</v>
      </c>
      <c r="BA177" s="231">
        <f t="shared" si="53"/>
        <v>72.38</v>
      </c>
      <c r="BB177" s="231">
        <f t="shared" si="54"/>
        <v>6.93</v>
      </c>
      <c r="BC177" s="231">
        <f t="shared" si="55"/>
        <v>1.4</v>
      </c>
      <c r="BD177" s="232">
        <f>IF(ISNUMBER(S177),S177,NA())</f>
        <v>73.913043478260875</v>
      </c>
      <c r="BE177" s="232">
        <f>IF(ISNUMBER(T177),T177,NA())</f>
        <v>55.882352941176471</v>
      </c>
      <c r="BP177">
        <v>170</v>
      </c>
    </row>
    <row r="178" spans="1:68">
      <c r="A178">
        <v>171</v>
      </c>
      <c r="B178">
        <v>17712348</v>
      </c>
      <c r="C178" s="215"/>
      <c r="D178" s="1" t="s">
        <v>359</v>
      </c>
      <c r="E178" t="s">
        <v>439</v>
      </c>
      <c r="F178">
        <v>2008</v>
      </c>
      <c r="G178" s="1" t="s">
        <v>1734</v>
      </c>
      <c r="H178">
        <v>46</v>
      </c>
      <c r="I178">
        <v>34</v>
      </c>
      <c r="J178" s="13" t="s">
        <v>151</v>
      </c>
      <c r="K178" s="13">
        <v>4</v>
      </c>
      <c r="L178" t="s">
        <v>1119</v>
      </c>
      <c r="M178">
        <v>71.099999999999994</v>
      </c>
      <c r="N178">
        <v>7.66</v>
      </c>
      <c r="O178">
        <v>72.38</v>
      </c>
      <c r="P178">
        <v>6.93</v>
      </c>
      <c r="Q178">
        <v>34</v>
      </c>
      <c r="R178">
        <v>19</v>
      </c>
      <c r="S178" s="88">
        <f t="shared" si="39"/>
        <v>73.913043478260875</v>
      </c>
      <c r="T178" s="88">
        <f t="shared" si="40"/>
        <v>55.882352941176471</v>
      </c>
      <c r="U178" s="86">
        <v>51.43</v>
      </c>
      <c r="V178" s="86">
        <v>17.73</v>
      </c>
      <c r="W178" s="86">
        <v>1.4</v>
      </c>
      <c r="X178" s="86">
        <f t="shared" si="41"/>
        <v>80</v>
      </c>
      <c r="Y178" t="s">
        <v>1490</v>
      </c>
      <c r="Z178" t="s">
        <v>1491</v>
      </c>
      <c r="AA178">
        <f t="shared" si="42"/>
        <v>6</v>
      </c>
      <c r="AB178">
        <v>5</v>
      </c>
      <c r="AC178">
        <v>0</v>
      </c>
      <c r="AD178">
        <v>0</v>
      </c>
      <c r="AE178">
        <v>0</v>
      </c>
      <c r="AF178">
        <v>0</v>
      </c>
      <c r="AG178">
        <v>0</v>
      </c>
      <c r="AH178">
        <v>0</v>
      </c>
      <c r="AI178">
        <v>0</v>
      </c>
      <c r="AJ178">
        <v>46</v>
      </c>
      <c r="AK178">
        <v>0</v>
      </c>
      <c r="AL178" s="158">
        <f t="shared" si="43"/>
        <v>0</v>
      </c>
      <c r="AM178" s="136">
        <f t="shared" si="44"/>
        <v>0</v>
      </c>
      <c r="AN178" s="136">
        <f t="shared" si="45"/>
        <v>0</v>
      </c>
      <c r="AO178" s="136">
        <f t="shared" si="46"/>
        <v>0</v>
      </c>
      <c r="AP178" s="136">
        <f t="shared" si="47"/>
        <v>0</v>
      </c>
      <c r="AQ178" s="136">
        <f t="shared" si="48"/>
        <v>0</v>
      </c>
      <c r="AR178" s="136">
        <f t="shared" si="49"/>
        <v>0</v>
      </c>
      <c r="AS178" s="136">
        <f t="shared" si="50"/>
        <v>100</v>
      </c>
      <c r="AT178" s="86">
        <v>1.5</v>
      </c>
      <c r="AU178" s="86">
        <f t="shared" si="51"/>
        <v>1.4</v>
      </c>
      <c r="AV178" s="86" t="str">
        <f t="shared" si="57"/>
        <v/>
      </c>
      <c r="AY178" s="231">
        <f>IF(ISNUMBER(M178),M178,NA())</f>
        <v>71.099999999999994</v>
      </c>
      <c r="AZ178" s="231">
        <f t="shared" si="56"/>
        <v>7.66</v>
      </c>
      <c r="BA178" s="231">
        <f t="shared" si="53"/>
        <v>72.38</v>
      </c>
      <c r="BB178" s="231">
        <f t="shared" si="54"/>
        <v>6.93</v>
      </c>
      <c r="BC178" s="231">
        <f t="shared" si="55"/>
        <v>1.4</v>
      </c>
      <c r="BD178" s="232">
        <f>IF(ISNUMBER(S178),S178,NA())</f>
        <v>73.913043478260875</v>
      </c>
      <c r="BE178" s="232">
        <f>IF(ISNUMBER(T178),T178,NA())</f>
        <v>55.882352941176471</v>
      </c>
      <c r="BP178">
        <v>171</v>
      </c>
    </row>
    <row r="179" spans="1:68">
      <c r="A179" s="13">
        <v>172</v>
      </c>
      <c r="B179">
        <v>19108659</v>
      </c>
      <c r="C179" s="215"/>
      <c r="D179" s="143" t="s">
        <v>663</v>
      </c>
      <c r="E179" s="11" t="s">
        <v>1631</v>
      </c>
      <c r="F179">
        <v>2008</v>
      </c>
      <c r="G179" s="1" t="s">
        <v>1388</v>
      </c>
      <c r="H179">
        <v>27</v>
      </c>
      <c r="I179">
        <v>26</v>
      </c>
      <c r="J179" t="s">
        <v>151</v>
      </c>
      <c r="K179">
        <v>4</v>
      </c>
      <c r="L179" t="s">
        <v>1119</v>
      </c>
      <c r="M179">
        <v>14.4</v>
      </c>
      <c r="N179">
        <v>2.2000000000000002</v>
      </c>
      <c r="O179">
        <v>14.4</v>
      </c>
      <c r="P179">
        <v>2.4</v>
      </c>
      <c r="Q179">
        <v>17</v>
      </c>
      <c r="R179">
        <v>14</v>
      </c>
      <c r="S179" s="88">
        <f t="shared" si="39"/>
        <v>62.962962962962962</v>
      </c>
      <c r="T179" s="88">
        <f t="shared" si="40"/>
        <v>53.846153846153847</v>
      </c>
      <c r="U179">
        <v>11.75</v>
      </c>
      <c r="V179">
        <v>20.100000000000001</v>
      </c>
      <c r="W179">
        <v>1.5</v>
      </c>
      <c r="X179" s="86">
        <f t="shared" si="41"/>
        <v>53</v>
      </c>
      <c r="Y179" t="s">
        <v>1400</v>
      </c>
      <c r="Z179" t="s">
        <v>1401</v>
      </c>
      <c r="AA179">
        <f t="shared" si="42"/>
        <v>17</v>
      </c>
      <c r="AB179">
        <v>5</v>
      </c>
      <c r="AC179">
        <v>0</v>
      </c>
      <c r="AD179">
        <v>0</v>
      </c>
      <c r="AE179">
        <v>0</v>
      </c>
      <c r="AF179">
        <v>0</v>
      </c>
      <c r="AG179">
        <v>0</v>
      </c>
      <c r="AH179">
        <v>0</v>
      </c>
      <c r="AI179">
        <v>0</v>
      </c>
      <c r="AJ179">
        <v>27</v>
      </c>
      <c r="AK179">
        <v>0</v>
      </c>
      <c r="AL179" s="158">
        <f t="shared" si="43"/>
        <v>0</v>
      </c>
      <c r="AM179" s="136">
        <f t="shared" si="44"/>
        <v>0</v>
      </c>
      <c r="AN179" s="136">
        <f t="shared" si="45"/>
        <v>0</v>
      </c>
      <c r="AO179" s="136">
        <f t="shared" si="46"/>
        <v>0</v>
      </c>
      <c r="AP179" s="136">
        <f t="shared" si="47"/>
        <v>0</v>
      </c>
      <c r="AQ179" s="136">
        <f t="shared" si="48"/>
        <v>0</v>
      </c>
      <c r="AR179" s="136">
        <f t="shared" si="49"/>
        <v>0</v>
      </c>
      <c r="AS179" s="136">
        <f t="shared" si="50"/>
        <v>100</v>
      </c>
      <c r="AT179">
        <v>1.5</v>
      </c>
      <c r="AU179" s="86">
        <f t="shared" si="51"/>
        <v>1.5</v>
      </c>
      <c r="AV179" s="86" t="str">
        <f t="shared" si="57"/>
        <v/>
      </c>
      <c r="AY179" s="231">
        <f>IF(ISNUMBER(M179),M179,NA())</f>
        <v>14.4</v>
      </c>
      <c r="AZ179" s="231">
        <f t="shared" si="56"/>
        <v>2.2000000000000002</v>
      </c>
      <c r="BA179" s="231">
        <f t="shared" si="53"/>
        <v>14.4</v>
      </c>
      <c r="BB179" s="231">
        <f t="shared" si="54"/>
        <v>2.4</v>
      </c>
      <c r="BC179" s="231">
        <f t="shared" si="55"/>
        <v>1.5</v>
      </c>
      <c r="BD179" s="232">
        <f>IF(ISNUMBER(S179),S179,NA())</f>
        <v>62.962962962962962</v>
      </c>
      <c r="BE179" s="232">
        <f>IF(ISNUMBER(T179),T179,NA())</f>
        <v>53.846153846153847</v>
      </c>
      <c r="BP179">
        <v>172</v>
      </c>
    </row>
    <row r="180" spans="1:68">
      <c r="A180">
        <v>173</v>
      </c>
      <c r="B180">
        <v>18573301</v>
      </c>
      <c r="C180" s="215"/>
      <c r="D180" s="143" t="s">
        <v>435</v>
      </c>
      <c r="E180" s="11" t="s">
        <v>1678</v>
      </c>
      <c r="F180">
        <v>2008</v>
      </c>
      <c r="G180" s="1" t="s">
        <v>1288</v>
      </c>
      <c r="H180">
        <v>34</v>
      </c>
      <c r="I180">
        <v>39</v>
      </c>
      <c r="J180" t="s">
        <v>151</v>
      </c>
      <c r="K180">
        <v>4</v>
      </c>
      <c r="L180" t="s">
        <v>1119</v>
      </c>
      <c r="M180">
        <v>31.7</v>
      </c>
      <c r="N180">
        <v>8.4</v>
      </c>
      <c r="O180">
        <v>30.4</v>
      </c>
      <c r="P180">
        <v>6.8</v>
      </c>
      <c r="Q180">
        <v>26</v>
      </c>
      <c r="R180">
        <v>29</v>
      </c>
      <c r="S180" s="88">
        <f t="shared" si="39"/>
        <v>76.470588235294116</v>
      </c>
      <c r="T180" s="88">
        <f t="shared" si="40"/>
        <v>74.358974358974365</v>
      </c>
      <c r="U180">
        <v>29</v>
      </c>
      <c r="V180">
        <v>25.4</v>
      </c>
      <c r="W180">
        <v>2</v>
      </c>
      <c r="X180" s="86">
        <f t="shared" si="41"/>
        <v>73</v>
      </c>
      <c r="Y180" t="s">
        <v>1244</v>
      </c>
      <c r="Z180" t="s">
        <v>700</v>
      </c>
      <c r="AA180">
        <f t="shared" si="42"/>
        <v>2</v>
      </c>
      <c r="AB180">
        <v>5</v>
      </c>
      <c r="AC180">
        <v>0</v>
      </c>
      <c r="AD180">
        <v>0</v>
      </c>
      <c r="AE180">
        <v>0</v>
      </c>
      <c r="AF180">
        <v>0</v>
      </c>
      <c r="AG180">
        <v>0</v>
      </c>
      <c r="AH180">
        <v>0</v>
      </c>
      <c r="AI180">
        <v>0</v>
      </c>
      <c r="AJ180">
        <v>34</v>
      </c>
      <c r="AK180">
        <v>0</v>
      </c>
      <c r="AL180" s="158">
        <f t="shared" si="43"/>
        <v>0</v>
      </c>
      <c r="AM180" s="136">
        <f t="shared" si="44"/>
        <v>0</v>
      </c>
      <c r="AN180" s="136">
        <f t="shared" si="45"/>
        <v>0</v>
      </c>
      <c r="AO180" s="136">
        <f t="shared" si="46"/>
        <v>0</v>
      </c>
      <c r="AP180" s="136">
        <f t="shared" si="47"/>
        <v>0</v>
      </c>
      <c r="AQ180" s="136">
        <f t="shared" si="48"/>
        <v>0</v>
      </c>
      <c r="AR180" s="136">
        <f t="shared" si="49"/>
        <v>0</v>
      </c>
      <c r="AS180" s="136">
        <f t="shared" si="50"/>
        <v>100</v>
      </c>
      <c r="AT180">
        <v>1.5</v>
      </c>
      <c r="AU180" s="86">
        <f t="shared" si="51"/>
        <v>2</v>
      </c>
      <c r="AV180" s="86" t="str">
        <f t="shared" si="57"/>
        <v/>
      </c>
      <c r="AY180" s="231">
        <f>IF(ISNUMBER(M180),M180,NA())</f>
        <v>31.7</v>
      </c>
      <c r="AZ180" s="231">
        <f t="shared" si="56"/>
        <v>8.4</v>
      </c>
      <c r="BA180" s="231">
        <f t="shared" si="53"/>
        <v>30.4</v>
      </c>
      <c r="BB180" s="231">
        <f t="shared" si="54"/>
        <v>6.8</v>
      </c>
      <c r="BC180" s="231">
        <f t="shared" si="55"/>
        <v>2</v>
      </c>
      <c r="BD180" s="232">
        <f>IF(ISNUMBER(S180),S180,NA())</f>
        <v>76.470588235294116</v>
      </c>
      <c r="BE180" s="232">
        <f>IF(ISNUMBER(T180),T180,NA())</f>
        <v>74.358974358974365</v>
      </c>
      <c r="BP180">
        <v>173</v>
      </c>
    </row>
    <row r="181" spans="1:68">
      <c r="A181" s="13">
        <v>174</v>
      </c>
      <c r="B181">
        <v>18669941</v>
      </c>
      <c r="C181" s="215"/>
      <c r="D181" s="143" t="s">
        <v>772</v>
      </c>
      <c r="E181" s="11" t="s">
        <v>2274</v>
      </c>
      <c r="F181">
        <v>2008</v>
      </c>
      <c r="G181" s="1" t="s">
        <v>1386</v>
      </c>
      <c r="H181">
        <v>43</v>
      </c>
      <c r="I181">
        <v>41</v>
      </c>
      <c r="J181" t="s">
        <v>151</v>
      </c>
      <c r="K181">
        <v>4</v>
      </c>
      <c r="L181" t="s">
        <v>1119</v>
      </c>
      <c r="O181">
        <v>72.2</v>
      </c>
      <c r="P181">
        <v>7.27</v>
      </c>
      <c r="Q181">
        <v>33</v>
      </c>
      <c r="R181">
        <v>20</v>
      </c>
      <c r="S181" s="88">
        <f t="shared" si="39"/>
        <v>76.744186046511629</v>
      </c>
      <c r="T181" s="88">
        <f t="shared" si="40"/>
        <v>48.780487804878049</v>
      </c>
      <c r="U181" t="s">
        <v>250</v>
      </c>
      <c r="V181" t="s">
        <v>250</v>
      </c>
      <c r="W181">
        <v>1.4</v>
      </c>
      <c r="X181" s="86">
        <f t="shared" si="41"/>
        <v>84</v>
      </c>
      <c r="Y181" t="s">
        <v>1317</v>
      </c>
      <c r="Z181" t="s">
        <v>1318</v>
      </c>
      <c r="AA181">
        <f t="shared" si="42"/>
        <v>1</v>
      </c>
      <c r="AB181">
        <v>5</v>
      </c>
      <c r="AC181">
        <v>0</v>
      </c>
      <c r="AD181">
        <v>0</v>
      </c>
      <c r="AE181">
        <v>0</v>
      </c>
      <c r="AF181">
        <v>0</v>
      </c>
      <c r="AG181">
        <v>0</v>
      </c>
      <c r="AH181" t="s">
        <v>1688</v>
      </c>
      <c r="AI181">
        <v>0</v>
      </c>
      <c r="AJ181" t="s">
        <v>1688</v>
      </c>
      <c r="AK181" t="s">
        <v>1688</v>
      </c>
      <c r="AL181" s="158">
        <f t="shared" si="43"/>
        <v>0</v>
      </c>
      <c r="AM181" s="136">
        <f t="shared" si="44"/>
        <v>0</v>
      </c>
      <c r="AN181" s="136">
        <f t="shared" si="45"/>
        <v>0</v>
      </c>
      <c r="AO181" s="136">
        <f t="shared" si="46"/>
        <v>0</v>
      </c>
      <c r="AP181" s="136">
        <f t="shared" si="47"/>
        <v>0</v>
      </c>
      <c r="AQ181" s="136" t="str">
        <f t="shared" si="48"/>
        <v>ns</v>
      </c>
      <c r="AR181" s="136">
        <f t="shared" si="49"/>
        <v>0</v>
      </c>
      <c r="AS181" s="136" t="str">
        <f t="shared" si="50"/>
        <v>ns</v>
      </c>
      <c r="AT181">
        <v>1.5</v>
      </c>
      <c r="AU181" s="86">
        <f t="shared" si="51"/>
        <v>1.4</v>
      </c>
      <c r="AV181" s="86" t="str">
        <f t="shared" si="57"/>
        <v/>
      </c>
      <c r="AY181" s="231" t="e">
        <f>IF(ISNUMBER(M181),M181,NA())</f>
        <v>#N/A</v>
      </c>
      <c r="AZ181" s="231" t="e">
        <f t="shared" si="56"/>
        <v>#N/A</v>
      </c>
      <c r="BA181" s="231">
        <f t="shared" si="53"/>
        <v>72.2</v>
      </c>
      <c r="BB181" s="231">
        <f t="shared" si="54"/>
        <v>7.27</v>
      </c>
      <c r="BC181" s="231">
        <f t="shared" si="55"/>
        <v>1.4</v>
      </c>
      <c r="BD181" s="232">
        <f>IF(ISNUMBER(S181),S181,NA())</f>
        <v>76.744186046511629</v>
      </c>
      <c r="BE181" s="232">
        <f>IF(ISNUMBER(T181),T181,NA())</f>
        <v>48.780487804878049</v>
      </c>
      <c r="BP181">
        <v>174</v>
      </c>
    </row>
    <row r="182" spans="1:68">
      <c r="A182">
        <v>175</v>
      </c>
      <c r="B182">
        <v>18819162</v>
      </c>
      <c r="C182" s="215"/>
      <c r="D182" s="1" t="s">
        <v>1576</v>
      </c>
      <c r="E182" t="s">
        <v>1707</v>
      </c>
      <c r="F182">
        <v>2008</v>
      </c>
      <c r="G182" s="1" t="s">
        <v>1222</v>
      </c>
      <c r="H182">
        <v>26</v>
      </c>
      <c r="I182">
        <v>23</v>
      </c>
      <c r="J182" t="s">
        <v>151</v>
      </c>
      <c r="K182">
        <v>4</v>
      </c>
      <c r="L182" t="s">
        <v>1119</v>
      </c>
      <c r="M182">
        <v>70</v>
      </c>
      <c r="N182">
        <v>7.7</v>
      </c>
      <c r="O182">
        <v>71</v>
      </c>
      <c r="P182">
        <v>7.9</v>
      </c>
      <c r="Q182">
        <v>11</v>
      </c>
      <c r="R182">
        <v>21</v>
      </c>
      <c r="S182" s="88">
        <f t="shared" si="39"/>
        <v>42.307692307692307</v>
      </c>
      <c r="T182" s="88">
        <f t="shared" si="40"/>
        <v>91.304347826086953</v>
      </c>
      <c r="U182">
        <v>49.8</v>
      </c>
      <c r="V182">
        <v>17.899999999999999</v>
      </c>
      <c r="W182">
        <v>1.4</v>
      </c>
      <c r="X182" s="86">
        <f t="shared" si="41"/>
        <v>49</v>
      </c>
      <c r="Y182" t="s">
        <v>2202</v>
      </c>
      <c r="Z182" s="13" t="s">
        <v>479</v>
      </c>
      <c r="AA182">
        <f t="shared" si="42"/>
        <v>6</v>
      </c>
      <c r="AB182">
        <v>5</v>
      </c>
      <c r="AC182">
        <v>0</v>
      </c>
      <c r="AD182">
        <v>0</v>
      </c>
      <c r="AE182">
        <v>0</v>
      </c>
      <c r="AF182">
        <v>0</v>
      </c>
      <c r="AG182">
        <v>0</v>
      </c>
      <c r="AH182" t="s">
        <v>1688</v>
      </c>
      <c r="AI182">
        <v>0</v>
      </c>
      <c r="AJ182" t="s">
        <v>1688</v>
      </c>
      <c r="AK182" t="s">
        <v>1688</v>
      </c>
      <c r="AL182" s="158">
        <f t="shared" si="43"/>
        <v>0</v>
      </c>
      <c r="AM182" s="136">
        <f t="shared" si="44"/>
        <v>0</v>
      </c>
      <c r="AN182" s="136">
        <f t="shared" si="45"/>
        <v>0</v>
      </c>
      <c r="AO182" s="136">
        <f t="shared" si="46"/>
        <v>0</v>
      </c>
      <c r="AP182" s="136">
        <f t="shared" si="47"/>
        <v>0</v>
      </c>
      <c r="AQ182" s="136" t="str">
        <f t="shared" si="48"/>
        <v>ns</v>
      </c>
      <c r="AR182" s="136">
        <f t="shared" si="49"/>
        <v>0</v>
      </c>
      <c r="AS182" s="136" t="str">
        <f t="shared" si="50"/>
        <v>ns</v>
      </c>
      <c r="AT182">
        <v>1.5</v>
      </c>
      <c r="AU182" s="86">
        <f t="shared" si="51"/>
        <v>1.4</v>
      </c>
      <c r="AV182" s="86" t="str">
        <f t="shared" si="57"/>
        <v/>
      </c>
      <c r="AY182" s="231">
        <f>IF(ISNUMBER(M182),M182,NA())</f>
        <v>70</v>
      </c>
      <c r="AZ182" s="231">
        <f t="shared" si="56"/>
        <v>7.7</v>
      </c>
      <c r="BA182" s="231">
        <f t="shared" si="53"/>
        <v>71</v>
      </c>
      <c r="BB182" s="231">
        <f t="shared" si="54"/>
        <v>7.9</v>
      </c>
      <c r="BC182" s="231">
        <f t="shared" si="55"/>
        <v>1.4</v>
      </c>
      <c r="BD182" s="232">
        <f>IF(ISNUMBER(S182),S182,NA())</f>
        <v>42.307692307692307</v>
      </c>
      <c r="BE182" s="232">
        <f>IF(ISNUMBER(T182),T182,NA())</f>
        <v>91.304347826086953</v>
      </c>
      <c r="BP182">
        <v>175</v>
      </c>
    </row>
    <row r="183" spans="1:68">
      <c r="A183" s="13">
        <v>176</v>
      </c>
      <c r="B183">
        <v>18554875</v>
      </c>
      <c r="C183" s="215"/>
      <c r="D183" s="3" t="s">
        <v>2364</v>
      </c>
      <c r="E183" s="11" t="s">
        <v>2224</v>
      </c>
      <c r="F183">
        <v>2008</v>
      </c>
      <c r="G183" s="1" t="s">
        <v>2194</v>
      </c>
      <c r="H183">
        <v>31</v>
      </c>
      <c r="I183">
        <v>55</v>
      </c>
      <c r="J183" t="s">
        <v>151</v>
      </c>
      <c r="K183">
        <v>4</v>
      </c>
      <c r="L183" t="s">
        <v>1119</v>
      </c>
      <c r="M183">
        <v>39.200000000000003</v>
      </c>
      <c r="N183">
        <v>11.8</v>
      </c>
      <c r="O183">
        <v>34.200000000000003</v>
      </c>
      <c r="P183">
        <v>11.6</v>
      </c>
      <c r="Q183">
        <v>24</v>
      </c>
      <c r="R183">
        <v>28</v>
      </c>
      <c r="S183" s="88">
        <f t="shared" si="39"/>
        <v>77.41935483870968</v>
      </c>
      <c r="T183" s="88">
        <f t="shared" si="40"/>
        <v>50.909090909090907</v>
      </c>
      <c r="U183">
        <v>27.9</v>
      </c>
      <c r="V183" t="s">
        <v>1688</v>
      </c>
      <c r="W183">
        <v>1.5</v>
      </c>
      <c r="X183" s="86">
        <f t="shared" si="41"/>
        <v>86</v>
      </c>
      <c r="Y183" t="s">
        <v>2105</v>
      </c>
      <c r="Z183" s="4" t="s">
        <v>2106</v>
      </c>
      <c r="AA183">
        <f t="shared" si="42"/>
        <v>2</v>
      </c>
      <c r="AB183">
        <v>5</v>
      </c>
      <c r="AC183">
        <v>0</v>
      </c>
      <c r="AD183">
        <v>0</v>
      </c>
      <c r="AE183">
        <v>0</v>
      </c>
      <c r="AF183">
        <v>0</v>
      </c>
      <c r="AG183">
        <v>0</v>
      </c>
      <c r="AH183">
        <v>0</v>
      </c>
      <c r="AI183">
        <v>0</v>
      </c>
      <c r="AJ183">
        <v>31</v>
      </c>
      <c r="AK183" t="s">
        <v>1688</v>
      </c>
      <c r="AL183" s="158">
        <f t="shared" si="43"/>
        <v>0</v>
      </c>
      <c r="AM183" s="136">
        <f t="shared" si="44"/>
        <v>0</v>
      </c>
      <c r="AN183" s="136">
        <f t="shared" si="45"/>
        <v>0</v>
      </c>
      <c r="AO183" s="136">
        <f t="shared" si="46"/>
        <v>0</v>
      </c>
      <c r="AP183" s="136">
        <f t="shared" si="47"/>
        <v>0</v>
      </c>
      <c r="AQ183" s="136">
        <f t="shared" si="48"/>
        <v>0</v>
      </c>
      <c r="AR183" s="136">
        <f t="shared" si="49"/>
        <v>0</v>
      </c>
      <c r="AS183" s="136">
        <f t="shared" si="50"/>
        <v>100</v>
      </c>
      <c r="AT183">
        <v>1.5</v>
      </c>
      <c r="AU183" s="86">
        <f t="shared" si="51"/>
        <v>1.5</v>
      </c>
      <c r="AV183" s="86" t="str">
        <f t="shared" si="57"/>
        <v/>
      </c>
      <c r="AY183" s="231">
        <f>IF(ISNUMBER(M183),M183,NA())</f>
        <v>39.200000000000003</v>
      </c>
      <c r="AZ183" s="231">
        <f t="shared" si="56"/>
        <v>11.8</v>
      </c>
      <c r="BA183" s="231">
        <f t="shared" si="53"/>
        <v>34.200000000000003</v>
      </c>
      <c r="BB183" s="231">
        <f t="shared" si="54"/>
        <v>11.6</v>
      </c>
      <c r="BC183" s="231">
        <f t="shared" si="55"/>
        <v>1.5</v>
      </c>
      <c r="BD183" s="232">
        <f>IF(ISNUMBER(S183),S183,NA())</f>
        <v>77.41935483870968</v>
      </c>
      <c r="BE183" s="232">
        <f>IF(ISNUMBER(T183),T183,NA())</f>
        <v>50.909090909090907</v>
      </c>
      <c r="BP183">
        <v>176</v>
      </c>
    </row>
    <row r="184" spans="1:68">
      <c r="A184">
        <v>177</v>
      </c>
      <c r="B184">
        <v>18406580</v>
      </c>
      <c r="C184" s="215"/>
      <c r="D184" s="1" t="s">
        <v>1304</v>
      </c>
      <c r="E184" s="94" t="s">
        <v>938</v>
      </c>
      <c r="F184" s="86">
        <v>2008</v>
      </c>
      <c r="G184" s="1" t="s">
        <v>1735</v>
      </c>
      <c r="H184">
        <v>78</v>
      </c>
      <c r="I184">
        <v>78</v>
      </c>
      <c r="J184" s="13" t="s">
        <v>151</v>
      </c>
      <c r="K184" s="13">
        <v>4</v>
      </c>
      <c r="L184" t="s">
        <v>1119</v>
      </c>
      <c r="M184">
        <v>44.7</v>
      </c>
      <c r="N184">
        <v>12.2</v>
      </c>
      <c r="O184">
        <v>44.1</v>
      </c>
      <c r="P184">
        <v>11.6</v>
      </c>
      <c r="Q184">
        <v>40</v>
      </c>
      <c r="R184">
        <v>40</v>
      </c>
      <c r="S184" s="88">
        <f t="shared" si="39"/>
        <v>51.282051282051285</v>
      </c>
      <c r="T184" s="88">
        <f t="shared" si="40"/>
        <v>51.282051282051285</v>
      </c>
      <c r="U184" s="86">
        <v>39.6</v>
      </c>
      <c r="V184" s="86">
        <v>23.5</v>
      </c>
      <c r="W184" s="86">
        <v>1.5</v>
      </c>
      <c r="X184" s="86">
        <f t="shared" si="41"/>
        <v>156</v>
      </c>
      <c r="Y184" t="s">
        <v>845</v>
      </c>
      <c r="Z184" t="s">
        <v>1407</v>
      </c>
      <c r="AA184">
        <f t="shared" si="42"/>
        <v>10</v>
      </c>
      <c r="AB184">
        <v>5</v>
      </c>
      <c r="AC184" t="s">
        <v>1688</v>
      </c>
      <c r="AD184">
        <v>21</v>
      </c>
      <c r="AE184">
        <v>18</v>
      </c>
      <c r="AF184">
        <v>0</v>
      </c>
      <c r="AG184">
        <v>31</v>
      </c>
      <c r="AH184">
        <v>9</v>
      </c>
      <c r="AI184">
        <v>8</v>
      </c>
      <c r="AJ184">
        <v>8</v>
      </c>
      <c r="AK184" s="2" t="s">
        <v>2090</v>
      </c>
      <c r="AL184" s="158" t="str">
        <f t="shared" si="43"/>
        <v>ns</v>
      </c>
      <c r="AM184" s="136">
        <f t="shared" si="44"/>
        <v>26.923076923076923</v>
      </c>
      <c r="AN184" s="136">
        <f t="shared" si="45"/>
        <v>23.076923076923077</v>
      </c>
      <c r="AO184" s="136">
        <f t="shared" si="46"/>
        <v>0</v>
      </c>
      <c r="AP184" s="136">
        <f t="shared" si="47"/>
        <v>39.743589743589745</v>
      </c>
      <c r="AQ184" s="136">
        <f t="shared" si="48"/>
        <v>11.538461538461538</v>
      </c>
      <c r="AR184" s="136">
        <f t="shared" si="49"/>
        <v>10.256410256410255</v>
      </c>
      <c r="AS184" s="136">
        <f t="shared" si="50"/>
        <v>10.256410256410255</v>
      </c>
      <c r="AT184" s="86">
        <v>1.5</v>
      </c>
      <c r="AU184" s="86">
        <f t="shared" si="51"/>
        <v>1.5</v>
      </c>
      <c r="AV184" s="86" t="str">
        <f t="shared" si="57"/>
        <v/>
      </c>
      <c r="AY184" s="231">
        <f>IF(ISNUMBER(M184),M184,NA())</f>
        <v>44.7</v>
      </c>
      <c r="AZ184" s="231">
        <f t="shared" si="56"/>
        <v>12.2</v>
      </c>
      <c r="BA184" s="231">
        <f t="shared" si="53"/>
        <v>44.1</v>
      </c>
      <c r="BB184" s="231">
        <f t="shared" si="54"/>
        <v>11.6</v>
      </c>
      <c r="BC184" s="231">
        <f t="shared" si="55"/>
        <v>1.5</v>
      </c>
      <c r="BD184" s="232">
        <f>IF(ISNUMBER(S184),S184,NA())</f>
        <v>51.282051282051285</v>
      </c>
      <c r="BE184" s="232">
        <f>IF(ISNUMBER(T184),T184,NA())</f>
        <v>51.282051282051285</v>
      </c>
      <c r="BP184">
        <v>177</v>
      </c>
    </row>
    <row r="185" spans="1:68">
      <c r="A185" s="13">
        <v>178</v>
      </c>
      <c r="B185">
        <v>18286634</v>
      </c>
      <c r="C185" s="215"/>
      <c r="D185" s="143" t="s">
        <v>1112</v>
      </c>
      <c r="E185" s="11" t="s">
        <v>437</v>
      </c>
      <c r="F185">
        <v>2008</v>
      </c>
      <c r="G185" s="1" t="s">
        <v>1356</v>
      </c>
      <c r="H185">
        <v>60</v>
      </c>
      <c r="I185">
        <v>60</v>
      </c>
      <c r="J185" t="s">
        <v>151</v>
      </c>
      <c r="K185">
        <v>4</v>
      </c>
      <c r="L185" t="s">
        <v>1119</v>
      </c>
      <c r="M185">
        <v>44.2</v>
      </c>
      <c r="N185">
        <v>11.8</v>
      </c>
      <c r="O185">
        <v>41.6</v>
      </c>
      <c r="P185">
        <v>12.3</v>
      </c>
      <c r="Q185">
        <v>29</v>
      </c>
      <c r="R185">
        <v>29</v>
      </c>
      <c r="S185" s="88">
        <f t="shared" si="39"/>
        <v>48.333333333333336</v>
      </c>
      <c r="T185" s="88">
        <f t="shared" si="40"/>
        <v>48.333333333333336</v>
      </c>
      <c r="U185">
        <v>37.700000000000003</v>
      </c>
      <c r="V185">
        <v>23</v>
      </c>
      <c r="W185">
        <v>1.5</v>
      </c>
      <c r="X185" s="86">
        <f t="shared" si="41"/>
        <v>120</v>
      </c>
      <c r="Y185" s="2" t="s">
        <v>1</v>
      </c>
      <c r="Z185" s="4" t="s">
        <v>1627</v>
      </c>
      <c r="AA185">
        <f t="shared" si="42"/>
        <v>4</v>
      </c>
      <c r="AB185">
        <v>5</v>
      </c>
      <c r="AC185">
        <v>51</v>
      </c>
      <c r="AD185">
        <v>17</v>
      </c>
      <c r="AE185">
        <v>11</v>
      </c>
      <c r="AF185" t="s">
        <v>1688</v>
      </c>
      <c r="AG185">
        <v>23</v>
      </c>
      <c r="AH185" t="s">
        <v>1688</v>
      </c>
      <c r="AI185" t="s">
        <v>1688</v>
      </c>
      <c r="AJ185" t="s">
        <v>1688</v>
      </c>
      <c r="AK185" t="s">
        <v>1688</v>
      </c>
      <c r="AL185" s="158">
        <f t="shared" si="43"/>
        <v>85</v>
      </c>
      <c r="AM185" s="136">
        <f t="shared" si="44"/>
        <v>28.333333333333332</v>
      </c>
      <c r="AN185" s="136">
        <f t="shared" si="45"/>
        <v>18.333333333333332</v>
      </c>
      <c r="AO185" s="136" t="str">
        <f t="shared" si="46"/>
        <v>ns</v>
      </c>
      <c r="AP185" s="136">
        <f t="shared" si="47"/>
        <v>38.333333333333336</v>
      </c>
      <c r="AQ185" s="136" t="str">
        <f t="shared" si="48"/>
        <v>ns</v>
      </c>
      <c r="AR185" s="136" t="str">
        <f t="shared" si="49"/>
        <v>ns</v>
      </c>
      <c r="AS185" s="136" t="str">
        <f t="shared" si="50"/>
        <v>ns</v>
      </c>
      <c r="AT185">
        <v>1.5</v>
      </c>
      <c r="AU185" s="86">
        <f t="shared" si="51"/>
        <v>1.5</v>
      </c>
      <c r="AV185" s="86" t="str">
        <f t="shared" si="57"/>
        <v/>
      </c>
      <c r="AY185" s="231">
        <f>IF(ISNUMBER(M185),M185,NA())</f>
        <v>44.2</v>
      </c>
      <c r="AZ185" s="231">
        <f t="shared" si="56"/>
        <v>11.8</v>
      </c>
      <c r="BA185" s="231">
        <f t="shared" si="53"/>
        <v>41.6</v>
      </c>
      <c r="BB185" s="231">
        <f t="shared" si="54"/>
        <v>12.3</v>
      </c>
      <c r="BC185" s="231">
        <f t="shared" si="55"/>
        <v>1.5</v>
      </c>
      <c r="BD185" s="232">
        <f>IF(ISNUMBER(S185),S185,NA())</f>
        <v>48.333333333333336</v>
      </c>
      <c r="BE185" s="232">
        <f>IF(ISNUMBER(T185),T185,NA())</f>
        <v>48.333333333333336</v>
      </c>
      <c r="BP185">
        <v>178</v>
      </c>
    </row>
    <row r="186" spans="1:68">
      <c r="A186">
        <v>179</v>
      </c>
      <c r="B186">
        <v>18787661</v>
      </c>
      <c r="C186" s="215"/>
      <c r="D186" s="141" t="s">
        <v>1916</v>
      </c>
      <c r="E186" t="s">
        <v>370</v>
      </c>
      <c r="F186">
        <v>2008</v>
      </c>
      <c r="G186" s="84" t="s">
        <v>369</v>
      </c>
      <c r="H186">
        <v>30</v>
      </c>
      <c r="I186">
        <v>30</v>
      </c>
      <c r="J186" t="s">
        <v>151</v>
      </c>
      <c r="K186">
        <v>4</v>
      </c>
      <c r="L186" t="s">
        <v>1119</v>
      </c>
      <c r="M186">
        <v>45</v>
      </c>
      <c r="N186">
        <v>11.1</v>
      </c>
      <c r="O186">
        <v>43.6</v>
      </c>
      <c r="P186">
        <v>13.1</v>
      </c>
      <c r="Q186">
        <v>19</v>
      </c>
      <c r="R186">
        <v>19</v>
      </c>
      <c r="S186" s="88">
        <f t="shared" si="39"/>
        <v>63.333333333333336</v>
      </c>
      <c r="T186" s="88">
        <f t="shared" si="40"/>
        <v>63.333333333333336</v>
      </c>
      <c r="U186">
        <v>39.299999999999997</v>
      </c>
      <c r="V186">
        <v>24</v>
      </c>
      <c r="W186">
        <v>1.5</v>
      </c>
      <c r="X186" s="86">
        <f t="shared" si="41"/>
        <v>60</v>
      </c>
      <c r="Y186" t="s">
        <v>674</v>
      </c>
      <c r="Z186" t="s">
        <v>1151</v>
      </c>
      <c r="AA186">
        <f t="shared" si="42"/>
        <v>4</v>
      </c>
      <c r="AB186">
        <v>5</v>
      </c>
      <c r="AC186">
        <v>29</v>
      </c>
      <c r="AD186">
        <v>6</v>
      </c>
      <c r="AE186">
        <v>9</v>
      </c>
      <c r="AF186">
        <v>0</v>
      </c>
      <c r="AG186">
        <v>14</v>
      </c>
      <c r="AH186" t="s">
        <v>1688</v>
      </c>
      <c r="AI186" t="s">
        <v>1688</v>
      </c>
      <c r="AJ186" t="s">
        <v>1688</v>
      </c>
      <c r="AK186" t="s">
        <v>1688</v>
      </c>
      <c r="AL186" s="158">
        <f t="shared" si="43"/>
        <v>96.666666666666671</v>
      </c>
      <c r="AM186" s="136">
        <f t="shared" si="44"/>
        <v>20</v>
      </c>
      <c r="AN186" s="136">
        <f t="shared" si="45"/>
        <v>30</v>
      </c>
      <c r="AO186" s="136">
        <f t="shared" si="46"/>
        <v>0</v>
      </c>
      <c r="AP186" s="136">
        <f t="shared" si="47"/>
        <v>46.666666666666664</v>
      </c>
      <c r="AQ186" s="136" t="str">
        <f t="shared" si="48"/>
        <v>ns</v>
      </c>
      <c r="AR186" s="136" t="str">
        <f t="shared" si="49"/>
        <v>ns</v>
      </c>
      <c r="AS186" s="136" t="str">
        <f t="shared" si="50"/>
        <v>ns</v>
      </c>
      <c r="AT186">
        <v>1.5</v>
      </c>
      <c r="AU186" s="86">
        <f t="shared" si="51"/>
        <v>1.5</v>
      </c>
      <c r="AV186" s="86" t="str">
        <f t="shared" si="57"/>
        <v/>
      </c>
      <c r="AY186" s="231">
        <f>IF(ISNUMBER(M186),M186,NA())</f>
        <v>45</v>
      </c>
      <c r="AZ186" s="231">
        <f t="shared" si="56"/>
        <v>11.1</v>
      </c>
      <c r="BA186" s="231">
        <f t="shared" si="53"/>
        <v>43.6</v>
      </c>
      <c r="BB186" s="231">
        <f t="shared" si="54"/>
        <v>13.1</v>
      </c>
      <c r="BC186" s="231">
        <f t="shared" si="55"/>
        <v>1.5</v>
      </c>
      <c r="BD186" s="232">
        <f>IF(ISNUMBER(S186),S186,NA())</f>
        <v>63.333333333333336</v>
      </c>
      <c r="BE186" s="232">
        <f>IF(ISNUMBER(T186),T186,NA())</f>
        <v>63.333333333333336</v>
      </c>
      <c r="BP186">
        <v>179</v>
      </c>
    </row>
    <row r="187" spans="1:68">
      <c r="A187" s="13">
        <v>180</v>
      </c>
      <c r="B187">
        <v>18511243</v>
      </c>
      <c r="C187" s="215"/>
      <c r="D187" s="1" t="s">
        <v>1661</v>
      </c>
      <c r="E187" s="94" t="s">
        <v>913</v>
      </c>
      <c r="F187" s="86">
        <v>2008</v>
      </c>
      <c r="G187" s="1" t="s">
        <v>1736</v>
      </c>
      <c r="H187">
        <v>45</v>
      </c>
      <c r="I187">
        <v>30</v>
      </c>
      <c r="J187" t="s">
        <v>151</v>
      </c>
      <c r="K187">
        <v>4</v>
      </c>
      <c r="L187" t="s">
        <v>1119</v>
      </c>
      <c r="M187">
        <v>37.53</v>
      </c>
      <c r="N187">
        <v>11.33</v>
      </c>
      <c r="O187">
        <v>36.6</v>
      </c>
      <c r="P187">
        <v>11.09</v>
      </c>
      <c r="Q187">
        <v>23</v>
      </c>
      <c r="R187">
        <v>17</v>
      </c>
      <c r="S187" s="88">
        <f t="shared" si="39"/>
        <v>51.111111111111114</v>
      </c>
      <c r="T187" s="88">
        <f t="shared" si="40"/>
        <v>56.666666666666664</v>
      </c>
      <c r="U187" s="86">
        <v>26.16</v>
      </c>
      <c r="V187" s="86" t="s">
        <v>1688</v>
      </c>
      <c r="W187" s="86">
        <v>1.4</v>
      </c>
      <c r="X187" s="86">
        <f t="shared" si="41"/>
        <v>75</v>
      </c>
      <c r="Y187" t="s">
        <v>1773</v>
      </c>
      <c r="Z187" t="s">
        <v>1408</v>
      </c>
      <c r="AA187">
        <f t="shared" si="42"/>
        <v>7</v>
      </c>
      <c r="AB187">
        <v>5</v>
      </c>
      <c r="AD187">
        <v>11</v>
      </c>
      <c r="AE187">
        <v>2</v>
      </c>
      <c r="AL187" s="158" t="str">
        <f t="shared" si="43"/>
        <v/>
      </c>
      <c r="AM187" s="136">
        <f t="shared" si="44"/>
        <v>24.444444444444443</v>
      </c>
      <c r="AN187" s="136">
        <f t="shared" si="45"/>
        <v>4.4444444444444446</v>
      </c>
      <c r="AO187" s="136" t="str">
        <f t="shared" si="46"/>
        <v/>
      </c>
      <c r="AP187" s="136" t="str">
        <f t="shared" si="47"/>
        <v/>
      </c>
      <c r="AQ187" s="136" t="str">
        <f t="shared" si="48"/>
        <v/>
      </c>
      <c r="AR187" s="136" t="str">
        <f t="shared" si="49"/>
        <v/>
      </c>
      <c r="AS187" s="136" t="str">
        <f t="shared" si="50"/>
        <v/>
      </c>
      <c r="AT187" s="86">
        <v>1.5</v>
      </c>
      <c r="AU187" s="86">
        <f t="shared" si="51"/>
        <v>1.4</v>
      </c>
      <c r="AV187" s="86" t="str">
        <f t="shared" si="57"/>
        <v/>
      </c>
      <c r="AY187" s="231">
        <f>IF(ISNUMBER(M187),M187,NA())</f>
        <v>37.53</v>
      </c>
      <c r="AZ187" s="231">
        <f t="shared" si="56"/>
        <v>11.33</v>
      </c>
      <c r="BA187" s="231">
        <f t="shared" si="53"/>
        <v>36.6</v>
      </c>
      <c r="BB187" s="231">
        <f t="shared" si="54"/>
        <v>11.09</v>
      </c>
      <c r="BC187" s="231">
        <f t="shared" si="55"/>
        <v>1.4</v>
      </c>
      <c r="BD187" s="232">
        <f>IF(ISNUMBER(S187),S187,NA())</f>
        <v>51.111111111111114</v>
      </c>
      <c r="BE187" s="232">
        <f>IF(ISNUMBER(T187),T187,NA())</f>
        <v>56.666666666666664</v>
      </c>
      <c r="BP187">
        <v>180</v>
      </c>
    </row>
    <row r="188" spans="1:68">
      <c r="A188">
        <v>181</v>
      </c>
      <c r="B188">
        <v>18508244</v>
      </c>
      <c r="C188" s="215"/>
      <c r="D188" s="1" t="s">
        <v>1662</v>
      </c>
      <c r="E188" s="94" t="s">
        <v>914</v>
      </c>
      <c r="F188" s="86">
        <v>2008</v>
      </c>
      <c r="G188" s="1" t="s">
        <v>1737</v>
      </c>
      <c r="H188">
        <v>124</v>
      </c>
      <c r="I188">
        <v>83</v>
      </c>
      <c r="J188" s="13" t="s">
        <v>151</v>
      </c>
      <c r="K188" s="13">
        <v>4</v>
      </c>
      <c r="L188" t="s">
        <v>1119</v>
      </c>
      <c r="O188">
        <v>69</v>
      </c>
      <c r="P188">
        <v>7</v>
      </c>
      <c r="Q188">
        <v>85</v>
      </c>
      <c r="R188">
        <v>63</v>
      </c>
      <c r="S188" s="88">
        <f t="shared" si="39"/>
        <v>68.548387096774192</v>
      </c>
      <c r="T188" s="88">
        <f t="shared" si="40"/>
        <v>75.903614457831324</v>
      </c>
      <c r="U188" s="86" t="s">
        <v>753</v>
      </c>
      <c r="V188" s="86">
        <v>21</v>
      </c>
      <c r="W188" s="86">
        <v>3</v>
      </c>
      <c r="X188" s="86">
        <f t="shared" si="41"/>
        <v>207</v>
      </c>
      <c r="Y188" t="s">
        <v>1774</v>
      </c>
      <c r="Z188" t="s">
        <v>1409</v>
      </c>
      <c r="AA188">
        <f t="shared" si="42"/>
        <v>3</v>
      </c>
      <c r="AB188">
        <v>5</v>
      </c>
      <c r="AC188" t="s">
        <v>1688</v>
      </c>
      <c r="AD188" t="s">
        <v>1688</v>
      </c>
      <c r="AE188" t="s">
        <v>1688</v>
      </c>
      <c r="AF188" t="s">
        <v>1688</v>
      </c>
      <c r="AG188" t="s">
        <v>1688</v>
      </c>
      <c r="AH188" t="s">
        <v>1688</v>
      </c>
      <c r="AI188" t="s">
        <v>1688</v>
      </c>
      <c r="AJ188" t="s">
        <v>1688</v>
      </c>
      <c r="AK188" t="s">
        <v>1688</v>
      </c>
      <c r="AL188" s="158" t="str">
        <f t="shared" si="43"/>
        <v>ns</v>
      </c>
      <c r="AM188" s="136" t="str">
        <f t="shared" si="44"/>
        <v>ns</v>
      </c>
      <c r="AN188" s="136" t="str">
        <f t="shared" si="45"/>
        <v>ns</v>
      </c>
      <c r="AO188" s="136" t="str">
        <f t="shared" si="46"/>
        <v>ns</v>
      </c>
      <c r="AP188" s="136" t="str">
        <f t="shared" si="47"/>
        <v>ns</v>
      </c>
      <c r="AQ188" s="136" t="str">
        <f t="shared" si="48"/>
        <v>ns</v>
      </c>
      <c r="AR188" s="136" t="str">
        <f t="shared" si="49"/>
        <v>ns</v>
      </c>
      <c r="AS188" s="136" t="str">
        <f t="shared" si="50"/>
        <v>ns</v>
      </c>
      <c r="AT188" s="86">
        <v>1.5</v>
      </c>
      <c r="AU188" s="86">
        <f t="shared" si="51"/>
        <v>3</v>
      </c>
      <c r="AV188" s="86" t="str">
        <f t="shared" si="57"/>
        <v/>
      </c>
      <c r="AY188" s="231" t="e">
        <f>IF(ISNUMBER(M188),M188,NA())</f>
        <v>#N/A</v>
      </c>
      <c r="AZ188" s="231" t="e">
        <f t="shared" si="56"/>
        <v>#N/A</v>
      </c>
      <c r="BA188" s="231">
        <f t="shared" si="53"/>
        <v>69</v>
      </c>
      <c r="BB188" s="231">
        <f t="shared" si="54"/>
        <v>7</v>
      </c>
      <c r="BC188" s="231">
        <f t="shared" si="55"/>
        <v>3</v>
      </c>
      <c r="BD188" s="232">
        <f>IF(ISNUMBER(S188),S188,NA())</f>
        <v>68.548387096774192</v>
      </c>
      <c r="BE188" s="232">
        <f>IF(ISNUMBER(T188),T188,NA())</f>
        <v>75.903614457831324</v>
      </c>
      <c r="BP188">
        <v>181</v>
      </c>
    </row>
    <row r="189" spans="1:68">
      <c r="A189" s="13">
        <v>182</v>
      </c>
      <c r="B189">
        <v>18450931</v>
      </c>
      <c r="C189" s="215"/>
      <c r="D189" s="1" t="s">
        <v>1305</v>
      </c>
      <c r="E189" s="94" t="s">
        <v>915</v>
      </c>
      <c r="F189" s="86">
        <v>2008</v>
      </c>
      <c r="G189" s="1" t="s">
        <v>1697</v>
      </c>
      <c r="H189">
        <v>42</v>
      </c>
      <c r="I189">
        <v>22</v>
      </c>
      <c r="J189" s="13" t="s">
        <v>151</v>
      </c>
      <c r="K189" s="13">
        <v>4</v>
      </c>
      <c r="L189" t="s">
        <v>1119</v>
      </c>
      <c r="O189">
        <v>32.200000000000003</v>
      </c>
      <c r="P189">
        <v>11.5</v>
      </c>
      <c r="Q189">
        <v>23</v>
      </c>
      <c r="R189">
        <v>11</v>
      </c>
      <c r="S189" s="88">
        <f t="shared" si="39"/>
        <v>54.761904761904759</v>
      </c>
      <c r="T189" s="88">
        <f t="shared" si="40"/>
        <v>50</v>
      </c>
      <c r="U189" t="s">
        <v>114</v>
      </c>
      <c r="V189" t="s">
        <v>115</v>
      </c>
      <c r="W189" s="86">
        <v>1.5</v>
      </c>
      <c r="X189" s="86">
        <f t="shared" si="41"/>
        <v>64</v>
      </c>
      <c r="Y189" t="s">
        <v>1584</v>
      </c>
      <c r="Z189" t="s">
        <v>1410</v>
      </c>
      <c r="AA189">
        <f t="shared" si="42"/>
        <v>4</v>
      </c>
      <c r="AB189">
        <v>5</v>
      </c>
      <c r="AC189">
        <v>26</v>
      </c>
      <c r="AD189" t="s">
        <v>1688</v>
      </c>
      <c r="AE189" t="s">
        <v>1688</v>
      </c>
      <c r="AF189" t="s">
        <v>1688</v>
      </c>
      <c r="AG189" t="s">
        <v>1688</v>
      </c>
      <c r="AH189">
        <v>6</v>
      </c>
      <c r="AI189">
        <v>16</v>
      </c>
      <c r="AJ189">
        <v>12</v>
      </c>
      <c r="AL189" s="158">
        <f t="shared" si="43"/>
        <v>61.904761904761905</v>
      </c>
      <c r="AM189" s="136" t="str">
        <f t="shared" si="44"/>
        <v>ns</v>
      </c>
      <c r="AN189" s="136" t="str">
        <f t="shared" si="45"/>
        <v>ns</v>
      </c>
      <c r="AO189" s="136" t="str">
        <f t="shared" si="46"/>
        <v>ns</v>
      </c>
      <c r="AP189" s="136" t="str">
        <f t="shared" si="47"/>
        <v>ns</v>
      </c>
      <c r="AQ189" s="136">
        <f t="shared" si="48"/>
        <v>14.285714285714285</v>
      </c>
      <c r="AR189" s="136">
        <f t="shared" si="49"/>
        <v>38.095238095238095</v>
      </c>
      <c r="AS189" s="136">
        <f t="shared" si="50"/>
        <v>28.571428571428569</v>
      </c>
      <c r="AT189" s="86">
        <v>3</v>
      </c>
      <c r="AU189" s="86">
        <f t="shared" si="51"/>
        <v>1.5</v>
      </c>
      <c r="AV189" s="86" t="str">
        <f t="shared" si="57"/>
        <v/>
      </c>
      <c r="AY189" s="231" t="e">
        <f>IF(ISNUMBER(M189),M189,NA())</f>
        <v>#N/A</v>
      </c>
      <c r="AZ189" s="231" t="e">
        <f t="shared" si="56"/>
        <v>#N/A</v>
      </c>
      <c r="BA189" s="231">
        <f t="shared" si="53"/>
        <v>32.200000000000003</v>
      </c>
      <c r="BB189" s="231">
        <f t="shared" si="54"/>
        <v>11.5</v>
      </c>
      <c r="BC189" s="231">
        <f t="shared" si="55"/>
        <v>1.5</v>
      </c>
      <c r="BD189" s="232">
        <f>IF(ISNUMBER(S189),S189,NA())</f>
        <v>54.761904761904759</v>
      </c>
      <c r="BE189" s="232">
        <f>IF(ISNUMBER(T189),T189,NA())</f>
        <v>50</v>
      </c>
      <c r="BP189">
        <v>182</v>
      </c>
    </row>
    <row r="190" spans="1:68">
      <c r="A190">
        <v>183</v>
      </c>
      <c r="B190">
        <v>18515903</v>
      </c>
      <c r="C190" s="215"/>
      <c r="D190" s="1" t="s">
        <v>1691</v>
      </c>
      <c r="E190" s="94" t="s">
        <v>912</v>
      </c>
      <c r="F190" s="22">
        <v>2008</v>
      </c>
      <c r="G190" s="1" t="s">
        <v>1890</v>
      </c>
      <c r="H190">
        <v>49</v>
      </c>
      <c r="I190">
        <v>30</v>
      </c>
      <c r="J190" s="13" t="s">
        <v>151</v>
      </c>
      <c r="K190" s="13">
        <v>4</v>
      </c>
      <c r="L190" t="s">
        <v>1119</v>
      </c>
      <c r="S190" s="88" t="str">
        <f t="shared" si="39"/>
        <v/>
      </c>
      <c r="T190" s="88" t="str">
        <f t="shared" si="40"/>
        <v/>
      </c>
      <c r="U190" s="86" t="s">
        <v>1688</v>
      </c>
      <c r="V190" s="86">
        <v>22.74</v>
      </c>
      <c r="W190" s="86" t="s">
        <v>1688</v>
      </c>
      <c r="X190" s="86">
        <f t="shared" si="41"/>
        <v>79</v>
      </c>
      <c r="Y190" t="s">
        <v>1585</v>
      </c>
      <c r="Z190" t="s">
        <v>1411</v>
      </c>
      <c r="AA190">
        <f t="shared" si="42"/>
        <v>5</v>
      </c>
      <c r="AB190">
        <v>5</v>
      </c>
      <c r="AC190" t="s">
        <v>1688</v>
      </c>
      <c r="AD190" t="s">
        <v>1688</v>
      </c>
      <c r="AE190" t="s">
        <v>1688</v>
      </c>
      <c r="AF190" t="s">
        <v>1688</v>
      </c>
      <c r="AG190" t="s">
        <v>1688</v>
      </c>
      <c r="AH190" t="s">
        <v>1688</v>
      </c>
      <c r="AI190" t="s">
        <v>1688</v>
      </c>
      <c r="AJ190" t="s">
        <v>1688</v>
      </c>
      <c r="AK190" t="s">
        <v>1688</v>
      </c>
      <c r="AL190" s="158" t="str">
        <f t="shared" si="43"/>
        <v>ns</v>
      </c>
      <c r="AM190" s="136" t="str">
        <f t="shared" si="44"/>
        <v>ns</v>
      </c>
      <c r="AN190" s="136" t="str">
        <f t="shared" si="45"/>
        <v>ns</v>
      </c>
      <c r="AO190" s="136" t="str">
        <f t="shared" si="46"/>
        <v>ns</v>
      </c>
      <c r="AP190" s="136" t="str">
        <f t="shared" si="47"/>
        <v>ns</v>
      </c>
      <c r="AQ190" s="136" t="str">
        <f t="shared" si="48"/>
        <v>ns</v>
      </c>
      <c r="AR190" s="136" t="str">
        <f t="shared" si="49"/>
        <v>ns</v>
      </c>
      <c r="AS190" s="136" t="str">
        <f t="shared" si="50"/>
        <v>ns</v>
      </c>
      <c r="AT190" s="86">
        <v>1.5</v>
      </c>
      <c r="AU190" s="86" t="str">
        <f t="shared" si="51"/>
        <v/>
      </c>
      <c r="AV190" s="86" t="str">
        <f t="shared" si="57"/>
        <v/>
      </c>
      <c r="AY190" s="231" t="e">
        <f>IF(ISNUMBER(M190),M190,NA())</f>
        <v>#N/A</v>
      </c>
      <c r="AZ190" s="231" t="e">
        <f t="shared" si="56"/>
        <v>#N/A</v>
      </c>
      <c r="BA190" s="231" t="e">
        <f t="shared" si="53"/>
        <v>#N/A</v>
      </c>
      <c r="BB190" s="231" t="e">
        <f t="shared" si="54"/>
        <v>#N/A</v>
      </c>
      <c r="BC190" s="231" t="e">
        <f t="shared" si="55"/>
        <v>#N/A</v>
      </c>
      <c r="BD190" s="232" t="e">
        <f>IF(ISNUMBER(S190),S190,NA())</f>
        <v>#N/A</v>
      </c>
      <c r="BE190" s="232" t="e">
        <f>IF(ISNUMBER(T190),T190,NA())</f>
        <v>#N/A</v>
      </c>
      <c r="BP190">
        <v>183</v>
      </c>
    </row>
    <row r="191" spans="1:68">
      <c r="A191" s="13">
        <v>184</v>
      </c>
      <c r="B191">
        <v>18068956</v>
      </c>
      <c r="C191" s="215"/>
      <c r="D191" s="1" t="s">
        <v>1451</v>
      </c>
      <c r="E191" s="94" t="s">
        <v>918</v>
      </c>
      <c r="F191" s="86">
        <v>2008</v>
      </c>
      <c r="G191" s="1" t="s">
        <v>1891</v>
      </c>
      <c r="H191">
        <v>31</v>
      </c>
      <c r="I191">
        <v>24</v>
      </c>
      <c r="J191" s="13" t="s">
        <v>151</v>
      </c>
      <c r="K191" s="13">
        <v>4</v>
      </c>
      <c r="L191" t="s">
        <v>1119</v>
      </c>
      <c r="M191">
        <v>50</v>
      </c>
      <c r="N191">
        <v>15</v>
      </c>
      <c r="O191">
        <v>46</v>
      </c>
      <c r="P191">
        <v>14</v>
      </c>
      <c r="Q191">
        <v>31</v>
      </c>
      <c r="R191">
        <v>24</v>
      </c>
      <c r="S191" s="88">
        <f t="shared" si="39"/>
        <v>100</v>
      </c>
      <c r="T191" s="88">
        <f t="shared" si="40"/>
        <v>100</v>
      </c>
      <c r="U191" s="86">
        <v>29</v>
      </c>
      <c r="V191" s="86">
        <v>7</v>
      </c>
      <c r="W191" s="86">
        <v>1.25</v>
      </c>
      <c r="X191" s="86">
        <f t="shared" si="41"/>
        <v>55</v>
      </c>
      <c r="Y191" t="s">
        <v>1716</v>
      </c>
      <c r="Z191" t="s">
        <v>1412</v>
      </c>
      <c r="AA191">
        <f t="shared" si="42"/>
        <v>4</v>
      </c>
      <c r="AB191">
        <v>5</v>
      </c>
      <c r="AC191">
        <v>24</v>
      </c>
      <c r="AD191" t="s">
        <v>1688</v>
      </c>
      <c r="AE191" t="s">
        <v>1688</v>
      </c>
      <c r="AF191" t="s">
        <v>1688</v>
      </c>
      <c r="AG191" t="s">
        <v>1688</v>
      </c>
      <c r="AH191" t="s">
        <v>1688</v>
      </c>
      <c r="AI191" t="s">
        <v>1688</v>
      </c>
      <c r="AJ191" t="s">
        <v>1688</v>
      </c>
      <c r="AK191" t="s">
        <v>1688</v>
      </c>
      <c r="AL191" s="158">
        <f t="shared" si="43"/>
        <v>77.41935483870968</v>
      </c>
      <c r="AM191" s="136" t="str">
        <f t="shared" si="44"/>
        <v>ns</v>
      </c>
      <c r="AN191" s="136" t="str">
        <f t="shared" si="45"/>
        <v>ns</v>
      </c>
      <c r="AO191" s="136" t="str">
        <f t="shared" si="46"/>
        <v>ns</v>
      </c>
      <c r="AP191" s="136" t="str">
        <f t="shared" si="47"/>
        <v>ns</v>
      </c>
      <c r="AQ191" s="136" t="str">
        <f t="shared" si="48"/>
        <v>ns</v>
      </c>
      <c r="AR191" s="136" t="str">
        <f t="shared" si="49"/>
        <v>ns</v>
      </c>
      <c r="AS191" s="136" t="str">
        <f t="shared" si="50"/>
        <v>ns</v>
      </c>
      <c r="AT191" s="86">
        <v>1.5</v>
      </c>
      <c r="AU191" s="86">
        <f t="shared" si="51"/>
        <v>1.25</v>
      </c>
      <c r="AV191" s="86" t="str">
        <f t="shared" si="57"/>
        <v/>
      </c>
      <c r="AY191" s="231">
        <f>IF(ISNUMBER(M191),M191,NA())</f>
        <v>50</v>
      </c>
      <c r="AZ191" s="231">
        <f t="shared" si="56"/>
        <v>15</v>
      </c>
      <c r="BA191" s="231">
        <f t="shared" si="53"/>
        <v>46</v>
      </c>
      <c r="BB191" s="231">
        <f t="shared" si="54"/>
        <v>14</v>
      </c>
      <c r="BC191" s="231">
        <f t="shared" si="55"/>
        <v>1.25</v>
      </c>
      <c r="BD191" s="232">
        <f>IF(ISNUMBER(S191),S191,NA())</f>
        <v>100</v>
      </c>
      <c r="BE191" s="232">
        <f>IF(ISNUMBER(T191),T191,NA())</f>
        <v>100</v>
      </c>
      <c r="BP191">
        <v>184</v>
      </c>
    </row>
    <row r="192" spans="1:68">
      <c r="A192">
        <v>185</v>
      </c>
      <c r="B192">
        <v>18199247</v>
      </c>
      <c r="C192" s="215"/>
      <c r="D192" s="1" t="s">
        <v>1690</v>
      </c>
      <c r="E192" s="94" t="s">
        <v>936</v>
      </c>
      <c r="F192" s="86">
        <v>2008</v>
      </c>
      <c r="G192" s="1" t="s">
        <v>1892</v>
      </c>
      <c r="H192">
        <v>10</v>
      </c>
      <c r="I192">
        <v>10</v>
      </c>
      <c r="J192" t="s">
        <v>151</v>
      </c>
      <c r="K192">
        <v>4</v>
      </c>
      <c r="L192" t="s">
        <v>1119</v>
      </c>
      <c r="M192">
        <v>16.78</v>
      </c>
      <c r="N192">
        <v>1.42</v>
      </c>
      <c r="O192">
        <v>16.3</v>
      </c>
      <c r="P192">
        <v>1.97</v>
      </c>
      <c r="Q192">
        <v>6</v>
      </c>
      <c r="R192">
        <v>6</v>
      </c>
      <c r="S192" s="88">
        <f t="shared" si="39"/>
        <v>60</v>
      </c>
      <c r="T192" s="88">
        <f t="shared" si="40"/>
        <v>60</v>
      </c>
      <c r="U192" s="86">
        <v>15.18</v>
      </c>
      <c r="V192" s="86" t="s">
        <v>1688</v>
      </c>
      <c r="W192" s="86">
        <v>1.45</v>
      </c>
      <c r="X192" s="86">
        <f t="shared" si="41"/>
        <v>20</v>
      </c>
      <c r="Y192" t="s">
        <v>1918</v>
      </c>
      <c r="Z192" s="4" t="s">
        <v>1315</v>
      </c>
      <c r="AA192">
        <f t="shared" si="42"/>
        <v>1</v>
      </c>
      <c r="AB192">
        <v>5</v>
      </c>
      <c r="AC192">
        <v>0</v>
      </c>
      <c r="AD192">
        <v>0</v>
      </c>
      <c r="AE192">
        <v>0</v>
      </c>
      <c r="AF192">
        <v>0</v>
      </c>
      <c r="AG192">
        <v>0</v>
      </c>
      <c r="AH192">
        <v>0</v>
      </c>
      <c r="AI192">
        <v>1</v>
      </c>
      <c r="AJ192">
        <v>9</v>
      </c>
      <c r="AK192" t="s">
        <v>2091</v>
      </c>
      <c r="AL192" s="158">
        <f t="shared" si="43"/>
        <v>0</v>
      </c>
      <c r="AM192" s="136">
        <f t="shared" si="44"/>
        <v>0</v>
      </c>
      <c r="AN192" s="136">
        <f t="shared" si="45"/>
        <v>0</v>
      </c>
      <c r="AO192" s="136">
        <f t="shared" si="46"/>
        <v>0</v>
      </c>
      <c r="AP192" s="136">
        <f t="shared" si="47"/>
        <v>0</v>
      </c>
      <c r="AQ192" s="136">
        <f t="shared" si="48"/>
        <v>0</v>
      </c>
      <c r="AR192" s="136">
        <f t="shared" si="49"/>
        <v>10</v>
      </c>
      <c r="AS192" s="136">
        <f t="shared" si="50"/>
        <v>90</v>
      </c>
      <c r="AT192" s="86">
        <v>1.5</v>
      </c>
      <c r="AU192" s="86">
        <f t="shared" si="51"/>
        <v>1.45</v>
      </c>
      <c r="AV192" s="86" t="str">
        <f t="shared" si="57"/>
        <v/>
      </c>
      <c r="AY192" s="231">
        <f>IF(ISNUMBER(M192),M192,NA())</f>
        <v>16.78</v>
      </c>
      <c r="AZ192" s="231">
        <f t="shared" si="56"/>
        <v>1.42</v>
      </c>
      <c r="BA192" s="231">
        <f t="shared" si="53"/>
        <v>16.3</v>
      </c>
      <c r="BB192" s="231">
        <f t="shared" si="54"/>
        <v>1.97</v>
      </c>
      <c r="BC192" s="231">
        <f t="shared" si="55"/>
        <v>1.45</v>
      </c>
      <c r="BD192" s="232">
        <f>IF(ISNUMBER(S192),S192,NA())</f>
        <v>60</v>
      </c>
      <c r="BE192" s="232">
        <f>IF(ISNUMBER(T192),T192,NA())</f>
        <v>60</v>
      </c>
      <c r="BP192">
        <v>185</v>
      </c>
    </row>
    <row r="193" spans="1:68">
      <c r="A193" s="13">
        <v>186</v>
      </c>
      <c r="B193">
        <v>17640621</v>
      </c>
      <c r="C193" s="215"/>
      <c r="D193" s="1" t="s">
        <v>1657</v>
      </c>
      <c r="E193" s="94" t="s">
        <v>937</v>
      </c>
      <c r="F193" s="86">
        <v>2008</v>
      </c>
      <c r="G193" s="1" t="s">
        <v>1893</v>
      </c>
      <c r="H193">
        <v>32</v>
      </c>
      <c r="I193">
        <v>35</v>
      </c>
      <c r="J193" t="s">
        <v>151</v>
      </c>
      <c r="K193">
        <v>4</v>
      </c>
      <c r="L193" t="s">
        <v>1119</v>
      </c>
      <c r="M193">
        <v>14.08</v>
      </c>
      <c r="N193">
        <v>2.88</v>
      </c>
      <c r="O193">
        <v>14.51</v>
      </c>
      <c r="P193">
        <v>2.72</v>
      </c>
      <c r="Q193">
        <v>20</v>
      </c>
      <c r="R193">
        <v>22</v>
      </c>
      <c r="S193" s="88">
        <f t="shared" si="39"/>
        <v>62.5</v>
      </c>
      <c r="T193" s="88">
        <f t="shared" si="40"/>
        <v>62.857142857142854</v>
      </c>
      <c r="U193" s="86">
        <v>11.77</v>
      </c>
      <c r="V193" s="86" t="s">
        <v>1688</v>
      </c>
      <c r="W193" s="86">
        <v>1.5</v>
      </c>
      <c r="X193" s="86">
        <f t="shared" si="41"/>
        <v>67</v>
      </c>
      <c r="Y193" t="s">
        <v>1760</v>
      </c>
      <c r="Z193" t="s">
        <v>1413</v>
      </c>
      <c r="AA193">
        <f t="shared" si="42"/>
        <v>5</v>
      </c>
      <c r="AB193">
        <v>5</v>
      </c>
      <c r="AC193">
        <v>0</v>
      </c>
      <c r="AD193">
        <v>0</v>
      </c>
      <c r="AE193">
        <v>0</v>
      </c>
      <c r="AF193">
        <v>0</v>
      </c>
      <c r="AG193">
        <v>0</v>
      </c>
      <c r="AH193">
        <v>0</v>
      </c>
      <c r="AI193">
        <v>0</v>
      </c>
      <c r="AJ193">
        <v>32</v>
      </c>
      <c r="AK193">
        <v>0</v>
      </c>
      <c r="AL193" s="158">
        <f t="shared" si="43"/>
        <v>0</v>
      </c>
      <c r="AM193" s="136">
        <f t="shared" si="44"/>
        <v>0</v>
      </c>
      <c r="AN193" s="136">
        <f t="shared" si="45"/>
        <v>0</v>
      </c>
      <c r="AO193" s="136">
        <f t="shared" si="46"/>
        <v>0</v>
      </c>
      <c r="AP193" s="136">
        <f t="shared" si="47"/>
        <v>0</v>
      </c>
      <c r="AQ193" s="136">
        <f t="shared" si="48"/>
        <v>0</v>
      </c>
      <c r="AR193" s="136">
        <f t="shared" si="49"/>
        <v>0</v>
      </c>
      <c r="AS193" s="136">
        <f t="shared" si="50"/>
        <v>100</v>
      </c>
      <c r="AT193" s="86">
        <v>1.5</v>
      </c>
      <c r="AU193" s="86">
        <f t="shared" si="51"/>
        <v>1.5</v>
      </c>
      <c r="AV193" s="86" t="str">
        <f t="shared" si="57"/>
        <v/>
      </c>
      <c r="AY193" s="231">
        <f>IF(ISNUMBER(M193),M193,NA())</f>
        <v>14.08</v>
      </c>
      <c r="AZ193" s="231">
        <f t="shared" si="56"/>
        <v>2.88</v>
      </c>
      <c r="BA193" s="231">
        <f t="shared" si="53"/>
        <v>14.51</v>
      </c>
      <c r="BB193" s="231">
        <f t="shared" si="54"/>
        <v>2.72</v>
      </c>
      <c r="BC193" s="231">
        <f t="shared" si="55"/>
        <v>1.5</v>
      </c>
      <c r="BD193" s="232">
        <f>IF(ISNUMBER(S193),S193,NA())</f>
        <v>62.5</v>
      </c>
      <c r="BE193" s="232">
        <f>IF(ISNUMBER(T193),T193,NA())</f>
        <v>62.857142857142854</v>
      </c>
      <c r="BP193">
        <v>186</v>
      </c>
    </row>
    <row r="194" spans="1:68">
      <c r="A194">
        <v>187</v>
      </c>
      <c r="B194">
        <v>18439110</v>
      </c>
      <c r="C194" s="215"/>
      <c r="D194" s="1" t="s">
        <v>259</v>
      </c>
      <c r="E194" s="94" t="s">
        <v>916</v>
      </c>
      <c r="F194" s="86">
        <v>2008</v>
      </c>
      <c r="G194" s="1" t="s">
        <v>1776</v>
      </c>
      <c r="H194">
        <v>27</v>
      </c>
      <c r="I194">
        <v>26</v>
      </c>
      <c r="J194" t="s">
        <v>151</v>
      </c>
      <c r="K194">
        <v>4</v>
      </c>
      <c r="L194" t="s">
        <v>1119</v>
      </c>
      <c r="M194">
        <v>14.4</v>
      </c>
      <c r="N194">
        <v>2.2000000000000002</v>
      </c>
      <c r="O194">
        <v>14.4</v>
      </c>
      <c r="P194">
        <v>2.2999999999999998</v>
      </c>
      <c r="Q194">
        <v>17</v>
      </c>
      <c r="R194">
        <v>14</v>
      </c>
      <c r="S194" s="88">
        <f t="shared" si="39"/>
        <v>62.962962962962962</v>
      </c>
      <c r="T194" s="88">
        <f t="shared" si="40"/>
        <v>53.846153846153847</v>
      </c>
      <c r="U194" s="205">
        <v>11.75</v>
      </c>
      <c r="V194" s="86" t="s">
        <v>1688</v>
      </c>
      <c r="W194" s="86">
        <v>1.5</v>
      </c>
      <c r="X194" s="86">
        <f t="shared" si="41"/>
        <v>53</v>
      </c>
      <c r="Y194" t="s">
        <v>1414</v>
      </c>
      <c r="Z194" t="s">
        <v>1415</v>
      </c>
      <c r="AA194">
        <f t="shared" si="42"/>
        <v>7</v>
      </c>
      <c r="AB194">
        <v>5</v>
      </c>
      <c r="AC194">
        <v>0</v>
      </c>
      <c r="AD194">
        <v>0</v>
      </c>
      <c r="AE194">
        <v>0</v>
      </c>
      <c r="AF194">
        <v>0</v>
      </c>
      <c r="AG194">
        <v>0</v>
      </c>
      <c r="AH194">
        <v>0</v>
      </c>
      <c r="AI194">
        <v>0</v>
      </c>
      <c r="AJ194">
        <v>27</v>
      </c>
      <c r="AK194">
        <v>0</v>
      </c>
      <c r="AL194" s="158">
        <f t="shared" si="43"/>
        <v>0</v>
      </c>
      <c r="AM194" s="136">
        <f t="shared" si="44"/>
        <v>0</v>
      </c>
      <c r="AN194" s="136">
        <f t="shared" si="45"/>
        <v>0</v>
      </c>
      <c r="AO194" s="136">
        <f t="shared" si="46"/>
        <v>0</v>
      </c>
      <c r="AP194" s="136">
        <f t="shared" si="47"/>
        <v>0</v>
      </c>
      <c r="AQ194" s="136">
        <f t="shared" si="48"/>
        <v>0</v>
      </c>
      <c r="AR194" s="136">
        <f t="shared" si="49"/>
        <v>0</v>
      </c>
      <c r="AS194" s="136">
        <f t="shared" si="50"/>
        <v>100</v>
      </c>
      <c r="AT194" s="86">
        <v>1.5</v>
      </c>
      <c r="AU194" s="86">
        <f t="shared" si="51"/>
        <v>1.5</v>
      </c>
      <c r="AV194" s="86" t="str">
        <f t="shared" si="57"/>
        <v/>
      </c>
      <c r="AY194" s="231">
        <f>IF(ISNUMBER(M194),M194,NA())</f>
        <v>14.4</v>
      </c>
      <c r="AZ194" s="231">
        <f t="shared" si="56"/>
        <v>2.2000000000000002</v>
      </c>
      <c r="BA194" s="231">
        <f t="shared" si="53"/>
        <v>14.4</v>
      </c>
      <c r="BB194" s="231">
        <f t="shared" si="54"/>
        <v>2.2999999999999998</v>
      </c>
      <c r="BC194" s="231">
        <f t="shared" si="55"/>
        <v>1.5</v>
      </c>
      <c r="BD194" s="232">
        <f>IF(ISNUMBER(S194),S194,NA())</f>
        <v>62.962962962962962</v>
      </c>
      <c r="BE194" s="232">
        <f>IF(ISNUMBER(T194),T194,NA())</f>
        <v>53.846153846153847</v>
      </c>
      <c r="BP194">
        <v>187</v>
      </c>
    </row>
    <row r="195" spans="1:68">
      <c r="A195" s="13">
        <v>188</v>
      </c>
      <c r="B195">
        <v>18281408</v>
      </c>
      <c r="C195" s="215"/>
      <c r="D195" s="1" t="s">
        <v>360</v>
      </c>
      <c r="E195" s="94" t="s">
        <v>1758</v>
      </c>
      <c r="F195" s="86">
        <v>2008</v>
      </c>
      <c r="G195" s="1" t="s">
        <v>1777</v>
      </c>
      <c r="H195">
        <v>83</v>
      </c>
      <c r="I195">
        <v>32</v>
      </c>
      <c r="J195" s="13" t="s">
        <v>151</v>
      </c>
      <c r="K195" s="13">
        <v>4</v>
      </c>
      <c r="L195" t="s">
        <v>1119</v>
      </c>
      <c r="M195">
        <v>68.7</v>
      </c>
      <c r="N195">
        <v>7.6</v>
      </c>
      <c r="O195">
        <v>69.7</v>
      </c>
      <c r="P195">
        <v>6</v>
      </c>
      <c r="Q195">
        <v>57</v>
      </c>
      <c r="R195">
        <v>18</v>
      </c>
      <c r="S195" s="88">
        <f t="shared" si="39"/>
        <v>68.674698795180717</v>
      </c>
      <c r="T195" s="88">
        <f t="shared" si="40"/>
        <v>56.25</v>
      </c>
      <c r="U195" s="86" t="s">
        <v>1688</v>
      </c>
      <c r="V195" s="86" t="s">
        <v>1688</v>
      </c>
      <c r="W195" s="86">
        <v>1.25</v>
      </c>
      <c r="X195" s="86">
        <f t="shared" si="41"/>
        <v>115</v>
      </c>
      <c r="Y195" t="s">
        <v>904</v>
      </c>
      <c r="Z195" s="4" t="s">
        <v>1133</v>
      </c>
      <c r="AA195">
        <f t="shared" si="42"/>
        <v>3</v>
      </c>
      <c r="AB195">
        <v>5</v>
      </c>
      <c r="AC195" t="s">
        <v>1688</v>
      </c>
      <c r="AD195" t="s">
        <v>1688</v>
      </c>
      <c r="AE195" t="s">
        <v>1688</v>
      </c>
      <c r="AF195" t="s">
        <v>1688</v>
      </c>
      <c r="AG195" t="s">
        <v>1688</v>
      </c>
      <c r="AH195" t="s">
        <v>1688</v>
      </c>
      <c r="AI195" t="s">
        <v>1688</v>
      </c>
      <c r="AJ195" t="s">
        <v>1688</v>
      </c>
      <c r="AK195" t="s">
        <v>1688</v>
      </c>
      <c r="AL195" s="158" t="str">
        <f t="shared" si="43"/>
        <v>ns</v>
      </c>
      <c r="AM195" s="136" t="str">
        <f t="shared" si="44"/>
        <v>ns</v>
      </c>
      <c r="AN195" s="136" t="str">
        <f t="shared" si="45"/>
        <v>ns</v>
      </c>
      <c r="AO195" s="136" t="str">
        <f t="shared" si="46"/>
        <v>ns</v>
      </c>
      <c r="AP195" s="136" t="str">
        <f t="shared" si="47"/>
        <v>ns</v>
      </c>
      <c r="AQ195" s="136" t="str">
        <f t="shared" si="48"/>
        <v>ns</v>
      </c>
      <c r="AR195" s="136" t="str">
        <f t="shared" si="49"/>
        <v>ns</v>
      </c>
      <c r="AS195" s="136" t="str">
        <f t="shared" si="50"/>
        <v>ns</v>
      </c>
      <c r="AT195" s="86">
        <v>1.5</v>
      </c>
      <c r="AU195" s="86">
        <f t="shared" si="51"/>
        <v>1.25</v>
      </c>
      <c r="AV195" s="86" t="str">
        <f t="shared" si="57"/>
        <v/>
      </c>
      <c r="AY195" s="231">
        <f>IF(ISNUMBER(M195),M195,NA())</f>
        <v>68.7</v>
      </c>
      <c r="AZ195" s="231">
        <f t="shared" si="56"/>
        <v>7.6</v>
      </c>
      <c r="BA195" s="231">
        <f t="shared" si="53"/>
        <v>69.7</v>
      </c>
      <c r="BB195" s="231">
        <f t="shared" si="54"/>
        <v>6</v>
      </c>
      <c r="BC195" s="231">
        <f t="shared" si="55"/>
        <v>1.25</v>
      </c>
      <c r="BD195" s="232">
        <f>IF(ISNUMBER(S195),S195,NA())</f>
        <v>68.674698795180717</v>
      </c>
      <c r="BE195" s="232">
        <f>IF(ISNUMBER(T195),T195,NA())</f>
        <v>56.25</v>
      </c>
      <c r="BP195">
        <v>188</v>
      </c>
    </row>
    <row r="196" spans="1:68">
      <c r="A196">
        <v>189</v>
      </c>
      <c r="B196">
        <v>17702053</v>
      </c>
      <c r="C196" s="215"/>
      <c r="D196" s="143" t="s">
        <v>1582</v>
      </c>
      <c r="E196" t="s">
        <v>1756</v>
      </c>
      <c r="F196" s="14">
        <v>2008</v>
      </c>
      <c r="G196" s="84" t="s">
        <v>519</v>
      </c>
      <c r="H196" s="2">
        <v>217</v>
      </c>
      <c r="I196">
        <v>141</v>
      </c>
      <c r="J196" t="s">
        <v>151</v>
      </c>
      <c r="K196">
        <v>4</v>
      </c>
      <c r="L196" t="s">
        <v>1119</v>
      </c>
      <c r="M196">
        <v>69.900000000000006</v>
      </c>
      <c r="N196">
        <v>7.1</v>
      </c>
      <c r="O196">
        <v>70</v>
      </c>
      <c r="P196">
        <v>6.1</v>
      </c>
      <c r="Q196">
        <v>141</v>
      </c>
      <c r="R196">
        <v>99</v>
      </c>
      <c r="S196" s="88">
        <f t="shared" si="39"/>
        <v>64.976958525345623</v>
      </c>
      <c r="T196" s="88">
        <f t="shared" si="40"/>
        <v>70.212765957446805</v>
      </c>
      <c r="U196" t="s">
        <v>1688</v>
      </c>
      <c r="V196" t="s">
        <v>1688</v>
      </c>
      <c r="W196">
        <v>3</v>
      </c>
      <c r="X196" s="86">
        <f t="shared" si="41"/>
        <v>358</v>
      </c>
      <c r="Y196" t="s">
        <v>2317</v>
      </c>
      <c r="Z196" t="s">
        <v>978</v>
      </c>
      <c r="AA196">
        <f t="shared" si="42"/>
        <v>1</v>
      </c>
      <c r="AB196">
        <v>5</v>
      </c>
      <c r="AC196" t="s">
        <v>1688</v>
      </c>
      <c r="AD196" t="s">
        <v>1688</v>
      </c>
      <c r="AE196" t="s">
        <v>1688</v>
      </c>
      <c r="AF196" t="s">
        <v>1688</v>
      </c>
      <c r="AG196" t="s">
        <v>1688</v>
      </c>
      <c r="AH196" t="s">
        <v>1688</v>
      </c>
      <c r="AI196" t="s">
        <v>1688</v>
      </c>
      <c r="AJ196" t="s">
        <v>1688</v>
      </c>
      <c r="AK196" t="s">
        <v>1688</v>
      </c>
      <c r="AL196" s="158" t="str">
        <f t="shared" si="43"/>
        <v>ns</v>
      </c>
      <c r="AM196" s="136" t="str">
        <f t="shared" si="44"/>
        <v>ns</v>
      </c>
      <c r="AN196" s="136" t="str">
        <f t="shared" si="45"/>
        <v>ns</v>
      </c>
      <c r="AO196" s="136" t="str">
        <f t="shared" si="46"/>
        <v>ns</v>
      </c>
      <c r="AP196" s="136" t="str">
        <f t="shared" si="47"/>
        <v>ns</v>
      </c>
      <c r="AQ196" s="136" t="str">
        <f t="shared" si="48"/>
        <v>ns</v>
      </c>
      <c r="AR196" s="136" t="str">
        <f t="shared" si="49"/>
        <v>ns</v>
      </c>
      <c r="AS196" s="136" t="str">
        <f t="shared" si="50"/>
        <v>ns</v>
      </c>
      <c r="AT196">
        <v>1.5</v>
      </c>
      <c r="AU196" s="86">
        <f t="shared" si="51"/>
        <v>3</v>
      </c>
      <c r="AV196" s="86" t="str">
        <f t="shared" si="57"/>
        <v/>
      </c>
      <c r="AY196" s="231">
        <f>IF(ISNUMBER(M196),M196,NA())</f>
        <v>69.900000000000006</v>
      </c>
      <c r="AZ196" s="231">
        <f t="shared" si="56"/>
        <v>7.1</v>
      </c>
      <c r="BA196" s="231">
        <f t="shared" si="53"/>
        <v>70</v>
      </c>
      <c r="BB196" s="231">
        <f t="shared" si="54"/>
        <v>6.1</v>
      </c>
      <c r="BC196" s="231">
        <f t="shared" si="55"/>
        <v>3</v>
      </c>
      <c r="BD196" s="232">
        <f>IF(ISNUMBER(S196),S196,NA())</f>
        <v>64.976958525345623</v>
      </c>
      <c r="BE196" s="232">
        <f>IF(ISNUMBER(T196),T196,NA())</f>
        <v>70.212765957446805</v>
      </c>
      <c r="BP196">
        <v>189</v>
      </c>
    </row>
    <row r="197" spans="1:68">
      <c r="A197" s="13">
        <v>190</v>
      </c>
      <c r="B197">
        <v>18414838</v>
      </c>
      <c r="C197" s="215"/>
      <c r="D197" s="143" t="s">
        <v>447</v>
      </c>
      <c r="E197" s="11" t="s">
        <v>1677</v>
      </c>
      <c r="F197">
        <v>2008</v>
      </c>
      <c r="G197" s="1" t="s">
        <v>1385</v>
      </c>
      <c r="H197">
        <v>21</v>
      </c>
      <c r="I197">
        <v>20</v>
      </c>
      <c r="J197" t="s">
        <v>151</v>
      </c>
      <c r="K197">
        <v>4</v>
      </c>
      <c r="L197" t="s">
        <v>1119</v>
      </c>
      <c r="M197">
        <v>41.7</v>
      </c>
      <c r="N197">
        <v>11</v>
      </c>
      <c r="O197">
        <v>41.9</v>
      </c>
      <c r="P197">
        <v>10.26</v>
      </c>
      <c r="Q197">
        <v>21</v>
      </c>
      <c r="R197">
        <v>20</v>
      </c>
      <c r="S197" s="88">
        <f t="shared" si="39"/>
        <v>100</v>
      </c>
      <c r="T197" s="88">
        <f t="shared" si="40"/>
        <v>100</v>
      </c>
      <c r="U197">
        <v>33.200000000000003</v>
      </c>
      <c r="V197" t="s">
        <v>1688</v>
      </c>
      <c r="W197">
        <v>1.3</v>
      </c>
      <c r="X197" s="86">
        <f t="shared" si="41"/>
        <v>41</v>
      </c>
      <c r="Y197" t="s">
        <v>1700</v>
      </c>
      <c r="Z197" t="s">
        <v>1728</v>
      </c>
      <c r="AA197">
        <f t="shared" si="42"/>
        <v>3</v>
      </c>
      <c r="AB197">
        <v>5</v>
      </c>
      <c r="AC197">
        <v>21</v>
      </c>
      <c r="AD197" t="s">
        <v>1688</v>
      </c>
      <c r="AE197" t="s">
        <v>1688</v>
      </c>
      <c r="AF197" t="s">
        <v>1688</v>
      </c>
      <c r="AG197" t="s">
        <v>1688</v>
      </c>
      <c r="AH197">
        <v>0</v>
      </c>
      <c r="AI197">
        <v>0</v>
      </c>
      <c r="AJ197">
        <v>0</v>
      </c>
      <c r="AK197" t="s">
        <v>1688</v>
      </c>
      <c r="AL197" s="158">
        <f t="shared" si="43"/>
        <v>100</v>
      </c>
      <c r="AM197" s="136" t="str">
        <f t="shared" si="44"/>
        <v>ns</v>
      </c>
      <c r="AN197" s="136" t="str">
        <f t="shared" si="45"/>
        <v>ns</v>
      </c>
      <c r="AO197" s="136" t="str">
        <f t="shared" si="46"/>
        <v>ns</v>
      </c>
      <c r="AP197" s="136" t="str">
        <f t="shared" si="47"/>
        <v>ns</v>
      </c>
      <c r="AQ197" s="136">
        <f t="shared" si="48"/>
        <v>0</v>
      </c>
      <c r="AR197" s="136">
        <f t="shared" si="49"/>
        <v>0</v>
      </c>
      <c r="AS197" s="136">
        <f t="shared" si="50"/>
        <v>0</v>
      </c>
      <c r="AT197">
        <v>1.5</v>
      </c>
      <c r="AU197" s="86">
        <f t="shared" si="51"/>
        <v>1.3</v>
      </c>
      <c r="AV197" s="86" t="str">
        <f t="shared" si="57"/>
        <v/>
      </c>
      <c r="AY197" s="231">
        <f>IF(ISNUMBER(M197),M197,NA())</f>
        <v>41.7</v>
      </c>
      <c r="AZ197" s="231">
        <f t="shared" si="56"/>
        <v>11</v>
      </c>
      <c r="BA197" s="231">
        <f t="shared" si="53"/>
        <v>41.9</v>
      </c>
      <c r="BB197" s="231">
        <f t="shared" si="54"/>
        <v>10.26</v>
      </c>
      <c r="BC197" s="231">
        <f t="shared" si="55"/>
        <v>1.3</v>
      </c>
      <c r="BD197" s="232">
        <f>IF(ISNUMBER(S197),S197,NA())</f>
        <v>100</v>
      </c>
      <c r="BE197" s="232">
        <f>IF(ISNUMBER(T197),T197,NA())</f>
        <v>100</v>
      </c>
      <c r="BP197">
        <v>190</v>
      </c>
    </row>
    <row r="198" spans="1:68">
      <c r="A198">
        <v>191</v>
      </c>
      <c r="B198">
        <v>19085964</v>
      </c>
      <c r="C198" s="215"/>
      <c r="D198" s="1" t="s">
        <v>1663</v>
      </c>
      <c r="E198" t="s">
        <v>1218</v>
      </c>
      <c r="F198">
        <v>2008</v>
      </c>
      <c r="G198" s="1" t="s">
        <v>1704</v>
      </c>
      <c r="H198">
        <v>14</v>
      </c>
      <c r="I198">
        <v>11</v>
      </c>
      <c r="J198" t="s">
        <v>151</v>
      </c>
      <c r="K198">
        <v>4</v>
      </c>
      <c r="L198" t="s">
        <v>1119</v>
      </c>
      <c r="M198">
        <v>69.8</v>
      </c>
      <c r="N198">
        <v>5.0999999999999996</v>
      </c>
      <c r="O198">
        <v>67.2</v>
      </c>
      <c r="P198">
        <v>6.8</v>
      </c>
      <c r="Q198">
        <v>5</v>
      </c>
      <c r="R198">
        <v>4</v>
      </c>
      <c r="S198" s="88">
        <f t="shared" si="39"/>
        <v>35.714285714285715</v>
      </c>
      <c r="T198" s="88">
        <f t="shared" si="40"/>
        <v>36.363636363636367</v>
      </c>
      <c r="U198" t="s">
        <v>1688</v>
      </c>
      <c r="V198">
        <v>13.8</v>
      </c>
      <c r="W198">
        <v>1.5</v>
      </c>
      <c r="X198" s="86">
        <f t="shared" si="41"/>
        <v>25</v>
      </c>
      <c r="Y198" t="s">
        <v>1911</v>
      </c>
      <c r="Z198" t="s">
        <v>462</v>
      </c>
      <c r="AA198">
        <f t="shared" si="42"/>
        <v>2</v>
      </c>
      <c r="AB198">
        <v>5</v>
      </c>
      <c r="AC198" t="s">
        <v>1688</v>
      </c>
      <c r="AD198" t="s">
        <v>1688</v>
      </c>
      <c r="AE198" t="s">
        <v>1688</v>
      </c>
      <c r="AF198" t="s">
        <v>1688</v>
      </c>
      <c r="AG198" t="s">
        <v>1688</v>
      </c>
      <c r="AH198" t="s">
        <v>1688</v>
      </c>
      <c r="AI198" t="s">
        <v>1688</v>
      </c>
      <c r="AJ198" t="s">
        <v>1688</v>
      </c>
      <c r="AK198" t="s">
        <v>1688</v>
      </c>
      <c r="AL198" s="158" t="str">
        <f t="shared" si="43"/>
        <v>ns</v>
      </c>
      <c r="AM198" s="136" t="str">
        <f t="shared" si="44"/>
        <v>ns</v>
      </c>
      <c r="AN198" s="136" t="str">
        <f t="shared" si="45"/>
        <v>ns</v>
      </c>
      <c r="AO198" s="136" t="str">
        <f t="shared" si="46"/>
        <v>ns</v>
      </c>
      <c r="AP198" s="136" t="str">
        <f t="shared" si="47"/>
        <v>ns</v>
      </c>
      <c r="AQ198" s="136" t="str">
        <f t="shared" si="48"/>
        <v>ns</v>
      </c>
      <c r="AR198" s="136" t="str">
        <f t="shared" si="49"/>
        <v>ns</v>
      </c>
      <c r="AS198" s="136" t="str">
        <f t="shared" si="50"/>
        <v>ns</v>
      </c>
      <c r="AT198">
        <v>1.5</v>
      </c>
      <c r="AU198" s="86">
        <f t="shared" si="51"/>
        <v>1.5</v>
      </c>
      <c r="AV198" s="86" t="str">
        <f t="shared" si="57"/>
        <v/>
      </c>
      <c r="AY198" s="231">
        <f>IF(ISNUMBER(M198),M198,NA())</f>
        <v>69.8</v>
      </c>
      <c r="AZ198" s="231">
        <f t="shared" si="56"/>
        <v>5.0999999999999996</v>
      </c>
      <c r="BA198" s="231">
        <f t="shared" si="53"/>
        <v>67.2</v>
      </c>
      <c r="BB198" s="231">
        <f t="shared" si="54"/>
        <v>6.8</v>
      </c>
      <c r="BC198" s="231">
        <f t="shared" si="55"/>
        <v>1.5</v>
      </c>
      <c r="BD198" s="232">
        <f>IF(ISNUMBER(S198),S198,NA())</f>
        <v>35.714285714285715</v>
      </c>
      <c r="BE198" s="232">
        <f>IF(ISNUMBER(T198),T198,NA())</f>
        <v>36.363636363636367</v>
      </c>
      <c r="BP198">
        <v>191</v>
      </c>
    </row>
    <row r="199" spans="1:68">
      <c r="A199" s="13">
        <v>192</v>
      </c>
      <c r="B199">
        <v>18263664</v>
      </c>
      <c r="C199" s="215"/>
      <c r="D199" s="1" t="s">
        <v>711</v>
      </c>
      <c r="E199" t="s">
        <v>1711</v>
      </c>
      <c r="F199">
        <v>2008</v>
      </c>
      <c r="G199" s="1" t="s">
        <v>1229</v>
      </c>
      <c r="H199">
        <v>199</v>
      </c>
      <c r="I199">
        <v>113</v>
      </c>
      <c r="J199" t="s">
        <v>151</v>
      </c>
      <c r="K199">
        <v>4</v>
      </c>
      <c r="L199" t="s">
        <v>1119</v>
      </c>
      <c r="M199">
        <v>70</v>
      </c>
      <c r="N199">
        <v>7.8</v>
      </c>
      <c r="O199">
        <v>69.900000000000006</v>
      </c>
      <c r="P199">
        <v>5.6</v>
      </c>
      <c r="Q199">
        <v>130</v>
      </c>
      <c r="R199">
        <v>82</v>
      </c>
      <c r="S199" s="88">
        <f t="shared" si="39"/>
        <v>65.326633165829151</v>
      </c>
      <c r="T199" s="88">
        <f t="shared" si="40"/>
        <v>72.56637168141593</v>
      </c>
      <c r="U199" s="86">
        <v>45.2</v>
      </c>
      <c r="V199" s="86" t="s">
        <v>1688</v>
      </c>
      <c r="W199" s="86">
        <v>3</v>
      </c>
      <c r="X199" s="86">
        <f t="shared" ref="X199:X232" si="58">H199+I199</f>
        <v>312</v>
      </c>
      <c r="Y199" t="s">
        <v>1497</v>
      </c>
      <c r="Z199" t="s">
        <v>978</v>
      </c>
      <c r="AA199">
        <f t="shared" ref="AA199:AA232" si="59">LEN(TRIM(Z199))-LEN(SUBSTITUTE(Z199," ",""))+1</f>
        <v>1</v>
      </c>
      <c r="AB199">
        <v>5</v>
      </c>
      <c r="AC199" t="s">
        <v>1688</v>
      </c>
      <c r="AD199" t="s">
        <v>1688</v>
      </c>
      <c r="AE199" t="s">
        <v>1688</v>
      </c>
      <c r="AF199" t="s">
        <v>1688</v>
      </c>
      <c r="AG199" t="s">
        <v>1688</v>
      </c>
      <c r="AH199" t="s">
        <v>1688</v>
      </c>
      <c r="AI199" t="s">
        <v>1688</v>
      </c>
      <c r="AJ199" t="s">
        <v>1688</v>
      </c>
      <c r="AK199" t="s">
        <v>1688</v>
      </c>
      <c r="AL199" s="158" t="str">
        <f t="shared" ref="AL199:AL232" si="60">IF(OR(AC199="ns",AC199=""),(IF(AC199="ns","ns","")),100*(AC199/$H199))</f>
        <v>ns</v>
      </c>
      <c r="AM199" s="136" t="str">
        <f t="shared" ref="AM199:AM232" si="61">IF(OR(AD199="ns",AD199=""),(IF(AD199="ns","ns","")),100*(AD199/$H199))</f>
        <v>ns</v>
      </c>
      <c r="AN199" s="136" t="str">
        <f t="shared" ref="AN199:AN232" si="62">IF(OR(AE199="ns",AE199=""),(IF(AE199="ns","ns","")),100*(AE199/$H199))</f>
        <v>ns</v>
      </c>
      <c r="AO199" s="136" t="str">
        <f t="shared" ref="AO199:AO232" si="63">IF(OR(AF199="ns",AF199=""),(IF(AF199="ns","ns","")),100*(AF199/$H199))</f>
        <v>ns</v>
      </c>
      <c r="AP199" s="136" t="str">
        <f t="shared" ref="AP199:AP232" si="64">IF(OR(AG199="ns",AG199=""),(IF(AG199="ns","ns","")),100*(AG199/$H199))</f>
        <v>ns</v>
      </c>
      <c r="AQ199" s="136" t="str">
        <f t="shared" ref="AQ199:AQ232" si="65">IF(OR(AH199="ns",AH199=""),(IF(AH199="ns","ns","")),100*(AH199/$H199))</f>
        <v>ns</v>
      </c>
      <c r="AR199" s="136" t="str">
        <f t="shared" ref="AR199:AR232" si="66">IF(OR(AI199="ns",AI199=""),(IF(AI199="ns","ns","")),100*(AI199/$H199))</f>
        <v>ns</v>
      </c>
      <c r="AS199" s="136" t="str">
        <f t="shared" ref="AS199:AS232" si="67">IF(OR(AJ199="ns",AJ199=""),(IF(AJ199="ns","ns","")),100*(AJ199/$H199))</f>
        <v>ns</v>
      </c>
      <c r="AT199" s="86">
        <v>1.5</v>
      </c>
      <c r="AU199" s="86">
        <f t="shared" si="51"/>
        <v>3</v>
      </c>
      <c r="AV199" s="86" t="str">
        <f t="shared" si="57"/>
        <v/>
      </c>
      <c r="AY199" s="231">
        <f>IF(ISNUMBER(M199),M199,NA())</f>
        <v>70</v>
      </c>
      <c r="AZ199" s="231">
        <f t="shared" si="56"/>
        <v>7.8</v>
      </c>
      <c r="BA199" s="231">
        <f t="shared" si="53"/>
        <v>69.900000000000006</v>
      </c>
      <c r="BB199" s="231">
        <f t="shared" si="54"/>
        <v>5.6</v>
      </c>
      <c r="BC199" s="231">
        <f t="shared" si="55"/>
        <v>3</v>
      </c>
      <c r="BD199" s="232">
        <f>IF(ISNUMBER(S199),S199,NA())</f>
        <v>65.326633165829151</v>
      </c>
      <c r="BE199" s="232">
        <f>IF(ISNUMBER(T199),T199,NA())</f>
        <v>72.56637168141593</v>
      </c>
      <c r="BP199">
        <v>192</v>
      </c>
    </row>
    <row r="200" spans="1:68">
      <c r="A200">
        <v>193</v>
      </c>
      <c r="B200">
        <v>18368034</v>
      </c>
      <c r="C200" s="215"/>
      <c r="D200" s="143" t="s">
        <v>1113</v>
      </c>
      <c r="E200" s="11" t="s">
        <v>1114</v>
      </c>
      <c r="F200">
        <v>2008</v>
      </c>
      <c r="G200" s="1" t="s">
        <v>1484</v>
      </c>
      <c r="H200">
        <v>65</v>
      </c>
      <c r="I200">
        <v>93</v>
      </c>
      <c r="J200" t="s">
        <v>151</v>
      </c>
      <c r="K200">
        <v>4</v>
      </c>
      <c r="L200" t="s">
        <v>1119</v>
      </c>
      <c r="M200">
        <v>28.8</v>
      </c>
      <c r="N200">
        <v>10.3</v>
      </c>
      <c r="O200">
        <v>28.4</v>
      </c>
      <c r="P200">
        <v>10.7</v>
      </c>
      <c r="Q200">
        <v>30</v>
      </c>
      <c r="R200">
        <v>56</v>
      </c>
      <c r="S200" s="88">
        <f t="shared" ref="S200:S232" si="68">IF(OR(Q200="",Q200="ns"),"",100*Q200/H200)</f>
        <v>46.153846153846153</v>
      </c>
      <c r="T200" s="88">
        <f t="shared" ref="T200:T232" si="69">IF(OR(R200="",R200="ns"),"",100*R200/I200)</f>
        <v>60.215053763440864</v>
      </c>
      <c r="U200">
        <v>20.9</v>
      </c>
      <c r="V200">
        <v>16.2</v>
      </c>
      <c r="W200">
        <v>1.2</v>
      </c>
      <c r="X200" s="86">
        <f t="shared" si="58"/>
        <v>158</v>
      </c>
      <c r="Y200" t="s">
        <v>1729</v>
      </c>
      <c r="Z200" t="s">
        <v>642</v>
      </c>
      <c r="AA200">
        <f t="shared" si="59"/>
        <v>3</v>
      </c>
      <c r="AB200">
        <v>5</v>
      </c>
      <c r="AC200" t="s">
        <v>1688</v>
      </c>
      <c r="AD200">
        <v>33</v>
      </c>
      <c r="AE200">
        <v>0</v>
      </c>
      <c r="AF200">
        <v>0</v>
      </c>
      <c r="AG200">
        <v>6</v>
      </c>
      <c r="AH200" t="s">
        <v>1688</v>
      </c>
      <c r="AI200">
        <v>3</v>
      </c>
      <c r="AJ200">
        <v>19</v>
      </c>
      <c r="AK200" t="s">
        <v>1688</v>
      </c>
      <c r="AL200" s="158" t="str">
        <f t="shared" si="60"/>
        <v>ns</v>
      </c>
      <c r="AM200" s="136">
        <f t="shared" si="61"/>
        <v>50.769230769230766</v>
      </c>
      <c r="AN200" s="136">
        <f t="shared" si="62"/>
        <v>0</v>
      </c>
      <c r="AO200" s="136">
        <f t="shared" si="63"/>
        <v>0</v>
      </c>
      <c r="AP200" s="136">
        <f t="shared" si="64"/>
        <v>9.2307692307692317</v>
      </c>
      <c r="AQ200" s="136" t="str">
        <f t="shared" si="65"/>
        <v>ns</v>
      </c>
      <c r="AR200" s="136">
        <f t="shared" si="66"/>
        <v>4.6153846153846159</v>
      </c>
      <c r="AS200" s="136">
        <f t="shared" si="67"/>
        <v>29.230769230769234</v>
      </c>
      <c r="AT200">
        <v>1</v>
      </c>
      <c r="AU200" s="86">
        <f t="shared" ref="AU200:AU232" si="70">IF(L200="MRI",IF(ISTEXT(W200),"",W200),"")</f>
        <v>1.2</v>
      </c>
      <c r="AV200" s="86" t="str">
        <f t="shared" si="57"/>
        <v/>
      </c>
      <c r="AY200" s="231">
        <f>IF(ISNUMBER(M200),M200,NA())</f>
        <v>28.8</v>
      </c>
      <c r="AZ200" s="231">
        <f t="shared" si="56"/>
        <v>10.3</v>
      </c>
      <c r="BA200" s="231">
        <f t="shared" si="53"/>
        <v>28.4</v>
      </c>
      <c r="BB200" s="231">
        <f t="shared" si="54"/>
        <v>10.7</v>
      </c>
      <c r="BC200" s="231">
        <f t="shared" si="55"/>
        <v>1.2</v>
      </c>
      <c r="BD200" s="232">
        <f>IF(ISNUMBER(S200),S200,NA())</f>
        <v>46.153846153846153</v>
      </c>
      <c r="BE200" s="232">
        <f>IF(ISNUMBER(T200),T200,NA())</f>
        <v>60.215053763440864</v>
      </c>
      <c r="BP200">
        <v>193</v>
      </c>
    </row>
    <row r="201" spans="1:68">
      <c r="A201" s="13">
        <v>194</v>
      </c>
      <c r="B201">
        <v>18700214</v>
      </c>
      <c r="C201" s="215"/>
      <c r="D201" s="1" t="s">
        <v>1762</v>
      </c>
      <c r="E201" t="s">
        <v>1217</v>
      </c>
      <c r="F201">
        <v>2008</v>
      </c>
      <c r="G201" s="1" t="s">
        <v>1221</v>
      </c>
      <c r="H201">
        <v>28</v>
      </c>
      <c r="I201">
        <v>102</v>
      </c>
      <c r="J201" t="s">
        <v>151</v>
      </c>
      <c r="K201">
        <v>4</v>
      </c>
      <c r="L201" t="s">
        <v>1119</v>
      </c>
      <c r="M201">
        <v>30.5</v>
      </c>
      <c r="N201" t="s">
        <v>1688</v>
      </c>
      <c r="O201">
        <v>30.4</v>
      </c>
      <c r="P201" t="s">
        <v>1688</v>
      </c>
      <c r="Q201">
        <v>19</v>
      </c>
      <c r="R201">
        <v>48</v>
      </c>
      <c r="S201" s="88">
        <f t="shared" si="68"/>
        <v>67.857142857142861</v>
      </c>
      <c r="T201" s="88">
        <f t="shared" si="69"/>
        <v>47.058823529411768</v>
      </c>
      <c r="U201" t="s">
        <v>1688</v>
      </c>
      <c r="V201" t="s">
        <v>1688</v>
      </c>
      <c r="W201">
        <v>3</v>
      </c>
      <c r="X201" s="86">
        <f t="shared" si="58"/>
        <v>130</v>
      </c>
      <c r="Y201" t="s">
        <v>2317</v>
      </c>
      <c r="Z201" t="s">
        <v>978</v>
      </c>
      <c r="AA201">
        <f t="shared" si="59"/>
        <v>1</v>
      </c>
      <c r="AB201">
        <v>5</v>
      </c>
      <c r="AC201">
        <v>14</v>
      </c>
      <c r="AD201" t="s">
        <v>1688</v>
      </c>
      <c r="AE201" t="s">
        <v>1688</v>
      </c>
      <c r="AF201" t="s">
        <v>1688</v>
      </c>
      <c r="AG201" t="s">
        <v>1688</v>
      </c>
      <c r="AH201">
        <v>4</v>
      </c>
      <c r="AI201">
        <v>16</v>
      </c>
      <c r="AJ201">
        <v>7</v>
      </c>
      <c r="AK201" t="s">
        <v>1688</v>
      </c>
      <c r="AL201" s="158">
        <f t="shared" si="60"/>
        <v>50</v>
      </c>
      <c r="AM201" s="136" t="str">
        <f t="shared" si="61"/>
        <v>ns</v>
      </c>
      <c r="AN201" s="136" t="str">
        <f t="shared" si="62"/>
        <v>ns</v>
      </c>
      <c r="AO201" s="136" t="str">
        <f t="shared" si="63"/>
        <v>ns</v>
      </c>
      <c r="AP201" s="136" t="str">
        <f t="shared" si="64"/>
        <v>ns</v>
      </c>
      <c r="AQ201" s="136">
        <f t="shared" si="65"/>
        <v>14.285714285714285</v>
      </c>
      <c r="AR201" s="136">
        <f t="shared" si="66"/>
        <v>57.142857142857139</v>
      </c>
      <c r="AS201" s="136">
        <f t="shared" si="67"/>
        <v>25</v>
      </c>
      <c r="AT201">
        <v>1.5</v>
      </c>
      <c r="AU201" s="86">
        <f>IF(L201="MRI",IF(ISTEXT(W201),"",W201),"")</f>
        <v>3</v>
      </c>
      <c r="AV201" s="86" t="str">
        <f t="shared" si="57"/>
        <v/>
      </c>
      <c r="AY201" s="231">
        <f>IF(ISNUMBER(M201),M201,NA())</f>
        <v>30.5</v>
      </c>
      <c r="AZ201" s="231" t="e">
        <f t="shared" si="56"/>
        <v>#N/A</v>
      </c>
      <c r="BA201" s="231">
        <f t="shared" ref="BA201:BA232" si="71">IF(ISNUMBER(O201),O201,NA())</f>
        <v>30.4</v>
      </c>
      <c r="BB201" s="231" t="e">
        <f t="shared" ref="BB201:BB232" si="72">IF(ISNUMBER(P201),P201,NA())</f>
        <v>#N/A</v>
      </c>
      <c r="BC201" s="231">
        <f t="shared" ref="BC201:BC232" si="73">IF(ISNUMBER(W201),W201,NA())</f>
        <v>3</v>
      </c>
      <c r="BD201" s="232">
        <f>IF(ISNUMBER(S201),S201,NA())</f>
        <v>67.857142857142861</v>
      </c>
      <c r="BE201" s="232">
        <f>IF(ISNUMBER(T201),T201,NA())</f>
        <v>47.058823529411768</v>
      </c>
      <c r="BP201">
        <v>194</v>
      </c>
    </row>
    <row r="202" spans="1:68">
      <c r="A202">
        <v>195</v>
      </c>
      <c r="B202">
        <v>18350172</v>
      </c>
      <c r="C202" s="215"/>
      <c r="D202" s="1" t="s">
        <v>1209</v>
      </c>
      <c r="E202" t="s">
        <v>1302</v>
      </c>
      <c r="F202">
        <v>2008</v>
      </c>
      <c r="G202" s="1" t="s">
        <v>1310</v>
      </c>
      <c r="H202">
        <v>61</v>
      </c>
      <c r="I202">
        <v>43</v>
      </c>
      <c r="J202" t="s">
        <v>151</v>
      </c>
      <c r="K202">
        <v>4</v>
      </c>
      <c r="L202" t="s">
        <v>1119</v>
      </c>
      <c r="M202">
        <v>65.900000000000006</v>
      </c>
      <c r="N202">
        <v>5.5</v>
      </c>
      <c r="O202">
        <v>69</v>
      </c>
      <c r="P202">
        <v>5.5</v>
      </c>
      <c r="Q202">
        <v>37</v>
      </c>
      <c r="R202">
        <v>29</v>
      </c>
      <c r="S202" s="88">
        <f t="shared" si="68"/>
        <v>60.655737704918032</v>
      </c>
      <c r="T202" s="88">
        <f t="shared" si="69"/>
        <v>67.441860465116278</v>
      </c>
      <c r="U202" s="86">
        <v>39.299999999999997</v>
      </c>
      <c r="V202" s="86" t="s">
        <v>1688</v>
      </c>
      <c r="W202" s="86">
        <v>1</v>
      </c>
      <c r="X202" s="86">
        <f t="shared" si="58"/>
        <v>104</v>
      </c>
      <c r="Y202" t="s">
        <v>1667</v>
      </c>
      <c r="Z202" t="s">
        <v>577</v>
      </c>
      <c r="AA202">
        <f t="shared" si="59"/>
        <v>2</v>
      </c>
      <c r="AB202">
        <v>5</v>
      </c>
      <c r="AC202">
        <v>54</v>
      </c>
      <c r="AD202">
        <v>29</v>
      </c>
      <c r="AE202">
        <v>5</v>
      </c>
      <c r="AF202">
        <v>0</v>
      </c>
      <c r="AG202">
        <v>25</v>
      </c>
      <c r="AH202" t="s">
        <v>1688</v>
      </c>
      <c r="AI202" t="s">
        <v>1688</v>
      </c>
      <c r="AJ202" t="s">
        <v>1688</v>
      </c>
      <c r="AK202" t="s">
        <v>1688</v>
      </c>
      <c r="AL202" s="158">
        <f t="shared" si="60"/>
        <v>88.52459016393442</v>
      </c>
      <c r="AM202" s="136">
        <f t="shared" si="61"/>
        <v>47.540983606557376</v>
      </c>
      <c r="AN202" s="136">
        <f t="shared" si="62"/>
        <v>8.1967213114754092</v>
      </c>
      <c r="AO202" s="136">
        <f t="shared" si="63"/>
        <v>0</v>
      </c>
      <c r="AP202" s="136">
        <f t="shared" si="64"/>
        <v>40.983606557377051</v>
      </c>
      <c r="AQ202" s="136" t="str">
        <f t="shared" si="65"/>
        <v>ns</v>
      </c>
      <c r="AR202" s="136" t="str">
        <f t="shared" si="66"/>
        <v>ns</v>
      </c>
      <c r="AS202" s="136" t="str">
        <f t="shared" si="67"/>
        <v>ns</v>
      </c>
      <c r="AT202" s="86">
        <v>3</v>
      </c>
      <c r="AU202" s="86">
        <f t="shared" si="70"/>
        <v>1</v>
      </c>
      <c r="AV202" s="86" t="str">
        <f t="shared" si="57"/>
        <v/>
      </c>
      <c r="AY202" s="231">
        <f>IF(ISNUMBER(M202),M202,NA())</f>
        <v>65.900000000000006</v>
      </c>
      <c r="AZ202" s="231">
        <f t="shared" si="56"/>
        <v>5.5</v>
      </c>
      <c r="BA202" s="231">
        <f t="shared" si="71"/>
        <v>69</v>
      </c>
      <c r="BB202" s="231">
        <f t="shared" si="72"/>
        <v>5.5</v>
      </c>
      <c r="BC202" s="231">
        <f t="shared" si="73"/>
        <v>1</v>
      </c>
      <c r="BD202" s="232">
        <f>IF(ISNUMBER(S202),S202,NA())</f>
        <v>60.655737704918032</v>
      </c>
      <c r="BE202" s="232">
        <f>IF(ISNUMBER(T202),T202,NA())</f>
        <v>67.441860465116278</v>
      </c>
      <c r="BP202">
        <v>195</v>
      </c>
    </row>
    <row r="203" spans="1:68">
      <c r="A203" s="13">
        <v>196</v>
      </c>
      <c r="B203">
        <v>19071222</v>
      </c>
      <c r="C203" s="215"/>
      <c r="D203" s="141" t="s">
        <v>1692</v>
      </c>
      <c r="E203" t="s">
        <v>366</v>
      </c>
      <c r="F203">
        <v>2009</v>
      </c>
      <c r="G203" s="84" t="s">
        <v>368</v>
      </c>
      <c r="H203">
        <v>21</v>
      </c>
      <c r="I203">
        <v>21</v>
      </c>
      <c r="J203" t="s">
        <v>151</v>
      </c>
      <c r="K203">
        <v>4</v>
      </c>
      <c r="L203" t="s">
        <v>1119</v>
      </c>
      <c r="M203">
        <v>33.159999999999997</v>
      </c>
      <c r="N203">
        <v>9.58</v>
      </c>
      <c r="O203">
        <v>28.21</v>
      </c>
      <c r="P203">
        <v>5.5</v>
      </c>
      <c r="Q203">
        <v>17</v>
      </c>
      <c r="R203">
        <v>14</v>
      </c>
      <c r="S203" s="88">
        <f t="shared" si="68"/>
        <v>80.952380952380949</v>
      </c>
      <c r="T203" s="88">
        <f t="shared" si="69"/>
        <v>66.666666666666671</v>
      </c>
      <c r="U203">
        <v>23.8</v>
      </c>
      <c r="V203" t="s">
        <v>1688</v>
      </c>
      <c r="W203">
        <v>1.5</v>
      </c>
      <c r="X203" s="86">
        <f t="shared" si="58"/>
        <v>42</v>
      </c>
      <c r="Y203" t="s">
        <v>1120</v>
      </c>
      <c r="Z203" t="s">
        <v>577</v>
      </c>
      <c r="AA203">
        <f t="shared" si="59"/>
        <v>2</v>
      </c>
      <c r="AB203">
        <v>5</v>
      </c>
      <c r="AC203">
        <v>21</v>
      </c>
      <c r="AD203" t="s">
        <v>1688</v>
      </c>
      <c r="AE203" t="s">
        <v>1688</v>
      </c>
      <c r="AF203" t="s">
        <v>1688</v>
      </c>
      <c r="AG203" t="s">
        <v>1688</v>
      </c>
      <c r="AH203" t="s">
        <v>1688</v>
      </c>
      <c r="AI203" t="s">
        <v>1688</v>
      </c>
      <c r="AJ203">
        <v>0</v>
      </c>
      <c r="AK203" t="s">
        <v>1688</v>
      </c>
      <c r="AL203" s="158">
        <f t="shared" si="60"/>
        <v>100</v>
      </c>
      <c r="AM203" s="136" t="str">
        <f t="shared" si="61"/>
        <v>ns</v>
      </c>
      <c r="AN203" s="136" t="str">
        <f t="shared" si="62"/>
        <v>ns</v>
      </c>
      <c r="AO203" s="136" t="str">
        <f t="shared" si="63"/>
        <v>ns</v>
      </c>
      <c r="AP203" s="136" t="str">
        <f t="shared" si="64"/>
        <v>ns</v>
      </c>
      <c r="AQ203" s="136" t="str">
        <f t="shared" si="65"/>
        <v>ns</v>
      </c>
      <c r="AR203" s="136" t="str">
        <f t="shared" si="66"/>
        <v>ns</v>
      </c>
      <c r="AS203" s="136">
        <f t="shared" si="67"/>
        <v>0</v>
      </c>
      <c r="AT203">
        <v>1.5</v>
      </c>
      <c r="AU203" s="86">
        <f t="shared" si="70"/>
        <v>1.5</v>
      </c>
      <c r="AV203" s="86" t="str">
        <f t="shared" si="57"/>
        <v/>
      </c>
      <c r="AY203" s="231">
        <f>IF(ISNUMBER(M203),M203,NA())</f>
        <v>33.159999999999997</v>
      </c>
      <c r="AZ203" s="231">
        <f t="shared" si="56"/>
        <v>9.58</v>
      </c>
      <c r="BA203" s="231">
        <f t="shared" si="71"/>
        <v>28.21</v>
      </c>
      <c r="BB203" s="231">
        <f t="shared" si="72"/>
        <v>5.5</v>
      </c>
      <c r="BC203" s="231">
        <f t="shared" si="73"/>
        <v>1.5</v>
      </c>
      <c r="BD203" s="232">
        <f>IF(ISNUMBER(S203),S203,NA())</f>
        <v>80.952380952380949</v>
      </c>
      <c r="BE203" s="232">
        <f>IF(ISNUMBER(T203),T203,NA())</f>
        <v>66.666666666666671</v>
      </c>
      <c r="BP203">
        <v>196</v>
      </c>
    </row>
    <row r="204" spans="1:68">
      <c r="A204">
        <v>197</v>
      </c>
      <c r="B204">
        <v>18790876</v>
      </c>
      <c r="C204" s="215"/>
      <c r="D204" s="143" t="s">
        <v>944</v>
      </c>
      <c r="E204" s="11" t="s">
        <v>1630</v>
      </c>
      <c r="F204">
        <v>2009</v>
      </c>
      <c r="G204" s="1" t="s">
        <v>1387</v>
      </c>
      <c r="H204">
        <v>23</v>
      </c>
      <c r="I204">
        <v>15</v>
      </c>
      <c r="J204" t="s">
        <v>151</v>
      </c>
      <c r="K204">
        <v>4</v>
      </c>
      <c r="L204" t="s">
        <v>1119</v>
      </c>
      <c r="M204">
        <v>70.5</v>
      </c>
      <c r="N204">
        <v>5.7</v>
      </c>
      <c r="O204">
        <v>69.900000000000006</v>
      </c>
      <c r="P204">
        <v>6.4</v>
      </c>
      <c r="Q204">
        <v>14</v>
      </c>
      <c r="R204">
        <v>6</v>
      </c>
      <c r="S204" s="88">
        <f t="shared" si="68"/>
        <v>60.869565217391305</v>
      </c>
      <c r="T204" s="88">
        <f t="shared" si="69"/>
        <v>40</v>
      </c>
      <c r="U204">
        <v>46.4</v>
      </c>
      <c r="V204">
        <v>19</v>
      </c>
      <c r="W204">
        <v>1.5</v>
      </c>
      <c r="X204" s="86">
        <f t="shared" si="58"/>
        <v>38</v>
      </c>
      <c r="Y204" t="s">
        <v>1051</v>
      </c>
      <c r="Z204" s="4" t="s">
        <v>1052</v>
      </c>
      <c r="AA204">
        <f t="shared" si="59"/>
        <v>3</v>
      </c>
      <c r="AB204">
        <v>5</v>
      </c>
      <c r="AC204" t="s">
        <v>1688</v>
      </c>
      <c r="AD204" t="s">
        <v>1688</v>
      </c>
      <c r="AE204" t="s">
        <v>1688</v>
      </c>
      <c r="AF204" t="s">
        <v>1688</v>
      </c>
      <c r="AG204" t="s">
        <v>1688</v>
      </c>
      <c r="AH204" t="s">
        <v>1688</v>
      </c>
      <c r="AI204" t="s">
        <v>1688</v>
      </c>
      <c r="AJ204" t="s">
        <v>1688</v>
      </c>
      <c r="AK204" t="s">
        <v>1688</v>
      </c>
      <c r="AL204" s="158" t="str">
        <f t="shared" si="60"/>
        <v>ns</v>
      </c>
      <c r="AM204" s="136" t="str">
        <f t="shared" si="61"/>
        <v>ns</v>
      </c>
      <c r="AN204" s="136" t="str">
        <f t="shared" si="62"/>
        <v>ns</v>
      </c>
      <c r="AO204" s="136" t="str">
        <f t="shared" si="63"/>
        <v>ns</v>
      </c>
      <c r="AP204" s="136" t="str">
        <f t="shared" si="64"/>
        <v>ns</v>
      </c>
      <c r="AQ204" s="136" t="str">
        <f t="shared" si="65"/>
        <v>ns</v>
      </c>
      <c r="AR204" s="136" t="str">
        <f t="shared" si="66"/>
        <v>ns</v>
      </c>
      <c r="AS204" s="136" t="str">
        <f t="shared" si="67"/>
        <v>ns</v>
      </c>
      <c r="AT204">
        <v>1.5</v>
      </c>
      <c r="AU204" s="86">
        <f t="shared" si="70"/>
        <v>1.5</v>
      </c>
      <c r="AV204" s="86" t="str">
        <f t="shared" si="57"/>
        <v/>
      </c>
      <c r="AY204" s="231">
        <f>IF(ISNUMBER(M204),M204,NA())</f>
        <v>70.5</v>
      </c>
      <c r="AZ204" s="231">
        <f t="shared" si="56"/>
        <v>5.7</v>
      </c>
      <c r="BA204" s="231">
        <f t="shared" si="71"/>
        <v>69.900000000000006</v>
      </c>
      <c r="BB204" s="231">
        <f t="shared" si="72"/>
        <v>6.4</v>
      </c>
      <c r="BC204" s="231">
        <f t="shared" si="73"/>
        <v>1.5</v>
      </c>
      <c r="BD204" s="232">
        <f>IF(ISNUMBER(S204),S204,NA())</f>
        <v>60.869565217391305</v>
      </c>
      <c r="BE204" s="232">
        <f>IF(ISNUMBER(T204),T204,NA())</f>
        <v>40</v>
      </c>
      <c r="BP204">
        <v>197</v>
      </c>
    </row>
    <row r="205" spans="1:68">
      <c r="A205" s="13">
        <v>198</v>
      </c>
      <c r="B205">
        <v>19895719</v>
      </c>
      <c r="C205" s="215"/>
      <c r="D205" s="1" t="s">
        <v>2228</v>
      </c>
      <c r="E205" s="22" t="str">
        <f>LEFT(D205,FIND(",",D205,1)-1)</f>
        <v>Dalby RB</v>
      </c>
      <c r="F205">
        <v>2009</v>
      </c>
      <c r="G205" s="1" t="s">
        <v>170</v>
      </c>
      <c r="H205">
        <v>22</v>
      </c>
      <c r="I205">
        <v>22</v>
      </c>
      <c r="J205" t="s">
        <v>151</v>
      </c>
      <c r="K205">
        <v>4</v>
      </c>
      <c r="L205" t="s">
        <v>1119</v>
      </c>
      <c r="M205">
        <v>57.4</v>
      </c>
      <c r="N205">
        <v>4.5999999999999996</v>
      </c>
      <c r="O205">
        <v>59.2</v>
      </c>
      <c r="P205">
        <v>7.3</v>
      </c>
      <c r="Q205">
        <v>15</v>
      </c>
      <c r="R205">
        <v>15</v>
      </c>
      <c r="S205" s="88">
        <f t="shared" si="68"/>
        <v>68.181818181818187</v>
      </c>
      <c r="T205" s="88">
        <f t="shared" si="69"/>
        <v>68.181818181818187</v>
      </c>
      <c r="U205" t="s">
        <v>1688</v>
      </c>
      <c r="V205" t="s">
        <v>1688</v>
      </c>
      <c r="W205">
        <v>5</v>
      </c>
      <c r="X205" s="86">
        <f t="shared" si="58"/>
        <v>44</v>
      </c>
      <c r="Y205" t="s">
        <v>2425</v>
      </c>
      <c r="Z205" s="4" t="s">
        <v>978</v>
      </c>
      <c r="AA205">
        <f t="shared" si="59"/>
        <v>1</v>
      </c>
      <c r="AB205">
        <v>5</v>
      </c>
      <c r="AC205" t="s">
        <v>1688</v>
      </c>
      <c r="AD205">
        <v>9</v>
      </c>
      <c r="AE205">
        <v>6</v>
      </c>
      <c r="AF205" t="s">
        <v>1688</v>
      </c>
      <c r="AG205" t="s">
        <v>1688</v>
      </c>
      <c r="AH205">
        <v>1</v>
      </c>
      <c r="AI205">
        <v>3</v>
      </c>
      <c r="AJ205" t="s">
        <v>1688</v>
      </c>
      <c r="AK205" t="s">
        <v>161</v>
      </c>
      <c r="AL205" s="158" t="str">
        <f t="shared" si="60"/>
        <v>ns</v>
      </c>
      <c r="AM205" s="136">
        <f t="shared" si="61"/>
        <v>40.909090909090914</v>
      </c>
      <c r="AN205" s="136">
        <f t="shared" si="62"/>
        <v>27.27272727272727</v>
      </c>
      <c r="AO205" s="136" t="str">
        <f t="shared" si="63"/>
        <v>ns</v>
      </c>
      <c r="AP205" s="136" t="str">
        <f t="shared" si="64"/>
        <v>ns</v>
      </c>
      <c r="AQ205" s="136">
        <f t="shared" si="65"/>
        <v>4.5454545454545459</v>
      </c>
      <c r="AR205" s="136">
        <f t="shared" si="66"/>
        <v>13.636363636363635</v>
      </c>
      <c r="AS205" s="136" t="str">
        <f t="shared" si="67"/>
        <v>ns</v>
      </c>
      <c r="AT205">
        <v>3</v>
      </c>
      <c r="AU205" s="86">
        <f t="shared" si="70"/>
        <v>5</v>
      </c>
      <c r="AY205" s="231">
        <f>IF(ISNUMBER(M205),M205,NA())</f>
        <v>57.4</v>
      </c>
      <c r="AZ205" s="231">
        <f t="shared" si="56"/>
        <v>4.5999999999999996</v>
      </c>
      <c r="BA205" s="231">
        <f t="shared" si="71"/>
        <v>59.2</v>
      </c>
      <c r="BB205" s="231">
        <f t="shared" si="72"/>
        <v>7.3</v>
      </c>
      <c r="BC205" s="231">
        <f t="shared" si="73"/>
        <v>5</v>
      </c>
      <c r="BD205" s="232">
        <f>IF(ISNUMBER(S205),S205,NA())</f>
        <v>68.181818181818187</v>
      </c>
      <c r="BE205" s="232">
        <f>IF(ISNUMBER(T205),T205,NA())</f>
        <v>68.181818181818187</v>
      </c>
      <c r="BP205">
        <v>198</v>
      </c>
    </row>
    <row r="206" spans="1:68">
      <c r="A206">
        <v>199</v>
      </c>
      <c r="B206">
        <v>19345999</v>
      </c>
      <c r="C206" s="215"/>
      <c r="D206" s="1" t="s">
        <v>182</v>
      </c>
      <c r="E206" s="22" t="str">
        <f>LEFT(D206,FIND(",",D206,1)-1)</f>
        <v>Exner C</v>
      </c>
      <c r="F206">
        <v>2009</v>
      </c>
      <c r="G206" s="1" t="s">
        <v>171</v>
      </c>
      <c r="H206">
        <v>35</v>
      </c>
      <c r="I206">
        <v>26</v>
      </c>
      <c r="J206" t="s">
        <v>151</v>
      </c>
      <c r="K206">
        <v>4</v>
      </c>
      <c r="L206" t="s">
        <v>1119</v>
      </c>
      <c r="O206">
        <v>33</v>
      </c>
      <c r="P206">
        <v>8.9</v>
      </c>
      <c r="Q206">
        <v>24</v>
      </c>
      <c r="R206">
        <v>18</v>
      </c>
      <c r="S206" s="88">
        <f t="shared" si="68"/>
        <v>68.571428571428569</v>
      </c>
      <c r="T206" s="88">
        <f t="shared" si="69"/>
        <v>69.230769230769226</v>
      </c>
      <c r="U206" t="s">
        <v>183</v>
      </c>
      <c r="V206" t="s">
        <v>183</v>
      </c>
      <c r="W206">
        <v>1.3</v>
      </c>
      <c r="X206" s="86">
        <f t="shared" si="58"/>
        <v>61</v>
      </c>
      <c r="Y206" t="s">
        <v>2426</v>
      </c>
      <c r="Z206" t="s">
        <v>237</v>
      </c>
      <c r="AA206">
        <f t="shared" si="59"/>
        <v>3</v>
      </c>
      <c r="AB206">
        <v>5</v>
      </c>
      <c r="AC206">
        <v>30</v>
      </c>
      <c r="AD206" t="s">
        <v>1688</v>
      </c>
      <c r="AE206">
        <v>18</v>
      </c>
      <c r="AF206" t="s">
        <v>1688</v>
      </c>
      <c r="AG206" t="s">
        <v>1688</v>
      </c>
      <c r="AH206" t="s">
        <v>1688</v>
      </c>
      <c r="AI206" t="s">
        <v>1688</v>
      </c>
      <c r="AJ206" t="s">
        <v>1688</v>
      </c>
      <c r="AK206" t="s">
        <v>1688</v>
      </c>
      <c r="AL206" s="158">
        <f t="shared" si="60"/>
        <v>85.714285714285708</v>
      </c>
      <c r="AM206" s="136" t="str">
        <f t="shared" si="61"/>
        <v>ns</v>
      </c>
      <c r="AN206" s="136">
        <f t="shared" si="62"/>
        <v>51.428571428571423</v>
      </c>
      <c r="AO206" s="136" t="str">
        <f t="shared" si="63"/>
        <v>ns</v>
      </c>
      <c r="AP206" s="136" t="str">
        <f t="shared" si="64"/>
        <v>ns</v>
      </c>
      <c r="AQ206" s="136" t="str">
        <f t="shared" si="65"/>
        <v>ns</v>
      </c>
      <c r="AR206" s="136" t="str">
        <f t="shared" si="66"/>
        <v>ns</v>
      </c>
      <c r="AS206" s="136" t="str">
        <f t="shared" si="67"/>
        <v>ns</v>
      </c>
      <c r="AT206">
        <v>1.5</v>
      </c>
      <c r="AU206" s="86">
        <f t="shared" si="70"/>
        <v>1.3</v>
      </c>
      <c r="AY206" s="231" t="e">
        <f>IF(ISNUMBER(M206),M206,NA())</f>
        <v>#N/A</v>
      </c>
      <c r="AZ206" s="231" t="e">
        <f t="shared" si="56"/>
        <v>#N/A</v>
      </c>
      <c r="BA206" s="231">
        <f t="shared" si="71"/>
        <v>33</v>
      </c>
      <c r="BB206" s="231">
        <f t="shared" si="72"/>
        <v>8.9</v>
      </c>
      <c r="BC206" s="231">
        <f t="shared" si="73"/>
        <v>1.3</v>
      </c>
      <c r="BD206" s="232">
        <f>IF(ISNUMBER(S206),S206,NA())</f>
        <v>68.571428571428569</v>
      </c>
      <c r="BE206" s="232">
        <f>IF(ISNUMBER(T206),T206,NA())</f>
        <v>69.230769230769226</v>
      </c>
      <c r="BP206">
        <v>199</v>
      </c>
    </row>
    <row r="207" spans="1:68">
      <c r="A207" s="13">
        <v>200</v>
      </c>
      <c r="B207">
        <v>19910873</v>
      </c>
      <c r="C207" s="215"/>
      <c r="D207" s="1" t="s">
        <v>232</v>
      </c>
      <c r="E207" s="22" t="str">
        <f>LEFT(D207,FIND(",",D207,1)-1)</f>
        <v>Hong ED</v>
      </c>
      <c r="F207">
        <v>2009</v>
      </c>
      <c r="G207" s="1" t="s">
        <v>172</v>
      </c>
      <c r="H207">
        <v>178</v>
      </c>
      <c r="I207">
        <v>85</v>
      </c>
      <c r="J207" s="2" t="s">
        <v>151</v>
      </c>
      <c r="K207" s="2">
        <v>4</v>
      </c>
      <c r="L207" t="s">
        <v>1119</v>
      </c>
      <c r="M207">
        <v>69.900000000000006</v>
      </c>
      <c r="N207">
        <v>7.7</v>
      </c>
      <c r="O207">
        <v>70</v>
      </c>
      <c r="P207">
        <v>5.7</v>
      </c>
      <c r="Q207">
        <v>116</v>
      </c>
      <c r="R207">
        <v>58</v>
      </c>
      <c r="S207" s="88">
        <f t="shared" si="68"/>
        <v>65.168539325842701</v>
      </c>
      <c r="T207" s="88">
        <f t="shared" si="69"/>
        <v>68.235294117647058</v>
      </c>
      <c r="U207" t="s">
        <v>1688</v>
      </c>
      <c r="V207" t="s">
        <v>1688</v>
      </c>
      <c r="W207">
        <v>3</v>
      </c>
      <c r="X207" s="86">
        <f t="shared" si="58"/>
        <v>263</v>
      </c>
      <c r="Y207" t="s">
        <v>2433</v>
      </c>
      <c r="Z207" t="s">
        <v>978</v>
      </c>
      <c r="AA207">
        <f t="shared" si="59"/>
        <v>1</v>
      </c>
      <c r="AB207">
        <v>5</v>
      </c>
      <c r="AC207" t="s">
        <v>1688</v>
      </c>
      <c r="AD207" t="s">
        <v>1688</v>
      </c>
      <c r="AE207" t="s">
        <v>1688</v>
      </c>
      <c r="AF207" t="s">
        <v>1688</v>
      </c>
      <c r="AG207" t="s">
        <v>1688</v>
      </c>
      <c r="AH207" t="s">
        <v>1688</v>
      </c>
      <c r="AI207" t="s">
        <v>1688</v>
      </c>
      <c r="AJ207" t="s">
        <v>1688</v>
      </c>
      <c r="AK207" t="s">
        <v>1688</v>
      </c>
      <c r="AL207" s="158" t="str">
        <f t="shared" si="60"/>
        <v>ns</v>
      </c>
      <c r="AM207" s="136" t="str">
        <f t="shared" si="61"/>
        <v>ns</v>
      </c>
      <c r="AN207" s="136" t="str">
        <f t="shared" si="62"/>
        <v>ns</v>
      </c>
      <c r="AO207" s="136" t="str">
        <f t="shared" si="63"/>
        <v>ns</v>
      </c>
      <c r="AP207" s="136" t="str">
        <f t="shared" si="64"/>
        <v>ns</v>
      </c>
      <c r="AQ207" s="136" t="str">
        <f t="shared" si="65"/>
        <v>ns</v>
      </c>
      <c r="AR207" s="136" t="str">
        <f t="shared" si="66"/>
        <v>ns</v>
      </c>
      <c r="AS207" s="136" t="str">
        <f t="shared" si="67"/>
        <v>ns</v>
      </c>
      <c r="AT207">
        <v>1.5</v>
      </c>
      <c r="AU207" s="86">
        <f t="shared" si="70"/>
        <v>3</v>
      </c>
      <c r="AY207" s="231">
        <f>IF(ISNUMBER(M207),M207,NA())</f>
        <v>69.900000000000006</v>
      </c>
      <c r="AZ207" s="231">
        <f t="shared" si="56"/>
        <v>7.7</v>
      </c>
      <c r="BA207" s="231">
        <f t="shared" si="71"/>
        <v>70</v>
      </c>
      <c r="BB207" s="231">
        <f t="shared" si="72"/>
        <v>5.7</v>
      </c>
      <c r="BC207" s="231">
        <f t="shared" si="73"/>
        <v>3</v>
      </c>
      <c r="BD207" s="232">
        <f>IF(ISNUMBER(S207),S207,NA())</f>
        <v>65.168539325842701</v>
      </c>
      <c r="BE207" s="232">
        <f>IF(ISNUMBER(T207),T207,NA())</f>
        <v>68.235294117647058</v>
      </c>
      <c r="BP207">
        <v>200</v>
      </c>
    </row>
    <row r="208" spans="1:68">
      <c r="A208">
        <v>201</v>
      </c>
      <c r="B208">
        <v>19668114</v>
      </c>
      <c r="C208" s="215"/>
      <c r="D208" s="3" t="s">
        <v>2363</v>
      </c>
      <c r="E208" s="11" t="s">
        <v>2225</v>
      </c>
      <c r="F208">
        <v>2009</v>
      </c>
      <c r="G208" s="1" t="s">
        <v>2362</v>
      </c>
      <c r="H208">
        <v>79</v>
      </c>
      <c r="I208">
        <v>84</v>
      </c>
      <c r="J208" t="s">
        <v>151</v>
      </c>
      <c r="K208">
        <v>4</v>
      </c>
      <c r="L208" t="s">
        <v>1119</v>
      </c>
      <c r="M208">
        <v>48.2</v>
      </c>
      <c r="N208">
        <v>12.8</v>
      </c>
      <c r="O208">
        <v>43.9</v>
      </c>
      <c r="P208">
        <v>8.6999999999999993</v>
      </c>
      <c r="Q208">
        <v>52</v>
      </c>
      <c r="R208">
        <v>40</v>
      </c>
      <c r="S208" s="88">
        <f t="shared" si="68"/>
        <v>65.822784810126578</v>
      </c>
      <c r="T208" s="88">
        <f t="shared" si="69"/>
        <v>47.61904761904762</v>
      </c>
      <c r="U208" t="s">
        <v>1688</v>
      </c>
      <c r="V208" t="s">
        <v>1688</v>
      </c>
      <c r="W208">
        <v>1</v>
      </c>
      <c r="X208" s="86">
        <f t="shared" si="58"/>
        <v>163</v>
      </c>
      <c r="Y208" t="s">
        <v>1120</v>
      </c>
      <c r="Z208" t="s">
        <v>577</v>
      </c>
      <c r="AA208">
        <f t="shared" si="59"/>
        <v>2</v>
      </c>
      <c r="AB208">
        <v>5</v>
      </c>
      <c r="AC208" t="s">
        <v>1688</v>
      </c>
      <c r="AD208" t="s">
        <v>1688</v>
      </c>
      <c r="AE208" t="s">
        <v>1688</v>
      </c>
      <c r="AF208" t="s">
        <v>1688</v>
      </c>
      <c r="AG208" t="s">
        <v>1688</v>
      </c>
      <c r="AH208" t="s">
        <v>1688</v>
      </c>
      <c r="AI208" t="s">
        <v>1688</v>
      </c>
      <c r="AJ208" t="s">
        <v>1688</v>
      </c>
      <c r="AK208" t="s">
        <v>1688</v>
      </c>
      <c r="AL208" s="158" t="str">
        <f t="shared" si="60"/>
        <v>ns</v>
      </c>
      <c r="AM208" s="136" t="str">
        <f t="shared" si="61"/>
        <v>ns</v>
      </c>
      <c r="AN208" s="136" t="str">
        <f t="shared" si="62"/>
        <v>ns</v>
      </c>
      <c r="AO208" s="136" t="str">
        <f t="shared" si="63"/>
        <v>ns</v>
      </c>
      <c r="AP208" s="136" t="str">
        <f t="shared" si="64"/>
        <v>ns</v>
      </c>
      <c r="AQ208" s="136" t="str">
        <f t="shared" si="65"/>
        <v>ns</v>
      </c>
      <c r="AR208" s="136" t="str">
        <f t="shared" si="66"/>
        <v>ns</v>
      </c>
      <c r="AS208" s="136" t="str">
        <f t="shared" si="67"/>
        <v>ns</v>
      </c>
      <c r="AT208">
        <v>1</v>
      </c>
      <c r="AU208" s="86">
        <f t="shared" si="70"/>
        <v>1</v>
      </c>
      <c r="AV208" s="86" t="str">
        <f>IF(L208="CT",W208,"")</f>
        <v/>
      </c>
      <c r="AY208" s="231">
        <f>IF(ISNUMBER(M208),M208,NA())</f>
        <v>48.2</v>
      </c>
      <c r="AZ208" s="231">
        <f t="shared" si="56"/>
        <v>12.8</v>
      </c>
      <c r="BA208" s="231">
        <f t="shared" si="71"/>
        <v>43.9</v>
      </c>
      <c r="BB208" s="231">
        <f t="shared" si="72"/>
        <v>8.6999999999999993</v>
      </c>
      <c r="BC208" s="231">
        <f t="shared" si="73"/>
        <v>1</v>
      </c>
      <c r="BD208" s="232">
        <f>IF(ISNUMBER(S208),S208,NA())</f>
        <v>65.822784810126578</v>
      </c>
      <c r="BE208" s="232">
        <f>IF(ISNUMBER(T208),T208,NA())</f>
        <v>47.61904761904762</v>
      </c>
      <c r="BP208">
        <v>201</v>
      </c>
    </row>
    <row r="209" spans="1:68">
      <c r="A209" s="13">
        <v>202</v>
      </c>
      <c r="B209">
        <v>19756819</v>
      </c>
      <c r="C209" s="215"/>
      <c r="D209" s="1" t="s">
        <v>2351</v>
      </c>
      <c r="E209" s="22" t="str">
        <f>LEFT(D209,FIND(",",D209,1)-1)</f>
        <v>Kaymak SU</v>
      </c>
      <c r="F209">
        <v>2009</v>
      </c>
      <c r="G209" s="1" t="s">
        <v>173</v>
      </c>
      <c r="H209">
        <v>20</v>
      </c>
      <c r="I209">
        <v>15</v>
      </c>
      <c r="J209" t="s">
        <v>151</v>
      </c>
      <c r="K209">
        <v>4</v>
      </c>
      <c r="L209" t="s">
        <v>1119</v>
      </c>
      <c r="M209">
        <v>32</v>
      </c>
      <c r="N209">
        <v>8.52</v>
      </c>
      <c r="O209">
        <v>29.3</v>
      </c>
      <c r="P209">
        <v>5.8</v>
      </c>
      <c r="Q209">
        <v>20</v>
      </c>
      <c r="R209">
        <v>15</v>
      </c>
      <c r="S209" s="88">
        <f t="shared" si="68"/>
        <v>100</v>
      </c>
      <c r="T209" s="88">
        <f t="shared" si="69"/>
        <v>100</v>
      </c>
      <c r="U209" t="s">
        <v>1688</v>
      </c>
      <c r="V209">
        <v>23.1</v>
      </c>
      <c r="W209">
        <v>1</v>
      </c>
      <c r="X209" s="86">
        <f t="shared" si="58"/>
        <v>35</v>
      </c>
      <c r="Y209" t="s">
        <v>238</v>
      </c>
      <c r="Z209" t="s">
        <v>1153</v>
      </c>
      <c r="AA209">
        <f t="shared" si="59"/>
        <v>3</v>
      </c>
      <c r="AB209">
        <v>5</v>
      </c>
      <c r="AC209">
        <v>0</v>
      </c>
      <c r="AD209">
        <v>0</v>
      </c>
      <c r="AE209">
        <v>0</v>
      </c>
      <c r="AF209">
        <v>0</v>
      </c>
      <c r="AG209">
        <v>0</v>
      </c>
      <c r="AH209">
        <v>0</v>
      </c>
      <c r="AI209">
        <v>0</v>
      </c>
      <c r="AJ209">
        <v>20</v>
      </c>
      <c r="AK209">
        <v>0</v>
      </c>
      <c r="AL209" s="158">
        <f t="shared" si="60"/>
        <v>0</v>
      </c>
      <c r="AM209" s="136">
        <f t="shared" si="61"/>
        <v>0</v>
      </c>
      <c r="AN209" s="136">
        <f t="shared" si="62"/>
        <v>0</v>
      </c>
      <c r="AO209" s="136">
        <f t="shared" si="63"/>
        <v>0</v>
      </c>
      <c r="AP209" s="136">
        <f t="shared" si="64"/>
        <v>0</v>
      </c>
      <c r="AQ209" s="136">
        <f t="shared" si="65"/>
        <v>0</v>
      </c>
      <c r="AR209" s="136">
        <f t="shared" si="66"/>
        <v>0</v>
      </c>
      <c r="AS209" s="136">
        <f t="shared" si="67"/>
        <v>100</v>
      </c>
      <c r="AT209">
        <v>3</v>
      </c>
      <c r="AU209" s="86">
        <f t="shared" si="70"/>
        <v>1</v>
      </c>
      <c r="AY209" s="231">
        <f>IF(ISNUMBER(M209),M209,NA())</f>
        <v>32</v>
      </c>
      <c r="AZ209" s="231">
        <f t="shared" si="56"/>
        <v>8.52</v>
      </c>
      <c r="BA209" s="231">
        <f t="shared" si="71"/>
        <v>29.3</v>
      </c>
      <c r="BB209" s="231">
        <f t="shared" si="72"/>
        <v>5.8</v>
      </c>
      <c r="BC209" s="231">
        <f t="shared" si="73"/>
        <v>1</v>
      </c>
      <c r="BD209" s="232">
        <f>IF(ISNUMBER(S209),S209,NA())</f>
        <v>100</v>
      </c>
      <c r="BE209" s="232">
        <f>IF(ISNUMBER(T209),T209,NA())</f>
        <v>100</v>
      </c>
      <c r="BP209">
        <v>202</v>
      </c>
    </row>
    <row r="210" spans="1:68">
      <c r="A210">
        <v>203</v>
      </c>
      <c r="B210" s="2">
        <v>19394960</v>
      </c>
      <c r="C210" s="215"/>
      <c r="D210" s="1" t="s">
        <v>378</v>
      </c>
      <c r="E210" s="2" t="s">
        <v>271</v>
      </c>
      <c r="F210" s="2">
        <v>2009</v>
      </c>
      <c r="G210" s="1" t="s">
        <v>222</v>
      </c>
      <c r="H210" s="13">
        <v>24</v>
      </c>
      <c r="I210">
        <v>14</v>
      </c>
      <c r="J210" t="s">
        <v>151</v>
      </c>
      <c r="K210">
        <v>4</v>
      </c>
      <c r="L210" t="s">
        <v>1119</v>
      </c>
      <c r="M210">
        <v>54.5</v>
      </c>
      <c r="N210">
        <v>11.9</v>
      </c>
      <c r="O210">
        <v>53.8</v>
      </c>
      <c r="P210">
        <v>17.7</v>
      </c>
      <c r="Q210">
        <v>15</v>
      </c>
      <c r="R210">
        <v>8</v>
      </c>
      <c r="S210" s="88">
        <f t="shared" si="68"/>
        <v>62.5</v>
      </c>
      <c r="T210" s="88">
        <f t="shared" si="69"/>
        <v>57.142857142857146</v>
      </c>
      <c r="U210" t="s">
        <v>1688</v>
      </c>
      <c r="V210">
        <v>25.3</v>
      </c>
      <c r="W210">
        <v>1.05</v>
      </c>
      <c r="X210" s="86">
        <f t="shared" si="58"/>
        <v>38</v>
      </c>
      <c r="Y210" t="s">
        <v>241</v>
      </c>
      <c r="Z210" t="s">
        <v>386</v>
      </c>
      <c r="AA210">
        <f t="shared" si="59"/>
        <v>3</v>
      </c>
      <c r="AB210">
        <v>5</v>
      </c>
      <c r="AC210">
        <v>0</v>
      </c>
      <c r="AD210">
        <v>0</v>
      </c>
      <c r="AE210">
        <v>0</v>
      </c>
      <c r="AF210">
        <v>0</v>
      </c>
      <c r="AG210">
        <v>0</v>
      </c>
      <c r="AH210">
        <v>0</v>
      </c>
      <c r="AI210">
        <v>0</v>
      </c>
      <c r="AJ210" t="s">
        <v>1688</v>
      </c>
      <c r="AK210" t="s">
        <v>2111</v>
      </c>
      <c r="AL210" s="158">
        <f t="shared" si="60"/>
        <v>0</v>
      </c>
      <c r="AM210" s="136">
        <f t="shared" si="61"/>
        <v>0</v>
      </c>
      <c r="AN210" s="136">
        <f t="shared" si="62"/>
        <v>0</v>
      </c>
      <c r="AO210" s="136">
        <f t="shared" si="63"/>
        <v>0</v>
      </c>
      <c r="AP210" s="136">
        <f t="shared" si="64"/>
        <v>0</v>
      </c>
      <c r="AQ210" s="136">
        <f t="shared" si="65"/>
        <v>0</v>
      </c>
      <c r="AR210" s="136">
        <f t="shared" si="66"/>
        <v>0</v>
      </c>
      <c r="AS210" s="136" t="str">
        <f t="shared" si="67"/>
        <v>ns</v>
      </c>
      <c r="AT210">
        <v>1.5</v>
      </c>
      <c r="AU210" s="86">
        <f t="shared" si="70"/>
        <v>1.05</v>
      </c>
      <c r="AV210" s="86" t="str">
        <f>IF(L210="CT",W210,"")</f>
        <v/>
      </c>
      <c r="AY210" s="231">
        <f>IF(ISNUMBER(M210),M210,NA())</f>
        <v>54.5</v>
      </c>
      <c r="AZ210" s="231">
        <f t="shared" si="56"/>
        <v>11.9</v>
      </c>
      <c r="BA210" s="231">
        <f t="shared" si="71"/>
        <v>53.8</v>
      </c>
      <c r="BB210" s="231">
        <f t="shared" si="72"/>
        <v>17.7</v>
      </c>
      <c r="BC210" s="231">
        <f t="shared" si="73"/>
        <v>1.05</v>
      </c>
      <c r="BD210" s="232">
        <f>IF(ISNUMBER(S210),S210,NA())</f>
        <v>62.5</v>
      </c>
      <c r="BE210" s="232">
        <f>IF(ISNUMBER(T210),T210,NA())</f>
        <v>57.142857142857146</v>
      </c>
      <c r="BP210">
        <v>203</v>
      </c>
    </row>
    <row r="211" spans="1:68">
      <c r="A211" s="13">
        <v>204</v>
      </c>
      <c r="B211">
        <v>19800203</v>
      </c>
      <c r="C211" s="215"/>
      <c r="D211" s="1" t="s">
        <v>197</v>
      </c>
      <c r="E211" s="22" t="str">
        <f>LEFT(D211,FIND(",",D211,1)-1)</f>
        <v>Kronmüller KT</v>
      </c>
      <c r="F211">
        <v>2009</v>
      </c>
      <c r="G211" s="1" t="s">
        <v>175</v>
      </c>
      <c r="H211">
        <v>57</v>
      </c>
      <c r="I211">
        <v>30</v>
      </c>
      <c r="J211" t="s">
        <v>151</v>
      </c>
      <c r="K211">
        <v>4</v>
      </c>
      <c r="L211" t="s">
        <v>1119</v>
      </c>
      <c r="M211">
        <v>43.54</v>
      </c>
      <c r="N211">
        <v>12.82</v>
      </c>
      <c r="Q211">
        <v>33</v>
      </c>
      <c r="R211">
        <v>19</v>
      </c>
      <c r="S211" s="88">
        <f t="shared" si="68"/>
        <v>57.89473684210526</v>
      </c>
      <c r="T211" s="88">
        <f t="shared" si="69"/>
        <v>63.333333333333336</v>
      </c>
      <c r="U211">
        <v>38.54</v>
      </c>
      <c r="V211">
        <v>22.74</v>
      </c>
      <c r="W211">
        <v>1.5</v>
      </c>
      <c r="X211" s="86">
        <f t="shared" si="58"/>
        <v>87</v>
      </c>
      <c r="Y211" t="s">
        <v>2427</v>
      </c>
      <c r="Z211" t="s">
        <v>1102</v>
      </c>
      <c r="AA211">
        <f t="shared" si="59"/>
        <v>3</v>
      </c>
      <c r="AB211">
        <v>5</v>
      </c>
      <c r="AC211">
        <v>57</v>
      </c>
      <c r="AD211">
        <v>21</v>
      </c>
      <c r="AE211">
        <v>12</v>
      </c>
      <c r="AF211" t="s">
        <v>1688</v>
      </c>
      <c r="AG211">
        <v>24</v>
      </c>
      <c r="AH211" t="s">
        <v>1688</v>
      </c>
      <c r="AI211" t="s">
        <v>1688</v>
      </c>
      <c r="AJ211">
        <v>0</v>
      </c>
      <c r="AK211" t="s">
        <v>256</v>
      </c>
      <c r="AL211" s="158">
        <f t="shared" si="60"/>
        <v>100</v>
      </c>
      <c r="AM211" s="136">
        <f t="shared" si="61"/>
        <v>36.84210526315789</v>
      </c>
      <c r="AN211" s="136">
        <f t="shared" si="62"/>
        <v>21.052631578947366</v>
      </c>
      <c r="AO211" s="136" t="str">
        <f t="shared" si="63"/>
        <v>ns</v>
      </c>
      <c r="AP211" s="136">
        <f t="shared" si="64"/>
        <v>42.105263157894733</v>
      </c>
      <c r="AQ211" s="136" t="str">
        <f t="shared" si="65"/>
        <v>ns</v>
      </c>
      <c r="AR211" s="136" t="str">
        <f t="shared" si="66"/>
        <v>ns</v>
      </c>
      <c r="AS211" s="136">
        <f t="shared" si="67"/>
        <v>0</v>
      </c>
      <c r="AT211">
        <v>1.5</v>
      </c>
      <c r="AU211" s="86">
        <f t="shared" si="70"/>
        <v>1.5</v>
      </c>
      <c r="AY211" s="231">
        <f>IF(ISNUMBER(M211),M211,NA())</f>
        <v>43.54</v>
      </c>
      <c r="AZ211" s="231">
        <f t="shared" si="56"/>
        <v>12.82</v>
      </c>
      <c r="BA211" s="231" t="e">
        <f t="shared" si="71"/>
        <v>#N/A</v>
      </c>
      <c r="BB211" s="231" t="e">
        <f t="shared" si="72"/>
        <v>#N/A</v>
      </c>
      <c r="BC211" s="231">
        <f t="shared" si="73"/>
        <v>1.5</v>
      </c>
      <c r="BD211" s="232">
        <f>IF(ISNUMBER(S211),S211,NA())</f>
        <v>57.89473684210526</v>
      </c>
      <c r="BE211" s="232">
        <f>IF(ISNUMBER(T211),T211,NA())</f>
        <v>63.333333333333336</v>
      </c>
      <c r="BP211">
        <v>204</v>
      </c>
    </row>
    <row r="212" spans="1:68">
      <c r="A212">
        <v>205</v>
      </c>
      <c r="B212">
        <v>19239986</v>
      </c>
      <c r="C212" s="215"/>
      <c r="D212" s="1" t="s">
        <v>1745</v>
      </c>
      <c r="E212" t="s">
        <v>1220</v>
      </c>
      <c r="F212">
        <v>2009</v>
      </c>
      <c r="G212" s="1" t="s">
        <v>1706</v>
      </c>
      <c r="H212">
        <v>56</v>
      </c>
      <c r="I212">
        <v>33</v>
      </c>
      <c r="J212" t="s">
        <v>151</v>
      </c>
      <c r="K212">
        <v>4</v>
      </c>
      <c r="L212" t="s">
        <v>1119</v>
      </c>
      <c r="O212">
        <v>34.03</v>
      </c>
      <c r="P212">
        <v>9.91</v>
      </c>
      <c r="Q212">
        <v>40</v>
      </c>
      <c r="R212">
        <v>21</v>
      </c>
      <c r="S212" s="88">
        <f t="shared" si="68"/>
        <v>71.428571428571431</v>
      </c>
      <c r="T212" s="88">
        <f t="shared" si="69"/>
        <v>63.636363636363633</v>
      </c>
      <c r="U212" t="s">
        <v>1688</v>
      </c>
      <c r="V212" t="s">
        <v>1688</v>
      </c>
      <c r="W212">
        <v>1</v>
      </c>
      <c r="X212" s="86">
        <f t="shared" si="58"/>
        <v>89</v>
      </c>
      <c r="Y212" t="s">
        <v>668</v>
      </c>
      <c r="Z212" t="s">
        <v>670</v>
      </c>
      <c r="AA212">
        <f t="shared" si="59"/>
        <v>3</v>
      </c>
      <c r="AB212">
        <v>5</v>
      </c>
      <c r="AC212" t="s">
        <v>1688</v>
      </c>
      <c r="AD212" t="s">
        <v>1688</v>
      </c>
      <c r="AE212" t="s">
        <v>1688</v>
      </c>
      <c r="AF212" t="s">
        <v>1688</v>
      </c>
      <c r="AG212" t="s">
        <v>1688</v>
      </c>
      <c r="AH212" t="s">
        <v>1688</v>
      </c>
      <c r="AI212" t="s">
        <v>1688</v>
      </c>
      <c r="AJ212" t="s">
        <v>1688</v>
      </c>
      <c r="AK212" t="s">
        <v>1688</v>
      </c>
      <c r="AL212" s="158" t="str">
        <f t="shared" si="60"/>
        <v>ns</v>
      </c>
      <c r="AM212" s="136" t="str">
        <f t="shared" si="61"/>
        <v>ns</v>
      </c>
      <c r="AN212" s="136" t="str">
        <f t="shared" si="62"/>
        <v>ns</v>
      </c>
      <c r="AO212" s="136" t="str">
        <f t="shared" si="63"/>
        <v>ns</v>
      </c>
      <c r="AP212" s="136" t="str">
        <f t="shared" si="64"/>
        <v>ns</v>
      </c>
      <c r="AQ212" s="136" t="str">
        <f t="shared" si="65"/>
        <v>ns</v>
      </c>
      <c r="AR212" s="136" t="str">
        <f t="shared" si="66"/>
        <v>ns</v>
      </c>
      <c r="AS212" s="136" t="str">
        <f t="shared" si="67"/>
        <v>ns</v>
      </c>
      <c r="AT212">
        <v>1.5</v>
      </c>
      <c r="AU212" s="86">
        <f t="shared" si="70"/>
        <v>1</v>
      </c>
      <c r="AV212" s="86" t="str">
        <f>IF(L212="CT",W212,"")</f>
        <v/>
      </c>
      <c r="AY212" s="231" t="e">
        <f>IF(ISNUMBER(M212),M212,NA())</f>
        <v>#N/A</v>
      </c>
      <c r="AZ212" s="231" t="e">
        <f t="shared" si="56"/>
        <v>#N/A</v>
      </c>
      <c r="BA212" s="231">
        <f t="shared" si="71"/>
        <v>34.03</v>
      </c>
      <c r="BB212" s="231">
        <f t="shared" si="72"/>
        <v>9.91</v>
      </c>
      <c r="BC212" s="231">
        <f t="shared" si="73"/>
        <v>1</v>
      </c>
      <c r="BD212" s="232">
        <f>IF(ISNUMBER(S212),S212,NA())</f>
        <v>71.428571428571431</v>
      </c>
      <c r="BE212" s="232">
        <f>IF(ISNUMBER(T212),T212,NA())</f>
        <v>63.636363636363633</v>
      </c>
      <c r="BP212">
        <v>205</v>
      </c>
    </row>
    <row r="213" spans="1:68">
      <c r="A213" s="13">
        <v>206</v>
      </c>
      <c r="B213" s="2">
        <v>19464062</v>
      </c>
      <c r="C213" s="215"/>
      <c r="D213" s="1" t="s">
        <v>977</v>
      </c>
      <c r="E213" s="2" t="s">
        <v>275</v>
      </c>
      <c r="F213" s="2">
        <v>2009</v>
      </c>
      <c r="G213" s="1" t="s">
        <v>221</v>
      </c>
      <c r="H213" s="13">
        <v>56</v>
      </c>
      <c r="I213">
        <v>31</v>
      </c>
      <c r="J213" t="s">
        <v>151</v>
      </c>
      <c r="K213">
        <v>4</v>
      </c>
      <c r="L213" t="s">
        <v>1119</v>
      </c>
      <c r="O213">
        <v>34.68</v>
      </c>
      <c r="P213">
        <v>9.86</v>
      </c>
      <c r="Q213">
        <v>40</v>
      </c>
      <c r="R213">
        <v>21</v>
      </c>
      <c r="S213" s="88">
        <f t="shared" si="68"/>
        <v>71.428571428571431</v>
      </c>
      <c r="T213" s="88">
        <f t="shared" si="69"/>
        <v>67.741935483870961</v>
      </c>
      <c r="U213" t="s">
        <v>404</v>
      </c>
      <c r="V213" t="s">
        <v>1688</v>
      </c>
      <c r="W213">
        <v>1</v>
      </c>
      <c r="X213" s="86">
        <f t="shared" si="58"/>
        <v>87</v>
      </c>
      <c r="Y213" t="s">
        <v>240</v>
      </c>
      <c r="Z213" t="s">
        <v>387</v>
      </c>
      <c r="AA213">
        <f t="shared" si="59"/>
        <v>4</v>
      </c>
      <c r="AB213">
        <v>5</v>
      </c>
      <c r="AD213">
        <v>17</v>
      </c>
      <c r="AF213">
        <v>2</v>
      </c>
      <c r="AJ213">
        <v>9</v>
      </c>
      <c r="AL213" s="158" t="str">
        <f t="shared" si="60"/>
        <v/>
      </c>
      <c r="AM213" s="136">
        <f t="shared" si="61"/>
        <v>30.357142857142854</v>
      </c>
      <c r="AN213" s="136" t="str">
        <f t="shared" si="62"/>
        <v/>
      </c>
      <c r="AO213" s="136">
        <f t="shared" si="63"/>
        <v>3.5714285714285712</v>
      </c>
      <c r="AP213" s="136" t="str">
        <f t="shared" si="64"/>
        <v/>
      </c>
      <c r="AQ213" s="136" t="str">
        <f t="shared" si="65"/>
        <v/>
      </c>
      <c r="AR213" s="136" t="str">
        <f t="shared" si="66"/>
        <v/>
      </c>
      <c r="AS213" s="136">
        <f t="shared" si="67"/>
        <v>16.071428571428573</v>
      </c>
      <c r="AT213">
        <v>1.5</v>
      </c>
      <c r="AU213" s="86">
        <f t="shared" si="70"/>
        <v>1</v>
      </c>
      <c r="AV213" s="86" t="str">
        <f>IF(L213="CT",W213,"")</f>
        <v/>
      </c>
      <c r="AY213" s="231" t="e">
        <f>IF(ISNUMBER(M213),M213,NA())</f>
        <v>#N/A</v>
      </c>
      <c r="AZ213" s="231" t="e">
        <f t="shared" si="56"/>
        <v>#N/A</v>
      </c>
      <c r="BA213" s="231">
        <f t="shared" si="71"/>
        <v>34.68</v>
      </c>
      <c r="BB213" s="231">
        <f t="shared" si="72"/>
        <v>9.86</v>
      </c>
      <c r="BC213" s="231">
        <f t="shared" si="73"/>
        <v>1</v>
      </c>
      <c r="BD213" s="232">
        <f>IF(ISNUMBER(S213),S213,NA())</f>
        <v>71.428571428571431</v>
      </c>
      <c r="BE213" s="232">
        <f>IF(ISNUMBER(T213),T213,NA())</f>
        <v>67.741935483870961</v>
      </c>
      <c r="BP213">
        <v>206</v>
      </c>
    </row>
    <row r="214" spans="1:68">
      <c r="A214">
        <v>207</v>
      </c>
      <c r="B214" s="2">
        <v>19488671</v>
      </c>
      <c r="C214" s="215"/>
      <c r="D214" s="1" t="s">
        <v>409</v>
      </c>
      <c r="E214" s="2" t="s">
        <v>269</v>
      </c>
      <c r="F214" s="2">
        <v>2009</v>
      </c>
      <c r="G214" s="1" t="s">
        <v>219</v>
      </c>
      <c r="H214" s="13">
        <v>92</v>
      </c>
      <c r="I214">
        <v>138</v>
      </c>
      <c r="J214" t="s">
        <v>151</v>
      </c>
      <c r="K214">
        <v>4</v>
      </c>
      <c r="L214" t="s">
        <v>1119</v>
      </c>
      <c r="M214">
        <v>44.6</v>
      </c>
      <c r="N214">
        <v>12.3</v>
      </c>
      <c r="O214">
        <v>33.299999999999997</v>
      </c>
      <c r="P214">
        <v>12.2</v>
      </c>
      <c r="Q214">
        <v>47</v>
      </c>
      <c r="R214">
        <v>60</v>
      </c>
      <c r="S214" s="88">
        <f t="shared" si="68"/>
        <v>51.086956521739133</v>
      </c>
      <c r="T214" s="88">
        <f t="shared" si="69"/>
        <v>43.478260869565219</v>
      </c>
      <c r="U214" t="s">
        <v>1688</v>
      </c>
      <c r="V214">
        <v>23.5</v>
      </c>
      <c r="W214">
        <v>1.5</v>
      </c>
      <c r="X214" s="86">
        <f t="shared" si="58"/>
        <v>230</v>
      </c>
      <c r="Y214" t="s">
        <v>301</v>
      </c>
      <c r="Z214" s="2" t="s">
        <v>457</v>
      </c>
      <c r="AA214">
        <f t="shared" si="59"/>
        <v>7</v>
      </c>
      <c r="AB214">
        <v>5</v>
      </c>
      <c r="AC214" t="s">
        <v>1688</v>
      </c>
      <c r="AD214">
        <v>21</v>
      </c>
      <c r="AE214">
        <v>20</v>
      </c>
      <c r="AF214">
        <v>0</v>
      </c>
      <c r="AG214">
        <v>46</v>
      </c>
      <c r="AH214">
        <v>13</v>
      </c>
      <c r="AI214" t="s">
        <v>1688</v>
      </c>
      <c r="AJ214">
        <v>6</v>
      </c>
      <c r="AL214" s="158" t="str">
        <f t="shared" si="60"/>
        <v>ns</v>
      </c>
      <c r="AM214" s="136">
        <f t="shared" si="61"/>
        <v>22.826086956521738</v>
      </c>
      <c r="AN214" s="136">
        <f t="shared" si="62"/>
        <v>21.739130434782609</v>
      </c>
      <c r="AO214" s="136">
        <f t="shared" si="63"/>
        <v>0</v>
      </c>
      <c r="AP214" s="136">
        <f t="shared" si="64"/>
        <v>50</v>
      </c>
      <c r="AQ214" s="136">
        <f t="shared" si="65"/>
        <v>14.130434782608695</v>
      </c>
      <c r="AR214" s="136" t="str">
        <f t="shared" si="66"/>
        <v>ns</v>
      </c>
      <c r="AS214" s="136">
        <f t="shared" si="67"/>
        <v>6.5217391304347823</v>
      </c>
      <c r="AT214">
        <v>1.5</v>
      </c>
      <c r="AU214" s="86">
        <f t="shared" si="70"/>
        <v>1.5</v>
      </c>
      <c r="AV214" s="86" t="str">
        <f>IF(L214="CT",W214,"")</f>
        <v/>
      </c>
      <c r="AY214" s="231">
        <f>IF(ISNUMBER(M214),M214,NA())</f>
        <v>44.6</v>
      </c>
      <c r="AZ214" s="231">
        <f t="shared" si="56"/>
        <v>12.3</v>
      </c>
      <c r="BA214" s="231">
        <f t="shared" si="71"/>
        <v>33.299999999999997</v>
      </c>
      <c r="BB214" s="231">
        <f t="shared" si="72"/>
        <v>12.2</v>
      </c>
      <c r="BC214" s="231">
        <f t="shared" si="73"/>
        <v>1.5</v>
      </c>
      <c r="BD214" s="232">
        <f>IF(ISNUMBER(S214),S214,NA())</f>
        <v>51.086956521739133</v>
      </c>
      <c r="BE214" s="232">
        <f>IF(ISNUMBER(T214),T214,NA())</f>
        <v>43.478260869565219</v>
      </c>
      <c r="BP214">
        <v>207</v>
      </c>
    </row>
    <row r="215" spans="1:68">
      <c r="A215" s="13">
        <v>208</v>
      </c>
      <c r="B215">
        <v>19324095</v>
      </c>
      <c r="C215" s="215"/>
      <c r="D215" s="1" t="s">
        <v>181</v>
      </c>
      <c r="E215" s="22" t="str">
        <f>LEFT(D215,FIND(",",D215,1)-1)</f>
        <v>Milne A</v>
      </c>
      <c r="F215">
        <v>2009</v>
      </c>
      <c r="G215" s="1" t="s">
        <v>174</v>
      </c>
      <c r="H215">
        <v>28</v>
      </c>
      <c r="I215">
        <v>14</v>
      </c>
      <c r="J215" t="s">
        <v>151</v>
      </c>
      <c r="K215">
        <v>4</v>
      </c>
      <c r="L215" t="s">
        <v>1119</v>
      </c>
      <c r="O215">
        <v>41.79</v>
      </c>
      <c r="P215">
        <v>12.91</v>
      </c>
      <c r="Q215">
        <v>15</v>
      </c>
      <c r="R215">
        <v>10</v>
      </c>
      <c r="S215" s="88">
        <f t="shared" si="68"/>
        <v>53.571428571428569</v>
      </c>
      <c r="T215" s="88">
        <f t="shared" si="69"/>
        <v>71.428571428571431</v>
      </c>
      <c r="U215" t="s">
        <v>1688</v>
      </c>
      <c r="V215" t="s">
        <v>188</v>
      </c>
      <c r="W215">
        <v>1.2</v>
      </c>
      <c r="X215" s="86">
        <f t="shared" si="58"/>
        <v>42</v>
      </c>
      <c r="Y215" t="s">
        <v>1120</v>
      </c>
      <c r="Z215" t="s">
        <v>189</v>
      </c>
      <c r="AA215">
        <f t="shared" si="59"/>
        <v>2</v>
      </c>
      <c r="AB215">
        <v>5</v>
      </c>
      <c r="AC215">
        <v>11</v>
      </c>
      <c r="AD215" t="s">
        <v>1688</v>
      </c>
      <c r="AE215" t="s">
        <v>1688</v>
      </c>
      <c r="AF215" t="s">
        <v>1688</v>
      </c>
      <c r="AG215" t="s">
        <v>1688</v>
      </c>
      <c r="AH215" t="s">
        <v>1688</v>
      </c>
      <c r="AI215">
        <v>2</v>
      </c>
      <c r="AJ215">
        <v>16</v>
      </c>
      <c r="AK215" t="s">
        <v>1688</v>
      </c>
      <c r="AL215" s="158">
        <f t="shared" si="60"/>
        <v>39.285714285714285</v>
      </c>
      <c r="AM215" s="136" t="str">
        <f t="shared" si="61"/>
        <v>ns</v>
      </c>
      <c r="AN215" s="136" t="str">
        <f t="shared" si="62"/>
        <v>ns</v>
      </c>
      <c r="AO215" s="136" t="str">
        <f t="shared" si="63"/>
        <v>ns</v>
      </c>
      <c r="AP215" s="136" t="str">
        <f t="shared" si="64"/>
        <v>ns</v>
      </c>
      <c r="AQ215" s="136" t="str">
        <f t="shared" si="65"/>
        <v>ns</v>
      </c>
      <c r="AR215" s="136">
        <f t="shared" si="66"/>
        <v>7.1428571428571423</v>
      </c>
      <c r="AS215" s="136">
        <f t="shared" si="67"/>
        <v>57.142857142857139</v>
      </c>
      <c r="AT215">
        <v>3</v>
      </c>
      <c r="AU215" s="86">
        <f t="shared" si="70"/>
        <v>1.2</v>
      </c>
      <c r="AY215" s="231" t="e">
        <f>IF(ISNUMBER(M215),M215,NA())</f>
        <v>#N/A</v>
      </c>
      <c r="AZ215" s="231" t="e">
        <f t="shared" si="56"/>
        <v>#N/A</v>
      </c>
      <c r="BA215" s="231">
        <f t="shared" si="71"/>
        <v>41.79</v>
      </c>
      <c r="BB215" s="231">
        <f t="shared" si="72"/>
        <v>12.91</v>
      </c>
      <c r="BC215" s="231">
        <f t="shared" si="73"/>
        <v>1.2</v>
      </c>
      <c r="BD215" s="232">
        <f>IF(ISNUMBER(S215),S215,NA())</f>
        <v>53.571428571428569</v>
      </c>
      <c r="BE215" s="232">
        <f>IF(ISNUMBER(T215),T215,NA())</f>
        <v>71.428571428571431</v>
      </c>
      <c r="BP215">
        <v>208</v>
      </c>
    </row>
    <row r="216" spans="1:68">
      <c r="A216">
        <v>209</v>
      </c>
      <c r="B216">
        <v>19235787</v>
      </c>
      <c r="C216" s="215"/>
      <c r="D216" s="1" t="s">
        <v>1917</v>
      </c>
      <c r="E216" t="s">
        <v>1219</v>
      </c>
      <c r="F216">
        <v>2009</v>
      </c>
      <c r="G216" s="1" t="s">
        <v>1705</v>
      </c>
      <c r="H216">
        <v>170</v>
      </c>
      <c r="I216">
        <v>83</v>
      </c>
      <c r="J216" t="s">
        <v>151</v>
      </c>
      <c r="K216">
        <v>4</v>
      </c>
      <c r="L216" t="s">
        <v>1119</v>
      </c>
      <c r="M216">
        <v>69.400000000000006</v>
      </c>
      <c r="N216">
        <v>7.5</v>
      </c>
      <c r="O216">
        <v>69.8</v>
      </c>
      <c r="P216">
        <v>5.6</v>
      </c>
      <c r="Q216">
        <v>112</v>
      </c>
      <c r="R216">
        <v>61</v>
      </c>
      <c r="S216" s="88">
        <f t="shared" si="68"/>
        <v>65.882352941176464</v>
      </c>
      <c r="T216" s="88">
        <f t="shared" si="69"/>
        <v>73.493975903614455</v>
      </c>
      <c r="U216" t="s">
        <v>1688</v>
      </c>
      <c r="V216" t="s">
        <v>1688</v>
      </c>
      <c r="W216">
        <v>3</v>
      </c>
      <c r="X216" s="86">
        <f t="shared" si="58"/>
        <v>253</v>
      </c>
      <c r="Y216" t="s">
        <v>865</v>
      </c>
      <c r="Z216" t="s">
        <v>669</v>
      </c>
      <c r="AA216">
        <f t="shared" si="59"/>
        <v>3</v>
      </c>
      <c r="AB216">
        <v>5</v>
      </c>
      <c r="AC216" t="s">
        <v>1688</v>
      </c>
      <c r="AD216" t="s">
        <v>1688</v>
      </c>
      <c r="AE216" t="s">
        <v>1688</v>
      </c>
      <c r="AF216" t="s">
        <v>1688</v>
      </c>
      <c r="AG216" t="s">
        <v>1688</v>
      </c>
      <c r="AH216" t="s">
        <v>1688</v>
      </c>
      <c r="AI216" t="s">
        <v>1688</v>
      </c>
      <c r="AJ216" t="s">
        <v>1688</v>
      </c>
      <c r="AK216" t="s">
        <v>1688</v>
      </c>
      <c r="AL216" s="158" t="str">
        <f t="shared" si="60"/>
        <v>ns</v>
      </c>
      <c r="AM216" s="136" t="str">
        <f t="shared" si="61"/>
        <v>ns</v>
      </c>
      <c r="AN216" s="136" t="str">
        <f t="shared" si="62"/>
        <v>ns</v>
      </c>
      <c r="AO216" s="136" t="str">
        <f t="shared" si="63"/>
        <v>ns</v>
      </c>
      <c r="AP216" s="136" t="str">
        <f t="shared" si="64"/>
        <v>ns</v>
      </c>
      <c r="AQ216" s="136" t="str">
        <f t="shared" si="65"/>
        <v>ns</v>
      </c>
      <c r="AR216" s="136" t="str">
        <f t="shared" si="66"/>
        <v>ns</v>
      </c>
      <c r="AS216" s="136" t="str">
        <f t="shared" si="67"/>
        <v>ns</v>
      </c>
      <c r="AT216">
        <v>1.5</v>
      </c>
      <c r="AU216" s="86">
        <f t="shared" si="70"/>
        <v>3</v>
      </c>
      <c r="AV216" s="86" t="str">
        <f t="shared" ref="AV216:AV225" si="74">IF(L216="CT",W216,"")</f>
        <v/>
      </c>
      <c r="AY216" s="231">
        <f>IF(ISNUMBER(M216),M216,NA())</f>
        <v>69.400000000000006</v>
      </c>
      <c r="AZ216" s="231">
        <f t="shared" ref="AZ216:AZ232" si="75">IF(ISNUMBER(N216),N216,NA())</f>
        <v>7.5</v>
      </c>
      <c r="BA216" s="231">
        <f t="shared" si="71"/>
        <v>69.8</v>
      </c>
      <c r="BB216" s="231">
        <f t="shared" si="72"/>
        <v>5.6</v>
      </c>
      <c r="BC216" s="231">
        <f t="shared" si="73"/>
        <v>3</v>
      </c>
      <c r="BD216" s="232">
        <f>IF(ISNUMBER(S216),S216,NA())</f>
        <v>65.882352941176464</v>
      </c>
      <c r="BE216" s="232">
        <f>IF(ISNUMBER(T216),T216,NA())</f>
        <v>73.493975903614455</v>
      </c>
      <c r="BP216">
        <v>209</v>
      </c>
    </row>
    <row r="217" spans="1:68">
      <c r="A217" s="13">
        <v>210</v>
      </c>
      <c r="B217">
        <v>19270763</v>
      </c>
      <c r="C217" s="215"/>
      <c r="D217" s="141" t="s">
        <v>371</v>
      </c>
      <c r="E217" t="s">
        <v>380</v>
      </c>
      <c r="F217" s="14">
        <v>2009</v>
      </c>
      <c r="G217" s="84" t="s">
        <v>277</v>
      </c>
      <c r="H217" s="2">
        <v>35</v>
      </c>
      <c r="I217">
        <v>70</v>
      </c>
      <c r="J217" t="s">
        <v>151</v>
      </c>
      <c r="K217">
        <v>4</v>
      </c>
      <c r="L217" t="s">
        <v>1119</v>
      </c>
      <c r="M217">
        <v>47.2</v>
      </c>
      <c r="N217">
        <v>8.8000000000000007</v>
      </c>
      <c r="O217">
        <v>42.8</v>
      </c>
      <c r="P217">
        <v>11.5</v>
      </c>
      <c r="Q217">
        <v>24</v>
      </c>
      <c r="R217">
        <v>33</v>
      </c>
      <c r="S217" s="88">
        <f t="shared" si="68"/>
        <v>68.571428571428569</v>
      </c>
      <c r="T217" s="88">
        <f t="shared" si="69"/>
        <v>47.142857142857146</v>
      </c>
      <c r="U217">
        <v>30.2</v>
      </c>
      <c r="V217">
        <v>27.4</v>
      </c>
      <c r="W217">
        <v>1.3</v>
      </c>
      <c r="X217" s="86">
        <f t="shared" si="58"/>
        <v>105</v>
      </c>
      <c r="Y217" t="s">
        <v>157</v>
      </c>
      <c r="Z217" t="s">
        <v>2217</v>
      </c>
      <c r="AA217">
        <f t="shared" si="59"/>
        <v>4</v>
      </c>
      <c r="AB217">
        <v>5</v>
      </c>
      <c r="AC217">
        <v>13</v>
      </c>
      <c r="AD217" t="s">
        <v>1688</v>
      </c>
      <c r="AE217" t="s">
        <v>1688</v>
      </c>
      <c r="AF217" t="s">
        <v>1688</v>
      </c>
      <c r="AG217" t="s">
        <v>1688</v>
      </c>
      <c r="AH217">
        <v>4</v>
      </c>
      <c r="AI217">
        <v>3</v>
      </c>
      <c r="AJ217" t="s">
        <v>1688</v>
      </c>
      <c r="AK217" t="s">
        <v>2239</v>
      </c>
      <c r="AL217" s="158">
        <f t="shared" si="60"/>
        <v>37.142857142857146</v>
      </c>
      <c r="AM217" s="136" t="str">
        <f t="shared" si="61"/>
        <v>ns</v>
      </c>
      <c r="AN217" s="136" t="str">
        <f t="shared" si="62"/>
        <v>ns</v>
      </c>
      <c r="AO217" s="136" t="str">
        <f t="shared" si="63"/>
        <v>ns</v>
      </c>
      <c r="AP217" s="136" t="str">
        <f t="shared" si="64"/>
        <v>ns</v>
      </c>
      <c r="AQ217" s="136">
        <f t="shared" si="65"/>
        <v>11.428571428571429</v>
      </c>
      <c r="AR217" s="136">
        <f t="shared" si="66"/>
        <v>8.5714285714285712</v>
      </c>
      <c r="AS217" s="136" t="str">
        <f t="shared" si="67"/>
        <v>ns</v>
      </c>
      <c r="AT217">
        <v>1.5</v>
      </c>
      <c r="AU217" s="86">
        <f t="shared" si="70"/>
        <v>1.3</v>
      </c>
      <c r="AV217" s="86" t="str">
        <f t="shared" si="74"/>
        <v/>
      </c>
      <c r="AY217" s="231">
        <f>IF(ISNUMBER(M217),M217,NA())</f>
        <v>47.2</v>
      </c>
      <c r="AZ217" s="231">
        <f t="shared" si="75"/>
        <v>8.8000000000000007</v>
      </c>
      <c r="BA217" s="231">
        <f t="shared" si="71"/>
        <v>42.8</v>
      </c>
      <c r="BB217" s="231">
        <f t="shared" si="72"/>
        <v>11.5</v>
      </c>
      <c r="BC217" s="231">
        <f t="shared" si="73"/>
        <v>1.3</v>
      </c>
      <c r="BD217" s="232">
        <f>IF(ISNUMBER(S217),S217,NA())</f>
        <v>68.571428571428569</v>
      </c>
      <c r="BE217" s="232">
        <f>IF(ISNUMBER(T217),T217,NA())</f>
        <v>47.142857142857146</v>
      </c>
      <c r="BP217">
        <v>210</v>
      </c>
    </row>
    <row r="218" spans="1:68">
      <c r="A218">
        <v>211</v>
      </c>
      <c r="B218">
        <v>19411368</v>
      </c>
      <c r="C218" s="215"/>
      <c r="D218" s="141" t="s">
        <v>303</v>
      </c>
      <c r="E218" s="146" t="s">
        <v>801</v>
      </c>
      <c r="F218" s="14">
        <v>2009</v>
      </c>
      <c r="G218" s="84" t="s">
        <v>278</v>
      </c>
      <c r="H218" s="2">
        <v>30</v>
      </c>
      <c r="I218">
        <v>31</v>
      </c>
      <c r="J218" t="s">
        <v>151</v>
      </c>
      <c r="K218">
        <v>4</v>
      </c>
      <c r="L218" t="s">
        <v>1119</v>
      </c>
      <c r="M218">
        <v>43.17</v>
      </c>
      <c r="N218">
        <v>12.98</v>
      </c>
      <c r="O218">
        <v>38.799999999999997</v>
      </c>
      <c r="P218">
        <v>14.48</v>
      </c>
      <c r="Q218">
        <v>15</v>
      </c>
      <c r="R218">
        <v>13</v>
      </c>
      <c r="S218" s="88">
        <f t="shared" si="68"/>
        <v>50</v>
      </c>
      <c r="T218" s="88">
        <f t="shared" si="69"/>
        <v>41.935483870967744</v>
      </c>
      <c r="U218">
        <v>29.39</v>
      </c>
      <c r="V218">
        <v>15.98</v>
      </c>
      <c r="W218">
        <v>1.33</v>
      </c>
      <c r="X218" s="86">
        <f t="shared" si="58"/>
        <v>61</v>
      </c>
      <c r="Y218" t="s">
        <v>2218</v>
      </c>
      <c r="Z218" t="s">
        <v>2200</v>
      </c>
      <c r="AA218">
        <f t="shared" si="59"/>
        <v>9</v>
      </c>
      <c r="AB218">
        <v>5</v>
      </c>
      <c r="AC218">
        <v>0</v>
      </c>
      <c r="AD218">
        <v>0</v>
      </c>
      <c r="AE218">
        <v>0</v>
      </c>
      <c r="AF218">
        <v>0</v>
      </c>
      <c r="AG218">
        <v>0</v>
      </c>
      <c r="AH218">
        <v>0</v>
      </c>
      <c r="AI218">
        <v>0</v>
      </c>
      <c r="AJ218">
        <v>30</v>
      </c>
      <c r="AL218" s="158">
        <f t="shared" si="60"/>
        <v>0</v>
      </c>
      <c r="AM218" s="136">
        <f t="shared" si="61"/>
        <v>0</v>
      </c>
      <c r="AN218" s="136">
        <f t="shared" si="62"/>
        <v>0</v>
      </c>
      <c r="AO218" s="136">
        <f t="shared" si="63"/>
        <v>0</v>
      </c>
      <c r="AP218" s="136">
        <f t="shared" si="64"/>
        <v>0</v>
      </c>
      <c r="AQ218" s="136">
        <f t="shared" si="65"/>
        <v>0</v>
      </c>
      <c r="AR218" s="136">
        <f t="shared" si="66"/>
        <v>0</v>
      </c>
      <c r="AS218" s="136">
        <f t="shared" si="67"/>
        <v>100</v>
      </c>
      <c r="AT218">
        <v>1.5</v>
      </c>
      <c r="AU218" s="86">
        <f t="shared" si="70"/>
        <v>1.33</v>
      </c>
      <c r="AV218" s="86" t="str">
        <f t="shared" si="74"/>
        <v/>
      </c>
      <c r="AY218" s="231">
        <f>IF(ISNUMBER(M218),M218,NA())</f>
        <v>43.17</v>
      </c>
      <c r="AZ218" s="231">
        <f t="shared" si="75"/>
        <v>12.98</v>
      </c>
      <c r="BA218" s="231">
        <f t="shared" si="71"/>
        <v>38.799999999999997</v>
      </c>
      <c r="BB218" s="231">
        <f t="shared" si="72"/>
        <v>14.48</v>
      </c>
      <c r="BC218" s="231">
        <f t="shared" si="73"/>
        <v>1.33</v>
      </c>
      <c r="BD218" s="232">
        <f>IF(ISNUMBER(S218),S218,NA())</f>
        <v>50</v>
      </c>
      <c r="BE218" s="232">
        <f>IF(ISNUMBER(T218),T218,NA())</f>
        <v>41.935483870967744</v>
      </c>
      <c r="BP218">
        <v>211</v>
      </c>
    </row>
    <row r="219" spans="1:68">
      <c r="A219" s="13">
        <v>212</v>
      </c>
      <c r="B219">
        <v>19010425</v>
      </c>
      <c r="C219" s="215"/>
      <c r="D219" s="143" t="s">
        <v>1215</v>
      </c>
      <c r="E219" s="11" t="s">
        <v>1632</v>
      </c>
      <c r="F219">
        <v>2009</v>
      </c>
      <c r="G219" s="1" t="s">
        <v>1243</v>
      </c>
      <c r="H219">
        <v>52</v>
      </c>
      <c r="I219">
        <v>31</v>
      </c>
      <c r="J219" t="s">
        <v>151</v>
      </c>
      <c r="K219">
        <v>4</v>
      </c>
      <c r="L219" t="s">
        <v>1119</v>
      </c>
      <c r="O219">
        <v>68.900000000000006</v>
      </c>
      <c r="P219">
        <v>5.9</v>
      </c>
      <c r="Q219">
        <v>34</v>
      </c>
      <c r="R219">
        <v>21</v>
      </c>
      <c r="S219" s="88">
        <f t="shared" si="68"/>
        <v>65.384615384615387</v>
      </c>
      <c r="T219" s="88">
        <f t="shared" si="69"/>
        <v>67.741935483870961</v>
      </c>
      <c r="U219" t="s">
        <v>1688</v>
      </c>
      <c r="V219" t="s">
        <v>1688</v>
      </c>
      <c r="W219">
        <v>1</v>
      </c>
      <c r="X219" s="86">
        <f t="shared" si="58"/>
        <v>83</v>
      </c>
      <c r="Y219" t="s">
        <v>645</v>
      </c>
      <c r="Z219" t="s">
        <v>1153</v>
      </c>
      <c r="AA219">
        <f t="shared" si="59"/>
        <v>3</v>
      </c>
      <c r="AB219">
        <v>5</v>
      </c>
      <c r="AC219">
        <v>47</v>
      </c>
      <c r="AD219" t="s">
        <v>1688</v>
      </c>
      <c r="AE219" t="s">
        <v>1688</v>
      </c>
      <c r="AF219" t="s">
        <v>1688</v>
      </c>
      <c r="AG219" t="s">
        <v>1688</v>
      </c>
      <c r="AH219" t="s">
        <v>1688</v>
      </c>
      <c r="AI219" t="s">
        <v>1688</v>
      </c>
      <c r="AJ219" t="s">
        <v>1688</v>
      </c>
      <c r="AL219" s="158">
        <f t="shared" si="60"/>
        <v>90.384615384615387</v>
      </c>
      <c r="AM219" s="136" t="str">
        <f t="shared" si="61"/>
        <v>ns</v>
      </c>
      <c r="AN219" s="136" t="str">
        <f t="shared" si="62"/>
        <v>ns</v>
      </c>
      <c r="AO219" s="136" t="str">
        <f t="shared" si="63"/>
        <v>ns</v>
      </c>
      <c r="AP219" s="136" t="str">
        <f t="shared" si="64"/>
        <v>ns</v>
      </c>
      <c r="AQ219" s="136" t="str">
        <f t="shared" si="65"/>
        <v>ns</v>
      </c>
      <c r="AR219" s="136" t="str">
        <f t="shared" si="66"/>
        <v>ns</v>
      </c>
      <c r="AS219" s="136" t="str">
        <f t="shared" si="67"/>
        <v>ns</v>
      </c>
      <c r="AT219">
        <v>3</v>
      </c>
      <c r="AU219" s="86">
        <f t="shared" si="70"/>
        <v>1</v>
      </c>
      <c r="AV219" s="86" t="str">
        <f t="shared" si="74"/>
        <v/>
      </c>
      <c r="AY219" s="231" t="e">
        <f>IF(ISNUMBER(M219),M219,NA())</f>
        <v>#N/A</v>
      </c>
      <c r="AZ219" s="231" t="e">
        <f t="shared" si="75"/>
        <v>#N/A</v>
      </c>
      <c r="BA219" s="231">
        <f t="shared" si="71"/>
        <v>68.900000000000006</v>
      </c>
      <c r="BB219" s="231">
        <f t="shared" si="72"/>
        <v>5.9</v>
      </c>
      <c r="BC219" s="231">
        <f t="shared" si="73"/>
        <v>1</v>
      </c>
      <c r="BD219" s="232">
        <f>IF(ISNUMBER(S219),S219,NA())</f>
        <v>65.384615384615387</v>
      </c>
      <c r="BE219" s="232">
        <f>IF(ISNUMBER(T219),T219,NA())</f>
        <v>67.741935483870961</v>
      </c>
      <c r="BP219">
        <v>212</v>
      </c>
    </row>
    <row r="220" spans="1:68">
      <c r="A220">
        <v>213</v>
      </c>
      <c r="B220" s="2">
        <v>19486330</v>
      </c>
      <c r="C220" s="215"/>
      <c r="D220" s="1" t="s">
        <v>976</v>
      </c>
      <c r="E220" s="2" t="s">
        <v>270</v>
      </c>
      <c r="F220" s="2">
        <v>2009</v>
      </c>
      <c r="G220" s="1" t="s">
        <v>220</v>
      </c>
      <c r="H220" s="13">
        <v>45</v>
      </c>
      <c r="I220">
        <v>30</v>
      </c>
      <c r="J220" t="s">
        <v>151</v>
      </c>
      <c r="K220">
        <v>4</v>
      </c>
      <c r="L220" t="s">
        <v>1119</v>
      </c>
      <c r="M220">
        <v>40.78</v>
      </c>
      <c r="N220">
        <v>11.13</v>
      </c>
      <c r="O220">
        <v>34.6</v>
      </c>
      <c r="P220">
        <v>11.85</v>
      </c>
      <c r="Q220">
        <v>23</v>
      </c>
      <c r="R220">
        <v>18</v>
      </c>
      <c r="S220" s="88">
        <f t="shared" si="68"/>
        <v>51.111111111111114</v>
      </c>
      <c r="T220" s="88">
        <f t="shared" si="69"/>
        <v>60</v>
      </c>
      <c r="U220">
        <v>26.16</v>
      </c>
      <c r="V220" t="s">
        <v>1688</v>
      </c>
      <c r="W220">
        <v>1.5</v>
      </c>
      <c r="X220" s="86">
        <f t="shared" si="58"/>
        <v>75</v>
      </c>
      <c r="Y220" t="s">
        <v>302</v>
      </c>
      <c r="Z220" t="s">
        <v>321</v>
      </c>
      <c r="AA220">
        <f t="shared" si="59"/>
        <v>7</v>
      </c>
      <c r="AB220">
        <v>5</v>
      </c>
      <c r="AC220">
        <v>37</v>
      </c>
      <c r="AD220">
        <v>11</v>
      </c>
      <c r="AE220">
        <v>2</v>
      </c>
      <c r="AF220">
        <v>0</v>
      </c>
      <c r="AG220">
        <v>20</v>
      </c>
      <c r="AH220" t="s">
        <v>1688</v>
      </c>
      <c r="AI220" t="s">
        <v>1688</v>
      </c>
      <c r="AJ220">
        <v>8</v>
      </c>
      <c r="AL220" s="158">
        <f t="shared" si="60"/>
        <v>82.222222222222214</v>
      </c>
      <c r="AM220" s="136">
        <f t="shared" si="61"/>
        <v>24.444444444444443</v>
      </c>
      <c r="AN220" s="136">
        <f t="shared" si="62"/>
        <v>4.4444444444444446</v>
      </c>
      <c r="AO220" s="136">
        <f t="shared" si="63"/>
        <v>0</v>
      </c>
      <c r="AP220" s="136">
        <f t="shared" si="64"/>
        <v>44.444444444444443</v>
      </c>
      <c r="AQ220" s="136" t="str">
        <f t="shared" si="65"/>
        <v>ns</v>
      </c>
      <c r="AR220" s="136" t="str">
        <f t="shared" si="66"/>
        <v>ns</v>
      </c>
      <c r="AS220" s="136">
        <f t="shared" si="67"/>
        <v>17.777777777777779</v>
      </c>
      <c r="AT220">
        <v>1.5</v>
      </c>
      <c r="AU220" s="86">
        <f t="shared" si="70"/>
        <v>1.5</v>
      </c>
      <c r="AV220" s="86" t="str">
        <f t="shared" si="74"/>
        <v/>
      </c>
      <c r="AY220" s="231">
        <f>IF(ISNUMBER(M220),M220,NA())</f>
        <v>40.78</v>
      </c>
      <c r="AZ220" s="231">
        <f t="shared" si="75"/>
        <v>11.13</v>
      </c>
      <c r="BA220" s="231">
        <f t="shared" si="71"/>
        <v>34.6</v>
      </c>
      <c r="BB220" s="231">
        <f t="shared" si="72"/>
        <v>11.85</v>
      </c>
      <c r="BC220" s="231">
        <f t="shared" si="73"/>
        <v>1.5</v>
      </c>
      <c r="BD220" s="232">
        <f>IF(ISNUMBER(S220),S220,NA())</f>
        <v>51.111111111111114</v>
      </c>
      <c r="BE220" s="232">
        <f>IF(ISNUMBER(T220),T220,NA())</f>
        <v>60</v>
      </c>
      <c r="BP220">
        <v>213</v>
      </c>
    </row>
    <row r="221" spans="1:68">
      <c r="A221" s="13">
        <v>214</v>
      </c>
      <c r="B221" s="2">
        <v>19505522</v>
      </c>
      <c r="C221" s="215"/>
      <c r="D221" s="1" t="s">
        <v>535</v>
      </c>
      <c r="E221" s="2" t="s">
        <v>217</v>
      </c>
      <c r="F221" s="2">
        <v>2009</v>
      </c>
      <c r="G221" s="1" t="s">
        <v>216</v>
      </c>
      <c r="H221" s="13">
        <v>56</v>
      </c>
      <c r="I221">
        <v>33</v>
      </c>
      <c r="J221" t="s">
        <v>151</v>
      </c>
      <c r="K221">
        <v>4</v>
      </c>
      <c r="L221" t="s">
        <v>1119</v>
      </c>
      <c r="O221">
        <v>34</v>
      </c>
      <c r="P221">
        <v>9.9</v>
      </c>
      <c r="Q221">
        <v>40</v>
      </c>
      <c r="R221">
        <v>21</v>
      </c>
      <c r="S221" s="88">
        <f t="shared" si="68"/>
        <v>71.428571428571431</v>
      </c>
      <c r="T221" s="88">
        <f t="shared" si="69"/>
        <v>63.636363636363633</v>
      </c>
      <c r="U221" t="s">
        <v>404</v>
      </c>
      <c r="V221" t="s">
        <v>1688</v>
      </c>
      <c r="W221">
        <v>1</v>
      </c>
      <c r="X221" s="86">
        <f t="shared" si="58"/>
        <v>89</v>
      </c>
      <c r="Y221" t="s">
        <v>300</v>
      </c>
      <c r="Z221" t="s">
        <v>342</v>
      </c>
      <c r="AA221">
        <f t="shared" si="59"/>
        <v>3</v>
      </c>
      <c r="AB221">
        <v>5</v>
      </c>
      <c r="AC221" t="s">
        <v>1688</v>
      </c>
      <c r="AD221" t="s">
        <v>1688</v>
      </c>
      <c r="AE221" t="s">
        <v>1688</v>
      </c>
      <c r="AF221" t="s">
        <v>1688</v>
      </c>
      <c r="AG221" t="s">
        <v>1688</v>
      </c>
      <c r="AH221" t="s">
        <v>1688</v>
      </c>
      <c r="AI221" t="s">
        <v>1688</v>
      </c>
      <c r="AJ221" t="s">
        <v>1688</v>
      </c>
      <c r="AK221" t="s">
        <v>1688</v>
      </c>
      <c r="AL221" s="158" t="str">
        <f t="shared" si="60"/>
        <v>ns</v>
      </c>
      <c r="AM221" s="136" t="str">
        <f t="shared" si="61"/>
        <v>ns</v>
      </c>
      <c r="AN221" s="136" t="str">
        <f t="shared" si="62"/>
        <v>ns</v>
      </c>
      <c r="AO221" s="136" t="str">
        <f t="shared" si="63"/>
        <v>ns</v>
      </c>
      <c r="AP221" s="136" t="str">
        <f t="shared" si="64"/>
        <v>ns</v>
      </c>
      <c r="AQ221" s="136" t="str">
        <f t="shared" si="65"/>
        <v>ns</v>
      </c>
      <c r="AR221" s="136" t="str">
        <f t="shared" si="66"/>
        <v>ns</v>
      </c>
      <c r="AS221" s="136" t="str">
        <f t="shared" si="67"/>
        <v>ns</v>
      </c>
      <c r="AT221">
        <v>1.5</v>
      </c>
      <c r="AU221" s="86">
        <f t="shared" si="70"/>
        <v>1</v>
      </c>
      <c r="AV221" s="86" t="str">
        <f t="shared" si="74"/>
        <v/>
      </c>
      <c r="AY221" s="231" t="e">
        <f>IF(ISNUMBER(M221),M221,NA())</f>
        <v>#N/A</v>
      </c>
      <c r="AZ221" s="231" t="e">
        <f t="shared" si="75"/>
        <v>#N/A</v>
      </c>
      <c r="BA221" s="231">
        <f t="shared" si="71"/>
        <v>34</v>
      </c>
      <c r="BB221" s="231">
        <f t="shared" si="72"/>
        <v>9.9</v>
      </c>
      <c r="BC221" s="231">
        <f t="shared" si="73"/>
        <v>1</v>
      </c>
      <c r="BD221" s="232">
        <f>IF(ISNUMBER(S221),S221,NA())</f>
        <v>71.428571428571431</v>
      </c>
      <c r="BE221" s="232">
        <f>IF(ISNUMBER(T221),T221,NA())</f>
        <v>63.636363636363633</v>
      </c>
      <c r="BP221">
        <v>214</v>
      </c>
    </row>
    <row r="222" spans="1:68">
      <c r="A222">
        <v>215</v>
      </c>
      <c r="B222" s="2">
        <v>19540599</v>
      </c>
      <c r="C222" s="215"/>
      <c r="D222" s="1" t="s">
        <v>533</v>
      </c>
      <c r="E222" s="2" t="s">
        <v>218</v>
      </c>
      <c r="F222" s="2">
        <v>2009</v>
      </c>
      <c r="G222" s="1" t="s">
        <v>276</v>
      </c>
      <c r="H222" s="13">
        <v>56</v>
      </c>
      <c r="I222">
        <v>33</v>
      </c>
      <c r="J222" t="s">
        <v>151</v>
      </c>
      <c r="K222">
        <v>4</v>
      </c>
      <c r="L222" t="s">
        <v>1119</v>
      </c>
      <c r="O222">
        <v>34</v>
      </c>
      <c r="P222">
        <v>9.9</v>
      </c>
      <c r="Q222">
        <v>40</v>
      </c>
      <c r="R222">
        <v>21</v>
      </c>
      <c r="S222" s="88">
        <f t="shared" si="68"/>
        <v>71.428571428571431</v>
      </c>
      <c r="T222" s="88">
        <f t="shared" si="69"/>
        <v>63.636363636363633</v>
      </c>
      <c r="U222" t="s">
        <v>404</v>
      </c>
      <c r="V222" t="s">
        <v>1688</v>
      </c>
      <c r="W222">
        <v>1</v>
      </c>
      <c r="X222" s="86">
        <f t="shared" si="58"/>
        <v>89</v>
      </c>
      <c r="Y222" t="s">
        <v>304</v>
      </c>
      <c r="Z222" t="s">
        <v>339</v>
      </c>
      <c r="AA222">
        <f t="shared" si="59"/>
        <v>5</v>
      </c>
      <c r="AB222">
        <v>5</v>
      </c>
      <c r="AC222" t="s">
        <v>1688</v>
      </c>
      <c r="AD222" t="s">
        <v>1688</v>
      </c>
      <c r="AE222" t="s">
        <v>1688</v>
      </c>
      <c r="AF222" t="s">
        <v>1688</v>
      </c>
      <c r="AG222" t="s">
        <v>1688</v>
      </c>
      <c r="AH222" t="s">
        <v>1688</v>
      </c>
      <c r="AI222" t="s">
        <v>1688</v>
      </c>
      <c r="AJ222" t="s">
        <v>1688</v>
      </c>
      <c r="AK222" t="s">
        <v>1688</v>
      </c>
      <c r="AL222" s="158" t="str">
        <f t="shared" si="60"/>
        <v>ns</v>
      </c>
      <c r="AM222" s="136" t="str">
        <f t="shared" si="61"/>
        <v>ns</v>
      </c>
      <c r="AN222" s="136" t="str">
        <f t="shared" si="62"/>
        <v>ns</v>
      </c>
      <c r="AO222" s="136" t="str">
        <f t="shared" si="63"/>
        <v>ns</v>
      </c>
      <c r="AP222" s="136" t="str">
        <f t="shared" si="64"/>
        <v>ns</v>
      </c>
      <c r="AQ222" s="136" t="str">
        <f t="shared" si="65"/>
        <v>ns</v>
      </c>
      <c r="AR222" s="136" t="str">
        <f t="shared" si="66"/>
        <v>ns</v>
      </c>
      <c r="AS222" s="136" t="str">
        <f t="shared" si="67"/>
        <v>ns</v>
      </c>
      <c r="AT222">
        <v>1.5</v>
      </c>
      <c r="AU222" s="86">
        <f t="shared" si="70"/>
        <v>1</v>
      </c>
      <c r="AV222" s="86" t="str">
        <f t="shared" si="74"/>
        <v/>
      </c>
      <c r="AY222" s="231" t="e">
        <f>IF(ISNUMBER(M222),M222,NA())</f>
        <v>#N/A</v>
      </c>
      <c r="AZ222" s="231" t="e">
        <f t="shared" si="75"/>
        <v>#N/A</v>
      </c>
      <c r="BA222" s="231">
        <f t="shared" si="71"/>
        <v>34</v>
      </c>
      <c r="BB222" s="231">
        <f t="shared" si="72"/>
        <v>9.9</v>
      </c>
      <c r="BC222" s="231">
        <f t="shared" si="73"/>
        <v>1</v>
      </c>
      <c r="BD222" s="232">
        <f>IF(ISNUMBER(S222),S222,NA())</f>
        <v>71.428571428571431</v>
      </c>
      <c r="BE222" s="232">
        <f>IF(ISNUMBER(T222),T222,NA())</f>
        <v>63.636363636363633</v>
      </c>
      <c r="BP222">
        <v>215</v>
      </c>
    </row>
    <row r="223" spans="1:68">
      <c r="A223" s="13">
        <v>216</v>
      </c>
      <c r="B223" s="2">
        <v>19274051</v>
      </c>
      <c r="C223" s="215"/>
      <c r="D223" s="1" t="s">
        <v>1163</v>
      </c>
      <c r="E223" s="2" t="s">
        <v>1711</v>
      </c>
      <c r="F223" s="2">
        <v>2009</v>
      </c>
      <c r="G223" s="1" t="s">
        <v>223</v>
      </c>
      <c r="H223">
        <v>137</v>
      </c>
      <c r="I223">
        <v>94</v>
      </c>
      <c r="J223" t="s">
        <v>151</v>
      </c>
      <c r="K223">
        <v>4</v>
      </c>
      <c r="L223" t="s">
        <v>1119</v>
      </c>
      <c r="M223">
        <v>69.3</v>
      </c>
      <c r="N223">
        <v>7</v>
      </c>
      <c r="O223">
        <v>69.900000000000006</v>
      </c>
      <c r="P223">
        <v>5.5</v>
      </c>
      <c r="Q223">
        <v>83</v>
      </c>
      <c r="R223">
        <v>72</v>
      </c>
      <c r="S223" s="88">
        <f t="shared" si="68"/>
        <v>60.583941605839414</v>
      </c>
      <c r="T223" s="88">
        <f t="shared" si="69"/>
        <v>76.59574468085107</v>
      </c>
      <c r="U223">
        <v>43.4</v>
      </c>
      <c r="V223" t="s">
        <v>1688</v>
      </c>
      <c r="W223">
        <v>3</v>
      </c>
      <c r="X223" s="86">
        <f t="shared" si="58"/>
        <v>231</v>
      </c>
      <c r="Y223" t="s">
        <v>2312</v>
      </c>
      <c r="Z223" t="s">
        <v>978</v>
      </c>
      <c r="AA223">
        <f t="shared" si="59"/>
        <v>1</v>
      </c>
      <c r="AB223">
        <v>5</v>
      </c>
      <c r="AC223" t="s">
        <v>1688</v>
      </c>
      <c r="AD223" t="s">
        <v>1688</v>
      </c>
      <c r="AE223" t="s">
        <v>1688</v>
      </c>
      <c r="AF223" t="s">
        <v>1688</v>
      </c>
      <c r="AG223" t="s">
        <v>1688</v>
      </c>
      <c r="AH223" t="s">
        <v>1688</v>
      </c>
      <c r="AI223" t="s">
        <v>1688</v>
      </c>
      <c r="AJ223" t="s">
        <v>1688</v>
      </c>
      <c r="AK223" t="s">
        <v>1688</v>
      </c>
      <c r="AL223" s="158" t="str">
        <f t="shared" si="60"/>
        <v>ns</v>
      </c>
      <c r="AM223" s="136" t="str">
        <f t="shared" si="61"/>
        <v>ns</v>
      </c>
      <c r="AN223" s="136" t="str">
        <f t="shared" si="62"/>
        <v>ns</v>
      </c>
      <c r="AO223" s="136" t="str">
        <f t="shared" si="63"/>
        <v>ns</v>
      </c>
      <c r="AP223" s="136" t="str">
        <f t="shared" si="64"/>
        <v>ns</v>
      </c>
      <c r="AQ223" s="136" t="str">
        <f t="shared" si="65"/>
        <v>ns</v>
      </c>
      <c r="AR223" s="136" t="str">
        <f t="shared" si="66"/>
        <v>ns</v>
      </c>
      <c r="AS223" s="136" t="str">
        <f t="shared" si="67"/>
        <v>ns</v>
      </c>
      <c r="AT223">
        <v>1.5</v>
      </c>
      <c r="AU223" s="86">
        <f t="shared" si="70"/>
        <v>3</v>
      </c>
      <c r="AV223" s="86" t="str">
        <f t="shared" si="74"/>
        <v/>
      </c>
      <c r="AY223" s="231">
        <f>IF(ISNUMBER(M223),M223,NA())</f>
        <v>69.3</v>
      </c>
      <c r="AZ223" s="231">
        <f t="shared" si="75"/>
        <v>7</v>
      </c>
      <c r="BA223" s="231">
        <f t="shared" si="71"/>
        <v>69.900000000000006</v>
      </c>
      <c r="BB223" s="231">
        <f t="shared" si="72"/>
        <v>5.5</v>
      </c>
      <c r="BC223" s="231">
        <f t="shared" si="73"/>
        <v>3</v>
      </c>
      <c r="BD223" s="232">
        <f>IF(ISNUMBER(S223),S223,NA())</f>
        <v>60.583941605839414</v>
      </c>
      <c r="BE223" s="232">
        <f>IF(ISNUMBER(T223),T223,NA())</f>
        <v>76.59574468085107</v>
      </c>
      <c r="BP223">
        <v>216</v>
      </c>
    </row>
    <row r="224" spans="1:68">
      <c r="A224">
        <v>217</v>
      </c>
      <c r="B224">
        <v>19028381</v>
      </c>
      <c r="C224" s="215"/>
      <c r="D224" s="141" t="s">
        <v>297</v>
      </c>
      <c r="E224" t="s">
        <v>520</v>
      </c>
      <c r="F224" s="14">
        <v>2009</v>
      </c>
      <c r="G224" s="84" t="s">
        <v>379</v>
      </c>
      <c r="H224" s="2">
        <v>40</v>
      </c>
      <c r="I224">
        <v>20</v>
      </c>
      <c r="J224" t="s">
        <v>151</v>
      </c>
      <c r="K224">
        <v>4</v>
      </c>
      <c r="L224" t="s">
        <v>1119</v>
      </c>
      <c r="O224">
        <v>37.299999999999997</v>
      </c>
      <c r="P224">
        <v>12.7</v>
      </c>
      <c r="Q224">
        <v>27</v>
      </c>
      <c r="R224">
        <v>13</v>
      </c>
      <c r="S224" s="88">
        <f t="shared" si="68"/>
        <v>67.5</v>
      </c>
      <c r="T224" s="88">
        <f t="shared" si="69"/>
        <v>65</v>
      </c>
      <c r="U224" t="s">
        <v>1783</v>
      </c>
      <c r="V224" t="s">
        <v>1783</v>
      </c>
      <c r="W224">
        <v>1</v>
      </c>
      <c r="X224" s="86">
        <f t="shared" si="58"/>
        <v>60</v>
      </c>
      <c r="Y224" t="s">
        <v>1726</v>
      </c>
      <c r="Z224" t="s">
        <v>1727</v>
      </c>
      <c r="AA224">
        <f t="shared" si="59"/>
        <v>7</v>
      </c>
      <c r="AB224">
        <v>5</v>
      </c>
      <c r="AC224">
        <v>0</v>
      </c>
      <c r="AD224">
        <v>0</v>
      </c>
      <c r="AE224">
        <v>0</v>
      </c>
      <c r="AF224">
        <v>0</v>
      </c>
      <c r="AG224">
        <v>0</v>
      </c>
      <c r="AH224" t="s">
        <v>1688</v>
      </c>
      <c r="AI224" t="s">
        <v>1688</v>
      </c>
      <c r="AJ224" t="s">
        <v>1688</v>
      </c>
      <c r="AK224" t="s">
        <v>1688</v>
      </c>
      <c r="AL224" s="158">
        <f t="shared" si="60"/>
        <v>0</v>
      </c>
      <c r="AM224" s="136">
        <f t="shared" si="61"/>
        <v>0</v>
      </c>
      <c r="AN224" s="136">
        <f t="shared" si="62"/>
        <v>0</v>
      </c>
      <c r="AO224" s="136">
        <f t="shared" si="63"/>
        <v>0</v>
      </c>
      <c r="AP224" s="136">
        <f t="shared" si="64"/>
        <v>0</v>
      </c>
      <c r="AQ224" s="136" t="str">
        <f t="shared" si="65"/>
        <v>ns</v>
      </c>
      <c r="AR224" s="136" t="str">
        <f t="shared" si="66"/>
        <v>ns</v>
      </c>
      <c r="AS224" s="136" t="str">
        <f t="shared" si="67"/>
        <v>ns</v>
      </c>
      <c r="AT224">
        <v>1.5</v>
      </c>
      <c r="AU224" s="86">
        <f t="shared" si="70"/>
        <v>1</v>
      </c>
      <c r="AV224" s="86" t="str">
        <f t="shared" si="74"/>
        <v/>
      </c>
      <c r="AY224" s="231" t="e">
        <f>IF(ISNUMBER(M224),M224,NA())</f>
        <v>#N/A</v>
      </c>
      <c r="AZ224" s="231" t="e">
        <f t="shared" si="75"/>
        <v>#N/A</v>
      </c>
      <c r="BA224" s="231">
        <f t="shared" si="71"/>
        <v>37.299999999999997</v>
      </c>
      <c r="BB224" s="231">
        <f t="shared" si="72"/>
        <v>12.7</v>
      </c>
      <c r="BC224" s="231">
        <f t="shared" si="73"/>
        <v>1</v>
      </c>
      <c r="BD224" s="232">
        <f>IF(ISNUMBER(S224),S224,NA())</f>
        <v>67.5</v>
      </c>
      <c r="BE224" s="232">
        <f>IF(ISNUMBER(T224),T224,NA())</f>
        <v>65</v>
      </c>
      <c r="BP224">
        <v>217</v>
      </c>
    </row>
    <row r="225" spans="1:68">
      <c r="A225" s="13">
        <v>218</v>
      </c>
      <c r="B225" s="2">
        <v>19019454</v>
      </c>
      <c r="C225" s="215"/>
      <c r="D225" s="1" t="s">
        <v>1981</v>
      </c>
      <c r="E225" s="2" t="s">
        <v>2295</v>
      </c>
      <c r="F225" s="147">
        <v>2009</v>
      </c>
      <c r="G225" s="1" t="s">
        <v>2270</v>
      </c>
      <c r="H225" s="13">
        <v>54</v>
      </c>
      <c r="I225">
        <v>32</v>
      </c>
      <c r="J225" t="s">
        <v>151</v>
      </c>
      <c r="K225">
        <v>4</v>
      </c>
      <c r="L225" t="s">
        <v>1119</v>
      </c>
      <c r="O225">
        <v>34.409999999999997</v>
      </c>
      <c r="P225">
        <v>9.82</v>
      </c>
      <c r="Q225">
        <v>42</v>
      </c>
      <c r="R225">
        <v>21</v>
      </c>
      <c r="S225" s="88">
        <f t="shared" si="68"/>
        <v>77.777777777777771</v>
      </c>
      <c r="T225" s="88">
        <f t="shared" si="69"/>
        <v>65.625</v>
      </c>
      <c r="U225" t="s">
        <v>404</v>
      </c>
      <c r="V225" t="s">
        <v>1688</v>
      </c>
      <c r="W225">
        <v>1</v>
      </c>
      <c r="X225" s="86">
        <f t="shared" si="58"/>
        <v>86</v>
      </c>
      <c r="Y225" t="s">
        <v>184</v>
      </c>
      <c r="Z225" t="s">
        <v>185</v>
      </c>
      <c r="AA225">
        <f t="shared" si="59"/>
        <v>2</v>
      </c>
      <c r="AB225">
        <v>5</v>
      </c>
      <c r="AC225" t="s">
        <v>1688</v>
      </c>
      <c r="AD225">
        <v>19</v>
      </c>
      <c r="AE225">
        <v>3</v>
      </c>
      <c r="AF225">
        <v>2</v>
      </c>
      <c r="AG225">
        <v>9</v>
      </c>
      <c r="AH225">
        <v>2</v>
      </c>
      <c r="AJ225">
        <v>9</v>
      </c>
      <c r="AL225" s="158" t="str">
        <f t="shared" si="60"/>
        <v>ns</v>
      </c>
      <c r="AM225" s="136">
        <f t="shared" si="61"/>
        <v>35.185185185185183</v>
      </c>
      <c r="AN225" s="136">
        <f t="shared" si="62"/>
        <v>5.5555555555555554</v>
      </c>
      <c r="AO225" s="136">
        <f t="shared" si="63"/>
        <v>3.7037037037037033</v>
      </c>
      <c r="AP225" s="136">
        <f t="shared" si="64"/>
        <v>16.666666666666664</v>
      </c>
      <c r="AQ225" s="136">
        <f t="shared" si="65"/>
        <v>3.7037037037037033</v>
      </c>
      <c r="AR225" s="136" t="str">
        <f t="shared" si="66"/>
        <v/>
      </c>
      <c r="AS225" s="136">
        <f t="shared" si="67"/>
        <v>16.666666666666664</v>
      </c>
      <c r="AT225">
        <v>1.5</v>
      </c>
      <c r="AU225" s="86">
        <f t="shared" si="70"/>
        <v>1</v>
      </c>
      <c r="AV225" s="86" t="str">
        <f t="shared" si="74"/>
        <v/>
      </c>
      <c r="AY225" s="231" t="e">
        <f>IF(ISNUMBER(M225),M225,NA())</f>
        <v>#N/A</v>
      </c>
      <c r="AZ225" s="231" t="e">
        <f t="shared" si="75"/>
        <v>#N/A</v>
      </c>
      <c r="BA225" s="231">
        <f t="shared" si="71"/>
        <v>34.409999999999997</v>
      </c>
      <c r="BB225" s="231">
        <f t="shared" si="72"/>
        <v>9.82</v>
      </c>
      <c r="BC225" s="231">
        <f t="shared" si="73"/>
        <v>1</v>
      </c>
      <c r="BD225" s="232">
        <f>IF(ISNUMBER(S225),S225,NA())</f>
        <v>77.777777777777771</v>
      </c>
      <c r="BE225" s="232">
        <f>IF(ISNUMBER(T225),T225,NA())</f>
        <v>65.625</v>
      </c>
      <c r="BP225">
        <v>218</v>
      </c>
    </row>
    <row r="226" spans="1:68">
      <c r="A226">
        <v>219</v>
      </c>
      <c r="B226">
        <v>20018381</v>
      </c>
      <c r="C226" s="215"/>
      <c r="D226" s="1" t="s">
        <v>2160</v>
      </c>
      <c r="E226" s="22" t="str">
        <f>LEFT(D226,FIND(",",D226,1)-1)</f>
        <v>Weber K</v>
      </c>
      <c r="F226">
        <v>2009</v>
      </c>
      <c r="G226" s="1" t="s">
        <v>176</v>
      </c>
      <c r="H226">
        <v>38</v>
      </c>
      <c r="I226">
        <v>62</v>
      </c>
      <c r="J226" s="13" t="s">
        <v>151</v>
      </c>
      <c r="K226" s="13">
        <v>4</v>
      </c>
      <c r="L226" t="s">
        <v>1119</v>
      </c>
      <c r="M226">
        <v>66.11</v>
      </c>
      <c r="N226">
        <v>6.22</v>
      </c>
      <c r="O226">
        <v>71.099999999999994</v>
      </c>
      <c r="P226">
        <v>7.26</v>
      </c>
      <c r="Q226">
        <v>31</v>
      </c>
      <c r="R226">
        <v>48</v>
      </c>
      <c r="S226" s="88">
        <f t="shared" si="68"/>
        <v>81.578947368421055</v>
      </c>
      <c r="T226" s="88">
        <f t="shared" si="69"/>
        <v>77.41935483870968</v>
      </c>
      <c r="U226">
        <v>37.76</v>
      </c>
      <c r="V226" t="s">
        <v>1688</v>
      </c>
      <c r="W226">
        <v>0.9</v>
      </c>
      <c r="X226" s="86">
        <f t="shared" si="58"/>
        <v>100</v>
      </c>
      <c r="Y226" t="s">
        <v>133</v>
      </c>
      <c r="Z226" t="s">
        <v>195</v>
      </c>
      <c r="AA226">
        <f t="shared" si="59"/>
        <v>14</v>
      </c>
      <c r="AB226">
        <v>5</v>
      </c>
      <c r="AC226">
        <v>18</v>
      </c>
      <c r="AD226">
        <v>18</v>
      </c>
      <c r="AE226" t="s">
        <v>1688</v>
      </c>
      <c r="AF226" t="s">
        <v>1688</v>
      </c>
      <c r="AG226" t="s">
        <v>1688</v>
      </c>
      <c r="AH226" t="s">
        <v>1688</v>
      </c>
      <c r="AI226" t="s">
        <v>1688</v>
      </c>
      <c r="AJ226" t="s">
        <v>1688</v>
      </c>
      <c r="AK226" t="s">
        <v>257</v>
      </c>
      <c r="AL226" s="158">
        <f t="shared" si="60"/>
        <v>47.368421052631575</v>
      </c>
      <c r="AM226" s="136">
        <f t="shared" si="61"/>
        <v>47.368421052631575</v>
      </c>
      <c r="AN226" s="136" t="str">
        <f t="shared" si="62"/>
        <v>ns</v>
      </c>
      <c r="AO226" s="136" t="str">
        <f t="shared" si="63"/>
        <v>ns</v>
      </c>
      <c r="AP226" s="136" t="str">
        <f t="shared" si="64"/>
        <v>ns</v>
      </c>
      <c r="AQ226" s="136" t="str">
        <f t="shared" si="65"/>
        <v>ns</v>
      </c>
      <c r="AR226" s="136" t="str">
        <f t="shared" si="66"/>
        <v>ns</v>
      </c>
      <c r="AS226" s="136" t="str">
        <f t="shared" si="67"/>
        <v>ns</v>
      </c>
      <c r="AT226">
        <v>3</v>
      </c>
      <c r="AU226" s="86">
        <f t="shared" si="70"/>
        <v>0.9</v>
      </c>
      <c r="AY226" s="231">
        <f>IF(ISNUMBER(M226),M226,NA())</f>
        <v>66.11</v>
      </c>
      <c r="AZ226" s="231">
        <f t="shared" si="75"/>
        <v>6.22</v>
      </c>
      <c r="BA226" s="231">
        <f t="shared" si="71"/>
        <v>71.099999999999994</v>
      </c>
      <c r="BB226" s="231">
        <f t="shared" si="72"/>
        <v>7.26</v>
      </c>
      <c r="BC226" s="231">
        <f t="shared" si="73"/>
        <v>0.9</v>
      </c>
      <c r="BD226" s="232">
        <f>IF(ISNUMBER(S226),S226,NA())</f>
        <v>81.578947368421055</v>
      </c>
      <c r="BE226" s="232">
        <f>IF(ISNUMBER(T226),T226,NA())</f>
        <v>77.41935483870968</v>
      </c>
      <c r="BP226">
        <v>219</v>
      </c>
    </row>
    <row r="227" spans="1:68">
      <c r="A227" s="13">
        <v>220</v>
      </c>
      <c r="B227" s="2">
        <v>19464154</v>
      </c>
      <c r="C227" s="215"/>
      <c r="D227" s="1" t="s">
        <v>518</v>
      </c>
      <c r="E227" s="2" t="s">
        <v>1114</v>
      </c>
      <c r="F227" s="147">
        <v>2009</v>
      </c>
      <c r="G227" s="1" t="s">
        <v>2294</v>
      </c>
      <c r="H227" s="13">
        <v>40</v>
      </c>
      <c r="I227">
        <v>40</v>
      </c>
      <c r="J227" t="s">
        <v>151</v>
      </c>
      <c r="K227">
        <v>4</v>
      </c>
      <c r="L227" t="s">
        <v>1119</v>
      </c>
      <c r="M227">
        <v>41.4</v>
      </c>
      <c r="N227">
        <v>12.5</v>
      </c>
      <c r="O227">
        <v>37.200000000000003</v>
      </c>
      <c r="P227">
        <v>10.1</v>
      </c>
      <c r="Q227">
        <v>27</v>
      </c>
      <c r="R227">
        <v>25</v>
      </c>
      <c r="S227" s="88">
        <f t="shared" si="68"/>
        <v>67.5</v>
      </c>
      <c r="T227" s="88">
        <f t="shared" si="69"/>
        <v>62.5</v>
      </c>
      <c r="U227">
        <v>27.1</v>
      </c>
      <c r="V227">
        <v>11.1</v>
      </c>
      <c r="W227">
        <v>1.2</v>
      </c>
      <c r="X227" s="86">
        <f t="shared" si="58"/>
        <v>80</v>
      </c>
      <c r="Y227" t="s">
        <v>1729</v>
      </c>
      <c r="Z227" t="s">
        <v>642</v>
      </c>
      <c r="AA227">
        <f t="shared" si="59"/>
        <v>3</v>
      </c>
      <c r="AB227">
        <v>5</v>
      </c>
      <c r="AC227" t="s">
        <v>1688</v>
      </c>
      <c r="AD227" t="s">
        <v>1688</v>
      </c>
      <c r="AE227" t="s">
        <v>1688</v>
      </c>
      <c r="AF227" t="s">
        <v>1688</v>
      </c>
      <c r="AG227" t="s">
        <v>1688</v>
      </c>
      <c r="AH227" t="s">
        <v>1688</v>
      </c>
      <c r="AI227" t="s">
        <v>1688</v>
      </c>
      <c r="AJ227" t="s">
        <v>1688</v>
      </c>
      <c r="AK227" t="s">
        <v>1688</v>
      </c>
      <c r="AL227" s="158" t="str">
        <f t="shared" si="60"/>
        <v>ns</v>
      </c>
      <c r="AM227" s="136" t="str">
        <f t="shared" si="61"/>
        <v>ns</v>
      </c>
      <c r="AN227" s="136" t="str">
        <f t="shared" si="62"/>
        <v>ns</v>
      </c>
      <c r="AO227" s="136" t="str">
        <f t="shared" si="63"/>
        <v>ns</v>
      </c>
      <c r="AP227" s="136" t="str">
        <f t="shared" si="64"/>
        <v>ns</v>
      </c>
      <c r="AQ227" s="136" t="str">
        <f t="shared" si="65"/>
        <v>ns</v>
      </c>
      <c r="AR227" s="136" t="str">
        <f t="shared" si="66"/>
        <v>ns</v>
      </c>
      <c r="AS227" s="136" t="str">
        <f t="shared" si="67"/>
        <v>ns</v>
      </c>
      <c r="AT227">
        <v>1</v>
      </c>
      <c r="AU227" s="86">
        <f t="shared" si="70"/>
        <v>1.2</v>
      </c>
      <c r="AV227" s="86" t="str">
        <f>IF(L227="CT",W227,"")</f>
        <v/>
      </c>
      <c r="AY227" s="231">
        <f>IF(ISNUMBER(M227),M227,NA())</f>
        <v>41.4</v>
      </c>
      <c r="AZ227" s="231">
        <f t="shared" si="75"/>
        <v>12.5</v>
      </c>
      <c r="BA227" s="231">
        <f t="shared" si="71"/>
        <v>37.200000000000003</v>
      </c>
      <c r="BB227" s="231">
        <f t="shared" si="72"/>
        <v>10.1</v>
      </c>
      <c r="BC227" s="231">
        <f t="shared" si="73"/>
        <v>1.2</v>
      </c>
      <c r="BD227" s="232">
        <f>IF(ISNUMBER(S227),S227,NA())</f>
        <v>67.5</v>
      </c>
      <c r="BE227" s="232">
        <f>IF(ISNUMBER(T227),T227,NA())</f>
        <v>62.5</v>
      </c>
      <c r="BP227">
        <v>220</v>
      </c>
    </row>
    <row r="228" spans="1:68">
      <c r="A228">
        <v>221</v>
      </c>
      <c r="B228">
        <v>19878138</v>
      </c>
      <c r="C228" s="215"/>
      <c r="D228" s="1" t="s">
        <v>2254</v>
      </c>
      <c r="E228" s="22" t="str">
        <f>LEFT(D228,FIND(",",D228,1)-1)</f>
        <v>Frodl T</v>
      </c>
      <c r="F228">
        <v>2010</v>
      </c>
      <c r="G228" s="1" t="s">
        <v>177</v>
      </c>
      <c r="H228">
        <v>20</v>
      </c>
      <c r="I228">
        <v>20</v>
      </c>
      <c r="J228" t="s">
        <v>151</v>
      </c>
      <c r="K228">
        <v>4</v>
      </c>
      <c r="L228" t="s">
        <v>1119</v>
      </c>
      <c r="M228">
        <v>35.6</v>
      </c>
      <c r="N228">
        <v>9.4</v>
      </c>
      <c r="O228">
        <v>34.700000000000003</v>
      </c>
      <c r="P228">
        <v>10.7</v>
      </c>
      <c r="Q228">
        <v>5</v>
      </c>
      <c r="R228">
        <v>5</v>
      </c>
      <c r="S228" s="88">
        <f t="shared" si="68"/>
        <v>25</v>
      </c>
      <c r="T228" s="88">
        <f t="shared" si="69"/>
        <v>25</v>
      </c>
      <c r="U228" t="s">
        <v>1688</v>
      </c>
      <c r="V228">
        <v>21.8</v>
      </c>
      <c r="W228">
        <v>1.5</v>
      </c>
      <c r="X228" s="86">
        <f t="shared" si="58"/>
        <v>40</v>
      </c>
      <c r="Y228" t="s">
        <v>2428</v>
      </c>
      <c r="Z228" s="4" t="s">
        <v>1151</v>
      </c>
      <c r="AA228">
        <f t="shared" si="59"/>
        <v>4</v>
      </c>
      <c r="AB228">
        <v>5</v>
      </c>
      <c r="AC228">
        <v>16</v>
      </c>
      <c r="AD228">
        <v>8</v>
      </c>
      <c r="AE228">
        <v>3</v>
      </c>
      <c r="AF228">
        <v>0</v>
      </c>
      <c r="AG228">
        <v>5</v>
      </c>
      <c r="AH228" t="s">
        <v>1688</v>
      </c>
      <c r="AI228" t="s">
        <v>1688</v>
      </c>
      <c r="AJ228" t="s">
        <v>1688</v>
      </c>
      <c r="AK228" t="s">
        <v>1688</v>
      </c>
      <c r="AL228" s="158">
        <f t="shared" si="60"/>
        <v>80</v>
      </c>
      <c r="AM228" s="136">
        <f t="shared" si="61"/>
        <v>40</v>
      </c>
      <c r="AN228" s="136">
        <f t="shared" si="62"/>
        <v>15</v>
      </c>
      <c r="AO228" s="136">
        <f t="shared" si="63"/>
        <v>0</v>
      </c>
      <c r="AP228" s="136">
        <f t="shared" si="64"/>
        <v>25</v>
      </c>
      <c r="AQ228" s="136" t="str">
        <f t="shared" si="65"/>
        <v>ns</v>
      </c>
      <c r="AR228" s="136" t="str">
        <f t="shared" si="66"/>
        <v>ns</v>
      </c>
      <c r="AS228" s="136" t="str">
        <f t="shared" si="67"/>
        <v>ns</v>
      </c>
      <c r="AT228">
        <v>1.5</v>
      </c>
      <c r="AU228" s="86">
        <f t="shared" si="70"/>
        <v>1.5</v>
      </c>
      <c r="AY228" s="231">
        <f>IF(ISNUMBER(M228),M228,NA())</f>
        <v>35.6</v>
      </c>
      <c r="AZ228" s="231">
        <f t="shared" si="75"/>
        <v>9.4</v>
      </c>
      <c r="BA228" s="231">
        <f t="shared" si="71"/>
        <v>34.700000000000003</v>
      </c>
      <c r="BB228" s="231">
        <f t="shared" si="72"/>
        <v>10.7</v>
      </c>
      <c r="BC228" s="231">
        <f t="shared" si="73"/>
        <v>1.5</v>
      </c>
      <c r="BD228" s="232">
        <f>IF(ISNUMBER(S228),S228,NA())</f>
        <v>25</v>
      </c>
      <c r="BE228" s="232">
        <f>IF(ISNUMBER(T228),T228,NA())</f>
        <v>25</v>
      </c>
      <c r="BP228">
        <v>221</v>
      </c>
    </row>
    <row r="229" spans="1:68">
      <c r="A229" s="13">
        <v>222</v>
      </c>
      <c r="B229">
        <v>20118461</v>
      </c>
      <c r="C229" s="215"/>
      <c r="D229" s="1" t="s">
        <v>2220</v>
      </c>
      <c r="E229" s="22" t="str">
        <f>LEFT(D229,FIND(",",D229,1)-1)</f>
        <v>Köhler S</v>
      </c>
      <c r="F229">
        <v>2010</v>
      </c>
      <c r="G229" s="1" t="s">
        <v>178</v>
      </c>
      <c r="H229">
        <v>35</v>
      </c>
      <c r="I229">
        <v>29</v>
      </c>
      <c r="J229" t="s">
        <v>151</v>
      </c>
      <c r="K229">
        <v>4</v>
      </c>
      <c r="L229" t="s">
        <v>1119</v>
      </c>
      <c r="M229">
        <v>74.099999999999994</v>
      </c>
      <c r="N229">
        <v>6.5</v>
      </c>
      <c r="O229">
        <v>72.8</v>
      </c>
      <c r="P229">
        <v>6.9</v>
      </c>
      <c r="Q229">
        <v>28</v>
      </c>
      <c r="R229">
        <v>22</v>
      </c>
      <c r="S229" s="88">
        <f t="shared" si="68"/>
        <v>80</v>
      </c>
      <c r="T229" s="88">
        <f t="shared" si="69"/>
        <v>75.862068965517238</v>
      </c>
      <c r="U229" t="s">
        <v>1688</v>
      </c>
      <c r="V229" t="s">
        <v>1688</v>
      </c>
      <c r="W229">
        <v>1</v>
      </c>
      <c r="X229" s="86">
        <f t="shared" si="58"/>
        <v>64</v>
      </c>
      <c r="Y229" s="2" t="s">
        <v>2</v>
      </c>
      <c r="Z229" t="s">
        <v>2429</v>
      </c>
      <c r="AA229">
        <f t="shared" si="59"/>
        <v>4</v>
      </c>
      <c r="AB229">
        <v>5</v>
      </c>
      <c r="AC229">
        <v>28</v>
      </c>
      <c r="AD229" t="s">
        <v>1688</v>
      </c>
      <c r="AE229" t="s">
        <v>1688</v>
      </c>
      <c r="AF229" t="s">
        <v>1688</v>
      </c>
      <c r="AG229" t="s">
        <v>1688</v>
      </c>
      <c r="AH229" t="s">
        <v>1688</v>
      </c>
      <c r="AI229">
        <v>0</v>
      </c>
      <c r="AJ229" t="s">
        <v>1688</v>
      </c>
      <c r="AK229" t="s">
        <v>1688</v>
      </c>
      <c r="AL229" s="158">
        <f t="shared" si="60"/>
        <v>80</v>
      </c>
      <c r="AM229" s="136" t="str">
        <f t="shared" si="61"/>
        <v>ns</v>
      </c>
      <c r="AN229" s="136" t="str">
        <f t="shared" si="62"/>
        <v>ns</v>
      </c>
      <c r="AO229" s="136" t="str">
        <f t="shared" si="63"/>
        <v>ns</v>
      </c>
      <c r="AP229" s="136" t="str">
        <f t="shared" si="64"/>
        <v>ns</v>
      </c>
      <c r="AQ229" s="136" t="str">
        <f t="shared" si="65"/>
        <v>ns</v>
      </c>
      <c r="AR229" s="136">
        <f t="shared" si="66"/>
        <v>0</v>
      </c>
      <c r="AS229" s="136" t="str">
        <f t="shared" si="67"/>
        <v>ns</v>
      </c>
      <c r="AT229">
        <v>1</v>
      </c>
      <c r="AU229" s="86">
        <f t="shared" si="70"/>
        <v>1</v>
      </c>
      <c r="AY229" s="231">
        <f>IF(ISNUMBER(M229),M229,NA())</f>
        <v>74.099999999999994</v>
      </c>
      <c r="AZ229" s="231">
        <f t="shared" si="75"/>
        <v>6.5</v>
      </c>
      <c r="BA229" s="231">
        <f t="shared" si="71"/>
        <v>72.8</v>
      </c>
      <c r="BB229" s="231">
        <f t="shared" si="72"/>
        <v>6.9</v>
      </c>
      <c r="BC229" s="231">
        <f t="shared" si="73"/>
        <v>1</v>
      </c>
      <c r="BD229" s="232">
        <f>IF(ISNUMBER(S229),S229,NA())</f>
        <v>80</v>
      </c>
      <c r="BE229" s="232">
        <f>IF(ISNUMBER(T229),T229,NA())</f>
        <v>75.862068965517238</v>
      </c>
      <c r="BP229">
        <v>222</v>
      </c>
    </row>
    <row r="230" spans="1:68">
      <c r="A230">
        <v>223</v>
      </c>
      <c r="B230">
        <v>20015483</v>
      </c>
      <c r="C230" s="215"/>
      <c r="D230" s="1" t="s">
        <v>2161</v>
      </c>
      <c r="E230" s="22" t="str">
        <f>LEFT(D230,FIND(",",D230,1)-1)</f>
        <v>Rao U</v>
      </c>
      <c r="F230">
        <v>2010</v>
      </c>
      <c r="G230" s="1" t="s">
        <v>179</v>
      </c>
      <c r="H230">
        <v>29</v>
      </c>
      <c r="I230">
        <v>32</v>
      </c>
      <c r="J230" t="s">
        <v>151</v>
      </c>
      <c r="K230">
        <v>4</v>
      </c>
      <c r="L230" t="s">
        <v>1119</v>
      </c>
      <c r="M230">
        <v>14.6</v>
      </c>
      <c r="N230">
        <v>1.9</v>
      </c>
      <c r="O230">
        <v>15.1</v>
      </c>
      <c r="P230">
        <v>1.6</v>
      </c>
      <c r="Q230">
        <v>19</v>
      </c>
      <c r="R230">
        <v>13</v>
      </c>
      <c r="S230" s="88">
        <f t="shared" si="68"/>
        <v>65.517241379310349</v>
      </c>
      <c r="T230" s="88">
        <f t="shared" si="69"/>
        <v>40.625</v>
      </c>
      <c r="U230" t="s">
        <v>1688</v>
      </c>
      <c r="V230">
        <v>20</v>
      </c>
      <c r="W230">
        <v>1.2</v>
      </c>
      <c r="X230" s="86">
        <f t="shared" si="58"/>
        <v>61</v>
      </c>
      <c r="Y230" t="s">
        <v>2430</v>
      </c>
      <c r="Z230" s="4" t="s">
        <v>577</v>
      </c>
      <c r="AA230">
        <f t="shared" si="59"/>
        <v>2</v>
      </c>
      <c r="AB230">
        <v>5</v>
      </c>
      <c r="AC230" t="s">
        <v>1688</v>
      </c>
      <c r="AD230" t="s">
        <v>1688</v>
      </c>
      <c r="AE230" t="s">
        <v>1688</v>
      </c>
      <c r="AF230" t="s">
        <v>1688</v>
      </c>
      <c r="AG230" t="s">
        <v>1688</v>
      </c>
      <c r="AH230" t="s">
        <v>1688</v>
      </c>
      <c r="AI230" t="s">
        <v>1688</v>
      </c>
      <c r="AJ230" t="s">
        <v>1688</v>
      </c>
      <c r="AK230" t="s">
        <v>1688</v>
      </c>
      <c r="AL230" s="158" t="str">
        <f t="shared" si="60"/>
        <v>ns</v>
      </c>
      <c r="AM230" s="136" t="str">
        <f t="shared" si="61"/>
        <v>ns</v>
      </c>
      <c r="AN230" s="136" t="str">
        <f t="shared" si="62"/>
        <v>ns</v>
      </c>
      <c r="AO230" s="136" t="str">
        <f t="shared" si="63"/>
        <v>ns</v>
      </c>
      <c r="AP230" s="136" t="str">
        <f t="shared" si="64"/>
        <v>ns</v>
      </c>
      <c r="AQ230" s="136" t="str">
        <f t="shared" si="65"/>
        <v>ns</v>
      </c>
      <c r="AR230" s="136" t="str">
        <f t="shared" si="66"/>
        <v>ns</v>
      </c>
      <c r="AS230" s="136" t="str">
        <f t="shared" si="67"/>
        <v>ns</v>
      </c>
      <c r="AT230">
        <v>1.5</v>
      </c>
      <c r="AU230" s="86">
        <f t="shared" si="70"/>
        <v>1.2</v>
      </c>
      <c r="AY230" s="231">
        <f>IF(ISNUMBER(M230),M230,NA())</f>
        <v>14.6</v>
      </c>
      <c r="AZ230" s="231">
        <f t="shared" si="75"/>
        <v>1.9</v>
      </c>
      <c r="BA230" s="231">
        <f t="shared" si="71"/>
        <v>15.1</v>
      </c>
      <c r="BB230" s="231">
        <f t="shared" si="72"/>
        <v>1.6</v>
      </c>
      <c r="BC230" s="231">
        <f t="shared" si="73"/>
        <v>1.2</v>
      </c>
      <c r="BD230" s="232">
        <f>IF(ISNUMBER(S230),S230,NA())</f>
        <v>65.517241379310349</v>
      </c>
      <c r="BE230" s="232">
        <f>IF(ISNUMBER(T230),T230,NA())</f>
        <v>40.625</v>
      </c>
      <c r="BP230">
        <v>223</v>
      </c>
    </row>
    <row r="231" spans="1:68">
      <c r="A231" s="13">
        <v>224</v>
      </c>
      <c r="B231">
        <v>19835925</v>
      </c>
      <c r="C231" s="215"/>
      <c r="D231" s="1" t="s">
        <v>2350</v>
      </c>
      <c r="E231" s="2" t="s">
        <v>217</v>
      </c>
      <c r="F231">
        <v>2010</v>
      </c>
      <c r="G231" s="1" t="s">
        <v>180</v>
      </c>
      <c r="H231">
        <v>56</v>
      </c>
      <c r="I231">
        <v>33</v>
      </c>
      <c r="J231" t="s">
        <v>151</v>
      </c>
      <c r="K231">
        <v>4</v>
      </c>
      <c r="L231" t="s">
        <v>1119</v>
      </c>
      <c r="O231">
        <v>34</v>
      </c>
      <c r="P231">
        <v>9.9</v>
      </c>
      <c r="Q231">
        <v>40</v>
      </c>
      <c r="R231">
        <v>21</v>
      </c>
      <c r="S231" s="88">
        <f t="shared" si="68"/>
        <v>71.428571428571431</v>
      </c>
      <c r="T231" s="88">
        <f t="shared" si="69"/>
        <v>63.636363636363633</v>
      </c>
      <c r="U231" t="s">
        <v>160</v>
      </c>
      <c r="V231" t="s">
        <v>1688</v>
      </c>
      <c r="W231">
        <v>1</v>
      </c>
      <c r="X231" s="86">
        <f t="shared" si="58"/>
        <v>89</v>
      </c>
      <c r="Y231" t="s">
        <v>158</v>
      </c>
      <c r="Z231" t="s">
        <v>159</v>
      </c>
      <c r="AA231">
        <f t="shared" si="59"/>
        <v>15</v>
      </c>
      <c r="AB231">
        <v>5</v>
      </c>
      <c r="AC231" t="s">
        <v>1688</v>
      </c>
      <c r="AD231" t="s">
        <v>1688</v>
      </c>
      <c r="AE231" t="s">
        <v>1688</v>
      </c>
      <c r="AF231" t="s">
        <v>1688</v>
      </c>
      <c r="AG231" t="s">
        <v>1688</v>
      </c>
      <c r="AH231" t="s">
        <v>1688</v>
      </c>
      <c r="AI231" t="s">
        <v>1688</v>
      </c>
      <c r="AJ231" t="s">
        <v>1688</v>
      </c>
      <c r="AK231" t="s">
        <v>1688</v>
      </c>
      <c r="AL231" s="158" t="str">
        <f t="shared" si="60"/>
        <v>ns</v>
      </c>
      <c r="AM231" s="136" t="str">
        <f t="shared" si="61"/>
        <v>ns</v>
      </c>
      <c r="AN231" s="136" t="str">
        <f t="shared" si="62"/>
        <v>ns</v>
      </c>
      <c r="AO231" s="136" t="str">
        <f t="shared" si="63"/>
        <v>ns</v>
      </c>
      <c r="AP231" s="136" t="str">
        <f t="shared" si="64"/>
        <v>ns</v>
      </c>
      <c r="AQ231" s="136" t="str">
        <f t="shared" si="65"/>
        <v>ns</v>
      </c>
      <c r="AR231" s="136" t="str">
        <f t="shared" si="66"/>
        <v>ns</v>
      </c>
      <c r="AS231" s="136" t="str">
        <f t="shared" si="67"/>
        <v>ns</v>
      </c>
      <c r="AT231">
        <v>1.5</v>
      </c>
      <c r="AU231" s="86">
        <f t="shared" si="70"/>
        <v>1</v>
      </c>
      <c r="AY231" s="231" t="e">
        <f>IF(ISNUMBER(M231),M231,NA())</f>
        <v>#N/A</v>
      </c>
      <c r="AZ231" s="231" t="e">
        <f t="shared" si="75"/>
        <v>#N/A</v>
      </c>
      <c r="BA231" s="231">
        <f t="shared" si="71"/>
        <v>34</v>
      </c>
      <c r="BB231" s="231">
        <f t="shared" si="72"/>
        <v>9.9</v>
      </c>
      <c r="BC231" s="231">
        <f t="shared" si="73"/>
        <v>1</v>
      </c>
      <c r="BD231" s="232">
        <f>IF(ISNUMBER(S231),S231,NA())</f>
        <v>71.428571428571431</v>
      </c>
      <c r="BE231" s="232">
        <f>IF(ISNUMBER(T231),T231,NA())</f>
        <v>63.636363636363633</v>
      </c>
      <c r="BP231">
        <v>224</v>
      </c>
    </row>
    <row r="232" spans="1:68">
      <c r="A232">
        <v>225</v>
      </c>
      <c r="B232">
        <v>20022640</v>
      </c>
      <c r="C232" s="215"/>
      <c r="D232" s="1" t="s">
        <v>2223</v>
      </c>
      <c r="E232" s="2" t="s">
        <v>218</v>
      </c>
      <c r="F232">
        <v>2010</v>
      </c>
      <c r="G232" s="1" t="s">
        <v>2349</v>
      </c>
      <c r="H232">
        <v>15</v>
      </c>
      <c r="I232">
        <v>52</v>
      </c>
      <c r="J232" s="13" t="s">
        <v>151</v>
      </c>
      <c r="K232" s="13">
        <v>4</v>
      </c>
      <c r="L232" t="s">
        <v>1119</v>
      </c>
      <c r="O232">
        <v>35.799999999999997</v>
      </c>
      <c r="P232">
        <v>13.6</v>
      </c>
      <c r="R232">
        <v>24</v>
      </c>
      <c r="S232" s="88" t="str">
        <f t="shared" si="68"/>
        <v/>
      </c>
      <c r="T232" s="88">
        <f t="shared" si="69"/>
        <v>46.153846153846153</v>
      </c>
      <c r="U232" t="s">
        <v>1688</v>
      </c>
      <c r="V232" t="s">
        <v>1688</v>
      </c>
      <c r="W232">
        <v>1.5</v>
      </c>
      <c r="X232" s="86">
        <f t="shared" si="58"/>
        <v>67</v>
      </c>
      <c r="Y232" t="s">
        <v>2376</v>
      </c>
      <c r="Z232" s="4" t="s">
        <v>2377</v>
      </c>
      <c r="AA232">
        <f t="shared" si="59"/>
        <v>2</v>
      </c>
      <c r="AB232">
        <v>5</v>
      </c>
      <c r="AC232">
        <v>0</v>
      </c>
      <c r="AD232">
        <v>0</v>
      </c>
      <c r="AE232">
        <v>0</v>
      </c>
      <c r="AF232">
        <v>0</v>
      </c>
      <c r="AG232">
        <v>0</v>
      </c>
      <c r="AH232">
        <v>0</v>
      </c>
      <c r="AI232">
        <v>0</v>
      </c>
      <c r="AJ232">
        <v>15</v>
      </c>
      <c r="AK232">
        <v>0</v>
      </c>
      <c r="AL232" s="158">
        <f t="shared" si="60"/>
        <v>0</v>
      </c>
      <c r="AM232" s="136">
        <f t="shared" si="61"/>
        <v>0</v>
      </c>
      <c r="AN232" s="136">
        <f t="shared" si="62"/>
        <v>0</v>
      </c>
      <c r="AO232" s="136">
        <f t="shared" si="63"/>
        <v>0</v>
      </c>
      <c r="AP232" s="136">
        <f t="shared" si="64"/>
        <v>0</v>
      </c>
      <c r="AQ232" s="136">
        <f t="shared" si="65"/>
        <v>0</v>
      </c>
      <c r="AR232" s="136">
        <f t="shared" si="66"/>
        <v>0</v>
      </c>
      <c r="AS232" s="136">
        <f t="shared" si="67"/>
        <v>100</v>
      </c>
      <c r="AT232">
        <v>1.5</v>
      </c>
      <c r="AU232" s="86">
        <f t="shared" si="70"/>
        <v>1.5</v>
      </c>
      <c r="AY232" s="231" t="e">
        <f>IF(ISNUMBER(M232),M232,NA())</f>
        <v>#N/A</v>
      </c>
      <c r="AZ232" s="231" t="e">
        <f t="shared" si="75"/>
        <v>#N/A</v>
      </c>
      <c r="BA232" s="231">
        <f t="shared" si="71"/>
        <v>35.799999999999997</v>
      </c>
      <c r="BB232" s="231">
        <f t="shared" si="72"/>
        <v>13.6</v>
      </c>
      <c r="BC232" s="231">
        <f t="shared" si="73"/>
        <v>1.5</v>
      </c>
      <c r="BD232" s="232" t="e">
        <f>IF(ISNUMBER(S232),S232,NA())</f>
        <v>#N/A</v>
      </c>
      <c r="BE232" s="232">
        <f>IF(ISNUMBER(T232),T232,NA())</f>
        <v>46.153846153846153</v>
      </c>
      <c r="BP232">
        <v>225</v>
      </c>
    </row>
    <row r="233" spans="1:68">
      <c r="C233" s="1"/>
      <c r="D233" s="1"/>
      <c r="J233" s="10"/>
      <c r="K233" s="10"/>
      <c r="S233" s="88"/>
      <c r="T233" s="88"/>
      <c r="U233" s="85"/>
      <c r="V233" s="85"/>
      <c r="W233" s="85"/>
      <c r="X233" s="86"/>
    </row>
    <row r="234" spans="1:68">
      <c r="E234" s="11" t="s">
        <v>1285</v>
      </c>
      <c r="H234" s="23">
        <f>AVERAGE(H8:H232)</f>
        <v>42.36888888888889</v>
      </c>
      <c r="I234" s="23">
        <f>AVERAGE(I8:I232)</f>
        <v>39.315555555555555</v>
      </c>
      <c r="J234" s="23"/>
      <c r="M234" s="23">
        <f t="shared" ref="M234:W234" si="76">AVERAGE(M8:M232)</f>
        <v>52.219340659340652</v>
      </c>
      <c r="N234" s="23">
        <f t="shared" si="76"/>
        <v>9.1064261363636341</v>
      </c>
      <c r="O234" s="23">
        <f t="shared" si="76"/>
        <v>50.566975609756078</v>
      </c>
      <c r="P234" s="23">
        <f t="shared" si="76"/>
        <v>8.6904030612244902</v>
      </c>
      <c r="Q234" s="23">
        <f t="shared" si="76"/>
        <v>29.183574879227052</v>
      </c>
      <c r="R234" s="23">
        <f t="shared" si="76"/>
        <v>23.289855072463769</v>
      </c>
      <c r="S234" s="23">
        <f t="shared" si="76"/>
        <v>65.487917745798512</v>
      </c>
      <c r="T234" s="23">
        <f t="shared" si="76"/>
        <v>60.958179646188562</v>
      </c>
      <c r="U234" s="23">
        <f t="shared" si="76"/>
        <v>37.662659574468073</v>
      </c>
      <c r="V234" s="23">
        <f t="shared" si="76"/>
        <v>20.337444444444444</v>
      </c>
      <c r="W234" s="23">
        <f t="shared" si="76"/>
        <v>3.0971809523809513</v>
      </c>
      <c r="X234" s="86"/>
      <c r="AL234" s="23">
        <f t="shared" ref="AL234:AV234" si="77">AVERAGE(AL8:AL232)</f>
        <v>32.880526861950734</v>
      </c>
      <c r="AM234" s="23">
        <f t="shared" si="77"/>
        <v>10.857671769201625</v>
      </c>
      <c r="AN234" s="23">
        <f t="shared" si="77"/>
        <v>6.9389675049770947</v>
      </c>
      <c r="AO234" s="23">
        <f t="shared" si="77"/>
        <v>0.22473399081854961</v>
      </c>
      <c r="AP234" s="23">
        <f t="shared" si="77"/>
        <v>8.8196397790478596</v>
      </c>
      <c r="AQ234" s="23">
        <f t="shared" si="77"/>
        <v>3.2226227878401779</v>
      </c>
      <c r="AR234" s="23">
        <f t="shared" si="77"/>
        <v>4.2227225737622733</v>
      </c>
      <c r="AS234" s="23">
        <f t="shared" si="77"/>
        <v>68.496641520942362</v>
      </c>
      <c r="AT234" s="23">
        <f t="shared" si="77"/>
        <v>1.5141176470588236</v>
      </c>
      <c r="AU234" s="23">
        <f>AVERAGE(AU8:AU232)</f>
        <v>2.7708944723618072</v>
      </c>
      <c r="AV234" s="23">
        <f t="shared" si="77"/>
        <v>9</v>
      </c>
      <c r="AX234" s="11" t="s">
        <v>1285</v>
      </c>
    </row>
    <row r="235" spans="1:68">
      <c r="E235" s="11" t="s">
        <v>1286</v>
      </c>
      <c r="H235" s="23">
        <f>STDEV(H8:H232)</f>
        <v>39.094116189459001</v>
      </c>
      <c r="I235" s="23">
        <f>STDEV(I8:I232)</f>
        <v>29.163072567671971</v>
      </c>
      <c r="J235" s="23"/>
      <c r="M235" s="23">
        <f t="shared" ref="M235:W235" si="78">STDEV(M8:M232)</f>
        <v>17.883176192250957</v>
      </c>
      <c r="N235" s="23">
        <f t="shared" si="78"/>
        <v>3.8900139353696628</v>
      </c>
      <c r="O235" s="23">
        <f t="shared" si="78"/>
        <v>18.299796838698501</v>
      </c>
      <c r="P235" s="23">
        <f t="shared" si="78"/>
        <v>3.809912516095129</v>
      </c>
      <c r="Q235" s="23">
        <f t="shared" si="78"/>
        <v>26.7230514065776</v>
      </c>
      <c r="R235" s="23">
        <f t="shared" si="78"/>
        <v>18.771571241430429</v>
      </c>
      <c r="S235" s="23">
        <f t="shared" si="78"/>
        <v>17.524748177372309</v>
      </c>
      <c r="T235" s="23">
        <f t="shared" si="78"/>
        <v>16.837406932122295</v>
      </c>
      <c r="U235" s="23">
        <f t="shared" si="78"/>
        <v>15.271678135216867</v>
      </c>
      <c r="V235" s="23">
        <f t="shared" si="78"/>
        <v>5.8311504754778589</v>
      </c>
      <c r="W235" s="23">
        <f t="shared" si="78"/>
        <v>2.4312318388382703</v>
      </c>
      <c r="X235" s="86"/>
      <c r="AC235" s="23"/>
      <c r="AD235" s="23"/>
      <c r="AE235" s="23"/>
      <c r="AF235" s="23"/>
      <c r="AG235" s="23"/>
      <c r="AH235" s="23"/>
      <c r="AI235" s="23"/>
      <c r="AJ235" s="23"/>
      <c r="AK235" s="23"/>
      <c r="AL235" s="23">
        <f t="shared" ref="AL235:AV235" si="79">STDEV(AL8:AL232)</f>
        <v>39.440522736135577</v>
      </c>
      <c r="AM235" s="23">
        <f t="shared" si="79"/>
        <v>15.776649332918394</v>
      </c>
      <c r="AN235" s="23">
        <f t="shared" si="79"/>
        <v>12.18053802801346</v>
      </c>
      <c r="AO235" s="23">
        <f t="shared" si="79"/>
        <v>0.88418027540917843</v>
      </c>
      <c r="AP235" s="23">
        <f t="shared" si="79"/>
        <v>15.91073315121362</v>
      </c>
      <c r="AQ235" s="23">
        <f t="shared" si="79"/>
        <v>8.741474324599368</v>
      </c>
      <c r="AR235" s="23">
        <f t="shared" si="79"/>
        <v>12.349556534931699</v>
      </c>
      <c r="AS235" s="23">
        <f t="shared" si="79"/>
        <v>40.90884239188042</v>
      </c>
      <c r="AT235" s="23">
        <f t="shared" si="79"/>
        <v>0.41620938492643411</v>
      </c>
      <c r="AU235" s="23">
        <f>STDEV(AU8:AU232)</f>
        <v>2.0361797448786674</v>
      </c>
      <c r="AV235" s="23">
        <f t="shared" si="79"/>
        <v>1</v>
      </c>
      <c r="AX235" s="11" t="s">
        <v>1286</v>
      </c>
    </row>
    <row r="236" spans="1:68">
      <c r="E236" s="11" t="s">
        <v>885</v>
      </c>
      <c r="H236">
        <f>SUM(H8:H232)</f>
        <v>9533</v>
      </c>
      <c r="I236">
        <f>SUM(I8:I232)</f>
        <v>8846</v>
      </c>
      <c r="Q236">
        <f>SUM(Q8:Q232)</f>
        <v>6041</v>
      </c>
      <c r="R236">
        <f>SUM(R8:R232)</f>
        <v>4821</v>
      </c>
      <c r="U236" s="134"/>
      <c r="V236" s="134"/>
      <c r="W236" s="134"/>
      <c r="X236" s="86"/>
      <c r="AC236">
        <f t="shared" ref="AC236:AJ236" si="80">SUM(AC8:AC232)</f>
        <v>930</v>
      </c>
      <c r="AD236">
        <f t="shared" si="80"/>
        <v>369</v>
      </c>
      <c r="AE236">
        <f t="shared" si="80"/>
        <v>215</v>
      </c>
      <c r="AF236">
        <f t="shared" si="80"/>
        <v>6</v>
      </c>
      <c r="AG236">
        <f t="shared" si="80"/>
        <v>289</v>
      </c>
      <c r="AH236">
        <f t="shared" si="80"/>
        <v>69</v>
      </c>
      <c r="AI236">
        <f t="shared" si="80"/>
        <v>86</v>
      </c>
      <c r="AJ236">
        <f t="shared" si="80"/>
        <v>1406</v>
      </c>
      <c r="AX236" s="11" t="s">
        <v>885</v>
      </c>
    </row>
    <row r="237" spans="1:68">
      <c r="E237" s="11" t="s">
        <v>636</v>
      </c>
      <c r="H237">
        <f>COUNT(H8:H232)</f>
        <v>225</v>
      </c>
      <c r="I237">
        <f>COUNT(I8:I232)</f>
        <v>225</v>
      </c>
      <c r="M237">
        <f t="shared" ref="M237:W237" si="81">COUNT(M8:M232)</f>
        <v>182</v>
      </c>
      <c r="N237">
        <f t="shared" si="81"/>
        <v>176</v>
      </c>
      <c r="O237">
        <f t="shared" si="81"/>
        <v>205</v>
      </c>
      <c r="P237">
        <f t="shared" si="81"/>
        <v>196</v>
      </c>
      <c r="Q237">
        <f t="shared" si="81"/>
        <v>207</v>
      </c>
      <c r="R237">
        <f t="shared" si="81"/>
        <v>207</v>
      </c>
      <c r="S237">
        <f t="shared" si="81"/>
        <v>207</v>
      </c>
      <c r="T237">
        <f t="shared" si="81"/>
        <v>207</v>
      </c>
      <c r="U237">
        <f t="shared" si="81"/>
        <v>94</v>
      </c>
      <c r="V237">
        <f t="shared" si="81"/>
        <v>90</v>
      </c>
      <c r="W237">
        <f t="shared" si="81"/>
        <v>210</v>
      </c>
      <c r="X237" s="86"/>
      <c r="AC237">
        <f t="shared" ref="AC237:AJ237" si="82">COUNT(AC8:AC232)</f>
        <v>87</v>
      </c>
      <c r="AD237">
        <f t="shared" si="82"/>
        <v>75</v>
      </c>
      <c r="AE237">
        <f t="shared" si="82"/>
        <v>74</v>
      </c>
      <c r="AF237">
        <f t="shared" si="82"/>
        <v>64</v>
      </c>
      <c r="AG237">
        <f t="shared" si="82"/>
        <v>69</v>
      </c>
      <c r="AH237">
        <f t="shared" si="82"/>
        <v>56</v>
      </c>
      <c r="AI237">
        <f t="shared" si="82"/>
        <v>61</v>
      </c>
      <c r="AJ237">
        <f t="shared" si="82"/>
        <v>69</v>
      </c>
      <c r="AX237" s="11" t="s">
        <v>636</v>
      </c>
    </row>
    <row r="238" spans="1:68" ht="30.6">
      <c r="A238" s="173" t="s">
        <v>2213</v>
      </c>
      <c r="B238" s="58" t="s">
        <v>1162</v>
      </c>
      <c r="C238" s="58" t="s">
        <v>618</v>
      </c>
      <c r="D238" s="58" t="s">
        <v>953</v>
      </c>
      <c r="E238" s="58" t="s">
        <v>617</v>
      </c>
      <c r="F238" s="58" t="s">
        <v>740</v>
      </c>
      <c r="G238" s="58" t="s">
        <v>1033</v>
      </c>
      <c r="H238" s="173" t="s">
        <v>58</v>
      </c>
      <c r="I238" s="58" t="s">
        <v>528</v>
      </c>
      <c r="J238" s="58" t="s">
        <v>1301</v>
      </c>
      <c r="K238" s="173" t="s">
        <v>2365</v>
      </c>
      <c r="L238" s="58" t="s">
        <v>580</v>
      </c>
      <c r="M238" s="58" t="s">
        <v>1327</v>
      </c>
      <c r="N238" s="58" t="s">
        <v>475</v>
      </c>
      <c r="O238" s="58" t="s">
        <v>1395</v>
      </c>
      <c r="P238" s="58" t="s">
        <v>1079</v>
      </c>
      <c r="Q238" s="58" t="s">
        <v>476</v>
      </c>
      <c r="R238" s="58" t="s">
        <v>477</v>
      </c>
      <c r="S238" s="58" t="s">
        <v>955</v>
      </c>
      <c r="T238" s="58" t="s">
        <v>956</v>
      </c>
      <c r="U238" s="58" t="s">
        <v>1719</v>
      </c>
      <c r="V238" s="173" t="s">
        <v>59</v>
      </c>
      <c r="W238" s="173" t="s">
        <v>60</v>
      </c>
      <c r="X238" s="58" t="s">
        <v>1259</v>
      </c>
      <c r="Y238" s="58"/>
      <c r="Z238" s="58" t="s">
        <v>1429</v>
      </c>
      <c r="AA238" s="173" t="s">
        <v>56</v>
      </c>
      <c r="AB238" s="58" t="s">
        <v>107</v>
      </c>
      <c r="AC238" s="57" t="s">
        <v>2229</v>
      </c>
      <c r="AD238" s="57" t="s">
        <v>2236</v>
      </c>
      <c r="AE238" s="57" t="s">
        <v>2230</v>
      </c>
      <c r="AF238" s="57" t="s">
        <v>2235</v>
      </c>
      <c r="AG238" s="57" t="s">
        <v>2238</v>
      </c>
      <c r="AH238" s="57" t="s">
        <v>2232</v>
      </c>
      <c r="AI238" s="57" t="s">
        <v>2233</v>
      </c>
      <c r="AJ238" s="57" t="s">
        <v>2234</v>
      </c>
      <c r="AK238" s="157" t="s">
        <v>2231</v>
      </c>
      <c r="AL238" s="156" t="s">
        <v>2206</v>
      </c>
      <c r="AM238" s="156" t="s">
        <v>2207</v>
      </c>
      <c r="AN238" s="156" t="s">
        <v>2208</v>
      </c>
      <c r="AO238" s="156" t="s">
        <v>2209</v>
      </c>
      <c r="AP238" s="156" t="s">
        <v>2114</v>
      </c>
      <c r="AQ238" s="156" t="s">
        <v>2115</v>
      </c>
      <c r="AR238" s="156" t="s">
        <v>2116</v>
      </c>
      <c r="AS238" s="156" t="s">
        <v>2117</v>
      </c>
      <c r="AT238" s="57" t="s">
        <v>2211</v>
      </c>
      <c r="AU238" s="57" t="s">
        <v>2212</v>
      </c>
      <c r="AV238" s="57" t="s">
        <v>2214</v>
      </c>
    </row>
    <row r="239" spans="1:68">
      <c r="X239" s="86"/>
    </row>
    <row r="240" spans="1:68">
      <c r="X240" s="86"/>
    </row>
    <row r="241" spans="1:48">
      <c r="X241" s="86"/>
    </row>
    <row r="242" spans="1:48">
      <c r="C242" s="1"/>
      <c r="D242" s="1"/>
      <c r="E242" s="22"/>
      <c r="G242" s="1"/>
      <c r="J242" s="10"/>
      <c r="K242" s="10"/>
      <c r="S242" s="88"/>
      <c r="T242" s="88"/>
      <c r="X242" s="86"/>
      <c r="AL242" s="162"/>
      <c r="AM242" s="136"/>
      <c r="AN242" s="136"/>
      <c r="AO242" s="136"/>
      <c r="AP242" s="136"/>
      <c r="AQ242" s="136"/>
      <c r="AR242" s="136"/>
      <c r="AS242" s="136"/>
    </row>
    <row r="243" spans="1:48">
      <c r="X243" s="86"/>
    </row>
    <row r="244" spans="1:48" ht="15.6">
      <c r="B244" s="129" t="s">
        <v>1838</v>
      </c>
      <c r="F244" s="6"/>
      <c r="G244" s="1"/>
      <c r="H244" s="160"/>
      <c r="I244" s="160"/>
      <c r="J244" s="161"/>
      <c r="K244" s="161"/>
      <c r="L244" s="160"/>
      <c r="S244" s="88"/>
      <c r="T244" s="88"/>
      <c r="X244" s="86"/>
    </row>
    <row r="245" spans="1:48">
      <c r="A245" s="4"/>
      <c r="B245" t="s">
        <v>1839</v>
      </c>
      <c r="S245" s="88"/>
      <c r="T245" s="88"/>
      <c r="X245" s="86"/>
    </row>
    <row r="246" spans="1:48">
      <c r="A246" s="13"/>
      <c r="B246" s="4" t="s">
        <v>1840</v>
      </c>
      <c r="C246" t="s">
        <v>1841</v>
      </c>
      <c r="G246" s="84"/>
      <c r="H246" s="16"/>
      <c r="I246" s="16"/>
      <c r="J246" s="85"/>
      <c r="K246" s="85"/>
      <c r="L246" s="16"/>
      <c r="M246" s="16"/>
      <c r="N246" s="16"/>
      <c r="O246" s="16"/>
      <c r="P246" s="16"/>
      <c r="Q246" s="16"/>
      <c r="R246" s="16"/>
      <c r="S246" s="88"/>
      <c r="T246" s="88"/>
      <c r="W246" s="86"/>
      <c r="X246" s="86"/>
      <c r="AN246" s="136"/>
      <c r="AO246" s="136"/>
      <c r="AP246" s="136"/>
      <c r="AQ246" s="136"/>
      <c r="AR246" s="136"/>
      <c r="AS246" s="136"/>
      <c r="AT246" s="86"/>
      <c r="AU246" s="86"/>
      <c r="AV246" s="86"/>
    </row>
    <row r="247" spans="1:48">
      <c r="A247" s="13"/>
      <c r="B247" s="4" t="s">
        <v>340</v>
      </c>
      <c r="C247" t="s">
        <v>341</v>
      </c>
      <c r="G247" s="1"/>
      <c r="S247" s="88"/>
      <c r="T247" s="88"/>
      <c r="X247" s="86"/>
      <c r="AN247" s="136"/>
      <c r="AO247" s="136"/>
      <c r="AP247" s="136"/>
      <c r="AQ247" s="136"/>
      <c r="AR247" s="136"/>
      <c r="AS247" s="136"/>
      <c r="AU247" s="86"/>
      <c r="AV247" s="86"/>
    </row>
    <row r="248" spans="1:48">
      <c r="A248" s="13"/>
      <c r="B248" s="4" t="s">
        <v>1842</v>
      </c>
      <c r="C248" t="s">
        <v>924</v>
      </c>
      <c r="G248" s="1"/>
      <c r="S248" s="88"/>
      <c r="T248" s="88"/>
      <c r="X248" s="86"/>
      <c r="AL248" s="162"/>
      <c r="AM248" s="136"/>
      <c r="AN248" s="136"/>
      <c r="AO248" s="136"/>
      <c r="AP248" s="136"/>
      <c r="AQ248" s="136"/>
      <c r="AR248" s="136"/>
      <c r="AS248" s="136"/>
      <c r="AU248" s="86"/>
      <c r="AV248" s="86"/>
    </row>
    <row r="249" spans="1:48">
      <c r="A249" s="4"/>
      <c r="B249" s="4" t="s">
        <v>896</v>
      </c>
      <c r="C249" t="s">
        <v>1843</v>
      </c>
      <c r="S249" s="88"/>
      <c r="T249" s="88"/>
      <c r="X249" s="86"/>
    </row>
    <row r="250" spans="1:48">
      <c r="B250" s="4" t="s">
        <v>2057</v>
      </c>
      <c r="C250" t="s">
        <v>2058</v>
      </c>
      <c r="G250" s="1"/>
      <c r="S250" s="88"/>
      <c r="T250" s="88"/>
      <c r="X250" s="86"/>
    </row>
    <row r="251" spans="1:48">
      <c r="B251" s="4" t="s">
        <v>2059</v>
      </c>
      <c r="C251" t="s">
        <v>2060</v>
      </c>
      <c r="S251" s="88"/>
      <c r="T251" s="88"/>
      <c r="X251" s="86"/>
    </row>
    <row r="252" spans="1:48">
      <c r="B252" s="4" t="s">
        <v>2061</v>
      </c>
      <c r="C252" t="s">
        <v>2062</v>
      </c>
      <c r="S252" s="88"/>
      <c r="T252" s="88"/>
      <c r="X252" s="86"/>
    </row>
    <row r="253" spans="1:48">
      <c r="A253" s="4"/>
      <c r="B253" s="4" t="s">
        <v>2063</v>
      </c>
      <c r="C253" t="s">
        <v>2064</v>
      </c>
      <c r="S253" s="88"/>
      <c r="T253" s="88"/>
      <c r="X253" s="86"/>
    </row>
    <row r="254" spans="1:48">
      <c r="B254" s="4" t="s">
        <v>2065</v>
      </c>
      <c r="C254" t="s">
        <v>1450</v>
      </c>
      <c r="S254" s="88"/>
      <c r="T254" s="88"/>
      <c r="X254" s="86"/>
    </row>
    <row r="255" spans="1:48">
      <c r="A255" s="10"/>
      <c r="B255" s="4" t="s">
        <v>2066</v>
      </c>
      <c r="C255" t="s">
        <v>2067</v>
      </c>
      <c r="G255" s="1"/>
      <c r="S255" s="88"/>
      <c r="T255" s="88"/>
      <c r="X255" s="86"/>
    </row>
    <row r="256" spans="1:48">
      <c r="B256" s="4" t="s">
        <v>2068</v>
      </c>
      <c r="C256" t="s">
        <v>1925</v>
      </c>
    </row>
    <row r="257" spans="1:48">
      <c r="B257" s="4" t="s">
        <v>1926</v>
      </c>
      <c r="C257" t="s">
        <v>1927</v>
      </c>
    </row>
    <row r="258" spans="1:48">
      <c r="A258" s="4"/>
      <c r="B258" s="4" t="s">
        <v>1928</v>
      </c>
      <c r="C258" t="s">
        <v>1929</v>
      </c>
    </row>
    <row r="259" spans="1:48">
      <c r="B259" s="4" t="s">
        <v>1930</v>
      </c>
      <c r="C259" t="s">
        <v>1931</v>
      </c>
    </row>
    <row r="260" spans="1:48">
      <c r="A260" s="91"/>
      <c r="B260" s="4" t="s">
        <v>1932</v>
      </c>
      <c r="C260" t="s">
        <v>2092</v>
      </c>
      <c r="G260" s="1"/>
      <c r="J260" s="10"/>
      <c r="K260" s="10"/>
    </row>
    <row r="261" spans="1:48">
      <c r="A261" s="91"/>
      <c r="B261" s="4" t="s">
        <v>1933</v>
      </c>
      <c r="C261" t="s">
        <v>1934</v>
      </c>
      <c r="G261" s="1"/>
      <c r="J261" s="13"/>
      <c r="K261" s="13"/>
    </row>
    <row r="262" spans="1:48">
      <c r="A262" s="91"/>
      <c r="B262" s="4" t="s">
        <v>1935</v>
      </c>
      <c r="C262" t="s">
        <v>1936</v>
      </c>
      <c r="G262" s="1"/>
      <c r="J262" s="13"/>
      <c r="K262" s="13"/>
    </row>
    <row r="263" spans="1:48">
      <c r="B263" s="4" t="s">
        <v>1805</v>
      </c>
      <c r="C263" t="s">
        <v>1806</v>
      </c>
    </row>
    <row r="264" spans="1:48">
      <c r="B264" s="4" t="s">
        <v>1937</v>
      </c>
      <c r="C264" t="s">
        <v>1938</v>
      </c>
      <c r="G264" s="1"/>
      <c r="X264" s="86"/>
    </row>
    <row r="265" spans="1:48" ht="15.6">
      <c r="A265" s="129"/>
      <c r="B265" s="4" t="s">
        <v>1501</v>
      </c>
      <c r="C265" t="s">
        <v>1939</v>
      </c>
      <c r="X265" s="86"/>
    </row>
    <row r="266" spans="1:48">
      <c r="B266" s="4" t="s">
        <v>831</v>
      </c>
      <c r="C266" t="s">
        <v>1940</v>
      </c>
      <c r="G266" s="84"/>
      <c r="H266" s="16"/>
      <c r="I266" s="16"/>
      <c r="J266" s="87"/>
      <c r="K266" s="87"/>
      <c r="L266" s="16"/>
      <c r="M266" s="16"/>
      <c r="N266" s="16"/>
      <c r="O266" s="16"/>
      <c r="P266" s="16"/>
      <c r="Q266" s="16"/>
      <c r="R266" s="16"/>
      <c r="S266" s="88"/>
      <c r="T266" s="88"/>
      <c r="U266" s="85"/>
      <c r="V266" s="85"/>
      <c r="W266" s="85"/>
      <c r="X266" s="86"/>
      <c r="AM266" s="136"/>
      <c r="AN266" s="136"/>
      <c r="AO266" s="136"/>
      <c r="AP266" s="136"/>
      <c r="AQ266" s="136"/>
      <c r="AR266" s="136"/>
      <c r="AS266" s="136"/>
      <c r="AT266" s="85"/>
      <c r="AU266" s="86"/>
      <c r="AV266" s="86"/>
    </row>
    <row r="267" spans="1:48">
      <c r="B267" s="4" t="s">
        <v>1941</v>
      </c>
      <c r="C267" t="s">
        <v>1844</v>
      </c>
      <c r="G267" s="1"/>
      <c r="J267" s="10"/>
      <c r="K267" s="10"/>
      <c r="S267" s="88"/>
      <c r="T267" s="88"/>
      <c r="U267" s="86"/>
      <c r="V267" s="86"/>
      <c r="W267" s="86"/>
      <c r="X267" s="86"/>
      <c r="AM267" s="136"/>
      <c r="AN267" s="136"/>
      <c r="AO267" s="136"/>
      <c r="AP267" s="136"/>
      <c r="AQ267" s="136"/>
      <c r="AR267" s="136"/>
      <c r="AS267" s="136"/>
      <c r="AT267" s="86"/>
      <c r="AU267" s="86"/>
      <c r="AV267" s="86"/>
    </row>
    <row r="268" spans="1:48">
      <c r="B268" s="4" t="s">
        <v>1845</v>
      </c>
      <c r="C268" t="s">
        <v>1846</v>
      </c>
      <c r="G268" s="1"/>
      <c r="J268" s="7"/>
      <c r="K268" s="7"/>
      <c r="S268" s="88"/>
      <c r="T268" s="88"/>
      <c r="X268" s="86"/>
      <c r="AM268" s="136"/>
      <c r="AN268" s="136"/>
      <c r="AO268" s="136"/>
      <c r="AP268" s="136"/>
      <c r="AQ268" s="136"/>
      <c r="AR268" s="136"/>
      <c r="AS268" s="136"/>
    </row>
    <row r="269" spans="1:48" ht="15.6">
      <c r="A269" s="129"/>
      <c r="B269" s="4" t="s">
        <v>1847</v>
      </c>
      <c r="C269" t="s">
        <v>1848</v>
      </c>
      <c r="X269" s="86"/>
    </row>
    <row r="270" spans="1:48">
      <c r="B270" s="4" t="s">
        <v>1849</v>
      </c>
      <c r="C270" t="s">
        <v>1297</v>
      </c>
    </row>
    <row r="271" spans="1:48">
      <c r="B271" s="4" t="s">
        <v>1850</v>
      </c>
      <c r="C271" t="s">
        <v>1851</v>
      </c>
    </row>
    <row r="272" spans="1:48">
      <c r="A272" s="2"/>
      <c r="B272" s="4" t="s">
        <v>1852</v>
      </c>
      <c r="C272" t="s">
        <v>1853</v>
      </c>
      <c r="G272" s="1"/>
      <c r="J272" s="10"/>
      <c r="K272" s="10"/>
      <c r="S272" s="88"/>
      <c r="T272" s="88"/>
      <c r="X272" s="86"/>
    </row>
    <row r="273" spans="1:30">
      <c r="B273" s="4" t="s">
        <v>1854</v>
      </c>
      <c r="C273" t="s">
        <v>1855</v>
      </c>
      <c r="G273" s="1"/>
      <c r="H273" s="10"/>
      <c r="S273" s="88"/>
      <c r="T273" s="88"/>
      <c r="X273" s="86"/>
    </row>
    <row r="274" spans="1:30">
      <c r="B274" s="4" t="s">
        <v>1856</v>
      </c>
      <c r="C274" t="s">
        <v>1857</v>
      </c>
      <c r="G274" s="1"/>
      <c r="H274" s="10"/>
      <c r="J274" s="19"/>
      <c r="K274" s="19"/>
      <c r="S274" s="88"/>
      <c r="T274" s="88"/>
      <c r="X274" s="86"/>
      <c r="Z274" s="4"/>
    </row>
    <row r="275" spans="1:30">
      <c r="B275" s="4" t="s">
        <v>1858</v>
      </c>
      <c r="C275" t="s">
        <v>1859</v>
      </c>
      <c r="G275" s="1"/>
      <c r="H275" s="10"/>
      <c r="J275" s="19"/>
      <c r="K275" s="19"/>
      <c r="S275" s="88"/>
      <c r="T275" s="88"/>
      <c r="X275" s="86"/>
      <c r="Z275" s="4"/>
    </row>
    <row r="276" spans="1:30">
      <c r="B276" s="4" t="s">
        <v>1860</v>
      </c>
      <c r="C276" t="s">
        <v>1861</v>
      </c>
      <c r="H276" s="10"/>
      <c r="J276" s="19"/>
      <c r="K276" s="19"/>
      <c r="S276" s="88"/>
      <c r="T276" s="88"/>
      <c r="X276" s="86"/>
    </row>
    <row r="277" spans="1:30">
      <c r="B277" s="4" t="s">
        <v>1862</v>
      </c>
      <c r="C277" t="s">
        <v>1863</v>
      </c>
      <c r="H277" s="10"/>
      <c r="S277" s="88"/>
      <c r="T277" s="88"/>
      <c r="X277" s="86"/>
    </row>
    <row r="278" spans="1:30">
      <c r="B278" s="4" t="s">
        <v>1864</v>
      </c>
      <c r="C278" t="s">
        <v>1865</v>
      </c>
      <c r="G278" s="1"/>
      <c r="H278" s="10"/>
      <c r="S278" s="88"/>
      <c r="T278" s="88"/>
      <c r="X278" s="86"/>
    </row>
    <row r="279" spans="1:30">
      <c r="B279" s="4" t="s">
        <v>1866</v>
      </c>
      <c r="C279" t="s">
        <v>1867</v>
      </c>
      <c r="G279" s="1"/>
      <c r="H279" s="10"/>
      <c r="S279" s="88"/>
      <c r="T279" s="88"/>
      <c r="X279" s="86"/>
    </row>
    <row r="280" spans="1:30">
      <c r="B280" s="4" t="s">
        <v>1868</v>
      </c>
      <c r="C280" t="s">
        <v>1869</v>
      </c>
    </row>
    <row r="281" spans="1:30">
      <c r="B281" s="4" t="s">
        <v>1870</v>
      </c>
      <c r="C281" t="s">
        <v>1968</v>
      </c>
    </row>
    <row r="282" spans="1:30">
      <c r="B282" s="4" t="s">
        <v>1969</v>
      </c>
      <c r="C282" t="s">
        <v>1970</v>
      </c>
      <c r="G282" s="1"/>
      <c r="S282" s="88"/>
      <c r="T282" s="88"/>
      <c r="X282" s="86"/>
    </row>
    <row r="283" spans="1:30">
      <c r="B283" s="4" t="s">
        <v>317</v>
      </c>
      <c r="C283" t="s">
        <v>318</v>
      </c>
      <c r="G283" s="1"/>
      <c r="S283" s="88"/>
      <c r="T283" s="88"/>
      <c r="X283" s="86"/>
    </row>
    <row r="284" spans="1:30">
      <c r="B284" s="4" t="s">
        <v>1971</v>
      </c>
      <c r="C284" t="s">
        <v>1972</v>
      </c>
      <c r="G284" s="1"/>
      <c r="J284" s="10"/>
      <c r="K284" s="10"/>
      <c r="S284" s="88"/>
      <c r="T284" s="88"/>
      <c r="X284" s="86"/>
    </row>
    <row r="285" spans="1:30">
      <c r="A285" s="6"/>
      <c r="B285" s="4" t="s">
        <v>319</v>
      </c>
      <c r="C285" t="s">
        <v>320</v>
      </c>
      <c r="G285" s="93"/>
      <c r="S285" s="88"/>
      <c r="T285" s="88"/>
      <c r="U285" s="88"/>
      <c r="V285" s="88"/>
      <c r="W285" s="88"/>
      <c r="X285" s="1"/>
    </row>
    <row r="286" spans="1:30">
      <c r="A286" s="6"/>
      <c r="B286" s="4" t="s">
        <v>1973</v>
      </c>
      <c r="C286" t="s">
        <v>1974</v>
      </c>
      <c r="G286" s="95"/>
      <c r="S286" s="88"/>
      <c r="T286" s="88"/>
      <c r="U286" s="88"/>
      <c r="V286" s="88"/>
      <c r="W286" s="88"/>
      <c r="X286" s="1"/>
    </row>
    <row r="287" spans="1:30" s="6" customFormat="1">
      <c r="B287" s="4" t="s">
        <v>1975</v>
      </c>
      <c r="C287" t="s">
        <v>1976</v>
      </c>
      <c r="D287"/>
      <c r="E287"/>
      <c r="F287"/>
      <c r="G287" s="87"/>
      <c r="H287" s="85"/>
      <c r="I287" s="85"/>
      <c r="J287" s="85"/>
      <c r="K287" s="85"/>
      <c r="L287" s="85"/>
      <c r="M287" s="85"/>
      <c r="N287" s="85"/>
      <c r="O287" s="85"/>
      <c r="P287" s="85"/>
      <c r="Q287" s="85"/>
      <c r="R287" s="85"/>
      <c r="S287" s="97"/>
      <c r="T287" s="97"/>
      <c r="U287" s="97"/>
      <c r="V287" s="97"/>
      <c r="W287" s="97"/>
      <c r="X287" s="84"/>
      <c r="AD287"/>
    </row>
    <row r="288" spans="1:30" ht="12" customHeight="1">
      <c r="B288" s="4" t="s">
        <v>1977</v>
      </c>
      <c r="C288" t="s">
        <v>2093</v>
      </c>
      <c r="G288" s="6"/>
    </row>
    <row r="289" spans="1:24" ht="12" customHeight="1">
      <c r="A289" s="4"/>
      <c r="B289" s="4" t="s">
        <v>2094</v>
      </c>
      <c r="C289" t="s">
        <v>2095</v>
      </c>
      <c r="G289" s="6"/>
    </row>
    <row r="290" spans="1:24">
      <c r="B290" s="4" t="s">
        <v>2096</v>
      </c>
      <c r="C290" t="s">
        <v>2097</v>
      </c>
      <c r="G290" s="87"/>
      <c r="H290" s="16"/>
      <c r="I290" s="16"/>
      <c r="J290" s="87"/>
      <c r="K290" s="87"/>
      <c r="L290" s="16"/>
      <c r="M290" s="16"/>
      <c r="N290" s="16"/>
      <c r="O290" s="16"/>
      <c r="P290" s="16"/>
      <c r="Q290" s="16"/>
      <c r="R290" s="16"/>
      <c r="S290" s="88"/>
      <c r="T290" s="88"/>
      <c r="U290" s="88"/>
      <c r="V290" s="88"/>
      <c r="W290" s="88"/>
      <c r="X290" s="86"/>
    </row>
    <row r="291" spans="1:24">
      <c r="B291" s="4" t="s">
        <v>2098</v>
      </c>
      <c r="C291" t="s">
        <v>2099</v>
      </c>
      <c r="G291" s="93"/>
      <c r="J291" s="24"/>
      <c r="K291" s="24"/>
      <c r="L291" s="1"/>
    </row>
    <row r="292" spans="1:24">
      <c r="B292" s="4" t="s">
        <v>2100</v>
      </c>
      <c r="C292" t="s">
        <v>2101</v>
      </c>
      <c r="G292" s="93"/>
      <c r="J292" s="24"/>
      <c r="K292" s="24"/>
    </row>
    <row r="293" spans="1:24">
      <c r="B293" s="4" t="s">
        <v>1880</v>
      </c>
      <c r="C293" t="s">
        <v>1881</v>
      </c>
      <c r="G293" s="11"/>
    </row>
    <row r="294" spans="1:24">
      <c r="B294" s="4" t="s">
        <v>1882</v>
      </c>
      <c r="C294" t="s">
        <v>1883</v>
      </c>
      <c r="G294" s="95"/>
    </row>
    <row r="295" spans="1:24">
      <c r="B295" s="4" t="s">
        <v>1884</v>
      </c>
      <c r="C295" t="s">
        <v>2102</v>
      </c>
      <c r="G295" s="95"/>
      <c r="J295" s="24"/>
      <c r="K295" s="24"/>
    </row>
    <row r="296" spans="1:24">
      <c r="B296" s="4" t="s">
        <v>2103</v>
      </c>
      <c r="C296" t="s">
        <v>1871</v>
      </c>
      <c r="G296" s="95"/>
    </row>
    <row r="297" spans="1:24">
      <c r="B297" s="4" t="s">
        <v>1872</v>
      </c>
      <c r="C297" t="s">
        <v>1873</v>
      </c>
      <c r="G297" s="93"/>
    </row>
    <row r="298" spans="1:24">
      <c r="B298" s="4" t="s">
        <v>1809</v>
      </c>
      <c r="C298" t="s">
        <v>1810</v>
      </c>
      <c r="G298" s="93"/>
    </row>
    <row r="299" spans="1:24">
      <c r="B299" s="4" t="s">
        <v>1874</v>
      </c>
      <c r="C299" t="s">
        <v>1875</v>
      </c>
      <c r="G299" s="98"/>
    </row>
    <row r="300" spans="1:24">
      <c r="B300" s="4" t="s">
        <v>1876</v>
      </c>
      <c r="C300" t="s">
        <v>1877</v>
      </c>
      <c r="G300" s="93"/>
    </row>
    <row r="301" spans="1:24">
      <c r="B301" s="4" t="s">
        <v>1807</v>
      </c>
      <c r="C301" t="s">
        <v>1808</v>
      </c>
      <c r="G301" s="93"/>
    </row>
    <row r="302" spans="1:24">
      <c r="B302" s="4" t="s">
        <v>1878</v>
      </c>
      <c r="C302" t="s">
        <v>1879</v>
      </c>
      <c r="G302" s="93"/>
    </row>
    <row r="303" spans="1:24">
      <c r="B303" s="4" t="s">
        <v>1811</v>
      </c>
      <c r="C303" t="s">
        <v>1812</v>
      </c>
      <c r="G303" s="93"/>
    </row>
    <row r="304" spans="1:24">
      <c r="B304" s="4" t="s">
        <v>1318</v>
      </c>
      <c r="C304" t="s">
        <v>2313</v>
      </c>
      <c r="G304" s="93"/>
    </row>
    <row r="305" spans="2:26">
      <c r="B305" s="4" t="s">
        <v>2314</v>
      </c>
      <c r="C305" t="s">
        <v>2315</v>
      </c>
      <c r="G305" s="93"/>
    </row>
    <row r="306" spans="2:26">
      <c r="B306" s="4" t="s">
        <v>2316</v>
      </c>
      <c r="C306" t="s">
        <v>2166</v>
      </c>
      <c r="G306" s="93"/>
    </row>
    <row r="307" spans="2:26">
      <c r="B307" s="4" t="s">
        <v>2167</v>
      </c>
      <c r="C307" t="s">
        <v>2168</v>
      </c>
      <c r="G307" s="99"/>
    </row>
    <row r="308" spans="2:26">
      <c r="B308" s="4" t="s">
        <v>1337</v>
      </c>
      <c r="C308" t="s">
        <v>1337</v>
      </c>
      <c r="G308" s="93"/>
    </row>
    <row r="309" spans="2:26">
      <c r="B309" s="4" t="s">
        <v>928</v>
      </c>
      <c r="C309" t="s">
        <v>2169</v>
      </c>
      <c r="G309" s="93"/>
      <c r="J309" s="96"/>
      <c r="K309" s="96"/>
    </row>
    <row r="310" spans="2:26">
      <c r="B310" s="4" t="s">
        <v>2170</v>
      </c>
      <c r="C310" t="s">
        <v>2171</v>
      </c>
      <c r="G310" s="6"/>
    </row>
    <row r="311" spans="2:26">
      <c r="B311" s="4" t="s">
        <v>2172</v>
      </c>
      <c r="C311" t="s">
        <v>2173</v>
      </c>
      <c r="G311" s="85"/>
      <c r="H311" s="16"/>
      <c r="I311" s="16"/>
      <c r="J311" s="85"/>
      <c r="K311" s="85"/>
      <c r="L311" s="16"/>
      <c r="M311" s="16"/>
      <c r="N311" s="16"/>
      <c r="O311" s="16"/>
      <c r="P311" s="16"/>
      <c r="Q311" s="16"/>
      <c r="R311" s="16"/>
      <c r="S311" s="88"/>
      <c r="T311" s="88"/>
      <c r="U311" s="88"/>
      <c r="V311" s="88"/>
      <c r="W311" s="88"/>
      <c r="X311" s="86"/>
    </row>
    <row r="312" spans="2:26">
      <c r="B312" s="4" t="s">
        <v>2174</v>
      </c>
      <c r="C312" t="s">
        <v>2175</v>
      </c>
      <c r="G312" s="87"/>
      <c r="H312" s="16"/>
      <c r="I312" s="16"/>
      <c r="J312" s="85"/>
      <c r="K312" s="85"/>
      <c r="L312" s="16"/>
      <c r="M312" s="16"/>
      <c r="N312" s="16"/>
      <c r="O312" s="16"/>
      <c r="P312" s="16"/>
      <c r="Q312" s="16"/>
      <c r="R312" s="16"/>
      <c r="S312" s="88"/>
      <c r="T312" s="88"/>
      <c r="U312" s="88"/>
      <c r="V312" s="88"/>
      <c r="W312" s="88"/>
      <c r="X312" s="86"/>
    </row>
    <row r="313" spans="2:26">
      <c r="B313" s="4" t="s">
        <v>2176</v>
      </c>
      <c r="C313" t="s">
        <v>2177</v>
      </c>
      <c r="G313" s="87"/>
      <c r="H313" s="16"/>
      <c r="I313" s="16"/>
      <c r="J313" s="85"/>
      <c r="K313" s="85"/>
      <c r="L313" s="16"/>
      <c r="M313" s="16"/>
      <c r="N313" s="16"/>
      <c r="O313" s="16"/>
      <c r="P313" s="16"/>
      <c r="Q313" s="16"/>
      <c r="R313" s="16"/>
      <c r="S313" s="88"/>
      <c r="T313" s="88"/>
      <c r="U313" s="88"/>
      <c r="V313" s="88"/>
      <c r="W313" s="88"/>
      <c r="X313" s="86"/>
      <c r="Y313" s="10"/>
    </row>
    <row r="314" spans="2:26">
      <c r="B314" s="4" t="s">
        <v>2178</v>
      </c>
      <c r="C314" t="s">
        <v>2299</v>
      </c>
      <c r="G314" s="87"/>
      <c r="H314" s="16"/>
      <c r="I314" s="16"/>
      <c r="J314" s="85"/>
      <c r="K314" s="85"/>
      <c r="L314" s="16"/>
      <c r="M314" s="16"/>
      <c r="N314" s="16"/>
      <c r="O314" s="16"/>
      <c r="P314" s="16"/>
      <c r="Q314" s="16"/>
      <c r="R314" s="16"/>
      <c r="S314" s="88"/>
      <c r="T314" s="88"/>
      <c r="U314" s="88"/>
      <c r="V314" s="88"/>
      <c r="W314" s="88"/>
      <c r="X314" s="86"/>
      <c r="Z314" s="4"/>
    </row>
    <row r="315" spans="2:26">
      <c r="B315" s="4" t="s">
        <v>2300</v>
      </c>
      <c r="C315" t="s">
        <v>2301</v>
      </c>
      <c r="G315" s="87"/>
      <c r="H315" s="16"/>
      <c r="I315" s="16"/>
      <c r="J315" s="85"/>
      <c r="K315" s="85"/>
      <c r="L315" s="16"/>
      <c r="M315" s="16"/>
      <c r="N315" s="16"/>
      <c r="O315" s="16"/>
      <c r="P315" s="16"/>
      <c r="Q315" s="16"/>
      <c r="R315" s="16"/>
      <c r="S315" s="88"/>
      <c r="T315" s="88"/>
      <c r="U315" s="88"/>
      <c r="V315" s="88"/>
      <c r="W315" s="88"/>
      <c r="X315" s="86"/>
    </row>
    <row r="316" spans="2:26">
      <c r="B316" s="4" t="s">
        <v>2302</v>
      </c>
      <c r="C316" t="s">
        <v>2303</v>
      </c>
      <c r="G316" s="87"/>
      <c r="H316" s="16"/>
      <c r="I316" s="16"/>
      <c r="J316" s="85"/>
      <c r="K316" s="85"/>
      <c r="L316" s="16"/>
      <c r="M316" s="16"/>
      <c r="N316" s="16"/>
      <c r="O316" s="16"/>
      <c r="P316" s="16"/>
      <c r="Q316" s="16"/>
      <c r="R316" s="16"/>
      <c r="S316" s="88"/>
      <c r="T316" s="88"/>
      <c r="U316" s="88"/>
      <c r="V316" s="88"/>
      <c r="W316" s="88"/>
      <c r="X316" s="86"/>
    </row>
    <row r="317" spans="2:26">
      <c r="B317" s="4" t="s">
        <v>2073</v>
      </c>
      <c r="C317" t="s">
        <v>2074</v>
      </c>
      <c r="G317" s="87"/>
      <c r="H317" s="16"/>
      <c r="I317" s="16"/>
      <c r="J317" s="85"/>
      <c r="K317" s="85"/>
      <c r="L317" s="16"/>
      <c r="M317" s="16"/>
      <c r="N317" s="16"/>
      <c r="O317" s="16"/>
      <c r="P317" s="16"/>
      <c r="Q317" s="16"/>
      <c r="R317" s="16"/>
      <c r="S317" s="88"/>
      <c r="T317" s="88"/>
      <c r="U317" s="88"/>
      <c r="V317" s="88"/>
      <c r="W317" s="88"/>
      <c r="X317" s="86"/>
    </row>
    <row r="318" spans="2:26">
      <c r="B318" s="4" t="s">
        <v>2075</v>
      </c>
      <c r="C318" t="s">
        <v>2076</v>
      </c>
      <c r="G318" s="87"/>
      <c r="H318" s="16"/>
      <c r="I318" s="16"/>
      <c r="J318" s="85"/>
      <c r="K318" s="85"/>
      <c r="L318" s="16"/>
      <c r="M318" s="16"/>
      <c r="N318" s="16"/>
      <c r="O318" s="16"/>
      <c r="P318" s="16"/>
      <c r="Q318" s="16"/>
      <c r="R318" s="16"/>
      <c r="S318" s="88"/>
      <c r="T318" s="88"/>
      <c r="U318" s="88"/>
      <c r="V318" s="88"/>
      <c r="W318" s="88"/>
      <c r="X318" s="86"/>
    </row>
    <row r="319" spans="2:26">
      <c r="B319" s="4" t="s">
        <v>2077</v>
      </c>
      <c r="C319" t="s">
        <v>2078</v>
      </c>
      <c r="G319" s="87"/>
      <c r="H319" s="16"/>
      <c r="I319" s="16"/>
      <c r="J319" s="85"/>
      <c r="K319" s="85"/>
      <c r="L319" s="16"/>
      <c r="M319" s="16"/>
      <c r="N319" s="16"/>
      <c r="O319" s="16"/>
      <c r="P319" s="16"/>
      <c r="Q319" s="16"/>
      <c r="R319" s="16"/>
      <c r="S319" s="88"/>
      <c r="T319" s="88"/>
      <c r="U319" s="88"/>
      <c r="V319" s="88"/>
      <c r="W319" s="88"/>
      <c r="X319" s="86"/>
    </row>
    <row r="320" spans="2:26">
      <c r="B320" s="4" t="s">
        <v>2079</v>
      </c>
      <c r="C320" t="s">
        <v>2080</v>
      </c>
      <c r="G320" s="87"/>
      <c r="H320" s="16"/>
      <c r="I320" s="16"/>
      <c r="J320" s="85"/>
      <c r="K320" s="85"/>
      <c r="L320" s="16"/>
      <c r="M320" s="16"/>
      <c r="N320" s="16"/>
      <c r="O320" s="16"/>
      <c r="P320" s="16"/>
      <c r="Q320" s="16"/>
      <c r="R320" s="16"/>
      <c r="S320" s="88"/>
      <c r="T320" s="88"/>
      <c r="U320" s="88"/>
      <c r="V320" s="88"/>
      <c r="W320" s="88"/>
      <c r="X320" s="86"/>
    </row>
    <row r="321" spans="2:25">
      <c r="B321" s="4" t="s">
        <v>2081</v>
      </c>
      <c r="C321" t="s">
        <v>2082</v>
      </c>
      <c r="G321" s="87"/>
      <c r="H321" s="16"/>
      <c r="I321" s="16"/>
      <c r="J321" s="85"/>
      <c r="K321" s="85"/>
      <c r="L321" s="16"/>
      <c r="M321" s="16"/>
      <c r="N321" s="16"/>
      <c r="O321" s="16"/>
      <c r="P321" s="16"/>
      <c r="Q321" s="16"/>
      <c r="R321" s="16"/>
      <c r="S321" s="88"/>
      <c r="T321" s="88"/>
      <c r="U321" s="88"/>
      <c r="V321" s="88"/>
      <c r="W321" s="88"/>
      <c r="X321" s="86"/>
    </row>
    <row r="322" spans="2:25">
      <c r="B322" s="4" t="s">
        <v>2083</v>
      </c>
      <c r="C322" t="s">
        <v>2226</v>
      </c>
      <c r="G322" s="87"/>
      <c r="H322" s="16"/>
      <c r="I322" s="16"/>
      <c r="J322" s="85"/>
      <c r="K322" s="85"/>
      <c r="L322" s="16"/>
      <c r="M322" s="16"/>
      <c r="N322" s="16"/>
      <c r="O322" s="16"/>
      <c r="P322" s="16"/>
      <c r="Q322" s="16"/>
      <c r="R322" s="16"/>
      <c r="S322" s="88"/>
      <c r="T322" s="88"/>
      <c r="U322" s="88"/>
      <c r="V322" s="88"/>
      <c r="W322" s="88"/>
      <c r="X322" s="86"/>
      <c r="Y322" s="10"/>
    </row>
    <row r="323" spans="2:25">
      <c r="B323" s="4" t="s">
        <v>2227</v>
      </c>
      <c r="C323" t="s">
        <v>2122</v>
      </c>
      <c r="G323" s="87"/>
      <c r="H323" s="16"/>
      <c r="I323" s="16"/>
      <c r="J323" s="85"/>
      <c r="K323" s="85"/>
      <c r="L323" s="16"/>
      <c r="M323" s="16"/>
      <c r="N323" s="16"/>
      <c r="O323" s="16"/>
      <c r="P323" s="16"/>
      <c r="Q323" s="16"/>
      <c r="R323" s="16"/>
      <c r="S323" s="88"/>
      <c r="T323" s="88"/>
      <c r="U323" s="88"/>
      <c r="V323" s="88"/>
      <c r="W323" s="88"/>
      <c r="X323" s="86"/>
    </row>
    <row r="324" spans="2:25">
      <c r="B324" s="4" t="s">
        <v>2123</v>
      </c>
      <c r="C324" t="s">
        <v>2124</v>
      </c>
      <c r="G324" s="87"/>
      <c r="H324" s="16"/>
      <c r="I324" s="16"/>
      <c r="J324" s="87"/>
      <c r="K324" s="87"/>
      <c r="L324" s="16"/>
      <c r="M324" s="16"/>
      <c r="N324" s="16"/>
      <c r="O324" s="16"/>
      <c r="P324" s="16"/>
      <c r="Q324" s="16"/>
      <c r="R324" s="16"/>
      <c r="S324" s="88"/>
      <c r="T324" s="88"/>
      <c r="U324" s="88"/>
      <c r="V324" s="88"/>
      <c r="W324" s="88"/>
      <c r="X324" s="86"/>
    </row>
    <row r="325" spans="2:25">
      <c r="B325" s="4" t="s">
        <v>2125</v>
      </c>
      <c r="C325" t="s">
        <v>2126</v>
      </c>
      <c r="G325" s="87"/>
      <c r="H325" s="16"/>
      <c r="I325" s="16"/>
      <c r="J325" s="85"/>
      <c r="K325" s="85"/>
      <c r="L325" s="16"/>
      <c r="M325" s="16"/>
      <c r="N325" s="16"/>
      <c r="O325" s="16"/>
      <c r="P325" s="16"/>
      <c r="Q325" s="16"/>
      <c r="R325" s="16"/>
      <c r="S325" s="88"/>
      <c r="T325" s="88"/>
      <c r="U325" s="88"/>
      <c r="V325" s="88"/>
      <c r="W325" s="88"/>
      <c r="X325" s="86"/>
    </row>
    <row r="326" spans="2:25">
      <c r="B326" s="4" t="s">
        <v>2127</v>
      </c>
      <c r="C326" t="s">
        <v>2128</v>
      </c>
      <c r="G326" s="135"/>
      <c r="H326" s="16"/>
      <c r="I326" s="16"/>
      <c r="J326" s="85"/>
      <c r="K326" s="85"/>
      <c r="L326" s="16"/>
      <c r="M326" s="16"/>
      <c r="N326" s="16"/>
      <c r="O326" s="16"/>
      <c r="P326" s="16"/>
      <c r="Q326" s="16"/>
      <c r="R326" s="16"/>
      <c r="S326" s="88"/>
      <c r="T326" s="88"/>
      <c r="U326" s="97"/>
      <c r="V326" s="97"/>
      <c r="W326" s="97"/>
      <c r="X326" s="86"/>
    </row>
    <row r="327" spans="2:25">
      <c r="B327" s="4" t="s">
        <v>445</v>
      </c>
      <c r="C327" t="s">
        <v>2129</v>
      </c>
      <c r="G327" s="6"/>
    </row>
    <row r="328" spans="2:25">
      <c r="B328" s="4" t="s">
        <v>2130</v>
      </c>
      <c r="C328" t="s">
        <v>2131</v>
      </c>
      <c r="G328" s="86"/>
      <c r="H328" s="15"/>
      <c r="I328" s="15"/>
      <c r="J328" s="15"/>
      <c r="K328" s="15"/>
      <c r="L328" s="15"/>
      <c r="M328" s="15"/>
      <c r="N328" s="15"/>
      <c r="O328" s="15"/>
      <c r="P328" s="15"/>
      <c r="Q328" s="15"/>
      <c r="R328" s="15"/>
      <c r="S328" s="15"/>
      <c r="T328" s="15"/>
      <c r="U328" s="15"/>
      <c r="V328" s="15"/>
      <c r="W328" s="15"/>
      <c r="X328" s="86"/>
    </row>
    <row r="329" spans="2:25">
      <c r="B329" s="4" t="s">
        <v>2132</v>
      </c>
      <c r="C329" t="s">
        <v>2133</v>
      </c>
      <c r="G329" s="85"/>
      <c r="H329" s="16"/>
      <c r="I329" s="16"/>
      <c r="J329" s="16"/>
      <c r="K329" s="16"/>
      <c r="L329" s="16"/>
      <c r="M329" s="16"/>
      <c r="N329" s="16"/>
      <c r="O329" s="16"/>
      <c r="P329" s="16"/>
      <c r="Q329" s="16"/>
      <c r="R329" s="16"/>
      <c r="S329" s="16"/>
      <c r="T329" s="16"/>
      <c r="U329" s="16"/>
      <c r="V329" s="16"/>
      <c r="W329" s="16"/>
      <c r="X329" s="85"/>
    </row>
    <row r="330" spans="2:25">
      <c r="B330" s="4" t="s">
        <v>2134</v>
      </c>
      <c r="C330" t="s">
        <v>2135</v>
      </c>
      <c r="G330" s="10"/>
      <c r="H330" s="16"/>
      <c r="I330" s="16"/>
      <c r="J330" s="16"/>
      <c r="K330" s="16"/>
      <c r="L330" s="16"/>
      <c r="M330" s="16"/>
      <c r="N330" s="16"/>
      <c r="O330" s="16"/>
      <c r="P330" s="16"/>
      <c r="Q330" s="16"/>
      <c r="R330" s="16"/>
      <c r="S330" s="16"/>
      <c r="T330" s="16"/>
      <c r="U330" s="16"/>
      <c r="V330" s="16"/>
      <c r="W330" s="16"/>
      <c r="X330" s="85"/>
    </row>
    <row r="331" spans="2:25">
      <c r="B331" s="4" t="s">
        <v>2136</v>
      </c>
      <c r="C331" t="s">
        <v>2137</v>
      </c>
      <c r="G331" s="87"/>
      <c r="H331" s="16"/>
      <c r="I331" s="16"/>
      <c r="J331" s="16"/>
      <c r="K331" s="16"/>
      <c r="L331" s="16"/>
      <c r="M331" s="16"/>
      <c r="N331" s="16"/>
      <c r="O331" s="16"/>
      <c r="P331" s="16"/>
      <c r="Q331" s="16"/>
      <c r="R331" s="16"/>
      <c r="S331" s="16"/>
      <c r="T331" s="16"/>
      <c r="U331" s="16"/>
      <c r="V331" s="16"/>
      <c r="W331" s="16"/>
      <c r="X331" s="85"/>
    </row>
    <row r="332" spans="2:25">
      <c r="B332" s="4" t="s">
        <v>2138</v>
      </c>
      <c r="C332" t="s">
        <v>2139</v>
      </c>
      <c r="G332" s="10"/>
      <c r="H332" s="16"/>
      <c r="I332" s="16"/>
      <c r="J332" s="16"/>
      <c r="K332" s="16"/>
      <c r="L332" s="16"/>
      <c r="M332" s="16"/>
      <c r="N332" s="16"/>
      <c r="O332" s="16"/>
      <c r="P332" s="16"/>
      <c r="Q332" s="16"/>
      <c r="R332" s="16"/>
      <c r="S332" s="16"/>
      <c r="T332" s="16"/>
      <c r="U332" s="16"/>
      <c r="V332" s="16"/>
      <c r="W332" s="16"/>
      <c r="X332" s="85"/>
    </row>
    <row r="333" spans="2:25">
      <c r="B333" s="4" t="s">
        <v>2140</v>
      </c>
      <c r="C333" t="s">
        <v>2141</v>
      </c>
      <c r="G333" s="10"/>
      <c r="H333" s="16"/>
      <c r="I333" s="16"/>
      <c r="J333" s="16"/>
      <c r="K333" s="16"/>
      <c r="L333" s="16"/>
      <c r="M333" s="16"/>
      <c r="N333" s="16"/>
      <c r="O333" s="16"/>
      <c r="P333" s="16"/>
      <c r="Q333" s="16"/>
      <c r="R333" s="16"/>
      <c r="S333" s="16"/>
      <c r="T333" s="16"/>
      <c r="U333" s="16"/>
      <c r="V333" s="16"/>
      <c r="W333" s="16"/>
      <c r="X333" s="85"/>
    </row>
    <row r="334" spans="2:25">
      <c r="B334" s="4" t="s">
        <v>2142</v>
      </c>
      <c r="C334" t="s">
        <v>2143</v>
      </c>
      <c r="G334" s="85"/>
      <c r="H334" s="16"/>
      <c r="I334" s="16"/>
      <c r="J334" s="16"/>
      <c r="K334" s="16"/>
      <c r="L334" s="16"/>
      <c r="M334" s="16"/>
      <c r="N334" s="16"/>
      <c r="O334" s="16"/>
      <c r="P334" s="16"/>
      <c r="Q334" s="16"/>
      <c r="R334" s="16"/>
      <c r="S334" s="16"/>
      <c r="T334" s="16"/>
      <c r="U334" s="16"/>
      <c r="V334" s="16"/>
      <c r="W334" s="16"/>
      <c r="X334" s="85"/>
    </row>
    <row r="335" spans="2:25">
      <c r="B335" s="4" t="s">
        <v>2144</v>
      </c>
      <c r="C335" t="s">
        <v>2145</v>
      </c>
      <c r="G335" s="10"/>
      <c r="H335" s="16"/>
      <c r="I335" s="16"/>
      <c r="J335" s="16"/>
      <c r="K335" s="16"/>
      <c r="L335" s="16"/>
      <c r="M335" s="16"/>
      <c r="N335" s="16"/>
      <c r="O335" s="16"/>
      <c r="P335" s="16"/>
      <c r="Q335" s="16"/>
      <c r="R335" s="16"/>
      <c r="S335" s="16"/>
      <c r="T335" s="16"/>
      <c r="U335" s="16"/>
      <c r="V335" s="16"/>
      <c r="W335" s="16"/>
      <c r="X335" s="85"/>
    </row>
    <row r="336" spans="2:25">
      <c r="B336" s="4" t="s">
        <v>2146</v>
      </c>
      <c r="C336" t="s">
        <v>2147</v>
      </c>
      <c r="G336" s="85"/>
      <c r="H336" s="16"/>
      <c r="I336" s="16"/>
      <c r="J336" s="16"/>
      <c r="K336" s="16"/>
      <c r="L336" s="16"/>
      <c r="M336" s="16"/>
      <c r="N336" s="16"/>
      <c r="O336" s="16"/>
      <c r="P336" s="16"/>
      <c r="Q336" s="16"/>
      <c r="R336" s="16"/>
      <c r="S336" s="16"/>
      <c r="T336" s="16"/>
      <c r="U336" s="16"/>
      <c r="V336" s="16"/>
      <c r="W336" s="16"/>
      <c r="X336" s="85"/>
    </row>
    <row r="337" spans="2:24">
      <c r="B337" s="4" t="s">
        <v>2148</v>
      </c>
      <c r="C337" t="s">
        <v>2149</v>
      </c>
      <c r="G337" s="85"/>
      <c r="H337" s="16"/>
      <c r="I337" s="16"/>
      <c r="J337" s="16"/>
      <c r="K337" s="16"/>
      <c r="L337" s="16"/>
      <c r="M337" s="16"/>
      <c r="N337" s="16"/>
      <c r="O337" s="16"/>
      <c r="P337" s="16"/>
      <c r="Q337" s="16"/>
      <c r="R337" s="16"/>
      <c r="S337" s="16"/>
      <c r="T337" s="16"/>
      <c r="U337" s="16"/>
      <c r="V337" s="16"/>
      <c r="W337" s="16"/>
      <c r="X337" s="85"/>
    </row>
    <row r="338" spans="2:24">
      <c r="B338" s="4" t="s">
        <v>2150</v>
      </c>
      <c r="C338" t="s">
        <v>2151</v>
      </c>
      <c r="G338" s="85"/>
      <c r="H338" s="16"/>
      <c r="I338" s="16"/>
      <c r="J338" s="16"/>
      <c r="K338" s="16"/>
      <c r="L338" s="16"/>
      <c r="M338" s="16"/>
      <c r="N338" s="16"/>
      <c r="O338" s="16"/>
      <c r="P338" s="16"/>
      <c r="Q338" s="16"/>
      <c r="R338" s="16"/>
      <c r="S338" s="16"/>
      <c r="T338" s="16"/>
      <c r="U338" s="16"/>
      <c r="V338" s="16"/>
      <c r="W338" s="16"/>
      <c r="X338" s="85"/>
    </row>
    <row r="339" spans="2:24">
      <c r="B339" s="4" t="s">
        <v>2152</v>
      </c>
      <c r="C339" t="s">
        <v>2153</v>
      </c>
      <c r="G339" s="85"/>
      <c r="H339" s="16"/>
      <c r="I339" s="16"/>
      <c r="J339" s="85"/>
      <c r="K339" s="85"/>
      <c r="L339" s="16"/>
      <c r="M339" s="16"/>
      <c r="N339" s="16"/>
      <c r="O339" s="16"/>
      <c r="P339" s="16"/>
      <c r="Q339" s="16"/>
      <c r="R339" s="16"/>
      <c r="S339" s="88"/>
      <c r="T339" s="88"/>
      <c r="U339" s="88"/>
      <c r="V339" s="88"/>
      <c r="W339" s="88"/>
      <c r="X339" s="84"/>
    </row>
    <row r="340" spans="2:24">
      <c r="B340" s="4" t="s">
        <v>2154</v>
      </c>
      <c r="C340" t="s">
        <v>2155</v>
      </c>
      <c r="G340" s="10"/>
      <c r="S340" s="88"/>
      <c r="T340" s="88"/>
      <c r="U340" s="97"/>
      <c r="V340" s="97"/>
      <c r="W340" s="97"/>
      <c r="X340" s="1"/>
    </row>
    <row r="341" spans="2:24">
      <c r="B341" s="4" t="s">
        <v>2156</v>
      </c>
      <c r="C341" t="s">
        <v>2157</v>
      </c>
      <c r="G341" s="87"/>
      <c r="H341" s="16"/>
      <c r="I341" s="16"/>
      <c r="J341" s="85"/>
      <c r="K341" s="85"/>
      <c r="L341" s="16"/>
      <c r="M341" s="16"/>
      <c r="N341" s="16"/>
      <c r="O341" s="16"/>
      <c r="P341" s="16"/>
      <c r="Q341" s="16"/>
      <c r="R341" s="16"/>
      <c r="S341" s="88"/>
      <c r="T341" s="88"/>
      <c r="U341" s="97"/>
      <c r="V341" s="97"/>
      <c r="W341" s="97"/>
      <c r="X341" s="84"/>
    </row>
    <row r="342" spans="2:24">
      <c r="B342" s="4" t="s">
        <v>927</v>
      </c>
      <c r="C342" t="s">
        <v>1223</v>
      </c>
      <c r="G342" s="87"/>
      <c r="J342" s="85"/>
      <c r="K342" s="85"/>
      <c r="L342" s="16"/>
      <c r="M342" s="16"/>
      <c r="N342" s="16"/>
      <c r="O342" s="16"/>
      <c r="P342" s="16"/>
      <c r="Q342" s="16"/>
      <c r="R342" s="16"/>
      <c r="S342" s="88"/>
      <c r="T342" s="88"/>
      <c r="U342" s="88"/>
      <c r="V342" s="88"/>
      <c r="W342" s="88"/>
      <c r="X342" s="84"/>
    </row>
    <row r="343" spans="2:24">
      <c r="B343" s="4" t="s">
        <v>2244</v>
      </c>
      <c r="C343" t="s">
        <v>2353</v>
      </c>
      <c r="G343" s="6"/>
      <c r="X343" s="84"/>
    </row>
    <row r="344" spans="2:24">
      <c r="B344" s="4" t="s">
        <v>2242</v>
      </c>
      <c r="C344" t="s">
        <v>2243</v>
      </c>
      <c r="G344" s="6"/>
      <c r="X344" s="84"/>
    </row>
    <row r="345" spans="2:24">
      <c r="B345" s="4" t="s">
        <v>2158</v>
      </c>
      <c r="C345" t="s">
        <v>2159</v>
      </c>
      <c r="G345" s="6"/>
      <c r="X345" s="84"/>
    </row>
    <row r="346" spans="2:24">
      <c r="B346" s="4" t="s">
        <v>2354</v>
      </c>
      <c r="C346" t="s">
        <v>2355</v>
      </c>
      <c r="G346" s="6"/>
      <c r="X346" s="84"/>
    </row>
    <row r="347" spans="2:24">
      <c r="B347" s="4" t="s">
        <v>2356</v>
      </c>
      <c r="C347" t="s">
        <v>2357</v>
      </c>
      <c r="G347" s="6"/>
      <c r="X347" s="84"/>
    </row>
    <row r="348" spans="2:24">
      <c r="B348" s="4" t="s">
        <v>2358</v>
      </c>
      <c r="C348" t="s">
        <v>2280</v>
      </c>
      <c r="X348" s="84"/>
    </row>
    <row r="349" spans="2:24">
      <c r="B349" s="4" t="s">
        <v>2281</v>
      </c>
      <c r="C349" t="s">
        <v>2282</v>
      </c>
    </row>
    <row r="350" spans="2:24">
      <c r="B350" s="4" t="s">
        <v>2283</v>
      </c>
      <c r="C350" t="s">
        <v>2284</v>
      </c>
    </row>
    <row r="351" spans="2:24">
      <c r="B351" s="4" t="s">
        <v>2285</v>
      </c>
      <c r="C351" t="s">
        <v>2286</v>
      </c>
    </row>
    <row r="352" spans="2:24">
      <c r="B352" s="4" t="s">
        <v>2030</v>
      </c>
      <c r="C352" t="s">
        <v>2031</v>
      </c>
      <c r="G352" s="20"/>
    </row>
    <row r="353" spans="2:24">
      <c r="B353" s="4" t="s">
        <v>2287</v>
      </c>
      <c r="C353" t="s">
        <v>2288</v>
      </c>
    </row>
    <row r="354" spans="2:24">
      <c r="B354" s="4" t="s">
        <v>2289</v>
      </c>
      <c r="C354" t="s">
        <v>2041</v>
      </c>
      <c r="G354" s="20"/>
      <c r="X354" s="13"/>
    </row>
    <row r="355" spans="2:24">
      <c r="B355" s="4" t="s">
        <v>2042</v>
      </c>
      <c r="C355" t="s">
        <v>2043</v>
      </c>
      <c r="G355" s="20"/>
      <c r="X355" s="13"/>
    </row>
    <row r="356" spans="2:24">
      <c r="B356" s="4" t="s">
        <v>2044</v>
      </c>
      <c r="C356" t="s">
        <v>2045</v>
      </c>
      <c r="G356" s="20"/>
    </row>
    <row r="357" spans="2:24">
      <c r="B357" s="4" t="s">
        <v>2028</v>
      </c>
      <c r="C357" t="s">
        <v>2029</v>
      </c>
      <c r="G357" s="20"/>
      <c r="X357" s="13"/>
    </row>
    <row r="358" spans="2:24">
      <c r="B358" s="4" t="s">
        <v>2046</v>
      </c>
      <c r="C358" t="s">
        <v>2047</v>
      </c>
      <c r="G358" s="20"/>
    </row>
    <row r="359" spans="2:24">
      <c r="B359" s="4" t="s">
        <v>2048</v>
      </c>
      <c r="C359" t="s">
        <v>2049</v>
      </c>
      <c r="G359" s="20"/>
      <c r="X359" s="13"/>
    </row>
    <row r="360" spans="2:24">
      <c r="B360" s="4" t="s">
        <v>2050</v>
      </c>
      <c r="C360" t="s">
        <v>2051</v>
      </c>
      <c r="G360" s="20"/>
    </row>
    <row r="361" spans="2:24">
      <c r="B361" s="4" t="s">
        <v>2052</v>
      </c>
      <c r="C361" t="s">
        <v>2053</v>
      </c>
      <c r="G361" s="20"/>
      <c r="X361" s="13"/>
    </row>
    <row r="362" spans="2:24">
      <c r="B362" s="4" t="s">
        <v>2054</v>
      </c>
      <c r="C362" t="s">
        <v>1942</v>
      </c>
      <c r="G362" s="20"/>
      <c r="X362" s="13"/>
    </row>
    <row r="363" spans="2:24">
      <c r="B363" s="4" t="s">
        <v>1943</v>
      </c>
      <c r="C363" t="s">
        <v>1944</v>
      </c>
      <c r="G363" s="20"/>
      <c r="X363" s="13"/>
    </row>
    <row r="364" spans="2:24">
      <c r="B364" s="4" t="s">
        <v>2032</v>
      </c>
      <c r="C364" t="s">
        <v>2033</v>
      </c>
      <c r="G364" s="20"/>
      <c r="X364" s="13"/>
    </row>
    <row r="365" spans="2:24">
      <c r="B365" s="4" t="s">
        <v>2034</v>
      </c>
      <c r="C365" t="s">
        <v>2035</v>
      </c>
      <c r="G365" s="20"/>
    </row>
    <row r="366" spans="2:24">
      <c r="B366" s="4" t="s">
        <v>2036</v>
      </c>
      <c r="C366" t="s">
        <v>2037</v>
      </c>
      <c r="G366" s="20"/>
    </row>
    <row r="367" spans="2:24">
      <c r="B367" s="4" t="s">
        <v>2038</v>
      </c>
      <c r="C367" t="s">
        <v>2039</v>
      </c>
      <c r="G367" s="8"/>
    </row>
    <row r="368" spans="2:24">
      <c r="B368" s="4" t="s">
        <v>2040</v>
      </c>
      <c r="C368" t="s">
        <v>1960</v>
      </c>
      <c r="G368" s="12"/>
      <c r="X368" s="13"/>
    </row>
    <row r="369" spans="2:24">
      <c r="B369" s="4" t="s">
        <v>1961</v>
      </c>
      <c r="C369" t="s">
        <v>1962</v>
      </c>
      <c r="G369" s="8"/>
      <c r="X369" s="13"/>
    </row>
    <row r="370" spans="2:24">
      <c r="B370" s="4" t="s">
        <v>2431</v>
      </c>
      <c r="C370" t="s">
        <v>2432</v>
      </c>
    </row>
    <row r="371" spans="2:24">
      <c r="B371" s="4" t="s">
        <v>1963</v>
      </c>
      <c r="C371" t="s">
        <v>1945</v>
      </c>
    </row>
    <row r="372" spans="2:24">
      <c r="B372" s="4" t="s">
        <v>1946</v>
      </c>
      <c r="C372" t="s">
        <v>1947</v>
      </c>
    </row>
    <row r="373" spans="2:24">
      <c r="B373" s="4" t="s">
        <v>1948</v>
      </c>
      <c r="C373" t="s">
        <v>1949</v>
      </c>
    </row>
    <row r="374" spans="2:24">
      <c r="B374" s="4" t="s">
        <v>1950</v>
      </c>
      <c r="C374" t="s">
        <v>1951</v>
      </c>
    </row>
    <row r="375" spans="2:24">
      <c r="B375" s="4" t="s">
        <v>1952</v>
      </c>
      <c r="C375" t="s">
        <v>1953</v>
      </c>
    </row>
    <row r="376" spans="2:24">
      <c r="B376" s="4" t="s">
        <v>1954</v>
      </c>
      <c r="C376" t="s">
        <v>410</v>
      </c>
    </row>
    <row r="377" spans="2:24">
      <c r="B377" s="4" t="s">
        <v>1315</v>
      </c>
      <c r="C377" t="s">
        <v>530</v>
      </c>
    </row>
    <row r="378" spans="2:24">
      <c r="B378" s="4" t="s">
        <v>1955</v>
      </c>
      <c r="C378" t="s">
        <v>1956</v>
      </c>
    </row>
    <row r="379" spans="2:24">
      <c r="B379" s="4" t="s">
        <v>1957</v>
      </c>
      <c r="C379" t="s">
        <v>1958</v>
      </c>
    </row>
    <row r="380" spans="2:24">
      <c r="B380" s="4" t="s">
        <v>1959</v>
      </c>
      <c r="C380" t="s">
        <v>2245</v>
      </c>
    </row>
    <row r="381" spans="2:24">
      <c r="B381" s="4" t="s">
        <v>2246</v>
      </c>
      <c r="C381" t="s">
        <v>2247</v>
      </c>
    </row>
    <row r="382" spans="2:24">
      <c r="B382" s="4" t="s">
        <v>2248</v>
      </c>
      <c r="C382" t="s">
        <v>2249</v>
      </c>
    </row>
    <row r="383" spans="2:24">
      <c r="B383" s="4" t="s">
        <v>2250</v>
      </c>
      <c r="C383" t="s">
        <v>2251</v>
      </c>
    </row>
    <row r="384" spans="2:24">
      <c r="B384" s="4" t="s">
        <v>2252</v>
      </c>
      <c r="C384" t="s">
        <v>2253</v>
      </c>
    </row>
    <row r="385" spans="2:3">
      <c r="B385" s="4" t="s">
        <v>1744</v>
      </c>
      <c r="C385" t="s">
        <v>2255</v>
      </c>
    </row>
    <row r="386" spans="2:3">
      <c r="B386" s="4" t="s">
        <v>2215</v>
      </c>
      <c r="C386" t="s">
        <v>2216</v>
      </c>
    </row>
    <row r="387" spans="2:3">
      <c r="B387" s="4" t="s">
        <v>2256</v>
      </c>
      <c r="C387" t="s">
        <v>2257</v>
      </c>
    </row>
    <row r="388" spans="2:3">
      <c r="B388" s="4" t="s">
        <v>2258</v>
      </c>
      <c r="C388" t="s">
        <v>2259</v>
      </c>
    </row>
    <row r="389" spans="2:3">
      <c r="B389" s="4" t="s">
        <v>2260</v>
      </c>
      <c r="C389" t="s">
        <v>2261</v>
      </c>
    </row>
    <row r="390" spans="2:3">
      <c r="B390" s="4" t="s">
        <v>2262</v>
      </c>
      <c r="C390" t="s">
        <v>2062</v>
      </c>
    </row>
    <row r="391" spans="2:3">
      <c r="B391" s="4" t="s">
        <v>2263</v>
      </c>
      <c r="C391" t="s">
        <v>2264</v>
      </c>
    </row>
    <row r="392" spans="2:3">
      <c r="B392" s="4" t="s">
        <v>2179</v>
      </c>
      <c r="C392" t="s">
        <v>1953</v>
      </c>
    </row>
    <row r="393" spans="2:3">
      <c r="B393" s="4" t="s">
        <v>2180</v>
      </c>
      <c r="C393" t="s">
        <v>2181</v>
      </c>
    </row>
    <row r="394" spans="2:3">
      <c r="B394" s="4" t="s">
        <v>2182</v>
      </c>
      <c r="C394" t="s">
        <v>2183</v>
      </c>
    </row>
    <row r="395" spans="2:3">
      <c r="B395" s="4" t="s">
        <v>2182</v>
      </c>
      <c r="C395" t="s">
        <v>2184</v>
      </c>
    </row>
    <row r="396" spans="2:3">
      <c r="B396" s="4" t="s">
        <v>2026</v>
      </c>
      <c r="C396" t="s">
        <v>1763</v>
      </c>
    </row>
    <row r="397" spans="2:3">
      <c r="B397" s="4" t="s">
        <v>2024</v>
      </c>
      <c r="C397" t="s">
        <v>2025</v>
      </c>
    </row>
    <row r="398" spans="2:3">
      <c r="B398" s="4" t="s">
        <v>2022</v>
      </c>
      <c r="C398" t="s">
        <v>2023</v>
      </c>
    </row>
    <row r="399" spans="2:3">
      <c r="B399" s="4" t="s">
        <v>2185</v>
      </c>
      <c r="C399" t="s">
        <v>2186</v>
      </c>
    </row>
    <row r="400" spans="2:3">
      <c r="B400" s="4" t="s">
        <v>2187</v>
      </c>
      <c r="C400" t="s">
        <v>2019</v>
      </c>
    </row>
    <row r="401" spans="2:3">
      <c r="B401" s="4" t="s">
        <v>1764</v>
      </c>
      <c r="C401" t="s">
        <v>1765</v>
      </c>
    </row>
    <row r="402" spans="2:3">
      <c r="B402" s="4" t="s">
        <v>1986</v>
      </c>
      <c r="C402" t="s">
        <v>1987</v>
      </c>
    </row>
    <row r="403" spans="2:3">
      <c r="B403" s="4" t="s">
        <v>1766</v>
      </c>
      <c r="C403" t="s">
        <v>1985</v>
      </c>
    </row>
    <row r="404" spans="2:3">
      <c r="B404" s="4" t="s">
        <v>2020</v>
      </c>
      <c r="C404" t="s">
        <v>2021</v>
      </c>
    </row>
    <row r="405" spans="2:3">
      <c r="B405" s="4" t="s">
        <v>1988</v>
      </c>
      <c r="C405" t="s">
        <v>1813</v>
      </c>
    </row>
    <row r="406" spans="2:3">
      <c r="B406" s="4" t="s">
        <v>1814</v>
      </c>
      <c r="C406" t="s">
        <v>1815</v>
      </c>
    </row>
    <row r="407" spans="2:3">
      <c r="B407" s="4" t="s">
        <v>1816</v>
      </c>
      <c r="C407" t="s">
        <v>1989</v>
      </c>
    </row>
    <row r="408" spans="2:3">
      <c r="B408" s="4" t="s">
        <v>1990</v>
      </c>
      <c r="C408" t="s">
        <v>1991</v>
      </c>
    </row>
    <row r="409" spans="2:3">
      <c r="B409" s="4" t="s">
        <v>1992</v>
      </c>
      <c r="C409" t="s">
        <v>1993</v>
      </c>
    </row>
    <row r="410" spans="2:3">
      <c r="B410" s="4" t="s">
        <v>1994</v>
      </c>
      <c r="C410" t="s">
        <v>1995</v>
      </c>
    </row>
    <row r="411" spans="2:3">
      <c r="B411" s="4" t="s">
        <v>1996</v>
      </c>
      <c r="C411" t="s">
        <v>1997</v>
      </c>
    </row>
    <row r="412" spans="2:3">
      <c r="B412" s="4" t="s">
        <v>1998</v>
      </c>
      <c r="C412" t="s">
        <v>1999</v>
      </c>
    </row>
    <row r="413" spans="2:3">
      <c r="B413" s="4" t="s">
        <v>2000</v>
      </c>
      <c r="C413" t="s">
        <v>2001</v>
      </c>
    </row>
    <row r="414" spans="2:3">
      <c r="B414" s="4" t="s">
        <v>2002</v>
      </c>
      <c r="C414" t="s">
        <v>2003</v>
      </c>
    </row>
    <row r="415" spans="2:3">
      <c r="B415" s="4" t="s">
        <v>2004</v>
      </c>
      <c r="C415" t="s">
        <v>2005</v>
      </c>
    </row>
    <row r="416" spans="2:3">
      <c r="B416" s="4" t="s">
        <v>1432</v>
      </c>
      <c r="C416" t="s">
        <v>194</v>
      </c>
    </row>
    <row r="417" spans="2:3">
      <c r="B417" s="4" t="s">
        <v>1894</v>
      </c>
      <c r="C417" t="s">
        <v>1895</v>
      </c>
    </row>
    <row r="418" spans="2:3">
      <c r="B418" s="4" t="s">
        <v>1896</v>
      </c>
      <c r="C418" t="s">
        <v>1897</v>
      </c>
    </row>
    <row r="419" spans="2:3">
      <c r="B419" s="4" t="s">
        <v>1898</v>
      </c>
      <c r="C419" t="s">
        <v>1899</v>
      </c>
    </row>
    <row r="420" spans="2:3">
      <c r="B420" s="4" t="s">
        <v>1900</v>
      </c>
      <c r="C420" t="s">
        <v>1901</v>
      </c>
    </row>
    <row r="421" spans="2:3">
      <c r="B421" s="4" t="s">
        <v>1902</v>
      </c>
      <c r="C421" t="s">
        <v>1903</v>
      </c>
    </row>
    <row r="422" spans="2:3">
      <c r="B422" s="4" t="s">
        <v>1904</v>
      </c>
      <c r="C422" t="s">
        <v>1905</v>
      </c>
    </row>
    <row r="423" spans="2:3">
      <c r="B423" s="4" t="s">
        <v>1906</v>
      </c>
      <c r="C423" t="s">
        <v>1784</v>
      </c>
    </row>
    <row r="424" spans="2:3">
      <c r="B424" s="4" t="s">
        <v>1785</v>
      </c>
      <c r="C424" t="s">
        <v>1786</v>
      </c>
    </row>
    <row r="425" spans="2:3">
      <c r="B425" s="4" t="s">
        <v>1787</v>
      </c>
      <c r="C425" t="s">
        <v>1788</v>
      </c>
    </row>
    <row r="426" spans="2:3">
      <c r="B426" s="4" t="s">
        <v>1789</v>
      </c>
      <c r="C426" t="s">
        <v>1790</v>
      </c>
    </row>
    <row r="427" spans="2:3">
      <c r="B427" s="4" t="s">
        <v>1791</v>
      </c>
      <c r="C427" t="s">
        <v>1792</v>
      </c>
    </row>
    <row r="428" spans="2:3">
      <c r="B428" s="4" t="s">
        <v>1793</v>
      </c>
      <c r="C428" t="s">
        <v>1794</v>
      </c>
    </row>
    <row r="429" spans="2:3">
      <c r="B429" s="4" t="s">
        <v>1795</v>
      </c>
      <c r="C429" t="s">
        <v>1796</v>
      </c>
    </row>
    <row r="430" spans="2:3">
      <c r="B430" s="4" t="s">
        <v>1797</v>
      </c>
      <c r="C430" t="s">
        <v>1798</v>
      </c>
    </row>
    <row r="431" spans="2:3">
      <c r="B431" s="4" t="s">
        <v>1799</v>
      </c>
      <c r="C431" t="s">
        <v>1800</v>
      </c>
    </row>
    <row r="432" spans="2:3">
      <c r="B432" s="4" t="s">
        <v>1801</v>
      </c>
      <c r="C432" t="s">
        <v>1802</v>
      </c>
    </row>
    <row r="433" spans="2:3">
      <c r="B433" s="4" t="s">
        <v>1803</v>
      </c>
      <c r="C433" t="s">
        <v>1804</v>
      </c>
    </row>
  </sheetData>
  <mergeCells count="1">
    <mergeCell ref="D1:E1"/>
  </mergeCells>
  <phoneticPr fontId="10" type="noConversion"/>
  <conditionalFormatting sqref="B266 J268:K268">
    <cfRule type="cellIs" dxfId="0" priority="0" stopIfTrue="1" operator="equal">
      <formula>"U"</formula>
    </cfRule>
  </conditionalFormatting>
  <hyperlinks>
    <hyperlink ref="D153" r:id="rId1"/>
    <hyperlink ref="D152" r:id="rId2"/>
    <hyperlink ref="D155" r:id="rId3"/>
    <hyperlink ref="D149" r:id="rId4"/>
    <hyperlink ref="D150" r:id="rId5"/>
    <hyperlink ref="D151" r:id="rId6"/>
    <hyperlink ref="D138" r:id="rId7"/>
    <hyperlink ref="D141" r:id="rId8"/>
    <hyperlink ref="D134" r:id="rId9"/>
    <hyperlink ref="D135" r:id="rId10"/>
    <hyperlink ref="D140" r:id="rId11"/>
    <hyperlink ref="D146" r:id="rId12"/>
    <hyperlink ref="D147" r:id="rId13"/>
    <hyperlink ref="D143" r:id="rId14"/>
    <hyperlink ref="D139" r:id="rId15"/>
    <hyperlink ref="D137" r:id="rId16"/>
    <hyperlink ref="D136" r:id="rId17"/>
    <hyperlink ref="D133" r:id="rId18"/>
    <hyperlink ref="D145" r:id="rId19"/>
    <hyperlink ref="D119" r:id="rId20"/>
    <hyperlink ref="D127" r:id="rId21"/>
    <hyperlink ref="D120" r:id="rId22"/>
    <hyperlink ref="D115" r:id="rId23"/>
    <hyperlink ref="D131" r:id="rId24"/>
    <hyperlink ref="D132" r:id="rId25"/>
    <hyperlink ref="D122" r:id="rId26"/>
    <hyperlink ref="D130" r:id="rId27"/>
    <hyperlink ref="D123" r:id="rId28"/>
    <hyperlink ref="D113" r:id="rId29"/>
    <hyperlink ref="D129" r:id="rId30"/>
    <hyperlink ref="D125" r:id="rId31"/>
    <hyperlink ref="D121" r:id="rId32"/>
    <hyperlink ref="D117" r:id="rId33"/>
    <hyperlink ref="D114" r:id="rId34"/>
    <hyperlink ref="D100" r:id="rId35"/>
    <hyperlink ref="D106" r:id="rId36"/>
    <hyperlink ref="D111" r:id="rId37"/>
    <hyperlink ref="D96" r:id="rId38"/>
    <hyperlink ref="D101" r:id="rId39"/>
    <hyperlink ref="D107" r:id="rId40"/>
    <hyperlink ref="D98" r:id="rId41"/>
    <hyperlink ref="D102" r:id="rId42"/>
    <hyperlink ref="D97" r:id="rId43"/>
    <hyperlink ref="D108" r:id="rId44"/>
    <hyperlink ref="D109" r:id="rId45"/>
    <hyperlink ref="D99" r:id="rId46"/>
    <hyperlink ref="D103" r:id="rId47"/>
    <hyperlink ref="D112" r:id="rId48"/>
    <hyperlink ref="D105" r:id="rId49"/>
    <hyperlink ref="D85" r:id="rId50"/>
    <hyperlink ref="D92" r:id="rId51"/>
    <hyperlink ref="D94" r:id="rId52"/>
    <hyperlink ref="D95" r:id="rId53"/>
    <hyperlink ref="D88" r:id="rId54"/>
    <hyperlink ref="D93" r:id="rId55"/>
    <hyperlink ref="D87" r:id="rId56"/>
    <hyperlink ref="D84" r:id="rId57"/>
    <hyperlink ref="D86" r:id="rId58"/>
    <hyperlink ref="D90" r:id="rId59"/>
    <hyperlink ref="D89" r:id="rId60"/>
    <hyperlink ref="D91" r:id="rId61"/>
    <hyperlink ref="D76" r:id="rId62"/>
    <hyperlink ref="D82" r:id="rId63"/>
    <hyperlink ref="D80" r:id="rId64"/>
    <hyperlink ref="D77" r:id="rId65"/>
    <hyperlink ref="D83" r:id="rId66"/>
    <hyperlink ref="D78" r:id="rId67"/>
    <hyperlink ref="D71" r:id="rId68"/>
    <hyperlink ref="D72" r:id="rId69"/>
    <hyperlink ref="D73" r:id="rId70"/>
    <hyperlink ref="D74" r:id="rId71"/>
    <hyperlink ref="D75" r:id="rId72"/>
    <hyperlink ref="D59" r:id="rId73"/>
    <hyperlink ref="D70" r:id="rId74"/>
    <hyperlink ref="D69" r:id="rId75"/>
    <hyperlink ref="D66" r:id="rId76"/>
    <hyperlink ref="D65" r:id="rId77"/>
    <hyperlink ref="D62" r:id="rId78"/>
    <hyperlink ref="D64" r:id="rId79"/>
    <hyperlink ref="D58" r:id="rId80"/>
    <hyperlink ref="D57" r:id="rId81"/>
    <hyperlink ref="D61" r:id="rId82"/>
    <hyperlink ref="D60" r:id="rId83"/>
    <hyperlink ref="D56" r:id="rId84"/>
    <hyperlink ref="D54" r:id="rId85"/>
    <hyperlink ref="D50" r:id="rId86"/>
    <hyperlink ref="D51" r:id="rId87"/>
    <hyperlink ref="D52" r:id="rId88"/>
    <hyperlink ref="D53" r:id="rId89"/>
    <hyperlink ref="D45" r:id="rId90"/>
    <hyperlink ref="D43" r:id="rId91"/>
    <hyperlink ref="D47" r:id="rId92"/>
    <hyperlink ref="D44" r:id="rId93"/>
    <hyperlink ref="D48" r:id="rId94"/>
    <hyperlink ref="D38" r:id="rId95"/>
    <hyperlink ref="D37" r:id="rId96"/>
    <hyperlink ref="D39" r:id="rId97"/>
    <hyperlink ref="D35" r:id="rId98"/>
    <hyperlink ref="D31" r:id="rId99"/>
    <hyperlink ref="D34" r:id="rId100"/>
    <hyperlink ref="D32" r:id="rId101"/>
    <hyperlink ref="D33" r:id="rId102"/>
    <hyperlink ref="D26" r:id="rId103"/>
    <hyperlink ref="D27" r:id="rId104"/>
    <hyperlink ref="D30" r:id="rId105"/>
    <hyperlink ref="D25" r:id="rId106"/>
    <hyperlink ref="D29" r:id="rId107"/>
    <hyperlink ref="D18" r:id="rId108"/>
    <hyperlink ref="D21" r:id="rId109"/>
    <hyperlink ref="D23" r:id="rId110"/>
    <hyperlink ref="D20" r:id="rId111"/>
    <hyperlink ref="D19" r:id="rId112"/>
    <hyperlink ref="D15" r:id="rId113"/>
    <hyperlink ref="D14" r:id="rId114"/>
    <hyperlink ref="D81" r:id="rId115"/>
    <hyperlink ref="D67" r:id="rId116"/>
    <hyperlink ref="D49" r:id="rId117"/>
    <hyperlink ref="D46" r:id="rId118"/>
    <hyperlink ref="D41" r:id="rId119"/>
    <hyperlink ref="D28" r:id="rId120"/>
    <hyperlink ref="D24" r:id="rId121"/>
    <hyperlink ref="D13" r:id="rId122"/>
    <hyperlink ref="D10" r:id="rId123"/>
    <hyperlink ref="D9" r:id="rId124"/>
    <hyperlink ref="D8" r:id="rId125"/>
    <hyperlink ref="G81" r:id="rId126"/>
    <hyperlink ref="G67" r:id="rId127"/>
    <hyperlink ref="G49" r:id="rId128"/>
    <hyperlink ref="G46" r:id="rId129"/>
    <hyperlink ref="D11" r:id="rId130"/>
    <hyperlink ref="G28" r:id="rId131"/>
    <hyperlink ref="G13" r:id="rId132"/>
    <hyperlink ref="G8" r:id="rId133"/>
    <hyperlink ref="G10" r:id="rId134"/>
    <hyperlink ref="G11" r:id="rId135"/>
    <hyperlink ref="G24" r:id="rId136"/>
    <hyperlink ref="G41" r:id="rId137"/>
    <hyperlink ref="D160" r:id="rId138"/>
    <hyperlink ref="D162" r:id="rId139"/>
    <hyperlink ref="D167" r:id="rId140"/>
    <hyperlink ref="D173" r:id="rId141"/>
    <hyperlink ref="D148" r:id="rId142"/>
    <hyperlink ref="D158" r:id="rId143"/>
    <hyperlink ref="D154" r:id="rId144"/>
    <hyperlink ref="D190" r:id="rId145"/>
    <hyperlink ref="D187" r:id="rId146"/>
    <hyperlink ref="D188" r:id="rId147"/>
    <hyperlink ref="D189" r:id="rId148"/>
    <hyperlink ref="D194" r:id="rId149"/>
    <hyperlink ref="D184" r:id="rId150"/>
    <hyperlink ref="D195" r:id="rId151"/>
    <hyperlink ref="D192" r:id="rId152"/>
    <hyperlink ref="D191" r:id="rId153"/>
    <hyperlink ref="D177" r:id="rId154"/>
    <hyperlink ref="D164" r:id="rId155"/>
    <hyperlink ref="D193" r:id="rId156"/>
    <hyperlink ref="D170" r:id="rId157"/>
    <hyperlink ref="D172" r:id="rId158"/>
    <hyperlink ref="D169" r:id="rId159"/>
    <hyperlink ref="D166" r:id="rId160"/>
    <hyperlink ref="D171" r:id="rId161"/>
    <hyperlink ref="D175" r:id="rId162"/>
    <hyperlink ref="D174" r:id="rId163"/>
    <hyperlink ref="D168" r:id="rId164"/>
    <hyperlink ref="D163" r:id="rId165"/>
    <hyperlink ref="D165" r:id="rId166"/>
    <hyperlink ref="D202" r:id="rId167"/>
    <hyperlink ref="D199" r:id="rId168"/>
    <hyperlink ref="D178" r:id="rId169"/>
    <hyperlink ref="D159" r:id="rId170"/>
    <hyperlink ref="D142" r:id="rId171"/>
    <hyperlink ref="D124" r:id="rId172"/>
    <hyperlink ref="D128" r:id="rId173"/>
    <hyperlink ref="D116" r:id="rId174"/>
    <hyperlink ref="D104" r:id="rId175"/>
    <hyperlink ref="D110" r:id="rId176"/>
    <hyperlink ref="D68" r:id="rId177"/>
    <hyperlink ref="D55" r:id="rId178"/>
    <hyperlink ref="D17" r:id="rId179"/>
    <hyperlink ref="D12" r:id="rId180"/>
    <hyperlink ref="D22" r:id="rId181"/>
    <hyperlink ref="G14" r:id="rId182"/>
    <hyperlink ref="G20" r:id="rId183"/>
    <hyperlink ref="G18" r:id="rId184"/>
    <hyperlink ref="G19" r:id="rId185"/>
    <hyperlink ref="G21" r:id="rId186"/>
    <hyperlink ref="G23" r:id="rId187"/>
    <hyperlink ref="G25" r:id="rId188"/>
    <hyperlink ref="G26" r:id="rId189"/>
    <hyperlink ref="G30" r:id="rId190"/>
    <hyperlink ref="G31" r:id="rId191"/>
    <hyperlink ref="G32" r:id="rId192"/>
    <hyperlink ref="G34" r:id="rId193"/>
    <hyperlink ref="G38" r:id="rId194"/>
    <hyperlink ref="G39" r:id="rId195"/>
    <hyperlink ref="G43" r:id="rId196"/>
    <hyperlink ref="G44" r:id="rId197"/>
    <hyperlink ref="G45" r:id="rId198"/>
    <hyperlink ref="G47" r:id="rId199"/>
    <hyperlink ref="G50" r:id="rId200"/>
    <hyperlink ref="G51" r:id="rId201"/>
    <hyperlink ref="G52" r:id="rId202"/>
    <hyperlink ref="G53" r:id="rId203"/>
    <hyperlink ref="G54" r:id="rId204"/>
    <hyperlink ref="G55" r:id="rId205"/>
    <hyperlink ref="G56" r:id="rId206"/>
    <hyperlink ref="G57" r:id="rId207"/>
    <hyperlink ref="D79" r:id="rId208"/>
    <hyperlink ref="G79" r:id="rId209"/>
    <hyperlink ref="G58" r:id="rId210"/>
    <hyperlink ref="G59" r:id="rId211"/>
    <hyperlink ref="G61" r:id="rId212"/>
    <hyperlink ref="G62" r:id="rId213"/>
    <hyperlink ref="G64" r:id="rId214"/>
    <hyperlink ref="G65" r:id="rId215"/>
    <hyperlink ref="G66" r:id="rId216"/>
    <hyperlink ref="G68" r:id="rId217"/>
    <hyperlink ref="G69" r:id="rId218"/>
    <hyperlink ref="G70" r:id="rId219"/>
    <hyperlink ref="G71" r:id="rId220"/>
    <hyperlink ref="G72" r:id="rId221"/>
    <hyperlink ref="G73" r:id="rId222"/>
    <hyperlink ref="G74" r:id="rId223"/>
    <hyperlink ref="G75" r:id="rId224"/>
    <hyperlink ref="G76" r:id="rId225"/>
    <hyperlink ref="G77" r:id="rId226"/>
    <hyperlink ref="G78" r:id="rId227"/>
    <hyperlink ref="G80" r:id="rId228"/>
    <hyperlink ref="G82" r:id="rId229"/>
    <hyperlink ref="G83" r:id="rId230"/>
    <hyperlink ref="G84" r:id="rId231"/>
    <hyperlink ref="G85" r:id="rId232"/>
    <hyperlink ref="G86" r:id="rId233"/>
    <hyperlink ref="G87" r:id="rId234"/>
    <hyperlink ref="G88" r:id="rId235"/>
    <hyperlink ref="G89" r:id="rId236"/>
    <hyperlink ref="G90" r:id="rId237"/>
    <hyperlink ref="G91" r:id="rId238"/>
    <hyperlink ref="G92" r:id="rId239"/>
    <hyperlink ref="G93" r:id="rId240"/>
    <hyperlink ref="G94" r:id="rId241"/>
    <hyperlink ref="G95" r:id="rId242"/>
    <hyperlink ref="G96" r:id="rId243"/>
    <hyperlink ref="G97" r:id="rId244"/>
    <hyperlink ref="G99" r:id="rId245"/>
    <hyperlink ref="G100" r:id="rId246"/>
    <hyperlink ref="G101" r:id="rId247"/>
    <hyperlink ref="G102" r:id="rId248"/>
    <hyperlink ref="G103" r:id="rId249"/>
    <hyperlink ref="G105" r:id="rId250"/>
    <hyperlink ref="G104" r:id="rId251"/>
    <hyperlink ref="G106" r:id="rId252"/>
    <hyperlink ref="G107" r:id="rId253"/>
    <hyperlink ref="G108" r:id="rId254"/>
    <hyperlink ref="G109" r:id="rId255"/>
    <hyperlink ref="G111" r:id="rId256"/>
    <hyperlink ref="G110" r:id="rId257"/>
    <hyperlink ref="G112" r:id="rId258"/>
    <hyperlink ref="G113" r:id="rId259"/>
    <hyperlink ref="G116" r:id="rId260"/>
    <hyperlink ref="G114" r:id="rId261"/>
    <hyperlink ref="G115" r:id="rId262"/>
    <hyperlink ref="G117" r:id="rId263"/>
    <hyperlink ref="G119" r:id="rId264"/>
    <hyperlink ref="G121" r:id="rId265"/>
    <hyperlink ref="G122" r:id="rId266"/>
    <hyperlink ref="G123" r:id="rId267"/>
    <hyperlink ref="G124" r:id="rId268"/>
    <hyperlink ref="G125" r:id="rId269"/>
    <hyperlink ref="G129" r:id="rId270"/>
    <hyperlink ref="G130" r:id="rId271"/>
    <hyperlink ref="G131" r:id="rId272"/>
    <hyperlink ref="G132" r:id="rId273"/>
    <hyperlink ref="G135" r:id="rId274"/>
    <hyperlink ref="G136" r:id="rId275"/>
    <hyperlink ref="G137" r:id="rId276"/>
    <hyperlink ref="G138" r:id="rId277"/>
    <hyperlink ref="G139" r:id="rId278"/>
    <hyperlink ref="G141" r:id="rId279"/>
    <hyperlink ref="G142" r:id="rId280"/>
    <hyperlink ref="G143" r:id="rId281"/>
    <hyperlink ref="G145" r:id="rId282"/>
    <hyperlink ref="G147" r:id="rId283"/>
    <hyperlink ref="G146" r:id="rId284"/>
    <hyperlink ref="G148" r:id="rId285"/>
    <hyperlink ref="G149" r:id="rId286"/>
    <hyperlink ref="G150" r:id="rId287"/>
    <hyperlink ref="G151" r:id="rId288"/>
    <hyperlink ref="G152" r:id="rId289"/>
    <hyperlink ref="G153" r:id="rId290"/>
    <hyperlink ref="G154" r:id="rId291"/>
    <hyperlink ref="G155" r:id="rId292"/>
    <hyperlink ref="G158" r:id="rId293"/>
    <hyperlink ref="G159" r:id="rId294"/>
    <hyperlink ref="G160" r:id="rId295"/>
    <hyperlink ref="G162" r:id="rId296"/>
    <hyperlink ref="G163" r:id="rId297"/>
    <hyperlink ref="G164" r:id="rId298"/>
    <hyperlink ref="G165" r:id="rId299"/>
    <hyperlink ref="G166" r:id="rId300"/>
    <hyperlink ref="G167" r:id="rId301"/>
    <hyperlink ref="G168" r:id="rId302"/>
    <hyperlink ref="G170" r:id="rId303"/>
    <hyperlink ref="G171" r:id="rId304"/>
    <hyperlink ref="G172" r:id="rId305"/>
    <hyperlink ref="G173" r:id="rId306"/>
    <hyperlink ref="G174" r:id="rId307"/>
    <hyperlink ref="G175" r:id="rId308"/>
    <hyperlink ref="G177" r:id="rId309"/>
    <hyperlink ref="G178" r:id="rId310"/>
    <hyperlink ref="G184" r:id="rId311"/>
    <hyperlink ref="G187" r:id="rId312"/>
    <hyperlink ref="G188" r:id="rId313"/>
    <hyperlink ref="G189" r:id="rId314"/>
    <hyperlink ref="G190" r:id="rId315"/>
    <hyperlink ref="G191" r:id="rId316"/>
    <hyperlink ref="G192" r:id="rId317"/>
    <hyperlink ref="G193" r:id="rId318"/>
    <hyperlink ref="G194" r:id="rId319"/>
    <hyperlink ref="G195" r:id="rId320"/>
    <hyperlink ref="G202" r:id="rId321"/>
    <hyperlink ref="G60" r:id="rId322"/>
    <hyperlink ref="G63" r:id="rId323"/>
    <hyperlink ref="D63" r:id="rId324"/>
    <hyperlink ref="G144" r:id="rId325"/>
    <hyperlink ref="D144" r:id="rId326"/>
    <hyperlink ref="G161" r:id="rId327"/>
    <hyperlink ref="D161" r:id="rId328"/>
    <hyperlink ref="D16" r:id="rId329"/>
    <hyperlink ref="D126" r:id="rId330"/>
    <hyperlink ref="G126" r:id="rId331"/>
    <hyperlink ref="G140" r:id="rId332"/>
    <hyperlink ref="G199" r:id="rId333"/>
    <hyperlink ref="D185" r:id="rId334"/>
    <hyperlink ref="D200" r:id="rId335"/>
    <hyperlink ref="D197" r:id="rId336"/>
    <hyperlink ref="D180" r:id="rId337"/>
    <hyperlink ref="D181" r:id="rId338"/>
    <hyperlink ref="D204" r:id="rId339"/>
    <hyperlink ref="D179" r:id="rId340"/>
    <hyperlink ref="D219" r:id="rId341"/>
    <hyperlink ref="G185" r:id="rId342"/>
    <hyperlink ref="G200" r:id="rId343"/>
    <hyperlink ref="G180" r:id="rId344"/>
    <hyperlink ref="G219" r:id="rId345"/>
    <hyperlink ref="G197" r:id="rId346"/>
    <hyperlink ref="G181" r:id="rId347"/>
    <hyperlink ref="G204" r:id="rId348"/>
    <hyperlink ref="G179" r:id="rId349"/>
    <hyperlink ref="D157" r:id="rId350"/>
    <hyperlink ref="G157" r:id="rId351"/>
    <hyperlink ref="D42" r:id="rId352"/>
    <hyperlink ref="D40" r:id="rId353"/>
    <hyperlink ref="G40" r:id="rId354"/>
    <hyperlink ref="G156" r:id="rId355"/>
    <hyperlink ref="G42" r:id="rId356"/>
    <hyperlink ref="D36" r:id="rId357"/>
    <hyperlink ref="G36" r:id="rId358"/>
    <hyperlink ref="D203" r:id="rId359"/>
    <hyperlink ref="D186" r:id="rId360"/>
    <hyperlink ref="D176" r:id="rId361"/>
    <hyperlink ref="G203" r:id="rId362"/>
    <hyperlink ref="G186" r:id="rId363"/>
    <hyperlink ref="G176" r:id="rId364"/>
    <hyperlink ref="D201" r:id="rId365"/>
    <hyperlink ref="D182" r:id="rId366"/>
    <hyperlink ref="D198" r:id="rId367"/>
    <hyperlink ref="D216" r:id="rId368"/>
    <hyperlink ref="D212" r:id="rId369"/>
    <hyperlink ref="G201" r:id="rId370"/>
    <hyperlink ref="G182" r:id="rId371"/>
    <hyperlink ref="G198" r:id="rId372"/>
    <hyperlink ref="G216" r:id="rId373"/>
    <hyperlink ref="G212" r:id="rId374"/>
    <hyperlink ref="D196" r:id="rId375"/>
    <hyperlink ref="D224" r:id="rId376"/>
    <hyperlink ref="D217" r:id="rId377"/>
    <hyperlink ref="D218" r:id="rId378"/>
    <hyperlink ref="G196" r:id="rId379"/>
    <hyperlink ref="G224" r:id="rId380"/>
    <hyperlink ref="G217" r:id="rId381"/>
    <hyperlink ref="G218" r:id="rId382"/>
    <hyperlink ref="G120" r:id="rId383"/>
    <hyperlink ref="G127" r:id="rId384"/>
    <hyperlink ref="G134" r:id="rId385"/>
    <hyperlink ref="G169" r:id="rId386"/>
    <hyperlink ref="D222" r:id="rId387"/>
    <hyperlink ref="D221" r:id="rId388"/>
    <hyperlink ref="D214" r:id="rId389"/>
    <hyperlink ref="D220" r:id="rId390"/>
    <hyperlink ref="D213" r:id="rId391"/>
    <hyperlink ref="D210" r:id="rId392"/>
    <hyperlink ref="G222" r:id="rId393"/>
    <hyperlink ref="G221" r:id="rId394"/>
    <hyperlink ref="G214" r:id="rId395"/>
    <hyperlink ref="G220" r:id="rId396"/>
    <hyperlink ref="G213" r:id="rId397"/>
    <hyperlink ref="G210" r:id="rId398"/>
    <hyperlink ref="G208" r:id="rId399"/>
    <hyperlink ref="G183" r:id="rId400"/>
    <hyperlink ref="D183" r:id="rId401"/>
    <hyperlink ref="D208" r:id="rId402"/>
    <hyperlink ref="G12" r:id="rId403"/>
    <hyperlink ref="G16" r:id="rId404"/>
    <hyperlink ref="G17" r:id="rId405"/>
    <hyperlink ref="G27" r:id="rId406"/>
    <hyperlink ref="G35" r:id="rId407"/>
    <hyperlink ref="G37" r:id="rId408"/>
    <hyperlink ref="G15" r:id="rId409"/>
    <hyperlink ref="G22" r:id="rId410"/>
    <hyperlink ref="G48" r:id="rId411"/>
    <hyperlink ref="D223" r:id="rId412"/>
    <hyperlink ref="G223" r:id="rId413"/>
    <hyperlink ref="D225" r:id="rId414"/>
    <hyperlink ref="D227" r:id="rId415"/>
    <hyperlink ref="G225" r:id="rId416"/>
    <hyperlink ref="G227" r:id="rId417"/>
    <hyperlink ref="D229" r:id="rId418"/>
    <hyperlink ref="D226" r:id="rId419"/>
    <hyperlink ref="D230" r:id="rId420"/>
    <hyperlink ref="D205" r:id="rId421"/>
    <hyperlink ref="D228" r:id="rId422"/>
    <hyperlink ref="D231" r:id="rId423"/>
    <hyperlink ref="D211" r:id="rId424"/>
    <hyperlink ref="D206" r:id="rId425"/>
    <hyperlink ref="D215" r:id="rId426"/>
    <hyperlink ref="G205" r:id="rId427"/>
    <hyperlink ref="G206" r:id="rId428"/>
    <hyperlink ref="G215" r:id="rId429"/>
    <hyperlink ref="G211" r:id="rId430"/>
    <hyperlink ref="G226" r:id="rId431"/>
    <hyperlink ref="G228" r:id="rId432"/>
    <hyperlink ref="G229" r:id="rId433"/>
    <hyperlink ref="G230" r:id="rId434"/>
    <hyperlink ref="G231" r:id="rId435"/>
    <hyperlink ref="D207" r:id="rId436"/>
    <hyperlink ref="G207" r:id="rId437"/>
    <hyperlink ref="D232" r:id="rId438"/>
    <hyperlink ref="B1" location="Intro!A1" display="Intro"/>
    <hyperlink ref="F1" location="Graphs!A1" display="Graphs"/>
    <hyperlink ref="D1" location="Summary!A1" display="Summary"/>
    <hyperlink ref="D1:E1" location="Summary!A1" display="Summary"/>
  </hyperlinks>
  <pageMargins left="0.75" right="0.75" top="1" bottom="1" header="0.5" footer="0.5"/>
  <pageSetup paperSize="9" orientation="portrait" r:id="rId439"/>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sheetPr published="0" codeName="Sheet115" enableFormatConditionsCalculation="0"/>
  <dimension ref="A1:BM5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289</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I44-O37</f>
        <v>3</v>
      </c>
      <c r="AD7" s="89"/>
    </row>
    <row r="8" spans="2:30">
      <c r="B8" t="s">
        <v>822</v>
      </c>
      <c r="D8">
        <f>SUM(H24:H26)</f>
        <v>122</v>
      </c>
      <c r="E8" t="s">
        <v>298</v>
      </c>
      <c r="F8">
        <f>Summary!C78</f>
        <v>0.8</v>
      </c>
      <c r="AD8" s="89"/>
    </row>
    <row r="9" spans="2:30">
      <c r="B9" t="s">
        <v>823</v>
      </c>
      <c r="D9">
        <f>SUM(I24:I26)</f>
        <v>111</v>
      </c>
      <c r="AD9" s="89"/>
    </row>
    <row r="11" spans="2:30">
      <c r="B11" s="27" t="s">
        <v>516</v>
      </c>
      <c r="C11" s="28"/>
      <c r="D11" s="109">
        <f>P39</f>
        <v>2.3054531310647359</v>
      </c>
      <c r="E11" s="110" t="s">
        <v>1513</v>
      </c>
      <c r="F11" s="103"/>
    </row>
    <row r="12" spans="2:30">
      <c r="B12" s="30" t="s">
        <v>826</v>
      </c>
      <c r="C12" s="31"/>
      <c r="D12" s="112">
        <f>P41</f>
        <v>13.249158135072015</v>
      </c>
      <c r="E12" s="31"/>
      <c r="F12" s="105"/>
    </row>
    <row r="13" spans="2:30">
      <c r="B13" s="35" t="s">
        <v>825</v>
      </c>
      <c r="C13" s="36"/>
      <c r="D13" s="113">
        <f>P40</f>
        <v>0.31577461438573534</v>
      </c>
      <c r="E13" s="111" t="s">
        <v>825</v>
      </c>
      <c r="F13" s="115">
        <f>Q48</f>
        <v>0.65891356612310537</v>
      </c>
    </row>
    <row r="15" spans="2:30">
      <c r="B15" s="39" t="s">
        <v>879</v>
      </c>
      <c r="C15" s="40"/>
      <c r="D15" s="41">
        <f>AH41</f>
        <v>-0.31682535165863157</v>
      </c>
      <c r="E15" s="116"/>
    </row>
    <row r="16" spans="2:30">
      <c r="B16" s="43" t="s">
        <v>1165</v>
      </c>
      <c r="C16" s="31"/>
      <c r="D16" s="33">
        <f>AH41-AH43</f>
        <v>-0.58924918849675456</v>
      </c>
      <c r="E16" s="117">
        <f>AH41+AH42</f>
        <v>-4.4401514820508636E-2</v>
      </c>
    </row>
    <row r="17" spans="1:65">
      <c r="B17" s="45" t="s">
        <v>1166</v>
      </c>
      <c r="C17" s="46"/>
      <c r="D17" s="123">
        <f>M42</f>
        <v>2.2640072989409843E-2</v>
      </c>
      <c r="E17" s="118"/>
    </row>
    <row r="18" spans="1:65">
      <c r="D18" s="48"/>
      <c r="F18" s="49"/>
    </row>
    <row r="19" spans="1:65">
      <c r="B19" s="50" t="s">
        <v>1167</v>
      </c>
      <c r="C19" s="51"/>
      <c r="D19" s="52">
        <f>AH45</f>
        <v>-0.3138798638350726</v>
      </c>
      <c r="E19" s="120"/>
      <c r="F19" s="33"/>
      <c r="G19" s="31"/>
    </row>
    <row r="20" spans="1:65">
      <c r="B20" s="53" t="s">
        <v>1165</v>
      </c>
      <c r="C20" s="31"/>
      <c r="D20" s="33">
        <f>AH45-AH47</f>
        <v>-0.60724424201758476</v>
      </c>
      <c r="E20" s="121">
        <f>AH45+AH46</f>
        <v>-2.051548565256045E-2</v>
      </c>
      <c r="F20" s="31"/>
      <c r="G20" s="31"/>
    </row>
    <row r="21" spans="1:65">
      <c r="B21" s="54" t="s">
        <v>1440</v>
      </c>
      <c r="C21" s="55"/>
      <c r="D21" s="114">
        <f>M53</f>
        <v>3.5987712120582716E-2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14623065</v>
      </c>
      <c r="C24" s="1" t="str">
        <f>IF($B24="","",HYPERLINK(IF(LEN(VLOOKUP($B24,Database!$B$1:$IX$10144,2,FALSE))=0,"",VLOOKUP($B24,Database!$B$1:$IX$10144,2,FALSE))))</f>
        <v/>
      </c>
      <c r="D24" s="1" t="str">
        <f>IF($B24="","",HYPERLINK(CONCATENATE("http://www.ncbi.nlm.nih.gov/pubmed/",B24)))</f>
        <v>http://www.ncbi.nlm.nih.gov/pubmed/14623065</v>
      </c>
      <c r="E24" s="22" t="str">
        <f>IF($B24="","",IF(LEN(VLOOKUP($B24,Database!$B$1:$IX$10144,4,FALSE))=0,"",VLOOKUP($B24,Database!$B$1:$IX$10144,4,FALSE)))</f>
        <v>Lacerda AL</v>
      </c>
      <c r="F24" s="22">
        <f>IF($B24="","",IF(LEN(VLOOKUP($B24,Database!$B$1:$IX$10144,5,FALSE))=0,"",VLOOKUP($B24,Database!$B$1:$IX$10144,5,FALSE)))</f>
        <v>2003</v>
      </c>
      <c r="G24" s="1" t="str">
        <f>IF($B24="","",HYPERLINK(IF(LEN(VLOOKUP($B24,Database!$B$1:$IX$10144,6,FALSE))=0,"",VLOOKUP($B24,Database!$B$1:$IX$10144,6,FALSE))))</f>
        <v>http://dx.doi.org/10.1016/S0925-4927(03)00123-9</v>
      </c>
      <c r="H24" s="22">
        <f>IF($B24="","",IF(LEN(VLOOKUP($B24,Database!$B$1:$IX$10144,7,FALSE))=0,"",VLOOKUP($B24,Database!$B$1:$IX$10144,7,FALSE)))</f>
        <v>25</v>
      </c>
      <c r="I24" s="22">
        <f>IF($B24="","",IF(LEN(VLOOKUP($B24,Database!$B$1:$IX$10144,8,FALSE))=0,"",VLOOKUP($B24,Database!$B$1:$IX$10144,8,FALSE)))</f>
        <v>48</v>
      </c>
      <c r="J24" t="s">
        <v>290</v>
      </c>
      <c r="L24">
        <v>1.48</v>
      </c>
      <c r="M24">
        <v>0.18</v>
      </c>
      <c r="N24">
        <v>1.44</v>
      </c>
      <c r="O24">
        <v>0.22</v>
      </c>
      <c r="P24">
        <v>1.51</v>
      </c>
      <c r="Q24">
        <v>0.23</v>
      </c>
      <c r="R24">
        <v>1.56</v>
      </c>
      <c r="S24">
        <v>0.26</v>
      </c>
      <c r="T24">
        <f>L24+P24</f>
        <v>2.99</v>
      </c>
      <c r="U24">
        <f>2*SQRT(0.25*(M24^2+Q24^2+2*$F$8*M24*Q24))</f>
        <v>0.38928138922892269</v>
      </c>
      <c r="V24">
        <f>N24+R24</f>
        <v>3</v>
      </c>
      <c r="W24">
        <f>2*SQRT(0.25*(O24^2+S24^2+2*$F$8*O24*S24))</f>
        <v>0.45554363128025405</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41.2</v>
      </c>
      <c r="AC24" s="22">
        <f>IF(OR($B24="",AC$22=""),"",IF(LEN(VLOOKUP($B24,Database!$B$1:$IX$10144,AC$22,FALSE))=0,"",VLOOKUP($B24,Database!$B$1:$IX$10144,AC$22,FALSE)))</f>
        <v>11.04</v>
      </c>
      <c r="AD24" s="22">
        <f>IF(OR($B24="",AD$22=""),"",IF(LEN(VLOOKUP($B24,Database!$B$1:$IX$10144,AD$22,FALSE))=0,"",VLOOKUP($B24,Database!$B$1:$IX$10144,AD$22,FALSE)))</f>
        <v>35.06</v>
      </c>
      <c r="AE24" s="22">
        <f>IF(OR($B24="",AE$22=""),"",IF(LEN(VLOOKUP($B24,Database!$B$1:$IX$10144,AE$22,FALSE))=0,"",VLOOKUP($B24,Database!$B$1:$IX$10144,AE$22,FALSE)))</f>
        <v>10.029999999999999</v>
      </c>
      <c r="AF24" s="22">
        <f>IF(OR($B24="",AF$22=""),"",IF(LEN(VLOOKUP($B24,Database!$B$1:$IX$10144,AF$22,FALSE))=0,"",VLOOKUP($B24,Database!$B$1:$IX$10144,AF$22,FALSE)))</f>
        <v>4</v>
      </c>
      <c r="AG24" s="22">
        <f>IF(OR($B24="",AG$22=""),"",IF(LEN(VLOOKUP($B24,Database!$B$1:$IX$10144,AG$22,FALSE))=0,"",VLOOKUP($B24,Database!$B$1:$IX$10144,AG$22,FALSE)))</f>
        <v>29</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29.44</v>
      </c>
      <c r="AL24" s="22">
        <f>IF(OR($B24="",AL$22=""),"",IF(LEN(VLOOKUP($B24,Database!$B$1:$IX$10144,AL$22,FALSE))=0,"",VLOOKUP($B24,Database!$B$1:$IX$10144,AL$22,FALSE)))</f>
        <v>10.91</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Lacerda AL, Nicoletti MA, Brambilla P, Sassi RB, Mallinger AG, Frank E, Kupfer DJ, Keshavan MS, Soares JC.</v>
      </c>
      <c r="AR24" s="13"/>
      <c r="BC24" s="23"/>
      <c r="BF24" s="136"/>
      <c r="BG24" s="136"/>
      <c r="BH24" s="136"/>
      <c r="BI24" s="136"/>
    </row>
    <row r="25" spans="1:65">
      <c r="B25" s="13">
        <v>18075490</v>
      </c>
      <c r="C25" s="1" t="str">
        <f>IF($B25="","",HYPERLINK(IF(LEN(VLOOKUP($B25,Database!$B$1:$IX$10144,2,FALSE))=0,"",VLOOKUP($B25,Database!$B$1:$IX$10144,2,FALSE))))</f>
        <v/>
      </c>
      <c r="D25" s="1" t="str">
        <f>IF($B25="","",HYPERLINK(CONCATENATE("http://www.ncbi.nlm.nih.gov/pubmed/",B25)))</f>
        <v>http://www.ncbi.nlm.nih.gov/pubmed/18075490</v>
      </c>
      <c r="E25" s="22" t="str">
        <f>IF($B25="","",IF(LEN(VLOOKUP($B25,Database!$B$1:$IX$10144,4,FALSE))=0,"",VLOOKUP($B25,Database!$B$1:$IX$10144,4,FALSE)))</f>
        <v>Andreescu C</v>
      </c>
      <c r="F25" s="22">
        <f>IF($B25="","",IF(LEN(VLOOKUP($B25,Database!$B$1:$IX$10144,5,FALSE))=0,"",VLOOKUP($B25,Database!$B$1:$IX$10144,5,FALSE)))</f>
        <v>2008</v>
      </c>
      <c r="G25" s="1" t="str">
        <f>IF($B25="","",HYPERLINK(IF(LEN(VLOOKUP($B25,Database!$B$1:$IX$10144,6,FALSE))=0,"",VLOOKUP($B25,Database!$B$1:$IX$10144,6,FALSE))))</f>
        <v>http://www.nature.com/npp/journal/v33/n11/pdf/1301655a.pdf</v>
      </c>
      <c r="H25" s="22">
        <f>IF($B25="","",IF(LEN(VLOOKUP($B25,Database!$B$1:$IX$10144,7,FALSE))=0,"",VLOOKUP($B25,Database!$B$1:$IX$10144,7,FALSE)))</f>
        <v>71</v>
      </c>
      <c r="I25" s="22">
        <f>IF($B25="","",IF(LEN(VLOOKUP($B25,Database!$B$1:$IX$10144,8,FALSE))=0,"",VLOOKUP($B25,Database!$B$1:$IX$10144,8,FALSE)))</f>
        <v>32</v>
      </c>
      <c r="J25" t="s">
        <v>291</v>
      </c>
      <c r="T25">
        <v>0.4</v>
      </c>
      <c r="U25">
        <v>7.0000000000000007E-2</v>
      </c>
      <c r="V25">
        <v>0.44</v>
      </c>
      <c r="W25">
        <v>0.09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72.2</v>
      </c>
      <c r="AC25" s="22">
        <f>IF(OR($B25="",AC$22=""),"",IF(LEN(VLOOKUP($B25,Database!$B$1:$IX$10144,AC$22,FALSE))=0,"",VLOOKUP($B25,Database!$B$1:$IX$10144,AC$22,FALSE)))</f>
        <v>6.2</v>
      </c>
      <c r="AD25" s="22">
        <f>IF(OR($B25="",AD$22=""),"",IF(LEN(VLOOKUP($B25,Database!$B$1:$IX$10144,AD$22,FALSE))=0,"",VLOOKUP($B25,Database!$B$1:$IX$10144,AD$22,FALSE)))</f>
        <v>71</v>
      </c>
      <c r="AE25" s="22">
        <f>IF(OR($B25="",AE$22=""),"",IF(LEN(VLOOKUP($B25,Database!$B$1:$IX$10144,AE$22,FALSE))=0,"",VLOOKUP($B25,Database!$B$1:$IX$10144,AE$22,FALSE)))</f>
        <v>6.7</v>
      </c>
      <c r="AF25" s="22">
        <f>IF(OR($B25="",AF$22=""),"",IF(LEN(VLOOKUP($B25,Database!$B$1:$IX$10144,AF$22,FALSE))=0,"",VLOOKUP($B25,Database!$B$1:$IX$10144,AF$22,FALSE)))</f>
        <v>49</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52.3</v>
      </c>
      <c r="AL25" s="22">
        <f>IF(OR($B25="",AL$22=""),"",IF(LEN(VLOOKUP($B25,Database!$B$1:$IX$10144,AL$22,FALSE))=0,"",VLOOKUP($B25,Database!$B$1:$IX$10144,AL$22,FALSE)))</f>
        <v>18.3</v>
      </c>
      <c r="AM25" s="22">
        <f>IF(OR($B25="",AM$22=""),"",IF(LEN(VLOOKUP($B25,Database!$B$1:$IX$10144,AM$22,FALSE))=0,"",VLOOKUP($B25,Database!$B$1:$IX$10144,AM$22,FALSE)))</f>
        <v>16.901408450704224</v>
      </c>
      <c r="AN25" s="22" t="str">
        <f>IF(OR($B25="",AN$22=""),"",IF(LEN(VLOOKUP($B25,Database!$B$1:$IX$10144,AN$22,FALSE))=0,"",VLOOKUP($B25,Database!$B$1:$IX$10144,AN$22,FALSE)))</f>
        <v>ns</v>
      </c>
      <c r="AO25" s="22">
        <f>IF(OR($B25="",AO$22=""),"",IF(LEN(VLOOKUP($B25,Database!$B$1:$IX$10144,AO$22,FALSE))=0,"",VLOOKUP($B25,Database!$B$1:$IX$10144,AO$22,FALSE)))</f>
        <v>1.4084507042253522</v>
      </c>
      <c r="AP25" s="22" t="str">
        <f>IF(OR($B25="",AP$22=""),"",IF(LEN(VLOOKUP($B25,Database!$B$1:$IX$10144,AP$22,FALSE))=0,"",VLOOKUP($B25,Database!$B$1:$IX$10144,AP$22,FALSE)))</f>
        <v>ns</v>
      </c>
      <c r="AQ25" s="22" t="str">
        <f>IF(OR($B25="",AQ$22=""),"",IF(LEN(VLOOKUP($B25,Database!$B$1:$IX$10144,AQ$22,FALSE))=0,"",VLOOKUP($B25,Database!$B$1:$IX$10144,AQ$22,FALSE)))</f>
        <v>Andreescu C, Butters MA, Begley A, Rajji T, Wu M, Meltzer CC, Reynolds CF 3rd, Aizenstein H.</v>
      </c>
      <c r="AR25" s="13"/>
      <c r="BC25" s="23"/>
      <c r="BF25" s="136"/>
      <c r="BG25" s="136"/>
      <c r="BH25" s="136"/>
      <c r="BI25" s="136"/>
    </row>
    <row r="26" spans="1:65">
      <c r="B26" s="13">
        <v>19411368</v>
      </c>
      <c r="C26" s="1" t="str">
        <f>IF($B26="","",HYPERLINK(IF(LEN(VLOOKUP($B26,Database!$B$1:$IX$10144,2,FALSE))=0,"",VLOOKUP($B26,Database!$B$1:$IX$10144,2,FALSE))))</f>
        <v/>
      </c>
      <c r="D26" s="1" t="str">
        <f>IF($B26="","",HYPERLINK(CONCATENATE("http://www.ncbi.nlm.nih.gov/pubmed/",B26)))</f>
        <v>http://www.ncbi.nlm.nih.gov/pubmed/19411368</v>
      </c>
      <c r="E26" s="22" t="str">
        <f>IF($B26="","",IF(LEN(VLOOKUP($B26,Database!$B$1:$IX$10144,4,FALSE))=0,"",VLOOKUP($B26,Database!$B$1:$IX$10144,4,FALSE)))</f>
        <v>Pizzagalli DA</v>
      </c>
      <c r="F26" s="22">
        <f>IF($B26="","",IF(LEN(VLOOKUP($B26,Database!$B$1:$IX$10144,5,FALSE))=0,"",VLOOKUP($B26,Database!$B$1:$IX$10144,5,FALSE)))</f>
        <v>2009</v>
      </c>
      <c r="G26" s="1" t="str">
        <f>IF($B26="","",HYPERLINK(IF(LEN(VLOOKUP($B26,Database!$B$1:$IX$10144,6,FALSE))=0,"",VLOOKUP($B26,Database!$B$1:$IX$10144,6,FALSE))))</f>
        <v>http://ajp.psychiatryonline.org/cgi/reprint/166/6/702</v>
      </c>
      <c r="H26" s="83">
        <v>26</v>
      </c>
      <c r="I26" s="22">
        <f>IF($B26="","",IF(LEN(VLOOKUP($B26,Database!$B$1:$IX$10144,8,FALSE))=0,"",VLOOKUP($B26,Database!$B$1:$IX$10144,8,FALSE)))</f>
        <v>31</v>
      </c>
      <c r="J26" t="s">
        <v>292</v>
      </c>
      <c r="L26">
        <v>1659</v>
      </c>
      <c r="M26">
        <v>248</v>
      </c>
      <c r="N26">
        <v>1718</v>
      </c>
      <c r="O26">
        <v>252</v>
      </c>
      <c r="P26">
        <v>1658</v>
      </c>
      <c r="Q26">
        <v>287</v>
      </c>
      <c r="R26">
        <v>1781</v>
      </c>
      <c r="S26">
        <v>279</v>
      </c>
      <c r="T26">
        <f>L26+P26</f>
        <v>3317</v>
      </c>
      <c r="U26">
        <f>2*SQRT(0.25*(M26^2+Q26^2+2*$F$8*M26*Q26))</f>
        <v>507.69538110957836</v>
      </c>
      <c r="V26">
        <f>N26+R26</f>
        <v>3499</v>
      </c>
      <c r="W26">
        <f>2*SQRT(0.25*(O26^2+S26^2+2*$F$8*O26*S26))</f>
        <v>503.82318326968641</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38.799999999999997</v>
      </c>
      <c r="AE26" s="22">
        <f>IF(OR($B26="",AE$22=""),"",IF(LEN(VLOOKUP($B26,Database!$B$1:$IX$10144,AE$22,FALSE))=0,"",VLOOKUP($B26,Database!$B$1:$IX$10144,AE$22,FALSE)))</f>
        <v>14.48</v>
      </c>
      <c r="AF26" s="22">
        <f>IF(OR($B26="",AF$22=""),"",IF(LEN(VLOOKUP($B26,Database!$B$1:$IX$10144,AF$22,FALSE))=0,"",VLOOKUP($B26,Database!$B$1:$IX$10144,AF$22,FALSE)))</f>
        <v>15</v>
      </c>
      <c r="AG26" s="22">
        <f>IF(OR($B26="",AG$22=""),"",IF(LEN(VLOOKUP($B26,Database!$B$1:$IX$10144,AG$22,FALSE))=0,"",VLOOKUP($B26,Database!$B$1:$IX$10144,AG$22,FALSE)))</f>
        <v>13</v>
      </c>
      <c r="AH26" s="22">
        <f>IF(OR($B26="",AH$22=""),"",IF(LEN(VLOOKUP($B26,Database!$B$1:$IX$10144,AH$22,FALSE))=0,"",VLOOKUP($B26,Database!$B$1:$IX$10144,AH$22,FALSE)))</f>
        <v>1.5</v>
      </c>
      <c r="AI26" s="22">
        <f>IF(OR($B26="",AI$22=""),"",IF(LEN(VLOOKUP($B26,Database!$B$1:$IX$10144,AI$22,FALSE))=0,"",VLOOKUP($B26,Database!$B$1:$IX$10144,AI$22,FALSE)))</f>
        <v>1.33</v>
      </c>
      <c r="AJ26" s="22" t="str">
        <f>IF(OR($B26="",AJ$22=""),"",IF(LEN(VLOOKUP($B26,Database!$B$1:$IX$10144,AJ$22,FALSE))=0,"",VLOOKUP($B26,Database!$B$1:$IX$10144,AJ$22,FALSE)))</f>
        <v/>
      </c>
      <c r="AK26" s="22">
        <f>IF(OR($B26="",AK$22=""),"",IF(LEN(VLOOKUP($B26,Database!$B$1:$IX$10144,AK$22,FALSE))=0,"",VLOOKUP($B26,Database!$B$1:$IX$10144,AK$22,FALSE)))</f>
        <v>29.39</v>
      </c>
      <c r="AL26" s="22">
        <f>IF(OR($B26="",AL$22=""),"",IF(LEN(VLOOKUP($B26,Database!$B$1:$IX$10144,AL$22,FALSE))=0,"",VLOOKUP($B26,Database!$B$1:$IX$10144,AL$22,FALSE)))</f>
        <v>15.98</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Pizzagalli DA, Holmes AJ, Dillon DG, Goetz EL, Birk JL, Bogdan R, Dougherty DD, Iosifescu DV, Rauch SL, Fava M.</v>
      </c>
      <c r="AR26" s="13"/>
      <c r="BC26" s="23"/>
      <c r="BF26" s="136"/>
      <c r="BG26" s="136"/>
      <c r="BH26" s="136"/>
      <c r="BI26" s="136"/>
    </row>
    <row r="27" spans="1:65">
      <c r="B27" s="13"/>
      <c r="C27" s="1" t="str">
        <f>IF($B27="","",HYPERLINK(IF(LEN(VLOOKUP($B27,Database!$B$1:$IX$10144,2,FALSE))=0,"",VLOOKUP($B27,Database!$B$1:$IX$10144,2,FALSE))))</f>
        <v/>
      </c>
      <c r="D27" s="1" t="str">
        <f>IF($B27="","",HYPERLINK(CONCATENATE("http://www.ncbi.nlm.nih.gov/pubmed/",B27)))</f>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B29" s="13"/>
      <c r="C29" s="1" t="str">
        <f>IF($B29="","",HYPERLINK(IF(LEN(VLOOKUP($B29,Database!$B$1:$IX$10144,2,FALSE))=0,"",VLOOKUP($B29,Database!$B$1:$IX$10144,2,FALSE))))</f>
        <v/>
      </c>
      <c r="D29" s="1" t="str">
        <f>IF($B29="","",HYPERLINK(CONCATENATE("http://www.ncbi.nlm.nih.gov/pubmed/",B29)))</f>
        <v/>
      </c>
      <c r="E29" s="22" t="str">
        <f>IF($B29="","",IF(LEN(VLOOKUP($B29,Database!$B$1:$IX$10144,4,FALSE))=0,"",VLOOKUP($B29,Database!$B$1:$IX$10144,4,FALSE)))</f>
        <v/>
      </c>
      <c r="F29" s="22" t="str">
        <f>IF($B29="","",IF(LEN(VLOOKUP($B29,Database!$B$1:$IX$10144,5,FALSE))=0,"",VLOOKUP($B29,Database!$B$1:$IX$10144,5,FALSE)))</f>
        <v/>
      </c>
      <c r="G29" s="1" t="str">
        <f>IF($B29="","",HYPERLINK(IF(LEN(VLOOKUP($B29,Database!$B$1:$IX$10144,6,FALSE))=0,"",VLOOKUP($B29,Database!$B$1:$IX$10144,6,FALSE))))</f>
        <v/>
      </c>
      <c r="H29" s="22" t="str">
        <f>IF($B29="","",IF(LEN(VLOOKUP($B29,Database!$B$1:$IX$10144,7,FALSE))=0,"",VLOOKUP($B29,Database!$B$1:$IX$10144,7,FALSE)))</f>
        <v/>
      </c>
      <c r="I29" s="22" t="str">
        <f>IF($B29="","",IF(LEN(VLOOKUP($B29,Database!$B$1:$IX$10144,8,FALSE))=0,"",VLOOKUP($B29,Database!$B$1:$IX$10144,8,FALSE)))</f>
        <v/>
      </c>
      <c r="AE29" s="22" t="str">
        <f>IF(OR($B29="",AE$22=""),"",IF(LEN(VLOOKUP($B29,Database!$B$1:$IX$10144,AE$22,FALSE))=0,"",VLOOKUP($B29,Database!$B$1:$IX$10144,AE$22,FALSE)))</f>
        <v/>
      </c>
      <c r="AF29" s="22" t="str">
        <f>IF(OR($B29="",AF$22=""),"",IF(LEN(VLOOKUP($B29,Database!$B$1:$IX$10144,AF$22,FALSE))=0,"",VLOOKUP($B29,Database!$B$1:$IX$10144,AF$22,FALSE)))</f>
        <v/>
      </c>
      <c r="AG29" s="22" t="str">
        <f>IF(OR($B29="",AG$22=""),"",IF(LEN(VLOOKUP($B29,Database!$B$1:$IX$10144,AG$22,FALSE))=0,"",VLOOKUP($B29,Database!$B$1:$IX$10144,AG$22,FALSE)))</f>
        <v/>
      </c>
      <c r="AH29" s="22" t="str">
        <f>IF(OR($B29="",AH$22=""),"",IF(LEN(VLOOKUP($B29,Database!$B$1:$IX$10144,AH$22,FALSE))=0,"",VLOOKUP($B29,Database!$B$1:$IX$10144,AH$22,FALSE)))</f>
        <v/>
      </c>
      <c r="AI29" s="22" t="str">
        <f>IF(OR($B29="",AI$22=""),"",IF(LEN(VLOOKUP($B29,Database!$B$1:$IX$10144,AI$22,FALSE))=0,"",VLOOKUP($B29,Database!$B$1:$IX$10144,AI$22,FALSE)))</f>
        <v/>
      </c>
      <c r="AJ29" s="22" t="str">
        <f>IF(OR($B29="",AJ$22=""),"",IF(LEN(VLOOKUP($B29,Database!$B$1:$IX$10144,AJ$22,FALSE))=0,"",VLOOKUP($B29,Database!$B$1:$IX$10144,AJ$22,FALSE)))</f>
        <v/>
      </c>
      <c r="AK29" s="22" t="str">
        <f>IF(OR($B29="",AK$22=""),"",IF(LEN(VLOOKUP($B29,Database!$B$1:$IX$10144,AK$22,FALSE))=0,"",VLOOKUP($B29,Database!$B$1:$IX$10144,AK$22,FALSE)))</f>
        <v/>
      </c>
      <c r="AL29" s="22" t="str">
        <f>IF(OR($B29="",AL$22=""),"",IF(LEN(VLOOKUP($B29,Database!$B$1:$IX$10144,AL$22,FALSE))=0,"",VLOOKUP($B29,Database!$B$1:$IX$10144,AL$22,FALSE)))</f>
        <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
      </c>
    </row>
    <row r="30" spans="1:65">
      <c r="I30" s="22" t="str">
        <f>IF($B30="","",IF(LEN(VLOOKUP($B30,Database!$B$1:$IX$10144,8,FALSE))=0,"",VLOOKUP($B30,Database!$B$1:$IX$10144,8,FALSE)))</f>
        <v/>
      </c>
      <c r="AF30" t="s">
        <v>602</v>
      </c>
      <c r="AJ30" t="s">
        <v>329</v>
      </c>
      <c r="AN30" t="s">
        <v>330</v>
      </c>
    </row>
    <row r="31" spans="1:65" ht="45" customHeight="1">
      <c r="E31" s="60" t="s">
        <v>617</v>
      </c>
      <c r="F31" s="60" t="s">
        <v>740</v>
      </c>
      <c r="G31" s="60" t="s">
        <v>244</v>
      </c>
      <c r="H31" s="60" t="s">
        <v>245</v>
      </c>
      <c r="I31" s="60" t="s">
        <v>246</v>
      </c>
      <c r="J31" s="60" t="s">
        <v>593</v>
      </c>
      <c r="K31" s="60" t="s">
        <v>1039</v>
      </c>
      <c r="L31" s="60" t="s">
        <v>594</v>
      </c>
      <c r="M31" s="60" t="s">
        <v>1299</v>
      </c>
      <c r="N31" s="61" t="s">
        <v>595</v>
      </c>
      <c r="O31" s="61" t="s">
        <v>596</v>
      </c>
      <c r="P31" s="61" t="s">
        <v>597</v>
      </c>
      <c r="Q31" s="61" t="s">
        <v>598</v>
      </c>
      <c r="R31" s="61" t="s">
        <v>599</v>
      </c>
      <c r="S31" s="61" t="s">
        <v>600</v>
      </c>
      <c r="T31" s="61" t="s">
        <v>601</v>
      </c>
      <c r="U31" s="61" t="s">
        <v>484</v>
      </c>
      <c r="V31" s="61" t="s">
        <v>485</v>
      </c>
      <c r="W31" s="61" t="s">
        <v>486</v>
      </c>
      <c r="AF31" s="61" t="s">
        <v>1517</v>
      </c>
      <c r="AG31" s="62" t="s">
        <v>834</v>
      </c>
      <c r="AH31" s="62" t="s">
        <v>835</v>
      </c>
      <c r="AJ31" s="61" t="s">
        <v>836</v>
      </c>
      <c r="AK31" s="61" t="s">
        <v>837</v>
      </c>
      <c r="AL31" s="61" t="s">
        <v>487</v>
      </c>
      <c r="AN31" t="s">
        <v>488</v>
      </c>
      <c r="AO31" t="s">
        <v>489</v>
      </c>
      <c r="AP31" t="s">
        <v>490</v>
      </c>
      <c r="AQ31" t="s">
        <v>491</v>
      </c>
      <c r="AR31" t="s">
        <v>492</v>
      </c>
      <c r="AS31" t="s">
        <v>493</v>
      </c>
      <c r="AT31" t="s">
        <v>494</v>
      </c>
      <c r="AU31" t="s">
        <v>495</v>
      </c>
      <c r="AV31" t="s">
        <v>496</v>
      </c>
      <c r="AW31" t="s">
        <v>497</v>
      </c>
      <c r="AX31" t="s">
        <v>498</v>
      </c>
      <c r="AY31" t="s">
        <v>499</v>
      </c>
      <c r="AZ31" t="s">
        <v>249</v>
      </c>
      <c r="BA31" t="s">
        <v>2203</v>
      </c>
      <c r="BB31" t="s">
        <v>2204</v>
      </c>
    </row>
    <row r="32" spans="1:65">
      <c r="E32" t="str">
        <f t="shared" ref="E32:F34" si="0">E24</f>
        <v>Lacerda AL</v>
      </c>
      <c r="F32">
        <f t="shared" si="0"/>
        <v>2003</v>
      </c>
      <c r="G32">
        <v>3</v>
      </c>
      <c r="H32">
        <f t="shared" ref="H32:I34" si="1">H24</f>
        <v>25</v>
      </c>
      <c r="I32">
        <f t="shared" si="1"/>
        <v>48</v>
      </c>
      <c r="J32">
        <f t="shared" ref="J32:M34" si="2">IF($D$4="Total",T24,IF($D$4="Left",L24,IF($D$4="Right",P24,"error")))</f>
        <v>2.99</v>
      </c>
      <c r="K32">
        <f t="shared" si="2"/>
        <v>0.38928138922892269</v>
      </c>
      <c r="L32">
        <f t="shared" si="2"/>
        <v>3</v>
      </c>
      <c r="M32">
        <f t="shared" si="2"/>
        <v>0.45554363128025405</v>
      </c>
      <c r="N32">
        <f>IF($D$3=1,SQRT((((I32-1)*(M32)^2)+((H32-1)*(K32)^2))/(H32+I32-2)),M32)</f>
        <v>0.43427777182189692</v>
      </c>
      <c r="O32" s="59">
        <f>IF($D$6=1,LN(J32/L32),IF($D$5=1,(1-3/(4*(H32+I32)-9))*((J32-L32)/N32),(J32-L32)/N32))</f>
        <v>-2.2782637230900314E-2</v>
      </c>
      <c r="P32" s="63">
        <f>IF($D$6=1,(K32^2)/(H32*J32^2)+(M32^2)/(I32*L32^2),(IF($D$5=1,((H32+I32)/(H32*I32))+(O32*O32)/(2*(H32+I32-3.94)),((H32+I32)/(H32*I32))+((O32^2)/(2*(H32+I32-2))))))</f>
        <v>6.0837091286990989E-2</v>
      </c>
      <c r="Q32" s="59">
        <f>$R$51*SQRT(P32)</f>
        <v>0.48343745188814713</v>
      </c>
      <c r="R32" s="59">
        <f>1/P32</f>
        <v>16.437340754551055</v>
      </c>
      <c r="S32" s="59">
        <f>O32*R32</f>
        <v>-0.37448597145162993</v>
      </c>
      <c r="T32" s="59">
        <f>R32*(O32^2)</f>
        <v>8.5317780356437764E-3</v>
      </c>
      <c r="U32" s="23">
        <f>R32^2</f>
        <v>270.18617108122504</v>
      </c>
      <c r="V32" s="59">
        <f>1/((1/R32)+$I$48)</f>
        <v>14.319317868718565</v>
      </c>
      <c r="W32" s="59">
        <f>V32*O32</f>
        <v>-0.32623182439696374</v>
      </c>
      <c r="AF32" s="59">
        <f>IF($D$6=1,100*((EXP(O32))-1),O32)</f>
        <v>-2.2782637230900314E-2</v>
      </c>
      <c r="AG32" s="59">
        <f>IF($D$6=1,100*(EXP(O32+Q32)-EXP(O32)),Q32)</f>
        <v>0.48343745188814713</v>
      </c>
      <c r="AH32" s="59">
        <f>IF($D$6=1,100*(EXP(O32)-EXP(O32-Q32)),Q32)</f>
        <v>0.48343745188814713</v>
      </c>
      <c r="AJ32">
        <f>SQRT(P32)</f>
        <v>0.24665176116742202</v>
      </c>
      <c r="AK32">
        <f>1/AJ32</f>
        <v>4.0542990460190591</v>
      </c>
      <c r="AL32">
        <f>O32/AJ32</f>
        <v>-9.2367624391037448E-2</v>
      </c>
      <c r="AN32" t="str">
        <f t="shared" ref="AN32:AO34" si="3">E32</f>
        <v>Lacerda AL</v>
      </c>
      <c r="AO32">
        <f t="shared" si="3"/>
        <v>2003</v>
      </c>
      <c r="AP32" t="str">
        <f>CONCATENATE(AN32," ",AO32)</f>
        <v>Lacerda AL 2003</v>
      </c>
      <c r="AQ32">
        <f>INT(H32)</f>
        <v>25</v>
      </c>
      <c r="AR32">
        <f t="shared" ref="AR32:AS34" si="4">J32</f>
        <v>2.99</v>
      </c>
      <c r="AS32">
        <f t="shared" si="4"/>
        <v>0.38928138922892269</v>
      </c>
      <c r="AT32">
        <f>INT(I32)</f>
        <v>48</v>
      </c>
      <c r="AU32">
        <f t="shared" ref="AU32:AV34" si="5">L32</f>
        <v>3</v>
      </c>
      <c r="AV32">
        <f t="shared" si="5"/>
        <v>0.45554363128025405</v>
      </c>
      <c r="AW32" s="65">
        <f>O32</f>
        <v>-2.2782637230900314E-2</v>
      </c>
      <c r="AX32">
        <f>SQRT(P32)</f>
        <v>0.24665176116742202</v>
      </c>
      <c r="AY32" t="str">
        <f>$F$3</f>
        <v>Pooled SD</v>
      </c>
      <c r="AZ32">
        <f>AB24</f>
        <v>41.2</v>
      </c>
      <c r="BA32">
        <f t="shared" ref="BA32:BB34" si="6">AI24</f>
        <v>5</v>
      </c>
      <c r="BB32" t="str">
        <f t="shared" si="6"/>
        <v/>
      </c>
    </row>
    <row r="33" spans="5:54">
      <c r="E33" t="str">
        <f t="shared" si="0"/>
        <v>Andreescu C</v>
      </c>
      <c r="F33">
        <f t="shared" si="0"/>
        <v>2008</v>
      </c>
      <c r="G33">
        <v>2</v>
      </c>
      <c r="H33">
        <f t="shared" si="1"/>
        <v>71</v>
      </c>
      <c r="I33">
        <f t="shared" si="1"/>
        <v>32</v>
      </c>
      <c r="J33">
        <f t="shared" si="2"/>
        <v>0.4</v>
      </c>
      <c r="K33">
        <f t="shared" si="2"/>
        <v>7.0000000000000007E-2</v>
      </c>
      <c r="L33">
        <f t="shared" si="2"/>
        <v>0.44</v>
      </c>
      <c r="M33">
        <f t="shared" si="2"/>
        <v>0.09</v>
      </c>
      <c r="N33">
        <f>IF($D$3=1,SQRT((((I33-1)*(M33)^2)+((H33-1)*(K33)^2))/(H33+I33-2)),M33)</f>
        <v>7.6695359819364456E-2</v>
      </c>
      <c r="O33" s="59">
        <f>IF($D$6=1,LN(J33/L33),IF($D$5=1,(1-3/(4*(H33+I33)-9))*((J33-L33)/N33),(J33-L33)/N33))</f>
        <v>-0.5176614770975505</v>
      </c>
      <c r="P33" s="63">
        <f>IF($D$6=1,(K33^2)/(H33*J33^2)+(M33^2)/(I33*L33^2),(IF($D$5=1,((H33+I33)/(H33*I33))+(O33*O33)/(2*(H33+I33-3.94)),((H33+I33)/(H33*I33))+((O33^2)/(2*(H33+I33-2))))))</f>
        <v>4.668708833071919E-2</v>
      </c>
      <c r="Q33" s="59">
        <f>$R$51*SQRT(P33)</f>
        <v>0.42350102541940893</v>
      </c>
      <c r="R33" s="59">
        <f>1/P33</f>
        <v>21.419198235629093</v>
      </c>
      <c r="S33" s="59">
        <f>O33*R33</f>
        <v>-11.087893796901003</v>
      </c>
      <c r="T33" s="59">
        <f>R33*(O33^2)</f>
        <v>5.7397754808045418</v>
      </c>
      <c r="U33" s="23">
        <f>R33^2</f>
        <v>458.78205305717643</v>
      </c>
      <c r="V33" s="59">
        <f>1/((1/R33)+$I$48)</f>
        <v>17.957923398617357</v>
      </c>
      <c r="W33" s="59">
        <f>V33*O33</f>
        <v>-9.2961251521329249</v>
      </c>
      <c r="AF33" s="59">
        <f>IF($D$6=1,100*((EXP(O33))-1),O33)</f>
        <v>-0.5176614770975505</v>
      </c>
      <c r="AG33" s="59">
        <f>IF($D$6=1,100*(EXP(O33+Q33)-EXP(O33)),Q33)</f>
        <v>0.42350102541940893</v>
      </c>
      <c r="AH33" s="59">
        <f>IF($D$6=1,100*(EXP(O33)-EXP(O33-Q33)),Q33)</f>
        <v>0.42350102541940893</v>
      </c>
      <c r="AJ33">
        <f>SQRT(P33)</f>
        <v>0.2160719517445964</v>
      </c>
      <c r="AK33">
        <f>1/AJ33</f>
        <v>4.6280879675767927</v>
      </c>
      <c r="AL33">
        <f>O33/AJ33</f>
        <v>-2.3957828534332029</v>
      </c>
      <c r="AN33" t="str">
        <f t="shared" si="3"/>
        <v>Andreescu C</v>
      </c>
      <c r="AO33">
        <f t="shared" si="3"/>
        <v>2008</v>
      </c>
      <c r="AP33" t="str">
        <f>CONCATENATE(AN33," ",AO33)</f>
        <v>Andreescu C 2008</v>
      </c>
      <c r="AQ33">
        <f>INT(H33)</f>
        <v>71</v>
      </c>
      <c r="AR33">
        <f t="shared" si="4"/>
        <v>0.4</v>
      </c>
      <c r="AS33">
        <f t="shared" si="4"/>
        <v>7.0000000000000007E-2</v>
      </c>
      <c r="AT33">
        <f>INT(I33)</f>
        <v>32</v>
      </c>
      <c r="AU33">
        <f t="shared" si="5"/>
        <v>0.44</v>
      </c>
      <c r="AV33">
        <f t="shared" si="5"/>
        <v>0.09</v>
      </c>
      <c r="AW33" s="65">
        <f>O33</f>
        <v>-0.5176614770975505</v>
      </c>
      <c r="AX33">
        <f>SQRT(P33)</f>
        <v>0.2160719517445964</v>
      </c>
      <c r="AY33" t="str">
        <f>$F$4</f>
        <v>Total</v>
      </c>
      <c r="AZ33">
        <f>AB25</f>
        <v>72.2</v>
      </c>
      <c r="BA33">
        <f t="shared" si="6"/>
        <v>1.5</v>
      </c>
      <c r="BB33" t="str">
        <f t="shared" si="6"/>
        <v/>
      </c>
    </row>
    <row r="34" spans="5:54">
      <c r="E34" t="str">
        <f t="shared" si="0"/>
        <v>Pizzagalli DA</v>
      </c>
      <c r="F34">
        <f t="shared" si="0"/>
        <v>2009</v>
      </c>
      <c r="G34">
        <v>1</v>
      </c>
      <c r="H34">
        <f t="shared" si="1"/>
        <v>26</v>
      </c>
      <c r="I34">
        <f t="shared" si="1"/>
        <v>31</v>
      </c>
      <c r="J34">
        <f t="shared" si="2"/>
        <v>3317</v>
      </c>
      <c r="K34">
        <f t="shared" si="2"/>
        <v>507.69538110957836</v>
      </c>
      <c r="L34">
        <f t="shared" si="2"/>
        <v>3499</v>
      </c>
      <c r="M34">
        <f t="shared" si="2"/>
        <v>503.82318326968641</v>
      </c>
      <c r="N34">
        <f>IF($D$3=1,SQRT((((I34-1)*(M34)^2)+((H34-1)*(K34)^2))/(H34+I34-2)),M34)</f>
        <v>505.58694963019332</v>
      </c>
      <c r="O34" s="59">
        <f>IF($D$6=1,LN(J34/L34),IF($D$5=1,(1-3/(4*(H34+I34)-9))*((J34-L34)/N34),(J34-L34)/N34))</f>
        <v>-0.35504644541629693</v>
      </c>
      <c r="P34" s="63">
        <f>IF($D$6=1,(K34^2)/(H34*J34^2)+(M34^2)/(I34*L34^2),(IF($D$5=1,((H34+I34)/(H34*I34))+(O34*O34)/(2*(H34+I34-3.94)),((H34+I34)/(H34*I34))+((O34^2)/(2*(H34+I34-2))))))</f>
        <v>7.1907484417572762E-2</v>
      </c>
      <c r="Q34" s="59">
        <f>$R$51*SQRT(P34)</f>
        <v>0.52558519018190331</v>
      </c>
      <c r="R34" s="59">
        <f>1/P34</f>
        <v>13.906758219949909</v>
      </c>
      <c r="S34" s="59">
        <f>O34*R34</f>
        <v>-4.937545073257084</v>
      </c>
      <c r="T34" s="59">
        <f>R34*(O34^2)</f>
        <v>1.7530578273426771</v>
      </c>
      <c r="U34" s="23">
        <f>R34^2</f>
        <v>193.39792418814437</v>
      </c>
      <c r="V34" s="59">
        <f>1/((1/R34)+$I$48)</f>
        <v>12.36000410744243</v>
      </c>
      <c r="W34" s="59">
        <f>V34*O34</f>
        <v>-4.3883755236782642</v>
      </c>
      <c r="AF34" s="59">
        <f>IF($D$6=1,100*((EXP(O34))-1),O34)</f>
        <v>-0.35504644541629693</v>
      </c>
      <c r="AG34" s="59">
        <f>IF($D$6=1,100*(EXP(O34+Q34)-EXP(O34)),Q34)</f>
        <v>0.52558519018190331</v>
      </c>
      <c r="AH34" s="59">
        <f>IF($D$6=1,100*(EXP(O34)-EXP(O34-Q34)),Q34)</f>
        <v>0.52558519018190331</v>
      </c>
      <c r="AJ34">
        <f>SQRT(P34)</f>
        <v>0.2681557092764813</v>
      </c>
      <c r="AK34">
        <f>1/AJ34</f>
        <v>3.7291766142072045</v>
      </c>
      <c r="AL34">
        <f>O34/AJ34</f>
        <v>-1.3240309012038491</v>
      </c>
      <c r="AN34" t="str">
        <f t="shared" si="3"/>
        <v>Pizzagalli DA</v>
      </c>
      <c r="AO34">
        <f t="shared" si="3"/>
        <v>2009</v>
      </c>
      <c r="AP34" t="str">
        <f>CONCATENATE(AN34," ",AO34)</f>
        <v>Pizzagalli DA 2009</v>
      </c>
      <c r="AQ34">
        <f>INT(H34)</f>
        <v>26</v>
      </c>
      <c r="AR34">
        <f t="shared" si="4"/>
        <v>3317</v>
      </c>
      <c r="AS34">
        <f t="shared" si="4"/>
        <v>507.69538110957836</v>
      </c>
      <c r="AT34">
        <f>INT(I34)</f>
        <v>31</v>
      </c>
      <c r="AU34">
        <f t="shared" si="5"/>
        <v>3499</v>
      </c>
      <c r="AV34">
        <f t="shared" si="5"/>
        <v>503.82318326968641</v>
      </c>
      <c r="AW34" s="65">
        <f>O34</f>
        <v>-0.35504644541629693</v>
      </c>
      <c r="AX34">
        <f>SQRT(P34)</f>
        <v>0.2681557092764813</v>
      </c>
      <c r="AY34" t="str">
        <f>$F$6</f>
        <v>Cohens Effect size</v>
      </c>
      <c r="BA34">
        <f t="shared" si="6"/>
        <v>1.33</v>
      </c>
      <c r="BB34" t="str">
        <f t="shared" si="6"/>
        <v/>
      </c>
    </row>
    <row r="35" spans="5:54">
      <c r="U35" s="23"/>
    </row>
    <row r="36" spans="5:54">
      <c r="L36" t="s">
        <v>500</v>
      </c>
      <c r="N36" s="7"/>
      <c r="O36" s="66">
        <f>COUNT(O32:O34)</f>
        <v>3</v>
      </c>
      <c r="Q36" t="s">
        <v>885</v>
      </c>
      <c r="R36" s="59">
        <f t="shared" ref="R36:W36" si="7">SUM(R32:R34)</f>
        <v>51.763297210130055</v>
      </c>
      <c r="S36" s="59">
        <f t="shared" si="7"/>
        <v>-16.399924841609717</v>
      </c>
      <c r="T36" s="59">
        <f t="shared" si="7"/>
        <v>7.5013650861828625</v>
      </c>
      <c r="U36" s="23">
        <f t="shared" si="7"/>
        <v>922.36614832654573</v>
      </c>
      <c r="V36" s="59">
        <f t="shared" si="7"/>
        <v>44.637245374778352</v>
      </c>
      <c r="W36" s="59">
        <f t="shared" si="7"/>
        <v>-14.010732500208153</v>
      </c>
    </row>
    <row r="37" spans="5:54">
      <c r="L37" t="s">
        <v>501</v>
      </c>
      <c r="N37" s="7"/>
      <c r="O37" s="2">
        <v>0</v>
      </c>
    </row>
    <row r="38" spans="5:54">
      <c r="N38" s="7"/>
      <c r="O38" s="7"/>
    </row>
    <row r="39" spans="5:54">
      <c r="G39" s="67" t="s">
        <v>502</v>
      </c>
      <c r="H39" s="40"/>
      <c r="I39" s="40">
        <f>S36/R36</f>
        <v>-0.31682535165863157</v>
      </c>
      <c r="J39" s="40"/>
      <c r="K39" s="68" t="s">
        <v>879</v>
      </c>
      <c r="L39" s="40"/>
      <c r="M39" s="42"/>
      <c r="N39" s="7"/>
      <c r="O39" s="69" t="s">
        <v>503</v>
      </c>
      <c r="P39" s="70">
        <f>T36-((S36^2)/R36)</f>
        <v>2.3054531310647359</v>
      </c>
      <c r="Q39" s="71" t="s">
        <v>824</v>
      </c>
      <c r="R39" s="28"/>
      <c r="S39" s="29"/>
      <c r="T39" s="30"/>
      <c r="U39" s="31"/>
      <c r="AF39" s="2" t="s">
        <v>1518</v>
      </c>
    </row>
    <row r="40" spans="5:54">
      <c r="G40" s="43" t="s">
        <v>504</v>
      </c>
      <c r="H40" s="31"/>
      <c r="I40" s="31">
        <f>1/R36</f>
        <v>1.9318707537901981E-2</v>
      </c>
      <c r="J40" s="31"/>
      <c r="K40" s="31"/>
      <c r="L40" s="31"/>
      <c r="M40" s="44"/>
      <c r="N40" s="7"/>
      <c r="O40" s="30" t="s">
        <v>505</v>
      </c>
      <c r="P40" s="31">
        <f>CHIDIST(P39,I44-1)</f>
        <v>0.31577461438573534</v>
      </c>
      <c r="Q40" s="31"/>
      <c r="R40" s="31"/>
      <c r="S40" s="34"/>
      <c r="T40" s="30"/>
      <c r="U40" s="31"/>
      <c r="AF40" s="2"/>
    </row>
    <row r="41" spans="5:54">
      <c r="G41" s="72" t="s">
        <v>506</v>
      </c>
      <c r="H41" s="31"/>
      <c r="I41" s="31">
        <f>$R$51*SQRT(I40)</f>
        <v>0.27242383683812293</v>
      </c>
      <c r="J41" s="31"/>
      <c r="K41" s="31" t="s">
        <v>507</v>
      </c>
      <c r="L41" s="31"/>
      <c r="M41" s="44">
        <f>ABS(I39/SQRT(I40))</f>
        <v>2.2794543108204928</v>
      </c>
      <c r="N41" s="7"/>
      <c r="O41" s="35" t="s">
        <v>508</v>
      </c>
      <c r="P41" s="37">
        <f>IF(((P39-(I44-1))/P39)&lt;0,0,100*((P39-(I44-1))/P39))</f>
        <v>13.249158135072015</v>
      </c>
      <c r="Q41" s="36"/>
      <c r="R41" s="36"/>
      <c r="S41" s="38"/>
      <c r="T41" s="30"/>
      <c r="U41" s="31"/>
      <c r="AF41" s="2" t="s">
        <v>1535</v>
      </c>
      <c r="AH41">
        <f>IF($D$6=1,100*((EXP(I39))-1),I39)</f>
        <v>-0.31682535165863157</v>
      </c>
    </row>
    <row r="42" spans="5:54">
      <c r="G42" s="45" t="s">
        <v>509</v>
      </c>
      <c r="H42" s="46"/>
      <c r="I42" s="46">
        <v>-2</v>
      </c>
      <c r="J42" s="46"/>
      <c r="K42" s="46" t="s">
        <v>825</v>
      </c>
      <c r="L42" s="46"/>
      <c r="M42" s="47">
        <f>2*(1-NORMDIST(M41,0,1,1))</f>
        <v>2.2640072989409843E-2</v>
      </c>
      <c r="N42" s="7"/>
      <c r="O42" s="7"/>
      <c r="AF42" s="79" t="s">
        <v>834</v>
      </c>
      <c r="AH42">
        <f>IF($D$6=1,100*(EXP(I39+I41)-EXP(I39)),I41)</f>
        <v>0.27242383683812293</v>
      </c>
    </row>
    <row r="43" spans="5:54">
      <c r="G43" s="40"/>
      <c r="H43" s="40"/>
      <c r="I43" s="40"/>
      <c r="J43" s="40"/>
      <c r="K43" s="40"/>
      <c r="L43" s="40"/>
      <c r="M43" s="40"/>
      <c r="N43" s="7"/>
      <c r="O43" s="7"/>
      <c r="AF43" s="79" t="s">
        <v>835</v>
      </c>
      <c r="AH43">
        <f>IF($D$6=1,100*(EXP(I39)-EXP(I39-I41)),I41)</f>
        <v>0.27242383683812293</v>
      </c>
    </row>
    <row r="44" spans="5:54">
      <c r="G44" s="73" t="s">
        <v>1110</v>
      </c>
      <c r="H44" s="74"/>
      <c r="I44" s="74">
        <f>O36</f>
        <v>3</v>
      </c>
      <c r="J44" s="74"/>
      <c r="K44" s="75" t="s">
        <v>1167</v>
      </c>
      <c r="L44" s="74"/>
      <c r="M44" s="76"/>
      <c r="N44" s="77"/>
      <c r="O44" s="101" t="s">
        <v>1513</v>
      </c>
      <c r="P44" s="102"/>
      <c r="Q44" s="103"/>
      <c r="AF44" s="7"/>
    </row>
    <row r="45" spans="5:54">
      <c r="G45" s="77" t="s">
        <v>1531</v>
      </c>
      <c r="H45" s="31"/>
      <c r="I45" s="31">
        <f>R36/I44</f>
        <v>17.254432403376686</v>
      </c>
      <c r="J45" s="31"/>
      <c r="K45" s="31"/>
      <c r="L45" s="31"/>
      <c r="M45" s="78"/>
      <c r="N45" s="77"/>
      <c r="O45" s="104" t="s">
        <v>1514</v>
      </c>
      <c r="P45" s="31"/>
      <c r="Q45" s="105">
        <f>INDEX(LINEST(AL32:AL34,AK32:AK34,TRUE,TRUE),1,2)</f>
        <v>5.0021989126655821</v>
      </c>
      <c r="AF45" s="2" t="s">
        <v>1687</v>
      </c>
      <c r="AH45">
        <f>IF($D$6=1,100*((EXP(I50))-1),I50)</f>
        <v>-0.3138798638350726</v>
      </c>
    </row>
    <row r="46" spans="5:54">
      <c r="G46" s="77" t="s">
        <v>1532</v>
      </c>
      <c r="H46" s="31"/>
      <c r="I46" s="31">
        <f>(1/(I44-1))*(U36-(I44*I45^2))</f>
        <v>14.60991781922985</v>
      </c>
      <c r="J46" s="31"/>
      <c r="K46" s="31"/>
      <c r="L46" s="31"/>
      <c r="M46" s="78"/>
      <c r="N46" s="77"/>
      <c r="O46" s="104" t="s">
        <v>1516</v>
      </c>
      <c r="P46" s="31"/>
      <c r="Q46" s="105">
        <f>INDEX(LINEST(AL32:AL34,AK32:AK34,TRUE,TRUE),2,2)</f>
        <v>8.4254070594385766</v>
      </c>
      <c r="AF46" s="79" t="s">
        <v>834</v>
      </c>
      <c r="AG46" s="7"/>
      <c r="AH46">
        <f>IF($D$6=1,100*(EXP(I50+I52)-EXP(I50)),I52)</f>
        <v>0.29336437818251215</v>
      </c>
    </row>
    <row r="47" spans="5:54">
      <c r="G47" s="77" t="s">
        <v>1669</v>
      </c>
      <c r="H47" s="31"/>
      <c r="I47" s="31">
        <f>(I44-1)*(I45-(I46/(I44*I45)))</f>
        <v>33.944375347748405</v>
      </c>
      <c r="J47" s="31"/>
      <c r="K47" s="31"/>
      <c r="L47" s="31"/>
      <c r="M47" s="78"/>
      <c r="N47" s="77"/>
      <c r="O47" s="104" t="s">
        <v>1349</v>
      </c>
      <c r="P47" s="31"/>
      <c r="Q47" s="105">
        <f>ABS(Q45/Q46)</f>
        <v>0.59370412341821044</v>
      </c>
      <c r="AF47" s="79" t="s">
        <v>835</v>
      </c>
      <c r="AH47">
        <f>IF($D$6=1,100*(EXP(I50)-EXP(I50-I52)),I52)</f>
        <v>0.29336437818251215</v>
      </c>
    </row>
    <row r="48" spans="5:54">
      <c r="G48" s="77" t="s">
        <v>1685</v>
      </c>
      <c r="H48" s="31"/>
      <c r="I48" s="31">
        <f>IF(P39&gt;(I44-1),(P39-(I44-1))/I47,0)</f>
        <v>8.9986375632332034E-3</v>
      </c>
      <c r="J48" s="31"/>
      <c r="K48" s="31"/>
      <c r="L48" s="31"/>
      <c r="M48" s="78"/>
      <c r="N48" s="77"/>
      <c r="O48" s="106" t="s">
        <v>1515</v>
      </c>
      <c r="P48" s="107"/>
      <c r="Q48" s="108">
        <f>TDIST(Q47,I44-2,2)</f>
        <v>0.65891356612310537</v>
      </c>
    </row>
    <row r="49" spans="7:18">
      <c r="G49" s="77"/>
      <c r="H49" s="31"/>
      <c r="I49" s="31"/>
      <c r="J49" s="31"/>
      <c r="K49" s="31"/>
      <c r="L49" s="31"/>
      <c r="M49" s="78"/>
      <c r="N49" s="77"/>
    </row>
    <row r="50" spans="7:18">
      <c r="G50" s="77" t="s">
        <v>1686</v>
      </c>
      <c r="H50" s="31"/>
      <c r="I50" s="31">
        <f>W36/V36</f>
        <v>-0.3138798638350726</v>
      </c>
      <c r="J50" s="31"/>
      <c r="N50" s="77"/>
    </row>
    <row r="51" spans="7:18">
      <c r="G51" s="77" t="s">
        <v>504</v>
      </c>
      <c r="H51" s="31"/>
      <c r="I51" s="31">
        <f>1/V36</f>
        <v>2.2402816114746989E-2</v>
      </c>
      <c r="J51" s="31"/>
      <c r="N51" s="77"/>
      <c r="O51" t="s">
        <v>805</v>
      </c>
      <c r="R51">
        <v>1.96</v>
      </c>
    </row>
    <row r="52" spans="7:18">
      <c r="G52" s="80" t="s">
        <v>506</v>
      </c>
      <c r="H52" s="31"/>
      <c r="I52" s="31">
        <f>$R$51*SQRT(I51)</f>
        <v>0.29336437818251215</v>
      </c>
      <c r="J52" s="31"/>
      <c r="K52" s="31" t="s">
        <v>507</v>
      </c>
      <c r="L52" s="31"/>
      <c r="M52" s="78">
        <f>ABS(I50/(SQRT(I51)))</f>
        <v>2.097066238676061</v>
      </c>
      <c r="N52" s="77"/>
    </row>
    <row r="53" spans="7:18">
      <c r="G53" s="81" t="s">
        <v>509</v>
      </c>
      <c r="H53" s="82"/>
      <c r="I53" s="82">
        <v>-3</v>
      </c>
      <c r="J53" s="82"/>
      <c r="K53" s="31" t="s">
        <v>825</v>
      </c>
      <c r="L53" s="31"/>
      <c r="M53" s="78">
        <f>2*(1-NORMDIST(M52,0,1,1))</f>
        <v>3.5987712120582716E-2</v>
      </c>
      <c r="N53" s="77"/>
    </row>
    <row r="54" spans="7:18">
      <c r="G54" s="74"/>
      <c r="H54" s="74"/>
      <c r="I54" s="74"/>
      <c r="J54" s="74"/>
      <c r="K54" s="74"/>
      <c r="L54" s="74"/>
      <c r="M54" s="74"/>
      <c r="N54" s="31"/>
      <c r="O54" s="7"/>
    </row>
  </sheetData>
  <phoneticPr fontId="10" type="noConversion"/>
  <conditionalFormatting sqref="D17 D13 F13">
    <cfRule type="cellIs" dxfId="2" priority="0" stopIfTrue="1" operator="lessThan">
      <formula>0.05</formula>
    </cfRule>
  </conditionalFormatting>
  <conditionalFormatting sqref="D21">
    <cfRule type="cellIs" dxfId="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sheetPr published="0" codeName="Sheet35" enableFormatConditionsCalculation="0"/>
  <dimension ref="A1:BM6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1746</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I54-O47</f>
        <v>7</v>
      </c>
      <c r="AD7" s="89"/>
    </row>
    <row r="8" spans="2:30">
      <c r="B8" t="s">
        <v>822</v>
      </c>
      <c r="D8">
        <f>SUM(H24:H32)</f>
        <v>245</v>
      </c>
      <c r="E8" t="s">
        <v>298</v>
      </c>
      <c r="F8">
        <f>Summary!C78</f>
        <v>0.8</v>
      </c>
      <c r="AD8" s="89"/>
    </row>
    <row r="9" spans="2:30">
      <c r="B9" t="s">
        <v>823</v>
      </c>
      <c r="D9">
        <f>SUM(I24:I32)</f>
        <v>205</v>
      </c>
      <c r="AD9" s="89"/>
    </row>
    <row r="11" spans="2:30">
      <c r="B11" s="27" t="s">
        <v>516</v>
      </c>
      <c r="C11" s="28"/>
      <c r="D11" s="109">
        <f>P49</f>
        <v>10.058985077025836</v>
      </c>
      <c r="E11" s="110" t="s">
        <v>1513</v>
      </c>
      <c r="F11" s="103"/>
    </row>
    <row r="12" spans="2:30">
      <c r="B12" s="30" t="s">
        <v>826</v>
      </c>
      <c r="C12" s="31"/>
      <c r="D12" s="112">
        <f>P51</f>
        <v>40.351835159755161</v>
      </c>
      <c r="E12" s="31"/>
      <c r="F12" s="105"/>
    </row>
    <row r="13" spans="2:30">
      <c r="B13" s="35" t="s">
        <v>825</v>
      </c>
      <c r="C13" s="36"/>
      <c r="D13" s="113">
        <f>P50</f>
        <v>0.1221899070077383</v>
      </c>
      <c r="E13" s="111" t="s">
        <v>825</v>
      </c>
      <c r="F13" s="115">
        <f>Q58</f>
        <v>0.77694788750175536</v>
      </c>
    </row>
    <row r="15" spans="2:30">
      <c r="B15" s="39" t="s">
        <v>879</v>
      </c>
      <c r="C15" s="40"/>
      <c r="D15" s="41">
        <f>AH51</f>
        <v>-0.33085865102088585</v>
      </c>
      <c r="E15" s="116"/>
    </row>
    <row r="16" spans="2:30">
      <c r="B16" s="43" t="s">
        <v>1165</v>
      </c>
      <c r="C16" s="31"/>
      <c r="D16" s="33">
        <f>AH51-AH53</f>
        <v>-0.5280669858898388</v>
      </c>
      <c r="E16" s="117">
        <f>AH51+AH52</f>
        <v>-0.13365031615193296</v>
      </c>
    </row>
    <row r="17" spans="1:65">
      <c r="B17" s="45" t="s">
        <v>1166</v>
      </c>
      <c r="C17" s="46"/>
      <c r="D17" s="123">
        <f>M52</f>
        <v>1.0078930857013724E-3</v>
      </c>
      <c r="E17" s="118"/>
    </row>
    <row r="18" spans="1:65">
      <c r="D18" s="48"/>
      <c r="F18" s="49"/>
    </row>
    <row r="19" spans="1:65">
      <c r="B19" s="50" t="s">
        <v>1167</v>
      </c>
      <c r="C19" s="51"/>
      <c r="D19" s="52">
        <f>AH55</f>
        <v>-0.33582496543497509</v>
      </c>
      <c r="E19" s="120"/>
      <c r="F19" s="33"/>
      <c r="G19" s="31"/>
    </row>
    <row r="20" spans="1:65">
      <c r="B20" s="53" t="s">
        <v>1165</v>
      </c>
      <c r="C20" s="31"/>
      <c r="D20" s="33">
        <f>AH55-AH57</f>
        <v>-0.59815844109665917</v>
      </c>
      <c r="E20" s="121">
        <f>AH55+AH56</f>
        <v>-7.3491489773290952E-2</v>
      </c>
      <c r="F20" s="31"/>
      <c r="G20" s="31"/>
    </row>
    <row r="21" spans="1:65">
      <c r="B21" s="54" t="s">
        <v>1440</v>
      </c>
      <c r="C21" s="55"/>
      <c r="D21" s="114">
        <f>M63</f>
        <v>1.2104442738354315E-2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3" t="s">
        <v>1907</v>
      </c>
      <c r="B24">
        <v>8399409</v>
      </c>
      <c r="C24" s="1" t="str">
        <f>IF($B24="","",HYPERLINK(IF(LEN(VLOOKUP($B24,Database!$B$1:$IX$10144,2,FALSE))=0,"",VLOOKUP($B24,Database!$B$1:$IX$10144,2,FALSE))))</f>
        <v/>
      </c>
      <c r="D24" s="1" t="str">
        <f t="shared" ref="D24:D29" si="0">IF($B24="","",HYPERLINK(CONCATENATE("http://www.ncbi.nlm.nih.gov/pubmed/",B24)))</f>
        <v>http://www.ncbi.nlm.nih.gov/pubmed/8399409</v>
      </c>
      <c r="E24" s="22" t="str">
        <f>IF($B24="","",IF(LEN(VLOOKUP($B24,Database!$B$1:$IX$10144,4,FALSE))=0,"",VLOOKUP($B24,Database!$B$1:$IX$10144,4,FALSE)))</f>
        <v>Krishnan KR</v>
      </c>
      <c r="F24" s="22">
        <f>IF($B24="","",IF(LEN(VLOOKUP($B24,Database!$B$1:$IX$10144,5,FALSE))=0,"",VLOOKUP($B24,Database!$B$1:$IX$10144,5,FALSE)))</f>
        <v>1993</v>
      </c>
      <c r="G24" s="1" t="str">
        <f>IF($B24="","",HYPERLINK(IF(LEN(VLOOKUP($B24,Database!$B$1:$IX$10144,6,FALSE))=0,"",VLOOKUP($B24,Database!$B$1:$IX$10144,6,FALSE))))</f>
        <v>http://www.springerlink.com/content/yq33844661g65135/fulltext.pdf</v>
      </c>
      <c r="H24" s="22">
        <f>IF($B24="","",IF(LEN(VLOOKUP($B24,Database!$B$1:$IX$10144,7,FALSE))=0,"",VLOOKUP($B24,Database!$B$1:$IX$10144,7,FALSE)))</f>
        <v>25</v>
      </c>
      <c r="I24" s="22">
        <f>IF($B24="","",IF(LEN(VLOOKUP($B24,Database!$B$1:$IX$10144,8,FALSE))=0,"",VLOOKUP($B24,Database!$B$1:$IX$10144,8,FALSE)))</f>
        <v>20</v>
      </c>
      <c r="J24" t="s">
        <v>1747</v>
      </c>
      <c r="T24">
        <v>5.74</v>
      </c>
      <c r="U24">
        <v>1.88</v>
      </c>
      <c r="V24">
        <v>6.39</v>
      </c>
      <c r="W24">
        <v>1.42</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74.099999999999994</v>
      </c>
      <c r="AC24" s="22">
        <f>IF(OR($B24="",AC$22=""),"",IF(LEN(VLOOKUP($B24,Database!$B$1:$IX$10144,AC$22,FALSE))=0,"",VLOOKUP($B24,Database!$B$1:$IX$10144,AC$22,FALSE)))</f>
        <v>6.6</v>
      </c>
      <c r="AD24" s="22">
        <f>IF(OR($B24="",AD$22=""),"",IF(LEN(VLOOKUP($B24,Database!$B$1:$IX$10144,AD$22,FALSE))=0,"",VLOOKUP($B24,Database!$B$1:$IX$10144,AD$22,FALSE)))</f>
        <v>72.5</v>
      </c>
      <c r="AE24" s="22">
        <f>IF(OR($B24="",AE$22=""),"",IF(LEN(VLOOKUP($B24,Database!$B$1:$IX$10144,AE$22,FALSE))=0,"",VLOOKUP($B24,Database!$B$1:$IX$10144,AE$22,FALSE)))</f>
        <v>3.6</v>
      </c>
      <c r="AF24" s="22">
        <f>IF(OR($B24="",AF$22=""),"",IF(LEN(VLOOKUP($B24,Database!$B$1:$IX$10144,AF$22,FALSE))=0,"",VLOOKUP($B24,Database!$B$1:$IX$10144,AF$22,FALSE)))</f>
        <v>17</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Krishnan KR, McDonald WM, Doraiswamy PM, Tupler LA, Husain M, Boyko OB, Figiel GS, Ellinwood EH Jr.</v>
      </c>
      <c r="AR24" s="13"/>
      <c r="BC24" s="23"/>
      <c r="BF24" s="136"/>
      <c r="BG24" s="136"/>
      <c r="BH24" s="136"/>
      <c r="BI24" s="136"/>
    </row>
    <row r="25" spans="1:65">
      <c r="A25" s="13" t="s">
        <v>1907</v>
      </c>
      <c r="B25">
        <v>8294897</v>
      </c>
      <c r="C25" s="1" t="str">
        <f>IF($B25="","",HYPERLINK(IF(LEN(VLOOKUP($B25,Database!$B$1:$IX$10144,2,FALSE))=0,"",VLOOKUP($B25,Database!$B$1:$IX$10144,2,FALSE))))</f>
        <v/>
      </c>
      <c r="D25" s="1" t="str">
        <f t="shared" si="0"/>
        <v>http://www.ncbi.nlm.nih.gov/pubmed/8294897</v>
      </c>
      <c r="E25" s="22" t="str">
        <f>IF($B25="","",IF(LEN(VLOOKUP($B25,Database!$B$1:$IX$10144,4,FALSE))=0,"",VLOOKUP($B25,Database!$B$1:$IX$10144,4,FALSE)))</f>
        <v>Lisanby SH</v>
      </c>
      <c r="F25" s="22">
        <f>IF($B25="","",IF(LEN(VLOOKUP($B25,Database!$B$1:$IX$10144,5,FALSE))=0,"",VLOOKUP($B25,Database!$B$1:$IX$10144,5,FALSE)))</f>
        <v>1993</v>
      </c>
      <c r="G25" s="1" t="str">
        <f>IF($B25="","",HYPERLINK(IF(LEN(VLOOKUP($B25,Database!$B$1:$IX$10144,6,FALSE))=0,"",VLOOKUP($B25,Database!$B$1:$IX$10144,6,FALSE))))</f>
        <v>Not available on internet</v>
      </c>
      <c r="H25" s="22">
        <f>IF($B25="","",IF(LEN(VLOOKUP($B25,Database!$B$1:$IX$10144,7,FALSE))=0,"",VLOOKUP($B25,Database!$B$1:$IX$10144,7,FALSE)))</f>
        <v>21</v>
      </c>
      <c r="I25" s="22">
        <f>IF($B25="","",IF(LEN(VLOOKUP($B25,Database!$B$1:$IX$10144,8,FALSE))=0,"",VLOOKUP($B25,Database!$B$1:$IX$10144,8,FALSE)))</f>
        <v>21</v>
      </c>
      <c r="J25" t="s">
        <v>1241</v>
      </c>
      <c r="T25">
        <v>12.07</v>
      </c>
      <c r="U25">
        <v>2.61</v>
      </c>
      <c r="V25">
        <v>12.87</v>
      </c>
      <c r="W25">
        <v>3.16</v>
      </c>
      <c r="X25" s="96"/>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65</v>
      </c>
      <c r="AC25" s="22">
        <f>IF(OR($B25="",AC$22=""),"",IF(LEN(VLOOKUP($B25,Database!$B$1:$IX$10144,AC$22,FALSE))=0,"",VLOOKUP($B25,Database!$B$1:$IX$10144,AC$22,FALSE)))</f>
        <v>11</v>
      </c>
      <c r="AD25" s="22">
        <f>IF(OR($B25="",AD$22=""),"",IF(LEN(VLOOKUP($B25,Database!$B$1:$IX$10144,AD$22,FALSE))=0,"",VLOOKUP($B25,Database!$B$1:$IX$10144,AD$22,FALSE)))</f>
        <v>63.5</v>
      </c>
      <c r="AE25" s="22">
        <f>IF(OR($B25="",AE$22=""),"",IF(LEN(VLOOKUP($B25,Database!$B$1:$IX$10144,AE$22,FALSE))=0,"",VLOOKUP($B25,Database!$B$1:$IX$10144,AE$22,FALSE)))</f>
        <v>11</v>
      </c>
      <c r="AF25" s="22">
        <f>IF(OR($B25="",AF$22=""),"",IF(LEN(VLOOKUP($B25,Database!$B$1:$IX$10144,AF$22,FALSE))=0,"",VLOOKUP($B25,Database!$B$1:$IX$10144,AF$22,FALSE)))</f>
        <v>9</v>
      </c>
      <c r="AG25" s="22">
        <f>IF(OR($B25="",AG$22=""),"",IF(LEN(VLOOKUP($B25,Database!$B$1:$IX$10144,AG$22,FALSE))=0,"",VLOOKUP($B25,Database!$B$1:$IX$10144,AG$22,FALSE)))</f>
        <v>9</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Lisanby SH, McDonald WM, Massey EW, Doraiswamy PM, Rozear M, Boyko OB, Krishnan KR, Nemeroff C.</v>
      </c>
      <c r="AR25" s="13"/>
      <c r="BC25" s="23"/>
      <c r="BF25" s="136"/>
      <c r="BG25" s="136"/>
      <c r="BH25" s="136"/>
      <c r="BI25" s="136"/>
    </row>
    <row r="26" spans="1:65">
      <c r="B26">
        <v>7654126</v>
      </c>
      <c r="C26" s="1" t="str">
        <f>IF($B26="","",HYPERLINK(IF(LEN(VLOOKUP($B26,Database!$B$1:$IX$10144,2,FALSE))=0,"",VLOOKUP($B26,Database!$B$1:$IX$10144,2,FALSE))))</f>
        <v/>
      </c>
      <c r="D26" s="1" t="str">
        <f t="shared" si="0"/>
        <v>http://www.ncbi.nlm.nih.gov/pubmed/7654126</v>
      </c>
      <c r="E26" s="22" t="str">
        <f>IF($B26="","",IF(LEN(VLOOKUP($B26,Database!$B$1:$IX$10144,4,FALSE))=0,"",VLOOKUP($B26,Database!$B$1:$IX$10144,4,FALSE)))</f>
        <v>Dupont RM (A)</v>
      </c>
      <c r="F26" s="22">
        <f>IF($B26="","",IF(LEN(VLOOKUP($B26,Database!$B$1:$IX$10144,5,FALSE))=0,"",VLOOKUP($B26,Database!$B$1:$IX$10144,5,FALSE)))</f>
        <v>1995</v>
      </c>
      <c r="G26" s="1" t="str">
        <f>IF($B26="","",HYPERLINK(IF(LEN(VLOOKUP($B26,Database!$B$1:$IX$10144,6,FALSE))=0,"",VLOOKUP($B26,Database!$B$1:$IX$10144,6,FALSE))))</f>
        <v>http://archpsyc.ama-assn.org/cgi/reprint/51/9/677</v>
      </c>
      <c r="H26" s="22">
        <f>IF($B26="","",IF(LEN(VLOOKUP($B26,Database!$B$1:$IX$10144,7,FALSE))=0,"",VLOOKUP($B26,Database!$B$1:$IX$10144,7,FALSE)))</f>
        <v>30</v>
      </c>
      <c r="I26" s="22">
        <f>IF($B26="","",IF(LEN(VLOOKUP($B26,Database!$B$1:$IX$10144,8,FALSE))=0,"",VLOOKUP($B26,Database!$B$1:$IX$10144,8,FALSE)))</f>
        <v>26</v>
      </c>
      <c r="J26" t="s">
        <v>1626</v>
      </c>
      <c r="K26" s="10"/>
      <c r="T26">
        <v>1570.77</v>
      </c>
      <c r="U26">
        <v>345.89</v>
      </c>
      <c r="V26">
        <v>1716.85</v>
      </c>
      <c r="W26">
        <v>293.02</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38.6</v>
      </c>
      <c r="AC26" s="22">
        <f>IF(OR($B26="",AC$22=""),"",IF(LEN(VLOOKUP($B26,Database!$B$1:$IX$10144,AC$22,FALSE))=0,"",VLOOKUP($B26,Database!$B$1:$IX$10144,AC$22,FALSE)))</f>
        <v>10.6</v>
      </c>
      <c r="AD26" s="22">
        <f>IF(OR($B26="",AD$22=""),"",IF(LEN(VLOOKUP($B26,Database!$B$1:$IX$10144,AD$22,FALSE))=0,"",VLOOKUP($B26,Database!$B$1:$IX$10144,AD$22,FALSE)))</f>
        <v>39.1</v>
      </c>
      <c r="AE26" s="22">
        <f>IF(OR($B26="",AE$22=""),"",IF(LEN(VLOOKUP($B26,Database!$B$1:$IX$10144,AE$22,FALSE))=0,"",VLOOKUP($B26,Database!$B$1:$IX$10144,AE$22,FALSE)))</f>
        <v>9.4</v>
      </c>
      <c r="AF26" s="22">
        <f>IF(OR($B26="",AF$22=""),"",IF(LEN(VLOOKUP($B26,Database!$B$1:$IX$10144,AF$22,FALSE))=0,"",VLOOKUP($B26,Database!$B$1:$IX$10144,AF$22,FALSE)))</f>
        <v>21</v>
      </c>
      <c r="AG26" s="22">
        <f>IF(OR($B26="",AG$22=""),"",IF(LEN(VLOOKUP($B26,Database!$B$1:$IX$10144,AG$22,FALSE))=0,"",VLOOKUP($B26,Database!$B$1:$IX$10144,AG$22,FALSE)))</f>
        <v>11</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12.5</v>
      </c>
      <c r="AM26" s="22">
        <f>IF(OR($B26="",AM$22=""),"",IF(LEN(VLOOKUP($B26,Database!$B$1:$IX$10144,AM$22,FALSE))=0,"",VLOOKUP($B26,Database!$B$1:$IX$10144,AM$22,FALSE)))</f>
        <v>40</v>
      </c>
      <c r="AN26" s="22">
        <f>IF(OR($B26="",AN$22=""),"",IF(LEN(VLOOKUP($B26,Database!$B$1:$IX$10144,AN$22,FALSE))=0,"",VLOOKUP($B26,Database!$B$1:$IX$10144,AN$22,FALSE)))</f>
        <v>3.3333333333333335</v>
      </c>
      <c r="AO26" s="22">
        <f>IF(OR($B26="",AO$22=""),"",IF(LEN(VLOOKUP($B26,Database!$B$1:$IX$10144,AO$22,FALSE))=0,"",VLOOKUP($B26,Database!$B$1:$IX$10144,AO$22,FALSE)))</f>
        <v>0</v>
      </c>
      <c r="AP26" s="22">
        <f>IF(OR($B26="",AP$22=""),"",IF(LEN(VLOOKUP($B26,Database!$B$1:$IX$10144,AP$22,FALSE))=0,"",VLOOKUP($B26,Database!$B$1:$IX$10144,AP$22,FALSE)))</f>
        <v>56.666666666666664</v>
      </c>
      <c r="AQ26" s="22" t="str">
        <f>IF(OR($B26="",AQ$22=""),"",IF(LEN(VLOOKUP($B26,Database!$B$1:$IX$10144,AQ$22,FALSE))=0,"",VLOOKUP($B26,Database!$B$1:$IX$10144,AQ$22,FALSE)))</f>
        <v>Dupont RM, Jernigan TL, Heindel W, Butters N, Shafer K, Wilson T, Hesselink J, Gillin JC.</v>
      </c>
      <c r="AR26" s="13"/>
      <c r="BC26" s="23"/>
      <c r="BF26" s="136"/>
      <c r="BG26" s="136"/>
      <c r="BH26" s="136"/>
      <c r="BI26" s="136"/>
    </row>
    <row r="27" spans="1:65">
      <c r="A27" s="13" t="s">
        <v>1907</v>
      </c>
      <c r="B27">
        <v>9870413</v>
      </c>
      <c r="C27" s="1" t="str">
        <f>IF($B27="","",HYPERLINK(IF(LEN(VLOOKUP($B27,Database!$B$1:$IX$10144,2,FALSE))=0,"",VLOOKUP($B27,Database!$B$1:$IX$10144,2,FALSE))))</f>
        <v/>
      </c>
      <c r="D27" s="1" t="str">
        <f t="shared" si="0"/>
        <v>http://www.ncbi.nlm.nih.gov/pubmed/9870413</v>
      </c>
      <c r="E27" s="22" t="str">
        <f>IF($B27="","",IF(LEN(VLOOKUP($B27,Database!$B$1:$IX$10144,4,FALSE))=0,"",VLOOKUP($B27,Database!$B$1:$IX$10144,4,FALSE)))</f>
        <v>Parashos IA</v>
      </c>
      <c r="F27" s="22">
        <f>IF($B27="","",IF(LEN(VLOOKUP($B27,Database!$B$1:$IX$10144,5,FALSE))=0,"",VLOOKUP($B27,Database!$B$1:$IX$10144,5,FALSE)))</f>
        <v>1998</v>
      </c>
      <c r="G27" s="1" t="str">
        <f>IF($B27="","",HYPERLINK(IF(LEN(VLOOKUP($B27,Database!$B$1:$IX$10144,6,FALSE))=0,"",VLOOKUP($B27,Database!$B$1:$IX$10144,6,FALSE))))</f>
        <v>http://dx.doi.org/10.1016/S0925-4927(98)00042-0</v>
      </c>
      <c r="H27" s="22">
        <f>IF($B27="","",IF(LEN(VLOOKUP($B27,Database!$B$1:$IX$10144,7,FALSE))=0,"",VLOOKUP($B27,Database!$B$1:$IX$10144,7,FALSE)))</f>
        <v>72</v>
      </c>
      <c r="I27" s="22">
        <f>IF($B27="","",IF(LEN(VLOOKUP($B27,Database!$B$1:$IX$10144,8,FALSE))=0,"",VLOOKUP($B27,Database!$B$1:$IX$10144,8,FALSE)))</f>
        <v>38</v>
      </c>
      <c r="J27" t="s">
        <v>1748</v>
      </c>
      <c r="T27">
        <v>11.39</v>
      </c>
      <c r="U27">
        <v>2.2599999999999998</v>
      </c>
      <c r="V27">
        <v>11.63</v>
      </c>
      <c r="W27">
        <v>2.77</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55.4</v>
      </c>
      <c r="AC27" s="22">
        <f>IF(OR($B27="",AC$22=""),"",IF(LEN(VLOOKUP($B27,Database!$B$1:$IX$10144,AC$22,FALSE))=0,"",VLOOKUP($B27,Database!$B$1:$IX$10144,AC$22,FALSE)))</f>
        <v>16.8</v>
      </c>
      <c r="AD27" s="22">
        <f>IF(OR($B27="",AD$22=""),"",IF(LEN(VLOOKUP($B27,Database!$B$1:$IX$10144,AD$22,FALSE))=0,"",VLOOKUP($B27,Database!$B$1:$IX$10144,AD$22,FALSE)))</f>
        <v>55.1</v>
      </c>
      <c r="AE27" s="22">
        <f>IF(OR($B27="",AE$22=""),"",IF(LEN(VLOOKUP($B27,Database!$B$1:$IX$10144,AE$22,FALSE))=0,"",VLOOKUP($B27,Database!$B$1:$IX$10144,AE$22,FALSE)))</f>
        <v>17.100000000000001</v>
      </c>
      <c r="AF27" s="22">
        <f>IF(OR($B27="",AF$22=""),"",IF(LEN(VLOOKUP($B27,Database!$B$1:$IX$10144,AF$22,FALSE))=0,"",VLOOKUP($B27,Database!$B$1:$IX$10144,AF$22,FALSE)))</f>
        <v>45</v>
      </c>
      <c r="AG27" s="22">
        <f>IF(OR($B27="",AG$22=""),"",IF(LEN(VLOOKUP($B27,Database!$B$1:$IX$10144,AG$22,FALSE))=0,"",VLOOKUP($B27,Database!$B$1:$IX$10144,AG$22,FALSE)))</f>
        <v>22</v>
      </c>
      <c r="AH27" s="22">
        <f>IF(OR($B27="",AH$22=""),"",IF(LEN(VLOOKUP($B27,Database!$B$1:$IX$10144,AH$22,FALSE))=0,"",VLOOKUP($B27,Database!$B$1:$IX$10144,AH$22,FALSE)))</f>
        <v>1.5</v>
      </c>
      <c r="AI27" s="22">
        <f>IF(OR($B27="",AI$22=""),"",IF(LEN(VLOOKUP($B27,Database!$B$1:$IX$10144,AI$22,FALSE))=0,"",VLOOKUP($B27,Database!$B$1:$IX$10144,AI$22,FALSE)))</f>
        <v>5</v>
      </c>
      <c r="AJ27" s="22" t="str">
        <f>IF(OR($B27="",AJ$22=""),"",IF(LEN(VLOOKUP($B27,Database!$B$1:$IX$10144,AJ$22,FALSE))=0,"",VLOOKUP($B27,Database!$B$1:$IX$10144,AJ$22,FALSE)))</f>
        <v/>
      </c>
      <c r="AK27" s="22">
        <f>IF(OR($B27="",AK$22=""),"",IF(LEN(VLOOKUP($B27,Database!$B$1:$IX$10144,AK$22,FALSE))=0,"",VLOOKUP($B27,Database!$B$1:$IX$10144,AK$22,FALSE)))</f>
        <v>38.5</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Parashos IA, Tupler LA, Blitchington T, Krishnan KR.</v>
      </c>
      <c r="AR27" s="13"/>
      <c r="BC27" s="23"/>
      <c r="BF27" s="136"/>
      <c r="BG27" s="136"/>
      <c r="BH27" s="136"/>
      <c r="BI27" s="136"/>
    </row>
    <row r="28" spans="1:65">
      <c r="B28">
        <v>11756014</v>
      </c>
      <c r="C28" s="1" t="str">
        <f>IF($B28="","",HYPERLINK(IF(LEN(VLOOKUP($B28,Database!$B$1:$IX$10144,2,FALSE))=0,"",VLOOKUP($B28,Database!$B$1:$IX$10144,2,FALSE))))</f>
        <v/>
      </c>
      <c r="D28" s="1" t="str">
        <f t="shared" si="0"/>
        <v>http://www.ncbi.nlm.nih.gov/pubmed/11756014</v>
      </c>
      <c r="E28" s="22" t="str">
        <f>IF($B28="","",IF(LEN(VLOOKUP($B28,Database!$B$1:$IX$10144,4,FALSE))=0,"",VLOOKUP($B28,Database!$B$1:$IX$10144,4,FALSE)))</f>
        <v>Caetano SC</v>
      </c>
      <c r="F28" s="22">
        <f>IF($B28="","",IF(LEN(VLOOKUP($B28,Database!$B$1:$IX$10144,5,FALSE))=0,"",VLOOKUP($B28,Database!$B$1:$IX$10144,5,FALSE)))</f>
        <v>2001</v>
      </c>
      <c r="G28" s="1" t="str">
        <f>IF($B28="","",HYPERLINK(IF(LEN(VLOOKUP($B28,Database!$B$1:$IX$10144,6,FALSE))=0,"",VLOOKUP($B28,Database!$B$1:$IX$10144,6,FALSE))))</f>
        <v>http://dx.doi.org/10.1016/S0925-4927(01)00123-8</v>
      </c>
      <c r="H28" s="22">
        <f>IF($B28="","",IF(LEN(VLOOKUP($B28,Database!$B$1:$IX$10144,7,FALSE))=0,"",VLOOKUP($B28,Database!$B$1:$IX$10144,7,FALSE)))</f>
        <v>17</v>
      </c>
      <c r="I28" s="22">
        <f>IF($B28="","",IF(LEN(VLOOKUP($B28,Database!$B$1:$IX$10144,8,FALSE))=0,"",VLOOKUP($B28,Database!$B$1:$IX$10144,8,FALSE)))</f>
        <v>39</v>
      </c>
      <c r="J28" t="s">
        <v>1749</v>
      </c>
      <c r="L28">
        <v>3.6</v>
      </c>
      <c r="M28">
        <v>0.89</v>
      </c>
      <c r="N28">
        <v>3.37</v>
      </c>
      <c r="O28">
        <v>0.88</v>
      </c>
      <c r="P28">
        <v>3.65</v>
      </c>
      <c r="Q28">
        <v>0.88</v>
      </c>
      <c r="R28">
        <v>3.48</v>
      </c>
      <c r="S28">
        <v>1.02</v>
      </c>
      <c r="T28">
        <v>7.26</v>
      </c>
      <c r="U28">
        <v>1.73</v>
      </c>
      <c r="V28">
        <v>6.84</v>
      </c>
      <c r="W28">
        <v>1.68</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42.8</v>
      </c>
      <c r="AC28" s="22">
        <f>IF(OR($B28="",AC$22=""),"",IF(LEN(VLOOKUP($B28,Database!$B$1:$IX$10144,AC$22,FALSE))=0,"",VLOOKUP($B28,Database!$B$1:$IX$10144,AC$22,FALSE)))</f>
        <v>9.1999999999999993</v>
      </c>
      <c r="AD28" s="22">
        <f>IF(OR($B28="",AD$22=""),"",IF(LEN(VLOOKUP($B28,Database!$B$1:$IX$10144,AD$22,FALSE))=0,"",VLOOKUP($B28,Database!$B$1:$IX$10144,AD$22,FALSE)))</f>
        <v>36.6</v>
      </c>
      <c r="AE28" s="22">
        <f>IF(OR($B28="",AE$22=""),"",IF(LEN(VLOOKUP($B28,Database!$B$1:$IX$10144,AE$22,FALSE))=0,"",VLOOKUP($B28,Database!$B$1:$IX$10144,AE$22,FALSE)))</f>
        <v>9.6999999999999993</v>
      </c>
      <c r="AF28" s="22">
        <f>IF(OR($B28="",AF$22=""),"",IF(LEN(VLOOKUP($B28,Database!$B$1:$IX$10144,AF$22,FALSE))=0,"",VLOOKUP($B28,Database!$B$1:$IX$10144,AF$22,FALSE)))</f>
        <v>16</v>
      </c>
      <c r="AG28" s="22">
        <f>IF(OR($B28="",AG$22=""),"",IF(LEN(VLOOKUP($B28,Database!$B$1:$IX$10144,AG$22,FALSE))=0,"",VLOOKUP($B28,Database!$B$1:$IX$10144,AG$22,FALSE)))</f>
        <v>14</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Caetano SC, Sassi R, Brambilla P, Harenski K, Nicoletti M, Mallinger AG, Frank E, Kupfer DJ, Keshavan MS, Soares JC.</v>
      </c>
      <c r="AR28" s="13"/>
      <c r="BC28" s="23"/>
      <c r="BF28" s="136"/>
      <c r="BG28" s="136"/>
      <c r="BH28" s="136"/>
      <c r="BI28" s="136"/>
    </row>
    <row r="29" spans="1:65">
      <c r="B29">
        <v>18075490</v>
      </c>
      <c r="C29" s="1" t="str">
        <f>IF($B29="","",HYPERLINK(IF(LEN(VLOOKUP($B29,Database!$B$1:$IX$10144,2,FALSE))=0,"",VLOOKUP($B29,Database!$B$1:$IX$10144,2,FALSE))))</f>
        <v/>
      </c>
      <c r="D29" s="1" t="str">
        <f t="shared" si="0"/>
        <v>http://www.ncbi.nlm.nih.gov/pubmed/18075490</v>
      </c>
      <c r="E29" s="22" t="str">
        <f>IF($B29="","",IF(LEN(VLOOKUP($B29,Database!$B$1:$IX$10144,4,FALSE))=0,"",VLOOKUP($B29,Database!$B$1:$IX$10144,4,FALSE)))</f>
        <v>Andreescu C</v>
      </c>
      <c r="F29" s="22">
        <f>IF($B29="","",IF(LEN(VLOOKUP($B29,Database!$B$1:$IX$10144,5,FALSE))=0,"",VLOOKUP($B29,Database!$B$1:$IX$10144,5,FALSE)))</f>
        <v>2008</v>
      </c>
      <c r="G29" s="1" t="str">
        <f>IF($B29="","",HYPERLINK(IF(LEN(VLOOKUP($B29,Database!$B$1:$IX$10144,6,FALSE))=0,"",VLOOKUP($B29,Database!$B$1:$IX$10144,6,FALSE))))</f>
        <v>http://www.nature.com/npp/journal/v33/n11/pdf/1301655a.pdf</v>
      </c>
      <c r="H29" s="22">
        <f>IF($B29="","",IF(LEN(VLOOKUP($B29,Database!$B$1:$IX$10144,7,FALSE))=0,"",VLOOKUP($B29,Database!$B$1:$IX$10144,7,FALSE)))</f>
        <v>71</v>
      </c>
      <c r="I29" s="22">
        <f>IF($B29="","",IF(LEN(VLOOKUP($B29,Database!$B$1:$IX$10144,8,FALSE))=0,"",VLOOKUP($B29,Database!$B$1:$IX$10144,8,FALSE)))</f>
        <v>32</v>
      </c>
      <c r="J29" t="s">
        <v>203</v>
      </c>
      <c r="T29">
        <v>0.88</v>
      </c>
      <c r="U29">
        <v>0.15</v>
      </c>
      <c r="V29">
        <v>1</v>
      </c>
      <c r="W29">
        <v>0.2</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72.2</v>
      </c>
      <c r="AC29" s="22">
        <f>IF(OR($B29="",AC$22=""),"",IF(LEN(VLOOKUP($B29,Database!$B$1:$IX$10144,AC$22,FALSE))=0,"",VLOOKUP($B29,Database!$B$1:$IX$10144,AC$22,FALSE)))</f>
        <v>6.2</v>
      </c>
      <c r="AD29" s="22">
        <f>IF(OR($B29="",AD$22=""),"",IF(LEN(VLOOKUP($B29,Database!$B$1:$IX$10144,AD$22,FALSE))=0,"",VLOOKUP($B29,Database!$B$1:$IX$10144,AD$22,FALSE)))</f>
        <v>71</v>
      </c>
      <c r="AE29" s="22">
        <f>IF(OR($B29="",AE$22=""),"",IF(LEN(VLOOKUP($B29,Database!$B$1:$IX$10144,AE$22,FALSE))=0,"",VLOOKUP($B29,Database!$B$1:$IX$10144,AE$22,FALSE)))</f>
        <v>6.7</v>
      </c>
      <c r="AF29" s="22">
        <f>IF(OR($B29="",AF$22=""),"",IF(LEN(VLOOKUP($B29,Database!$B$1:$IX$10144,AF$22,FALSE))=0,"",VLOOKUP($B29,Database!$B$1:$IX$10144,AF$22,FALSE)))</f>
        <v>49</v>
      </c>
      <c r="AG29" s="22">
        <f>IF(OR($B29="",AG$22=""),"",IF(LEN(VLOOKUP($B29,Database!$B$1:$IX$10144,AG$22,FALSE))=0,"",VLOOKUP($B29,Database!$B$1:$IX$10144,AG$22,FALSE)))</f>
        <v>17</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52.3</v>
      </c>
      <c r="AL29" s="22">
        <f>IF(OR($B29="",AL$22=""),"",IF(LEN(VLOOKUP($B29,Database!$B$1:$IX$10144,AL$22,FALSE))=0,"",VLOOKUP($B29,Database!$B$1:$IX$10144,AL$22,FALSE)))</f>
        <v>18.3</v>
      </c>
      <c r="AM29" s="22">
        <f>IF(OR($B29="",AM$22=""),"",IF(LEN(VLOOKUP($B29,Database!$B$1:$IX$10144,AM$22,FALSE))=0,"",VLOOKUP($B29,Database!$B$1:$IX$10144,AM$22,FALSE)))</f>
        <v>16.901408450704224</v>
      </c>
      <c r="AN29" s="22" t="str">
        <f>IF(OR($B29="",AN$22=""),"",IF(LEN(VLOOKUP($B29,Database!$B$1:$IX$10144,AN$22,FALSE))=0,"",VLOOKUP($B29,Database!$B$1:$IX$10144,AN$22,FALSE)))</f>
        <v>ns</v>
      </c>
      <c r="AO29" s="22">
        <f>IF(OR($B29="",AO$22=""),"",IF(LEN(VLOOKUP($B29,Database!$B$1:$IX$10144,AO$22,FALSE))=0,"",VLOOKUP($B29,Database!$B$1:$IX$10144,AO$22,FALSE)))</f>
        <v>1.4084507042253522</v>
      </c>
      <c r="AP29" s="22" t="str">
        <f>IF(OR($B29="",AP$22=""),"",IF(LEN(VLOOKUP($B29,Database!$B$1:$IX$10144,AP$22,FALSE))=0,"",VLOOKUP($B29,Database!$B$1:$IX$10144,AP$22,FALSE)))</f>
        <v>ns</v>
      </c>
      <c r="AQ29" s="22" t="str">
        <f>IF(OR($B29="",AQ$22=""),"",IF(LEN(VLOOKUP($B29,Database!$B$1:$IX$10144,AQ$22,FALSE))=0,"",VLOOKUP($B29,Database!$B$1:$IX$10144,AQ$22,FALSE)))</f>
        <v>Andreescu C, Butters MA, Begley A, Rajji T, Wu M, Meltzer CC, Reynolds CF 3rd, Aizenstein H.</v>
      </c>
      <c r="AR29" s="13"/>
      <c r="BC29" s="23"/>
      <c r="BF29" s="136"/>
      <c r="BG29" s="136"/>
      <c r="BH29" s="136"/>
      <c r="BI29" s="136"/>
    </row>
    <row r="30" spans="1:65">
      <c r="C30" s="1" t="str">
        <f>IF($B30="","",HYPERLINK(IF(LEN(VLOOKUP($B30,Database!$B$1:$IX$10144,2,FALSE))=0,"",VLOOKUP($B30,Database!$B$1:$IX$10144,2,FALSE))))</f>
        <v/>
      </c>
      <c r="D30" s="1" t="str">
        <f>IF($B30="","",HYPERLINK(CONCATENATE("http://www.ncbi.nlm.nih.gov/pubmed/",B30)))</f>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c r="AR30" s="13"/>
      <c r="BC30" s="23"/>
      <c r="BF30" s="136"/>
      <c r="BG30" s="136"/>
      <c r="BH30" s="136"/>
      <c r="BI30" s="136"/>
    </row>
    <row r="31" spans="1:65">
      <c r="A31" s="4" t="s">
        <v>397</v>
      </c>
      <c r="C31" s="1"/>
      <c r="D31" s="1"/>
      <c r="E31" s="22"/>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c r="AR31" s="13"/>
      <c r="BC31" s="23"/>
      <c r="BF31" s="136"/>
      <c r="BG31" s="136"/>
      <c r="BH31" s="136"/>
      <c r="BI31" s="136"/>
    </row>
    <row r="32" spans="1:65">
      <c r="A32" s="4"/>
      <c r="B32">
        <v>11200955</v>
      </c>
      <c r="C32" s="1" t="str">
        <f>IF($B32="","",HYPERLINK(IF(LEN(VLOOKUP($B32,Database!$B$1:$IX$10144,2,FALSE))=0,"",VLOOKUP($B32,Database!$B$1:$IX$10144,2,FALSE))))</f>
        <v/>
      </c>
      <c r="D32" s="1" t="str">
        <f>IF($B32="","",HYPERLINK(CONCATENATE("http://www.ncbi.nlm.nih.gov/pubmed/",B32)))</f>
        <v>http://www.ncbi.nlm.nih.gov/pubmed/11200955</v>
      </c>
      <c r="E32" s="22" t="str">
        <f>IF($B32="","",IF(LEN(VLOOKUP($B32,Database!$B$1:$IX$10144,4,FALSE))=0,"",VLOOKUP($B32,Database!$B$1:$IX$10144,4,FALSE)))</f>
        <v>McIntosh AM</v>
      </c>
      <c r="F32" s="22">
        <f>IF($B32="","",IF(LEN(VLOOKUP($B32,Database!$B$1:$IX$10144,5,FALSE))=0,"",VLOOKUP($B32,Database!$B$1:$IX$10144,5,FALSE)))</f>
        <v>2001</v>
      </c>
      <c r="G32" s="1" t="str">
        <f>IF($B32="","",HYPERLINK(IF(LEN(VLOOKUP($B32,Database!$B$1:$IX$10144,6,FALSE))=0,"",VLOOKUP($B32,Database!$B$1:$IX$10144,6,FALSE))))</f>
        <v>http://dx.doi.org/10.1017/S0033291799003177</v>
      </c>
      <c r="H32" s="22">
        <f>IF($B32="","",IF(LEN(VLOOKUP($B32,Database!$B$1:$IX$10144,7,FALSE))=0,"",VLOOKUP($B32,Database!$B$1:$IX$10144,7,FALSE)))</f>
        <v>9</v>
      </c>
      <c r="I32" s="22">
        <f>IF($B32="","",IF(LEN(VLOOKUP($B32,Database!$B$1:$IX$10144,8,FALSE))=0,"",VLOOKUP($B32,Database!$B$1:$IX$10144,8,FALSE)))</f>
        <v>29</v>
      </c>
      <c r="J32" t="s">
        <v>353</v>
      </c>
      <c r="L32">
        <v>5951</v>
      </c>
      <c r="M32">
        <v>709</v>
      </c>
      <c r="N32">
        <v>6456</v>
      </c>
      <c r="O32">
        <v>627</v>
      </c>
      <c r="P32">
        <v>5533</v>
      </c>
      <c r="Q32">
        <v>940</v>
      </c>
      <c r="R32">
        <v>6085</v>
      </c>
      <c r="S32">
        <v>605</v>
      </c>
      <c r="T32">
        <f>L32+P32</f>
        <v>11484</v>
      </c>
      <c r="U32">
        <f>2*SQRT(0.25*(M32^2+Q32^2+2*$F$8*M32*Q32))</f>
        <v>1566.0833311161957</v>
      </c>
      <c r="V32">
        <f>N32+R32</f>
        <v>12541</v>
      </c>
      <c r="W32">
        <f>2*SQRT(0.25*(O32^2+S32^2+2*$F$8*O32*S32))</f>
        <v>1168.7985284042754</v>
      </c>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43.56</v>
      </c>
      <c r="AC32" s="22">
        <f>IF(OR($B32="",AC$22=""),"",IF(LEN(VLOOKUP($B32,Database!$B$1:$IX$10144,AC$22,FALSE))=0,"",VLOOKUP($B32,Database!$B$1:$IX$10144,AC$22,FALSE)))</f>
        <v>9.3800000000000008</v>
      </c>
      <c r="AD32" s="22">
        <f>IF(OR($B32="",AD$22=""),"",IF(LEN(VLOOKUP($B32,Database!$B$1:$IX$10144,AD$22,FALSE))=0,"",VLOOKUP($B32,Database!$B$1:$IX$10144,AD$22,FALSE)))</f>
        <v>42.76</v>
      </c>
      <c r="AE32" s="22">
        <f>IF(OR($B32="",AE$22=""),"",IF(LEN(VLOOKUP($B32,Database!$B$1:$IX$10144,AE$22,FALSE))=0,"",VLOOKUP($B32,Database!$B$1:$IX$10144,AE$22,FALSE)))</f>
        <v>9.91</v>
      </c>
      <c r="AF32" s="22">
        <f>IF(OR($B32="",AF$22=""),"",IF(LEN(VLOOKUP($B32,Database!$B$1:$IX$10144,AF$22,FALSE))=0,"",VLOOKUP($B32,Database!$B$1:$IX$10144,AF$22,FALSE)))</f>
        <v>5</v>
      </c>
      <c r="AG32" s="22">
        <f>IF(OR($B32="",AG$22=""),"",IF(LEN(VLOOKUP($B32,Database!$B$1:$IX$10144,AG$22,FALSE))=0,"",VLOOKUP($B32,Database!$B$1:$IX$10144,AG$22,FALSE)))</f>
        <v>16</v>
      </c>
      <c r="AH32" s="22">
        <f>IF(OR($B32="",AH$22=""),"",IF(LEN(VLOOKUP($B32,Database!$B$1:$IX$10144,AH$22,FALSE))=0,"",VLOOKUP($B32,Database!$B$1:$IX$10144,AH$22,FALSE)))</f>
        <v>1</v>
      </c>
      <c r="AI32" s="22">
        <f>IF(OR($B32="",AI$22=""),"",IF(LEN(VLOOKUP($B32,Database!$B$1:$IX$10144,AI$22,FALSE))=0,"",VLOOKUP($B32,Database!$B$1:$IX$10144,AI$22,FALSE)))</f>
        <v>1.88</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A. M. McINTOSH, A. FORRESTER, S.M. LAWRIE, M. BYRNE, A. HARPER, J. N. KESTELMAN, J. J. K. BEST, P. MILLER, E. C. JOHNSTONE and D. G. C. OWENS</v>
      </c>
      <c r="AR32" s="13"/>
      <c r="BC32" s="23"/>
      <c r="BF32" s="136"/>
      <c r="BG32" s="136"/>
      <c r="BH32" s="136"/>
      <c r="BI32" s="136"/>
    </row>
    <row r="33" spans="1:51">
      <c r="A33" s="4"/>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51">
      <c r="A34" s="4" t="s">
        <v>1510</v>
      </c>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51">
      <c r="C35" s="1" t="str">
        <f>IF($B35="","",HYPERLINK(IF(LEN(VLOOKUP($B35,Database!$B$1:$IX$10144,2,FALSE))=0,"",VLOOKUP($B35,Database!$B$1:$IX$10144,2,FALSE))))</f>
        <v/>
      </c>
      <c r="D35" s="1" t="str">
        <f>IF($B35="","",HYPERLINK(CONCATENATE("http://www.ncbi.nlm.nih.gov/pubmed/",B35)))</f>
        <v/>
      </c>
      <c r="E35" s="22" t="str">
        <f>IF($B35="","",IF(LEN(VLOOKUP($B35,Database!$B$1:$IX$10144,4,FALSE))=0,"",VLOOKUP($B35,Database!$B$1:$IX$10144,4,FALSE)))</f>
        <v/>
      </c>
      <c r="F35" s="22" t="str">
        <f>IF($B35="","",IF(LEN(VLOOKUP($B35,Database!$B$1:$IX$10144,5,FALSE))=0,"",VLOOKUP($B35,Database!$B$1:$IX$10144,5,FALSE)))</f>
        <v/>
      </c>
      <c r="G35" s="1" t="str">
        <f>IF($B35="","",HYPERLINK(IF(LEN(VLOOKUP($B35,Database!$B$1:$IX$10144,6,FALSE))=0,"",VLOOKUP($B35,Database!$B$1:$IX$10144,6,FALSE))))</f>
        <v/>
      </c>
      <c r="H35" s="22" t="str">
        <f>IF($B35="","",IF(LEN(VLOOKUP($B35,Database!$B$1:$IX$10144,7,FALSE))=0,"",VLOOKUP($B35,Database!$B$1:$IX$10144,7,FALSE)))</f>
        <v/>
      </c>
      <c r="I35" s="22" t="str">
        <f>IF($B35="","",IF(LEN(VLOOKUP($B35,Database!$B$1:$IX$10144,8,FALSE))=0,"",VLOOKUP($B35,Database!$B$1:$IX$10144,8,FALSE)))</f>
        <v/>
      </c>
      <c r="K35" s="10"/>
      <c r="AE35" s="22" t="str">
        <f>IF(OR($B35="",AE$22=""),"",IF(LEN(VLOOKUP($B35,Database!$B$1:$IX$10144,AE$22,FALSE))=0,"",VLOOKUP($B35,Database!$B$1:$IX$10144,AE$22,FALSE)))</f>
        <v/>
      </c>
      <c r="AF35" s="22" t="str">
        <f>IF(OR($B35="",AF$22=""),"",IF(LEN(VLOOKUP($B35,Database!$B$1:$IX$10144,AF$22,FALSE))=0,"",VLOOKUP($B35,Database!$B$1:$IX$10144,AF$22,FALSE)))</f>
        <v/>
      </c>
      <c r="AG35" s="22" t="str">
        <f>IF(OR($B35="",AG$22=""),"",IF(LEN(VLOOKUP($B35,Database!$B$1:$IX$10144,AG$22,FALSE))=0,"",VLOOKUP($B35,Database!$B$1:$IX$10144,AG$22,FALSE)))</f>
        <v/>
      </c>
      <c r="AH35" s="22" t="str">
        <f>IF(OR($B35="",AH$22=""),"",IF(LEN(VLOOKUP($B35,Database!$B$1:$IX$10144,AH$22,FALSE))=0,"",VLOOKUP($B35,Database!$B$1:$IX$10144,AH$22,FALSE)))</f>
        <v/>
      </c>
      <c r="AI35" s="22" t="str">
        <f>IF(OR($B35="",AI$22=""),"",IF(LEN(VLOOKUP($B35,Database!$B$1:$IX$10144,AI$22,FALSE))=0,"",VLOOKUP($B35,Database!$B$1:$IX$10144,AI$22,FALSE)))</f>
        <v/>
      </c>
      <c r="AJ35" s="22" t="str">
        <f>IF(OR($B35="",AJ$22=""),"",IF(LEN(VLOOKUP($B35,Database!$B$1:$IX$10144,AJ$22,FALSE))=0,"",VLOOKUP($B35,Database!$B$1:$IX$10144,AJ$22,FALSE)))</f>
        <v/>
      </c>
      <c r="AK35" s="22" t="str">
        <f>IF(OR($B35="",AK$22=""),"",IF(LEN(VLOOKUP($B35,Database!$B$1:$IX$10144,AK$22,FALSE))=0,"",VLOOKUP($B35,Database!$B$1:$IX$10144,AK$22,FALSE)))</f>
        <v/>
      </c>
      <c r="AL35" s="22" t="str">
        <f>IF(OR($B35="",AL$22=""),"",IF(LEN(VLOOKUP($B35,Database!$B$1:$IX$10144,AL$22,FALSE))=0,"",VLOOKUP($B35,Database!$B$1:$IX$10144,AL$22,FALSE)))</f>
        <v/>
      </c>
      <c r="AM35" s="22" t="str">
        <f>IF(OR($B35="",AM$22=""),"",IF(LEN(VLOOKUP($B35,Database!$B$1:$IX$10144,AM$22,FALSE))=0,"",VLOOKUP($B35,Database!$B$1:$IX$10144,AM$22,FALSE)))</f>
        <v/>
      </c>
      <c r="AN35" s="22" t="str">
        <f>IF(OR($B35="",AN$22=""),"",IF(LEN(VLOOKUP($B35,Database!$B$1:$IX$10144,AN$22,FALSE))=0,"",VLOOKUP($B35,Database!$B$1:$IX$10144,AN$22,FALSE)))</f>
        <v/>
      </c>
      <c r="AO35" s="22" t="str">
        <f>IF(OR($B35="",AO$22=""),"",IF(LEN(VLOOKUP($B35,Database!$B$1:$IX$10144,AO$22,FALSE))=0,"",VLOOKUP($B35,Database!$B$1:$IX$10144,AO$22,FALSE)))</f>
        <v/>
      </c>
      <c r="AP35" s="22" t="str">
        <f>IF(OR($B35="",AP$22=""),"",IF(LEN(VLOOKUP($B35,Database!$B$1:$IX$10144,AP$22,FALSE))=0,"",VLOOKUP($B35,Database!$B$1:$IX$10144,AP$22,FALSE)))</f>
        <v/>
      </c>
      <c r="AQ35" s="22" t="str">
        <f>IF(OR($B35="",AQ$22=""),"",IF(LEN(VLOOKUP($B35,Database!$B$1:$IX$10144,AQ$22,FALSE))=0,"",VLOOKUP($B35,Database!$B$1:$IX$10144,AQ$22,FALSE)))</f>
        <v/>
      </c>
    </row>
    <row r="36" spans="1:51">
      <c r="I36" s="22" t="str">
        <f>IF($B36="","",IF(LEN(VLOOKUP($B36,Database!$B$1:$IX$10144,8,FALSE))=0,"",VLOOKUP($B36,Database!$B$1:$IX$10144,8,FALSE)))</f>
        <v/>
      </c>
      <c r="AF36" t="s">
        <v>602</v>
      </c>
      <c r="AJ36" t="s">
        <v>329</v>
      </c>
      <c r="AN36" t="s">
        <v>330</v>
      </c>
    </row>
    <row r="37" spans="1:51" ht="45" customHeight="1">
      <c r="E37" s="60" t="s">
        <v>617</v>
      </c>
      <c r="F37" s="60" t="s">
        <v>740</v>
      </c>
      <c r="G37" s="60" t="s">
        <v>244</v>
      </c>
      <c r="H37" s="60" t="s">
        <v>245</v>
      </c>
      <c r="I37" s="60" t="s">
        <v>246</v>
      </c>
      <c r="J37" s="60" t="s">
        <v>593</v>
      </c>
      <c r="K37" s="60" t="s">
        <v>1039</v>
      </c>
      <c r="L37" s="60" t="s">
        <v>594</v>
      </c>
      <c r="M37" s="60" t="s">
        <v>1299</v>
      </c>
      <c r="N37" s="61" t="s">
        <v>595</v>
      </c>
      <c r="O37" s="61" t="s">
        <v>596</v>
      </c>
      <c r="P37" s="61" t="s">
        <v>597</v>
      </c>
      <c r="Q37" s="61" t="s">
        <v>598</v>
      </c>
      <c r="R37" s="61" t="s">
        <v>599</v>
      </c>
      <c r="S37" s="61" t="s">
        <v>600</v>
      </c>
      <c r="T37" s="61" t="s">
        <v>601</v>
      </c>
      <c r="U37" s="61" t="s">
        <v>484</v>
      </c>
      <c r="V37" s="61" t="s">
        <v>485</v>
      </c>
      <c r="W37" s="61" t="s">
        <v>486</v>
      </c>
      <c r="AF37" s="61" t="s">
        <v>1517</v>
      </c>
      <c r="AG37" s="62" t="s">
        <v>834</v>
      </c>
      <c r="AH37" s="62" t="s">
        <v>835</v>
      </c>
      <c r="AJ37" s="61" t="s">
        <v>836</v>
      </c>
      <c r="AK37" s="61" t="s">
        <v>837</v>
      </c>
      <c r="AL37" s="61" t="s">
        <v>487</v>
      </c>
      <c r="AN37" t="s">
        <v>488</v>
      </c>
      <c r="AO37" t="s">
        <v>489</v>
      </c>
      <c r="AP37" t="s">
        <v>490</v>
      </c>
      <c r="AQ37" t="s">
        <v>491</v>
      </c>
      <c r="AR37" t="s">
        <v>492</v>
      </c>
      <c r="AS37" t="s">
        <v>493</v>
      </c>
      <c r="AT37" t="s">
        <v>494</v>
      </c>
      <c r="AU37" t="s">
        <v>495</v>
      </c>
      <c r="AV37" t="s">
        <v>496</v>
      </c>
      <c r="AW37" t="s">
        <v>497</v>
      </c>
      <c r="AX37" t="s">
        <v>498</v>
      </c>
      <c r="AY37" t="s">
        <v>499</v>
      </c>
    </row>
    <row r="38" spans="1:51">
      <c r="E38" t="str">
        <f t="shared" ref="E38:F42" si="1">E24</f>
        <v>Krishnan KR</v>
      </c>
      <c r="F38">
        <f t="shared" si="1"/>
        <v>1993</v>
      </c>
      <c r="G38">
        <v>7</v>
      </c>
      <c r="H38">
        <f t="shared" ref="H38:I42" si="2">H24</f>
        <v>25</v>
      </c>
      <c r="I38">
        <f t="shared" si="2"/>
        <v>20</v>
      </c>
      <c r="J38">
        <f t="shared" ref="J38:M40" si="3">IF($D$4="Total",T24,IF($D$4="Left",L24,IF($D$4="Right",P24,"error")))</f>
        <v>5.74</v>
      </c>
      <c r="K38">
        <f t="shared" si="3"/>
        <v>1.88</v>
      </c>
      <c r="L38">
        <f t="shared" si="3"/>
        <v>6.39</v>
      </c>
      <c r="M38">
        <f t="shared" si="3"/>
        <v>1.42</v>
      </c>
      <c r="N38">
        <f t="shared" ref="N38:N44" si="4">IF($D$3=1,SQRT((((I38-1)*(M38)^2)+((H38-1)*(K38)^2))/(H38+I38-2)),M38)</f>
        <v>1.6922339713980121</v>
      </c>
      <c r="O38" s="59">
        <f t="shared" ref="O38:O44" si="5">IF($D$6=1,LN(J38/L38),IF($D$5=1,(1-3/(4*(H38+I38)-9))*((J38-L38)/N38),(J38-L38)/N38))</f>
        <v>-0.37736891116805987</v>
      </c>
      <c r="P38" s="63">
        <f t="shared" ref="P38:P44" si="6">IF($D$6=1,(K38^2)/(H38*J38^2)+(M38^2)/(I38*L38^2),(IF($D$5=1,((H38+I38)/(H38*I38))+(O38*O38)/(2*(H38+I38-3.94)),((H38+I38)/(H38*I38))+((O38^2)/(2*(H38+I38-2))))))</f>
        <v>9.1734136569851035E-2</v>
      </c>
      <c r="Q38" s="59">
        <f t="shared" ref="Q38:Q44" si="7">$R$61*SQRT(P38)</f>
        <v>0.59363781807322524</v>
      </c>
      <c r="R38" s="59">
        <f t="shared" ref="R38:R44" si="8">1/P38</f>
        <v>10.901067338640607</v>
      </c>
      <c r="S38" s="59">
        <f t="shared" ref="S38:S44" si="9">O38*R38</f>
        <v>-4.1137239121525058</v>
      </c>
      <c r="T38" s="59">
        <f t="shared" ref="T38:T44" si="10">R38*(O38^2)</f>
        <v>1.5523915135750028</v>
      </c>
      <c r="U38" s="23">
        <f t="shared" ref="U38:U44" si="11">R38^2</f>
        <v>118.83326912157699</v>
      </c>
      <c r="V38" s="59">
        <f t="shared" ref="V38:V43" si="12">1/((1/R38)+$I$58)</f>
        <v>7.0846232223960044</v>
      </c>
      <c r="W38" s="59">
        <f t="shared" ref="W38:W44" si="13">V38*O38</f>
        <v>-2.6735165514715318</v>
      </c>
      <c r="AF38" s="59">
        <f t="shared" ref="AF38:AF44" si="14">IF($D$6=1,100*((EXP(O38))-1),O38)</f>
        <v>-0.37736891116805987</v>
      </c>
      <c r="AG38" s="59">
        <f t="shared" ref="AG38:AG44" si="15">IF($D$6=1,100*(EXP(O38+Q38)-EXP(O38)),Q38)</f>
        <v>0.59363781807322524</v>
      </c>
      <c r="AH38" s="59">
        <f t="shared" ref="AH38:AH44" si="16">IF($D$6=1,100*(EXP(O38)-EXP(O38-Q38)),Q38)</f>
        <v>0.59363781807322524</v>
      </c>
      <c r="AJ38">
        <f t="shared" ref="AJ38:AJ44" si="17">SQRT(P38)</f>
        <v>0.30287643779246187</v>
      </c>
      <c r="AK38">
        <f t="shared" ref="AK38:AK44" si="18">1/AJ38</f>
        <v>3.30167644366322</v>
      </c>
      <c r="AL38">
        <f t="shared" ref="AL38:AL44" si="19">O38/AJ38</f>
        <v>-1.2459500445744216</v>
      </c>
      <c r="AN38" t="str">
        <f t="shared" ref="AN38:AO42" si="20">E38</f>
        <v>Krishnan KR</v>
      </c>
      <c r="AO38">
        <f t="shared" si="20"/>
        <v>1993</v>
      </c>
      <c r="AP38" t="str">
        <f t="shared" ref="AP38:AP44" si="21">CONCATENATE(AN38," ",AO38)</f>
        <v>Krishnan KR 1993</v>
      </c>
      <c r="AQ38">
        <f t="shared" ref="AQ38:AQ44" si="22">INT(H38)</f>
        <v>25</v>
      </c>
      <c r="AR38">
        <f t="shared" ref="AR38:AS42" si="23">J38</f>
        <v>5.74</v>
      </c>
      <c r="AS38">
        <f t="shared" si="23"/>
        <v>1.88</v>
      </c>
      <c r="AT38">
        <f t="shared" ref="AT38:AT44" si="24">INT(I38)</f>
        <v>20</v>
      </c>
      <c r="AU38">
        <f t="shared" ref="AU38:AV42" si="25">L38</f>
        <v>6.39</v>
      </c>
      <c r="AV38">
        <f t="shared" si="25"/>
        <v>1.42</v>
      </c>
      <c r="AW38" s="65">
        <f t="shared" ref="AW38:AW44" si="26">O38</f>
        <v>-0.37736891116805987</v>
      </c>
      <c r="AX38">
        <f t="shared" ref="AX38:AX44" si="27">SQRT(P38)</f>
        <v>0.30287643779246187</v>
      </c>
      <c r="AY38" t="str">
        <f>$F$3</f>
        <v>Pooled SD</v>
      </c>
    </row>
    <row r="39" spans="1:51">
      <c r="E39" t="str">
        <f t="shared" si="1"/>
        <v>Lisanby SH</v>
      </c>
      <c r="F39">
        <f t="shared" si="1"/>
        <v>1993</v>
      </c>
      <c r="G39">
        <v>6</v>
      </c>
      <c r="H39">
        <f t="shared" si="2"/>
        <v>21</v>
      </c>
      <c r="I39">
        <f t="shared" si="2"/>
        <v>21</v>
      </c>
      <c r="J39">
        <f t="shared" si="3"/>
        <v>12.07</v>
      </c>
      <c r="K39">
        <f t="shared" si="3"/>
        <v>2.61</v>
      </c>
      <c r="L39">
        <f t="shared" si="3"/>
        <v>12.87</v>
      </c>
      <c r="M39">
        <f t="shared" si="3"/>
        <v>3.16</v>
      </c>
      <c r="N39">
        <f t="shared" si="4"/>
        <v>2.8980769485988467</v>
      </c>
      <c r="O39" s="59">
        <f t="shared" si="5"/>
        <v>-0.27083672183267643</v>
      </c>
      <c r="P39" s="63">
        <f t="shared" si="6"/>
        <v>9.6201738563017336E-2</v>
      </c>
      <c r="Q39" s="59">
        <f t="shared" si="7"/>
        <v>0.60792154005569443</v>
      </c>
      <c r="R39" s="59">
        <f t="shared" si="8"/>
        <v>10.394822535820868</v>
      </c>
      <c r="S39" s="59">
        <f t="shared" si="9"/>
        <v>-2.8152996596341526</v>
      </c>
      <c r="T39" s="59">
        <f t="shared" si="10"/>
        <v>0.7624865307919636</v>
      </c>
      <c r="U39" s="23">
        <f t="shared" si="11"/>
        <v>108.05233555120938</v>
      </c>
      <c r="V39" s="59">
        <f t="shared" si="12"/>
        <v>6.867265500965277</v>
      </c>
      <c r="W39" s="59">
        <f t="shared" si="13"/>
        <v>-1.859907676236068</v>
      </c>
      <c r="AF39" s="59">
        <f t="shared" si="14"/>
        <v>-0.27083672183267643</v>
      </c>
      <c r="AG39" s="59">
        <f t="shared" si="15"/>
        <v>0.60792154005569443</v>
      </c>
      <c r="AH39" s="59">
        <f t="shared" si="16"/>
        <v>0.60792154005569443</v>
      </c>
      <c r="AJ39">
        <f t="shared" si="17"/>
        <v>0.31016405104882372</v>
      </c>
      <c r="AK39">
        <f t="shared" si="18"/>
        <v>3.2241002676438071</v>
      </c>
      <c r="AL39">
        <f t="shared" si="19"/>
        <v>-0.8732047473485034</v>
      </c>
      <c r="AN39" t="str">
        <f t="shared" si="20"/>
        <v>Lisanby SH</v>
      </c>
      <c r="AO39">
        <f t="shared" si="20"/>
        <v>1993</v>
      </c>
      <c r="AP39" t="str">
        <f t="shared" si="21"/>
        <v>Lisanby SH 1993</v>
      </c>
      <c r="AQ39">
        <f t="shared" si="22"/>
        <v>21</v>
      </c>
      <c r="AR39">
        <f t="shared" si="23"/>
        <v>12.07</v>
      </c>
      <c r="AS39">
        <f t="shared" si="23"/>
        <v>2.61</v>
      </c>
      <c r="AT39">
        <f t="shared" si="24"/>
        <v>21</v>
      </c>
      <c r="AU39">
        <f t="shared" si="25"/>
        <v>12.87</v>
      </c>
      <c r="AV39">
        <f t="shared" si="25"/>
        <v>3.16</v>
      </c>
      <c r="AW39" s="65">
        <f t="shared" si="26"/>
        <v>-0.27083672183267643</v>
      </c>
      <c r="AX39">
        <f t="shared" si="27"/>
        <v>0.31016405104882372</v>
      </c>
    </row>
    <row r="40" spans="1:51">
      <c r="E40" t="str">
        <f t="shared" si="1"/>
        <v>Dupont RM (A)</v>
      </c>
      <c r="F40">
        <f t="shared" si="1"/>
        <v>1995</v>
      </c>
      <c r="G40">
        <v>5</v>
      </c>
      <c r="H40">
        <f t="shared" si="2"/>
        <v>30</v>
      </c>
      <c r="I40">
        <f t="shared" si="2"/>
        <v>26</v>
      </c>
      <c r="J40">
        <f t="shared" si="3"/>
        <v>1570.77</v>
      </c>
      <c r="K40">
        <f t="shared" si="3"/>
        <v>345.89</v>
      </c>
      <c r="L40">
        <f t="shared" si="3"/>
        <v>1716.85</v>
      </c>
      <c r="M40">
        <f t="shared" si="3"/>
        <v>293.02</v>
      </c>
      <c r="N40">
        <f t="shared" si="4"/>
        <v>322.49245988601552</v>
      </c>
      <c r="O40" s="59">
        <f t="shared" si="5"/>
        <v>-0.44665129370626494</v>
      </c>
      <c r="P40" s="63">
        <f t="shared" si="6"/>
        <v>7.3710905008178354E-2</v>
      </c>
      <c r="Q40" s="59">
        <f t="shared" si="7"/>
        <v>0.53213514512707949</v>
      </c>
      <c r="R40" s="59">
        <f t="shared" si="8"/>
        <v>13.566513664281402</v>
      </c>
      <c r="S40" s="59">
        <f t="shared" si="9"/>
        <v>-6.0595008792350091</v>
      </c>
      <c r="T40" s="59">
        <f t="shared" si="10"/>
        <v>2.706483906924567</v>
      </c>
      <c r="U40" s="23">
        <f t="shared" si="11"/>
        <v>184.05029300313399</v>
      </c>
      <c r="V40" s="59">
        <f t="shared" si="12"/>
        <v>8.1216601830209285</v>
      </c>
      <c r="W40" s="59">
        <f t="shared" si="13"/>
        <v>-3.6275500277889581</v>
      </c>
      <c r="AF40" s="59">
        <f t="shared" si="14"/>
        <v>-0.44665129370626494</v>
      </c>
      <c r="AG40" s="59">
        <f t="shared" si="15"/>
        <v>0.53213514512707949</v>
      </c>
      <c r="AH40" s="59">
        <f t="shared" si="16"/>
        <v>0.53213514512707949</v>
      </c>
      <c r="AJ40">
        <f t="shared" si="17"/>
        <v>0.27149752302402014</v>
      </c>
      <c r="AK40">
        <f t="shared" si="18"/>
        <v>3.6832748559239241</v>
      </c>
      <c r="AL40">
        <f t="shared" si="19"/>
        <v>-1.6451394794741772</v>
      </c>
      <c r="AN40" t="str">
        <f t="shared" si="20"/>
        <v>Dupont RM (A)</v>
      </c>
      <c r="AO40">
        <f t="shared" si="20"/>
        <v>1995</v>
      </c>
      <c r="AP40" t="str">
        <f t="shared" si="21"/>
        <v>Dupont RM (A) 1995</v>
      </c>
      <c r="AQ40">
        <f t="shared" si="22"/>
        <v>30</v>
      </c>
      <c r="AR40">
        <f t="shared" si="23"/>
        <v>1570.77</v>
      </c>
      <c r="AS40">
        <f t="shared" si="23"/>
        <v>345.89</v>
      </c>
      <c r="AT40">
        <f t="shared" si="24"/>
        <v>26</v>
      </c>
      <c r="AU40">
        <f t="shared" si="25"/>
        <v>1716.85</v>
      </c>
      <c r="AV40">
        <f t="shared" si="25"/>
        <v>293.02</v>
      </c>
      <c r="AW40" s="65">
        <f t="shared" si="26"/>
        <v>-0.44665129370626494</v>
      </c>
      <c r="AX40">
        <f t="shared" si="27"/>
        <v>0.27149752302402014</v>
      </c>
    </row>
    <row r="41" spans="1:51">
      <c r="E41" t="str">
        <f t="shared" si="1"/>
        <v>Parashos IA</v>
      </c>
      <c r="F41">
        <f t="shared" si="1"/>
        <v>1998</v>
      </c>
      <c r="G41">
        <v>4</v>
      </c>
      <c r="H41">
        <f t="shared" si="2"/>
        <v>72</v>
      </c>
      <c r="I41">
        <f t="shared" si="2"/>
        <v>38</v>
      </c>
      <c r="J41">
        <f t="shared" ref="J41:M42" si="28">IF($D$4="Total",T27,IF($D$4="Left",L27,IF($D$4="Right",P27,"error")))</f>
        <v>11.39</v>
      </c>
      <c r="K41">
        <f t="shared" si="28"/>
        <v>2.2599999999999998</v>
      </c>
      <c r="L41">
        <f t="shared" si="28"/>
        <v>11.63</v>
      </c>
      <c r="M41">
        <f t="shared" si="28"/>
        <v>2.77</v>
      </c>
      <c r="N41">
        <f t="shared" si="4"/>
        <v>2.4467228649313304</v>
      </c>
      <c r="O41" s="59">
        <f t="shared" si="5"/>
        <v>-9.7407626247036264E-2</v>
      </c>
      <c r="P41" s="63">
        <f t="shared" si="6"/>
        <v>4.0249408919102808E-2</v>
      </c>
      <c r="Q41" s="59">
        <f t="shared" si="7"/>
        <v>0.39322020459740542</v>
      </c>
      <c r="R41" s="59">
        <f t="shared" si="8"/>
        <v>24.845085352927732</v>
      </c>
      <c r="S41" s="59">
        <f t="shared" si="9"/>
        <v>-2.4201007881336998</v>
      </c>
      <c r="T41" s="59">
        <f t="shared" si="10"/>
        <v>0.23573627305068529</v>
      </c>
      <c r="U41" s="23">
        <f t="shared" si="11"/>
        <v>617.27826619426412</v>
      </c>
      <c r="V41" s="59">
        <f t="shared" si="12"/>
        <v>11.152494411573105</v>
      </c>
      <c r="W41" s="59">
        <f t="shared" si="13"/>
        <v>-1.0863380073646736</v>
      </c>
      <c r="AF41" s="59">
        <f t="shared" si="14"/>
        <v>-9.7407626247036264E-2</v>
      </c>
      <c r="AG41" s="59">
        <f t="shared" si="15"/>
        <v>0.39322020459740542</v>
      </c>
      <c r="AH41" s="59">
        <f t="shared" si="16"/>
        <v>0.39322020459740542</v>
      </c>
      <c r="AJ41">
        <f t="shared" si="17"/>
        <v>0.20062255336602317</v>
      </c>
      <c r="AK41">
        <f t="shared" si="18"/>
        <v>4.9844844621011442</v>
      </c>
      <c r="AL41">
        <f t="shared" si="19"/>
        <v>-0.4855267995185078</v>
      </c>
      <c r="AN41" t="str">
        <f t="shared" si="20"/>
        <v>Parashos IA</v>
      </c>
      <c r="AO41">
        <f t="shared" si="20"/>
        <v>1998</v>
      </c>
      <c r="AP41" t="str">
        <f t="shared" si="21"/>
        <v>Parashos IA 1998</v>
      </c>
      <c r="AQ41">
        <f t="shared" si="22"/>
        <v>72</v>
      </c>
      <c r="AR41">
        <f t="shared" si="23"/>
        <v>11.39</v>
      </c>
      <c r="AS41">
        <f t="shared" si="23"/>
        <v>2.2599999999999998</v>
      </c>
      <c r="AT41">
        <f t="shared" si="24"/>
        <v>38</v>
      </c>
      <c r="AU41">
        <f t="shared" si="25"/>
        <v>11.63</v>
      </c>
      <c r="AV41">
        <f t="shared" si="25"/>
        <v>2.77</v>
      </c>
      <c r="AW41" s="65">
        <f t="shared" si="26"/>
        <v>-9.7407626247036264E-2</v>
      </c>
      <c r="AX41">
        <f t="shared" si="27"/>
        <v>0.20062255336602317</v>
      </c>
      <c r="AY41" t="str">
        <f>$F$6</f>
        <v>Cohens Effect size</v>
      </c>
    </row>
    <row r="42" spans="1:51">
      <c r="E42" t="str">
        <f t="shared" si="1"/>
        <v>Caetano SC</v>
      </c>
      <c r="F42">
        <f t="shared" si="1"/>
        <v>2001</v>
      </c>
      <c r="G42">
        <v>3</v>
      </c>
      <c r="H42">
        <f t="shared" si="2"/>
        <v>17</v>
      </c>
      <c r="I42">
        <f t="shared" si="2"/>
        <v>39</v>
      </c>
      <c r="J42">
        <f t="shared" si="28"/>
        <v>7.26</v>
      </c>
      <c r="K42">
        <f t="shared" si="28"/>
        <v>1.73</v>
      </c>
      <c r="L42">
        <f t="shared" si="28"/>
        <v>6.84</v>
      </c>
      <c r="M42">
        <f t="shared" si="28"/>
        <v>1.68</v>
      </c>
      <c r="N42">
        <f t="shared" si="4"/>
        <v>1.6949685892424433</v>
      </c>
      <c r="O42" s="59">
        <f t="shared" si="5"/>
        <v>0.24433463694381394</v>
      </c>
      <c r="P42" s="63">
        <f t="shared" si="6"/>
        <v>8.5037926305291944E-2</v>
      </c>
      <c r="Q42" s="59">
        <f t="shared" si="7"/>
        <v>0.57156075590824951</v>
      </c>
      <c r="R42" s="59">
        <f t="shared" si="8"/>
        <v>11.759458907898717</v>
      </c>
      <c r="S42" s="59">
        <f t="shared" si="9"/>
        <v>2.8732431229171316</v>
      </c>
      <c r="T42" s="59">
        <f t="shared" si="10"/>
        <v>0.70203281528926753</v>
      </c>
      <c r="U42" s="23">
        <f t="shared" si="11"/>
        <v>138.28487380655847</v>
      </c>
      <c r="V42" s="59">
        <f t="shared" si="12"/>
        <v>7.4374571313478812</v>
      </c>
      <c r="W42" s="59">
        <f t="shared" si="13"/>
        <v>1.8172283879730644</v>
      </c>
      <c r="AF42" s="59">
        <f t="shared" si="14"/>
        <v>0.24433463694381394</v>
      </c>
      <c r="AG42" s="59">
        <f t="shared" si="15"/>
        <v>0.57156075590824951</v>
      </c>
      <c r="AH42" s="59">
        <f t="shared" si="16"/>
        <v>0.57156075590824951</v>
      </c>
      <c r="AJ42">
        <f t="shared" si="17"/>
        <v>0.29161263056543341</v>
      </c>
      <c r="AK42">
        <f t="shared" si="18"/>
        <v>3.4292067461584637</v>
      </c>
      <c r="AL42">
        <f t="shared" si="19"/>
        <v>0.83787398532790569</v>
      </c>
      <c r="AN42" t="str">
        <f t="shared" si="20"/>
        <v>Caetano SC</v>
      </c>
      <c r="AO42">
        <f t="shared" si="20"/>
        <v>2001</v>
      </c>
      <c r="AP42" t="str">
        <f t="shared" si="21"/>
        <v>Caetano SC 2001</v>
      </c>
      <c r="AQ42">
        <f t="shared" si="22"/>
        <v>17</v>
      </c>
      <c r="AR42">
        <f t="shared" si="23"/>
        <v>7.26</v>
      </c>
      <c r="AS42">
        <f t="shared" si="23"/>
        <v>1.73</v>
      </c>
      <c r="AT42">
        <f t="shared" si="24"/>
        <v>39</v>
      </c>
      <c r="AU42">
        <f t="shared" si="25"/>
        <v>6.84</v>
      </c>
      <c r="AV42">
        <f t="shared" si="25"/>
        <v>1.68</v>
      </c>
      <c r="AW42" s="65">
        <f t="shared" si="26"/>
        <v>0.24433463694381394</v>
      </c>
      <c r="AX42">
        <f t="shared" si="27"/>
        <v>0.29161263056543341</v>
      </c>
    </row>
    <row r="43" spans="1:51">
      <c r="E43" t="str">
        <f>E29</f>
        <v>Andreescu C</v>
      </c>
      <c r="F43">
        <f>F29</f>
        <v>2008</v>
      </c>
      <c r="G43">
        <v>2</v>
      </c>
      <c r="H43">
        <f>H29</f>
        <v>71</v>
      </c>
      <c r="I43">
        <f>I29</f>
        <v>32</v>
      </c>
      <c r="J43">
        <f>IF($D$4="Total",T29,IF($D$4="Left",L29,IF($D$4="Right",P29,"error")))</f>
        <v>0.88</v>
      </c>
      <c r="K43">
        <f>IF($D$4="Total",U29,IF($D$4="Left",M29,IF($D$4="Right",Q29,"error")))</f>
        <v>0.15</v>
      </c>
      <c r="L43">
        <f>IF($D$4="Total",V29,IF($D$4="Left",N29,IF($D$4="Right",R29,"error")))</f>
        <v>1</v>
      </c>
      <c r="M43">
        <f>IF($D$4="Total",W29,IF($D$4="Left",O29,IF($D$4="Right",S29,"error")))</f>
        <v>0.2</v>
      </c>
      <c r="N43">
        <f t="shared" si="4"/>
        <v>0.1669469590280484</v>
      </c>
      <c r="O43" s="59">
        <f t="shared" si="5"/>
        <v>-0.71344036719980142</v>
      </c>
      <c r="P43" s="63">
        <f t="shared" si="6"/>
        <v>4.7903642705236497E-2</v>
      </c>
      <c r="Q43" s="59">
        <f t="shared" si="7"/>
        <v>0.42898325586954617</v>
      </c>
      <c r="R43" s="59">
        <f t="shared" si="8"/>
        <v>20.875239199516802</v>
      </c>
      <c r="S43" s="59">
        <f t="shared" si="9"/>
        <v>-14.893238319886956</v>
      </c>
      <c r="T43" s="59">
        <f t="shared" si="10"/>
        <v>10.625437415734304</v>
      </c>
      <c r="U43" s="23">
        <f t="shared" si="11"/>
        <v>435.77561163704291</v>
      </c>
      <c r="V43" s="59">
        <f t="shared" si="12"/>
        <v>10.275351376613695</v>
      </c>
      <c r="W43" s="59">
        <f t="shared" si="13"/>
        <v>-7.3308504592382597</v>
      </c>
      <c r="AF43" s="59">
        <f t="shared" si="14"/>
        <v>-0.71344036719980142</v>
      </c>
      <c r="AG43" s="59">
        <f t="shared" si="15"/>
        <v>0.42898325586954617</v>
      </c>
      <c r="AH43" s="59">
        <f t="shared" si="16"/>
        <v>0.42898325586954617</v>
      </c>
      <c r="AJ43">
        <f t="shared" si="17"/>
        <v>0.21886900809670723</v>
      </c>
      <c r="AK43">
        <f t="shared" si="18"/>
        <v>4.5689428973797428</v>
      </c>
      <c r="AL43">
        <f t="shared" si="19"/>
        <v>-3.2596682984215284</v>
      </c>
      <c r="AN43" t="str">
        <f>E43</f>
        <v>Andreescu C</v>
      </c>
      <c r="AO43">
        <f>F43</f>
        <v>2008</v>
      </c>
      <c r="AP43" t="str">
        <f t="shared" si="21"/>
        <v>Andreescu C 2008</v>
      </c>
      <c r="AQ43">
        <f t="shared" si="22"/>
        <v>71</v>
      </c>
      <c r="AR43">
        <f>J43</f>
        <v>0.88</v>
      </c>
      <c r="AS43">
        <f>K43</f>
        <v>0.15</v>
      </c>
      <c r="AT43">
        <f t="shared" si="24"/>
        <v>32</v>
      </c>
      <c r="AU43">
        <f>L43</f>
        <v>1</v>
      </c>
      <c r="AV43">
        <f>M43</f>
        <v>0.2</v>
      </c>
      <c r="AW43" s="65">
        <f t="shared" si="26"/>
        <v>-0.71344036719980142</v>
      </c>
      <c r="AX43">
        <f t="shared" si="27"/>
        <v>0.21886900809670723</v>
      </c>
    </row>
    <row r="44" spans="1:51">
      <c r="E44" t="str">
        <f>E32</f>
        <v>McIntosh AM</v>
      </c>
      <c r="F44">
        <f>F32</f>
        <v>2001</v>
      </c>
      <c r="G44">
        <v>1</v>
      </c>
      <c r="H44">
        <f>H32</f>
        <v>9</v>
      </c>
      <c r="I44">
        <f>I32</f>
        <v>29</v>
      </c>
      <c r="J44">
        <f>IF($D$4="Total",T32,IF($D$4="Left",L32,IF($D$4="Right",P32,"error")))</f>
        <v>11484</v>
      </c>
      <c r="K44">
        <f>IF($D$4="Total",U32,IF($D$4="Left",M32,IF($D$4="Right",Q32,"error")))</f>
        <v>1566.0833311161957</v>
      </c>
      <c r="L44">
        <f>IF($D$4="Total",V32,IF($D$4="Left",N32,IF($D$4="Right",R32,"error")))</f>
        <v>12541</v>
      </c>
      <c r="M44">
        <f>IF($D$4="Total",W32,IF($D$4="Left",O32,IF($D$4="Right",S32,"error")))</f>
        <v>1168.7985284042754</v>
      </c>
      <c r="N44">
        <f t="shared" si="4"/>
        <v>1267.8881829421885</v>
      </c>
      <c r="O44" s="59">
        <f t="shared" si="5"/>
        <v>-0.81618015590603499</v>
      </c>
      <c r="P44" s="63">
        <f t="shared" si="6"/>
        <v>0.15537293677370917</v>
      </c>
      <c r="Q44" s="59">
        <f t="shared" si="7"/>
        <v>0.77258052907763675</v>
      </c>
      <c r="R44" s="59">
        <f t="shared" si="8"/>
        <v>6.4361272996753396</v>
      </c>
      <c r="S44" s="59">
        <f t="shared" si="9"/>
        <v>-5.2530393828801065</v>
      </c>
      <c r="T44" s="59">
        <f t="shared" si="10"/>
        <v>4.2874265024996276</v>
      </c>
      <c r="U44" s="23">
        <f t="shared" si="11"/>
        <v>41.423734617626181</v>
      </c>
      <c r="V44" s="59">
        <f>1/((1/R44)+$I$58)</f>
        <v>4.8830612557953561</v>
      </c>
      <c r="W44" s="59">
        <f t="shared" si="13"/>
        <v>-3.9854576970537727</v>
      </c>
      <c r="AF44" s="59">
        <f t="shared" si="14"/>
        <v>-0.81618015590603499</v>
      </c>
      <c r="AG44" s="59">
        <f t="shared" si="15"/>
        <v>0.77258052907763675</v>
      </c>
      <c r="AH44" s="59">
        <f t="shared" si="16"/>
        <v>0.77258052907763675</v>
      </c>
      <c r="AJ44">
        <f t="shared" si="17"/>
        <v>0.3941737393253249</v>
      </c>
      <c r="AK44">
        <f t="shared" si="18"/>
        <v>2.5369523644868339</v>
      </c>
      <c r="AL44">
        <f t="shared" si="19"/>
        <v>-2.0706101763730484</v>
      </c>
      <c r="AN44" t="str">
        <f>E44</f>
        <v>McIntosh AM</v>
      </c>
      <c r="AO44">
        <f>F44</f>
        <v>2001</v>
      </c>
      <c r="AP44" t="str">
        <f t="shared" si="21"/>
        <v>McIntosh AM 2001</v>
      </c>
      <c r="AQ44">
        <f t="shared" si="22"/>
        <v>9</v>
      </c>
      <c r="AR44">
        <f>J44</f>
        <v>11484</v>
      </c>
      <c r="AS44">
        <f>K44</f>
        <v>1566.0833311161957</v>
      </c>
      <c r="AT44">
        <f t="shared" si="24"/>
        <v>29</v>
      </c>
      <c r="AU44">
        <f>L44</f>
        <v>12541</v>
      </c>
      <c r="AV44">
        <f>M44</f>
        <v>1168.7985284042754</v>
      </c>
      <c r="AW44" s="65">
        <f t="shared" si="26"/>
        <v>-0.81618015590603499</v>
      </c>
      <c r="AX44">
        <f t="shared" si="27"/>
        <v>0.3941737393253249</v>
      </c>
      <c r="AY44" t="str">
        <f>$F$5</f>
        <v>H Correction</v>
      </c>
    </row>
    <row r="45" spans="1:51">
      <c r="U45" s="23"/>
    </row>
    <row r="46" spans="1:51">
      <c r="L46" t="s">
        <v>500</v>
      </c>
      <c r="N46" s="7"/>
      <c r="O46" s="66">
        <f>COUNT(O38:O44)</f>
        <v>7</v>
      </c>
      <c r="Q46" t="s">
        <v>885</v>
      </c>
      <c r="R46" s="59">
        <f t="shared" ref="R46:W46" si="29">SUM(R38:R44)</f>
        <v>98.778314298761458</v>
      </c>
      <c r="S46" s="59">
        <f t="shared" si="29"/>
        <v>-32.681659819005297</v>
      </c>
      <c r="T46" s="59">
        <f t="shared" si="29"/>
        <v>20.871994957865418</v>
      </c>
      <c r="U46" s="23">
        <f t="shared" si="29"/>
        <v>1643.6983839314121</v>
      </c>
      <c r="V46" s="59">
        <f t="shared" si="29"/>
        <v>55.821913081712253</v>
      </c>
      <c r="W46" s="59">
        <f t="shared" si="29"/>
        <v>-18.7463920311802</v>
      </c>
    </row>
    <row r="47" spans="1:51">
      <c r="L47" t="s">
        <v>501</v>
      </c>
      <c r="N47" s="7"/>
      <c r="O47" s="2">
        <v>0</v>
      </c>
    </row>
    <row r="48" spans="1:51">
      <c r="N48" s="7"/>
      <c r="O48" s="7"/>
    </row>
    <row r="49" spans="7:34">
      <c r="G49" s="67" t="s">
        <v>502</v>
      </c>
      <c r="H49" s="40"/>
      <c r="I49" s="40">
        <f>S46/R46</f>
        <v>-0.33085865102088585</v>
      </c>
      <c r="J49" s="40"/>
      <c r="K49" s="68" t="s">
        <v>879</v>
      </c>
      <c r="L49" s="40"/>
      <c r="M49" s="42"/>
      <c r="N49" s="7"/>
      <c r="O49" s="69" t="s">
        <v>503</v>
      </c>
      <c r="P49" s="70">
        <f>T46-((S46^2)/R46)</f>
        <v>10.058985077025836</v>
      </c>
      <c r="Q49" s="71" t="s">
        <v>824</v>
      </c>
      <c r="R49" s="28"/>
      <c r="S49" s="29"/>
      <c r="T49" s="30"/>
      <c r="U49" s="31"/>
      <c r="AF49" s="2" t="s">
        <v>1518</v>
      </c>
    </row>
    <row r="50" spans="7:34">
      <c r="G50" s="43" t="s">
        <v>504</v>
      </c>
      <c r="H50" s="31"/>
      <c r="I50" s="31">
        <f>1/R46</f>
        <v>1.0123679545445925E-2</v>
      </c>
      <c r="J50" s="31"/>
      <c r="K50" s="31"/>
      <c r="L50" s="31"/>
      <c r="M50" s="44"/>
      <c r="N50" s="7"/>
      <c r="O50" s="30" t="s">
        <v>505</v>
      </c>
      <c r="P50" s="31">
        <f>CHIDIST(P49,I54-1)</f>
        <v>0.1221899070077383</v>
      </c>
      <c r="Q50" s="31"/>
      <c r="R50" s="31"/>
      <c r="S50" s="34"/>
      <c r="T50" s="30"/>
      <c r="U50" s="31"/>
      <c r="AF50" s="2"/>
    </row>
    <row r="51" spans="7:34">
      <c r="G51" s="72" t="s">
        <v>506</v>
      </c>
      <c r="H51" s="31"/>
      <c r="I51" s="31">
        <f>$R$61*SQRT(I50)</f>
        <v>0.19720833486895289</v>
      </c>
      <c r="J51" s="31"/>
      <c r="K51" s="31" t="s">
        <v>507</v>
      </c>
      <c r="L51" s="31"/>
      <c r="M51" s="44">
        <f>ABS(I49/SQRT(I50))</f>
        <v>3.2883141396222442</v>
      </c>
      <c r="N51" s="7"/>
      <c r="O51" s="35" t="s">
        <v>508</v>
      </c>
      <c r="P51" s="37">
        <f>IF(((P49-(I54-1))/P49)&lt;0,0,100*((P49-(I54-1))/P49))</f>
        <v>40.351835159755161</v>
      </c>
      <c r="Q51" s="36"/>
      <c r="R51" s="36"/>
      <c r="S51" s="38"/>
      <c r="T51" s="30"/>
      <c r="U51" s="31"/>
      <c r="AF51" s="2" t="s">
        <v>1535</v>
      </c>
      <c r="AH51">
        <f>IF($D$6=1,100*((EXP(I49))-1),I49)</f>
        <v>-0.33085865102088585</v>
      </c>
    </row>
    <row r="52" spans="7:34">
      <c r="G52" s="45" t="s">
        <v>509</v>
      </c>
      <c r="H52" s="46"/>
      <c r="I52" s="46">
        <v>-2</v>
      </c>
      <c r="J52" s="46"/>
      <c r="K52" s="46" t="s">
        <v>825</v>
      </c>
      <c r="L52" s="46"/>
      <c r="M52" s="47">
        <f>2*(1-NORMDIST(M51,0,1,1))</f>
        <v>1.0078930857013724E-3</v>
      </c>
      <c r="N52" s="7"/>
      <c r="O52" s="7"/>
      <c r="AF52" s="79" t="s">
        <v>834</v>
      </c>
      <c r="AH52">
        <f>IF($D$6=1,100*(EXP(I49+I51)-EXP(I49)),I51)</f>
        <v>0.19720833486895289</v>
      </c>
    </row>
    <row r="53" spans="7:34">
      <c r="G53" s="40"/>
      <c r="H53" s="40"/>
      <c r="I53" s="40"/>
      <c r="J53" s="40"/>
      <c r="K53" s="40"/>
      <c r="L53" s="40"/>
      <c r="M53" s="40"/>
      <c r="N53" s="7"/>
      <c r="O53" s="7"/>
      <c r="AF53" s="79" t="s">
        <v>835</v>
      </c>
      <c r="AH53">
        <f>IF($D$6=1,100*(EXP(I49)-EXP(I49-I51)),I51)</f>
        <v>0.19720833486895289</v>
      </c>
    </row>
    <row r="54" spans="7:34">
      <c r="G54" s="73" t="s">
        <v>1110</v>
      </c>
      <c r="H54" s="74"/>
      <c r="I54" s="74">
        <f>O46</f>
        <v>7</v>
      </c>
      <c r="J54" s="74"/>
      <c r="K54" s="75" t="s">
        <v>1167</v>
      </c>
      <c r="L54" s="74"/>
      <c r="M54" s="76"/>
      <c r="N54" s="77"/>
      <c r="O54" s="101" t="s">
        <v>1513</v>
      </c>
      <c r="P54" s="102"/>
      <c r="Q54" s="103"/>
      <c r="AF54" s="7"/>
    </row>
    <row r="55" spans="7:34">
      <c r="G55" s="77" t="s">
        <v>1531</v>
      </c>
      <c r="H55" s="31"/>
      <c r="I55" s="31">
        <f>R46/I54</f>
        <v>14.111187756965922</v>
      </c>
      <c r="J55" s="31"/>
      <c r="K55" s="31"/>
      <c r="L55" s="31"/>
      <c r="M55" s="78"/>
      <c r="N55" s="77"/>
      <c r="O55" s="104" t="s">
        <v>1514</v>
      </c>
      <c r="P55" s="31"/>
      <c r="Q55" s="105">
        <f>INDEX(LINEST(AL38:AL44,AK38:AK44,TRUE,TRUE),1,2)</f>
        <v>-0.76945606301625769</v>
      </c>
      <c r="AF55" s="2" t="s">
        <v>1687</v>
      </c>
      <c r="AH55">
        <f>IF($D$6=1,100*((EXP(I60))-1),I60)</f>
        <v>-0.33582496543497509</v>
      </c>
    </row>
    <row r="56" spans="7:34">
      <c r="G56" s="77" t="s">
        <v>1532</v>
      </c>
      <c r="H56" s="31"/>
      <c r="I56" s="31">
        <f>(1/(I54-1))*(U46-(I54*I55^2))</f>
        <v>41.636507424166247</v>
      </c>
      <c r="J56" s="31"/>
      <c r="K56" s="31"/>
      <c r="L56" s="31"/>
      <c r="M56" s="78"/>
      <c r="N56" s="77"/>
      <c r="O56" s="104" t="s">
        <v>1516</v>
      </c>
      <c r="P56" s="31"/>
      <c r="Q56" s="105">
        <f>INDEX(LINEST(AL38:AL44,AK38:AK44,TRUE,TRUE),2,2)</f>
        <v>2.5731814366931736</v>
      </c>
      <c r="AF56" s="79" t="s">
        <v>834</v>
      </c>
      <c r="AG56" s="7"/>
      <c r="AH56">
        <f>IF($D$6=1,100*(EXP(I60+I62)-EXP(I60)),I62)</f>
        <v>0.26233347566168413</v>
      </c>
    </row>
    <row r="57" spans="7:34">
      <c r="G57" s="77" t="s">
        <v>1669</v>
      </c>
      <c r="H57" s="31"/>
      <c r="I57" s="31">
        <f>(I54-1)*(I55-(I56/(I54*I55)))</f>
        <v>82.13803859047249</v>
      </c>
      <c r="J57" s="31"/>
      <c r="K57" s="31"/>
      <c r="L57" s="31"/>
      <c r="M57" s="78"/>
      <c r="N57" s="77"/>
      <c r="O57" s="104" t="s">
        <v>1349</v>
      </c>
      <c r="P57" s="31"/>
      <c r="Q57" s="105">
        <f>ABS(Q55/Q56)</f>
        <v>0.29902907429842762</v>
      </c>
      <c r="AF57" s="79" t="s">
        <v>835</v>
      </c>
      <c r="AH57">
        <f>IF($D$6=1,100*(EXP(I60)-EXP(I60-I62)),I62)</f>
        <v>0.26233347566168413</v>
      </c>
    </row>
    <row r="58" spans="7:34">
      <c r="G58" s="77" t="s">
        <v>1685</v>
      </c>
      <c r="H58" s="31"/>
      <c r="I58" s="31">
        <f>IF(P49&gt;(I54-1),(P49-(I54-1))/I57,0)</f>
        <v>4.9416630183529285E-2</v>
      </c>
      <c r="J58" s="31"/>
      <c r="K58" s="31"/>
      <c r="L58" s="31"/>
      <c r="M58" s="78"/>
      <c r="N58" s="77"/>
      <c r="O58" s="106" t="s">
        <v>1515</v>
      </c>
      <c r="P58" s="107"/>
      <c r="Q58" s="108">
        <f>TDIST(Q57,I54-2,2)</f>
        <v>0.77694788750175536</v>
      </c>
    </row>
    <row r="59" spans="7:34">
      <c r="G59" s="77"/>
      <c r="H59" s="31"/>
      <c r="I59" s="31"/>
      <c r="J59" s="31"/>
      <c r="K59" s="31"/>
      <c r="L59" s="31"/>
      <c r="M59" s="78"/>
      <c r="N59" s="77"/>
    </row>
    <row r="60" spans="7:34">
      <c r="G60" s="77" t="s">
        <v>1686</v>
      </c>
      <c r="H60" s="31"/>
      <c r="I60" s="31">
        <f>W46/V46</f>
        <v>-0.33582496543497509</v>
      </c>
      <c r="J60" s="31"/>
      <c r="N60" s="77"/>
    </row>
    <row r="61" spans="7:34">
      <c r="G61" s="77" t="s">
        <v>504</v>
      </c>
      <c r="H61" s="31"/>
      <c r="I61" s="31">
        <f>1/V46</f>
        <v>1.7914111946256618E-2</v>
      </c>
      <c r="J61" s="31"/>
      <c r="N61" s="77"/>
      <c r="O61" t="s">
        <v>805</v>
      </c>
      <c r="R61">
        <v>1.96</v>
      </c>
    </row>
    <row r="62" spans="7:34">
      <c r="G62" s="80" t="s">
        <v>506</v>
      </c>
      <c r="H62" s="31"/>
      <c r="I62" s="31">
        <f>$R$61*SQRT(I61)</f>
        <v>0.26233347566168413</v>
      </c>
      <c r="J62" s="31"/>
      <c r="K62" s="31" t="s">
        <v>507</v>
      </c>
      <c r="L62" s="31"/>
      <c r="M62" s="78">
        <f>ABS(I60/(SQRT(I61)))</f>
        <v>2.5090847845183677</v>
      </c>
      <c r="N62" s="77"/>
    </row>
    <row r="63" spans="7:34">
      <c r="G63" s="81" t="s">
        <v>509</v>
      </c>
      <c r="H63" s="82"/>
      <c r="I63" s="82">
        <v>-3</v>
      </c>
      <c r="J63" s="82"/>
      <c r="K63" s="31" t="s">
        <v>825</v>
      </c>
      <c r="L63" s="31"/>
      <c r="M63" s="78">
        <f>2*(1-NORMDIST(M62,0,1,1))</f>
        <v>1.2104442738354315E-2</v>
      </c>
      <c r="N63" s="77"/>
    </row>
    <row r="64" spans="7:34">
      <c r="G64" s="74"/>
      <c r="H64" s="74"/>
      <c r="I64" s="74"/>
      <c r="J64" s="74"/>
      <c r="K64" s="74"/>
      <c r="L64" s="74"/>
      <c r="M64" s="74"/>
      <c r="N64" s="31"/>
      <c r="O64" s="7"/>
    </row>
  </sheetData>
  <phoneticPr fontId="10" type="noConversion"/>
  <conditionalFormatting sqref="D17 D13 F13">
    <cfRule type="cellIs" dxfId="116" priority="0" stopIfTrue="1" operator="lessThan">
      <formula>0.05</formula>
    </cfRule>
  </conditionalFormatting>
  <conditionalFormatting sqref="D21">
    <cfRule type="cellIs" dxfId="11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sheetPr published="0" codeName="Sheet26" enableFormatConditionsCalculation="0"/>
  <dimension ref="A1:BM5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1473</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I47-O40</f>
        <v>5</v>
      </c>
      <c r="AD7" s="89"/>
    </row>
    <row r="8" spans="2:30">
      <c r="B8" t="s">
        <v>822</v>
      </c>
      <c r="D8">
        <f>SUM(H24:H28)</f>
        <v>113</v>
      </c>
      <c r="AD8" s="89"/>
    </row>
    <row r="9" spans="2:30">
      <c r="B9" t="s">
        <v>823</v>
      </c>
      <c r="D9">
        <f>SUM(I24:I28)</f>
        <v>122</v>
      </c>
      <c r="AD9" s="89"/>
    </row>
    <row r="11" spans="2:30">
      <c r="B11" s="27" t="s">
        <v>516</v>
      </c>
      <c r="C11" s="28"/>
      <c r="D11" s="109">
        <f>P42</f>
        <v>9.3244978789353183</v>
      </c>
      <c r="E11" s="110" t="s">
        <v>1513</v>
      </c>
      <c r="F11" s="103"/>
    </row>
    <row r="12" spans="2:30">
      <c r="B12" s="30" t="s">
        <v>826</v>
      </c>
      <c r="C12" s="31"/>
      <c r="D12" s="112">
        <f>P44</f>
        <v>57.102247735652611</v>
      </c>
      <c r="E12" s="31"/>
      <c r="F12" s="105"/>
    </row>
    <row r="13" spans="2:30">
      <c r="B13" s="35" t="s">
        <v>825</v>
      </c>
      <c r="C13" s="36"/>
      <c r="D13" s="113">
        <f>P43</f>
        <v>5.3481055694488716E-2</v>
      </c>
      <c r="E13" s="111" t="s">
        <v>825</v>
      </c>
      <c r="F13" s="115">
        <f>Q51</f>
        <v>0.83200175603786786</v>
      </c>
    </row>
    <row r="15" spans="2:30">
      <c r="B15" s="39" t="s">
        <v>879</v>
      </c>
      <c r="C15" s="40"/>
      <c r="D15" s="41">
        <f>AH44</f>
        <v>-0.30934577160145271</v>
      </c>
      <c r="E15" s="116"/>
    </row>
    <row r="16" spans="2:30">
      <c r="B16" s="43" t="s">
        <v>1165</v>
      </c>
      <c r="C16" s="31"/>
      <c r="D16" s="33">
        <f>AH44-AH46</f>
        <v>-0.57604817659385743</v>
      </c>
      <c r="E16" s="117">
        <f>AH44+AH45</f>
        <v>-4.264336660904805E-2</v>
      </c>
    </row>
    <row r="17" spans="1:65">
      <c r="B17" s="45" t="s">
        <v>1166</v>
      </c>
      <c r="C17" s="46"/>
      <c r="D17" s="123">
        <f>M45</f>
        <v>2.3002884214226915E-2</v>
      </c>
      <c r="E17" s="118"/>
    </row>
    <row r="18" spans="1:65">
      <c r="D18" s="48"/>
      <c r="F18" s="49"/>
    </row>
    <row r="19" spans="1:65">
      <c r="B19" s="50" t="s">
        <v>1167</v>
      </c>
      <c r="C19" s="51"/>
      <c r="D19" s="52">
        <f>AH48</f>
        <v>-0.3198207285188393</v>
      </c>
      <c r="E19" s="120"/>
      <c r="F19" s="33"/>
      <c r="G19" s="31"/>
    </row>
    <row r="20" spans="1:65">
      <c r="B20" s="53" t="s">
        <v>1165</v>
      </c>
      <c r="C20" s="31"/>
      <c r="D20" s="33">
        <f>AH48-AH50</f>
        <v>-0.73973340210095717</v>
      </c>
      <c r="E20" s="121">
        <f>AH48+AH49</f>
        <v>0.10009194506327862</v>
      </c>
      <c r="F20" s="31"/>
      <c r="G20" s="31"/>
    </row>
    <row r="21" spans="1:65">
      <c r="B21" s="54" t="s">
        <v>1440</v>
      </c>
      <c r="C21" s="55"/>
      <c r="D21" s="114">
        <f>M56</f>
        <v>0.13548768364069419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1272</v>
      </c>
      <c r="L24">
        <v>46.54</v>
      </c>
      <c r="M24">
        <v>7.03</v>
      </c>
      <c r="N24">
        <v>47.39</v>
      </c>
      <c r="O24">
        <v>6.9</v>
      </c>
      <c r="P24">
        <v>46.55</v>
      </c>
      <c r="Q24">
        <v>6.3</v>
      </c>
      <c r="R24">
        <v>43.37</v>
      </c>
      <c r="S24">
        <v>4.4000000000000004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AX24" s="13"/>
      <c r="AY24" s="13"/>
      <c r="AZ24" s="13"/>
      <c r="BA24" s="13"/>
      <c r="BC24" s="23"/>
      <c r="BF24" s="136"/>
      <c r="BG24" s="136"/>
      <c r="BH24" s="136"/>
      <c r="BI24" s="136"/>
    </row>
    <row r="25" spans="1:65">
      <c r="B25">
        <v>10618023</v>
      </c>
      <c r="C25" s="1" t="str">
        <f>IF($B25="","",HYPERLINK(IF(LEN(VLOOKUP($B25,Database!$B$1:$IX$10144,2,FALSE))=0,"",VLOOKUP($B25,Database!$B$1:$IX$10144,2,FALSE))))</f>
        <v/>
      </c>
      <c r="D25" s="1" t="str">
        <f>IF($B25="","",HYPERLINK(CONCATENATE("http://www.ncbi.nlm.nih.gov/pubmed/",B25)))</f>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1275</v>
      </c>
      <c r="K25" t="s">
        <v>1276</v>
      </c>
      <c r="L25">
        <v>17931</v>
      </c>
      <c r="M25">
        <v>4170</v>
      </c>
      <c r="N25">
        <v>18227</v>
      </c>
      <c r="O25">
        <v>1791</v>
      </c>
      <c r="P25">
        <v>18207</v>
      </c>
      <c r="Q25">
        <v>4260</v>
      </c>
      <c r="R25">
        <v>19475</v>
      </c>
      <c r="S25">
        <v>2707</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2"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v>11200955</v>
      </c>
      <c r="C26" s="1" t="str">
        <f>IF($B26="","",HYPERLINK(IF(LEN(VLOOKUP($B26,Database!$B$1:$IX$10144,2,FALSE))=0,"",VLOOKUP($B26,Database!$B$1:$IX$10144,2,FALSE))))</f>
        <v/>
      </c>
      <c r="D26" s="1" t="str">
        <f>IF($B26="","",HYPERLINK(CONCATENATE("http://www.ncbi.nlm.nih.gov/pubmed/",B26)))</f>
        <v>http://www.ncbi.nlm.nih.gov/pubmed/11200955</v>
      </c>
      <c r="E26" s="22" t="str">
        <f>IF($B26="","",IF(LEN(VLOOKUP($B26,Database!$B$1:$IX$10144,4,FALSE))=0,"",VLOOKUP($B26,Database!$B$1:$IX$10144,4,FALSE)))</f>
        <v>McIntosh AM</v>
      </c>
      <c r="F26" s="22">
        <f>IF($B26="","",IF(LEN(VLOOKUP($B26,Database!$B$1:$IX$10144,5,FALSE))=0,"",VLOOKUP($B26,Database!$B$1:$IX$10144,5,FALSE)))</f>
        <v>2001</v>
      </c>
      <c r="G26" s="1" t="str">
        <f>IF($B26="","",HYPERLINK(IF(LEN(VLOOKUP($B26,Database!$B$1:$IX$10144,6,FALSE))=0,"",VLOOKUP($B26,Database!$B$1:$IX$10144,6,FALSE))))</f>
        <v>http://dx.doi.org/10.1017/S0033291799003177</v>
      </c>
      <c r="H26" s="22">
        <f>IF($B26="","",IF(LEN(VLOOKUP($B26,Database!$B$1:$IX$10144,7,FALSE))=0,"",VLOOKUP($B26,Database!$B$1:$IX$10144,7,FALSE)))</f>
        <v>9</v>
      </c>
      <c r="I26" s="22">
        <f>IF($B26="","",IF(LEN(VLOOKUP($B26,Database!$B$1:$IX$10144,8,FALSE))=0,"",VLOOKUP($B26,Database!$B$1:$IX$10144,8,FALSE)))</f>
        <v>29</v>
      </c>
      <c r="J26" t="s">
        <v>1275</v>
      </c>
      <c r="L26">
        <v>73375</v>
      </c>
      <c r="M26">
        <v>5499</v>
      </c>
      <c r="N26">
        <v>79352</v>
      </c>
      <c r="O26">
        <v>6478</v>
      </c>
      <c r="P26">
        <v>76679</v>
      </c>
      <c r="Q26">
        <v>4996</v>
      </c>
      <c r="R26">
        <v>82580</v>
      </c>
      <c r="S26">
        <v>7297</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43.56</v>
      </c>
      <c r="AC26" s="22">
        <f>IF(OR($B26="",AC$22=""),"",IF(LEN(VLOOKUP($B26,Database!$B$1:$IX$10144,AC$22,FALSE))=0,"",VLOOKUP($B26,Database!$B$1:$IX$10144,AC$22,FALSE)))</f>
        <v>9.3800000000000008</v>
      </c>
      <c r="AD26" s="22">
        <f>IF(OR($B26="",AD$22=""),"",IF(LEN(VLOOKUP($B26,Database!$B$1:$IX$10144,AD$22,FALSE))=0,"",VLOOKUP($B26,Database!$B$1:$IX$10144,AD$22,FALSE)))</f>
        <v>42.76</v>
      </c>
      <c r="AE26" s="22">
        <f>IF(OR($B26="",AE$22=""),"",IF(LEN(VLOOKUP($B26,Database!$B$1:$IX$10144,AE$22,FALSE))=0,"",VLOOKUP($B26,Database!$B$1:$IX$10144,AE$22,FALSE)))</f>
        <v>9.91</v>
      </c>
      <c r="AF26" s="22">
        <f>IF(OR($B26="",AF$22=""),"",IF(LEN(VLOOKUP($B26,Database!$B$1:$IX$10144,AF$22,FALSE))=0,"",VLOOKUP($B26,Database!$B$1:$IX$10144,AF$22,FALSE)))</f>
        <v>5</v>
      </c>
      <c r="AG26" s="22">
        <f>IF(OR($B26="",AG$22=""),"",IF(LEN(VLOOKUP($B26,Database!$B$1:$IX$10144,AG$22,FALSE))=0,"",VLOOKUP($B26,Database!$B$1:$IX$10144,AG$22,FALSE)))</f>
        <v>16</v>
      </c>
      <c r="AH26" s="22">
        <f>IF(OR($B26="",AH$22=""),"",IF(LEN(VLOOKUP($B26,Database!$B$1:$IX$10144,AH$22,FALSE))=0,"",VLOOKUP($B26,Database!$B$1:$IX$10144,AH$22,FALSE)))</f>
        <v>1</v>
      </c>
      <c r="AI26" s="22">
        <f>IF(OR($B26="",AI$22=""),"",IF(LEN(VLOOKUP($B26,Database!$B$1:$IX$10144,AI$22,FALSE))=0,"",VLOOKUP($B26,Database!$B$1:$IX$10144,AI$22,FALSE)))</f>
        <v>1.88</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
        <v>1142</v>
      </c>
      <c r="AR26" s="13"/>
      <c r="AX26" s="13"/>
      <c r="AY26" s="13"/>
      <c r="AZ26" s="13"/>
      <c r="BA26" s="13"/>
      <c r="BC26" s="23"/>
      <c r="BF26" s="136"/>
      <c r="BG26" s="136"/>
      <c r="BH26" s="136"/>
      <c r="BI26" s="136"/>
    </row>
    <row r="27" spans="1:65">
      <c r="B27">
        <v>15598548</v>
      </c>
      <c r="C27" s="1" t="str">
        <f>IF($B27="","",HYPERLINK(IF(LEN(VLOOKUP($B27,Database!$B$1:$IX$10144,2,FALSE))=0,"",VLOOKUP($B27,Database!$B$1:$IX$10144,2,FALSE))))</f>
        <v/>
      </c>
      <c r="D27" s="1" t="str">
        <f>IF($B27="","",HYPERLINK(CONCATENATE("http://www.ncbi.nlm.nih.gov/pubmed/",B27)))</f>
        <v>http://www.ncbi.nlm.nih.gov/pubmed/15598548</v>
      </c>
      <c r="E27" s="22" t="str">
        <f>IF($B27="","",IF(LEN(VLOOKUP($B27,Database!$B$1:$IX$10144,4,FALSE))=0,"",VLOOKUP($B27,Database!$B$1:$IX$10144,4,FALSE)))</f>
        <v>Caetano SC</v>
      </c>
      <c r="F27" s="22">
        <f>IF($B27="","",IF(LEN(VLOOKUP($B27,Database!$B$1:$IX$10144,5,FALSE))=0,"",VLOOKUP($B27,Database!$B$1:$IX$10144,5,FALSE)))</f>
        <v>2004</v>
      </c>
      <c r="G27" s="1" t="str">
        <f>IF($B27="","",HYPERLINK(IF(LEN(VLOOKUP($B27,Database!$B$1:$IX$10144,6,FALSE))=0,"",VLOOKUP($B27,Database!$B$1:$IX$10144,6,FALSE))))</f>
        <v>http://dx.doi.org/10.1016/j.pscychresns.2004.08.002</v>
      </c>
      <c r="H27" s="22">
        <f>IF($B27="","",IF(LEN(VLOOKUP($B27,Database!$B$1:$IX$10144,7,FALSE))=0,"",VLOOKUP($B27,Database!$B$1:$IX$10144,7,FALSE)))</f>
        <v>31</v>
      </c>
      <c r="I27" s="22">
        <f>IF($B27="","",IF(LEN(VLOOKUP($B27,Database!$B$1:$IX$10144,8,FALSE))=0,"",VLOOKUP($B27,Database!$B$1:$IX$10144,8,FALSE)))</f>
        <v>31</v>
      </c>
      <c r="J27" t="s">
        <v>1471</v>
      </c>
      <c r="L27">
        <v>71.39</v>
      </c>
      <c r="M27">
        <v>8.2899999999999991</v>
      </c>
      <c r="N27">
        <v>69.900000000000006</v>
      </c>
      <c r="O27">
        <v>9.16</v>
      </c>
      <c r="P27">
        <v>78.67</v>
      </c>
      <c r="Q27">
        <v>9.4499999999999993</v>
      </c>
      <c r="R27">
        <v>76.42</v>
      </c>
      <c r="S27">
        <v>8.36</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39.200000000000003</v>
      </c>
      <c r="AC27" s="22">
        <f>IF(OR($B27="",AC$22=""),"",IF(LEN(VLOOKUP($B27,Database!$B$1:$IX$10144,AC$22,FALSE))=0,"",VLOOKUP($B27,Database!$B$1:$IX$10144,AC$22,FALSE)))</f>
        <v>11.9</v>
      </c>
      <c r="AD27" s="22">
        <f>IF(OR($B27="",AD$22=""),"",IF(LEN(VLOOKUP($B27,Database!$B$1:$IX$10144,AD$22,FALSE))=0,"",VLOOKUP($B27,Database!$B$1:$IX$10144,AD$22,FALSE)))</f>
        <v>36.700000000000003</v>
      </c>
      <c r="AE27" s="22">
        <f>IF(OR($B27="",AE$22=""),"",IF(LEN(VLOOKUP($B27,Database!$B$1:$IX$10144,AE$22,FALSE))=0,"",VLOOKUP($B27,Database!$B$1:$IX$10144,AE$22,FALSE)))</f>
        <v>10.7</v>
      </c>
      <c r="AF27" s="22">
        <f>IF(OR($B27="",AF$22=""),"",IF(LEN(VLOOKUP($B27,Database!$B$1:$IX$10144,AF$22,FALSE))=0,"",VLOOKUP($B27,Database!$B$1:$IX$10144,AF$22,FALSE)))</f>
        <v>24</v>
      </c>
      <c r="AG27" s="22">
        <f>IF(OR($B27="",AG$22=""),"",IF(LEN(VLOOKUP($B27,Database!$B$1:$IX$10144,AG$22,FALSE))=0,"",VLOOKUP($B27,Database!$B$1:$IX$10144,AG$22,FALSE)))</f>
        <v>24</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14">
        <v>27.9</v>
      </c>
      <c r="AL27" s="214">
        <v>11.8</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Caetano SC, Hatch JP, Brambilla P, Sassi RB, Nicoletti M, Mallinger AG, Frank E, Kupfer DJ, Keshavan MS, Soares JC.</v>
      </c>
      <c r="AR27" s="13"/>
      <c r="AX27" s="13"/>
      <c r="AY27" s="13"/>
      <c r="AZ27" s="13"/>
      <c r="BA27" s="13"/>
      <c r="BC27" s="23"/>
      <c r="BF27" s="136"/>
      <c r="BG27" s="136"/>
      <c r="BH27" s="136"/>
      <c r="BI27" s="136"/>
    </row>
    <row r="28" spans="1:65">
      <c r="A28" s="13" t="s">
        <v>2241</v>
      </c>
      <c r="B28">
        <v>15231442</v>
      </c>
      <c r="C28" s="1" t="str">
        <f>IF($B28="","",HYPERLINK(IF(LEN(VLOOKUP($B28,Database!$B$1:$IX$10144,2,FALSE))=0,"",VLOOKUP($B28,Database!$B$1:$IX$10144,2,FALSE))))</f>
        <v/>
      </c>
      <c r="D28" s="1" t="str">
        <f>IF($B28="","",HYPERLINK(CONCATENATE("http://www.ncbi.nlm.nih.gov/pubmed/",B28)))</f>
        <v>http://www.ncbi.nlm.nih.gov/pubmed/15231442</v>
      </c>
      <c r="E28" s="22" t="str">
        <f>IF($B28="","",IF(LEN(VLOOKUP($B28,Database!$B$1:$IX$10144,4,FALSE))=0,"",VLOOKUP($B28,Database!$B$1:$IX$10144,4,FALSE)))</f>
        <v>Vythilingam M</v>
      </c>
      <c r="F28" s="22">
        <f>IF($B28="","",IF(LEN(VLOOKUP($B28,Database!$B$1:$IX$10144,5,FALSE))=0,"",VLOOKUP($B28,Database!$B$1:$IX$10144,5,FALSE)))</f>
        <v>2004</v>
      </c>
      <c r="G28" s="1" t="str">
        <f>IF($B28="","",HYPERLINK(IF(LEN(VLOOKUP($B28,Database!$B$1:$IX$10144,6,FALSE))=0,"",VLOOKUP($B28,Database!$B$1:$IX$10144,6,FALSE))))</f>
        <v>http://dx.doi.org/10.1016/j.biopsych.2004.04.002</v>
      </c>
      <c r="H28" s="22">
        <f>IF($B28="","",IF(LEN(VLOOKUP($B28,Database!$B$1:$IX$10144,7,FALSE))=0,"",VLOOKUP($B28,Database!$B$1:$IX$10144,7,FALSE)))</f>
        <v>38</v>
      </c>
      <c r="I28" s="22">
        <f>IF($B28="","",IF(LEN(VLOOKUP($B28,Database!$B$1:$IX$10144,8,FALSE))=0,"",VLOOKUP($B28,Database!$B$1:$IX$10144,8,FALSE)))</f>
        <v>33</v>
      </c>
      <c r="J28" t="s">
        <v>1472</v>
      </c>
      <c r="L28">
        <v>15396</v>
      </c>
      <c r="M28">
        <v>1586</v>
      </c>
      <c r="N28">
        <v>16660</v>
      </c>
      <c r="O28">
        <v>1935</v>
      </c>
      <c r="P28">
        <v>16269</v>
      </c>
      <c r="Q28">
        <v>1669</v>
      </c>
      <c r="R28">
        <v>17092</v>
      </c>
      <c r="S28">
        <v>2485</v>
      </c>
      <c r="T28">
        <v>15832</v>
      </c>
      <c r="U28">
        <v>1492</v>
      </c>
      <c r="V28">
        <v>16876</v>
      </c>
      <c r="W28">
        <v>2031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41</v>
      </c>
      <c r="AC28" s="22">
        <f>IF(OR($B28="",AC$22=""),"",IF(LEN(VLOOKUP($B28,Database!$B$1:$IX$10144,AC$22,FALSE))=0,"",VLOOKUP($B28,Database!$B$1:$IX$10144,AC$22,FALSE)))</f>
        <v>11</v>
      </c>
      <c r="AD28" s="22">
        <f>IF(OR($B28="",AD$22=""),"",IF(LEN(VLOOKUP($B28,Database!$B$1:$IX$10144,AD$22,FALSE))=0,"",VLOOKUP($B28,Database!$B$1:$IX$10144,AD$22,FALSE)))</f>
        <v>34</v>
      </c>
      <c r="AE28" s="22">
        <f>IF(OR($B28="",AE$22=""),"",IF(LEN(VLOOKUP($B28,Database!$B$1:$IX$10144,AE$22,FALSE))=0,"",VLOOKUP($B28,Database!$B$1:$IX$10144,AE$22,FALSE)))</f>
        <v>10</v>
      </c>
      <c r="AF28" s="22">
        <f>IF(OR($B28="",AF$22=""),"",IF(LEN(VLOOKUP($B28,Database!$B$1:$IX$10144,AF$22,FALSE))=0,"",VLOOKUP($B28,Database!$B$1:$IX$10144,AF$22,FALSE)))</f>
        <v>23</v>
      </c>
      <c r="AG28" s="22">
        <f>IF(OR($B28="",AG$22=""),"",IF(LEN(VLOOKUP($B28,Database!$B$1:$IX$10144,AG$22,FALSE))=0,"",VLOOKUP($B28,Database!$B$1:$IX$10144,AG$22,FALSE)))</f>
        <v>21</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f>IF(OR($B28="",AM$22=""),"",IF(LEN(VLOOKUP($B28,Database!$B$1:$IX$10144,AM$22,FALSE))=0,"",VLOOKUP($B28,Database!$B$1:$IX$10144,AM$22,FALSE)))</f>
        <v>0</v>
      </c>
      <c r="AN28" s="22" t="str">
        <f>IF(OR($B28="",AN$22=""),"",IF(LEN(VLOOKUP($B28,Database!$B$1:$IX$10144,AN$22,FALSE))=0,"",VLOOKUP($B28,Database!$B$1:$IX$10144,AN$22,FALSE)))</f>
        <v>ns</v>
      </c>
      <c r="AO28" s="22" t="str">
        <f>IF(OR($B28="",AO$22=""),"",IF(LEN(VLOOKUP($B28,Database!$B$1:$IX$10144,AO$22,FALSE))=0,"",VLOOKUP($B28,Database!$B$1:$IX$10144,AO$22,FALSE)))</f>
        <v>ns</v>
      </c>
      <c r="AP28" s="22">
        <f>IF(OR($B28="",AP$22=""),"",IF(LEN(VLOOKUP($B28,Database!$B$1:$IX$10144,AP$22,FALSE))=0,"",VLOOKUP($B28,Database!$B$1:$IX$10144,AP$22,FALSE)))</f>
        <v>39.473684210526315</v>
      </c>
      <c r="AQ28" s="22" t="str">
        <f>IF(OR($B28="",AQ$22=""),"",IF(LEN(VLOOKUP($B28,Database!$B$1:$IX$10144,AQ$22,FALSE))=0,"",VLOOKUP($B28,Database!$B$1:$IX$10144,AQ$22,FALSE)))</f>
        <v>Vythilingam M, Vermetten E, Anderson GM, Luckenbaugh D, Anderson ER, Snow J, Staib LH, Charney DS, Bremner JD.</v>
      </c>
      <c r="AR28" s="13"/>
      <c r="AX28" s="13"/>
      <c r="AY28" s="13"/>
      <c r="AZ28" s="13"/>
      <c r="BA28" s="13"/>
      <c r="BC28" s="23"/>
      <c r="BF28" s="136"/>
      <c r="BG28" s="136"/>
      <c r="BH28" s="136"/>
      <c r="BI28" s="136"/>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A30" s="7" t="s">
        <v>68</v>
      </c>
      <c r="B30">
        <v>9859118</v>
      </c>
      <c r="C30" s="1" t="str">
        <f>IF($B30="","",HYPERLINK(IF(LEN(VLOOKUP($B30,Database!$B$1:$IX$10144,2,FALSE))=0,"",VLOOKUP($B30,Database!$B$1:$IX$10144,2,FALSE))))</f>
        <v/>
      </c>
      <c r="D30" s="1" t="str">
        <f>IF($B30="","",HYPERLINK(CONCATENATE("http://www.ncbi.nlm.nih.gov/pubmed/",B30)))</f>
        <v>http://www.ncbi.nlm.nih.gov/pubmed/9859118</v>
      </c>
      <c r="E30" s="22" t="str">
        <f>IF($B30="","",IF(LEN(VLOOKUP($B30,Database!$B$1:$IX$10144,4,FALSE))=0,"",VLOOKUP($B30,Database!$B$1:$IX$10144,4,FALSE)))</f>
        <v>Pantel J</v>
      </c>
      <c r="F30" s="22">
        <f>IF($B30="","",IF(LEN(VLOOKUP($B30,Database!$B$1:$IX$10144,5,FALSE))=0,"",VLOOKUP($B30,Database!$B$1:$IX$10144,5,FALSE)))</f>
        <v>1998</v>
      </c>
      <c r="G30" s="1" t="str">
        <f>IF($B30="","",HYPERLINK(IF(LEN(VLOOKUP($B30,Database!$B$1:$IX$10144,6,FALSE))=0,"",VLOOKUP($B30,Database!$B$1:$IX$10144,6,FALSE))))</f>
        <v>http://dx.doi.org/10.1007/s001150050371</v>
      </c>
      <c r="H30" s="22">
        <f>IF($B30="","",IF(LEN(VLOOKUP($B30,Database!$B$1:$IX$10144,7,FALSE))=0,"",VLOOKUP($B30,Database!$B$1:$IX$10144,7,FALSE)))</f>
        <v>19</v>
      </c>
      <c r="I30" s="22">
        <f>IF($B30="","",IF(LEN(VLOOKUP($B30,Database!$B$1:$IX$10144,8,FALSE))=0,"",VLOOKUP($B30,Database!$B$1:$IX$10144,8,FALSE)))</f>
        <v>13</v>
      </c>
      <c r="Y30" s="22" t="str">
        <f>IF(OR($B30="",Y$22=""),"",IF(LEN(VLOOKUP($B30,Database!$B$1:$IX$10144,Y$22,FALSE))=0,"",VLOOKUP($B30,Database!$B$1:$IX$10144,Y$22,FALSE)))</f>
        <v>DSM-III-R</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72.400000000000006</v>
      </c>
      <c r="AC30" s="22">
        <f>IF(OR($B30="",AC$22=""),"",IF(LEN(VLOOKUP($B30,Database!$B$1:$IX$10144,AC$22,FALSE))=0,"",VLOOKUP($B30,Database!$B$1:$IX$10144,AC$22,FALSE)))</f>
        <v>8.8000000000000007</v>
      </c>
      <c r="AD30" s="22">
        <f>IF(OR($B30="",AD$22=""),"",IF(LEN(VLOOKUP($B30,Database!$B$1:$IX$10144,AD$22,FALSE))=0,"",VLOOKUP($B30,Database!$B$1:$IX$10144,AD$22,FALSE)))</f>
        <v>68.2</v>
      </c>
      <c r="AE30" s="22">
        <f>IF(OR($B30="",AE$22=""),"",IF(LEN(VLOOKUP($B30,Database!$B$1:$IX$10144,AE$22,FALSE))=0,"",VLOOKUP($B30,Database!$B$1:$IX$10144,AE$22,FALSE)))</f>
        <v>5.3</v>
      </c>
      <c r="AF30" s="22">
        <f>IF(OR($B30="",AF$22=""),"",IF(LEN(VLOOKUP($B30,Database!$B$1:$IX$10144,AF$22,FALSE))=0,"",VLOOKUP($B30,Database!$B$1:$IX$10144,AF$22,FALSE)))</f>
        <v>15</v>
      </c>
      <c r="AG30" s="22">
        <f>IF(OR($B30="",AG$22=""),"",IF(LEN(VLOOKUP($B30,Database!$B$1:$IX$10144,AG$22,FALSE))=0,"",VLOOKUP($B30,Database!$B$1:$IX$10144,AG$22,FALSE)))</f>
        <v>10</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22" t="str">
        <f>IF(OR($B30="",AK$22=""),"",IF(LEN(VLOOKUP($B30,Database!$B$1:$IX$10144,AK$22,FALSE))=0,"",VLOOKUP($B30,Database!$B$1:$IX$10144,AK$22,FALSE)))</f>
        <v>ns</v>
      </c>
      <c r="AL30" s="22">
        <f>IF(OR($B30="",AL$22=""),"",IF(LEN(VLOOKUP($B30,Database!$B$1:$IX$10144,AL$22,FALSE))=0,"",VLOOKUP($B30,Database!$B$1:$IX$10144,AL$22,FALSE)))</f>
        <v>26.7</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Pantel J, Schroder J, Essig M, Schad LR, Popp D, Eysenbach K, Jauss M, Knopp MV.</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E24</f>
        <v>Pantel J</v>
      </c>
      <c r="F33">
        <f>F24</f>
        <v>1997</v>
      </c>
      <c r="G33">
        <v>5</v>
      </c>
      <c r="H33">
        <f>H24</f>
        <v>19</v>
      </c>
      <c r="I33">
        <f>I24</f>
        <v>13</v>
      </c>
      <c r="J33">
        <f t="shared" ref="J33:M34" si="0">IF($D$4="Total",T24,IF($D$4="Left",L24,IF($D$4="Right",P24,"error")))</f>
        <v>46.54</v>
      </c>
      <c r="K33">
        <f t="shared" si="0"/>
        <v>7.03</v>
      </c>
      <c r="L33">
        <f t="shared" si="0"/>
        <v>47.39</v>
      </c>
      <c r="M33">
        <f t="shared" si="0"/>
        <v>6.9</v>
      </c>
      <c r="N33">
        <f>IF($D$3=1,SQRT((((I33-1)*(M33)^2)+((H33-1)*(K33)^2))/(H33+I33-2)),M33)</f>
        <v>6.9782906216350726</v>
      </c>
      <c r="O33" s="59">
        <f>IF($D$6=1,LN(J33/L33),IF($D$5=1,(1-3/(4*(H33+I33)-9))*((J33-L33)/N33),(J33-L33)/N33))</f>
        <v>-0.11873558633436344</v>
      </c>
      <c r="P33" s="63">
        <f>IF($D$6=1,(K33^2)/(H33*J33^2)+(M33^2)/(I33*L33^2),(IF($D$5=1,((H33+I33)/(H33*I33))+(O33*O33)/(2*(H33+I33-3.94)),((H33+I33)/(H33*I33))+((O33^2)/(2*(H33+I33-2))))))</f>
        <v>0.12980587004475336</v>
      </c>
      <c r="Q33" s="59">
        <f>$R$54*SQRT(P33)</f>
        <v>0.70616020162844395</v>
      </c>
      <c r="R33" s="59">
        <f>1/P33</f>
        <v>7.7038118511530218</v>
      </c>
      <c r="S33" s="59">
        <f>O33*R33</f>
        <v>-0.91471661715627184</v>
      </c>
      <c r="T33" s="59">
        <f>R33*(O33^2)</f>
        <v>0.10860941386783539</v>
      </c>
      <c r="U33" s="23">
        <f>R33^2</f>
        <v>59.348717037965748</v>
      </c>
      <c r="V33" s="59">
        <f>1/((1/R33)+$I$51)</f>
        <v>3.8742515396233204</v>
      </c>
      <c r="W33" s="59">
        <f>V33*O33</f>
        <v>-0.46001152816398527</v>
      </c>
      <c r="AF33" s="59">
        <f>IF($D$6=1,100*((EXP(O33))-1),O33)</f>
        <v>-0.11873558633436344</v>
      </c>
      <c r="AG33" s="59">
        <f>IF($D$6=1,100*(EXP(O33+Q33)-EXP(O33)),Q33)</f>
        <v>0.70616020162844395</v>
      </c>
      <c r="AH33" s="59">
        <f>IF($D$6=1,100*(EXP(O33)-EXP(O33-Q33)),Q33)</f>
        <v>0.70616020162844395</v>
      </c>
      <c r="AJ33">
        <f>SQRT(P33)</f>
        <v>0.36028581715736935</v>
      </c>
      <c r="AK33">
        <f>1/AJ33</f>
        <v>2.7755741480192926</v>
      </c>
      <c r="AL33">
        <f>O33/AJ33</f>
        <v>-0.32955942387957193</v>
      </c>
      <c r="AN33" t="str">
        <f t="shared" ref="AN33:AO37" si="1">E33</f>
        <v>Pantel J</v>
      </c>
      <c r="AO33">
        <f t="shared" si="1"/>
        <v>1997</v>
      </c>
      <c r="AP33" t="str">
        <f>CONCATENATE(AN33," ",AO33)</f>
        <v>Pantel J 1997</v>
      </c>
      <c r="AQ33">
        <f>INT(H33)</f>
        <v>19</v>
      </c>
      <c r="AR33">
        <f t="shared" ref="AR33:AS37" si="2">J33</f>
        <v>46.54</v>
      </c>
      <c r="AS33">
        <f t="shared" si="2"/>
        <v>7.03</v>
      </c>
      <c r="AT33">
        <f>INT(I33)</f>
        <v>13</v>
      </c>
      <c r="AU33">
        <f t="shared" ref="AU33:AV37" si="3">L33</f>
        <v>47.39</v>
      </c>
      <c r="AV33">
        <f t="shared" si="3"/>
        <v>6.9</v>
      </c>
      <c r="AW33" s="65">
        <f>O33</f>
        <v>-0.11873558633436344</v>
      </c>
      <c r="AX33">
        <f>SQRT(P33)</f>
        <v>0.36028581715736935</v>
      </c>
      <c r="AY33" t="str">
        <f>$F$3</f>
        <v>Pooled SD</v>
      </c>
    </row>
    <row r="34" spans="5:51">
      <c r="E34" t="str">
        <f>E25</f>
        <v>Bremner JD</v>
      </c>
      <c r="F34">
        <f>F25</f>
        <v>2000</v>
      </c>
      <c r="G34">
        <v>4</v>
      </c>
      <c r="H34">
        <f>H25</f>
        <v>16</v>
      </c>
      <c r="I34">
        <f>I25</f>
        <v>16</v>
      </c>
      <c r="J34">
        <f t="shared" si="0"/>
        <v>17931</v>
      </c>
      <c r="K34">
        <f t="shared" si="0"/>
        <v>4170</v>
      </c>
      <c r="L34">
        <f t="shared" si="0"/>
        <v>18227</v>
      </c>
      <c r="M34">
        <f t="shared" si="0"/>
        <v>1791</v>
      </c>
      <c r="N34">
        <f>IF($D$3=1,SQRT((((I34-1)*(M34)^2)+((H34-1)*(K34)^2))/(H34+I34-2)),M34)</f>
        <v>3209.0949658743352</v>
      </c>
      <c r="O34" s="59">
        <f>IF($D$6=1,LN(J34/L34),IF($D$5=1,(1-3/(4*(H34+I34)-9))*((J34-L34)/N34),(J34-L34)/N34))</f>
        <v>-8.9912519945459679E-2</v>
      </c>
      <c r="P34" s="63">
        <f>IF($D$6=1,(K34^2)/(H34*J34^2)+(M34^2)/(I34*L34^2),(IF($D$5=1,((H34+I34)/(H34*I34))+(O34*O34)/(2*(H34+I34-3.94)),((H34+I34)/(H34*I34))+((O34^2)/(2*(H34+I34-2))))))</f>
        <v>0.12514405312264687</v>
      </c>
      <c r="Q34" s="59">
        <f>$R$54*SQRT(P34)</f>
        <v>0.69336382547401498</v>
      </c>
      <c r="R34" s="59">
        <f>1/P34</f>
        <v>7.9907912125872613</v>
      </c>
      <c r="S34" s="59">
        <f>O34*R34</f>
        <v>-0.71847217428175603</v>
      </c>
      <c r="T34" s="59">
        <f>R34*(O34^2)</f>
        <v>6.4599643700366166E-2</v>
      </c>
      <c r="U34" s="23">
        <f>R34^2</f>
        <v>63.852744203161791</v>
      </c>
      <c r="V34" s="59">
        <f>1/((1/R34)+$I$51)</f>
        <v>3.9455116278861815</v>
      </c>
      <c r="W34" s="59">
        <f>V34*O34</f>
        <v>-0.3547508929373594</v>
      </c>
      <c r="AF34" s="59">
        <f>IF($D$6=1,100*((EXP(O34))-1),O34)</f>
        <v>-8.9912519945459679E-2</v>
      </c>
      <c r="AG34" s="59">
        <f>IF($D$6=1,100*(EXP(O34+Q34)-EXP(O34)),Q34)</f>
        <v>0.69336382547401498</v>
      </c>
      <c r="AH34" s="59">
        <f>IF($D$6=1,100*(EXP(O34)-EXP(O34-Q34)),Q34)</f>
        <v>0.69336382547401498</v>
      </c>
      <c r="AJ34">
        <f>SQRT(P34)</f>
        <v>0.35375705381327294</v>
      </c>
      <c r="AK34">
        <f>1/AJ34</f>
        <v>2.82679875700186</v>
      </c>
      <c r="AL34">
        <f>O34/AJ34</f>
        <v>-0.25416459962073035</v>
      </c>
      <c r="AN34" t="str">
        <f t="shared" si="1"/>
        <v>Bremner JD</v>
      </c>
      <c r="AO34">
        <f t="shared" si="1"/>
        <v>2000</v>
      </c>
      <c r="AP34" t="str">
        <f>CONCATENATE(AN34," ",AO34)</f>
        <v>Bremner JD 2000</v>
      </c>
      <c r="AQ34">
        <f>INT(H34)</f>
        <v>16</v>
      </c>
      <c r="AR34">
        <f t="shared" si="2"/>
        <v>17931</v>
      </c>
      <c r="AS34">
        <f t="shared" si="2"/>
        <v>4170</v>
      </c>
      <c r="AT34">
        <f>INT(I34)</f>
        <v>16</v>
      </c>
      <c r="AU34">
        <f t="shared" si="3"/>
        <v>18227</v>
      </c>
      <c r="AV34">
        <f t="shared" si="3"/>
        <v>1791</v>
      </c>
      <c r="AW34" s="65">
        <f>O34</f>
        <v>-8.9912519945459679E-2</v>
      </c>
      <c r="AX34">
        <f>SQRT(P34)</f>
        <v>0.35375705381327294</v>
      </c>
      <c r="AY34" t="str">
        <f>$F$5</f>
        <v>H Correction</v>
      </c>
    </row>
    <row r="35" spans="5:51">
      <c r="E35" t="str">
        <f t="shared" ref="E35:F37" si="4">E26</f>
        <v>McIntosh AM</v>
      </c>
      <c r="F35">
        <f t="shared" si="4"/>
        <v>2001</v>
      </c>
      <c r="G35">
        <v>3</v>
      </c>
      <c r="H35">
        <f t="shared" ref="H35:I37" si="5">H26</f>
        <v>9</v>
      </c>
      <c r="I35">
        <f t="shared" si="5"/>
        <v>29</v>
      </c>
      <c r="J35">
        <f t="shared" ref="J35:M37" si="6">IF($D$4="Total",T26,IF($D$4="Left",L26,IF($D$4="Right",P26,"error")))</f>
        <v>73375</v>
      </c>
      <c r="K35">
        <f t="shared" si="6"/>
        <v>5499</v>
      </c>
      <c r="L35">
        <f t="shared" si="6"/>
        <v>79352</v>
      </c>
      <c r="M35">
        <f t="shared" si="6"/>
        <v>6478</v>
      </c>
      <c r="N35">
        <f>IF($D$3=1,SQRT((((I35-1)*(M35)^2)+((H35-1)*(K35)^2))/(H35+I35-2)),M35)</f>
        <v>6273.6609018268682</v>
      </c>
      <c r="O35" s="59">
        <f>IF($D$6=1,LN(J35/L35),IF($D$5=1,(1-3/(4*(H35+I35)-9))*((J35-L35)/N35),(J35-L35)/N35))</f>
        <v>-0.93272627946856734</v>
      </c>
      <c r="P35" s="63">
        <f>IF($D$6=1,(K35^2)/(H35*J35^2)+(M35^2)/(I35*L35^2),(IF($D$5=1,((H35+I35)/(H35*I35))+(O35*O35)/(2*(H35+I35-3.94)),((H35+I35)/(H35*I35))+((O35^2)/(2*(H35+I35-2))))))</f>
        <v>0.15836513092398039</v>
      </c>
      <c r="Q35" s="59">
        <f>$R$54*SQRT(P35)</f>
        <v>0.77998428635297712</v>
      </c>
      <c r="R35" s="59">
        <f>1/P35</f>
        <v>6.3145213480108033</v>
      </c>
      <c r="S35" s="59">
        <f>O35*R35</f>
        <v>-5.8897200035549595</v>
      </c>
      <c r="T35" s="59">
        <f>R35*(O35^2)</f>
        <v>5.4934966260274143</v>
      </c>
      <c r="U35" s="23">
        <f>R35^2</f>
        <v>39.873179854484171</v>
      </c>
      <c r="V35" s="59">
        <f>1/((1/R35)+$I$51)</f>
        <v>3.4882873348536489</v>
      </c>
      <c r="W35" s="59">
        <f>V35*O35</f>
        <v>-3.2536172675553687</v>
      </c>
      <c r="AF35" s="59">
        <f>IF($D$6=1,100*((EXP(O35))-1),O35)</f>
        <v>-0.93272627946856734</v>
      </c>
      <c r="AG35" s="59">
        <f>IF($D$6=1,100*(EXP(O35+Q35)-EXP(O35)),Q35)</f>
        <v>0.77998428635297712</v>
      </c>
      <c r="AH35" s="59">
        <f>IF($D$6=1,100*(EXP(O35)-EXP(O35-Q35)),Q35)</f>
        <v>0.77998428635297712</v>
      </c>
      <c r="AJ35">
        <f>SQRT(P35)</f>
        <v>0.39795116650662099</v>
      </c>
      <c r="AK35">
        <f>1/AJ35</f>
        <v>2.5128711363718601</v>
      </c>
      <c r="AL35">
        <f>O35/AJ35</f>
        <v>-2.3438209458120758</v>
      </c>
      <c r="AN35" t="str">
        <f t="shared" si="1"/>
        <v>McIntosh AM</v>
      </c>
      <c r="AO35">
        <f t="shared" si="1"/>
        <v>2001</v>
      </c>
      <c r="AP35" t="str">
        <f>CONCATENATE(AN35," ",AO35)</f>
        <v>McIntosh AM 2001</v>
      </c>
      <c r="AQ35">
        <f>INT(H35)</f>
        <v>9</v>
      </c>
      <c r="AR35">
        <f t="shared" si="2"/>
        <v>73375</v>
      </c>
      <c r="AS35">
        <f t="shared" si="2"/>
        <v>5499</v>
      </c>
      <c r="AT35">
        <f>INT(I35)</f>
        <v>29</v>
      </c>
      <c r="AU35">
        <f t="shared" si="3"/>
        <v>79352</v>
      </c>
      <c r="AV35">
        <f t="shared" si="3"/>
        <v>6478</v>
      </c>
      <c r="AW35" s="65">
        <f>O35</f>
        <v>-0.93272627946856734</v>
      </c>
      <c r="AX35">
        <f>SQRT(P35)</f>
        <v>0.39795116650662099</v>
      </c>
    </row>
    <row r="36" spans="5:51">
      <c r="E36" t="str">
        <f t="shared" si="4"/>
        <v>Caetano SC</v>
      </c>
      <c r="F36">
        <f t="shared" si="4"/>
        <v>2004</v>
      </c>
      <c r="G36">
        <v>2</v>
      </c>
      <c r="H36">
        <f t="shared" si="5"/>
        <v>31</v>
      </c>
      <c r="I36">
        <f t="shared" si="5"/>
        <v>31</v>
      </c>
      <c r="J36">
        <f t="shared" si="6"/>
        <v>71.39</v>
      </c>
      <c r="K36">
        <f t="shared" si="6"/>
        <v>8.2899999999999991</v>
      </c>
      <c r="L36">
        <f t="shared" si="6"/>
        <v>69.900000000000006</v>
      </c>
      <c r="M36">
        <f t="shared" si="6"/>
        <v>9.16</v>
      </c>
      <c r="N36">
        <f>IF($D$3=1,SQRT((((I36-1)*(M36)^2)+((H36-1)*(K36)^2))/(H36+I36-2)),M36)</f>
        <v>8.7358371092872371</v>
      </c>
      <c r="O36" s="59">
        <f>IF($D$6=1,LN(J36/L36),IF($D$5=1,(1-3/(4*(H36+I36)-9))*((J36-L36)/N36),(J36-L36)/N36))</f>
        <v>0.16842084538933744</v>
      </c>
      <c r="P36" s="63">
        <f>IF($D$6=1,(K36^2)/(H36*J36^2)+(M36^2)/(I36*L36^2),(IF($D$5=1,((H36+I36)/(H36*I36))+(O36*O36)/(2*(H36+I36-3.94)),((H36+I36)/(H36*I36))+((O36^2)/(2*(H36+I36-2))))))</f>
        <v>6.4760407202785614E-2</v>
      </c>
      <c r="Q36" s="59">
        <f>$R$54*SQRT(P36)</f>
        <v>0.49878209702255871</v>
      </c>
      <c r="R36" s="59">
        <f>1/P36</f>
        <v>15.441533541762317</v>
      </c>
      <c r="S36" s="59">
        <f>O36*R36</f>
        <v>2.6006761332114192</v>
      </c>
      <c r="T36" s="59">
        <f>R36*(O36^2)</f>
        <v>0.43800807293934041</v>
      </c>
      <c r="U36" s="23">
        <f>R36^2</f>
        <v>238.44095812137067</v>
      </c>
      <c r="V36" s="59">
        <f>1/((1/R36)+$I$51)</f>
        <v>5.1794978721948652</v>
      </c>
      <c r="W36" s="59">
        <f>V36*O36</f>
        <v>0.87233541032733364</v>
      </c>
      <c r="AF36" s="59">
        <f>IF($D$6=1,100*((EXP(O36))-1),O36)</f>
        <v>0.16842084538933744</v>
      </c>
      <c r="AG36" s="59">
        <f>IF($D$6=1,100*(EXP(O36+Q36)-EXP(O36)),Q36)</f>
        <v>0.49878209702255871</v>
      </c>
      <c r="AH36" s="59">
        <f>IF($D$6=1,100*(EXP(O36)-EXP(O36-Q36)),Q36)</f>
        <v>0.49878209702255871</v>
      </c>
      <c r="AJ36">
        <f>SQRT(P36)</f>
        <v>0.25448066174620343</v>
      </c>
      <c r="AK36">
        <f>1/AJ36</f>
        <v>3.9295716740838715</v>
      </c>
      <c r="AL36">
        <f>O36/AJ36</f>
        <v>0.66182178336719955</v>
      </c>
      <c r="AN36" t="str">
        <f t="shared" si="1"/>
        <v>Caetano SC</v>
      </c>
      <c r="AO36">
        <f t="shared" si="1"/>
        <v>2004</v>
      </c>
      <c r="AP36" t="str">
        <f>CONCATENATE(AN36," ",AO36)</f>
        <v>Caetano SC 2004</v>
      </c>
      <c r="AQ36">
        <f>INT(H36)</f>
        <v>31</v>
      </c>
      <c r="AR36">
        <f t="shared" si="2"/>
        <v>71.39</v>
      </c>
      <c r="AS36">
        <f t="shared" si="2"/>
        <v>8.2899999999999991</v>
      </c>
      <c r="AT36">
        <f>INT(I36)</f>
        <v>31</v>
      </c>
      <c r="AU36">
        <f t="shared" si="3"/>
        <v>69.900000000000006</v>
      </c>
      <c r="AV36">
        <f t="shared" si="3"/>
        <v>9.16</v>
      </c>
      <c r="AW36" s="65">
        <f>O36</f>
        <v>0.16842084538933744</v>
      </c>
      <c r="AX36">
        <f>SQRT(P36)</f>
        <v>0.25448066174620343</v>
      </c>
    </row>
    <row r="37" spans="5:51">
      <c r="E37" t="str">
        <f t="shared" si="4"/>
        <v>Vythilingam M</v>
      </c>
      <c r="F37">
        <f t="shared" si="4"/>
        <v>2004</v>
      </c>
      <c r="G37">
        <v>1</v>
      </c>
      <c r="H37">
        <f t="shared" si="5"/>
        <v>38</v>
      </c>
      <c r="I37">
        <f t="shared" si="5"/>
        <v>33</v>
      </c>
      <c r="J37">
        <f t="shared" si="6"/>
        <v>15396</v>
      </c>
      <c r="K37">
        <f t="shared" si="6"/>
        <v>1586</v>
      </c>
      <c r="L37">
        <f t="shared" si="6"/>
        <v>16660</v>
      </c>
      <c r="M37">
        <f t="shared" si="6"/>
        <v>1935</v>
      </c>
      <c r="N37">
        <f>IF($D$3=1,SQRT((((I37-1)*(M37)^2)+((H37-1)*(K37)^2))/(H37+I37-2)),M37)</f>
        <v>1756.4987076980524</v>
      </c>
      <c r="O37" s="59">
        <f>IF($D$6=1,LN(J37/L37),IF($D$5=1,(1-3/(4*(H37+I37)-9))*((J37-L37)/N37),(J37-L37)/N37))</f>
        <v>-0.71176306797819988</v>
      </c>
      <c r="P37" s="63">
        <f>IF($D$6=1,(K37^2)/(H37*J37^2)+(M37^2)/(I37*L37^2),(IF($D$5=1,((H37+I37)/(H37*I37))+(O37*O37)/(2*(H37+I37-3.94)),((H37+I37)/(H37*I37))+((O37^2)/(2*(H37+I37-2))))))</f>
        <v>6.0396083905388386E-2</v>
      </c>
      <c r="Q37" s="59">
        <f>$R$54*SQRT(P37)</f>
        <v>0.48168204858696989</v>
      </c>
      <c r="R37" s="59">
        <f>1/P37</f>
        <v>16.557364904097408</v>
      </c>
      <c r="S37" s="59">
        <f>O37*R37</f>
        <v>-11.784920841774944</v>
      </c>
      <c r="T37" s="59">
        <f>R37*(O37^2)</f>
        <v>8.3880714142219635</v>
      </c>
      <c r="U37" s="23">
        <f>R37^2</f>
        <v>274.14633256743656</v>
      </c>
      <c r="V37" s="59">
        <f>1/((1/R37)+$I$51)</f>
        <v>5.299288301377123</v>
      </c>
      <c r="W37" s="59">
        <f>V37*O37</f>
        <v>-3.7718376994891645</v>
      </c>
      <c r="AF37" s="59">
        <f>IF($D$6=1,100*((EXP(O37))-1),O37)</f>
        <v>-0.71176306797819988</v>
      </c>
      <c r="AG37" s="59">
        <f>IF($D$6=1,100*(EXP(O37+Q37)-EXP(O37)),Q37)</f>
        <v>0.48168204858696989</v>
      </c>
      <c r="AH37" s="59">
        <f>IF($D$6=1,100*(EXP(O37)-EXP(O37-Q37)),Q37)</f>
        <v>0.48168204858696989</v>
      </c>
      <c r="AJ37">
        <f>SQRT(P37)</f>
        <v>0.24575614723824996</v>
      </c>
      <c r="AK37">
        <f>1/AJ37</f>
        <v>4.0690742072487947</v>
      </c>
      <c r="AL37">
        <f>O37/AJ37</f>
        <v>-2.8962167415823634</v>
      </c>
      <c r="AN37" t="str">
        <f t="shared" si="1"/>
        <v>Vythilingam M</v>
      </c>
      <c r="AO37">
        <f t="shared" si="1"/>
        <v>2004</v>
      </c>
      <c r="AP37" t="str">
        <f>CONCATENATE(AN37," ",AO37)</f>
        <v>Vythilingam M 2004</v>
      </c>
      <c r="AQ37">
        <f>INT(H37)</f>
        <v>38</v>
      </c>
      <c r="AR37">
        <f t="shared" si="2"/>
        <v>15396</v>
      </c>
      <c r="AS37">
        <f t="shared" si="2"/>
        <v>1586</v>
      </c>
      <c r="AT37">
        <f>INT(I37)</f>
        <v>33</v>
      </c>
      <c r="AU37">
        <f t="shared" si="3"/>
        <v>16660</v>
      </c>
      <c r="AV37">
        <f t="shared" si="3"/>
        <v>1935</v>
      </c>
      <c r="AW37" s="65">
        <f>O37</f>
        <v>-0.71176306797819988</v>
      </c>
      <c r="AX37">
        <f>SQRT(P37)</f>
        <v>0.24575614723824996</v>
      </c>
    </row>
    <row r="38" spans="5:51">
      <c r="U38" s="23"/>
    </row>
    <row r="39" spans="5:51">
      <c r="L39" t="s">
        <v>500</v>
      </c>
      <c r="N39" s="7"/>
      <c r="O39" s="66">
        <f>COUNT(O33:O37)</f>
        <v>5</v>
      </c>
      <c r="Q39" t="s">
        <v>885</v>
      </c>
      <c r="R39" s="59">
        <f t="shared" ref="R39:W39" si="7">SUM(R33:R37)</f>
        <v>54.008022857610811</v>
      </c>
      <c r="S39" s="59">
        <f t="shared" si="7"/>
        <v>-16.707153503556512</v>
      </c>
      <c r="T39" s="59">
        <f t="shared" si="7"/>
        <v>14.492785170756921</v>
      </c>
      <c r="U39" s="23">
        <f t="shared" si="7"/>
        <v>675.66193178441893</v>
      </c>
      <c r="V39" s="59">
        <f t="shared" si="7"/>
        <v>21.786836675935142</v>
      </c>
      <c r="W39" s="59">
        <f t="shared" si="7"/>
        <v>-6.9678819778185446</v>
      </c>
    </row>
    <row r="40" spans="5:51">
      <c r="L40" t="s">
        <v>501</v>
      </c>
      <c r="N40" s="7"/>
      <c r="O40" s="2">
        <v>0</v>
      </c>
    </row>
    <row r="41" spans="5:51">
      <c r="N41" s="7"/>
      <c r="O41" s="7"/>
    </row>
    <row r="42" spans="5:51">
      <c r="G42" s="67" t="s">
        <v>502</v>
      </c>
      <c r="H42" s="40"/>
      <c r="I42" s="40">
        <f>S39/R39</f>
        <v>-0.30934577160145271</v>
      </c>
      <c r="J42" s="40"/>
      <c r="K42" s="68" t="s">
        <v>879</v>
      </c>
      <c r="L42" s="40"/>
      <c r="M42" s="42"/>
      <c r="N42" s="7"/>
      <c r="O42" s="69" t="s">
        <v>503</v>
      </c>
      <c r="P42" s="70">
        <f>T39-((S39^2)/R39)</f>
        <v>9.3244978789353183</v>
      </c>
      <c r="Q42" s="71" t="s">
        <v>824</v>
      </c>
      <c r="R42" s="28"/>
      <c r="S42" s="29"/>
      <c r="T42" s="30"/>
      <c r="U42" s="31"/>
      <c r="AF42" s="2" t="s">
        <v>1518</v>
      </c>
    </row>
    <row r="43" spans="5:51">
      <c r="G43" s="43" t="s">
        <v>504</v>
      </c>
      <c r="H43" s="31"/>
      <c r="I43" s="31">
        <f>1/R39</f>
        <v>1.8515767604313994E-2</v>
      </c>
      <c r="J43" s="31"/>
      <c r="K43" s="31"/>
      <c r="L43" s="31"/>
      <c r="M43" s="44"/>
      <c r="N43" s="7"/>
      <c r="O43" s="30" t="s">
        <v>505</v>
      </c>
      <c r="P43" s="31">
        <f>CHIDIST(P42,I47-1)</f>
        <v>5.3481055694488716E-2</v>
      </c>
      <c r="Q43" s="31"/>
      <c r="R43" s="31"/>
      <c r="S43" s="34"/>
      <c r="T43" s="30"/>
      <c r="U43" s="31"/>
      <c r="AF43" s="2"/>
    </row>
    <row r="44" spans="5:51">
      <c r="G44" s="72" t="s">
        <v>506</v>
      </c>
      <c r="H44" s="31"/>
      <c r="I44" s="31">
        <f>$R$54*SQRT(I43)</f>
        <v>0.26670240499240466</v>
      </c>
      <c r="J44" s="31"/>
      <c r="K44" s="31" t="s">
        <v>507</v>
      </c>
      <c r="L44" s="31"/>
      <c r="M44" s="44">
        <f>ABS(I42/SQRT(I43))</f>
        <v>2.2733867448856131</v>
      </c>
      <c r="N44" s="7"/>
      <c r="O44" s="35" t="s">
        <v>508</v>
      </c>
      <c r="P44" s="37">
        <f>IF(((P42-(I47-1))/P42)&lt;0,0,100*((P42-(I47-1))/P42))</f>
        <v>57.102247735652611</v>
      </c>
      <c r="Q44" s="36"/>
      <c r="R44" s="36"/>
      <c r="S44" s="38"/>
      <c r="T44" s="30"/>
      <c r="U44" s="31"/>
      <c r="AF44" s="2" t="s">
        <v>1535</v>
      </c>
      <c r="AH44">
        <f>IF($D$6=1,100*((EXP(I42))-1),I42)</f>
        <v>-0.30934577160145271</v>
      </c>
    </row>
    <row r="45" spans="5:51">
      <c r="G45" s="45" t="s">
        <v>509</v>
      </c>
      <c r="H45" s="46"/>
      <c r="I45" s="46">
        <v>-2</v>
      </c>
      <c r="J45" s="46"/>
      <c r="K45" s="46" t="s">
        <v>825</v>
      </c>
      <c r="L45" s="46"/>
      <c r="M45" s="47">
        <f>2*(1-NORMDIST(M44,0,1,1))</f>
        <v>2.3002884214226915E-2</v>
      </c>
      <c r="N45" s="7"/>
      <c r="O45" s="7"/>
      <c r="AF45" s="79" t="s">
        <v>834</v>
      </c>
      <c r="AH45">
        <f>IF($D$6=1,100*(EXP(I42+I44)-EXP(I42)),I44)</f>
        <v>0.26670240499240466</v>
      </c>
    </row>
    <row r="46" spans="5:51">
      <c r="G46" s="40"/>
      <c r="H46" s="40"/>
      <c r="I46" s="40"/>
      <c r="J46" s="40"/>
      <c r="K46" s="40"/>
      <c r="L46" s="40"/>
      <c r="M46" s="40"/>
      <c r="N46" s="7"/>
      <c r="O46" s="7"/>
      <c r="AF46" s="79" t="s">
        <v>835</v>
      </c>
      <c r="AH46">
        <f>IF($D$6=1,100*(EXP(I42)-EXP(I42-I44)),I44)</f>
        <v>0.26670240499240466</v>
      </c>
    </row>
    <row r="47" spans="5:51">
      <c r="G47" s="73" t="s">
        <v>1110</v>
      </c>
      <c r="H47" s="74"/>
      <c r="I47" s="74">
        <f>O39</f>
        <v>5</v>
      </c>
      <c r="J47" s="74"/>
      <c r="K47" s="75" t="s">
        <v>1167</v>
      </c>
      <c r="L47" s="74"/>
      <c r="M47" s="76"/>
      <c r="N47" s="77"/>
      <c r="O47" s="101" t="s">
        <v>1513</v>
      </c>
      <c r="P47" s="102"/>
      <c r="Q47" s="103"/>
      <c r="AF47" s="7"/>
    </row>
    <row r="48" spans="5:51">
      <c r="G48" s="77" t="s">
        <v>1531</v>
      </c>
      <c r="H48" s="31"/>
      <c r="I48" s="31">
        <f>R39/I47</f>
        <v>10.801604571522162</v>
      </c>
      <c r="J48" s="31"/>
      <c r="K48" s="31"/>
      <c r="L48" s="31"/>
      <c r="M48" s="78"/>
      <c r="N48" s="77"/>
      <c r="O48" s="104" t="s">
        <v>1514</v>
      </c>
      <c r="P48" s="31"/>
      <c r="Q48" s="105">
        <f>INDEX(LINEST(AL33:AL37,AK33:AK37,TRUE,TRUE),1,2)</f>
        <v>-0.92162622381899362</v>
      </c>
      <c r="AF48" s="2" t="s">
        <v>1687</v>
      </c>
      <c r="AH48">
        <f>IF($D$6=1,100*((EXP(I53))-1),I53)</f>
        <v>-0.3198207285188393</v>
      </c>
    </row>
    <row r="49" spans="7:34">
      <c r="G49" s="77" t="s">
        <v>1532</v>
      </c>
      <c r="H49" s="31"/>
      <c r="I49" s="31">
        <f>(1/(I47-1))*(U39-(I47*I48^2))</f>
        <v>23.072156296694146</v>
      </c>
      <c r="J49" s="31"/>
      <c r="K49" s="31"/>
      <c r="L49" s="31"/>
      <c r="M49" s="78"/>
      <c r="N49" s="77"/>
      <c r="O49" s="104" t="s">
        <v>1516</v>
      </c>
      <c r="P49" s="31"/>
      <c r="Q49" s="105">
        <f>INDEX(LINEST(AL33:AL37,AK33:AK37,TRUE,TRUE),2,2)</f>
        <v>3.9855699582063524</v>
      </c>
      <c r="AF49" s="79" t="s">
        <v>834</v>
      </c>
      <c r="AG49" s="7"/>
      <c r="AH49">
        <f>IF($D$6=1,100*(EXP(I53+I55)-EXP(I53)),I55)</f>
        <v>0.41991267358211792</v>
      </c>
    </row>
    <row r="50" spans="7:34">
      <c r="G50" s="77" t="s">
        <v>1669</v>
      </c>
      <c r="H50" s="31"/>
      <c r="I50" s="31">
        <f>(I47-1)*(I48-(I49/(I47*I48)))</f>
        <v>41.497623549608655</v>
      </c>
      <c r="J50" s="31"/>
      <c r="K50" s="31"/>
      <c r="L50" s="31"/>
      <c r="M50" s="78"/>
      <c r="N50" s="77"/>
      <c r="O50" s="104" t="s">
        <v>1349</v>
      </c>
      <c r="P50" s="31"/>
      <c r="Q50" s="105">
        <f>ABS(Q48/Q49)</f>
        <v>0.23124075941042019</v>
      </c>
      <c r="AF50" s="79" t="s">
        <v>835</v>
      </c>
      <c r="AH50">
        <f>IF($D$6=1,100*(EXP(I53)-EXP(I53-I55)),I55)</f>
        <v>0.41991267358211792</v>
      </c>
    </row>
    <row r="51" spans="7:34">
      <c r="G51" s="77" t="s">
        <v>1685</v>
      </c>
      <c r="H51" s="31"/>
      <c r="I51" s="31">
        <f>IF(P42&gt;(I47-1),(P42-(I47-1))/I50,0)</f>
        <v>0.12830850114995396</v>
      </c>
      <c r="J51" s="31"/>
      <c r="K51" s="31"/>
      <c r="L51" s="31"/>
      <c r="M51" s="78"/>
      <c r="N51" s="77"/>
      <c r="O51" s="106" t="s">
        <v>1515</v>
      </c>
      <c r="P51" s="107"/>
      <c r="Q51" s="108">
        <f>TDIST(Q50,I47-2,2)</f>
        <v>0.83200175603786786</v>
      </c>
    </row>
    <row r="52" spans="7:34">
      <c r="G52" s="77"/>
      <c r="H52" s="31"/>
      <c r="I52" s="31"/>
      <c r="J52" s="31"/>
      <c r="K52" s="31"/>
      <c r="L52" s="31"/>
      <c r="M52" s="78"/>
      <c r="N52" s="77"/>
    </row>
    <row r="53" spans="7:34">
      <c r="G53" s="77" t="s">
        <v>1686</v>
      </c>
      <c r="H53" s="31"/>
      <c r="I53" s="31">
        <f>W39/V39</f>
        <v>-0.3198207285188393</v>
      </c>
      <c r="J53" s="31"/>
      <c r="N53" s="77"/>
    </row>
    <row r="54" spans="7:34">
      <c r="G54" s="77" t="s">
        <v>504</v>
      </c>
      <c r="H54" s="31"/>
      <c r="I54" s="31">
        <f>1/V39</f>
        <v>4.5899274634236348E-2</v>
      </c>
      <c r="J54" s="31"/>
      <c r="N54" s="77"/>
      <c r="O54" t="s">
        <v>805</v>
      </c>
      <c r="R54">
        <v>1.96</v>
      </c>
    </row>
    <row r="55" spans="7:34">
      <c r="G55" s="80" t="s">
        <v>506</v>
      </c>
      <c r="H55" s="31"/>
      <c r="I55" s="31">
        <f>$R$54*SQRT(I54)</f>
        <v>0.41991267358211792</v>
      </c>
      <c r="J55" s="31"/>
      <c r="K55" s="31" t="s">
        <v>507</v>
      </c>
      <c r="L55" s="31"/>
      <c r="M55" s="78">
        <f>ABS(I53/(SQRT(I54)))</f>
        <v>1.4928071176073678</v>
      </c>
      <c r="N55" s="77"/>
    </row>
    <row r="56" spans="7:34">
      <c r="G56" s="81" t="s">
        <v>509</v>
      </c>
      <c r="H56" s="82"/>
      <c r="I56" s="82">
        <v>-3</v>
      </c>
      <c r="J56" s="82"/>
      <c r="K56" s="31" t="s">
        <v>825</v>
      </c>
      <c r="L56" s="31"/>
      <c r="M56" s="78">
        <f>2*(1-NORMDIST(M55,0,1,1))</f>
        <v>0.13548768364069419</v>
      </c>
      <c r="N56" s="77"/>
    </row>
    <row r="57" spans="7:34">
      <c r="G57" s="74"/>
      <c r="H57" s="74"/>
      <c r="I57" s="74"/>
      <c r="J57" s="74"/>
      <c r="K57" s="74"/>
      <c r="L57" s="74"/>
      <c r="M57" s="74"/>
      <c r="N57" s="31"/>
      <c r="O57" s="7"/>
    </row>
  </sheetData>
  <phoneticPr fontId="10" type="noConversion"/>
  <conditionalFormatting sqref="D17 D13 F13">
    <cfRule type="cellIs" dxfId="114" priority="0" stopIfTrue="1" operator="lessThan">
      <formula>0.05</formula>
    </cfRule>
  </conditionalFormatting>
  <conditionalFormatting sqref="D21">
    <cfRule type="cellIs" dxfId="11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sheetPr published="0" codeName="Sheet39" enableFormatConditionsCalculation="0"/>
  <dimension ref="A1:BM5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787</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I47-O40</f>
        <v>5</v>
      </c>
      <c r="AD7" s="89"/>
    </row>
    <row r="8" spans="2:30">
      <c r="B8" t="s">
        <v>822</v>
      </c>
      <c r="D8">
        <f>SUM(H24:H28)</f>
        <v>113</v>
      </c>
      <c r="AD8" s="89"/>
    </row>
    <row r="9" spans="2:30">
      <c r="B9" t="s">
        <v>823</v>
      </c>
      <c r="D9">
        <f>SUM(I24:I28)</f>
        <v>122</v>
      </c>
      <c r="AD9" s="89"/>
    </row>
    <row r="11" spans="2:30">
      <c r="B11" s="27" t="s">
        <v>516</v>
      </c>
      <c r="C11" s="28"/>
      <c r="D11" s="109">
        <f>P42</f>
        <v>10.448974795918334</v>
      </c>
      <c r="E11" s="110" t="s">
        <v>1513</v>
      </c>
      <c r="F11" s="103"/>
    </row>
    <row r="12" spans="2:30">
      <c r="B12" s="30" t="s">
        <v>826</v>
      </c>
      <c r="C12" s="31"/>
      <c r="D12" s="112">
        <f>P44</f>
        <v>61.718732429496207</v>
      </c>
      <c r="E12" s="31"/>
      <c r="F12" s="105"/>
    </row>
    <row r="13" spans="2:30">
      <c r="B13" s="35" t="s">
        <v>825</v>
      </c>
      <c r="C13" s="36"/>
      <c r="D13" s="113">
        <f>P43</f>
        <v>3.3507154204016731E-2</v>
      </c>
      <c r="E13" s="111" t="s">
        <v>825</v>
      </c>
      <c r="F13" s="115">
        <f>Q51</f>
        <v>0.84274720118684177</v>
      </c>
    </row>
    <row r="15" spans="2:30">
      <c r="B15" s="39" t="s">
        <v>879</v>
      </c>
      <c r="C15" s="40"/>
      <c r="D15" s="41">
        <f>AH44</f>
        <v>-0.12806588791211079</v>
      </c>
      <c r="E15" s="116"/>
    </row>
    <row r="16" spans="2:30">
      <c r="B16" s="43" t="s">
        <v>1165</v>
      </c>
      <c r="C16" s="31"/>
      <c r="D16" s="33">
        <f>AH44-AH46</f>
        <v>-0.39387626954812616</v>
      </c>
      <c r="E16" s="117">
        <f>AH44+AH45</f>
        <v>0.1377444937239046</v>
      </c>
    </row>
    <row r="17" spans="1:65">
      <c r="B17" s="45" t="s">
        <v>1166</v>
      </c>
      <c r="C17" s="46"/>
      <c r="D17" s="123">
        <f>M45</f>
        <v>0.34500791542684217</v>
      </c>
      <c r="E17" s="118"/>
    </row>
    <row r="18" spans="1:65">
      <c r="D18" s="48"/>
      <c r="F18" s="49"/>
    </row>
    <row r="19" spans="1:65">
      <c r="B19" s="50" t="s">
        <v>1167</v>
      </c>
      <c r="C19" s="51"/>
      <c r="D19" s="52">
        <f>AH48</f>
        <v>-0.14066573329847765</v>
      </c>
      <c r="E19" s="120"/>
      <c r="F19" s="33"/>
      <c r="G19" s="31"/>
    </row>
    <row r="20" spans="1:65">
      <c r="B20" s="53" t="s">
        <v>1165</v>
      </c>
      <c r="C20" s="31"/>
      <c r="D20" s="33">
        <f>AH48-AH50</f>
        <v>-0.58505279695556323</v>
      </c>
      <c r="E20" s="121">
        <f>AH48+AH49</f>
        <v>0.30372133035860799</v>
      </c>
      <c r="F20" s="31"/>
      <c r="G20" s="31"/>
    </row>
    <row r="21" spans="1:65">
      <c r="B21" s="54" t="s">
        <v>1440</v>
      </c>
      <c r="C21" s="55"/>
      <c r="D21" s="114">
        <f>M56</f>
        <v>0.53498395190224701</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1272</v>
      </c>
      <c r="L24">
        <v>46.54</v>
      </c>
      <c r="M24">
        <v>7.03</v>
      </c>
      <c r="N24">
        <v>47.39</v>
      </c>
      <c r="O24">
        <v>6.9</v>
      </c>
      <c r="P24">
        <v>46.55</v>
      </c>
      <c r="Q24">
        <v>6.3</v>
      </c>
      <c r="R24">
        <v>43.37</v>
      </c>
      <c r="S24">
        <v>4.4000000000000004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AX24" s="13"/>
      <c r="AY24" s="13"/>
      <c r="AZ24" s="13"/>
      <c r="BA24" s="13"/>
      <c r="BC24" s="23"/>
      <c r="BF24" s="136"/>
      <c r="BG24" s="136"/>
      <c r="BH24" s="136"/>
      <c r="BI24" s="136"/>
    </row>
    <row r="25" spans="1:65">
      <c r="B25">
        <v>10618023</v>
      </c>
      <c r="C25" s="1" t="str">
        <f>IF($B25="","",HYPERLINK(IF(LEN(VLOOKUP($B25,Database!$B$1:$IX$10144,2,FALSE))=0,"",VLOOKUP($B25,Database!$B$1:$IX$10144,2,FALSE))))</f>
        <v/>
      </c>
      <c r="D25" s="1" t="str">
        <f>IF($B25="","",HYPERLINK(CONCATENATE("http://www.ncbi.nlm.nih.gov/pubmed/",B25)))</f>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1275</v>
      </c>
      <c r="K25" t="s">
        <v>1276</v>
      </c>
      <c r="L25">
        <v>17931</v>
      </c>
      <c r="M25">
        <v>4170</v>
      </c>
      <c r="N25">
        <v>18227</v>
      </c>
      <c r="O25">
        <v>1791</v>
      </c>
      <c r="P25">
        <v>18207</v>
      </c>
      <c r="Q25">
        <v>4260</v>
      </c>
      <c r="R25">
        <v>19475</v>
      </c>
      <c r="S25">
        <v>2707</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2"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v>11200955</v>
      </c>
      <c r="C26" s="1" t="str">
        <f>IF($B26="","",HYPERLINK(IF(LEN(VLOOKUP($B26,Database!$B$1:$IX$10144,2,FALSE))=0,"",VLOOKUP($B26,Database!$B$1:$IX$10144,2,FALSE))))</f>
        <v/>
      </c>
      <c r="D26" s="1" t="str">
        <f>IF($B26="","",HYPERLINK(CONCATENATE("http://www.ncbi.nlm.nih.gov/pubmed/",B26)))</f>
        <v>http://www.ncbi.nlm.nih.gov/pubmed/11200955</v>
      </c>
      <c r="E26" s="22" t="str">
        <f>IF($B26="","",IF(LEN(VLOOKUP($B26,Database!$B$1:$IX$10144,4,FALSE))=0,"",VLOOKUP($B26,Database!$B$1:$IX$10144,4,FALSE)))</f>
        <v>McIntosh AM</v>
      </c>
      <c r="F26" s="22">
        <f>IF($B26="","",IF(LEN(VLOOKUP($B26,Database!$B$1:$IX$10144,5,FALSE))=0,"",VLOOKUP($B26,Database!$B$1:$IX$10144,5,FALSE)))</f>
        <v>2001</v>
      </c>
      <c r="G26" s="1" t="str">
        <f>IF($B26="","",HYPERLINK(IF(LEN(VLOOKUP($B26,Database!$B$1:$IX$10144,6,FALSE))=0,"",VLOOKUP($B26,Database!$B$1:$IX$10144,6,FALSE))))</f>
        <v>http://dx.doi.org/10.1017/S0033291799003177</v>
      </c>
      <c r="H26" s="22">
        <f>IF($B26="","",IF(LEN(VLOOKUP($B26,Database!$B$1:$IX$10144,7,FALSE))=0,"",VLOOKUP($B26,Database!$B$1:$IX$10144,7,FALSE)))</f>
        <v>9</v>
      </c>
      <c r="I26" s="22">
        <f>IF($B26="","",IF(LEN(VLOOKUP($B26,Database!$B$1:$IX$10144,8,FALSE))=0,"",VLOOKUP($B26,Database!$B$1:$IX$10144,8,FALSE)))</f>
        <v>29</v>
      </c>
      <c r="J26" t="s">
        <v>1275</v>
      </c>
      <c r="L26">
        <v>73375</v>
      </c>
      <c r="M26">
        <v>5499</v>
      </c>
      <c r="N26">
        <v>79352</v>
      </c>
      <c r="O26">
        <v>6478</v>
      </c>
      <c r="P26">
        <v>76679</v>
      </c>
      <c r="Q26">
        <v>4996</v>
      </c>
      <c r="R26">
        <v>82580</v>
      </c>
      <c r="S26">
        <v>7297</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43.56</v>
      </c>
      <c r="AC26" s="22">
        <f>IF(OR($B26="",AC$22=""),"",IF(LEN(VLOOKUP($B26,Database!$B$1:$IX$10144,AC$22,FALSE))=0,"",VLOOKUP($B26,Database!$B$1:$IX$10144,AC$22,FALSE)))</f>
        <v>9.3800000000000008</v>
      </c>
      <c r="AD26" s="22">
        <f>IF(OR($B26="",AD$22=""),"",IF(LEN(VLOOKUP($B26,Database!$B$1:$IX$10144,AD$22,FALSE))=0,"",VLOOKUP($B26,Database!$B$1:$IX$10144,AD$22,FALSE)))</f>
        <v>42.76</v>
      </c>
      <c r="AE26" s="22">
        <f>IF(OR($B26="",AE$22=""),"",IF(LEN(VLOOKUP($B26,Database!$B$1:$IX$10144,AE$22,FALSE))=0,"",VLOOKUP($B26,Database!$B$1:$IX$10144,AE$22,FALSE)))</f>
        <v>9.91</v>
      </c>
      <c r="AF26" s="22">
        <f>IF(OR($B26="",AF$22=""),"",IF(LEN(VLOOKUP($B26,Database!$B$1:$IX$10144,AF$22,FALSE))=0,"",VLOOKUP($B26,Database!$B$1:$IX$10144,AF$22,FALSE)))</f>
        <v>5</v>
      </c>
      <c r="AG26" s="22">
        <f>IF(OR($B26="",AG$22=""),"",IF(LEN(VLOOKUP($B26,Database!$B$1:$IX$10144,AG$22,FALSE))=0,"",VLOOKUP($B26,Database!$B$1:$IX$10144,AG$22,FALSE)))</f>
        <v>16</v>
      </c>
      <c r="AH26" s="22">
        <f>IF(OR($B26="",AH$22=""),"",IF(LEN(VLOOKUP($B26,Database!$B$1:$IX$10144,AH$22,FALSE))=0,"",VLOOKUP($B26,Database!$B$1:$IX$10144,AH$22,FALSE)))</f>
        <v>1</v>
      </c>
      <c r="AI26" s="22">
        <f>IF(OR($B26="",AI$22=""),"",IF(LEN(VLOOKUP($B26,Database!$B$1:$IX$10144,AI$22,FALSE))=0,"",VLOOKUP($B26,Database!$B$1:$IX$10144,AI$22,FALSE)))</f>
        <v>1.88</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 M. McINTOSH, A. FORRESTER, S.M. LAWRIE, M. BYRNE, A. HARPER, J. N. KESTELMAN, J. J. K. BEST, P. MILLER, E. C. JOHNSTONE and D. G. C. OWENS</v>
      </c>
      <c r="AR26" s="13"/>
      <c r="AX26" s="13"/>
      <c r="AY26" s="13"/>
      <c r="AZ26" s="13"/>
      <c r="BA26" s="13"/>
      <c r="BC26" s="23"/>
      <c r="BF26" s="136"/>
      <c r="BG26" s="136"/>
      <c r="BH26" s="136"/>
      <c r="BI26" s="136"/>
    </row>
    <row r="27" spans="1:65">
      <c r="B27">
        <v>15598548</v>
      </c>
      <c r="C27" s="1" t="str">
        <f>IF($B27="","",HYPERLINK(IF(LEN(VLOOKUP($B27,Database!$B$1:$IX$10144,2,FALSE))=0,"",VLOOKUP($B27,Database!$B$1:$IX$10144,2,FALSE))))</f>
        <v/>
      </c>
      <c r="D27" s="1" t="str">
        <f>IF($B27="","",HYPERLINK(CONCATENATE("http://www.ncbi.nlm.nih.gov/pubmed/",B27)))</f>
        <v>http://www.ncbi.nlm.nih.gov/pubmed/15598548</v>
      </c>
      <c r="E27" s="22" t="str">
        <f>IF($B27="","",IF(LEN(VLOOKUP($B27,Database!$B$1:$IX$10144,4,FALSE))=0,"",VLOOKUP($B27,Database!$B$1:$IX$10144,4,FALSE)))</f>
        <v>Caetano SC</v>
      </c>
      <c r="F27" s="22">
        <f>IF($B27="","",IF(LEN(VLOOKUP($B27,Database!$B$1:$IX$10144,5,FALSE))=0,"",VLOOKUP($B27,Database!$B$1:$IX$10144,5,FALSE)))</f>
        <v>2004</v>
      </c>
      <c r="G27" s="1" t="str">
        <f>IF($B27="","",HYPERLINK(IF(LEN(VLOOKUP($B27,Database!$B$1:$IX$10144,6,FALSE))=0,"",VLOOKUP($B27,Database!$B$1:$IX$10144,6,FALSE))))</f>
        <v>http://dx.doi.org/10.1016/j.pscychresns.2004.08.002</v>
      </c>
      <c r="H27" s="22">
        <f>IF($B27="","",IF(LEN(VLOOKUP($B27,Database!$B$1:$IX$10144,7,FALSE))=0,"",VLOOKUP($B27,Database!$B$1:$IX$10144,7,FALSE)))</f>
        <v>31</v>
      </c>
      <c r="I27" s="22">
        <f>IF($B27="","",IF(LEN(VLOOKUP($B27,Database!$B$1:$IX$10144,8,FALSE))=0,"",VLOOKUP($B27,Database!$B$1:$IX$10144,8,FALSE)))</f>
        <v>31</v>
      </c>
      <c r="J27" t="s">
        <v>1471</v>
      </c>
      <c r="L27">
        <v>71.39</v>
      </c>
      <c r="M27">
        <v>8.2899999999999991</v>
      </c>
      <c r="N27">
        <v>69.900000000000006</v>
      </c>
      <c r="O27">
        <v>9.16</v>
      </c>
      <c r="P27">
        <v>78.67</v>
      </c>
      <c r="Q27">
        <v>9.4499999999999993</v>
      </c>
      <c r="R27">
        <v>76.42</v>
      </c>
      <c r="S27">
        <v>8.36</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39.200000000000003</v>
      </c>
      <c r="AC27" s="22">
        <f>IF(OR($B27="",AC$22=""),"",IF(LEN(VLOOKUP($B27,Database!$B$1:$IX$10144,AC$22,FALSE))=0,"",VLOOKUP($B27,Database!$B$1:$IX$10144,AC$22,FALSE)))</f>
        <v>11.9</v>
      </c>
      <c r="AD27" s="22">
        <f>IF(OR($B27="",AD$22=""),"",IF(LEN(VLOOKUP($B27,Database!$B$1:$IX$10144,AD$22,FALSE))=0,"",VLOOKUP($B27,Database!$B$1:$IX$10144,AD$22,FALSE)))</f>
        <v>36.700000000000003</v>
      </c>
      <c r="AE27" s="22">
        <f>IF(OR($B27="",AE$22=""),"",IF(LEN(VLOOKUP($B27,Database!$B$1:$IX$10144,AE$22,FALSE))=0,"",VLOOKUP($B27,Database!$B$1:$IX$10144,AE$22,FALSE)))</f>
        <v>10.7</v>
      </c>
      <c r="AF27" s="22">
        <f>IF(OR($B27="",AF$22=""),"",IF(LEN(VLOOKUP($B27,Database!$B$1:$IX$10144,AF$22,FALSE))=0,"",VLOOKUP($B27,Database!$B$1:$IX$10144,AF$22,FALSE)))</f>
        <v>24</v>
      </c>
      <c r="AG27" s="22">
        <f>IF(OR($B27="",AG$22=""),"",IF(LEN(VLOOKUP($B27,Database!$B$1:$IX$10144,AG$22,FALSE))=0,"",VLOOKUP($B27,Database!$B$1:$IX$10144,AG$22,FALSE)))</f>
        <v>24</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14">
        <v>27.9</v>
      </c>
      <c r="AL27" s="214">
        <v>11.8</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Caetano SC, Hatch JP, Brambilla P, Sassi RB, Nicoletti M, Mallinger AG, Frank E, Kupfer DJ, Keshavan MS, Soares JC.</v>
      </c>
      <c r="AR27" s="13"/>
      <c r="AX27" s="13"/>
      <c r="AY27" s="13"/>
      <c r="AZ27" s="13"/>
      <c r="BA27" s="13"/>
      <c r="BC27" s="23"/>
      <c r="BF27" s="136"/>
      <c r="BG27" s="136"/>
      <c r="BH27" s="136"/>
      <c r="BI27" s="136"/>
    </row>
    <row r="28" spans="1:65">
      <c r="B28">
        <v>15231442</v>
      </c>
      <c r="C28" s="1" t="str">
        <f>IF($B28="","",HYPERLINK(IF(LEN(VLOOKUP($B28,Database!$B$1:$IX$10144,2,FALSE))=0,"",VLOOKUP($B28,Database!$B$1:$IX$10144,2,FALSE))))</f>
        <v/>
      </c>
      <c r="D28" s="1" t="str">
        <f>IF($B28="","",HYPERLINK(CONCATENATE("http://www.ncbi.nlm.nih.gov/pubmed/",B28)))</f>
        <v>http://www.ncbi.nlm.nih.gov/pubmed/15231442</v>
      </c>
      <c r="E28" s="22" t="str">
        <f>IF($B28="","",IF(LEN(VLOOKUP($B28,Database!$B$1:$IX$10144,4,FALSE))=0,"",VLOOKUP($B28,Database!$B$1:$IX$10144,4,FALSE)))</f>
        <v>Vythilingam M</v>
      </c>
      <c r="F28" s="22">
        <f>IF($B28="","",IF(LEN(VLOOKUP($B28,Database!$B$1:$IX$10144,5,FALSE))=0,"",VLOOKUP($B28,Database!$B$1:$IX$10144,5,FALSE)))</f>
        <v>2004</v>
      </c>
      <c r="G28" s="1" t="str">
        <f>IF($B28="","",HYPERLINK(IF(LEN(VLOOKUP($B28,Database!$B$1:$IX$10144,6,FALSE))=0,"",VLOOKUP($B28,Database!$B$1:$IX$10144,6,FALSE))))</f>
        <v>http://dx.doi.org/10.1016/j.biopsych.2004.04.002</v>
      </c>
      <c r="H28" s="22">
        <f>IF($B28="","",IF(LEN(VLOOKUP($B28,Database!$B$1:$IX$10144,7,FALSE))=0,"",VLOOKUP($B28,Database!$B$1:$IX$10144,7,FALSE)))</f>
        <v>38</v>
      </c>
      <c r="I28" s="22">
        <f>IF($B28="","",IF(LEN(VLOOKUP($B28,Database!$B$1:$IX$10144,8,FALSE))=0,"",VLOOKUP($B28,Database!$B$1:$IX$10144,8,FALSE)))</f>
        <v>33</v>
      </c>
      <c r="J28" t="s">
        <v>1472</v>
      </c>
      <c r="L28">
        <v>15396</v>
      </c>
      <c r="M28">
        <v>1586</v>
      </c>
      <c r="N28">
        <v>16660</v>
      </c>
      <c r="O28">
        <v>1935</v>
      </c>
      <c r="P28">
        <v>16269</v>
      </c>
      <c r="Q28">
        <v>1669</v>
      </c>
      <c r="R28">
        <v>17092</v>
      </c>
      <c r="S28">
        <v>2485</v>
      </c>
      <c r="T28">
        <v>15832</v>
      </c>
      <c r="U28">
        <v>1492</v>
      </c>
      <c r="V28">
        <v>16876</v>
      </c>
      <c r="W28">
        <v>2031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41</v>
      </c>
      <c r="AC28" s="22">
        <f>IF(OR($B28="",AC$22=""),"",IF(LEN(VLOOKUP($B28,Database!$B$1:$IX$10144,AC$22,FALSE))=0,"",VLOOKUP($B28,Database!$B$1:$IX$10144,AC$22,FALSE)))</f>
        <v>11</v>
      </c>
      <c r="AD28" s="22">
        <f>IF(OR($B28="",AD$22=""),"",IF(LEN(VLOOKUP($B28,Database!$B$1:$IX$10144,AD$22,FALSE))=0,"",VLOOKUP($B28,Database!$B$1:$IX$10144,AD$22,FALSE)))</f>
        <v>34</v>
      </c>
      <c r="AE28" s="22">
        <f>IF(OR($B28="",AE$22=""),"",IF(LEN(VLOOKUP($B28,Database!$B$1:$IX$10144,AE$22,FALSE))=0,"",VLOOKUP($B28,Database!$B$1:$IX$10144,AE$22,FALSE)))</f>
        <v>10</v>
      </c>
      <c r="AF28" s="22">
        <f>IF(OR($B28="",AF$22=""),"",IF(LEN(VLOOKUP($B28,Database!$B$1:$IX$10144,AF$22,FALSE))=0,"",VLOOKUP($B28,Database!$B$1:$IX$10144,AF$22,FALSE)))</f>
        <v>23</v>
      </c>
      <c r="AG28" s="22">
        <f>IF(OR($B28="",AG$22=""),"",IF(LEN(VLOOKUP($B28,Database!$B$1:$IX$10144,AG$22,FALSE))=0,"",VLOOKUP($B28,Database!$B$1:$IX$10144,AG$22,FALSE)))</f>
        <v>21</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f>IF(OR($B28="",AM$22=""),"",IF(LEN(VLOOKUP($B28,Database!$B$1:$IX$10144,AM$22,FALSE))=0,"",VLOOKUP($B28,Database!$B$1:$IX$10144,AM$22,FALSE)))</f>
        <v>0</v>
      </c>
      <c r="AN28" s="22" t="str">
        <f>IF(OR($B28="",AN$22=""),"",IF(LEN(VLOOKUP($B28,Database!$B$1:$IX$10144,AN$22,FALSE))=0,"",VLOOKUP($B28,Database!$B$1:$IX$10144,AN$22,FALSE)))</f>
        <v>ns</v>
      </c>
      <c r="AO28" s="22" t="str">
        <f>IF(OR($B28="",AO$22=""),"",IF(LEN(VLOOKUP($B28,Database!$B$1:$IX$10144,AO$22,FALSE))=0,"",VLOOKUP($B28,Database!$B$1:$IX$10144,AO$22,FALSE)))</f>
        <v>ns</v>
      </c>
      <c r="AP28" s="22">
        <f>IF(OR($B28="",AP$22=""),"",IF(LEN(VLOOKUP($B28,Database!$B$1:$IX$10144,AP$22,FALSE))=0,"",VLOOKUP($B28,Database!$B$1:$IX$10144,AP$22,FALSE)))</f>
        <v>39.473684210526315</v>
      </c>
      <c r="AQ28" s="22" t="str">
        <f>IF(OR($B28="",AQ$22=""),"",IF(LEN(VLOOKUP($B28,Database!$B$1:$IX$10144,AQ$22,FALSE))=0,"",VLOOKUP($B28,Database!$B$1:$IX$10144,AQ$22,FALSE)))</f>
        <v>Vythilingam M, Vermetten E, Anderson GM, Luckenbaugh D, Anderson ER, Snow J, Staib LH, Charney DS, Bremner JD.</v>
      </c>
      <c r="AR28" s="13"/>
      <c r="AX28" s="13"/>
      <c r="AY28" s="13"/>
      <c r="AZ28" s="13"/>
      <c r="BA28" s="13"/>
      <c r="BC28" s="23"/>
      <c r="BF28" s="136"/>
      <c r="BG28" s="136"/>
      <c r="BH28" s="136"/>
      <c r="BI28" s="136"/>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A30" s="7" t="s">
        <v>68</v>
      </c>
      <c r="B30">
        <v>9859118</v>
      </c>
      <c r="C30" s="1" t="str">
        <f>IF($B30="","",HYPERLINK(IF(LEN(VLOOKUP($B30,Database!$B$1:$IX$10144,2,FALSE))=0,"",VLOOKUP($B30,Database!$B$1:$IX$10144,2,FALSE))))</f>
        <v/>
      </c>
      <c r="D30" s="1" t="str">
        <f>IF($B30="","",HYPERLINK(CONCATENATE("http://www.ncbi.nlm.nih.gov/pubmed/",B30)))</f>
        <v>http://www.ncbi.nlm.nih.gov/pubmed/9859118</v>
      </c>
      <c r="E30" s="22" t="str">
        <f>IF($B30="","",IF(LEN(VLOOKUP($B30,Database!$B$1:$IX$10144,4,FALSE))=0,"",VLOOKUP($B30,Database!$B$1:$IX$10144,4,FALSE)))</f>
        <v>Pantel J</v>
      </c>
      <c r="F30" s="22">
        <f>IF($B30="","",IF(LEN(VLOOKUP($B30,Database!$B$1:$IX$10144,5,FALSE))=0,"",VLOOKUP($B30,Database!$B$1:$IX$10144,5,FALSE)))</f>
        <v>1998</v>
      </c>
      <c r="G30" s="1" t="str">
        <f>IF($B30="","",HYPERLINK(IF(LEN(VLOOKUP($B30,Database!$B$1:$IX$10144,6,FALSE))=0,"",VLOOKUP($B30,Database!$B$1:$IX$10144,6,FALSE))))</f>
        <v>http://dx.doi.org/10.1007/s001150050371</v>
      </c>
      <c r="H30" s="22">
        <f>IF($B30="","",IF(LEN(VLOOKUP($B30,Database!$B$1:$IX$10144,7,FALSE))=0,"",VLOOKUP($B30,Database!$B$1:$IX$10144,7,FALSE)))</f>
        <v>19</v>
      </c>
      <c r="I30" s="22">
        <f>IF($B30="","",IF(LEN(VLOOKUP($B30,Database!$B$1:$IX$10144,8,FALSE))=0,"",VLOOKUP($B30,Database!$B$1:$IX$10144,8,FALSE)))</f>
        <v>13</v>
      </c>
      <c r="Y30" s="22" t="str">
        <f>IF(OR($B30="",Y$22=""),"",IF(LEN(VLOOKUP($B30,Database!$B$1:$IX$10144,Y$22,FALSE))=0,"",VLOOKUP($B30,Database!$B$1:$IX$10144,Y$22,FALSE)))</f>
        <v>DSM-III-R</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72.400000000000006</v>
      </c>
      <c r="AC30" s="22">
        <f>IF(OR($B30="",AC$22=""),"",IF(LEN(VLOOKUP($B30,Database!$B$1:$IX$10144,AC$22,FALSE))=0,"",VLOOKUP($B30,Database!$B$1:$IX$10144,AC$22,FALSE)))</f>
        <v>8.8000000000000007</v>
      </c>
      <c r="AD30" s="22">
        <f>IF(OR($B30="",AD$22=""),"",IF(LEN(VLOOKUP($B30,Database!$B$1:$IX$10144,AD$22,FALSE))=0,"",VLOOKUP($B30,Database!$B$1:$IX$10144,AD$22,FALSE)))</f>
        <v>68.2</v>
      </c>
      <c r="AE30" s="22">
        <f>IF(OR($B30="",AE$22=""),"",IF(LEN(VLOOKUP($B30,Database!$B$1:$IX$10144,AE$22,FALSE))=0,"",VLOOKUP($B30,Database!$B$1:$IX$10144,AE$22,FALSE)))</f>
        <v>5.3</v>
      </c>
      <c r="AF30" s="22">
        <f>IF(OR($B30="",AF$22=""),"",IF(LEN(VLOOKUP($B30,Database!$B$1:$IX$10144,AF$22,FALSE))=0,"",VLOOKUP($B30,Database!$B$1:$IX$10144,AF$22,FALSE)))</f>
        <v>15</v>
      </c>
      <c r="AG30" s="22">
        <f>IF(OR($B30="",AG$22=""),"",IF(LEN(VLOOKUP($B30,Database!$B$1:$IX$10144,AG$22,FALSE))=0,"",VLOOKUP($B30,Database!$B$1:$IX$10144,AG$22,FALSE)))</f>
        <v>10</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22" t="str">
        <f>IF(OR($B30="",AK$22=""),"",IF(LEN(VLOOKUP($B30,Database!$B$1:$IX$10144,AK$22,FALSE))=0,"",VLOOKUP($B30,Database!$B$1:$IX$10144,AK$22,FALSE)))</f>
        <v>ns</v>
      </c>
      <c r="AL30" s="22">
        <f>IF(OR($B30="",AL$22=""),"",IF(LEN(VLOOKUP($B30,Database!$B$1:$IX$10144,AL$22,FALSE))=0,"",VLOOKUP($B30,Database!$B$1:$IX$10144,AL$22,FALSE)))</f>
        <v>26.7</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Pantel J, Schroder J, Essig M, Schad LR, Popp D, Eysenbach K, Jauss M, Knopp MV.</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7" si="0">E24</f>
        <v>Pantel J</v>
      </c>
      <c r="F33">
        <f t="shared" si="0"/>
        <v>1997</v>
      </c>
      <c r="G33">
        <v>5</v>
      </c>
      <c r="H33">
        <f t="shared" ref="H33:I37" si="1">H24</f>
        <v>19</v>
      </c>
      <c r="I33">
        <f t="shared" si="1"/>
        <v>13</v>
      </c>
      <c r="J33">
        <f t="shared" ref="J33:M37" si="2">IF($D$4="Total",T24,IF($D$4="Left",L24,IF($D$4="Right",P24,"error")))</f>
        <v>46.55</v>
      </c>
      <c r="K33">
        <f t="shared" si="2"/>
        <v>6.3</v>
      </c>
      <c r="L33">
        <f t="shared" si="2"/>
        <v>43.37</v>
      </c>
      <c r="M33">
        <f t="shared" si="2"/>
        <v>4.4000000000000004</v>
      </c>
      <c r="N33">
        <f>IF($D$3=1,SQRT((((I33-1)*(M33)^2)+((H33-1)*(K33)^2))/(H33+I33-2)),M33)</f>
        <v>5.6176507545414394</v>
      </c>
      <c r="O33" s="59">
        <f>IF($D$6=1,LN(J33/L33),IF($D$5=1,(1-3/(4*(H33+I33)-9))*((J33-L33)/N33),(J33-L33)/N33))</f>
        <v>0.5518021799890519</v>
      </c>
      <c r="P33" s="63">
        <f>IF($D$6=1,(K33^2)/(H33*J33^2)+(M33^2)/(I33*L33^2),(IF($D$5=1,((H33+I33)/(H33*I33))+(O33*O33)/(2*(H33+I33-3.94)),((H33+I33)/(H33*I33))+((O33^2)/(2*(H33+I33-2))))))</f>
        <v>0.13498027322327269</v>
      </c>
      <c r="Q33" s="59">
        <f>$R$54*SQRT(P33)</f>
        <v>0.72009736675988778</v>
      </c>
      <c r="R33" s="59">
        <f>1/P33</f>
        <v>7.4084899676109446</v>
      </c>
      <c r="S33" s="59">
        <f>O33*R33</f>
        <v>4.0880209145547397</v>
      </c>
      <c r="T33" s="59">
        <f>R33*(O33^2)</f>
        <v>2.2557788524921429</v>
      </c>
      <c r="U33" s="23">
        <f>R33^2</f>
        <v>54.885723600192016</v>
      </c>
      <c r="V33" s="59">
        <f>1/((1/R33)+$I$51)</f>
        <v>3.4485677811395545</v>
      </c>
      <c r="W33" s="59">
        <f>V33*O33</f>
        <v>1.9029272194728137</v>
      </c>
      <c r="AF33" s="59">
        <f>IF($D$6=1,100*((EXP(O33))-1),O33)</f>
        <v>0.5518021799890519</v>
      </c>
      <c r="AG33" s="59">
        <f>IF($D$6=1,100*(EXP(O33+Q33)-EXP(O33)),Q33)</f>
        <v>0.72009736675988778</v>
      </c>
      <c r="AH33" s="59">
        <f>IF($D$6=1,100*(EXP(O33)-EXP(O33-Q33)),Q33)</f>
        <v>0.72009736675988778</v>
      </c>
      <c r="AJ33">
        <f>SQRT(P33)</f>
        <v>0.36739661569382032</v>
      </c>
      <c r="AK33">
        <f>1/AJ33</f>
        <v>2.7218541415018818</v>
      </c>
      <c r="AL33">
        <f>O33/AJ33</f>
        <v>1.5019250488929676</v>
      </c>
      <c r="AN33" t="str">
        <f t="shared" ref="AN33:AO37" si="3">E33</f>
        <v>Pantel J</v>
      </c>
      <c r="AO33">
        <f t="shared" si="3"/>
        <v>1997</v>
      </c>
      <c r="AP33" t="str">
        <f>CONCATENATE(AN33," ",AO33)</f>
        <v>Pantel J 1997</v>
      </c>
      <c r="AQ33">
        <f>INT(H33)</f>
        <v>19</v>
      </c>
      <c r="AR33">
        <f t="shared" ref="AR33:AS37" si="4">J33</f>
        <v>46.55</v>
      </c>
      <c r="AS33">
        <f t="shared" si="4"/>
        <v>6.3</v>
      </c>
      <c r="AT33">
        <f>INT(I33)</f>
        <v>13</v>
      </c>
      <c r="AU33">
        <f t="shared" ref="AU33:AV37" si="5">L33</f>
        <v>43.37</v>
      </c>
      <c r="AV33">
        <f t="shared" si="5"/>
        <v>4.4000000000000004</v>
      </c>
      <c r="AW33" s="65">
        <f>O33</f>
        <v>0.5518021799890519</v>
      </c>
      <c r="AX33">
        <f>SQRT(P33)</f>
        <v>0.36739661569382032</v>
      </c>
      <c r="AY33" t="str">
        <f>$F$3</f>
        <v>Pooled SD</v>
      </c>
    </row>
    <row r="34" spans="5:51">
      <c r="E34" t="str">
        <f t="shared" si="0"/>
        <v>Bremner JD</v>
      </c>
      <c r="F34">
        <f t="shared" si="0"/>
        <v>2000</v>
      </c>
      <c r="G34">
        <v>4</v>
      </c>
      <c r="H34">
        <f t="shared" si="1"/>
        <v>16</v>
      </c>
      <c r="I34">
        <f t="shared" si="1"/>
        <v>16</v>
      </c>
      <c r="J34">
        <f t="shared" si="2"/>
        <v>18207</v>
      </c>
      <c r="K34">
        <f t="shared" si="2"/>
        <v>4260</v>
      </c>
      <c r="L34">
        <f t="shared" si="2"/>
        <v>19475</v>
      </c>
      <c r="M34">
        <f t="shared" si="2"/>
        <v>2707</v>
      </c>
      <c r="N34">
        <f>IF($D$3=1,SQRT((((I34-1)*(M34)^2)+((H34-1)*(K34)^2))/(H34+I34-2)),M34)</f>
        <v>3568.9948865191723</v>
      </c>
      <c r="O34" s="59">
        <f>IF($D$6=1,LN(J34/L34),IF($D$5=1,(1-3/(4*(H34+I34)-9))*((J34-L34)/N34),(J34-L34)/N34))</f>
        <v>-0.34632540890269453</v>
      </c>
      <c r="P34" s="63">
        <f>IF($D$6=1,(K34^2)/(H34*J34^2)+(M34^2)/(I34*L34^2),(IF($D$5=1,((H34+I34)/(H34*I34))+(O34*O34)/(2*(H34+I34-3.94)),((H34+I34)/(H34*I34))+((O34^2)/(2*(H34+I34-2))))))</f>
        <v>0.12713722895316498</v>
      </c>
      <c r="Q34" s="59">
        <f>$R$54*SQRT(P34)</f>
        <v>0.69886363387035566</v>
      </c>
      <c r="R34" s="59">
        <f>1/P34</f>
        <v>7.8655167194841225</v>
      </c>
      <c r="S34" s="59">
        <f>O34*R34</f>
        <v>-2.724028294106319</v>
      </c>
      <c r="T34" s="59">
        <f>R34*(O34^2)</f>
        <v>0.94340021281888042</v>
      </c>
      <c r="U34" s="23">
        <f>R34^2</f>
        <v>61.866353264484275</v>
      </c>
      <c r="V34" s="59">
        <f>1/((1/R34)+$I$51)</f>
        <v>3.5444350727556975</v>
      </c>
      <c r="W34" s="59">
        <f>V34*O34</f>
        <v>-1.2275279259011687</v>
      </c>
      <c r="AF34" s="59">
        <f>IF($D$6=1,100*((EXP(O34))-1),O34)</f>
        <v>-0.34632540890269453</v>
      </c>
      <c r="AG34" s="59">
        <f>IF($D$6=1,100*(EXP(O34+Q34)-EXP(O34)),Q34)</f>
        <v>0.69886363387035566</v>
      </c>
      <c r="AH34" s="59">
        <f>IF($D$6=1,100*(EXP(O34)-EXP(O34-Q34)),Q34)</f>
        <v>0.69886363387035566</v>
      </c>
      <c r="AJ34">
        <f>SQRT(P34)</f>
        <v>0.35656307850528351</v>
      </c>
      <c r="AK34">
        <f>1/AJ34</f>
        <v>2.8045528555340371</v>
      </c>
      <c r="AL34">
        <f>O34/AJ34</f>
        <v>-0.9712879144820451</v>
      </c>
      <c r="AN34" t="str">
        <f t="shared" si="3"/>
        <v>Bremner JD</v>
      </c>
      <c r="AO34">
        <f t="shared" si="3"/>
        <v>2000</v>
      </c>
      <c r="AP34" t="str">
        <f>CONCATENATE(AN34," ",AO34)</f>
        <v>Bremner JD 2000</v>
      </c>
      <c r="AQ34">
        <f>INT(H34)</f>
        <v>16</v>
      </c>
      <c r="AR34">
        <f t="shared" si="4"/>
        <v>18207</v>
      </c>
      <c r="AS34">
        <f t="shared" si="4"/>
        <v>4260</v>
      </c>
      <c r="AT34">
        <f>INT(I34)</f>
        <v>16</v>
      </c>
      <c r="AU34">
        <f t="shared" si="5"/>
        <v>19475</v>
      </c>
      <c r="AV34">
        <f t="shared" si="5"/>
        <v>2707</v>
      </c>
      <c r="AW34" s="65">
        <f>O34</f>
        <v>-0.34632540890269453</v>
      </c>
      <c r="AX34">
        <f>SQRT(P34)</f>
        <v>0.35656307850528351</v>
      </c>
      <c r="AY34" t="str">
        <f>$F$5</f>
        <v>H Correction</v>
      </c>
    </row>
    <row r="35" spans="5:51">
      <c r="E35" t="str">
        <f t="shared" si="0"/>
        <v>McIntosh AM</v>
      </c>
      <c r="F35">
        <f t="shared" si="0"/>
        <v>2001</v>
      </c>
      <c r="G35">
        <v>3</v>
      </c>
      <c r="H35">
        <f t="shared" si="1"/>
        <v>9</v>
      </c>
      <c r="I35">
        <f t="shared" si="1"/>
        <v>29</v>
      </c>
      <c r="J35">
        <f t="shared" si="2"/>
        <v>76679</v>
      </c>
      <c r="K35">
        <f t="shared" si="2"/>
        <v>4996</v>
      </c>
      <c r="L35">
        <f t="shared" si="2"/>
        <v>82580</v>
      </c>
      <c r="M35">
        <f t="shared" si="2"/>
        <v>7297</v>
      </c>
      <c r="N35">
        <f>IF($D$3=1,SQRT((((I35-1)*(M35)^2)+((H35-1)*(K35)^2))/(H35+I35-2)),M35)</f>
        <v>6852.7650137249957</v>
      </c>
      <c r="O35" s="59">
        <f>IF($D$6=1,LN(J35/L35),IF($D$5=1,(1-3/(4*(H35+I35)-9))*((J35-L35)/N35),(J35-L35)/N35))</f>
        <v>-0.84304697237275483</v>
      </c>
      <c r="P35" s="63">
        <f>IF($D$6=1,(K35^2)/(H35*J35^2)+(M35^2)/(I35*L35^2),(IF($D$5=1,((H35+I35)/(H35*I35))+(O35*O35)/(2*(H35+I35-3.94)),((H35+I35)/(H35*I35))+((O35^2)/(2*(H35+I35-2))))))</f>
        <v>0.15602734297940601</v>
      </c>
      <c r="Q35" s="59">
        <f>$R$54*SQRT(P35)</f>
        <v>0.77420581293974156</v>
      </c>
      <c r="R35" s="59">
        <f>1/P35</f>
        <v>6.4091330461994058</v>
      </c>
      <c r="S35" s="59">
        <f>O35*R35</f>
        <v>-5.4032002101325807</v>
      </c>
      <c r="T35" s="59">
        <f>R35*(O35^2)</f>
        <v>4.5551515782761047</v>
      </c>
      <c r="U35" s="23">
        <f>R35^2</f>
        <v>41.076986403885272</v>
      </c>
      <c r="V35" s="59">
        <f>1/((1/R35)+$I$51)</f>
        <v>3.2152012509209702</v>
      </c>
      <c r="W35" s="59">
        <f>V35*O35</f>
        <v>-2.7105656801580178</v>
      </c>
      <c r="AF35" s="59">
        <f>IF($D$6=1,100*((EXP(O35))-1),O35)</f>
        <v>-0.84304697237275483</v>
      </c>
      <c r="AG35" s="59">
        <f>IF($D$6=1,100*(EXP(O35+Q35)-EXP(O35)),Q35)</f>
        <v>0.77420581293974156</v>
      </c>
      <c r="AH35" s="59">
        <f>IF($D$6=1,100*(EXP(O35)-EXP(O35-Q35)),Q35)</f>
        <v>0.77420581293974156</v>
      </c>
      <c r="AJ35">
        <f>SQRT(P35)</f>
        <v>0.39500296578558242</v>
      </c>
      <c r="AK35">
        <f>1/AJ35</f>
        <v>2.5316265613631499</v>
      </c>
      <c r="AL35">
        <f>O35/AJ35</f>
        <v>-2.1342801077356519</v>
      </c>
      <c r="AN35" t="str">
        <f t="shared" si="3"/>
        <v>McIntosh AM</v>
      </c>
      <c r="AO35">
        <f t="shared" si="3"/>
        <v>2001</v>
      </c>
      <c r="AP35" t="str">
        <f>CONCATENATE(AN35," ",AO35)</f>
        <v>McIntosh AM 2001</v>
      </c>
      <c r="AQ35">
        <f>INT(H35)</f>
        <v>9</v>
      </c>
      <c r="AR35">
        <f t="shared" si="4"/>
        <v>76679</v>
      </c>
      <c r="AS35">
        <f t="shared" si="4"/>
        <v>4996</v>
      </c>
      <c r="AT35">
        <f>INT(I35)</f>
        <v>29</v>
      </c>
      <c r="AU35">
        <f t="shared" si="5"/>
        <v>82580</v>
      </c>
      <c r="AV35">
        <f t="shared" si="5"/>
        <v>7297</v>
      </c>
      <c r="AW35" s="65">
        <f>O35</f>
        <v>-0.84304697237275483</v>
      </c>
      <c r="AX35">
        <f>SQRT(P35)</f>
        <v>0.39500296578558242</v>
      </c>
    </row>
    <row r="36" spans="5:51">
      <c r="E36" t="str">
        <f t="shared" si="0"/>
        <v>Caetano SC</v>
      </c>
      <c r="F36">
        <f t="shared" si="0"/>
        <v>2004</v>
      </c>
      <c r="G36">
        <v>2</v>
      </c>
      <c r="H36">
        <f t="shared" si="1"/>
        <v>31</v>
      </c>
      <c r="I36">
        <f t="shared" si="1"/>
        <v>31</v>
      </c>
      <c r="J36">
        <f t="shared" si="2"/>
        <v>78.67</v>
      </c>
      <c r="K36">
        <f t="shared" si="2"/>
        <v>9.4499999999999993</v>
      </c>
      <c r="L36">
        <f t="shared" si="2"/>
        <v>76.42</v>
      </c>
      <c r="M36">
        <f t="shared" si="2"/>
        <v>8.36</v>
      </c>
      <c r="N36">
        <f>IF($D$3=1,SQRT((((I36-1)*(M36)^2)+((H36-1)*(K36)^2))/(H36+I36-2)),M36)</f>
        <v>8.9216618407110673</v>
      </c>
      <c r="O36" s="59">
        <f>IF($D$6=1,LN(J36/L36),IF($D$5=1,(1-3/(4*(H36+I36)-9))*((J36-L36)/N36),(J36-L36)/N36))</f>
        <v>0.24902953752825222</v>
      </c>
      <c r="P36" s="63">
        <f>IF($D$6=1,(K36^2)/(H36*J36^2)+(M36^2)/(I36*L36^2),(IF($D$5=1,((H36+I36)/(H36*I36))+(O36*O36)/(2*(H36+I36-3.94)),((H36+I36)/(H36*I36))+((O36^2)/(2*(H36+I36-2))))))</f>
        <v>6.5050194744982276E-2</v>
      </c>
      <c r="Q36" s="59">
        <f>$R$54*SQRT(P36)</f>
        <v>0.4998968174856927</v>
      </c>
      <c r="R36" s="59">
        <f>1/P36</f>
        <v>15.372744138896467</v>
      </c>
      <c r="S36" s="59">
        <f>O36*R36</f>
        <v>3.828267363449537</v>
      </c>
      <c r="T36" s="59">
        <f>R36*(O36^2)</f>
        <v>0.95335165105433961</v>
      </c>
      <c r="U36" s="23">
        <f>R36^2</f>
        <v>236.32126235997566</v>
      </c>
      <c r="V36" s="59">
        <f>1/((1/R36)+$I$51)</f>
        <v>4.5445172758238819</v>
      </c>
      <c r="W36" s="59">
        <f>V36*O36</f>
        <v>1.1317190354875739</v>
      </c>
      <c r="AF36" s="59">
        <f>IF($D$6=1,100*((EXP(O36))-1),O36)</f>
        <v>0.24902953752825222</v>
      </c>
      <c r="AG36" s="59">
        <f>IF($D$6=1,100*(EXP(O36+Q36)-EXP(O36)),Q36)</f>
        <v>0.4998968174856927</v>
      </c>
      <c r="AH36" s="59">
        <f>IF($D$6=1,100*(EXP(O36)-EXP(O36-Q36)),Q36)</f>
        <v>0.4998968174856927</v>
      </c>
      <c r="AJ36">
        <f>SQRT(P36)</f>
        <v>0.25504939667637383</v>
      </c>
      <c r="AK36">
        <f>1/AJ36</f>
        <v>3.9208091178858049</v>
      </c>
      <c r="AL36">
        <f>O36/AJ36</f>
        <v>0.97639728136365656</v>
      </c>
      <c r="AN36" t="str">
        <f t="shared" si="3"/>
        <v>Caetano SC</v>
      </c>
      <c r="AO36">
        <f t="shared" si="3"/>
        <v>2004</v>
      </c>
      <c r="AP36" t="str">
        <f>CONCATENATE(AN36," ",AO36)</f>
        <v>Caetano SC 2004</v>
      </c>
      <c r="AQ36">
        <f>INT(H36)</f>
        <v>31</v>
      </c>
      <c r="AR36">
        <f t="shared" si="4"/>
        <v>78.67</v>
      </c>
      <c r="AS36">
        <f t="shared" si="4"/>
        <v>9.4499999999999993</v>
      </c>
      <c r="AT36">
        <f>INT(I36)</f>
        <v>31</v>
      </c>
      <c r="AU36">
        <f t="shared" si="5"/>
        <v>76.42</v>
      </c>
      <c r="AV36">
        <f t="shared" si="5"/>
        <v>8.36</v>
      </c>
      <c r="AW36" s="65">
        <f>O36</f>
        <v>0.24902953752825222</v>
      </c>
      <c r="AX36">
        <f>SQRT(P36)</f>
        <v>0.25504939667637383</v>
      </c>
    </row>
    <row r="37" spans="5:51">
      <c r="E37" t="str">
        <f t="shared" si="0"/>
        <v>Vythilingam M</v>
      </c>
      <c r="F37">
        <f t="shared" si="0"/>
        <v>2004</v>
      </c>
      <c r="G37">
        <v>1</v>
      </c>
      <c r="H37">
        <f t="shared" si="1"/>
        <v>38</v>
      </c>
      <c r="I37">
        <f t="shared" si="1"/>
        <v>33</v>
      </c>
      <c r="J37">
        <f t="shared" si="2"/>
        <v>16269</v>
      </c>
      <c r="K37">
        <f t="shared" si="2"/>
        <v>1669</v>
      </c>
      <c r="L37">
        <f t="shared" si="2"/>
        <v>17092</v>
      </c>
      <c r="M37">
        <f t="shared" si="2"/>
        <v>2485</v>
      </c>
      <c r="N37">
        <f>IF($D$3=1,SQRT((((I37-1)*(M37)^2)+((H37-1)*(K37)^2))/(H37+I37-2)),M37)</f>
        <v>2087.4815177520786</v>
      </c>
      <c r="O37" s="59">
        <f>IF($D$6=1,LN(J37/L37),IF($D$5=1,(1-3/(4*(H37+I37)-9))*((J37-L37)/N37),(J37-L37)/N37))</f>
        <v>-0.38995402414791397</v>
      </c>
      <c r="P37" s="63">
        <f>IF($D$6=1,(K37^2)/(H37*J37^2)+(M37^2)/(I37*L37^2),(IF($D$5=1,((H37+I37)/(H37*I37))+(O37*O37)/(2*(H37+I37-3.94)),((H37+I37)/(H37*I37))+((O37^2)/(2*(H37+I37-2))))))</f>
        <v>5.7752611462884747E-2</v>
      </c>
      <c r="Q37" s="59">
        <f>$R$54*SQRT(P37)</f>
        <v>0.47102275125074161</v>
      </c>
      <c r="R37" s="59">
        <f>1/P37</f>
        <v>17.31523431875733</v>
      </c>
      <c r="S37" s="59">
        <f>O37*R37</f>
        <v>-6.7521453016634849</v>
      </c>
      <c r="T37" s="59">
        <f>R37*(O37^2)</f>
        <v>2.6330262320151063</v>
      </c>
      <c r="U37" s="23">
        <f>R37^2</f>
        <v>299.81733951347161</v>
      </c>
      <c r="V37" s="59">
        <f>1/((1/R37)+$I$51)</f>
        <v>4.7004013548505572</v>
      </c>
      <c r="W37" s="59">
        <f>V37*O37</f>
        <v>-1.8329404234342817</v>
      </c>
      <c r="AF37" s="59">
        <f>IF($D$6=1,100*((EXP(O37))-1),O37)</f>
        <v>-0.38995402414791397</v>
      </c>
      <c r="AG37" s="59">
        <f>IF($D$6=1,100*(EXP(O37+Q37)-EXP(O37)),Q37)</f>
        <v>0.47102275125074161</v>
      </c>
      <c r="AH37" s="59">
        <f>IF($D$6=1,100*(EXP(O37)-EXP(O37-Q37)),Q37)</f>
        <v>0.47102275125074161</v>
      </c>
      <c r="AJ37">
        <f>SQRT(P37)</f>
        <v>0.24031773022997022</v>
      </c>
      <c r="AK37">
        <f>1/AJ37</f>
        <v>4.1611578098838464</v>
      </c>
      <c r="AL37">
        <f>O37/AJ37</f>
        <v>-1.6226602330787263</v>
      </c>
      <c r="AN37" t="str">
        <f t="shared" si="3"/>
        <v>Vythilingam M</v>
      </c>
      <c r="AO37">
        <f t="shared" si="3"/>
        <v>2004</v>
      </c>
      <c r="AP37" t="str">
        <f>CONCATENATE(AN37," ",AO37)</f>
        <v>Vythilingam M 2004</v>
      </c>
      <c r="AQ37">
        <f>INT(H37)</f>
        <v>38</v>
      </c>
      <c r="AR37">
        <f t="shared" si="4"/>
        <v>16269</v>
      </c>
      <c r="AS37">
        <f t="shared" si="4"/>
        <v>1669</v>
      </c>
      <c r="AT37">
        <f>INT(I37)</f>
        <v>33</v>
      </c>
      <c r="AU37">
        <f t="shared" si="5"/>
        <v>17092</v>
      </c>
      <c r="AV37">
        <f t="shared" si="5"/>
        <v>2485</v>
      </c>
      <c r="AW37" s="65">
        <f>O37</f>
        <v>-0.38995402414791397</v>
      </c>
      <c r="AX37">
        <f>SQRT(P37)</f>
        <v>0.24031773022997022</v>
      </c>
    </row>
    <row r="38" spans="5:51">
      <c r="U38" s="23"/>
    </row>
    <row r="39" spans="5:51">
      <c r="L39" t="s">
        <v>500</v>
      </c>
      <c r="N39" s="7"/>
      <c r="O39" s="66">
        <f>COUNT(O33:O37)</f>
        <v>5</v>
      </c>
      <c r="Q39" t="s">
        <v>885</v>
      </c>
      <c r="R39" s="59">
        <f t="shared" ref="R39:W39" si="6">SUM(R33:R37)</f>
        <v>54.371118190948266</v>
      </c>
      <c r="S39" s="59">
        <f t="shared" si="6"/>
        <v>-6.9630855278981088</v>
      </c>
      <c r="T39" s="59">
        <f t="shared" si="6"/>
        <v>11.340708526656574</v>
      </c>
      <c r="U39" s="23">
        <f t="shared" si="6"/>
        <v>693.96766514200885</v>
      </c>
      <c r="V39" s="59">
        <f t="shared" si="6"/>
        <v>19.453122735490659</v>
      </c>
      <c r="W39" s="59">
        <f t="shared" si="6"/>
        <v>-2.7363877745330809</v>
      </c>
    </row>
    <row r="40" spans="5:51">
      <c r="L40" t="s">
        <v>501</v>
      </c>
      <c r="N40" s="7"/>
      <c r="O40" s="2">
        <v>0</v>
      </c>
    </row>
    <row r="41" spans="5:51">
      <c r="N41" s="7"/>
      <c r="O41" s="7"/>
    </row>
    <row r="42" spans="5:51">
      <c r="G42" s="67" t="s">
        <v>502</v>
      </c>
      <c r="H42" s="40"/>
      <c r="I42" s="40">
        <f>S39/R39</f>
        <v>-0.12806588791211079</v>
      </c>
      <c r="J42" s="40"/>
      <c r="K42" s="68" t="s">
        <v>879</v>
      </c>
      <c r="L42" s="40"/>
      <c r="M42" s="42"/>
      <c r="N42" s="7"/>
      <c r="O42" s="69" t="s">
        <v>503</v>
      </c>
      <c r="P42" s="70">
        <f>T39-((S39^2)/R39)</f>
        <v>10.448974795918334</v>
      </c>
      <c r="Q42" s="71" t="s">
        <v>824</v>
      </c>
      <c r="R42" s="28"/>
      <c r="S42" s="29"/>
      <c r="T42" s="30"/>
      <c r="U42" s="31"/>
      <c r="AF42" s="2" t="s">
        <v>1518</v>
      </c>
    </row>
    <row r="43" spans="5:51">
      <c r="G43" s="43" t="s">
        <v>504</v>
      </c>
      <c r="H43" s="31"/>
      <c r="I43" s="31">
        <f>1/R39</f>
        <v>1.8392117603468389E-2</v>
      </c>
      <c r="J43" s="31"/>
      <c r="K43" s="31"/>
      <c r="L43" s="31"/>
      <c r="M43" s="44"/>
      <c r="N43" s="7"/>
      <c r="O43" s="30" t="s">
        <v>505</v>
      </c>
      <c r="P43" s="31">
        <f>CHIDIST(P42,I47-1)</f>
        <v>3.3507154204016731E-2</v>
      </c>
      <c r="Q43" s="31"/>
      <c r="R43" s="31"/>
      <c r="S43" s="34"/>
      <c r="T43" s="30"/>
      <c r="U43" s="31"/>
      <c r="AF43" s="2"/>
    </row>
    <row r="44" spans="5:51">
      <c r="G44" s="72" t="s">
        <v>506</v>
      </c>
      <c r="H44" s="31"/>
      <c r="I44" s="31">
        <f>$R$54*SQRT(I43)</f>
        <v>0.26581038163601539</v>
      </c>
      <c r="J44" s="31"/>
      <c r="K44" s="31" t="s">
        <v>507</v>
      </c>
      <c r="L44" s="31"/>
      <c r="M44" s="44">
        <f>ABS(I42/SQRT(I43))</f>
        <v>0.94431654159939404</v>
      </c>
      <c r="N44" s="7"/>
      <c r="O44" s="35" t="s">
        <v>508</v>
      </c>
      <c r="P44" s="37">
        <f>IF(((P42-(I47-1))/P42)&lt;0,0,100*((P42-(I47-1))/P42))</f>
        <v>61.718732429496207</v>
      </c>
      <c r="Q44" s="36"/>
      <c r="R44" s="36"/>
      <c r="S44" s="38"/>
      <c r="T44" s="30"/>
      <c r="U44" s="31"/>
      <c r="AF44" s="2" t="s">
        <v>1535</v>
      </c>
      <c r="AH44">
        <f>IF($D$6=1,100*((EXP(I42))-1),I42)</f>
        <v>-0.12806588791211079</v>
      </c>
    </row>
    <row r="45" spans="5:51">
      <c r="G45" s="45" t="s">
        <v>509</v>
      </c>
      <c r="H45" s="46"/>
      <c r="I45" s="46">
        <v>-2</v>
      </c>
      <c r="J45" s="46"/>
      <c r="K45" s="46" t="s">
        <v>825</v>
      </c>
      <c r="L45" s="46"/>
      <c r="M45" s="47">
        <f>2*(1-NORMDIST(M44,0,1,1))</f>
        <v>0.34500791542684217</v>
      </c>
      <c r="N45" s="7"/>
      <c r="O45" s="7"/>
      <c r="AF45" s="79" t="s">
        <v>834</v>
      </c>
      <c r="AH45">
        <f>IF($D$6=1,100*(EXP(I42+I44)-EXP(I42)),I44)</f>
        <v>0.26581038163601539</v>
      </c>
    </row>
    <row r="46" spans="5:51">
      <c r="G46" s="40"/>
      <c r="H46" s="40"/>
      <c r="I46" s="40"/>
      <c r="J46" s="40"/>
      <c r="K46" s="40"/>
      <c r="L46" s="40"/>
      <c r="M46" s="40"/>
      <c r="N46" s="7"/>
      <c r="O46" s="7"/>
      <c r="AF46" s="79" t="s">
        <v>835</v>
      </c>
      <c r="AH46">
        <f>IF($D$6=1,100*(EXP(I42)-EXP(I42-I44)),I44)</f>
        <v>0.26581038163601539</v>
      </c>
    </row>
    <row r="47" spans="5:51">
      <c r="G47" s="73" t="s">
        <v>1110</v>
      </c>
      <c r="H47" s="74"/>
      <c r="I47" s="74">
        <f>O39</f>
        <v>5</v>
      </c>
      <c r="J47" s="74"/>
      <c r="K47" s="75" t="s">
        <v>1167</v>
      </c>
      <c r="L47" s="74"/>
      <c r="M47" s="76"/>
      <c r="N47" s="77"/>
      <c r="O47" s="101" t="s">
        <v>1513</v>
      </c>
      <c r="P47" s="102"/>
      <c r="Q47" s="103"/>
      <c r="AF47" s="7"/>
    </row>
    <row r="48" spans="5:51">
      <c r="G48" s="77" t="s">
        <v>1531</v>
      </c>
      <c r="H48" s="31"/>
      <c r="I48" s="31">
        <f>R39/I47</f>
        <v>10.874223638189653</v>
      </c>
      <c r="J48" s="31"/>
      <c r="K48" s="31"/>
      <c r="L48" s="31"/>
      <c r="M48" s="78"/>
      <c r="N48" s="77"/>
      <c r="O48" s="104" t="s">
        <v>1514</v>
      </c>
      <c r="P48" s="31"/>
      <c r="Q48" s="105">
        <f>INDEX(LINEST(AL33:AL37,AK33:AK37,TRUE,TRUE),1,2)</f>
        <v>-0.87581180255934377</v>
      </c>
      <c r="AF48" s="2" t="s">
        <v>1687</v>
      </c>
      <c r="AH48">
        <f>IF($D$6=1,100*((EXP(I53))-1),I53)</f>
        <v>-0.14066573329847765</v>
      </c>
    </row>
    <row r="49" spans="7:34">
      <c r="G49" s="77" t="s">
        <v>1532</v>
      </c>
      <c r="H49" s="31"/>
      <c r="I49" s="31">
        <f>(1/(I47-1))*(U39-(I47*I48^2))</f>
        <v>25.680991618798942</v>
      </c>
      <c r="J49" s="31"/>
      <c r="K49" s="31"/>
      <c r="L49" s="31"/>
      <c r="M49" s="78"/>
      <c r="N49" s="77"/>
      <c r="O49" s="104" t="s">
        <v>1516</v>
      </c>
      <c r="P49" s="31"/>
      <c r="Q49" s="105">
        <f>INDEX(LINEST(AL33:AL37,AK33:AK37,TRUE,TRUE),2,2)</f>
        <v>4.0522198356935233</v>
      </c>
      <c r="AF49" s="79" t="s">
        <v>834</v>
      </c>
      <c r="AG49" s="7"/>
      <c r="AH49">
        <f>IF($D$6=1,100*(EXP(I53+I55)-EXP(I53)),I55)</f>
        <v>0.44438706365708563</v>
      </c>
    </row>
    <row r="50" spans="7:34">
      <c r="G50" s="77" t="s">
        <v>1669</v>
      </c>
      <c r="H50" s="31"/>
      <c r="I50" s="31">
        <f>(I47-1)*(I48-(I49/(I47*I48)))</f>
        <v>41.607583280652065</v>
      </c>
      <c r="J50" s="31"/>
      <c r="K50" s="31"/>
      <c r="L50" s="31"/>
      <c r="M50" s="78"/>
      <c r="N50" s="77"/>
      <c r="O50" s="104" t="s">
        <v>1349</v>
      </c>
      <c r="P50" s="31"/>
      <c r="Q50" s="105">
        <f>ABS(Q48/Q49)</f>
        <v>0.21613136455353529</v>
      </c>
      <c r="AF50" s="79" t="s">
        <v>835</v>
      </c>
      <c r="AH50">
        <f>IF($D$6=1,100*(EXP(I53)-EXP(I53-I55)),I55)</f>
        <v>0.44438706365708563</v>
      </c>
    </row>
    <row r="51" spans="7:34">
      <c r="G51" s="77" t="s">
        <v>1685</v>
      </c>
      <c r="H51" s="31"/>
      <c r="I51" s="31">
        <f>IF(P42&gt;(I47-1),(P42-(I47-1))/I50,0)</f>
        <v>0.15499517846106603</v>
      </c>
      <c r="J51" s="31"/>
      <c r="K51" s="31"/>
      <c r="L51" s="31"/>
      <c r="M51" s="78"/>
      <c r="N51" s="77"/>
      <c r="O51" s="106" t="s">
        <v>1515</v>
      </c>
      <c r="P51" s="107"/>
      <c r="Q51" s="108">
        <f>TDIST(Q50,I47-2,2)</f>
        <v>0.84274720118684177</v>
      </c>
    </row>
    <row r="52" spans="7:34">
      <c r="G52" s="77"/>
      <c r="H52" s="31"/>
      <c r="I52" s="31"/>
      <c r="J52" s="31"/>
      <c r="K52" s="31"/>
      <c r="L52" s="31"/>
      <c r="M52" s="78"/>
      <c r="N52" s="77"/>
    </row>
    <row r="53" spans="7:34">
      <c r="G53" s="77" t="s">
        <v>1686</v>
      </c>
      <c r="H53" s="31"/>
      <c r="I53" s="31">
        <f>W39/V39</f>
        <v>-0.14066573329847765</v>
      </c>
      <c r="J53" s="31"/>
      <c r="N53" s="77"/>
    </row>
    <row r="54" spans="7:34">
      <c r="G54" s="77" t="s">
        <v>504</v>
      </c>
      <c r="H54" s="31"/>
      <c r="I54" s="31">
        <f>1/V39</f>
        <v>5.1405628474012574E-2</v>
      </c>
      <c r="J54" s="31"/>
      <c r="N54" s="77"/>
      <c r="O54" t="s">
        <v>805</v>
      </c>
      <c r="R54">
        <v>1.96</v>
      </c>
    </row>
    <row r="55" spans="7:34">
      <c r="G55" s="80" t="s">
        <v>506</v>
      </c>
      <c r="H55" s="31"/>
      <c r="I55" s="31">
        <f>$R$54*SQRT(I54)</f>
        <v>0.44438706365708563</v>
      </c>
      <c r="J55" s="31"/>
      <c r="K55" s="31" t="s">
        <v>507</v>
      </c>
      <c r="L55" s="31"/>
      <c r="M55" s="78">
        <f>ABS(I53/(SQRT(I54)))</f>
        <v>0.62041598375097107</v>
      </c>
      <c r="N55" s="77"/>
    </row>
    <row r="56" spans="7:34">
      <c r="G56" s="81" t="s">
        <v>509</v>
      </c>
      <c r="H56" s="82"/>
      <c r="I56" s="82">
        <v>-3</v>
      </c>
      <c r="J56" s="82"/>
      <c r="K56" s="31" t="s">
        <v>825</v>
      </c>
      <c r="L56" s="31"/>
      <c r="M56" s="78">
        <f>2*(1-NORMDIST(M55,0,1,1))</f>
        <v>0.53498395190224701</v>
      </c>
      <c r="N56" s="77"/>
    </row>
    <row r="57" spans="7:34">
      <c r="G57" s="74"/>
      <c r="H57" s="74"/>
      <c r="I57" s="74"/>
      <c r="J57" s="74"/>
      <c r="K57" s="74"/>
      <c r="L57" s="74"/>
      <c r="M57" s="74"/>
      <c r="N57" s="31"/>
      <c r="O57" s="7"/>
    </row>
  </sheetData>
  <phoneticPr fontId="10" type="noConversion"/>
  <conditionalFormatting sqref="D17 D13 F13">
    <cfRule type="cellIs" dxfId="112" priority="0" stopIfTrue="1" operator="lessThan">
      <formula>0.05</formula>
    </cfRule>
  </conditionalFormatting>
  <conditionalFormatting sqref="D21">
    <cfRule type="cellIs" dxfId="11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sheetPr published="0" codeName="Sheet99" enableFormatConditionsCalculation="0"/>
  <dimension ref="A1:BM6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398</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I57-O50</f>
        <v>6</v>
      </c>
      <c r="AD7" s="89"/>
    </row>
    <row r="8" spans="2:30">
      <c r="B8" t="s">
        <v>822</v>
      </c>
      <c r="D8">
        <f>SUM(H24:H31)</f>
        <v>164</v>
      </c>
      <c r="E8" t="s">
        <v>298</v>
      </c>
      <c r="F8">
        <f>Summary!C78</f>
        <v>0.8</v>
      </c>
      <c r="AD8" s="89"/>
    </row>
    <row r="9" spans="2:30">
      <c r="B9" t="s">
        <v>823</v>
      </c>
      <c r="D9">
        <f>SUM(I24:I31)</f>
        <v>152</v>
      </c>
      <c r="AD9" s="89"/>
    </row>
    <row r="11" spans="2:30">
      <c r="B11" s="27" t="s">
        <v>516</v>
      </c>
      <c r="C11" s="28"/>
      <c r="D11" s="109">
        <f>P52</f>
        <v>14.095244822348995</v>
      </c>
      <c r="E11" s="110" t="s">
        <v>1513</v>
      </c>
      <c r="F11" s="103"/>
    </row>
    <row r="12" spans="2:30">
      <c r="B12" s="30" t="s">
        <v>826</v>
      </c>
      <c r="C12" s="31"/>
      <c r="D12" s="112">
        <f>P54</f>
        <v>64.527043956894232</v>
      </c>
      <c r="E12" s="31"/>
      <c r="F12" s="105"/>
    </row>
    <row r="13" spans="2:30">
      <c r="B13" s="35" t="s">
        <v>825</v>
      </c>
      <c r="C13" s="36"/>
      <c r="D13" s="113">
        <f>P53</f>
        <v>1.5015594393548151E-2</v>
      </c>
      <c r="E13" s="111" t="s">
        <v>825</v>
      </c>
      <c r="F13" s="115">
        <f>Q61</f>
        <v>0.81758488987396338</v>
      </c>
    </row>
    <row r="15" spans="2:30">
      <c r="B15" s="39" t="s">
        <v>879</v>
      </c>
      <c r="C15" s="40"/>
      <c r="D15" s="41">
        <f>AH54</f>
        <v>-0.37612427779800456</v>
      </c>
      <c r="E15" s="116"/>
    </row>
    <row r="16" spans="2:30">
      <c r="B16" s="43" t="s">
        <v>1165</v>
      </c>
      <c r="C16" s="31"/>
      <c r="D16" s="33">
        <f>AH54-AH56</f>
        <v>-0.60757487084263562</v>
      </c>
      <c r="E16" s="117">
        <f>AH54+AH55</f>
        <v>-0.1446736847533735</v>
      </c>
    </row>
    <row r="17" spans="1:65">
      <c r="B17" s="45" t="s">
        <v>1166</v>
      </c>
      <c r="C17" s="46"/>
      <c r="D17" s="123">
        <f>M55</f>
        <v>1.4468174277129098E-3</v>
      </c>
      <c r="E17" s="118"/>
    </row>
    <row r="18" spans="1:65">
      <c r="D18" s="48"/>
      <c r="F18" s="49"/>
    </row>
    <row r="19" spans="1:65">
      <c r="B19" s="50" t="s">
        <v>1167</v>
      </c>
      <c r="C19" s="51"/>
      <c r="D19" s="52">
        <f>AH58</f>
        <v>-0.35990529487249584</v>
      </c>
      <c r="E19" s="120"/>
      <c r="F19" s="33"/>
      <c r="G19" s="31"/>
    </row>
    <row r="20" spans="1:65">
      <c r="B20" s="53" t="s">
        <v>1165</v>
      </c>
      <c r="C20" s="31"/>
      <c r="D20" s="33">
        <f>AH58-AH60</f>
        <v>-0.76016492556377258</v>
      </c>
      <c r="E20" s="121">
        <f>AH58+AH59</f>
        <v>4.0354335818780951E-2</v>
      </c>
      <c r="F20" s="31"/>
      <c r="G20" s="31"/>
    </row>
    <row r="21" spans="1:65">
      <c r="B21" s="54" t="s">
        <v>1440</v>
      </c>
      <c r="C21" s="55"/>
      <c r="D21" s="114">
        <f>M66</f>
        <v>7.8003086450849413E-2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10693154</v>
      </c>
      <c r="C24" s="1" t="str">
        <f>IF($B24="","",HYPERLINK(IF(LEN(VLOOKUP($B24,Database!$B$1:$IX$10144,2,FALSE))=0,"",VLOOKUP($B24,Database!$B$1:$IX$10144,2,FALSE))))</f>
        <v/>
      </c>
      <c r="D24" s="1" t="str">
        <f>IF($B24="","",HYPERLINK(CONCATENATE("http://www.ncbi.nlm.nih.gov/pubmed/",B24)))</f>
        <v>http://www.ncbi.nlm.nih.gov/pubmed/10693154</v>
      </c>
      <c r="E24" s="22" t="str">
        <f>IF($B24="","",IF(LEN(VLOOKUP($B24,Database!$B$1:$IX$10144,4,FALSE))=0,"",VLOOKUP($B24,Database!$B$1:$IX$10144,4,FALSE)))</f>
        <v>Kumar A (A)</v>
      </c>
      <c r="F24" s="22">
        <f>IF($B24="","",IF(LEN(VLOOKUP($B24,Database!$B$1:$IX$10144,5,FALSE))=0,"",VLOOKUP($B24,Database!$B$1:$IX$10144,5,FALSE)))</f>
        <v>2000</v>
      </c>
      <c r="G24" s="1" t="str">
        <f>IF($B24="","",HYPERLINK(IF(LEN(VLOOKUP($B24,Database!$B$1:$IX$10144,6,FALSE))=0,"",VLOOKUP($B24,Database!$B$1:$IX$10144,6,FALSE))))</f>
        <v>http://www.nature.com/npp/journal/v22/n3/pdf/1395448a.pdf</v>
      </c>
      <c r="H24" s="22">
        <f>IF($B24="","",IF(LEN(VLOOKUP($B24,Database!$B$1:$IX$10144,7,FALSE))=0,"",VLOOKUP($B24,Database!$B$1:$IX$10144,7,FALSE)))</f>
        <v>51</v>
      </c>
      <c r="I24" s="22">
        <f>IF($B24="","",IF(LEN(VLOOKUP($B24,Database!$B$1:$IX$10144,8,FALSE))=0,"",VLOOKUP($B24,Database!$B$1:$IX$10144,8,FALSE)))</f>
        <v>30</v>
      </c>
      <c r="J24" s="127" t="s">
        <v>1274</v>
      </c>
      <c r="T24">
        <v>176.55</v>
      </c>
      <c r="U24">
        <v>29.65</v>
      </c>
      <c r="V24">
        <v>202.5</v>
      </c>
      <c r="W24">
        <v>35.1</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6.56</v>
      </c>
      <c r="AD24" s="22">
        <f>IF(OR($B24="",AD$22=""),"",IF(LEN(VLOOKUP($B24,Database!$B$1:$IX$10144,AD$22,FALSE))=0,"",VLOOKUP($B24,Database!$B$1:$IX$10144,AD$22,FALSE)))</f>
        <v>69.430000000000007</v>
      </c>
      <c r="AE24" s="22">
        <f>IF(OR($B24="",AE$22=""),"",IF(LEN(VLOOKUP($B24,Database!$B$1:$IX$10144,AE$22,FALSE))=0,"",VLOOKUP($B24,Database!$B$1:$IX$10144,AE$22,FALSE)))</f>
        <v>6.09</v>
      </c>
      <c r="AF24" s="22">
        <f>IF(OR($B24="",AF$22=""),"",IF(LEN(VLOOKUP($B24,Database!$B$1:$IX$10144,AF$22,FALSE))=0,"",VLOOKUP($B24,Database!$B$1:$IX$10144,AF$22,FALSE)))</f>
        <v>36</v>
      </c>
      <c r="AG24" s="22">
        <f>IF(OR($B24="",AG$22=""),"",IF(LEN(VLOOKUP($B24,Database!$B$1:$IX$10144,AG$22,FALSE))=0,"",VLOOKUP($B24,Database!$B$1:$IX$10144,AG$22,FALSE)))</f>
        <v>23</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19.8</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Kumar A, Bilker W, Jin Z, Udupa J.</v>
      </c>
      <c r="AR24" s="13"/>
      <c r="AX24" s="13"/>
      <c r="AY24" s="13"/>
      <c r="AZ24" s="13"/>
      <c r="BA24" s="13"/>
      <c r="BC24" s="23"/>
      <c r="BF24" s="136"/>
      <c r="BG24" s="136"/>
      <c r="BH24" s="136"/>
      <c r="BI24" s="136"/>
    </row>
    <row r="25" spans="1:65">
      <c r="B25">
        <v>15231442</v>
      </c>
      <c r="C25" s="1" t="str">
        <f>IF($B25="","",HYPERLINK(IF(LEN(VLOOKUP($B25,Database!$B$1:$IX$10144,2,FALSE))=0,"",VLOOKUP($B25,Database!$B$1:$IX$10144,2,FALSE))))</f>
        <v/>
      </c>
      <c r="D25" s="1" t="str">
        <f>IF($B25="","",HYPERLINK(CONCATENATE("http://www.ncbi.nlm.nih.gov/pubmed/",B25)))</f>
        <v>http://www.ncbi.nlm.nih.gov/pubmed/15231442</v>
      </c>
      <c r="E25" s="22" t="str">
        <f>IF($B25="","",IF(LEN(VLOOKUP($B25,Database!$B$1:$IX$10144,4,FALSE))=0,"",VLOOKUP($B25,Database!$B$1:$IX$10144,4,FALSE)))</f>
        <v>Vythilingam M</v>
      </c>
      <c r="F25" s="22">
        <f>IF($B25="","",IF(LEN(VLOOKUP($B25,Database!$B$1:$IX$10144,5,FALSE))=0,"",VLOOKUP($B25,Database!$B$1:$IX$10144,5,FALSE)))</f>
        <v>2004</v>
      </c>
      <c r="G25" s="1" t="str">
        <f>IF($B25="","",HYPERLINK(IF(LEN(VLOOKUP($B25,Database!$B$1:$IX$10144,6,FALSE))=0,"",VLOOKUP($B25,Database!$B$1:$IX$10144,6,FALSE))))</f>
        <v>http://dx.doi.org/10.1016/j.biopsych.2004.04.002</v>
      </c>
      <c r="H25" s="22">
        <f>IF($B25="","",IF(LEN(VLOOKUP($B25,Database!$B$1:$IX$10144,7,FALSE))=0,"",VLOOKUP($B25,Database!$B$1:$IX$10144,7,FALSE)))</f>
        <v>38</v>
      </c>
      <c r="I25" s="22">
        <f>IF($B25="","",IF(LEN(VLOOKUP($B25,Database!$B$1:$IX$10144,8,FALSE))=0,"",VLOOKUP($B25,Database!$B$1:$IX$10144,8,FALSE)))</f>
        <v>33</v>
      </c>
      <c r="J25" t="s">
        <v>1472</v>
      </c>
      <c r="L25">
        <v>15396</v>
      </c>
      <c r="M25">
        <v>1586</v>
      </c>
      <c r="N25">
        <v>16660</v>
      </c>
      <c r="O25">
        <v>1935</v>
      </c>
      <c r="P25">
        <v>16269</v>
      </c>
      <c r="Q25">
        <v>1669</v>
      </c>
      <c r="R25">
        <v>17092</v>
      </c>
      <c r="S25">
        <v>2485</v>
      </c>
      <c r="T25">
        <v>15832</v>
      </c>
      <c r="U25">
        <v>1492</v>
      </c>
      <c r="V25">
        <v>16876</v>
      </c>
      <c r="W25">
        <v>2031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41</v>
      </c>
      <c r="AC25" s="22">
        <f>IF(OR($B25="",AC$22=""),"",IF(LEN(VLOOKUP($B25,Database!$B$1:$IX$10144,AC$22,FALSE))=0,"",VLOOKUP($B25,Database!$B$1:$IX$10144,AC$22,FALSE)))</f>
        <v>11</v>
      </c>
      <c r="AD25" s="22">
        <f>IF(OR($B25="",AD$22=""),"",IF(LEN(VLOOKUP($B25,Database!$B$1:$IX$10144,AD$22,FALSE))=0,"",VLOOKUP($B25,Database!$B$1:$IX$10144,AD$22,FALSE)))</f>
        <v>34</v>
      </c>
      <c r="AE25" s="22">
        <f>IF(OR($B25="",AE$22=""),"",IF(LEN(VLOOKUP($B25,Database!$B$1:$IX$10144,AE$22,FALSE))=0,"",VLOOKUP($B25,Database!$B$1:$IX$10144,AE$22,FALSE)))</f>
        <v>10</v>
      </c>
      <c r="AF25" s="22">
        <f>IF(OR($B25="",AF$22=""),"",IF(LEN(VLOOKUP($B25,Database!$B$1:$IX$10144,AF$22,FALSE))=0,"",VLOOKUP($B25,Database!$B$1:$IX$10144,AF$22,FALSE)))</f>
        <v>23</v>
      </c>
      <c r="AG25" s="22">
        <f>IF(OR($B25="",AG$22=""),"",IF(LEN(VLOOKUP($B25,Database!$B$1:$IX$10144,AG$22,FALSE))=0,"",VLOOKUP($B25,Database!$B$1:$IX$10144,AG$22,FALSE)))</f>
        <v>21</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39.473684210526315</v>
      </c>
      <c r="AQ25" s="22" t="str">
        <f>IF(OR($B25="",AQ$22=""),"",IF(LEN(VLOOKUP($B25,Database!$B$1:$IX$10144,AQ$22,FALSE))=0,"",VLOOKUP($B25,Database!$B$1:$IX$10144,AQ$22,FALSE)))</f>
        <v>Vythilingam M, Vermetten E, Anderson GM, Luckenbaugh D, Anderson ER, Snow J, Staib LH, Charney DS, Bremner JD.</v>
      </c>
      <c r="AR25" s="13"/>
      <c r="AX25" s="13"/>
      <c r="AY25" s="13"/>
      <c r="AZ25" s="13"/>
      <c r="BA25" s="13"/>
      <c r="BC25" s="23"/>
      <c r="BF25" s="136"/>
      <c r="BG25" s="136"/>
      <c r="BH25" s="136"/>
      <c r="BI25" s="136"/>
    </row>
    <row r="26" spans="1:65">
      <c r="C26" s="1" t="str">
        <f>IF($B26="","",HYPERLINK(IF(LEN(VLOOKUP($B26,Database!$B$1:$IX$10144,2,FALSE))=0,"",VLOOKUP($B26,Database!$B$1:$IX$10144,2,FALSE))))</f>
        <v/>
      </c>
      <c r="D26" s="1" t="str">
        <f>IF($B26="","",HYPERLINK(CONCATENATE("http://www.ncbi.nlm.nih.gov/pubmed/",B26)))</f>
        <v/>
      </c>
      <c r="E26" s="22" t="str">
        <f>IF($B26="","",IF(LEN(VLOOKUP($B26,Database!$B$1:$IX$10144,4,FALSE))=0,"",VLOOKUP($B26,Database!$B$1:$IX$10144,4,FALSE)))</f>
        <v/>
      </c>
      <c r="F26" s="22" t="str">
        <f>IF($B26="","",IF(LEN(VLOOKUP($B26,Database!$B$1:$IX$10144,5,FALSE))=0,"",VLOOKUP($B26,Database!$B$1:$IX$10144,5,FALSE)))</f>
        <v/>
      </c>
      <c r="G26" s="1" t="str">
        <f>IF($B26="","",HYPERLINK(IF(LEN(VLOOKUP($B26,Database!$B$1:$IX$10144,6,FALSE))=0,"",VLOOKUP($B26,Database!$B$1:$IX$10144,6,FALSE))))</f>
        <v/>
      </c>
      <c r="H26" s="22" t="str">
        <f>IF($B26="","",IF(LEN(VLOOKUP($B26,Database!$B$1:$IX$10144,7,FALSE))=0,"",VLOOKUP($B26,Database!$B$1:$IX$10144,7,FALSE)))</f>
        <v/>
      </c>
      <c r="I26" s="22" t="str">
        <f>IF($B26="","",IF(LEN(VLOOKUP($B26,Database!$B$1:$IX$10144,8,FALSE))=0,"",VLOOKUP($B26,Database!$B$1:$IX$10144,8,FALSE)))</f>
        <v/>
      </c>
      <c r="Y26" s="22" t="str">
        <f>IF(OR($B26="",Y$22=""),"",IF(LEN(VLOOKUP($B26,Database!$B$1:$IX$10144,Y$22,FALSE))=0,"",VLOOKUP($B26,Database!$B$1:$IX$10144,Y$22,FALSE)))</f>
        <v/>
      </c>
      <c r="Z26" s="22" t="str">
        <f>IF(OR($B26="",Z$22=""),"",IF(LEN(VLOOKUP($B26,Database!$B$1:$IX$10144,Z$22,FALSE))=0,"",VLOOKUP($B26,Database!$B$1:$IX$10144,Z$22,FALSE)))</f>
        <v/>
      </c>
      <c r="AA26" s="22" t="str">
        <f>IF(OR($B26="",AA$22=""),"",IF(LEN(VLOOKUP($B26,Database!$B$1:$IX$10144,AA$22,FALSE))=0,"",VLOOKUP($B26,Database!$B$1:$IX$10144,AA$22,FALSE)))</f>
        <v/>
      </c>
      <c r="AB26" s="22" t="str">
        <f>IF(OR($B26="",AB$22=""),"",IF(LEN(VLOOKUP($B26,Database!$B$1:$IX$10144,AB$22,FALSE))=0,"",VLOOKUP($B26,Database!$B$1:$IX$10144,AB$22,FALSE)))</f>
        <v/>
      </c>
      <c r="AC26" s="22" t="str">
        <f>IF(OR($B26="",AC$22=""),"",IF(LEN(VLOOKUP($B26,Database!$B$1:$IX$10144,AC$22,FALSE))=0,"",VLOOKUP($B26,Database!$B$1:$IX$10144,AC$22,FALSE)))</f>
        <v/>
      </c>
      <c r="AD26" s="22" t="str">
        <f>IF(OR($B26="",AD$22=""),"",IF(LEN(VLOOKUP($B26,Database!$B$1:$IX$10144,AD$22,FALSE))=0,"",VLOOKUP($B26,Database!$B$1:$IX$10144,AD$22,FALSE)))</f>
        <v/>
      </c>
      <c r="AE26" s="22" t="str">
        <f>IF(OR($B26="",AE$22=""),"",IF(LEN(VLOOKUP($B26,Database!$B$1:$IX$10144,AE$22,FALSE))=0,"",VLOOKUP($B26,Database!$B$1:$IX$10144,AE$22,FALSE)))</f>
        <v/>
      </c>
      <c r="AF26" s="22" t="str">
        <f>IF(OR($B26="",AF$22=""),"",IF(LEN(VLOOKUP($B26,Database!$B$1:$IX$10144,AF$22,FALSE))=0,"",VLOOKUP($B26,Database!$B$1:$IX$10144,AF$22,FALSE)))</f>
        <v/>
      </c>
      <c r="AG26" s="22" t="str">
        <f>IF(OR($B26="",AG$22=""),"",IF(LEN(VLOOKUP($B26,Database!$B$1:$IX$10144,AG$22,FALSE))=0,"",VLOOKUP($B26,Database!$B$1:$IX$10144,AG$22,FALSE)))</f>
        <v/>
      </c>
      <c r="AH26" s="22" t="str">
        <f>IF(OR($B26="",AH$22=""),"",IF(LEN(VLOOKUP($B26,Database!$B$1:$IX$10144,AH$22,FALSE))=0,"",VLOOKUP($B26,Database!$B$1:$IX$10144,AH$22,FALSE)))</f>
        <v/>
      </c>
      <c r="AI26" s="22" t="str">
        <f>IF(OR($B26="",AI$22=""),"",IF(LEN(VLOOKUP($B26,Database!$B$1:$IX$10144,AI$22,FALSE))=0,"",VLOOKUP($B26,Database!$B$1:$IX$10144,AI$22,FALSE)))</f>
        <v/>
      </c>
      <c r="AJ26" s="22" t="str">
        <f>IF(OR($B26="",AJ$22=""),"",IF(LEN(VLOOKUP($B26,Database!$B$1:$IX$10144,AJ$22,FALSE))=0,"",VLOOKUP($B26,Database!$B$1:$IX$10144,AJ$22,FALSE)))</f>
        <v/>
      </c>
      <c r="AK26" s="22" t="str">
        <f>IF(OR($B26="",AK$22=""),"",IF(LEN(VLOOKUP($B26,Database!$B$1:$IX$10144,AK$22,FALSE))=0,"",VLOOKUP($B26,Database!$B$1:$IX$10144,AK$22,FALSE)))</f>
        <v/>
      </c>
      <c r="AL26" s="22" t="str">
        <f>IF(OR($B26="",AL$22=""),"",IF(LEN(VLOOKUP($B26,Database!$B$1:$IX$10144,AL$22,FALSE))=0,"",VLOOKUP($B26,Database!$B$1:$IX$10144,AL$22,FALSE)))</f>
        <v/>
      </c>
      <c r="AM26" s="22" t="str">
        <f>IF(OR($B26="",AM$22=""),"",IF(LEN(VLOOKUP($B26,Database!$B$1:$IX$10144,AM$22,FALSE))=0,"",VLOOKUP($B26,Database!$B$1:$IX$10144,AM$22,FALSE)))</f>
        <v/>
      </c>
      <c r="AN26" s="22" t="str">
        <f>IF(OR($B26="",AN$22=""),"",IF(LEN(VLOOKUP($B26,Database!$B$1:$IX$10144,AN$22,FALSE))=0,"",VLOOKUP($B26,Database!$B$1:$IX$10144,AN$22,FALSE)))</f>
        <v/>
      </c>
      <c r="AO26" s="22" t="str">
        <f>IF(OR($B26="",AO$22=""),"",IF(LEN(VLOOKUP($B26,Database!$B$1:$IX$10144,AO$22,FALSE))=0,"",VLOOKUP($B26,Database!$B$1:$IX$10144,AO$22,FALSE)))</f>
        <v/>
      </c>
      <c r="AP26" s="22" t="str">
        <f>IF(OR($B26="",AP$22=""),"",IF(LEN(VLOOKUP($B26,Database!$B$1:$IX$10144,AP$22,FALSE))=0,"",VLOOKUP($B26,Database!$B$1:$IX$10144,AP$22,FALSE)))</f>
        <v/>
      </c>
      <c r="AQ26" s="22" t="str">
        <f>IF(OR($B26="",AQ$22=""),"",IF(LEN(VLOOKUP($B26,Database!$B$1:$IX$10144,AQ$22,FALSE))=0,"",VLOOKUP($B26,Database!$B$1:$IX$10144,AQ$22,FALSE)))</f>
        <v/>
      </c>
      <c r="AR26" s="13"/>
      <c r="AX26" s="13"/>
      <c r="AY26" s="13"/>
      <c r="AZ26" s="13"/>
      <c r="BA26" s="13"/>
      <c r="BC26" s="23"/>
      <c r="BF26" s="136"/>
      <c r="BG26" s="136"/>
      <c r="BH26" s="136"/>
      <c r="BI26" s="136"/>
    </row>
    <row r="27" spans="1:65">
      <c r="A27" s="4" t="s">
        <v>397</v>
      </c>
      <c r="C27" s="1"/>
      <c r="D27" s="1"/>
      <c r="E27" s="22"/>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c r="AR27" s="13"/>
      <c r="AX27" s="13"/>
      <c r="AY27" s="13"/>
      <c r="AZ27" s="13"/>
      <c r="BA27" s="13"/>
      <c r="BC27" s="23"/>
      <c r="BF27" s="136"/>
      <c r="BG27" s="136"/>
      <c r="BH27" s="136"/>
      <c r="BI27" s="136"/>
    </row>
    <row r="28" spans="1:65">
      <c r="A28" s="10"/>
      <c r="B28">
        <v>9089060</v>
      </c>
      <c r="C28" s="1" t="str">
        <f>IF($B28="","",HYPERLINK(IF(LEN(VLOOKUP($B28,Database!$B$1:$IX$10144,2,FALSE))=0,"",VLOOKUP($B28,Database!$B$1:$IX$10144,2,FALSE))))</f>
        <v/>
      </c>
      <c r="D28" s="1" t="str">
        <f>IF($B28="","",HYPERLINK(CONCATENATE("http://www.ncbi.nlm.nih.gov/pubmed/",B28)))</f>
        <v>http://www.ncbi.nlm.nih.gov/pubmed/9089060</v>
      </c>
      <c r="E28" s="22" t="str">
        <f>IF($B28="","",IF(LEN(VLOOKUP($B28,Database!$B$1:$IX$10144,4,FALSE))=0,"",VLOOKUP($B28,Database!$B$1:$IX$10144,4,FALSE)))</f>
        <v>Pantel J</v>
      </c>
      <c r="F28" s="22">
        <f>IF($B28="","",IF(LEN(VLOOKUP($B28,Database!$B$1:$IX$10144,5,FALSE))=0,"",VLOOKUP($B28,Database!$B$1:$IX$10144,5,FALSE)))</f>
        <v>1997</v>
      </c>
      <c r="G28" s="1" t="str">
        <f>IF($B28="","",HYPERLINK(IF(LEN(VLOOKUP($B28,Database!$B$1:$IX$10144,6,FALSE))=0,"",VLOOKUP($B28,Database!$B$1:$IX$10144,6,FALSE))))</f>
        <v>http://dx.doi.org/10.1016/S0165-0327(96)00105-X</v>
      </c>
      <c r="H28" s="22">
        <f>IF($B28="","",IF(LEN(VLOOKUP($B28,Database!$B$1:$IX$10144,7,FALSE))=0,"",VLOOKUP($B28,Database!$B$1:$IX$10144,7,FALSE)))</f>
        <v>19</v>
      </c>
      <c r="I28" s="22">
        <f>IF($B28="","",IF(LEN(VLOOKUP($B28,Database!$B$1:$IX$10144,8,FALSE))=0,"",VLOOKUP($B28,Database!$B$1:$IX$10144,8,FALSE)))</f>
        <v>13</v>
      </c>
      <c r="J28" t="s">
        <v>204</v>
      </c>
      <c r="L28">
        <v>46.54</v>
      </c>
      <c r="M28">
        <v>7.03</v>
      </c>
      <c r="N28">
        <v>47.39</v>
      </c>
      <c r="O28">
        <v>6.9</v>
      </c>
      <c r="P28">
        <v>46.55</v>
      </c>
      <c r="Q28">
        <v>6.3</v>
      </c>
      <c r="R28">
        <v>43.37</v>
      </c>
      <c r="S28">
        <v>4.4000000000000004</v>
      </c>
      <c r="T28">
        <f>L28+P28</f>
        <v>93.09</v>
      </c>
      <c r="U28">
        <f>2*SQRT(0.25*(M28^2+Q28^2+2*$F$8*M28*Q28))</f>
        <v>12.648055186470369</v>
      </c>
      <c r="V28">
        <f>N28+R28</f>
        <v>90.759999999999991</v>
      </c>
      <c r="W28">
        <f>2*SQRT(0.25*(O28^2+S28^2+2*$F$8*O28*S28))</f>
        <v>10.749232530743766</v>
      </c>
      <c r="Y28" s="22" t="str">
        <f>IF(OR($B28="",Y$22=""),"",IF(LEN(VLOOKUP($B28,Database!$B$1:$IX$10144,Y$22,FALSE))=0,"",VLOOKUP($B28,Database!$B$1:$IX$10144,Y$22,FALSE)))</f>
        <v>DSM-III-R</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72.400000000000006</v>
      </c>
      <c r="AC28" s="22">
        <f>IF(OR($B28="",AC$22=""),"",IF(LEN(VLOOKUP($B28,Database!$B$1:$IX$10144,AC$22,FALSE))=0,"",VLOOKUP($B28,Database!$B$1:$IX$10144,AC$22,FALSE)))</f>
        <v>8.8000000000000007</v>
      </c>
      <c r="AD28" s="22">
        <f>IF(OR($B28="",AD$22=""),"",IF(LEN(VLOOKUP($B28,Database!$B$1:$IX$10144,AD$22,FALSE))=0,"",VLOOKUP($B28,Database!$B$1:$IX$10144,AD$22,FALSE)))</f>
        <v>68.2</v>
      </c>
      <c r="AE28" s="22">
        <f>IF(OR($B28="",AE$22=""),"",IF(LEN(VLOOKUP($B28,Database!$B$1:$IX$10144,AE$22,FALSE))=0,"",VLOOKUP($B28,Database!$B$1:$IX$10144,AE$22,FALSE)))</f>
        <v>5.3</v>
      </c>
      <c r="AF28" s="22">
        <f>IF(OR($B28="",AF$22=""),"",IF(LEN(VLOOKUP($B28,Database!$B$1:$IX$10144,AF$22,FALSE))=0,"",VLOOKUP($B28,Database!$B$1:$IX$10144,AF$22,FALSE)))</f>
        <v>15</v>
      </c>
      <c r="AG28" s="22">
        <f>IF(OR($B28="",AG$22=""),"",IF(LEN(VLOOKUP($B28,Database!$B$1:$IX$10144,AG$22,FALSE))=0,"",VLOOKUP($B28,Database!$B$1:$IX$10144,AG$22,FALSE)))</f>
        <v>10</v>
      </c>
      <c r="AH28" s="22">
        <f>IF(OR($B28="",AH$22=""),"",IF(LEN(VLOOKUP($B28,Database!$B$1:$IX$10144,AH$22,FALSE))=0,"",VLOOKUP($B28,Database!$B$1:$IX$10144,AH$22,FALSE)))</f>
        <v>1.5</v>
      </c>
      <c r="AI28" s="22">
        <f>IF(OR($B28="",AI$22=""),"",IF(LEN(VLOOKUP($B28,Database!$B$1:$IX$10144,AI$22,FALSE))=0,"",VLOOKUP($B28,Database!$B$1:$IX$10144,AI$22,FALSE)))</f>
        <v>1.25</v>
      </c>
      <c r="AJ28" s="22" t="str">
        <f>IF(OR($B28="",AJ$22=""),"",IF(LEN(VLOOKUP($B28,Database!$B$1:$IX$10144,AJ$22,FALSE))=0,"",VLOOKUP($B28,Database!$B$1:$IX$10144,AJ$22,FALSE)))</f>
        <v/>
      </c>
      <c r="AK28" s="22">
        <f>IF(OR($B28="",AK$22=""),"",IF(LEN(VLOOKUP($B28,Database!$B$1:$IX$10144,AK$22,FALSE))=0,"",VLOOKUP($B28,Database!$B$1:$IX$10144,AK$22,FALSE)))</f>
        <v>64.2</v>
      </c>
      <c r="AL28" s="22">
        <f>IF(OR($B28="",AL$22=""),"",IF(LEN(VLOOKUP($B28,Database!$B$1:$IX$10144,AL$22,FALSE))=0,"",VLOOKUP($B28,Database!$B$1:$IX$10144,AL$22,FALSE)))</f>
        <v>26.7</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Pantel J, Schroder J, Essig M, Popp D, Dech H, Knopp MV, Schad LR, Eysenbach K, Backenstrass M, Friedlinger M.</v>
      </c>
      <c r="AR28" s="13"/>
      <c r="AX28" s="13"/>
      <c r="AY28" s="13"/>
      <c r="AZ28" s="13"/>
      <c r="BA28" s="13"/>
      <c r="BC28" s="23"/>
      <c r="BF28" s="136"/>
      <c r="BG28" s="136"/>
      <c r="BH28" s="136"/>
      <c r="BI28" s="136"/>
    </row>
    <row r="29" spans="1:65">
      <c r="B29">
        <v>10618023</v>
      </c>
      <c r="C29" s="1" t="str">
        <f>IF($B29="","",HYPERLINK(IF(LEN(VLOOKUP($B29,Database!$B$1:$IX$10144,2,FALSE))=0,"",VLOOKUP($B29,Database!$B$1:$IX$10144,2,FALSE))))</f>
        <v/>
      </c>
      <c r="D29" s="1" t="str">
        <f>IF($B29="","",HYPERLINK(CONCATENATE("http://www.ncbi.nlm.nih.gov/pubmed/",B29)))</f>
        <v>http://www.ncbi.nlm.nih.gov/pubmed/10618023</v>
      </c>
      <c r="E29" s="22" t="str">
        <f>IF($B29="","",IF(LEN(VLOOKUP($B29,Database!$B$1:$IX$10144,4,FALSE))=0,"",VLOOKUP($B29,Database!$B$1:$IX$10144,4,FALSE)))</f>
        <v>Bremner JD</v>
      </c>
      <c r="F29" s="22">
        <f>IF($B29="","",IF(LEN(VLOOKUP($B29,Database!$B$1:$IX$10144,5,FALSE))=0,"",VLOOKUP($B29,Database!$B$1:$IX$10144,5,FALSE)))</f>
        <v>2000</v>
      </c>
      <c r="G29" s="1" t="str">
        <f>IF($B29="","",HYPERLINK(IF(LEN(VLOOKUP($B29,Database!$B$1:$IX$10144,6,FALSE))=0,"",VLOOKUP($B29,Database!$B$1:$IX$10144,6,FALSE))))</f>
        <v>http://ajp.psychiatryonline.org/cgi/reprint/157/1/115</v>
      </c>
      <c r="H29" s="22">
        <f>IF($B29="","",IF(LEN(VLOOKUP($B29,Database!$B$1:$IX$10144,7,FALSE))=0,"",VLOOKUP($B29,Database!$B$1:$IX$10144,7,FALSE)))</f>
        <v>16</v>
      </c>
      <c r="I29" s="22">
        <f>IF($B29="","",IF(LEN(VLOOKUP($B29,Database!$B$1:$IX$10144,8,FALSE))=0,"",VLOOKUP($B29,Database!$B$1:$IX$10144,8,FALSE)))</f>
        <v>16</v>
      </c>
      <c r="J29" t="s">
        <v>1275</v>
      </c>
      <c r="K29" t="s">
        <v>1276</v>
      </c>
      <c r="L29">
        <v>17931</v>
      </c>
      <c r="M29">
        <v>4170</v>
      </c>
      <c r="N29">
        <v>18227</v>
      </c>
      <c r="O29">
        <v>1791</v>
      </c>
      <c r="P29">
        <v>18207</v>
      </c>
      <c r="Q29">
        <v>4260</v>
      </c>
      <c r="R29">
        <v>19475</v>
      </c>
      <c r="S29">
        <v>2707</v>
      </c>
      <c r="T29">
        <f>L29+P29</f>
        <v>36138</v>
      </c>
      <c r="U29">
        <f>2*SQRT(0.25*(M29^2+Q29^2+2*$F$8*M29*Q29))</f>
        <v>7997.4508438626872</v>
      </c>
      <c r="V29">
        <f>N29+R29</f>
        <v>37702</v>
      </c>
      <c r="W29">
        <f>2*SQRT(0.25*(O29^2+S29^2+2*$F$8*O29*S29))</f>
        <v>4276.9976852928039</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43</v>
      </c>
      <c r="AC29" s="22">
        <f>IF(OR($B29="",AC$22=""),"",IF(LEN(VLOOKUP($B29,Database!$B$1:$IX$10144,AC$22,FALSE))=0,"",VLOOKUP($B29,Database!$B$1:$IX$10144,AC$22,FALSE)))</f>
        <v>8</v>
      </c>
      <c r="AD29" s="22">
        <f>IF(OR($B29="",AD$22=""),"",IF(LEN(VLOOKUP($B29,Database!$B$1:$IX$10144,AD$22,FALSE))=0,"",VLOOKUP($B29,Database!$B$1:$IX$10144,AD$22,FALSE)))</f>
        <v>45</v>
      </c>
      <c r="AE29" s="22">
        <f>IF(OR($B29="",AE$22=""),"",IF(LEN(VLOOKUP($B29,Database!$B$1:$IX$10144,AE$22,FALSE))=0,"",VLOOKUP($B29,Database!$B$1:$IX$10144,AE$22,FALSE)))</f>
        <v>10</v>
      </c>
      <c r="AF29" s="22">
        <f>IF(OR($B29="",AF$22=""),"",IF(LEN(VLOOKUP($B29,Database!$B$1:$IX$10144,AF$22,FALSE))=0,"",VLOOKUP($B29,Database!$B$1:$IX$10144,AF$22,FALSE)))</f>
        <v>6</v>
      </c>
      <c r="AG29" s="22">
        <f>IF(OR($B29="",AG$22=""),"",IF(LEN(VLOOKUP($B29,Database!$B$1:$IX$10144,AG$22,FALSE))=0,"",VLOOKUP($B29,Database!$B$1:$IX$10144,AG$22,FALSE)))</f>
        <v>6</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100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0</v>
      </c>
      <c r="AQ29" s="22" t="str">
        <f>IF(OR($B29="",AQ$22=""),"",IF(LEN(VLOOKUP($B29,Database!$B$1:$IX$10144,AQ$22,FALSE))=0,"",VLOOKUP($B29,Database!$B$1:$IX$10144,AQ$22,FALSE)))</f>
        <v>Bremner JD, Narayan M, Anderson ER, Staib LH, Miller HL, Charney DS.</v>
      </c>
      <c r="AR29" s="13"/>
      <c r="AX29" s="13"/>
      <c r="AY29" s="13"/>
      <c r="AZ29" s="13"/>
      <c r="BA29" s="13"/>
      <c r="BC29" s="23"/>
      <c r="BF29" s="136"/>
      <c r="BG29" s="136"/>
      <c r="BH29" s="136"/>
      <c r="BI29" s="136"/>
    </row>
    <row r="30" spans="1:65">
      <c r="B30">
        <v>11200955</v>
      </c>
      <c r="C30" s="1" t="str">
        <f>IF($B30="","",HYPERLINK(IF(LEN(VLOOKUP($B30,Database!$B$1:$IX$10144,2,FALSE))=0,"",VLOOKUP($B30,Database!$B$1:$IX$10144,2,FALSE))))</f>
        <v/>
      </c>
      <c r="D30" s="1" t="str">
        <f>IF($B30="","",HYPERLINK(CONCATENATE("http://www.ncbi.nlm.nih.gov/pubmed/",B30)))</f>
        <v>http://www.ncbi.nlm.nih.gov/pubmed/11200955</v>
      </c>
      <c r="E30" s="22" t="str">
        <f>IF($B30="","",IF(LEN(VLOOKUP($B30,Database!$B$1:$IX$10144,4,FALSE))=0,"",VLOOKUP($B30,Database!$B$1:$IX$10144,4,FALSE)))</f>
        <v>McIntosh AM</v>
      </c>
      <c r="F30" s="22">
        <f>IF($B30="","",IF(LEN(VLOOKUP($B30,Database!$B$1:$IX$10144,5,FALSE))=0,"",VLOOKUP($B30,Database!$B$1:$IX$10144,5,FALSE)))</f>
        <v>2001</v>
      </c>
      <c r="G30" s="1" t="str">
        <f>IF($B30="","",HYPERLINK(IF(LEN(VLOOKUP($B30,Database!$B$1:$IX$10144,6,FALSE))=0,"",VLOOKUP($B30,Database!$B$1:$IX$10144,6,FALSE))))</f>
        <v>http://dx.doi.org/10.1017/S0033291799003177</v>
      </c>
      <c r="H30" s="22">
        <f>IF($B30="","",IF(LEN(VLOOKUP($B30,Database!$B$1:$IX$10144,7,FALSE))=0,"",VLOOKUP($B30,Database!$B$1:$IX$10144,7,FALSE)))</f>
        <v>9</v>
      </c>
      <c r="I30" s="22">
        <f>IF($B30="","",IF(LEN(VLOOKUP($B30,Database!$B$1:$IX$10144,8,FALSE))=0,"",VLOOKUP($B30,Database!$B$1:$IX$10144,8,FALSE)))</f>
        <v>29</v>
      </c>
      <c r="J30" t="s">
        <v>1275</v>
      </c>
      <c r="L30">
        <v>73375</v>
      </c>
      <c r="M30">
        <v>5499</v>
      </c>
      <c r="N30">
        <v>79352</v>
      </c>
      <c r="O30">
        <v>6478</v>
      </c>
      <c r="P30">
        <v>76679</v>
      </c>
      <c r="Q30">
        <v>4996</v>
      </c>
      <c r="R30">
        <v>82580</v>
      </c>
      <c r="S30">
        <v>7297</v>
      </c>
      <c r="T30">
        <f>L30+P30</f>
        <v>150054</v>
      </c>
      <c r="U30">
        <f>2*SQRT(0.25*(M30^2+Q30^2+2*$F$8*M30*Q30))</f>
        <v>9957.7017127447634</v>
      </c>
      <c r="V30">
        <f>N30+R30</f>
        <v>161932</v>
      </c>
      <c r="W30">
        <f>2*SQRT(0.25*(O30^2+S30^2+2*$F$8*O30*S30))</f>
        <v>13070.6785822313</v>
      </c>
      <c r="Y30" s="22" t="str">
        <f>IF(OR($B30="",Y$22=""),"",IF(LEN(VLOOKUP($B30,Database!$B$1:$IX$10144,Y$22,FALSE))=0,"",VLOOKUP($B30,Database!$B$1:$IX$10144,Y$22,FALSE)))</f>
        <v>DSM-III-R</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43.56</v>
      </c>
      <c r="AC30" s="22">
        <f>IF(OR($B30="",AC$22=""),"",IF(LEN(VLOOKUP($B30,Database!$B$1:$IX$10144,AC$22,FALSE))=0,"",VLOOKUP($B30,Database!$B$1:$IX$10144,AC$22,FALSE)))</f>
        <v>9.3800000000000008</v>
      </c>
      <c r="AD30" s="22">
        <f>IF(OR($B30="",AD$22=""),"",IF(LEN(VLOOKUP($B30,Database!$B$1:$IX$10144,AD$22,FALSE))=0,"",VLOOKUP($B30,Database!$B$1:$IX$10144,AD$22,FALSE)))</f>
        <v>42.76</v>
      </c>
      <c r="AE30" s="22">
        <f>IF(OR($B30="",AE$22=""),"",IF(LEN(VLOOKUP($B30,Database!$B$1:$IX$10144,AE$22,FALSE))=0,"",VLOOKUP($B30,Database!$B$1:$IX$10144,AE$22,FALSE)))</f>
        <v>9.91</v>
      </c>
      <c r="AF30" s="22">
        <f>IF(OR($B30="",AF$22=""),"",IF(LEN(VLOOKUP($B30,Database!$B$1:$IX$10144,AF$22,FALSE))=0,"",VLOOKUP($B30,Database!$B$1:$IX$10144,AF$22,FALSE)))</f>
        <v>5</v>
      </c>
      <c r="AG30" s="22">
        <f>IF(OR($B30="",AG$22=""),"",IF(LEN(VLOOKUP($B30,Database!$B$1:$IX$10144,AG$22,FALSE))=0,"",VLOOKUP($B30,Database!$B$1:$IX$10144,AG$22,FALSE)))</f>
        <v>16</v>
      </c>
      <c r="AH30" s="22">
        <f>IF(OR($B30="",AH$22=""),"",IF(LEN(VLOOKUP($B30,Database!$B$1:$IX$10144,AH$22,FALSE))=0,"",VLOOKUP($B30,Database!$B$1:$IX$10144,AH$22,FALSE)))</f>
        <v>1</v>
      </c>
      <c r="AI30" s="22">
        <f>IF(OR($B30="",AI$22=""),"",IF(LEN(VLOOKUP($B30,Database!$B$1:$IX$10144,AI$22,FALSE))=0,"",VLOOKUP($B30,Database!$B$1:$IX$10144,AI$22,FALSE)))</f>
        <v>1.88</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A. M. McINTOSH, A. FORRESTER, S.M. LAWRIE, M. BYRNE, A. HARPER, J. N. KESTELMAN, J. J. K. BEST, P. MILLER, E. C. JOHNSTONE and D. G. C. OWENS</v>
      </c>
      <c r="AR30" s="13"/>
      <c r="AX30" s="13"/>
      <c r="AY30" s="13"/>
      <c r="AZ30" s="13"/>
      <c r="BA30" s="13"/>
      <c r="BC30" s="23"/>
      <c r="BF30" s="136"/>
      <c r="BG30" s="136"/>
      <c r="BH30" s="136"/>
      <c r="BI30" s="136"/>
    </row>
    <row r="31" spans="1:65">
      <c r="B31">
        <v>15598548</v>
      </c>
      <c r="C31" s="1" t="str">
        <f>IF($B31="","",HYPERLINK(IF(LEN(VLOOKUP($B31,Database!$B$1:$IX$10144,2,FALSE))=0,"",VLOOKUP($B31,Database!$B$1:$IX$10144,2,FALSE))))</f>
        <v/>
      </c>
      <c r="D31" s="1" t="str">
        <f>IF($B31="","",HYPERLINK(CONCATENATE("http://www.ncbi.nlm.nih.gov/pubmed/",B31)))</f>
        <v>http://www.ncbi.nlm.nih.gov/pubmed/15598548</v>
      </c>
      <c r="E31" s="22" t="str">
        <f>IF($B31="","",IF(LEN(VLOOKUP($B31,Database!$B$1:$IX$10144,4,FALSE))=0,"",VLOOKUP($B31,Database!$B$1:$IX$10144,4,FALSE)))</f>
        <v>Caetano SC</v>
      </c>
      <c r="F31" s="22">
        <f>IF($B31="","",IF(LEN(VLOOKUP($B31,Database!$B$1:$IX$10144,5,FALSE))=0,"",VLOOKUP($B31,Database!$B$1:$IX$10144,5,FALSE)))</f>
        <v>2004</v>
      </c>
      <c r="G31" s="1" t="str">
        <f>IF($B31="","",HYPERLINK(IF(LEN(VLOOKUP($B31,Database!$B$1:$IX$10144,6,FALSE))=0,"",VLOOKUP($B31,Database!$B$1:$IX$10144,6,FALSE))))</f>
        <v>http://dx.doi.org/10.1016/j.pscychresns.2004.08.002</v>
      </c>
      <c r="H31" s="22">
        <f>IF($B31="","",IF(LEN(VLOOKUP($B31,Database!$B$1:$IX$10144,7,FALSE))=0,"",VLOOKUP($B31,Database!$B$1:$IX$10144,7,FALSE)))</f>
        <v>31</v>
      </c>
      <c r="I31" s="22">
        <f>IF($B31="","",IF(LEN(VLOOKUP($B31,Database!$B$1:$IX$10144,8,FALSE))=0,"",VLOOKUP($B31,Database!$B$1:$IX$10144,8,FALSE)))</f>
        <v>31</v>
      </c>
      <c r="J31" t="s">
        <v>1471</v>
      </c>
      <c r="L31">
        <v>71.39</v>
      </c>
      <c r="M31">
        <v>8.2899999999999991</v>
      </c>
      <c r="N31">
        <v>69.900000000000006</v>
      </c>
      <c r="O31">
        <v>9.16</v>
      </c>
      <c r="P31">
        <v>78.67</v>
      </c>
      <c r="Q31">
        <v>9.4499999999999993</v>
      </c>
      <c r="R31">
        <v>76.42</v>
      </c>
      <c r="S31">
        <v>8.36</v>
      </c>
      <c r="T31">
        <f>L31+P31</f>
        <v>150.06</v>
      </c>
      <c r="U31">
        <f>2*SQRT(0.25*(M31^2+Q31^2+2*$F$8*M31*Q31))</f>
        <v>16.833638941120245</v>
      </c>
      <c r="V31">
        <f>N31+R31</f>
        <v>146.32</v>
      </c>
      <c r="W31">
        <f>2*SQRT(0.25*(O31^2+S31^2+2*$F$8*O31*S31))</f>
        <v>16.622856553553</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39.200000000000003</v>
      </c>
      <c r="AC31" s="22">
        <f>IF(OR($B31="",AC$22=""),"",IF(LEN(VLOOKUP($B31,Database!$B$1:$IX$10144,AC$22,FALSE))=0,"",VLOOKUP($B31,Database!$B$1:$IX$10144,AC$22,FALSE)))</f>
        <v>11.9</v>
      </c>
      <c r="AD31" s="22">
        <f>IF(OR($B31="",AD$22=""),"",IF(LEN(VLOOKUP($B31,Database!$B$1:$IX$10144,AD$22,FALSE))=0,"",VLOOKUP($B31,Database!$B$1:$IX$10144,AD$22,FALSE)))</f>
        <v>36.700000000000003</v>
      </c>
      <c r="AE31" s="22">
        <f>IF(OR($B31="",AE$22=""),"",IF(LEN(VLOOKUP($B31,Database!$B$1:$IX$10144,AE$22,FALSE))=0,"",VLOOKUP($B31,Database!$B$1:$IX$10144,AE$22,FALSE)))</f>
        <v>10.7</v>
      </c>
      <c r="AF31" s="22">
        <f>IF(OR($B31="",AF$22=""),"",IF(LEN(VLOOKUP($B31,Database!$B$1:$IX$10144,AF$22,FALSE))=0,"",VLOOKUP($B31,Database!$B$1:$IX$10144,AF$22,FALSE)))</f>
        <v>24</v>
      </c>
      <c r="AG31" s="22">
        <f>IF(OR($B31="",AG$22=""),"",IF(LEN(VLOOKUP($B31,Database!$B$1:$IX$10144,AG$22,FALSE))=0,"",VLOOKUP($B31,Database!$B$1:$IX$10144,AG$22,FALSE)))</f>
        <v>24</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14">
        <v>27.9</v>
      </c>
      <c r="AL31" s="214">
        <v>11.8</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2" t="str">
        <f>IF(OR($B31="",AQ$22=""),"",IF(LEN(VLOOKUP($B31,Database!$B$1:$IX$10144,AQ$22,FALSE))=0,"",VLOOKUP($B31,Database!$B$1:$IX$10144,AQ$22,FALSE)))</f>
        <v>Caetano SC, Hatch JP, Brambilla P, Sassi RB, Nicoletti M, Mallinger AG, Frank E, Kupfer DJ, Keshavan MS, Soares JC.</v>
      </c>
      <c r="AR31" s="13"/>
      <c r="AX31" s="13"/>
      <c r="AY31" s="13"/>
      <c r="AZ31" s="13"/>
      <c r="BA31" s="13"/>
      <c r="BC31" s="23"/>
      <c r="BF31" s="136"/>
      <c r="BG31" s="136"/>
      <c r="BH31" s="136"/>
      <c r="BI31" s="136"/>
    </row>
    <row r="32" spans="1:65">
      <c r="C32" s="1" t="str">
        <f>IF($B32="","",HYPERLINK(IF(LEN(VLOOKUP($B32,Database!$B$1:$IX$10144,2,FALSE))=0,"",VLOOKUP($B32,Database!$B$1:$IX$10144,2,FALSE))))</f>
        <v/>
      </c>
      <c r="D32" s="1" t="str">
        <f>IF($B32="","",HYPERLINK(CONCATENATE("http://www.ncbi.nlm.nih.gov/pubmed/",B32)))</f>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1:51">
      <c r="A33" s="4" t="s">
        <v>346</v>
      </c>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51">
      <c r="A34" s="7" t="s">
        <v>69</v>
      </c>
      <c r="B34">
        <v>9636205</v>
      </c>
      <c r="C34" s="1" t="str">
        <f>IF($B34="","",HYPERLINK(IF(LEN(VLOOKUP($B34,Database!$B$1:$IX$10144,2,FALSE))=0,"",VLOOKUP($B34,Database!$B$1:$IX$10144,2,FALSE))))</f>
        <v/>
      </c>
      <c r="D34" s="1" t="str">
        <f>IF($B34="","",HYPERLINK(CONCATENATE("http://www.ncbi.nlm.nih.gov/pubmed/",B34)))</f>
        <v>http://www.ncbi.nlm.nih.gov/pubmed/9636205</v>
      </c>
      <c r="E34" s="22" t="str">
        <f>IF($B34="","",IF(LEN(VLOOKUP($B34,Database!$B$1:$IX$10144,4,FALSE))=0,"",VLOOKUP($B34,Database!$B$1:$IX$10144,4,FALSE)))</f>
        <v>Kumar A</v>
      </c>
      <c r="F34" s="22">
        <f>IF($B34="","",IF(LEN(VLOOKUP($B34,Database!$B$1:$IX$10144,5,FALSE))=0,"",VLOOKUP($B34,Database!$B$1:$IX$10144,5,FALSE)))</f>
        <v>1998</v>
      </c>
      <c r="G34" s="1" t="str">
        <f>IF($B34="","",HYPERLINK(IF(LEN(VLOOKUP($B34,Database!$B$1:$IX$10144,6,FALSE))=0,"",VLOOKUP($B34,Database!$B$1:$IX$10144,6,FALSE))))</f>
        <v>http://www.pnas.org/content/95/13/7654</v>
      </c>
      <c r="H34" s="22">
        <f>IF($B34="","",IF(LEN(VLOOKUP($B34,Database!$B$1:$IX$10144,7,FALSE))=0,"",VLOOKUP($B34,Database!$B$1:$IX$10144,7,FALSE)))</f>
        <v>35</v>
      </c>
      <c r="I34" s="22">
        <f>IF($B34="","",IF(LEN(VLOOKUP($B34,Database!$B$1:$IX$10144,8,FALSE))=0,"",VLOOKUP($B34,Database!$B$1:$IX$10144,8,FALSE)))</f>
        <v>30</v>
      </c>
      <c r="J34" s="127" t="s">
        <v>1274</v>
      </c>
      <c r="K34" t="s">
        <v>1273</v>
      </c>
      <c r="T34">
        <v>178.08</v>
      </c>
      <c r="U34">
        <v>31.63</v>
      </c>
      <c r="V34">
        <v>202.5</v>
      </c>
      <c r="W34">
        <v>35.1</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74.569999999999993</v>
      </c>
      <c r="AC34" s="22">
        <f>IF(OR($B34="",AC$22=""),"",IF(LEN(VLOOKUP($B34,Database!$B$1:$IX$10144,AC$22,FALSE))=0,"",VLOOKUP($B34,Database!$B$1:$IX$10144,AC$22,FALSE)))</f>
        <v>6.91</v>
      </c>
      <c r="AD34" s="22">
        <f>IF(OR($B34="",AD$22=""),"",IF(LEN(VLOOKUP($B34,Database!$B$1:$IX$10144,AD$22,FALSE))=0,"",VLOOKUP($B34,Database!$B$1:$IX$10144,AD$22,FALSE)))</f>
        <v>69.430000000000007</v>
      </c>
      <c r="AE34" s="22">
        <f>IF(OR($B34="",AE$22=""),"",IF(LEN(VLOOKUP($B34,Database!$B$1:$IX$10144,AE$22,FALSE))=0,"",VLOOKUP($B34,Database!$B$1:$IX$10144,AE$22,FALSE)))</f>
        <v>6.09</v>
      </c>
      <c r="AF34" s="22">
        <f>IF(OR($B34="",AF$22=""),"",IF(LEN(VLOOKUP($B34,Database!$B$1:$IX$10144,AF$22,FALSE))=0,"",VLOOKUP($B34,Database!$B$1:$IX$10144,AF$22,FALSE)))</f>
        <v>25</v>
      </c>
      <c r="AG34" s="22">
        <f>IF(OR($B34="",AG$22=""),"",IF(LEN(VLOOKUP($B34,Database!$B$1:$IX$10144,AG$22,FALSE))=0,"",VLOOKUP($B34,Database!$B$1:$IX$10144,AG$22,FALSE)))</f>
        <v>23</v>
      </c>
      <c r="AH34" s="22">
        <f>IF(OR($B34="",AH$22=""),"",IF(LEN(VLOOKUP($B34,Database!$B$1:$IX$10144,AH$22,FALSE))=0,"",VLOOKUP($B34,Database!$B$1:$IX$10144,AH$22,FALSE)))</f>
        <v>1.5</v>
      </c>
      <c r="AI34" s="22">
        <f>IF(OR($B34="",AI$22=""),"",IF(LEN(VLOOKUP($B34,Database!$B$1:$IX$10144,AI$22,FALSE))=0,"",VLOOKUP($B34,Database!$B$1:$IX$10144,AI$22,FALSE)))</f>
        <v>5</v>
      </c>
      <c r="AJ34" s="22" t="str">
        <f>IF(OR($B34="",AJ$22=""),"",IF(LEN(VLOOKUP($B34,Database!$B$1:$IX$10144,AJ$22,FALSE))=0,"",VLOOKUP($B34,Database!$B$1:$IX$10144,AJ$22,FALSE)))</f>
        <v/>
      </c>
      <c r="AK34" s="22">
        <f>IF(OR($B34="",AK$22=""),"",IF(LEN(VLOOKUP($B34,Database!$B$1:$IX$10144,AK$22,FALSE))=0,"",VLOOKUP($B34,Database!$B$1:$IX$10144,AK$22,FALSE)))</f>
        <v>71.260000000000005</v>
      </c>
      <c r="AL34" s="22">
        <f>IF(OR($B34="",AL$22=""),"",IF(LEN(VLOOKUP($B34,Database!$B$1:$IX$10144,AL$22,FALSE))=0,"",VLOOKUP($B34,Database!$B$1:$IX$10144,AL$22,FALSE)))</f>
        <v>19.739999999999998</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Kumar A, Jin Z, Bilker W, Udupa J, Gottlieb G.</v>
      </c>
    </row>
    <row r="35" spans="1:51">
      <c r="A35" s="10" t="s">
        <v>2219</v>
      </c>
      <c r="B35">
        <v>10618023</v>
      </c>
      <c r="C35" s="1" t="str">
        <f>IF($B35="","",HYPERLINK(IF(LEN(VLOOKUP($B35,Database!$B$1:$IX$10144,2,FALSE))=0,"",VLOOKUP($B35,Database!$B$1:$IX$10144,2,FALSE))))</f>
        <v/>
      </c>
      <c r="D35" s="1" t="str">
        <f>IF($B35="","",HYPERLINK(CONCATENATE("http://www.ncbi.nlm.nih.gov/pubmed/",B35)))</f>
        <v>http://www.ncbi.nlm.nih.gov/pubmed/10618023</v>
      </c>
      <c r="E35" s="22" t="str">
        <f>IF($B35="","",IF(LEN(VLOOKUP($B35,Database!$B$1:$IX$10144,4,FALSE))=0,"",VLOOKUP($B35,Database!$B$1:$IX$10144,4,FALSE)))</f>
        <v>Bremner JD</v>
      </c>
      <c r="F35" s="22">
        <f>IF($B35="","",IF(LEN(VLOOKUP($B35,Database!$B$1:$IX$10144,5,FALSE))=0,"",VLOOKUP($B35,Database!$B$1:$IX$10144,5,FALSE)))</f>
        <v>2000</v>
      </c>
      <c r="G35" s="1" t="str">
        <f>IF($B35="","",HYPERLINK(IF(LEN(VLOOKUP($B35,Database!$B$1:$IX$10144,6,FALSE))=0,"",VLOOKUP($B35,Database!$B$1:$IX$10144,6,FALSE))))</f>
        <v>http://ajp.psychiatryonline.org/cgi/reprint/157/1/115</v>
      </c>
      <c r="H35" s="22">
        <f>IF($B35="","",IF(LEN(VLOOKUP($B35,Database!$B$1:$IX$10144,7,FALSE))=0,"",VLOOKUP($B35,Database!$B$1:$IX$10144,7,FALSE)))</f>
        <v>16</v>
      </c>
      <c r="I35" s="22">
        <f>IF($B35="","",IF(LEN(VLOOKUP($B35,Database!$B$1:$IX$10144,8,FALSE))=0,"",VLOOKUP($B35,Database!$B$1:$IX$10144,8,FALSE)))</f>
        <v>16</v>
      </c>
      <c r="J35" s="127"/>
      <c r="T35">
        <v>178.08</v>
      </c>
      <c r="U35">
        <v>31.63</v>
      </c>
      <c r="V35">
        <v>202.5</v>
      </c>
      <c r="W35">
        <v>35.1</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43</v>
      </c>
      <c r="AC35" s="22">
        <f>IF(OR($B35="",AC$22=""),"",IF(LEN(VLOOKUP($B35,Database!$B$1:$IX$10144,AC$22,FALSE))=0,"",VLOOKUP($B35,Database!$B$1:$IX$10144,AC$22,FALSE)))</f>
        <v>8</v>
      </c>
      <c r="AD35" s="22">
        <f>IF(OR($B35="",AD$22=""),"",IF(LEN(VLOOKUP($B35,Database!$B$1:$IX$10144,AD$22,FALSE))=0,"",VLOOKUP($B35,Database!$B$1:$IX$10144,AD$22,FALSE)))</f>
        <v>45</v>
      </c>
      <c r="AE35" s="22">
        <f>IF(OR($B35="",AE$22=""),"",IF(LEN(VLOOKUP($B35,Database!$B$1:$IX$10144,AE$22,FALSE))=0,"",VLOOKUP($B35,Database!$B$1:$IX$10144,AE$22,FALSE)))</f>
        <v>10</v>
      </c>
      <c r="AF35" s="22">
        <f>IF(OR($B35="",AF$22=""),"",IF(LEN(VLOOKUP($B35,Database!$B$1:$IX$10144,AF$22,FALSE))=0,"",VLOOKUP($B35,Database!$B$1:$IX$10144,AF$22,FALSE)))</f>
        <v>6</v>
      </c>
      <c r="AG35" s="22">
        <f>IF(OR($B35="",AG$22=""),"",IF(LEN(VLOOKUP($B35,Database!$B$1:$IX$10144,AG$22,FALSE))=0,"",VLOOKUP($B35,Database!$B$1:$IX$10144,AG$22,FALSE)))</f>
        <v>6</v>
      </c>
      <c r="AH35" s="22">
        <f>IF(OR($B35="",AH$22=""),"",IF(LEN(VLOOKUP($B35,Database!$B$1:$IX$10144,AH$22,FALSE))=0,"",VLOOKUP($B35,Database!$B$1:$IX$10144,AH$22,FALSE)))</f>
        <v>1.5</v>
      </c>
      <c r="AI35" s="22">
        <f>IF(OR($B35="",AI$22=""),"",IF(LEN(VLOOKUP($B35,Database!$B$1:$IX$10144,AI$22,FALSE))=0,"",VLOOKUP($B35,Database!$B$1:$IX$10144,AI$22,FALSE)))</f>
        <v>3</v>
      </c>
      <c r="AJ35" s="22" t="str">
        <f>IF(OR($B35="",AJ$22=""),"",IF(LEN(VLOOKUP($B35,Database!$B$1:$IX$10144,AJ$22,FALSE))=0,"",VLOOKUP($B35,Database!$B$1:$IX$10144,AJ$22,FALSE)))</f>
        <v/>
      </c>
      <c r="AK35" s="22" t="str">
        <f>IF(OR($B35="",AK$22=""),"",IF(LEN(VLOOKUP($B35,Database!$B$1:$IX$10144,AK$22,FALSE))=0,"",VLOOKUP($B35,Database!$B$1:$IX$10144,AK$22,FALSE)))</f>
        <v>ns</v>
      </c>
      <c r="AL35" s="22" t="str">
        <f>IF(OR($B35="",AL$22=""),"",IF(LEN(VLOOKUP($B35,Database!$B$1:$IX$10144,AL$22,FALSE))=0,"",VLOOKUP($B35,Database!$B$1:$IX$10144,AL$22,FALSE)))</f>
        <v>ns</v>
      </c>
      <c r="AM35" s="22">
        <f>IF(OR($B35="",AM$22=""),"",IF(LEN(VLOOKUP($B35,Database!$B$1:$IX$10144,AM$22,FALSE))=0,"",VLOOKUP($B35,Database!$B$1:$IX$10144,AM$22,FALSE)))</f>
        <v>100</v>
      </c>
      <c r="AN35" s="22">
        <f>IF(OR($B35="",AN$22=""),"",IF(LEN(VLOOKUP($B35,Database!$B$1:$IX$10144,AN$22,FALSE))=0,"",VLOOKUP($B35,Database!$B$1:$IX$10144,AN$22,FALSE)))</f>
        <v>0</v>
      </c>
      <c r="AO35" s="22">
        <f>IF(OR($B35="",AO$22=""),"",IF(LEN(VLOOKUP($B35,Database!$B$1:$IX$10144,AO$22,FALSE))=0,"",VLOOKUP($B35,Database!$B$1:$IX$10144,AO$22,FALSE)))</f>
        <v>0</v>
      </c>
      <c r="AP35" s="22">
        <f>IF(OR($B35="",AP$22=""),"",IF(LEN(VLOOKUP($B35,Database!$B$1:$IX$10144,AP$22,FALSE))=0,"",VLOOKUP($B35,Database!$B$1:$IX$10144,AP$22,FALSE)))</f>
        <v>0</v>
      </c>
      <c r="AQ35" s="22" t="str">
        <f>IF(OR($B35="",AQ$22=""),"",IF(LEN(VLOOKUP($B35,Database!$B$1:$IX$10144,AQ$22,FALSE))=0,"",VLOOKUP($B35,Database!$B$1:$IX$10144,AQ$22,FALSE)))</f>
        <v>Bremner JD, Narayan M, Anderson ER, Staib LH, Miller HL, Charney DS.</v>
      </c>
    </row>
    <row r="36" spans="1:51">
      <c r="A36" s="4" t="s">
        <v>347</v>
      </c>
      <c r="C36" s="1"/>
      <c r="D36" s="1"/>
      <c r="E36" s="22"/>
      <c r="F36" s="22"/>
      <c r="G36" s="1"/>
      <c r="H36" s="22"/>
      <c r="I36" s="22"/>
      <c r="J36" s="127"/>
      <c r="Y36" s="22"/>
      <c r="Z36" s="22"/>
      <c r="AA36" s="22"/>
      <c r="AB36" s="22"/>
      <c r="AC36" s="22"/>
      <c r="AD36" s="22"/>
      <c r="AE36" s="22"/>
      <c r="AF36" s="22"/>
      <c r="AG36" s="22"/>
      <c r="AH36" s="22"/>
      <c r="AI36" s="22"/>
      <c r="AJ36" s="22"/>
      <c r="AK36" s="22"/>
      <c r="AL36" s="22"/>
      <c r="AM36" s="22"/>
      <c r="AN36" s="22"/>
      <c r="AO36" s="22"/>
      <c r="AP36" s="22"/>
      <c r="AQ36" s="22"/>
    </row>
    <row r="37" spans="1:51">
      <c r="A37" s="7" t="s">
        <v>68</v>
      </c>
      <c r="B37">
        <v>9859118</v>
      </c>
      <c r="C37" s="1" t="str">
        <f>IF($B37="","",HYPERLINK(IF(LEN(VLOOKUP($B37,Database!$B$1:$IX$10144,2,FALSE))=0,"",VLOOKUP($B37,Database!$B$1:$IX$10144,2,FALSE))))</f>
        <v/>
      </c>
      <c r="D37" s="1" t="str">
        <f>IF($B37="","",HYPERLINK(CONCATENATE("http://www.ncbi.nlm.nih.gov/pubmed/",B37)))</f>
        <v>http://www.ncbi.nlm.nih.gov/pubmed/9859118</v>
      </c>
      <c r="E37" s="22" t="str">
        <f>IF($B37="","",IF(LEN(VLOOKUP($B37,Database!$B$1:$IX$10144,4,FALSE))=0,"",VLOOKUP($B37,Database!$B$1:$IX$10144,4,FALSE)))</f>
        <v>Pantel J</v>
      </c>
      <c r="F37" s="22">
        <f>IF($B37="","",IF(LEN(VLOOKUP($B37,Database!$B$1:$IX$10144,5,FALSE))=0,"",VLOOKUP($B37,Database!$B$1:$IX$10144,5,FALSE)))</f>
        <v>1998</v>
      </c>
      <c r="G37" s="1" t="str">
        <f>IF($B37="","",HYPERLINK(IF(LEN(VLOOKUP($B37,Database!$B$1:$IX$10144,6,FALSE))=0,"",VLOOKUP($B37,Database!$B$1:$IX$10144,6,FALSE))))</f>
        <v>http://dx.doi.org/10.1007/s001150050371</v>
      </c>
      <c r="H37" s="22">
        <f>IF($B37="","",IF(LEN(VLOOKUP($B37,Database!$B$1:$IX$10144,7,FALSE))=0,"",VLOOKUP($B37,Database!$B$1:$IX$10144,7,FALSE)))</f>
        <v>19</v>
      </c>
      <c r="I37" s="22">
        <f>IF($B37="","",IF(LEN(VLOOKUP($B37,Database!$B$1:$IX$10144,8,FALSE))=0,"",VLOOKUP($B37,Database!$B$1:$IX$10144,8,FALSE)))</f>
        <v>13</v>
      </c>
      <c r="Y37" s="22" t="str">
        <f>IF(OR($B37="",Y$22=""),"",IF(LEN(VLOOKUP($B37,Database!$B$1:$IX$10144,Y$22,FALSE))=0,"",VLOOKUP($B37,Database!$B$1:$IX$10144,Y$22,FALSE)))</f>
        <v>DSM-III-R</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72.400000000000006</v>
      </c>
      <c r="AC37" s="22">
        <f>IF(OR($B37="",AC$22=""),"",IF(LEN(VLOOKUP($B37,Database!$B$1:$IX$10144,AC$22,FALSE))=0,"",VLOOKUP($B37,Database!$B$1:$IX$10144,AC$22,FALSE)))</f>
        <v>8.8000000000000007</v>
      </c>
      <c r="AD37" s="22">
        <f>IF(OR($B37="",AD$22=""),"",IF(LEN(VLOOKUP($B37,Database!$B$1:$IX$10144,AD$22,FALSE))=0,"",VLOOKUP($B37,Database!$B$1:$IX$10144,AD$22,FALSE)))</f>
        <v>68.2</v>
      </c>
      <c r="AE37" s="22">
        <f>IF(OR($B37="",AE$22=""),"",IF(LEN(VLOOKUP($B37,Database!$B$1:$IX$10144,AE$22,FALSE))=0,"",VLOOKUP($B37,Database!$B$1:$IX$10144,AE$22,FALSE)))</f>
        <v>5.3</v>
      </c>
      <c r="AF37" s="22">
        <f>IF(OR($B37="",AF$22=""),"",IF(LEN(VLOOKUP($B37,Database!$B$1:$IX$10144,AF$22,FALSE))=0,"",VLOOKUP($B37,Database!$B$1:$IX$10144,AF$22,FALSE)))</f>
        <v>15</v>
      </c>
      <c r="AG37" s="22">
        <f>IF(OR($B37="",AG$22=""),"",IF(LEN(VLOOKUP($B37,Database!$B$1:$IX$10144,AG$22,FALSE))=0,"",VLOOKUP($B37,Database!$B$1:$IX$10144,AG$22,FALSE)))</f>
        <v>10</v>
      </c>
      <c r="AH37" s="22">
        <f>IF(OR($B37="",AH$22=""),"",IF(LEN(VLOOKUP($B37,Database!$B$1:$IX$10144,AH$22,FALSE))=0,"",VLOOKUP($B37,Database!$B$1:$IX$10144,AH$22,FALSE)))</f>
        <v>1.5</v>
      </c>
      <c r="AI37" s="22">
        <f>IF(OR($B37="",AI$22=""),"",IF(LEN(VLOOKUP($B37,Database!$B$1:$IX$10144,AI$22,FALSE))=0,"",VLOOKUP($B37,Database!$B$1:$IX$10144,AI$22,FALSE)))</f>
        <v>1.2</v>
      </c>
      <c r="AJ37" s="22" t="str">
        <f>IF(OR($B37="",AJ$22=""),"",IF(LEN(VLOOKUP($B37,Database!$B$1:$IX$10144,AJ$22,FALSE))=0,"",VLOOKUP($B37,Database!$B$1:$IX$10144,AJ$22,FALSE)))</f>
        <v/>
      </c>
      <c r="AK37" s="22" t="str">
        <f>IF(OR($B37="",AK$22=""),"",IF(LEN(VLOOKUP($B37,Database!$B$1:$IX$10144,AK$22,FALSE))=0,"",VLOOKUP($B37,Database!$B$1:$IX$10144,AK$22,FALSE)))</f>
        <v>ns</v>
      </c>
      <c r="AL37" s="22">
        <f>IF(OR($B37="",AL$22=""),"",IF(LEN(VLOOKUP($B37,Database!$B$1:$IX$10144,AL$22,FALSE))=0,"",VLOOKUP($B37,Database!$B$1:$IX$10144,AL$22,FALSE)))</f>
        <v>26.7</v>
      </c>
      <c r="AM37" s="22" t="str">
        <f>IF(OR($B37="",AM$22=""),"",IF(LEN(VLOOKUP($B37,Database!$B$1:$IX$10144,AM$22,FALSE))=0,"",VLOOKUP($B37,Database!$B$1:$IX$10144,AM$22,FALSE)))</f>
        <v/>
      </c>
      <c r="AN37" s="22" t="str">
        <f>IF(OR($B37="",AN$22=""),"",IF(LEN(VLOOKUP($B37,Database!$B$1:$IX$10144,AN$22,FALSE))=0,"",VLOOKUP($B37,Database!$B$1:$IX$10144,AN$22,FALSE)))</f>
        <v/>
      </c>
      <c r="AO37" s="22" t="str">
        <f>IF(OR($B37="",AO$22=""),"",IF(LEN(VLOOKUP($B37,Database!$B$1:$IX$10144,AO$22,FALSE))=0,"",VLOOKUP($B37,Database!$B$1:$IX$10144,AO$22,FALSE)))</f>
        <v/>
      </c>
      <c r="AP37" s="22" t="str">
        <f>IF(OR($B37="",AP$22=""),"",IF(LEN(VLOOKUP($B37,Database!$B$1:$IX$10144,AP$22,FALSE))=0,"",VLOOKUP($B37,Database!$B$1:$IX$10144,AP$22,FALSE)))</f>
        <v/>
      </c>
      <c r="AQ37" s="22" t="str">
        <f>IF(OR($B37="",AQ$22=""),"",IF(LEN(VLOOKUP($B37,Database!$B$1:$IX$10144,AQ$22,FALSE))=0,"",VLOOKUP($B37,Database!$B$1:$IX$10144,AQ$22,FALSE)))</f>
        <v>Pantel J, Schroder J, Essig M, Schad LR, Popp D, Eysenbach K, Jauss M, Knopp MV.</v>
      </c>
    </row>
    <row r="38" spans="1:51">
      <c r="A38" s="10"/>
      <c r="C38" s="1"/>
      <c r="D38" s="1"/>
      <c r="E38" s="22"/>
      <c r="F38" s="22"/>
      <c r="G38" s="1"/>
      <c r="H38" s="22"/>
      <c r="I38" s="22"/>
      <c r="J38" s="127"/>
      <c r="Y38" s="22"/>
      <c r="Z38" s="22"/>
      <c r="AA38" s="22"/>
      <c r="AB38" s="22"/>
      <c r="AC38" s="22"/>
      <c r="AD38" s="22"/>
      <c r="AE38" s="22"/>
      <c r="AF38" s="22"/>
      <c r="AG38" s="22"/>
      <c r="AH38" s="22"/>
      <c r="AI38" s="22"/>
      <c r="AJ38" s="22"/>
      <c r="AK38" s="22"/>
      <c r="AL38" s="22"/>
      <c r="AM38" s="22"/>
      <c r="AN38" s="22"/>
      <c r="AO38" s="22"/>
      <c r="AP38" s="22"/>
      <c r="AQ38" s="22"/>
    </row>
    <row r="39" spans="1:51">
      <c r="A39" s="10"/>
      <c r="C39" s="1"/>
      <c r="D39" s="1"/>
      <c r="E39" s="22"/>
      <c r="F39" s="22"/>
      <c r="G39" s="1"/>
      <c r="H39" s="22"/>
      <c r="I39" s="22"/>
      <c r="J39" s="127"/>
      <c r="Y39" s="22"/>
      <c r="Z39" s="22"/>
      <c r="AA39" s="22"/>
      <c r="AB39" s="22"/>
      <c r="AC39" s="22"/>
      <c r="AD39" s="22"/>
      <c r="AE39" s="22"/>
      <c r="AF39" s="22"/>
      <c r="AG39" s="22"/>
      <c r="AH39" s="22"/>
      <c r="AI39" s="22"/>
      <c r="AJ39" s="22"/>
      <c r="AK39" s="22"/>
      <c r="AL39" s="22"/>
      <c r="AM39" s="22"/>
      <c r="AN39" s="22"/>
      <c r="AO39" s="22"/>
      <c r="AP39" s="22"/>
      <c r="AQ39" s="22"/>
    </row>
    <row r="40" spans="1:51">
      <c r="I40" s="22" t="str">
        <f>IF($B40="","",IF(LEN(VLOOKUP($B40,Database!$B$1:$IX$10144,8,FALSE))=0,"",VLOOKUP($B40,Database!$B$1:$IX$10144,8,FALSE)))</f>
        <v/>
      </c>
      <c r="AF40" t="s">
        <v>602</v>
      </c>
      <c r="AJ40" t="s">
        <v>329</v>
      </c>
      <c r="AN40" t="s">
        <v>330</v>
      </c>
    </row>
    <row r="41" spans="1:51" ht="45" customHeight="1">
      <c r="E41" s="60" t="s">
        <v>617</v>
      </c>
      <c r="F41" s="60" t="s">
        <v>740</v>
      </c>
      <c r="G41" s="60" t="s">
        <v>244</v>
      </c>
      <c r="H41" s="60" t="s">
        <v>245</v>
      </c>
      <c r="I41" s="60" t="s">
        <v>246</v>
      </c>
      <c r="J41" s="60" t="s">
        <v>593</v>
      </c>
      <c r="K41" s="60" t="s">
        <v>1039</v>
      </c>
      <c r="L41" s="60" t="s">
        <v>594</v>
      </c>
      <c r="M41" s="60" t="s">
        <v>1299</v>
      </c>
      <c r="N41" s="61" t="s">
        <v>595</v>
      </c>
      <c r="O41" s="61" t="s">
        <v>596</v>
      </c>
      <c r="P41" s="61" t="s">
        <v>597</v>
      </c>
      <c r="Q41" s="61" t="s">
        <v>598</v>
      </c>
      <c r="R41" s="61" t="s">
        <v>599</v>
      </c>
      <c r="S41" s="61" t="s">
        <v>600</v>
      </c>
      <c r="T41" s="61" t="s">
        <v>601</v>
      </c>
      <c r="U41" s="61" t="s">
        <v>484</v>
      </c>
      <c r="V41" s="61" t="s">
        <v>485</v>
      </c>
      <c r="W41" s="61" t="s">
        <v>486</v>
      </c>
      <c r="AF41" s="61" t="s">
        <v>1517</v>
      </c>
      <c r="AG41" s="62" t="s">
        <v>834</v>
      </c>
      <c r="AH41" s="62" t="s">
        <v>835</v>
      </c>
      <c r="AJ41" s="61" t="s">
        <v>836</v>
      </c>
      <c r="AK41" s="61" t="s">
        <v>837</v>
      </c>
      <c r="AL41" s="61" t="s">
        <v>487</v>
      </c>
      <c r="AN41" t="s">
        <v>488</v>
      </c>
      <c r="AO41" t="s">
        <v>489</v>
      </c>
      <c r="AP41" t="s">
        <v>490</v>
      </c>
      <c r="AQ41" t="s">
        <v>491</v>
      </c>
      <c r="AR41" t="s">
        <v>492</v>
      </c>
      <c r="AS41" t="s">
        <v>493</v>
      </c>
      <c r="AT41" t="s">
        <v>494</v>
      </c>
      <c r="AU41" t="s">
        <v>495</v>
      </c>
      <c r="AV41" t="s">
        <v>496</v>
      </c>
      <c r="AW41" t="s">
        <v>497</v>
      </c>
      <c r="AX41" t="s">
        <v>498</v>
      </c>
      <c r="AY41" t="s">
        <v>499</v>
      </c>
    </row>
    <row r="42" spans="1:51">
      <c r="E42" t="str">
        <f>E24</f>
        <v>Kumar A (A)</v>
      </c>
      <c r="F42">
        <f>F24</f>
        <v>2000</v>
      </c>
      <c r="G42">
        <v>6</v>
      </c>
      <c r="H42">
        <f>H24</f>
        <v>51</v>
      </c>
      <c r="I42">
        <f>I24</f>
        <v>30</v>
      </c>
      <c r="J42">
        <f t="shared" ref="J42:M43" si="0">IF($D$4="Total",T24,IF($D$4="Left",L24,IF($D$4="Right",P24,"error")))</f>
        <v>176.55</v>
      </c>
      <c r="K42">
        <f t="shared" si="0"/>
        <v>29.65</v>
      </c>
      <c r="L42">
        <f t="shared" si="0"/>
        <v>202.5</v>
      </c>
      <c r="M42">
        <f t="shared" si="0"/>
        <v>35.1</v>
      </c>
      <c r="N42">
        <f t="shared" ref="N42:N47" si="1">IF($D$3=1,SQRT((((I42-1)*(M42)^2)+((H42-1)*(K42)^2))/(H42+I42-2)),M42)</f>
        <v>31.759462857747742</v>
      </c>
      <c r="O42" s="59">
        <f t="shared" ref="O42:O47" si="2">IF($D$6=1,LN(J42/L42),IF($D$5=1,(1-3/(4*(H42+I42)-9))*((J42-L42)/N42),(J42-L42)/N42))</f>
        <v>-0.80929760235497505</v>
      </c>
      <c r="P42" s="63">
        <f t="shared" ref="P42:P47" si="3">IF($D$6=1,(K42^2)/(H42*J42^2)+(M42^2)/(I42*L42^2),(IF($D$5=1,((H42+I42)/(H42*I42))+(O42*O42)/(2*(H42+I42-3.94)),((H42+I42)/(H42*I42))+((O42^2)/(2*(H42+I42-2))))))</f>
        <v>5.7190868977579613E-2</v>
      </c>
      <c r="Q42" s="59">
        <f t="shared" ref="Q42:Q47" si="4">$R$64*SQRT(P42)</f>
        <v>0.46872640448802311</v>
      </c>
      <c r="R42" s="59">
        <f t="shared" ref="R42:R47" si="5">1/P42</f>
        <v>17.485308719334679</v>
      </c>
      <c r="S42" s="59">
        <f t="shared" ref="S42:S47" si="6">O42*R42</f>
        <v>-14.150818422994096</v>
      </c>
      <c r="T42" s="59">
        <f t="shared" ref="T42:T47" si="7">R42*(O42^2)</f>
        <v>11.45222342108973</v>
      </c>
      <c r="U42" s="23">
        <f t="shared" ref="U42:U47" si="8">R42^2</f>
        <v>305.73602101044133</v>
      </c>
      <c r="V42" s="59">
        <f t="shared" ref="V42:V47" si="9">1/((1/R42)+$I$61)</f>
        <v>4.6671008525108757</v>
      </c>
      <c r="W42" s="59">
        <f t="shared" ref="W42:W47" si="10">V42*O42</f>
        <v>-3.7770735298859117</v>
      </c>
      <c r="AF42" s="59">
        <f t="shared" ref="AF42:AF47" si="11">IF($D$6=1,100*((EXP(O42))-1),O42)</f>
        <v>-0.80929760235497505</v>
      </c>
      <c r="AG42" s="59">
        <f t="shared" ref="AG42:AG47" si="12">IF($D$6=1,100*(EXP(O42+Q42)-EXP(O42)),Q42)</f>
        <v>0.46872640448802311</v>
      </c>
      <c r="AH42" s="59">
        <f t="shared" ref="AH42:AH47" si="13">IF($D$6=1,100*(EXP(O42)-EXP(O42-Q42)),Q42)</f>
        <v>0.46872640448802311</v>
      </c>
      <c r="AJ42">
        <f t="shared" ref="AJ42:AJ47" si="14">SQRT(P42)</f>
        <v>0.2391461247387873</v>
      </c>
      <c r="AK42">
        <f t="shared" ref="AK42:AK47" si="15">1/AJ42</f>
        <v>4.1815438200902166</v>
      </c>
      <c r="AL42">
        <f t="shared" ref="AL42:AL47" si="16">O42/AJ42</f>
        <v>-3.3841133877412752</v>
      </c>
      <c r="AN42" t="str">
        <f t="shared" ref="AN42:AO47" si="17">E42</f>
        <v>Kumar A (A)</v>
      </c>
      <c r="AO42">
        <f t="shared" si="17"/>
        <v>2000</v>
      </c>
      <c r="AP42" t="str">
        <f t="shared" ref="AP42:AP47" si="18">CONCATENATE(AN42," ",AO42)</f>
        <v>Kumar A (A) 2000</v>
      </c>
      <c r="AQ42">
        <f t="shared" ref="AQ42:AQ47" si="19">INT(H42)</f>
        <v>51</v>
      </c>
      <c r="AR42">
        <f t="shared" ref="AR42:AS47" si="20">J42</f>
        <v>176.55</v>
      </c>
      <c r="AS42">
        <f t="shared" si="20"/>
        <v>29.65</v>
      </c>
      <c r="AT42">
        <f t="shared" ref="AT42:AT47" si="21">INT(I42)</f>
        <v>30</v>
      </c>
      <c r="AU42">
        <f t="shared" ref="AU42:AV47" si="22">L42</f>
        <v>202.5</v>
      </c>
      <c r="AV42">
        <f t="shared" si="22"/>
        <v>35.1</v>
      </c>
      <c r="AW42" s="65">
        <f t="shared" ref="AW42:AW47" si="23">O42</f>
        <v>-0.80929760235497505</v>
      </c>
      <c r="AX42">
        <f t="shared" ref="AX42:AX47" si="24">SQRT(P42)</f>
        <v>0.2391461247387873</v>
      </c>
    </row>
    <row r="43" spans="1:51">
      <c r="E43" t="str">
        <f>E25</f>
        <v>Vythilingam M</v>
      </c>
      <c r="F43">
        <f>F25</f>
        <v>2004</v>
      </c>
      <c r="G43">
        <v>5</v>
      </c>
      <c r="H43">
        <f>H25</f>
        <v>38</v>
      </c>
      <c r="I43">
        <f>I25</f>
        <v>33</v>
      </c>
      <c r="J43">
        <f t="shared" si="0"/>
        <v>15832</v>
      </c>
      <c r="K43">
        <f t="shared" si="0"/>
        <v>1492</v>
      </c>
      <c r="L43">
        <f t="shared" si="0"/>
        <v>16876</v>
      </c>
      <c r="M43">
        <f t="shared" si="0"/>
        <v>2031</v>
      </c>
      <c r="N43">
        <f t="shared" si="1"/>
        <v>1762.5867025647196</v>
      </c>
      <c r="O43" s="59">
        <f t="shared" si="2"/>
        <v>-0.58584971030836031</v>
      </c>
      <c r="P43" s="63">
        <f t="shared" si="3"/>
        <v>5.917787050045735E-2</v>
      </c>
      <c r="Q43" s="59">
        <f t="shared" si="4"/>
        <v>0.4767994413949716</v>
      </c>
      <c r="R43" s="59">
        <f t="shared" si="5"/>
        <v>16.898208596273697</v>
      </c>
      <c r="S43" s="59">
        <f t="shared" si="6"/>
        <v>-9.8998106108571893</v>
      </c>
      <c r="T43" s="59">
        <f t="shared" si="7"/>
        <v>5.7998011784783161</v>
      </c>
      <c r="U43" s="23">
        <f t="shared" si="8"/>
        <v>285.54945376317829</v>
      </c>
      <c r="V43" s="59">
        <f t="shared" si="9"/>
        <v>4.6242179981150953</v>
      </c>
      <c r="W43" s="59">
        <f t="shared" si="10"/>
        <v>-2.7090967745984345</v>
      </c>
      <c r="AF43" s="59">
        <f t="shared" si="11"/>
        <v>-0.58584971030836031</v>
      </c>
      <c r="AG43" s="59">
        <f t="shared" si="12"/>
        <v>0.4767994413949716</v>
      </c>
      <c r="AH43" s="59">
        <f t="shared" si="13"/>
        <v>0.4767994413949716</v>
      </c>
      <c r="AJ43">
        <f t="shared" si="14"/>
        <v>0.24326502111988346</v>
      </c>
      <c r="AK43">
        <f t="shared" si="15"/>
        <v>4.1107430710607176</v>
      </c>
      <c r="AL43">
        <f t="shared" si="16"/>
        <v>-2.4082776373330206</v>
      </c>
      <c r="AN43" t="str">
        <f t="shared" si="17"/>
        <v>Vythilingam M</v>
      </c>
      <c r="AO43">
        <f t="shared" si="17"/>
        <v>2004</v>
      </c>
      <c r="AP43" t="str">
        <f t="shared" si="18"/>
        <v>Vythilingam M 2004</v>
      </c>
      <c r="AQ43">
        <f t="shared" si="19"/>
        <v>38</v>
      </c>
      <c r="AR43">
        <f t="shared" si="20"/>
        <v>15832</v>
      </c>
      <c r="AS43">
        <f t="shared" si="20"/>
        <v>1492</v>
      </c>
      <c r="AT43">
        <f t="shared" si="21"/>
        <v>33</v>
      </c>
      <c r="AU43">
        <f t="shared" si="22"/>
        <v>16876</v>
      </c>
      <c r="AV43">
        <f t="shared" si="22"/>
        <v>2031</v>
      </c>
      <c r="AW43" s="65">
        <f t="shared" si="23"/>
        <v>-0.58584971030836031</v>
      </c>
      <c r="AX43">
        <f t="shared" si="24"/>
        <v>0.24326502111988346</v>
      </c>
    </row>
    <row r="44" spans="1:51">
      <c r="E44" t="str">
        <f t="shared" ref="E44:F47" si="25">E28</f>
        <v>Pantel J</v>
      </c>
      <c r="F44">
        <f t="shared" si="25"/>
        <v>1997</v>
      </c>
      <c r="G44">
        <v>4</v>
      </c>
      <c r="H44">
        <f t="shared" ref="H44:I47" si="26">H28</f>
        <v>19</v>
      </c>
      <c r="I44">
        <f t="shared" si="26"/>
        <v>13</v>
      </c>
      <c r="J44">
        <f t="shared" ref="J44:M45" si="27">IF($D$4="Total",T28,IF($D$4="Left",L28,IF($D$4="Right",P28,"error")))</f>
        <v>93.09</v>
      </c>
      <c r="K44">
        <f t="shared" si="27"/>
        <v>12.648055186470369</v>
      </c>
      <c r="L44">
        <f t="shared" si="27"/>
        <v>90.759999999999991</v>
      </c>
      <c r="M44">
        <f t="shared" si="27"/>
        <v>10.749232530743766</v>
      </c>
      <c r="N44">
        <f t="shared" si="1"/>
        <v>11.924863940523601</v>
      </c>
      <c r="O44" s="59">
        <f t="shared" si="2"/>
        <v>0.19046426990947837</v>
      </c>
      <c r="P44" s="63">
        <f t="shared" si="3"/>
        <v>0.13020106781114654</v>
      </c>
      <c r="Q44" s="59">
        <f t="shared" si="4"/>
        <v>0.70723434737242541</v>
      </c>
      <c r="R44" s="59">
        <f t="shared" si="5"/>
        <v>7.6804285618492427</v>
      </c>
      <c r="S44" s="59">
        <f t="shared" si="6"/>
        <v>1.4628472186245209</v>
      </c>
      <c r="T44" s="59">
        <f t="shared" si="7"/>
        <v>0.27862012748443049</v>
      </c>
      <c r="U44" s="23">
        <f t="shared" si="8"/>
        <v>58.988982893669629</v>
      </c>
      <c r="V44" s="59">
        <f t="shared" si="9"/>
        <v>3.4809732697390352</v>
      </c>
      <c r="W44" s="59">
        <f t="shared" si="10"/>
        <v>0.6630010323952551</v>
      </c>
      <c r="AF44" s="59">
        <f t="shared" si="11"/>
        <v>0.19046426990947837</v>
      </c>
      <c r="AG44" s="59">
        <f t="shared" si="12"/>
        <v>0.70723434737242541</v>
      </c>
      <c r="AH44" s="59">
        <f t="shared" si="13"/>
        <v>0.70723434737242541</v>
      </c>
      <c r="AJ44">
        <f t="shared" si="14"/>
        <v>0.36083385070021706</v>
      </c>
      <c r="AK44">
        <f t="shared" si="15"/>
        <v>2.7713586129999928</v>
      </c>
      <c r="AL44">
        <f t="shared" si="16"/>
        <v>0.52784479488238822</v>
      </c>
      <c r="AN44" t="str">
        <f t="shared" si="17"/>
        <v>Pantel J</v>
      </c>
      <c r="AO44">
        <f t="shared" si="17"/>
        <v>1997</v>
      </c>
      <c r="AP44" t="str">
        <f t="shared" si="18"/>
        <v>Pantel J 1997</v>
      </c>
      <c r="AQ44">
        <f t="shared" si="19"/>
        <v>19</v>
      </c>
      <c r="AR44">
        <f t="shared" si="20"/>
        <v>93.09</v>
      </c>
      <c r="AS44">
        <f t="shared" si="20"/>
        <v>12.648055186470369</v>
      </c>
      <c r="AT44">
        <f t="shared" si="21"/>
        <v>13</v>
      </c>
      <c r="AU44">
        <f t="shared" si="22"/>
        <v>90.759999999999991</v>
      </c>
      <c r="AV44">
        <f t="shared" si="22"/>
        <v>10.749232530743766</v>
      </c>
      <c r="AW44" s="65">
        <f t="shared" si="23"/>
        <v>0.19046426990947837</v>
      </c>
      <c r="AX44">
        <f t="shared" si="24"/>
        <v>0.36083385070021706</v>
      </c>
    </row>
    <row r="45" spans="1:51">
      <c r="E45" t="str">
        <f t="shared" si="25"/>
        <v>Bremner JD</v>
      </c>
      <c r="F45">
        <f t="shared" si="25"/>
        <v>2000</v>
      </c>
      <c r="G45">
        <v>3</v>
      </c>
      <c r="H45">
        <f t="shared" si="26"/>
        <v>16</v>
      </c>
      <c r="I45">
        <f t="shared" si="26"/>
        <v>16</v>
      </c>
      <c r="J45">
        <f t="shared" si="27"/>
        <v>36138</v>
      </c>
      <c r="K45">
        <f t="shared" si="27"/>
        <v>7997.4508438626872</v>
      </c>
      <c r="L45">
        <f t="shared" si="27"/>
        <v>37702</v>
      </c>
      <c r="M45">
        <f t="shared" si="27"/>
        <v>4276.9976852928039</v>
      </c>
      <c r="N45">
        <f t="shared" si="1"/>
        <v>6412.9528767955253</v>
      </c>
      <c r="O45" s="59">
        <f t="shared" si="2"/>
        <v>-0.23773314070151697</v>
      </c>
      <c r="P45" s="63">
        <f t="shared" si="3"/>
        <v>0.12600707494988966</v>
      </c>
      <c r="Q45" s="59">
        <f t="shared" si="4"/>
        <v>0.69575051500339979</v>
      </c>
      <c r="R45" s="59">
        <f t="shared" si="5"/>
        <v>7.9360623234661922</v>
      </c>
      <c r="S45" s="59">
        <f t="shared" si="6"/>
        <v>-1.886665020960596</v>
      </c>
      <c r="T45" s="59">
        <f t="shared" si="7"/>
        <v>0.44852280088465579</v>
      </c>
      <c r="U45" s="23">
        <f t="shared" si="8"/>
        <v>62.981085201939621</v>
      </c>
      <c r="V45" s="59">
        <f t="shared" si="9"/>
        <v>3.5325455273064468</v>
      </c>
      <c r="W45" s="59">
        <f t="shared" si="10"/>
        <v>-0.839803142877658</v>
      </c>
      <c r="AF45" s="59">
        <f t="shared" si="11"/>
        <v>-0.23773314070151697</v>
      </c>
      <c r="AG45" s="59">
        <f t="shared" si="12"/>
        <v>0.69575051500339979</v>
      </c>
      <c r="AH45" s="59">
        <f t="shared" si="13"/>
        <v>0.69575051500339979</v>
      </c>
      <c r="AJ45">
        <f t="shared" si="14"/>
        <v>0.35497475255275501</v>
      </c>
      <c r="AK45">
        <f t="shared" si="15"/>
        <v>2.817101759515654</v>
      </c>
      <c r="AL45">
        <f t="shared" si="16"/>
        <v>-0.66971844896542598</v>
      </c>
      <c r="AN45" t="str">
        <f t="shared" si="17"/>
        <v>Bremner JD</v>
      </c>
      <c r="AO45">
        <f t="shared" si="17"/>
        <v>2000</v>
      </c>
      <c r="AP45" t="str">
        <f t="shared" si="18"/>
        <v>Bremner JD 2000</v>
      </c>
      <c r="AQ45">
        <f t="shared" si="19"/>
        <v>16</v>
      </c>
      <c r="AR45">
        <f t="shared" si="20"/>
        <v>36138</v>
      </c>
      <c r="AS45">
        <f t="shared" si="20"/>
        <v>7997.4508438626872</v>
      </c>
      <c r="AT45">
        <f t="shared" si="21"/>
        <v>16</v>
      </c>
      <c r="AU45">
        <f t="shared" si="22"/>
        <v>37702</v>
      </c>
      <c r="AV45">
        <f t="shared" si="22"/>
        <v>4276.9976852928039</v>
      </c>
      <c r="AW45" s="65">
        <f t="shared" si="23"/>
        <v>-0.23773314070151697</v>
      </c>
      <c r="AX45">
        <f t="shared" si="24"/>
        <v>0.35497475255275501</v>
      </c>
    </row>
    <row r="46" spans="1:51">
      <c r="E46" t="str">
        <f t="shared" si="25"/>
        <v>McIntosh AM</v>
      </c>
      <c r="F46">
        <f t="shared" si="25"/>
        <v>2001</v>
      </c>
      <c r="G46">
        <v>2</v>
      </c>
      <c r="H46">
        <f t="shared" si="26"/>
        <v>9</v>
      </c>
      <c r="I46">
        <f t="shared" si="26"/>
        <v>29</v>
      </c>
      <c r="J46">
        <f t="shared" ref="J46:M47" si="28">IF($D$4="Total",T30,IF($D$4="Left",L30,IF($D$4="Right",P30,"error")))</f>
        <v>150054</v>
      </c>
      <c r="K46">
        <f t="shared" si="28"/>
        <v>9957.7017127447634</v>
      </c>
      <c r="L46">
        <f t="shared" si="28"/>
        <v>161932</v>
      </c>
      <c r="M46">
        <f t="shared" si="28"/>
        <v>13070.6785822313</v>
      </c>
      <c r="N46">
        <f t="shared" si="1"/>
        <v>12446.374380606678</v>
      </c>
      <c r="O46" s="59">
        <f t="shared" si="2"/>
        <v>-0.93431314479264138</v>
      </c>
      <c r="P46" s="63">
        <f t="shared" si="3"/>
        <v>0.15840862387936852</v>
      </c>
      <c r="Q46" s="59">
        <f t="shared" si="4"/>
        <v>0.78009138534852573</v>
      </c>
      <c r="R46" s="59">
        <f t="shared" si="5"/>
        <v>6.3127876217239338</v>
      </c>
      <c r="S46" s="59">
        <f t="shared" si="6"/>
        <v>-5.8981204552609476</v>
      </c>
      <c r="T46" s="59">
        <f t="shared" si="7"/>
        <v>5.510691470920662</v>
      </c>
      <c r="U46" s="23">
        <f t="shared" si="8"/>
        <v>39.851287556990918</v>
      </c>
      <c r="V46" s="59">
        <f t="shared" si="9"/>
        <v>3.1697375375511982</v>
      </c>
      <c r="W46" s="59">
        <f t="shared" si="10"/>
        <v>-2.9615274468767434</v>
      </c>
      <c r="AF46" s="59">
        <f t="shared" si="11"/>
        <v>-0.93431314479264138</v>
      </c>
      <c r="AG46" s="59">
        <f t="shared" si="12"/>
        <v>0.78009138534852573</v>
      </c>
      <c r="AH46" s="59">
        <f t="shared" si="13"/>
        <v>0.78009138534852573</v>
      </c>
      <c r="AJ46">
        <f t="shared" si="14"/>
        <v>0.39800580885128867</v>
      </c>
      <c r="AK46">
        <f t="shared" si="15"/>
        <v>2.512526143490637</v>
      </c>
      <c r="AL46">
        <f t="shared" si="16"/>
        <v>-2.3474862024984646</v>
      </c>
      <c r="AN46" t="str">
        <f t="shared" si="17"/>
        <v>McIntosh AM</v>
      </c>
      <c r="AO46">
        <f t="shared" si="17"/>
        <v>2001</v>
      </c>
      <c r="AP46" t="str">
        <f t="shared" si="18"/>
        <v>McIntosh AM 2001</v>
      </c>
      <c r="AQ46">
        <f t="shared" si="19"/>
        <v>9</v>
      </c>
      <c r="AR46">
        <f t="shared" si="20"/>
        <v>150054</v>
      </c>
      <c r="AS46">
        <f t="shared" si="20"/>
        <v>9957.7017127447634</v>
      </c>
      <c r="AT46">
        <f t="shared" si="21"/>
        <v>29</v>
      </c>
      <c r="AU46">
        <f t="shared" si="22"/>
        <v>161932</v>
      </c>
      <c r="AV46">
        <f t="shared" si="22"/>
        <v>13070.6785822313</v>
      </c>
      <c r="AW46" s="65">
        <f t="shared" si="23"/>
        <v>-0.93431314479264138</v>
      </c>
      <c r="AX46">
        <f t="shared" si="24"/>
        <v>0.39800580885128867</v>
      </c>
    </row>
    <row r="47" spans="1:51">
      <c r="E47" t="str">
        <f t="shared" si="25"/>
        <v>Caetano SC</v>
      </c>
      <c r="F47">
        <f t="shared" si="25"/>
        <v>2004</v>
      </c>
      <c r="G47">
        <v>1</v>
      </c>
      <c r="H47">
        <f t="shared" si="26"/>
        <v>31</v>
      </c>
      <c r="I47">
        <f t="shared" si="26"/>
        <v>31</v>
      </c>
      <c r="J47">
        <f t="shared" si="28"/>
        <v>150.06</v>
      </c>
      <c r="K47">
        <f t="shared" si="28"/>
        <v>16.833638941120245</v>
      </c>
      <c r="L47">
        <f t="shared" si="28"/>
        <v>146.32</v>
      </c>
      <c r="M47">
        <f t="shared" si="28"/>
        <v>16.622856553553</v>
      </c>
      <c r="N47">
        <f t="shared" si="1"/>
        <v>16.728579736486893</v>
      </c>
      <c r="O47" s="59">
        <f t="shared" si="2"/>
        <v>0.22076317604240403</v>
      </c>
      <c r="P47" s="63">
        <f t="shared" si="3"/>
        <v>6.49358360585785E-2</v>
      </c>
      <c r="Q47" s="59">
        <f t="shared" si="4"/>
        <v>0.49945721318510877</v>
      </c>
      <c r="R47" s="59">
        <f t="shared" si="5"/>
        <v>15.399817122519249</v>
      </c>
      <c r="S47" s="59">
        <f t="shared" si="6"/>
        <v>3.3997125384395446</v>
      </c>
      <c r="T47" s="59">
        <f t="shared" si="7"/>
        <v>0.75053133761709745</v>
      </c>
      <c r="U47" s="23">
        <f t="shared" si="8"/>
        <v>237.15436740703703</v>
      </c>
      <c r="V47" s="59">
        <f t="shared" si="9"/>
        <v>4.5042864703302588</v>
      </c>
      <c r="W47" s="59">
        <f t="shared" si="10"/>
        <v>0.99438058699493759</v>
      </c>
      <c r="AF47" s="59">
        <f t="shared" si="11"/>
        <v>0.22076317604240403</v>
      </c>
      <c r="AG47" s="59">
        <f t="shared" si="12"/>
        <v>0.49945721318510877</v>
      </c>
      <c r="AH47" s="59">
        <f t="shared" si="13"/>
        <v>0.49945721318510877</v>
      </c>
      <c r="AJ47">
        <f t="shared" si="14"/>
        <v>0.25482510876791264</v>
      </c>
      <c r="AK47">
        <f t="shared" si="15"/>
        <v>3.9242600732519302</v>
      </c>
      <c r="AL47">
        <f t="shared" si="16"/>
        <v>0.86633211738749327</v>
      </c>
      <c r="AN47" t="str">
        <f t="shared" si="17"/>
        <v>Caetano SC</v>
      </c>
      <c r="AO47">
        <f t="shared" si="17"/>
        <v>2004</v>
      </c>
      <c r="AP47" t="str">
        <f t="shared" si="18"/>
        <v>Caetano SC 2004</v>
      </c>
      <c r="AQ47">
        <f t="shared" si="19"/>
        <v>31</v>
      </c>
      <c r="AR47">
        <f t="shared" si="20"/>
        <v>150.06</v>
      </c>
      <c r="AS47">
        <f t="shared" si="20"/>
        <v>16.833638941120245</v>
      </c>
      <c r="AT47">
        <f t="shared" si="21"/>
        <v>31</v>
      </c>
      <c r="AU47">
        <f t="shared" si="22"/>
        <v>146.32</v>
      </c>
      <c r="AV47">
        <f t="shared" si="22"/>
        <v>16.622856553553</v>
      </c>
      <c r="AW47" s="65">
        <f t="shared" si="23"/>
        <v>0.22076317604240403</v>
      </c>
      <c r="AX47">
        <f t="shared" si="24"/>
        <v>0.25482510876791264</v>
      </c>
    </row>
    <row r="48" spans="1:51">
      <c r="U48" s="23"/>
    </row>
    <row r="49" spans="7:34">
      <c r="L49" t="s">
        <v>500</v>
      </c>
      <c r="N49" s="7"/>
      <c r="O49" s="66">
        <f>COUNT(O42:O47)</f>
        <v>6</v>
      </c>
      <c r="Q49" t="s">
        <v>885</v>
      </c>
      <c r="R49" s="59">
        <f t="shared" ref="R49:W49" si="29">SUM(R42:R47)</f>
        <v>71.712612945166981</v>
      </c>
      <c r="S49" s="59">
        <f t="shared" si="29"/>
        <v>-26.972854753008765</v>
      </c>
      <c r="T49" s="59">
        <f t="shared" si="29"/>
        <v>24.240390336474892</v>
      </c>
      <c r="U49" s="23">
        <f t="shared" si="29"/>
        <v>990.2611978332568</v>
      </c>
      <c r="V49" s="59">
        <f t="shared" si="29"/>
        <v>23.978861655552912</v>
      </c>
      <c r="W49" s="59">
        <f t="shared" si="29"/>
        <v>-8.6301192748485551</v>
      </c>
    </row>
    <row r="50" spans="7:34">
      <c r="L50" t="s">
        <v>501</v>
      </c>
      <c r="N50" s="7"/>
      <c r="O50" s="2">
        <v>0</v>
      </c>
    </row>
    <row r="51" spans="7:34">
      <c r="N51" s="7"/>
      <c r="O51" s="7"/>
    </row>
    <row r="52" spans="7:34">
      <c r="G52" s="67" t="s">
        <v>502</v>
      </c>
      <c r="H52" s="40"/>
      <c r="I52" s="40">
        <f>S49/R49</f>
        <v>-0.37612427779800456</v>
      </c>
      <c r="J52" s="40"/>
      <c r="K52" s="68" t="s">
        <v>879</v>
      </c>
      <c r="L52" s="40"/>
      <c r="M52" s="42"/>
      <c r="N52" s="7"/>
      <c r="O52" s="69" t="s">
        <v>503</v>
      </c>
      <c r="P52" s="70">
        <f>T49-((S49^2)/R49)</f>
        <v>14.095244822348995</v>
      </c>
      <c r="Q52" s="71" t="s">
        <v>824</v>
      </c>
      <c r="R52" s="28"/>
      <c r="S52" s="29"/>
      <c r="T52" s="30"/>
      <c r="U52" s="31"/>
      <c r="AF52" s="2" t="s">
        <v>1518</v>
      </c>
    </row>
    <row r="53" spans="7:34">
      <c r="G53" s="43" t="s">
        <v>504</v>
      </c>
      <c r="H53" s="31"/>
      <c r="I53" s="31">
        <f>1/R49</f>
        <v>1.3944548370655825E-2</v>
      </c>
      <c r="J53" s="31"/>
      <c r="K53" s="31"/>
      <c r="L53" s="31"/>
      <c r="M53" s="44"/>
      <c r="N53" s="7"/>
      <c r="O53" s="30" t="s">
        <v>505</v>
      </c>
      <c r="P53" s="31">
        <f>CHIDIST(P52,I57-1)</f>
        <v>1.5015594393548151E-2</v>
      </c>
      <c r="Q53" s="31"/>
      <c r="R53" s="31"/>
      <c r="S53" s="34"/>
      <c r="T53" s="30"/>
      <c r="U53" s="31"/>
      <c r="AF53" s="2"/>
    </row>
    <row r="54" spans="7:34">
      <c r="G54" s="72" t="s">
        <v>506</v>
      </c>
      <c r="H54" s="31"/>
      <c r="I54" s="31">
        <f>$R$64*SQRT(I53)</f>
        <v>0.23145059304463106</v>
      </c>
      <c r="J54" s="31"/>
      <c r="K54" s="31" t="s">
        <v>507</v>
      </c>
      <c r="L54" s="31"/>
      <c r="M54" s="44">
        <f>ABS(I52/SQRT(I53))</f>
        <v>3.1851445044339659</v>
      </c>
      <c r="N54" s="7"/>
      <c r="O54" s="35" t="s">
        <v>508</v>
      </c>
      <c r="P54" s="37">
        <f>IF(((P52-(I57-1))/P52)&lt;0,0,100*((P52-(I57-1))/P52))</f>
        <v>64.527043956894232</v>
      </c>
      <c r="Q54" s="36"/>
      <c r="R54" s="36"/>
      <c r="S54" s="38"/>
      <c r="T54" s="30"/>
      <c r="U54" s="31"/>
      <c r="AF54" s="2" t="s">
        <v>1535</v>
      </c>
      <c r="AH54">
        <f>IF($D$6=1,100*((EXP(I52))-1),I52)</f>
        <v>-0.37612427779800456</v>
      </c>
    </row>
    <row r="55" spans="7:34">
      <c r="G55" s="45" t="s">
        <v>509</v>
      </c>
      <c r="H55" s="46"/>
      <c r="I55" s="46">
        <v>-2</v>
      </c>
      <c r="J55" s="46"/>
      <c r="K55" s="46" t="s">
        <v>825</v>
      </c>
      <c r="L55" s="46"/>
      <c r="M55" s="47">
        <f>2*(1-NORMDIST(M54,0,1,1))</f>
        <v>1.4468174277129098E-3</v>
      </c>
      <c r="N55" s="7"/>
      <c r="O55" s="7"/>
      <c r="AF55" s="79" t="s">
        <v>834</v>
      </c>
      <c r="AH55">
        <f>IF($D$6=1,100*(EXP(I52+I54)-EXP(I52)),I54)</f>
        <v>0.23145059304463106</v>
      </c>
    </row>
    <row r="56" spans="7:34">
      <c r="G56" s="40"/>
      <c r="H56" s="40"/>
      <c r="I56" s="40"/>
      <c r="J56" s="40"/>
      <c r="K56" s="40"/>
      <c r="L56" s="40"/>
      <c r="M56" s="40"/>
      <c r="N56" s="7"/>
      <c r="O56" s="7"/>
      <c r="AF56" s="79" t="s">
        <v>835</v>
      </c>
      <c r="AH56">
        <f>IF($D$6=1,100*(EXP(I52)-EXP(I52-I54)),I54)</f>
        <v>0.23145059304463106</v>
      </c>
    </row>
    <row r="57" spans="7:34">
      <c r="G57" s="73" t="s">
        <v>1110</v>
      </c>
      <c r="H57" s="74"/>
      <c r="I57" s="74">
        <f>O49</f>
        <v>6</v>
      </c>
      <c r="J57" s="74"/>
      <c r="K57" s="75" t="s">
        <v>1167</v>
      </c>
      <c r="L57" s="74"/>
      <c r="M57" s="76"/>
      <c r="N57" s="77"/>
      <c r="O57" s="101" t="s">
        <v>1513</v>
      </c>
      <c r="P57" s="102"/>
      <c r="Q57" s="103"/>
      <c r="AF57" s="7"/>
    </row>
    <row r="58" spans="7:34">
      <c r="G58" s="77" t="s">
        <v>1531</v>
      </c>
      <c r="H58" s="31"/>
      <c r="I58" s="31">
        <f>R49/I57</f>
        <v>11.952102157527831</v>
      </c>
      <c r="J58" s="31"/>
      <c r="K58" s="31"/>
      <c r="L58" s="31"/>
      <c r="M58" s="78"/>
      <c r="N58" s="77"/>
      <c r="O58" s="104" t="s">
        <v>1514</v>
      </c>
      <c r="P58" s="31"/>
      <c r="Q58" s="105">
        <f>INDEX(LINEST(AL42:AL47,AK42:AK47,TRUE,TRUE),1,2)</f>
        <v>0.92956841305272153</v>
      </c>
      <c r="AF58" s="2" t="s">
        <v>1687</v>
      </c>
      <c r="AH58">
        <f>IF($D$6=1,100*((EXP(I63))-1),I63)</f>
        <v>-0.35990529487249584</v>
      </c>
    </row>
    <row r="59" spans="7:34">
      <c r="G59" s="77" t="s">
        <v>1532</v>
      </c>
      <c r="H59" s="31"/>
      <c r="I59" s="31">
        <f>(1/(I57-1))*(U49-(I57*I58^2))</f>
        <v>26.628944385873638</v>
      </c>
      <c r="J59" s="31"/>
      <c r="K59" s="31"/>
      <c r="L59" s="31"/>
      <c r="M59" s="78"/>
      <c r="N59" s="77"/>
      <c r="O59" s="104" t="s">
        <v>1516</v>
      </c>
      <c r="P59" s="31"/>
      <c r="Q59" s="105">
        <f>INDEX(LINEST(AL42:AL47,AK42:AK47,TRUE,TRUE),2,2)</f>
        <v>3.7743825775135735</v>
      </c>
      <c r="AF59" s="79" t="s">
        <v>834</v>
      </c>
      <c r="AG59" s="7"/>
      <c r="AH59">
        <f>IF($D$6=1,100*(EXP(I63+I65)-EXP(I63)),I65)</f>
        <v>0.40025963069127679</v>
      </c>
    </row>
    <row r="60" spans="7:34">
      <c r="G60" s="77" t="s">
        <v>1669</v>
      </c>
      <c r="H60" s="31"/>
      <c r="I60" s="31">
        <f>(I57-1)*(I58-(I59/(I57*I58)))</f>
        <v>57.903867772397561</v>
      </c>
      <c r="J60" s="31"/>
      <c r="K60" s="31"/>
      <c r="L60" s="31"/>
      <c r="M60" s="78"/>
      <c r="N60" s="77"/>
      <c r="O60" s="104" t="s">
        <v>1349</v>
      </c>
      <c r="P60" s="31"/>
      <c r="Q60" s="105">
        <f>ABS(Q58/Q59)</f>
        <v>0.24628356928912265</v>
      </c>
      <c r="AF60" s="79" t="s">
        <v>835</v>
      </c>
      <c r="AH60">
        <f>IF($D$6=1,100*(EXP(I63)-EXP(I63-I65)),I65)</f>
        <v>0.40025963069127679</v>
      </c>
    </row>
    <row r="61" spans="7:34">
      <c r="G61" s="77" t="s">
        <v>1685</v>
      </c>
      <c r="H61" s="31"/>
      <c r="I61" s="31">
        <f>IF(P52&gt;(I57-1),(P52-(I57-1))/I60,0)</f>
        <v>0.15707491005781563</v>
      </c>
      <c r="J61" s="31"/>
      <c r="K61" s="31"/>
      <c r="L61" s="31"/>
      <c r="M61" s="78"/>
      <c r="N61" s="77"/>
      <c r="O61" s="106" t="s">
        <v>1515</v>
      </c>
      <c r="P61" s="107"/>
      <c r="Q61" s="108">
        <f>TDIST(Q60,I57-2,2)</f>
        <v>0.81758488987396338</v>
      </c>
    </row>
    <row r="62" spans="7:34">
      <c r="G62" s="77"/>
      <c r="H62" s="31"/>
      <c r="I62" s="31"/>
      <c r="J62" s="31"/>
      <c r="K62" s="31"/>
      <c r="L62" s="31"/>
      <c r="M62" s="78"/>
      <c r="N62" s="77"/>
    </row>
    <row r="63" spans="7:34">
      <c r="G63" s="77" t="s">
        <v>1686</v>
      </c>
      <c r="H63" s="31"/>
      <c r="I63" s="31">
        <f>W49/V49</f>
        <v>-0.35990529487249584</v>
      </c>
      <c r="J63" s="31"/>
      <c r="N63" s="77"/>
    </row>
    <row r="64" spans="7:34">
      <c r="G64" s="77" t="s">
        <v>504</v>
      </c>
      <c r="H64" s="31"/>
      <c r="I64" s="31">
        <f>1/V49</f>
        <v>4.1703397532569055E-2</v>
      </c>
      <c r="J64" s="31"/>
      <c r="N64" s="77"/>
      <c r="O64" t="s">
        <v>805</v>
      </c>
      <c r="R64">
        <v>1.96</v>
      </c>
    </row>
    <row r="65" spans="7:15">
      <c r="G65" s="80" t="s">
        <v>506</v>
      </c>
      <c r="H65" s="31"/>
      <c r="I65" s="31">
        <f>$R$64*SQRT(I64)</f>
        <v>0.40025963069127679</v>
      </c>
      <c r="J65" s="31"/>
      <c r="K65" s="31" t="s">
        <v>507</v>
      </c>
      <c r="L65" s="31"/>
      <c r="M65" s="78">
        <f>ABS(I63/(SQRT(I64)))</f>
        <v>1.7623920172308938</v>
      </c>
      <c r="N65" s="77"/>
    </row>
    <row r="66" spans="7:15">
      <c r="G66" s="81" t="s">
        <v>509</v>
      </c>
      <c r="H66" s="82"/>
      <c r="I66" s="82">
        <v>-3</v>
      </c>
      <c r="J66" s="82"/>
      <c r="K66" s="31" t="s">
        <v>825</v>
      </c>
      <c r="L66" s="31"/>
      <c r="M66" s="78">
        <f>2*(1-NORMDIST(M65,0,1,1))</f>
        <v>7.8003086450849413E-2</v>
      </c>
      <c r="N66" s="77"/>
    </row>
    <row r="67" spans="7:15">
      <c r="G67" s="74"/>
      <c r="H67" s="74"/>
      <c r="I67" s="74"/>
      <c r="J67" s="74"/>
      <c r="K67" s="74"/>
      <c r="L67" s="74"/>
      <c r="M67" s="74"/>
      <c r="N67" s="31"/>
      <c r="O67" s="7"/>
    </row>
  </sheetData>
  <phoneticPr fontId="10" type="noConversion"/>
  <conditionalFormatting sqref="D17 D13 F13">
    <cfRule type="cellIs" dxfId="110" priority="0" stopIfTrue="1" operator="lessThan">
      <formula>0.05</formula>
    </cfRule>
  </conditionalFormatting>
  <conditionalFormatting sqref="D21">
    <cfRule type="cellIs" dxfId="10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sheetPr published="0" codeName="Sheet10" enableFormatConditionsCalculation="0"/>
  <dimension ref="A1:IV15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665</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I140-O133</f>
        <v>35</v>
      </c>
      <c r="AD7" s="89"/>
    </row>
    <row r="8" spans="2:30">
      <c r="B8" t="s">
        <v>822</v>
      </c>
      <c r="D8">
        <f>SUM(H24:H65)</f>
        <v>1248</v>
      </c>
      <c r="AD8" s="89"/>
    </row>
    <row r="9" spans="2:30">
      <c r="B9" t="s">
        <v>823</v>
      </c>
      <c r="D9">
        <f>SUM(I24:I65)</f>
        <v>1214</v>
      </c>
      <c r="AD9" s="89"/>
    </row>
    <row r="11" spans="2:30">
      <c r="B11" s="27" t="s">
        <v>516</v>
      </c>
      <c r="C11" s="28"/>
      <c r="D11" s="109">
        <f>P135</f>
        <v>129.64963669639252</v>
      </c>
      <c r="E11" s="110" t="s">
        <v>1513</v>
      </c>
      <c r="F11" s="103"/>
    </row>
    <row r="12" spans="2:30">
      <c r="B12" s="30" t="s">
        <v>826</v>
      </c>
      <c r="C12" s="31"/>
      <c r="D12" s="112">
        <f>P137</f>
        <v>68.376309379090756</v>
      </c>
      <c r="E12" s="31"/>
      <c r="F12" s="105"/>
    </row>
    <row r="13" spans="2:30">
      <c r="B13" s="35" t="s">
        <v>825</v>
      </c>
      <c r="C13" s="36"/>
      <c r="D13" s="113">
        <f>P136</f>
        <v>3.9312787334257957E-11</v>
      </c>
      <c r="E13" s="111" t="s">
        <v>825</v>
      </c>
      <c r="F13" s="115">
        <f>Q144</f>
        <v>0.11084014440475554</v>
      </c>
    </row>
    <row r="15" spans="2:30">
      <c r="B15" s="39" t="s">
        <v>879</v>
      </c>
      <c r="C15" s="40"/>
      <c r="D15" s="41">
        <f>AH137</f>
        <v>-0.38736937557766882</v>
      </c>
      <c r="E15" s="116"/>
    </row>
    <row r="16" spans="2:30">
      <c r="B16" s="43" t="s">
        <v>1165</v>
      </c>
      <c r="C16" s="31"/>
      <c r="D16" s="33">
        <f>AH137-AH139</f>
        <v>-0.47075421767315162</v>
      </c>
      <c r="E16" s="117">
        <f>AH137+AH138</f>
        <v>-0.30398453348218601</v>
      </c>
    </row>
    <row r="17" spans="1:65">
      <c r="B17" s="45" t="s">
        <v>1166</v>
      </c>
      <c r="C17" s="46"/>
      <c r="D17" s="124">
        <f>M138</f>
        <v>0</v>
      </c>
      <c r="E17" s="118"/>
    </row>
    <row r="18" spans="1:65">
      <c r="D18" s="48"/>
      <c r="F18" s="49"/>
      <c r="BC18" s="4"/>
    </row>
    <row r="19" spans="1:65">
      <c r="B19" s="50" t="s">
        <v>1167</v>
      </c>
      <c r="C19" s="51"/>
      <c r="D19" s="52">
        <f>AH141</f>
        <v>-0.4392100194909947</v>
      </c>
      <c r="E19" s="120"/>
      <c r="F19" s="33"/>
      <c r="G19" s="31"/>
    </row>
    <row r="20" spans="1:65">
      <c r="B20" s="53" t="s">
        <v>1165</v>
      </c>
      <c r="C20" s="31"/>
      <c r="D20" s="33">
        <f>AH141-AH143</f>
        <v>-0.59551626378829203</v>
      </c>
      <c r="E20" s="121">
        <f>AH141+AH142</f>
        <v>-0.28290377519369736</v>
      </c>
      <c r="F20" s="31"/>
      <c r="G20" s="31"/>
    </row>
    <row r="21" spans="1:65">
      <c r="B21" s="54" t="s">
        <v>1440</v>
      </c>
      <c r="C21" s="55"/>
      <c r="D21" s="125">
        <f>M149</f>
        <v>3.6403156267184045E-8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10405084</v>
      </c>
      <c r="C24" s="1" t="str">
        <f>IF($B24="","",HYPERLINK(IF(LEN(VLOOKUP($B24,Database!$B$1:$IX$10144,2,FALSE))=0,"",VLOOKUP($B24,Database!$B$1:$IX$10144,2,FALSE))))</f>
        <v/>
      </c>
      <c r="D24" s="1" t="str">
        <f t="shared" ref="D24:D37" si="0">IF($B24="","",HYPERLINK(CONCATENATE("http://www.ncbi.nlm.nih.gov/pubmed/",B24)))</f>
        <v>http://www.ncbi.nlm.nih.gov/pubmed/10405084</v>
      </c>
      <c r="E24" s="22" t="str">
        <f>IF($B24="","",IF(LEN(VLOOKUP($B24,Database!$B$1:$IX$10144,4,FALSE))=0,"",VLOOKUP($B24,Database!$B$1:$IX$10144,4,FALSE)))</f>
        <v>Ashtari M</v>
      </c>
      <c r="F24" s="22">
        <f>IF($B24="","",IF(LEN(VLOOKUP($B24,Database!$B$1:$IX$10144,5,FALSE))=0,"",VLOOKUP($B24,Database!$B$1:$IX$10144,5,FALSE)))</f>
        <v>1999</v>
      </c>
      <c r="G24" s="1" t="str">
        <f>IF($B24="","",HYPERLINK(IF(LEN(VLOOKUP($B24,Database!$B$1:$IX$10144,6,FALSE))=0,"",VLOOKUP($B24,Database!$B$1:$IX$10144,6,FALSE))))</f>
        <v>http://dx.doi.org/10.1017/S0033291799008405</v>
      </c>
      <c r="H24" s="22">
        <f>IF($B24="","",IF(LEN(VLOOKUP($B24,Database!$B$1:$IX$10144,7,FALSE))=0,"",VLOOKUP($B24,Database!$B$1:$IX$10144,7,FALSE)))</f>
        <v>40</v>
      </c>
      <c r="I24" s="22">
        <f>IF($B24="","",IF(LEN(VLOOKUP($B24,Database!$B$1:$IX$10144,8,FALSE))=0,"",VLOOKUP($B24,Database!$B$1:$IX$10144,8,FALSE)))</f>
        <v>46</v>
      </c>
      <c r="J24" t="s">
        <v>940</v>
      </c>
      <c r="L24">
        <v>1745</v>
      </c>
      <c r="M24">
        <v>380</v>
      </c>
      <c r="N24">
        <v>1853</v>
      </c>
      <c r="O24">
        <v>348</v>
      </c>
      <c r="P24">
        <v>1742</v>
      </c>
      <c r="Q24">
        <v>345</v>
      </c>
      <c r="R24">
        <v>1843</v>
      </c>
      <c r="S24">
        <v>337</v>
      </c>
      <c r="T24">
        <v>3487</v>
      </c>
      <c r="U24">
        <v>662</v>
      </c>
      <c r="V24">
        <v>3697</v>
      </c>
      <c r="W24">
        <v>597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v>
      </c>
      <c r="AD24" s="22">
        <f>IF(OR($B24="",AD$22=""),"",IF(LEN(VLOOKUP($B24,Database!$B$1:$IX$10144,AD$22,FALSE))=0,"",VLOOKUP($B24,Database!$B$1:$IX$10144,AD$22,FALSE)))</f>
        <v>71.400000000000006</v>
      </c>
      <c r="AE24" s="22">
        <f>IF(OR($B24="",AE$22=""),"",IF(LEN(VLOOKUP($B24,Database!$B$1:$IX$10144,AE$22,FALSE))=0,"",VLOOKUP($B24,Database!$B$1:$IX$10144,AE$22,FALSE)))</f>
        <v>0.3</v>
      </c>
      <c r="AF24" s="22">
        <f>IF(OR($B24="",AF$22=""),"",IF(LEN(VLOOKUP($B24,Database!$B$1:$IX$10144,AF$22,FALSE))=0,"",VLOOKUP($B24,Database!$B$1:$IX$10144,AF$22,FALSE)))</f>
        <v>28</v>
      </c>
      <c r="AG24" s="22">
        <f>IF(OR($B24="",AG$22=""),"",IF(LEN(VLOOKUP($B24,Database!$B$1:$IX$10144,AG$22,FALSE))=0,"",VLOOKUP($B24,Database!$B$1:$IX$10144,AG$22,FALSE)))</f>
        <v>28</v>
      </c>
      <c r="AH24" s="22">
        <f>IF(OR($B24="",AH$22=""),"",IF(LEN(VLOOKUP($B24,Database!$B$1:$IX$10144,AH$22,FALSE))=0,"",VLOOKUP($B24,Database!$B$1:$IX$10144,AH$22,FALSE)))</f>
        <v>1</v>
      </c>
      <c r="AI24" s="22">
        <f>IF(OR($B24="",AI$22=""),"",IF(LEN(VLOOKUP($B24,Database!$B$1:$IX$10144,AI$22,FALSE))=0,"",VLOOKUP($B24,Database!$B$1:$IX$10144,AI$22,FALSE)))</f>
        <v>3.1</v>
      </c>
      <c r="AJ24" s="22" t="str">
        <f>IF(OR($B24="",AJ$22=""),"",IF(LEN(VLOOKUP($B24,Database!$B$1:$IX$10144,AJ$22,FALSE))=0,"",VLOOKUP($B24,Database!$B$1:$IX$10144,AJ$22,FALSE)))</f>
        <v/>
      </c>
      <c r="AK24" s="22">
        <f>IF(OR($B24="",AK$22=""),"",IF(LEN(VLOOKUP($B24,Database!$B$1:$IX$10144,AK$22,FALSE))=0,"",VLOOKUP($B24,Database!$B$1:$IX$10144,AK$22,FALSE)))</f>
        <v>61.5</v>
      </c>
      <c r="AL24" s="22">
        <f>IF(OR($B24="",AL$22=""),"",IF(LEN(VLOOKUP($B24,Database!$B$1:$IX$10144,AL$22,FALSE))=0,"",VLOOKUP($B24,Database!$B$1:$IX$10144,AL$22,FALSE)))</f>
        <v>26.1</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Ashtari M, Greenwald BS, Kramer-Ginsberg E, Hu J, Wu H, Patel M, Aupperle P, Pollack S.</v>
      </c>
      <c r="AR24" s="13"/>
      <c r="AX24" s="13"/>
      <c r="AY24" s="13"/>
      <c r="AZ24" s="13"/>
      <c r="BA24" s="13"/>
      <c r="BC24" s="23"/>
      <c r="BF24" s="136"/>
      <c r="BG24" s="136"/>
      <c r="BH24" s="136"/>
      <c r="BI24" s="136"/>
    </row>
    <row r="25" spans="1:65">
      <c r="A25" t="s">
        <v>2013</v>
      </c>
      <c r="B25">
        <v>10618023</v>
      </c>
      <c r="C25" s="1" t="str">
        <f>IF($B25="","",HYPERLINK(IF(LEN(VLOOKUP($B25,Database!$B$1:$IX$10144,2,FALSE))=0,"",VLOOKUP($B25,Database!$B$1:$IX$10144,2,FALSE))))</f>
        <v/>
      </c>
      <c r="D25" s="1" t="str">
        <f t="shared" si="0"/>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887</v>
      </c>
      <c r="K25" t="s">
        <v>1044</v>
      </c>
      <c r="L25">
        <v>940</v>
      </c>
      <c r="M25">
        <v>208</v>
      </c>
      <c r="N25">
        <v>1166</v>
      </c>
      <c r="O25">
        <v>248</v>
      </c>
      <c r="P25">
        <v>982</v>
      </c>
      <c r="Q25">
        <v>269</v>
      </c>
      <c r="R25">
        <v>1113</v>
      </c>
      <c r="S25">
        <v>194</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2"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v>10862809</v>
      </c>
      <c r="C26" s="1" t="str">
        <f>IF($B26="","",HYPERLINK(IF(LEN(VLOOKUP($B26,Database!$B$1:$IX$10144,2,FALSE))=0,"",VLOOKUP($B26,Database!$B$1:$IX$10144,2,FALSE))))</f>
        <v/>
      </c>
      <c r="D26" s="1" t="str">
        <f t="shared" si="0"/>
        <v>http://www.ncbi.nlm.nih.gov/pubmed/10862809</v>
      </c>
      <c r="E26" s="22" t="str">
        <f>IF($B26="","",IF(LEN(VLOOKUP($B26,Database!$B$1:$IX$10144,4,FALSE))=0,"",VLOOKUP($B26,Database!$B$1:$IX$10144,4,FALSE)))</f>
        <v>Vakili K</v>
      </c>
      <c r="F26" s="22">
        <f>IF($B26="","",IF(LEN(VLOOKUP($B26,Database!$B$1:$IX$10144,5,FALSE))=0,"",VLOOKUP($B26,Database!$B$1:$IX$10144,5,FALSE)))</f>
        <v>2000</v>
      </c>
      <c r="G26" s="1" t="str">
        <f>IF($B26="","",HYPERLINK(IF(LEN(VLOOKUP($B26,Database!$B$1:$IX$10144,6,FALSE))=0,"",VLOOKUP($B26,Database!$B$1:$IX$10144,6,FALSE))))</f>
        <v>http://dx.doi.org/10.1016/S0006-3223(99)00296-6</v>
      </c>
      <c r="H26" s="22">
        <f>IF($B26="","",IF(LEN(VLOOKUP($B26,Database!$B$1:$IX$10144,7,FALSE))=0,"",VLOOKUP($B26,Database!$B$1:$IX$10144,7,FALSE)))</f>
        <v>38</v>
      </c>
      <c r="I26" s="22">
        <f>IF($B26="","",IF(LEN(VLOOKUP($B26,Database!$B$1:$IX$10144,8,FALSE))=0,"",VLOOKUP($B26,Database!$B$1:$IX$10144,8,FALSE)))</f>
        <v>20</v>
      </c>
      <c r="J26" t="s">
        <v>1046</v>
      </c>
      <c r="L26">
        <v>2.64</v>
      </c>
      <c r="M26">
        <v>0.55000000000000004</v>
      </c>
      <c r="N26">
        <v>2.46</v>
      </c>
      <c r="O26">
        <v>0.38</v>
      </c>
      <c r="P26">
        <v>2.61</v>
      </c>
      <c r="Q26">
        <v>0.57999999999999996</v>
      </c>
      <c r="R26">
        <v>2.6</v>
      </c>
      <c r="S26">
        <v>0.51</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38.5</v>
      </c>
      <c r="AC26" s="22">
        <f>IF(OR($B26="",AC$22=""),"",IF(LEN(VLOOKUP($B26,Database!$B$1:$IX$10144,AC$22,FALSE))=0,"",VLOOKUP($B26,Database!$B$1:$IX$10144,AC$22,FALSE)))</f>
        <v>10</v>
      </c>
      <c r="AD26" s="22">
        <f>IF(OR($B26="",AD$22=""),"",IF(LEN(VLOOKUP($B26,Database!$B$1:$IX$10144,AD$22,FALSE))=0,"",VLOOKUP($B26,Database!$B$1:$IX$10144,AD$22,FALSE)))</f>
        <v>40.299999999999997</v>
      </c>
      <c r="AE26" s="22">
        <f>IF(OR($B26="",AE$22=""),"",IF(LEN(VLOOKUP($B26,Database!$B$1:$IX$10144,AE$22,FALSE))=0,"",VLOOKUP($B26,Database!$B$1:$IX$10144,AE$22,FALSE)))</f>
        <v>10.4</v>
      </c>
      <c r="AF26" s="22">
        <f>IF(OR($B26="",AF$22=""),"",IF(LEN(VLOOKUP($B26,Database!$B$1:$IX$10144,AF$22,FALSE))=0,"",VLOOKUP($B26,Database!$B$1:$IX$10144,AF$22,FALSE)))</f>
        <v>21</v>
      </c>
      <c r="AG26" s="22">
        <f>IF(OR($B26="",AG$22=""),"",IF(LEN(VLOOKUP($B26,Database!$B$1:$IX$10144,AG$22,FALSE))=0,"",VLOOKUP($B26,Database!$B$1:$IX$10144,AG$22,FALSE)))</f>
        <v>11</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Vakili K, Pillay SS, Lafer B, Fava M, Renshaw PF, Bonello-Cintron CM, Yurgelun-Todd DA.</v>
      </c>
      <c r="AR26" s="13"/>
      <c r="AX26" s="13"/>
      <c r="AY26" s="13"/>
      <c r="AZ26" s="13"/>
      <c r="BA26" s="13"/>
      <c r="BC26" s="23"/>
      <c r="BF26" s="136"/>
      <c r="BG26" s="136"/>
      <c r="BH26" s="136"/>
      <c r="BI26" s="136"/>
    </row>
    <row r="27" spans="1:65">
      <c r="B27">
        <v>11750892</v>
      </c>
      <c r="C27" s="1" t="str">
        <f>IF($B27="","",HYPERLINK(IF(LEN(VLOOKUP($B27,Database!$B$1:$IX$10144,2,FALSE))=0,"",VLOOKUP($B27,Database!$B$1:$IX$10144,2,FALSE))))</f>
        <v/>
      </c>
      <c r="D27" s="1" t="str">
        <f t="shared" si="0"/>
        <v>http://www.ncbi.nlm.nih.gov/pubmed/11750892</v>
      </c>
      <c r="E27" s="22" t="str">
        <f>IF($B27="","",IF(LEN(VLOOKUP($B27,Database!$B$1:$IX$10144,4,FALSE))=0,"",VLOOKUP($B27,Database!$B$1:$IX$10144,4,FALSE)))</f>
        <v>Rusch BD</v>
      </c>
      <c r="F27" s="22">
        <f>IF($B27="","",IF(LEN(VLOOKUP($B27,Database!$B$1:$IX$10144,5,FALSE))=0,"",VLOOKUP($B27,Database!$B$1:$IX$10144,5,FALSE)))</f>
        <v>2001</v>
      </c>
      <c r="G27" s="1" t="str">
        <f>IF($B27="","",HYPERLINK(IF(LEN(VLOOKUP($B27,Database!$B$1:$IX$10144,6,FALSE))=0,"",VLOOKUP($B27,Database!$B$1:$IX$10144,6,FALSE))))</f>
        <v>http://dx.doi.org/10.1016/S0006-3223(01)01248-3</v>
      </c>
      <c r="H27" s="22">
        <f>IF($B27="","",IF(LEN(VLOOKUP($B27,Database!$B$1:$IX$10144,7,FALSE))=0,"",VLOOKUP($B27,Database!$B$1:$IX$10144,7,FALSE)))</f>
        <v>25</v>
      </c>
      <c r="I27" s="22">
        <f>IF($B27="","",IF(LEN(VLOOKUP($B27,Database!$B$1:$IX$10144,8,FALSE))=0,"",VLOOKUP($B27,Database!$B$1:$IX$10144,8,FALSE)))</f>
        <v>15</v>
      </c>
      <c r="J27" t="s">
        <v>866</v>
      </c>
      <c r="L27">
        <v>2.17</v>
      </c>
      <c r="M27">
        <v>0.26</v>
      </c>
      <c r="N27">
        <v>2.13</v>
      </c>
      <c r="O27">
        <v>0.27</v>
      </c>
      <c r="P27">
        <v>2.29</v>
      </c>
      <c r="Q27">
        <v>0.3</v>
      </c>
      <c r="R27">
        <v>2.2000000000000002</v>
      </c>
      <c r="S27">
        <v>0.24</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33.200000000000003</v>
      </c>
      <c r="AC27" s="22">
        <f>IF(OR($B27="",AC$22=""),"",IF(LEN(VLOOKUP($B27,Database!$B$1:$IX$10144,AC$22,FALSE))=0,"",VLOOKUP($B27,Database!$B$1:$IX$10144,AC$22,FALSE)))</f>
        <v>9.5</v>
      </c>
      <c r="AD27" s="22">
        <f>IF(OR($B27="",AD$22=""),"",IF(LEN(VLOOKUP($B27,Database!$B$1:$IX$10144,AD$22,FALSE))=0,"",VLOOKUP($B27,Database!$B$1:$IX$10144,AD$22,FALSE)))</f>
        <v>37.4</v>
      </c>
      <c r="AE27" s="22">
        <f>IF(OR($B27="",AE$22=""),"",IF(LEN(VLOOKUP($B27,Database!$B$1:$IX$10144,AE$22,FALSE))=0,"",VLOOKUP($B27,Database!$B$1:$IX$10144,AE$22,FALSE)))</f>
        <v>14.4</v>
      </c>
      <c r="AF27" s="22">
        <f>IF(OR($B27="",AF$22=""),"",IF(LEN(VLOOKUP($B27,Database!$B$1:$IX$10144,AF$22,FALSE))=0,"",VLOOKUP($B27,Database!$B$1:$IX$10144,AF$22,FALSE)))</f>
        <v>14</v>
      </c>
      <c r="AG27" s="22">
        <f>IF(OR($B27="",AG$22=""),"",IF(LEN(VLOOKUP($B27,Database!$B$1:$IX$10144,AG$22,FALSE))=0,"",VLOOKUP($B27,Database!$B$1:$IX$10144,AG$22,FALSE)))</f>
        <v>9</v>
      </c>
      <c r="AH27" s="22">
        <f>IF(OR($B27="",AH$22=""),"",IF(LEN(VLOOKUP($B27,Database!$B$1:$IX$10144,AH$22,FALSE))=0,"",VLOOKUP($B27,Database!$B$1:$IX$10144,AH$22,FALSE)))</f>
        <v>1.5</v>
      </c>
      <c r="AI27" s="22">
        <f>IF(OR($B27="",AI$22=""),"",IF(LEN(VLOOKUP($B27,Database!$B$1:$IX$10144,AI$22,FALSE))=0,"",VLOOKUP($B27,Database!$B$1:$IX$10144,AI$22,FALSE)))</f>
        <v>1.2</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19.399999999999999</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100</v>
      </c>
      <c r="AQ27" s="22" t="str">
        <f>IF(OR($B27="",AQ$22=""),"",IF(LEN(VLOOKUP($B27,Database!$B$1:$IX$10144,AQ$22,FALSE))=0,"",VLOOKUP($B27,Database!$B$1:$IX$10144,AQ$22,FALSE)))</f>
        <v>Rusch BD, Abercrombie HC, Oakes TR, Schaefer SM, Davidson RJ.</v>
      </c>
      <c r="AR27" s="13"/>
      <c r="AX27" s="13"/>
      <c r="AY27" s="13"/>
      <c r="AZ27" s="13"/>
      <c r="BA27" s="13"/>
      <c r="BC27" s="23"/>
      <c r="BF27" s="136"/>
      <c r="BG27" s="136"/>
      <c r="BH27" s="136"/>
      <c r="BI27" s="136"/>
    </row>
    <row r="28" spans="1:65">
      <c r="A28" t="s">
        <v>2084</v>
      </c>
      <c r="B28">
        <v>12804127</v>
      </c>
      <c r="C28" s="1" t="str">
        <f>IF($B28="","",HYPERLINK(IF(LEN(VLOOKUP($B28,Database!$B$1:$IX$10144,2,FALSE))=0,"",VLOOKUP($B28,Database!$B$1:$IX$10144,2,FALSE))))</f>
        <v/>
      </c>
      <c r="D28" s="1" t="str">
        <f t="shared" si="0"/>
        <v>http://www.ncbi.nlm.nih.gov/pubmed/12804127</v>
      </c>
      <c r="E28" s="22" t="str">
        <f>IF($B28="","",IF(LEN(VLOOKUP($B28,Database!$B$1:$IX$10144,4,FALSE))=0,"",VLOOKUP($B28,Database!$B$1:$IX$10144,4,FALSE)))</f>
        <v>MacMillan S</v>
      </c>
      <c r="F28" s="22">
        <f>IF($B28="","",IF(LEN(VLOOKUP($B28,Database!$B$1:$IX$10144,5,FALSE))=0,"",VLOOKUP($B28,Database!$B$1:$IX$10144,5,FALSE)))</f>
        <v>2003</v>
      </c>
      <c r="G28" s="1" t="str">
        <f>IF($B28="","",HYPERLINK(IF(LEN(VLOOKUP($B28,Database!$B$1:$IX$10144,6,FALSE))=0,"",VLOOKUP($B28,Database!$B$1:$IX$10144,6,FALSE))))</f>
        <v>http://www.liebertonline.com/doi/pdf/10.1089/104454603321666207</v>
      </c>
      <c r="H28" s="22">
        <f>IF($B28="","",IF(LEN(VLOOKUP($B28,Database!$B$1:$IX$10144,7,FALSE))=0,"",VLOOKUP($B28,Database!$B$1:$IX$10144,7,FALSE)))</f>
        <v>23</v>
      </c>
      <c r="I28" s="22">
        <f>IF($B28="","",IF(LEN(VLOOKUP($B28,Database!$B$1:$IX$10144,8,FALSE))=0,"",VLOOKUP($B28,Database!$B$1:$IX$10144,8,FALSE)))</f>
        <v>23</v>
      </c>
      <c r="J28" t="s">
        <v>1378</v>
      </c>
      <c r="L28">
        <v>3.15</v>
      </c>
      <c r="M28">
        <v>0.39</v>
      </c>
      <c r="N28">
        <v>3.24</v>
      </c>
      <c r="O28">
        <v>0.44</v>
      </c>
      <c r="P28">
        <v>3.17</v>
      </c>
      <c r="Q28">
        <v>0.52</v>
      </c>
      <c r="R28">
        <v>3.26</v>
      </c>
      <c r="S28">
        <v>0.4</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f>IF(OR($B28="",AF$22=""),"",IF(LEN(VLOOKUP($B28,Database!$B$1:$IX$10144,AF$22,FALSE))=0,"",VLOOKUP($B28,Database!$B$1:$IX$10144,AF$22,FALSE)))</f>
        <v>13</v>
      </c>
      <c r="AG28" s="22">
        <f>IF(OR($B28="",AG$22=""),"",IF(LEN(VLOOKUP($B28,Database!$B$1:$IX$10144,AG$22,FALSE))=0,"",VLOOKUP($B28,Database!$B$1:$IX$10144,AG$22,FALSE)))</f>
        <v>13</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11.84</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MacMillan S, Szeszko PR, Moore GJ, Madden R, Lorch E, Ivey J, Banerjee SP, Rosenberg DR.</v>
      </c>
      <c r="AR28" s="13"/>
      <c r="AX28" s="13"/>
      <c r="AY28" s="13"/>
      <c r="AZ28" s="13"/>
      <c r="BA28" s="13"/>
      <c r="BC28" s="23"/>
      <c r="BF28" s="136"/>
      <c r="BG28" s="136"/>
      <c r="BH28" s="136"/>
      <c r="BI28" s="136"/>
    </row>
    <row r="29" spans="1:65">
      <c r="A29" s="10"/>
      <c r="B29">
        <v>12552118</v>
      </c>
      <c r="C29" s="1" t="str">
        <f>IF($B29="","",HYPERLINK(IF(LEN(VLOOKUP($B29,Database!$B$1:$IX$10144,2,FALSE))=0,"",VLOOKUP($B29,Database!$B$1:$IX$10144,2,FALSE))))</f>
        <v/>
      </c>
      <c r="D29" s="1" t="str">
        <f t="shared" si="0"/>
        <v>http://www.ncbi.nlm.nih.gov/pubmed/12552118</v>
      </c>
      <c r="E29" s="22" t="str">
        <f>IF($B29="","",IF(LEN(VLOOKUP($B29,Database!$B$1:$IX$10144,4,FALSE))=0,"",VLOOKUP($B29,Database!$B$1:$IX$10144,4,FALSE)))</f>
        <v>MacQueen GM</v>
      </c>
      <c r="F29" s="22">
        <f>IF($B29="","",IF(LEN(VLOOKUP($B29,Database!$B$1:$IX$10144,5,FALSE))=0,"",VLOOKUP($B29,Database!$B$1:$IX$10144,5,FALSE)))</f>
        <v>2003</v>
      </c>
      <c r="G29" s="1" t="str">
        <f>IF($B29="","",HYPERLINK(IF(LEN(VLOOKUP($B29,Database!$B$1:$IX$10144,6,FALSE))=0,"",VLOOKUP($B29,Database!$B$1:$IX$10144,6,FALSE))))</f>
        <v>http://www.pnas.org/content/100/3/1387.full.pdf</v>
      </c>
      <c r="H29" s="83">
        <v>20</v>
      </c>
      <c r="I29" s="83">
        <v>20</v>
      </c>
      <c r="J29" t="s">
        <v>1379</v>
      </c>
      <c r="K29" t="s">
        <v>1720</v>
      </c>
      <c r="L29">
        <v>2738</v>
      </c>
      <c r="M29">
        <v>301.10000000000002</v>
      </c>
      <c r="N29">
        <v>2761</v>
      </c>
      <c r="O29">
        <v>368.4</v>
      </c>
      <c r="P29">
        <v>2793</v>
      </c>
      <c r="Q29">
        <v>303.8</v>
      </c>
      <c r="R29">
        <v>2784</v>
      </c>
      <c r="S29">
        <v>342.2</v>
      </c>
      <c r="Y29" s="22" t="str">
        <f>IF(OR($B29="",Y$22=""),"",IF(LEN(VLOOKUP($B29,Database!$B$1:$IX$10144,Y$22,FALSE))=0,"",VLOOKUP($B29,Database!$B$1:$IX$10144,Y$22,FALSE)))</f>
        <v>DSM-IV</v>
      </c>
      <c r="Z29" s="22" t="str">
        <f>IF(OR($B29="",Z$22=""),"",IF(LEN(VLOOKUP($B29,Database!$B$1:$IX$10144,Z$22,FALSE))=0,"",VLOOKUP($B29,Database!$B$1:$IX$10144,Z$22,FALSE)))</f>
        <v>MRI</v>
      </c>
      <c r="AA29" s="83" t="s">
        <v>748</v>
      </c>
      <c r="AB29" s="83">
        <v>28.4</v>
      </c>
      <c r="AC29" s="83">
        <v>11.8</v>
      </c>
      <c r="AD29" s="83">
        <v>28.4</v>
      </c>
      <c r="AE29" s="83">
        <v>11.5</v>
      </c>
      <c r="AF29" s="83">
        <v>13</v>
      </c>
      <c r="AG29" s="214">
        <v>13</v>
      </c>
      <c r="AH29" s="22">
        <f>IF(OR($B29="",AH$22=""),"",IF(LEN(VLOOKUP($B29,Database!$B$1:$IX$10144,AH$22,FALSE))=0,"",VLOOKUP($B29,Database!$B$1:$IX$10144,AH$22,FALSE)))</f>
        <v>1.5</v>
      </c>
      <c r="AI29" s="22">
        <f>IF(OR($B29="",AI$22=""),"",IF(LEN(VLOOKUP($B29,Database!$B$1:$IX$10144,AI$22,FALSE))=0,"",VLOOKUP($B29,Database!$B$1:$IX$10144,AI$22,FALSE)))</f>
        <v>1.2</v>
      </c>
      <c r="AJ29" s="22" t="str">
        <f>IF(OR($B29="",AJ$22=""),"",IF(LEN(VLOOKUP($B29,Database!$B$1:$IX$10144,AJ$22,FALSE))=0,"",VLOOKUP($B29,Database!$B$1:$IX$10144,AJ$22,FALSE)))</f>
        <v/>
      </c>
      <c r="AK29" s="83">
        <v>26.3</v>
      </c>
      <c r="AL29" s="83">
        <v>19.100000000000001</v>
      </c>
      <c r="AM29" s="22" t="str">
        <f>IF(OR($B29="",AM$22=""),"",IF(LEN(VLOOKUP($B29,Database!$B$1:$IX$10144,AM$22,FALSE))=0,"",VLOOKUP($B29,Database!$B$1:$IX$10144,AM$22,FALSE)))</f>
        <v>ns</v>
      </c>
      <c r="AN29" s="22">
        <f>IF(OR($B29="",AN$22=""),"",IF(LEN(VLOOKUP($B29,Database!$B$1:$IX$10144,AN$22,FALSE))=0,"",VLOOKUP($B29,Database!$B$1:$IX$10144,AN$22,FALSE)))</f>
        <v>0</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MacQueen GM, Campbell S, McEwen BS, Macdonald K, Amano S, Joffe RT, Nahmias C, Young LT.</v>
      </c>
      <c r="AR29" s="13"/>
      <c r="AX29" s="13"/>
      <c r="AY29" s="13"/>
      <c r="AZ29" s="13"/>
      <c r="BA29" s="13"/>
      <c r="BC29" s="23"/>
      <c r="BF29" s="136"/>
      <c r="BG29" s="136"/>
      <c r="BH29" s="136"/>
      <c r="BI29" s="136"/>
    </row>
    <row r="30" spans="1:65">
      <c r="A30" s="10"/>
      <c r="B30">
        <v>12552118</v>
      </c>
      <c r="C30" s="1" t="str">
        <f>IF($B30="","",HYPERLINK(IF(LEN(VLOOKUP($B30,Database!$B$1:$IX$10144,2,FALSE))=0,"",VLOOKUP($B30,Database!$B$1:$IX$10144,2,FALSE))))</f>
        <v/>
      </c>
      <c r="D30" s="1" t="str">
        <f t="shared" si="0"/>
        <v>http://www.ncbi.nlm.nih.gov/pubmed/12552118</v>
      </c>
      <c r="E30" s="22" t="str">
        <f>IF($B30="","",IF(LEN(VLOOKUP($B30,Database!$B$1:$IX$10144,4,FALSE))=0,"",VLOOKUP($B30,Database!$B$1:$IX$10144,4,FALSE)))</f>
        <v>MacQueen GM</v>
      </c>
      <c r="F30" s="22">
        <f>IF($B30="","",IF(LEN(VLOOKUP($B30,Database!$B$1:$IX$10144,5,FALSE))=0,"",VLOOKUP($B30,Database!$B$1:$IX$10144,5,FALSE)))</f>
        <v>2003</v>
      </c>
      <c r="G30" s="1" t="str">
        <f>IF($B30="","",HYPERLINK(IF(LEN(VLOOKUP($B30,Database!$B$1:$IX$10144,6,FALSE))=0,"",VLOOKUP($B30,Database!$B$1:$IX$10144,6,FALSE))))</f>
        <v>http://www.pnas.org/content/100/3/1387.full.pdf</v>
      </c>
      <c r="H30" s="83">
        <v>17</v>
      </c>
      <c r="I30" s="83">
        <v>17</v>
      </c>
      <c r="J30" t="s">
        <v>1379</v>
      </c>
      <c r="K30" t="s">
        <v>687</v>
      </c>
      <c r="L30">
        <v>2381</v>
      </c>
      <c r="M30">
        <v>273.5</v>
      </c>
      <c r="N30">
        <v>2703</v>
      </c>
      <c r="O30">
        <v>249</v>
      </c>
      <c r="P30">
        <v>2392</v>
      </c>
      <c r="Q30">
        <v>256.7</v>
      </c>
      <c r="R30">
        <v>2692</v>
      </c>
      <c r="S30">
        <v>190.1</v>
      </c>
      <c r="Y30" s="22" t="str">
        <f>IF(OR($B30="",Y$22=""),"",IF(LEN(VLOOKUP($B30,Database!$B$1:$IX$10144,Y$22,FALSE))=0,"",VLOOKUP($B30,Database!$B$1:$IX$10144,Y$22,FALSE)))</f>
        <v>DSM-IV</v>
      </c>
      <c r="Z30" s="22" t="str">
        <f>IF(OR($B30="",Z$22=""),"",IF(LEN(VLOOKUP($B30,Database!$B$1:$IX$10144,Z$22,FALSE))=0,"",VLOOKUP($B30,Database!$B$1:$IX$10144,Z$22,FALSE)))</f>
        <v>MRI</v>
      </c>
      <c r="AA30" s="83" t="s">
        <v>747</v>
      </c>
      <c r="AB30" s="83">
        <v>35.9</v>
      </c>
      <c r="AC30" s="83">
        <v>11.1</v>
      </c>
      <c r="AD30" s="83">
        <v>36.200000000000003</v>
      </c>
      <c r="AE30" s="83">
        <v>11.9</v>
      </c>
      <c r="AF30" s="83">
        <v>11</v>
      </c>
      <c r="AG30" s="214">
        <v>11</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83">
        <v>24.9</v>
      </c>
      <c r="AL30" s="83">
        <v>17.5</v>
      </c>
      <c r="AM30" s="22" t="str">
        <f>IF(OR($B30="",AM$22=""),"",IF(LEN(VLOOKUP($B30,Database!$B$1:$IX$10144,AM$22,FALSE))=0,"",VLOOKUP($B30,Database!$B$1:$IX$10144,AM$22,FALSE)))</f>
        <v>ns</v>
      </c>
      <c r="AN30" s="22">
        <f>IF(OR($B30="",AN$22=""),"",IF(LEN(VLOOKUP($B30,Database!$B$1:$IX$10144,AN$22,FALSE))=0,"",VLOOKUP($B30,Database!$B$1:$IX$10144,AN$22,FALSE)))</f>
        <v>0</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MacQueen GM, Campbell S, McEwen BS, Macdonald K, Amano S, Joffe RT, Nahmias C, Young LT.</v>
      </c>
      <c r="AR30" s="13"/>
      <c r="AU30" s="13"/>
      <c r="AX30" s="13"/>
      <c r="AY30" s="13"/>
      <c r="AZ30" s="13"/>
      <c r="BA30" s="13"/>
      <c r="BC30" s="23"/>
      <c r="BF30" s="136"/>
      <c r="BG30" s="136"/>
      <c r="BH30" s="136"/>
      <c r="BI30" s="136"/>
    </row>
    <row r="31" spans="1:65">
      <c r="B31">
        <v>12505805</v>
      </c>
      <c r="C31" s="1" t="str">
        <f>IF($B31="","",HYPERLINK(IF(LEN(VLOOKUP($B31,Database!$B$1:$IX$10144,2,FALSE))=0,"",VLOOKUP($B31,Database!$B$1:$IX$10144,2,FALSE))))</f>
        <v/>
      </c>
      <c r="D31" s="1" t="str">
        <f t="shared" si="0"/>
        <v>http://www.ncbi.nlm.nih.gov/pubmed/12505805</v>
      </c>
      <c r="E31" s="22" t="str">
        <f>IF($B31="","",IF(LEN(VLOOKUP($B31,Database!$B$1:$IX$10144,4,FALSE))=0,"",VLOOKUP($B31,Database!$B$1:$IX$10144,4,FALSE)))</f>
        <v>Posener JA</v>
      </c>
      <c r="F31" s="22">
        <f>IF($B31="","",IF(LEN(VLOOKUP($B31,Database!$B$1:$IX$10144,5,FALSE))=0,"",VLOOKUP($B31,Database!$B$1:$IX$10144,5,FALSE)))</f>
        <v>2003</v>
      </c>
      <c r="G31" s="1" t="str">
        <f>IF($B31="","",HYPERLINK(IF(LEN(VLOOKUP($B31,Database!$B$1:$IX$10144,6,FALSE))=0,"",VLOOKUP($B31,Database!$B$1:$IX$10144,6,FALSE))))</f>
        <v>http://ajp.psychiatryonline.org/cgi/reprint/160/1/83</v>
      </c>
      <c r="H31" s="22">
        <f>IF($B31="","",IF(LEN(VLOOKUP($B31,Database!$B$1:$IX$10144,7,FALSE))=0,"",VLOOKUP($B31,Database!$B$1:$IX$10144,7,FALSE)))</f>
        <v>27</v>
      </c>
      <c r="I31" s="22">
        <f>IF($B31="","",IF(LEN(VLOOKUP($B31,Database!$B$1:$IX$10144,8,FALSE))=0,"",VLOOKUP($B31,Database!$B$1:$IX$10144,8,FALSE)))</f>
        <v>42</v>
      </c>
      <c r="J31" t="s">
        <v>887</v>
      </c>
      <c r="L31">
        <v>2546</v>
      </c>
      <c r="M31">
        <v>392.7</v>
      </c>
      <c r="N31">
        <v>2475</v>
      </c>
      <c r="O31">
        <v>359.4</v>
      </c>
      <c r="P31">
        <v>2948.4</v>
      </c>
      <c r="Q31">
        <v>446.7</v>
      </c>
      <c r="R31">
        <v>2993.9</v>
      </c>
      <c r="S31">
        <v>414.2</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33</v>
      </c>
      <c r="AC31" s="22">
        <f>IF(OR($B31="",AC$22=""),"",IF(LEN(VLOOKUP($B31,Database!$B$1:$IX$10144,AC$22,FALSE))=0,"",VLOOKUP($B31,Database!$B$1:$IX$10144,AC$22,FALSE)))</f>
        <v>10.7</v>
      </c>
      <c r="AD31" s="22">
        <f>IF(OR($B31="",AD$22=""),"",IF(LEN(VLOOKUP($B31,Database!$B$1:$IX$10144,AD$22,FALSE))=0,"",VLOOKUP($B31,Database!$B$1:$IX$10144,AD$22,FALSE)))</f>
        <v>33.200000000000003</v>
      </c>
      <c r="AE31" s="22">
        <f>IF(OR($B31="",AE$22=""),"",IF(LEN(VLOOKUP($B31,Database!$B$1:$IX$10144,AE$22,FALSE))=0,"",VLOOKUP($B31,Database!$B$1:$IX$10144,AE$22,FALSE)))</f>
        <v>10.8</v>
      </c>
      <c r="AF31" s="22">
        <f>IF(OR($B31="",AF$22=""),"",IF(LEN(VLOOKUP($B31,Database!$B$1:$IX$10144,AF$22,FALSE))=0,"",VLOOKUP($B31,Database!$B$1:$IX$10144,AF$22,FALSE)))</f>
        <v>15</v>
      </c>
      <c r="AG31" s="22">
        <f>IF(OR($B31="",AG$22=""),"",IF(LEN(VLOOKUP($B31,Database!$B$1:$IX$10144,AG$22,FALSE))=0,"",VLOOKUP($B31,Database!$B$1:$IX$10144,AG$22,FALSE)))</f>
        <v>23</v>
      </c>
      <c r="AH31" s="22">
        <f>IF(OR($B31="",AH$22=""),"",IF(LEN(VLOOKUP($B31,Database!$B$1:$IX$10144,AH$22,FALSE))=0,"",VLOOKUP($B31,Database!$B$1:$IX$10144,AH$22,FALSE)))</f>
        <v>1.5</v>
      </c>
      <c r="AI31" s="22">
        <f>IF(OR($B31="",AI$22=""),"",IF(LEN(VLOOKUP($B31,Database!$B$1:$IX$10144,AI$22,FALSE))=0,"",VLOOKUP($B31,Database!$B$1:$IX$10144,AI$22,FALSE)))</f>
        <v>1</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27.3</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Posener JA, Wang L, Price JL, Gado MH, Province MA, Miller MI, Babb CM, Csernansky JG.</v>
      </c>
      <c r="AR31" s="13"/>
      <c r="AU31" s="13"/>
      <c r="AX31" s="13"/>
      <c r="AY31" s="13"/>
      <c r="AZ31" s="13"/>
      <c r="BA31" s="13"/>
      <c r="BC31" s="23"/>
      <c r="BF31" s="136"/>
      <c r="BG31" s="136"/>
      <c r="BH31" s="136"/>
      <c r="BI31" s="136"/>
    </row>
    <row r="32" spans="1:65">
      <c r="A32" s="10"/>
      <c r="B32">
        <v>12900317</v>
      </c>
      <c r="C32" s="1" t="str">
        <f>IF($B32="","",HYPERLINK(IF(LEN(VLOOKUP($B32,Database!$B$1:$IX$10144,2,FALSE))=0,"",VLOOKUP($B32,Database!$B$1:$IX$10144,2,FALSE))))</f>
        <v/>
      </c>
      <c r="D32" s="1" t="str">
        <f t="shared" si="0"/>
        <v>http://www.ncbi.nlm.nih.gov/pubmed/12900317</v>
      </c>
      <c r="E32" s="22" t="str">
        <f>IF($B32="","",IF(LEN(VLOOKUP($B32,Database!$B$1:$IX$10144,4,FALSE))=0,"",VLOOKUP($B32,Database!$B$1:$IX$10144,4,FALSE)))</f>
        <v>Sheline YI</v>
      </c>
      <c r="F32" s="22">
        <f>IF($B32="","",IF(LEN(VLOOKUP($B32,Database!$B$1:$IX$10144,5,FALSE))=0,"",VLOOKUP($B32,Database!$B$1:$IX$10144,5,FALSE)))</f>
        <v>2003</v>
      </c>
      <c r="G32" s="1" t="str">
        <f>IF($B32="","",HYPERLINK(IF(LEN(VLOOKUP($B32,Database!$B$1:$IX$10144,6,FALSE))=0,"",VLOOKUP($B32,Database!$B$1:$IX$10144,6,FALSE))))</f>
        <v>http://ajp.psychiatryonline.org/cgi/reprint/160/8/1516</v>
      </c>
      <c r="H32" s="22">
        <f>IF($B32="","",IF(LEN(VLOOKUP($B32,Database!$B$1:$IX$10144,7,FALSE))=0,"",VLOOKUP($B32,Database!$B$1:$IX$10144,7,FALSE)))</f>
        <v>38</v>
      </c>
      <c r="I32" s="22">
        <f>IF($B32="","",IF(LEN(VLOOKUP($B32,Database!$B$1:$IX$10144,8,FALSE))=0,"",VLOOKUP($B32,Database!$B$1:$IX$10144,8,FALSE)))</f>
        <v>38</v>
      </c>
      <c r="J32" t="s">
        <v>939</v>
      </c>
      <c r="L32">
        <v>2171</v>
      </c>
      <c r="M32">
        <v>316</v>
      </c>
      <c r="N32">
        <v>2421</v>
      </c>
      <c r="O32">
        <v>318</v>
      </c>
      <c r="P32">
        <v>2203</v>
      </c>
      <c r="Q32">
        <v>315</v>
      </c>
      <c r="R32">
        <v>2429</v>
      </c>
      <c r="S32">
        <v>326</v>
      </c>
      <c r="T32">
        <v>4374</v>
      </c>
      <c r="U32">
        <v>601</v>
      </c>
      <c r="V32">
        <v>4850</v>
      </c>
      <c r="W32">
        <v>631</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50.8</v>
      </c>
      <c r="AC32" s="22">
        <f>IF(OR($B32="",AC$22=""),"",IF(LEN(VLOOKUP($B32,Database!$B$1:$IX$10144,AC$22,FALSE))=0,"",VLOOKUP($B32,Database!$B$1:$IX$10144,AC$22,FALSE)))</f>
        <v>17.100000000000001</v>
      </c>
      <c r="AD32" s="22" t="str">
        <f>IF(OR($B32="",AD$22=""),"",IF(LEN(VLOOKUP($B32,Database!$B$1:$IX$10144,AD$22,FALSE))=0,"",VLOOKUP($B32,Database!$B$1:$IX$10144,AD$22,FALSE)))</f>
        <v>ns</v>
      </c>
      <c r="AE32" s="22" t="str">
        <f>IF(OR($B32="",AE$22=""),"",IF(LEN(VLOOKUP($B32,Database!$B$1:$IX$10144,AE$22,FALSE))=0,"",VLOOKUP($B32,Database!$B$1:$IX$10144,AE$22,FALSE)))</f>
        <v>ns</v>
      </c>
      <c r="AF32" s="22">
        <f>IF(OR($B32="",AF$22=""),"",IF(LEN(VLOOKUP($B32,Database!$B$1:$IX$10144,AF$22,FALSE))=0,"",VLOOKUP($B32,Database!$B$1:$IX$10144,AF$22,FALSE)))</f>
        <v>38</v>
      </c>
      <c r="AG32" s="22" t="str">
        <f>IF(OR($B32="",AG$22=""),"",IF(LEN(VLOOKUP($B32,Database!$B$1:$IX$10144,AG$22,FALSE))=0,"",VLOOKUP($B32,Database!$B$1:$IX$10144,AG$22,FALSE)))</f>
        <v>ns</v>
      </c>
      <c r="AH32" s="22">
        <f>IF(OR($B32="",AH$22=""),"",IF(LEN(VLOOKUP($B32,Database!$B$1:$IX$10144,AH$22,FALSE))=0,"",VLOOKUP($B32,Database!$B$1:$IX$10144,AH$22,FALSE)))</f>
        <v>1.5</v>
      </c>
      <c r="AI32" s="22" t="str">
        <f>IF(OR($B32="",AI$22=""),"",IF(LEN(VLOOKUP($B32,Database!$B$1:$IX$10144,AI$22,FALSE))=0,"",VLOOKUP($B32,Database!$B$1:$IX$10144,AI$22,FALSE)))</f>
        <v>ns</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6.7</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Sheline YI, Gado MH, Kraemer HC.</v>
      </c>
      <c r="AR32" s="13"/>
      <c r="AX32" s="13"/>
      <c r="AY32" s="13"/>
      <c r="AZ32" s="13"/>
      <c r="BA32" s="13"/>
      <c r="BC32" s="23"/>
      <c r="BF32" s="136"/>
      <c r="BG32" s="136"/>
      <c r="BH32" s="136"/>
      <c r="BI32" s="136"/>
    </row>
    <row r="33" spans="1:61">
      <c r="A33" t="s">
        <v>2337</v>
      </c>
      <c r="B33">
        <v>15598548</v>
      </c>
      <c r="C33" s="1" t="str">
        <f>IF($B33="","",HYPERLINK(IF(LEN(VLOOKUP($B33,Database!$B$1:$IX$10144,2,FALSE))=0,"",VLOOKUP($B33,Database!$B$1:$IX$10144,2,FALSE))))</f>
        <v/>
      </c>
      <c r="D33" s="1" t="str">
        <f t="shared" si="0"/>
        <v>http://www.ncbi.nlm.nih.gov/pubmed/15598548</v>
      </c>
      <c r="E33" s="22" t="str">
        <f>IF($B33="","",IF(LEN(VLOOKUP($B33,Database!$B$1:$IX$10144,4,FALSE))=0,"",VLOOKUP($B33,Database!$B$1:$IX$10144,4,FALSE)))</f>
        <v>Caetano SC</v>
      </c>
      <c r="F33" s="22">
        <f>IF($B33="","",IF(LEN(VLOOKUP($B33,Database!$B$1:$IX$10144,5,FALSE))=0,"",VLOOKUP($B33,Database!$B$1:$IX$10144,5,FALSE)))</f>
        <v>2004</v>
      </c>
      <c r="G33" s="1" t="str">
        <f>IF($B33="","",HYPERLINK(IF(LEN(VLOOKUP($B33,Database!$B$1:$IX$10144,6,FALSE))=0,"",VLOOKUP($B33,Database!$B$1:$IX$10144,6,FALSE))))</f>
        <v>http://dx.doi.org/10.1016/j.pscychresns.2004.08.002</v>
      </c>
      <c r="H33" s="22">
        <f>IF($B33="","",IF(LEN(VLOOKUP($B33,Database!$B$1:$IX$10144,7,FALSE))=0,"",VLOOKUP($B33,Database!$B$1:$IX$10144,7,FALSE)))</f>
        <v>31</v>
      </c>
      <c r="I33" s="22">
        <f>IF($B33="","",IF(LEN(VLOOKUP($B33,Database!$B$1:$IX$10144,8,FALSE))=0,"",VLOOKUP($B33,Database!$B$1:$IX$10144,8,FALSE)))</f>
        <v>31</v>
      </c>
      <c r="J33" t="s">
        <v>1380</v>
      </c>
      <c r="L33">
        <v>3.32</v>
      </c>
      <c r="M33">
        <v>0.48</v>
      </c>
      <c r="N33">
        <v>3.37</v>
      </c>
      <c r="O33">
        <v>0.42</v>
      </c>
      <c r="P33">
        <v>3.22</v>
      </c>
      <c r="Q33">
        <v>0.39</v>
      </c>
      <c r="R33">
        <v>3.32</v>
      </c>
      <c r="S33">
        <v>0.43</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39.200000000000003</v>
      </c>
      <c r="AC33" s="22">
        <f>IF(OR($B33="",AC$22=""),"",IF(LEN(VLOOKUP($B33,Database!$B$1:$IX$10144,AC$22,FALSE))=0,"",VLOOKUP($B33,Database!$B$1:$IX$10144,AC$22,FALSE)))</f>
        <v>11.9</v>
      </c>
      <c r="AD33" s="22">
        <f>IF(OR($B33="",AD$22=""),"",IF(LEN(VLOOKUP($B33,Database!$B$1:$IX$10144,AD$22,FALSE))=0,"",VLOOKUP($B33,Database!$B$1:$IX$10144,AD$22,FALSE)))</f>
        <v>36.700000000000003</v>
      </c>
      <c r="AE33" s="22">
        <f>IF(OR($B33="",AE$22=""),"",IF(LEN(VLOOKUP($B33,Database!$B$1:$IX$10144,AE$22,FALSE))=0,"",VLOOKUP($B33,Database!$B$1:$IX$10144,AE$22,FALSE)))</f>
        <v>10.7</v>
      </c>
      <c r="AF33" s="22">
        <f>IF(OR($B33="",AF$22=""),"",IF(LEN(VLOOKUP($B33,Database!$B$1:$IX$10144,AF$22,FALSE))=0,"",VLOOKUP($B33,Database!$B$1:$IX$10144,AF$22,FALSE)))</f>
        <v>24</v>
      </c>
      <c r="AG33" s="22">
        <f>IF(OR($B33="",AG$22=""),"",IF(LEN(VLOOKUP($B33,Database!$B$1:$IX$10144,AG$22,FALSE))=0,"",VLOOKUP($B33,Database!$B$1:$IX$10144,AG$22,FALSE)))</f>
        <v>24</v>
      </c>
      <c r="AH33" s="22">
        <f>IF(OR($B33="",AH$22=""),"",IF(LEN(VLOOKUP($B33,Database!$B$1:$IX$10144,AH$22,FALSE))=0,"",VLOOKUP($B33,Database!$B$1:$IX$10144,AH$22,FALSE)))</f>
        <v>1.5</v>
      </c>
      <c r="AI33" s="22">
        <f>IF(OR($B33="",AI$22=""),"",IF(LEN(VLOOKUP($B33,Database!$B$1:$IX$10144,AI$22,FALSE))=0,"",VLOOKUP($B33,Database!$B$1:$IX$10144,AI$22,FALSE)))</f>
        <v>1.5</v>
      </c>
      <c r="AJ33" s="22" t="str">
        <f>IF(OR($B33="",AJ$22=""),"",IF(LEN(VLOOKUP($B33,Database!$B$1:$IX$10144,AJ$22,FALSE))=0,"",VLOOKUP($B33,Database!$B$1:$IX$10144,AJ$22,FALSE)))</f>
        <v/>
      </c>
      <c r="AK33" s="214">
        <v>27.9</v>
      </c>
      <c r="AL33" s="214">
        <v>11.8</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Caetano SC, Hatch JP, Brambilla P, Sassi RB, Nicoletti M, Mallinger AG, Frank E, Kupfer DJ, Keshavan MS, Soares JC.</v>
      </c>
      <c r="AR33" s="13"/>
      <c r="AX33" s="13"/>
      <c r="AY33" s="13"/>
      <c r="AZ33" s="13"/>
      <c r="BA33" s="13"/>
      <c r="BC33" s="23"/>
      <c r="BF33" s="136"/>
      <c r="BG33" s="136"/>
      <c r="BH33" s="136"/>
      <c r="BI33" s="136"/>
    </row>
    <row r="34" spans="1:61">
      <c r="A34" s="10"/>
      <c r="B34">
        <v>15576058</v>
      </c>
      <c r="C34" s="1" t="str">
        <f>IF($B34="","",HYPERLINK(IF(LEN(VLOOKUP($B34,Database!$B$1:$IX$10144,2,FALSE))=0,"",VLOOKUP($B34,Database!$B$1:$IX$10144,2,FALSE))))</f>
        <v/>
      </c>
      <c r="D34" s="1" t="str">
        <f t="shared" si="0"/>
        <v>http://www.ncbi.nlm.nih.gov/pubmed/15576058</v>
      </c>
      <c r="E34" s="22" t="str">
        <f>IF($B34="","",IF(LEN(VLOOKUP($B34,Database!$B$1:$IX$10144,4,FALSE))=0,"",VLOOKUP($B34,Database!$B$1:$IX$10144,4,FALSE)))</f>
        <v>Janssen J</v>
      </c>
      <c r="F34" s="22">
        <f>IF($B34="","",IF(LEN(VLOOKUP($B34,Database!$B$1:$IX$10144,5,FALSE))=0,"",VLOOKUP($B34,Database!$B$1:$IX$10144,5,FALSE)))</f>
        <v>2004</v>
      </c>
      <c r="G34" s="1" t="str">
        <f>IF($B34="","",HYPERLINK(IF(LEN(VLOOKUP($B34,Database!$B$1:$IX$10144,6,FALSE))=0,"",VLOOKUP($B34,Database!$B$1:$IX$10144,6,FALSE))))</f>
        <v>http://dx.doi.org/10.1016/j.biopsych.2004.09.011</v>
      </c>
      <c r="H34" s="22">
        <f>IF($B34="","",IF(LEN(VLOOKUP($B34,Database!$B$1:$IX$10144,7,FALSE))=0,"",VLOOKUP($B34,Database!$B$1:$IX$10144,7,FALSE)))</f>
        <v>28</v>
      </c>
      <c r="I34" s="22">
        <f>IF($B34="","",IF(LEN(VLOOKUP($B34,Database!$B$1:$IX$10144,8,FALSE))=0,"",VLOOKUP($B34,Database!$B$1:$IX$10144,8,FALSE)))</f>
        <v>41</v>
      </c>
      <c r="J34" t="s">
        <v>877</v>
      </c>
      <c r="L34">
        <v>3.1</v>
      </c>
      <c r="M34">
        <v>0.37</v>
      </c>
      <c r="N34">
        <v>3.2</v>
      </c>
      <c r="O34">
        <v>0.52</v>
      </c>
      <c r="P34">
        <v>2.84</v>
      </c>
      <c r="Q34">
        <v>0.39</v>
      </c>
      <c r="R34">
        <v>3.12</v>
      </c>
      <c r="S34">
        <v>0.45</v>
      </c>
      <c r="T34">
        <v>5.94</v>
      </c>
      <c r="U34">
        <v>0.7</v>
      </c>
      <c r="V34">
        <v>6.32</v>
      </c>
      <c r="W34">
        <v>0.93</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64.040000000000006</v>
      </c>
      <c r="AC34" s="22">
        <f>IF(OR($B34="",AC$22=""),"",IF(LEN(VLOOKUP($B34,Database!$B$1:$IX$10144,AC$22,FALSE))=0,"",VLOOKUP($B34,Database!$B$1:$IX$10144,AC$22,FALSE)))</f>
        <v>10.9</v>
      </c>
      <c r="AD34" s="22">
        <f>IF(OR($B34="",AD$22=""),"",IF(LEN(VLOOKUP($B34,Database!$B$1:$IX$10144,AD$22,FALSE))=0,"",VLOOKUP($B34,Database!$B$1:$IX$10144,AD$22,FALSE)))</f>
        <v>62.37</v>
      </c>
      <c r="AE34" s="22">
        <f>IF(OR($B34="",AE$22=""),"",IF(LEN(VLOOKUP($B34,Database!$B$1:$IX$10144,AE$22,FALSE))=0,"",VLOOKUP($B34,Database!$B$1:$IX$10144,AE$22,FALSE)))</f>
        <v>11.38</v>
      </c>
      <c r="AF34" s="22">
        <f>IF(OR($B34="",AF$22=""),"",IF(LEN(VLOOKUP($B34,Database!$B$1:$IX$10144,AF$22,FALSE))=0,"",VLOOKUP($B34,Database!$B$1:$IX$10144,AF$22,FALSE)))</f>
        <v>28</v>
      </c>
      <c r="AG34" s="22">
        <f>IF(OR($B34="",AG$22=""),"",IF(LEN(VLOOKUP($B34,Database!$B$1:$IX$10144,AG$22,FALSE))=0,"",VLOOKUP($B34,Database!$B$1:$IX$10144,AG$22,FALSE)))</f>
        <v>41</v>
      </c>
      <c r="AH34" s="22">
        <f>IF(OR($B34="",AH$22=""),"",IF(LEN(VLOOKUP($B34,Database!$B$1:$IX$10144,AH$22,FALSE))=0,"",VLOOKUP($B34,Database!$B$1:$IX$10144,AH$22,FALSE)))</f>
        <v>1.5</v>
      </c>
      <c r="AI34" s="22">
        <f>IF(OR($B34="",AI$22=""),"",IF(LEN(VLOOKUP($B34,Database!$B$1:$IX$10144,AI$22,FALSE))=0,"",VLOOKUP($B34,Database!$B$1:$IX$10144,AI$22,FALSE)))</f>
        <v>1.2</v>
      </c>
      <c r="AJ34" s="22" t="str">
        <f>IF(OR($B34="",AJ$22=""),"",IF(LEN(VLOOKUP($B34,Database!$B$1:$IX$10144,AJ$22,FALSE))=0,"",VLOOKUP($B34,Database!$B$1:$IX$10144,AJ$22,FALSE)))</f>
        <v/>
      </c>
      <c r="AK34" s="22">
        <f>IF(OR($B34="",AK$22=""),"",IF(LEN(VLOOKUP($B34,Database!$B$1:$IX$10144,AK$22,FALSE))=0,"",VLOOKUP($B34,Database!$B$1:$IX$10144,AK$22,FALSE)))</f>
        <v>33.04</v>
      </c>
      <c r="AL34" s="22" t="str">
        <f>IF(OR($B34="",AL$22=""),"",IF(LEN(VLOOKUP($B34,Database!$B$1:$IX$10144,AL$22,FALSE))=0,"",VLOOKUP($B34,Database!$B$1:$IX$10144,AL$22,FALSE)))</f>
        <v>ns</v>
      </c>
      <c r="AM34" s="22">
        <f>IF(OR($B34="",AM$22=""),"",IF(LEN(VLOOKUP($B34,Database!$B$1:$IX$10144,AM$22,FALSE))=0,"",VLOOKUP($B34,Database!$B$1:$IX$10144,AM$22,FALSE)))</f>
        <v>60.714285714285708</v>
      </c>
      <c r="AN34" s="22">
        <f>IF(OR($B34="",AN$22=""),"",IF(LEN(VLOOKUP($B34,Database!$B$1:$IX$10144,AN$22,FALSE))=0,"",VLOOKUP($B34,Database!$B$1:$IX$10144,AN$22,FALSE)))</f>
        <v>25</v>
      </c>
      <c r="AO34" s="22">
        <f>IF(OR($B34="",AO$22=""),"",IF(LEN(VLOOKUP($B34,Database!$B$1:$IX$10144,AO$22,FALSE))=0,"",VLOOKUP($B34,Database!$B$1:$IX$10144,AO$22,FALSE)))</f>
        <v>14.285714285714285</v>
      </c>
      <c r="AP34" s="22">
        <f>IF(OR($B34="",AP$22=""),"",IF(LEN(VLOOKUP($B34,Database!$B$1:$IX$10144,AP$22,FALSE))=0,"",VLOOKUP($B34,Database!$B$1:$IX$10144,AP$22,FALSE)))</f>
        <v>21.428571428571427</v>
      </c>
      <c r="AQ34" s="22" t="str">
        <f>IF(OR($B34="",AQ$22=""),"",IF(LEN(VLOOKUP($B34,Database!$B$1:$IX$10144,AQ$22,FALSE))=0,"",VLOOKUP($B34,Database!$B$1:$IX$10144,AQ$22,FALSE)))</f>
        <v>Janssen J, Hulshoff Pol HE, Lampe IK, Schnack HG, de Leeuw FE, Kahn RS, Heeren TJ.</v>
      </c>
      <c r="AR34" s="13"/>
      <c r="AX34" s="13"/>
      <c r="AY34" s="13"/>
      <c r="AZ34" s="13"/>
      <c r="BA34" s="13"/>
      <c r="BC34" s="23"/>
      <c r="BF34" s="136"/>
      <c r="BG34" s="136"/>
      <c r="BH34" s="136"/>
      <c r="BI34" s="136"/>
    </row>
    <row r="35" spans="1:61">
      <c r="A35" s="10"/>
      <c r="B35" s="13">
        <v>15554576</v>
      </c>
      <c r="C35" s="1" t="str">
        <f>IF($B35="","",HYPERLINK(IF(LEN(VLOOKUP($B35,Database!$B$1:$IX$10144,2,FALSE))=0,"",VLOOKUP($B35,Database!$B$1:$IX$10144,2,FALSE))))</f>
        <v/>
      </c>
      <c r="D35" s="1" t="str">
        <f t="shared" si="0"/>
        <v>http://www.ncbi.nlm.nih.gov/pubmed/15554576</v>
      </c>
      <c r="E35" s="22" t="str">
        <f>IF($B35="","",IF(LEN(VLOOKUP($B35,Database!$B$1:$IX$10144,4,FALSE))=0,"",VLOOKUP($B35,Database!$B$1:$IX$10144,4,FALSE)))</f>
        <v>Lange C</v>
      </c>
      <c r="F35" s="22">
        <f>IF($B35="","",IF(LEN(VLOOKUP($B35,Database!$B$1:$IX$10144,5,FALSE))=0,"",VLOOKUP($B35,Database!$B$1:$IX$10144,5,FALSE)))</f>
        <v>2004</v>
      </c>
      <c r="G35" s="1" t="str">
        <f>IF($B35="","",HYPERLINK(IF(LEN(VLOOKUP($B35,Database!$B$1:$IX$10144,6,FALSE))=0,"",VLOOKUP($B35,Database!$B$1:$IX$10144,6,FALSE))))</f>
        <v>http://dx.doi.org/10.1017/S0033291703001806</v>
      </c>
      <c r="H35" s="22">
        <f>IF($B35="","",IF(LEN(VLOOKUP($B35,Database!$B$1:$IX$10144,7,FALSE))=0,"",VLOOKUP($B35,Database!$B$1:$IX$10144,7,FALSE)))</f>
        <v>17</v>
      </c>
      <c r="I35" s="22">
        <f>IF($B35="","",IF(LEN(VLOOKUP($B35,Database!$B$1:$IX$10144,8,FALSE))=0,"",VLOOKUP($B35,Database!$B$1:$IX$10144,8,FALSE)))</f>
        <v>17</v>
      </c>
      <c r="J35" s="13" t="s">
        <v>1614</v>
      </c>
      <c r="K35" s="13"/>
      <c r="L35" s="13">
        <v>2.79</v>
      </c>
      <c r="M35" s="13">
        <v>0.41</v>
      </c>
      <c r="N35" s="13">
        <v>2.99</v>
      </c>
      <c r="O35" s="13">
        <v>0.46</v>
      </c>
      <c r="P35" s="13">
        <v>2.67</v>
      </c>
      <c r="Q35" s="13">
        <v>0.5</v>
      </c>
      <c r="R35" s="13">
        <v>3.19</v>
      </c>
      <c r="S35" s="13">
        <v>0.37</v>
      </c>
      <c r="T35" s="13">
        <v>5.46</v>
      </c>
      <c r="U35" s="13">
        <v>0.83</v>
      </c>
      <c r="V35" s="13">
        <v>6.19</v>
      </c>
      <c r="W35" s="13">
        <v>0.71</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34</v>
      </c>
      <c r="AC35" s="22">
        <f>IF(OR($B35="",AC$22=""),"",IF(LEN(VLOOKUP($B35,Database!$B$1:$IX$10144,AC$22,FALSE))=0,"",VLOOKUP($B35,Database!$B$1:$IX$10144,AC$22,FALSE)))</f>
        <v>10</v>
      </c>
      <c r="AD35" s="22">
        <f>IF(OR($B35="",AD$22=""),"",IF(LEN(VLOOKUP($B35,Database!$B$1:$IX$10144,AD$22,FALSE))=0,"",VLOOKUP($B35,Database!$B$1:$IX$10144,AD$22,FALSE)))</f>
        <v>32</v>
      </c>
      <c r="AE35" s="22">
        <f>IF(OR($B35="",AE$22=""),"",IF(LEN(VLOOKUP($B35,Database!$B$1:$IX$10144,AE$22,FALSE))=0,"",VLOOKUP($B35,Database!$B$1:$IX$10144,AE$22,FALSE)))</f>
        <v>6</v>
      </c>
      <c r="AF35" s="22">
        <f>IF(OR($B35="",AF$22=""),"",IF(LEN(VLOOKUP($B35,Database!$B$1:$IX$10144,AF$22,FALSE))=0,"",VLOOKUP($B35,Database!$B$1:$IX$10144,AF$22,FALSE)))</f>
        <v>17</v>
      </c>
      <c r="AG35" s="22">
        <f>IF(OR($B35="",AG$22=""),"",IF(LEN(VLOOKUP($B35,Database!$B$1:$IX$10144,AG$22,FALSE))=0,"",VLOOKUP($B35,Database!$B$1:$IX$10144,AG$22,FALSE)))</f>
        <v>17</v>
      </c>
      <c r="AH35" s="22">
        <f>IF(OR($B35="",AH$22=""),"",IF(LEN(VLOOKUP($B35,Database!$B$1:$IX$10144,AH$22,FALSE))=0,"",VLOOKUP($B35,Database!$B$1:$IX$10144,AH$22,FALSE)))</f>
        <v>1.5</v>
      </c>
      <c r="AI35" s="22">
        <f>IF(OR($B35="",AI$22=""),"",IF(LEN(VLOOKUP($B35,Database!$B$1:$IX$10144,AI$22,FALSE))=0,"",VLOOKUP($B35,Database!$B$1:$IX$10144,AI$22,FALSE)))</f>
        <v>1.3</v>
      </c>
      <c r="AJ35" s="22" t="str">
        <f>IF(OR($B35="",AJ$22=""),"",IF(LEN(VLOOKUP($B35,Database!$B$1:$IX$10144,AJ$22,FALSE))=0,"",VLOOKUP($B35,Database!$B$1:$IX$10144,AJ$22,FALSE)))</f>
        <v/>
      </c>
      <c r="AK35" s="22">
        <f>IF(OR($B35="",AK$22=""),"",IF(LEN(VLOOKUP($B35,Database!$B$1:$IX$10144,AK$22,FALSE))=0,"",VLOOKUP($B35,Database!$B$1:$IX$10144,AK$22,FALSE)))</f>
        <v>29</v>
      </c>
      <c r="AL35" s="22">
        <f>IF(OR($B35="",AL$22=""),"",IF(LEN(VLOOKUP($B35,Database!$B$1:$IX$10144,AL$22,FALSE))=0,"",VLOOKUP($B35,Database!$B$1:$IX$10144,AL$22,FALSE)))</f>
        <v>22</v>
      </c>
      <c r="AM35" s="22">
        <f>IF(OR($B35="",AM$22=""),"",IF(LEN(VLOOKUP($B35,Database!$B$1:$IX$10144,AM$22,FALSE))=0,"",VLOOKUP($B35,Database!$B$1:$IX$10144,AM$22,FALSE)))</f>
        <v>100</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0</v>
      </c>
      <c r="AQ35" s="22" t="str">
        <f>IF(OR($B35="",AQ$22=""),"",IF(LEN(VLOOKUP($B35,Database!$B$1:$IX$10144,AQ$22,FALSE))=0,"",VLOOKUP($B35,Database!$B$1:$IX$10144,AQ$22,FALSE)))</f>
        <v>Lange, Irle</v>
      </c>
      <c r="AR35" s="13"/>
      <c r="AX35" s="13"/>
      <c r="AY35" s="13"/>
      <c r="AZ35" s="13"/>
      <c r="BA35" s="13"/>
      <c r="BC35" s="23"/>
      <c r="BF35" s="136"/>
      <c r="BG35" s="136"/>
      <c r="BH35" s="136"/>
      <c r="BI35" s="136"/>
    </row>
    <row r="36" spans="1:61">
      <c r="A36" s="10"/>
      <c r="B36">
        <v>15172942</v>
      </c>
      <c r="C36" s="1" t="str">
        <f>IF($B36="","",HYPERLINK(IF(LEN(VLOOKUP($B36,Database!$B$1:$IX$10144,2,FALSE))=0,"",VLOOKUP($B36,Database!$B$1:$IX$10144,2,FALSE))))</f>
        <v/>
      </c>
      <c r="D36" s="1" t="str">
        <f t="shared" si="0"/>
        <v>http://www.ncbi.nlm.nih.gov/pubmed/15172942</v>
      </c>
      <c r="E36" s="22" t="str">
        <f>IF($B36="","",IF(LEN(VLOOKUP($B36,Database!$B$1:$IX$10144,4,FALSE))=0,"",VLOOKUP($B36,Database!$B$1:$IX$10144,4,FALSE)))</f>
        <v>Lloyd AJ</v>
      </c>
      <c r="F36" s="22">
        <f>IF($B36="","",IF(LEN(VLOOKUP($B36,Database!$B$1:$IX$10144,5,FALSE))=0,"",VLOOKUP($B36,Database!$B$1:$IX$10144,5,FALSE)))</f>
        <v>2004</v>
      </c>
      <c r="G36" s="1" t="str">
        <f>IF($B36="","",HYPERLINK(IF(LEN(VLOOKUP($B36,Database!$B$1:$IX$10144,6,FALSE))=0,"",VLOOKUP($B36,Database!$B$1:$IX$10144,6,FALSE))))</f>
        <v>http://bjp.rcpsych.org/cgi/reprint/184/6/488</v>
      </c>
      <c r="H36" s="22">
        <f>IF($B36="","",IF(LEN(VLOOKUP($B36,Database!$B$1:$IX$10144,7,FALSE))=0,"",VLOOKUP($B36,Database!$B$1:$IX$10144,7,FALSE)))</f>
        <v>51</v>
      </c>
      <c r="I36" s="22">
        <f>IF($B36="","",IF(LEN(VLOOKUP($B36,Database!$B$1:$IX$10144,8,FALSE))=0,"",VLOOKUP($B36,Database!$B$1:$IX$10144,8,FALSE)))</f>
        <v>39</v>
      </c>
      <c r="J36" t="s">
        <v>1612</v>
      </c>
      <c r="L36">
        <v>2.7</v>
      </c>
      <c r="M36">
        <v>0.4</v>
      </c>
      <c r="N36">
        <v>2.8</v>
      </c>
      <c r="O36">
        <v>0.4</v>
      </c>
      <c r="P36">
        <v>2.8</v>
      </c>
      <c r="Q36">
        <v>0.5</v>
      </c>
      <c r="R36">
        <v>3</v>
      </c>
      <c r="S36">
        <v>0.4</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74</v>
      </c>
      <c r="AC36" s="22">
        <f>IF(OR($B36="",AC$22=""),"",IF(LEN(VLOOKUP($B36,Database!$B$1:$IX$10144,AC$22,FALSE))=0,"",VLOOKUP($B36,Database!$B$1:$IX$10144,AC$22,FALSE)))</f>
        <v>6.3</v>
      </c>
      <c r="AD36" s="22">
        <f>IF(OR($B36="",AD$22=""),"",IF(LEN(VLOOKUP($B36,Database!$B$1:$IX$10144,AD$22,FALSE))=0,"",VLOOKUP($B36,Database!$B$1:$IX$10144,AD$22,FALSE)))</f>
        <v>73.099999999999994</v>
      </c>
      <c r="AE36" s="22">
        <f>IF(OR($B36="",AE$22=""),"",IF(LEN(VLOOKUP($B36,Database!$B$1:$IX$10144,AE$22,FALSE))=0,"",VLOOKUP($B36,Database!$B$1:$IX$10144,AE$22,FALSE)))</f>
        <v>6.7</v>
      </c>
      <c r="AF36" s="22">
        <f>IF(OR($B36="",AF$22=""),"",IF(LEN(VLOOKUP($B36,Database!$B$1:$IX$10144,AF$22,FALSE))=0,"",VLOOKUP($B36,Database!$B$1:$IX$10144,AF$22,FALSE)))</f>
        <v>41</v>
      </c>
      <c r="AG36" s="22">
        <f>IF(OR($B36="",AG$22=""),"",IF(LEN(VLOOKUP($B36,Database!$B$1:$IX$10144,AG$22,FALSE))=0,"",VLOOKUP($B36,Database!$B$1:$IX$10144,AG$22,FALSE)))</f>
        <v>29</v>
      </c>
      <c r="AH36" s="22">
        <f>IF(OR($B36="",AH$22=""),"",IF(LEN(VLOOKUP($B36,Database!$B$1:$IX$10144,AH$22,FALSE))=0,"",VLOOKUP($B36,Database!$B$1:$IX$10144,AH$22,FALSE)))</f>
        <v>1</v>
      </c>
      <c r="AI36" s="22">
        <f>IF(OR($B36="",AI$22=""),"",IF(LEN(VLOOKUP($B36,Database!$B$1:$IX$10144,AI$22,FALSE))=0,"",VLOOKUP($B36,Database!$B$1:$IX$10144,AI$22,FALSE)))</f>
        <v>1</v>
      </c>
      <c r="AJ36" s="22" t="str">
        <f>IF(OR($B36="",AJ$22=""),"",IF(LEN(VLOOKUP($B36,Database!$B$1:$IX$10144,AJ$22,FALSE))=0,"",VLOOKUP($B36,Database!$B$1:$IX$10144,AJ$22,FALSE)))</f>
        <v/>
      </c>
      <c r="AK36" s="22">
        <f>IF(OR($B36="",AK$22=""),"",IF(LEN(VLOOKUP($B36,Database!$B$1:$IX$10144,AK$22,FALSE))=0,"",VLOOKUP($B36,Database!$B$1:$IX$10144,AK$22,FALSE)))</f>
        <v>57</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Lloyd AJ, Ferrier IN, Barber R, Gholkar A, Young AH, O'Brien JT.</v>
      </c>
      <c r="AR36" s="13"/>
      <c r="AX36" s="13"/>
      <c r="AY36" s="13"/>
      <c r="AZ36" s="13"/>
      <c r="BA36" s="13"/>
      <c r="BC36" s="23"/>
      <c r="BF36" s="136"/>
      <c r="BG36" s="136"/>
      <c r="BH36" s="136"/>
      <c r="BI36" s="136"/>
    </row>
    <row r="37" spans="1:61">
      <c r="A37" t="s">
        <v>2191</v>
      </c>
      <c r="B37">
        <v>14969587</v>
      </c>
      <c r="C37" s="1" t="str">
        <f>IF($B37="","",HYPERLINK(IF(LEN(VLOOKUP($B37,Database!$B$1:$IX$10144,2,FALSE))=0,"",VLOOKUP($B37,Database!$B$1:$IX$10144,2,FALSE))))</f>
        <v/>
      </c>
      <c r="D37" s="1" t="str">
        <f t="shared" si="0"/>
        <v>http://www.ncbi.nlm.nih.gov/pubmed/14969587</v>
      </c>
      <c r="E37" s="22" t="str">
        <f>IF($B37="","",IF(LEN(VLOOKUP($B37,Database!$B$1:$IX$10144,4,FALSE))=0,"",VLOOKUP($B37,Database!$B$1:$IX$10144,4,FALSE)))</f>
        <v>MacMaster FP (A)</v>
      </c>
      <c r="F37" s="22">
        <f>IF($B37="","",IF(LEN(VLOOKUP($B37,Database!$B$1:$IX$10144,5,FALSE))=0,"",VLOOKUP($B37,Database!$B$1:$IX$10144,5,FALSE)))</f>
        <v>2004</v>
      </c>
      <c r="G37" s="1" t="str">
        <f>IF($B37="","",HYPERLINK(IF(LEN(VLOOKUP($B37,Database!$B$1:$IX$10144,6,FALSE))=0,"",VLOOKUP($B37,Database!$B$1:$IX$10144,6,FALSE))))</f>
        <v>http://www.biomedcentral.com/content/pdf/1741-7015-2-2.pdf</v>
      </c>
      <c r="H37" s="22">
        <f>IF($B37="","",IF(LEN(VLOOKUP($B37,Database!$B$1:$IX$10144,7,FALSE))=0,"",VLOOKUP($B37,Database!$B$1:$IX$10144,7,FALSE)))</f>
        <v>17</v>
      </c>
      <c r="I37" s="22">
        <f>IF($B37="","",IF(LEN(VLOOKUP($B37,Database!$B$1:$IX$10144,8,FALSE))=0,"",VLOOKUP($B37,Database!$B$1:$IX$10144,8,FALSE)))</f>
        <v>17</v>
      </c>
      <c r="J37" t="s">
        <v>1223</v>
      </c>
      <c r="L37">
        <v>2.5299999999999998</v>
      </c>
      <c r="M37">
        <v>0.371</v>
      </c>
      <c r="N37">
        <v>3.05</v>
      </c>
      <c r="O37">
        <v>0.45400000000000001</v>
      </c>
      <c r="P37">
        <v>2.54</v>
      </c>
      <c r="Q37">
        <v>0.495</v>
      </c>
      <c r="R37">
        <v>2.88</v>
      </c>
      <c r="S37">
        <v>0.45400000000000001</v>
      </c>
      <c r="X37" s="96"/>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16.670000000000002</v>
      </c>
      <c r="AC37" s="22">
        <f>IF(OR($B37="",AC$22=""),"",IF(LEN(VLOOKUP($B37,Database!$B$1:$IX$10144,AC$22,FALSE))=0,"",VLOOKUP($B37,Database!$B$1:$IX$10144,AC$22,FALSE)))</f>
        <v>1.83</v>
      </c>
      <c r="AD37" s="22">
        <f>IF(OR($B37="",AD$22=""),"",IF(LEN(VLOOKUP($B37,Database!$B$1:$IX$10144,AD$22,FALSE))=0,"",VLOOKUP($B37,Database!$B$1:$IX$10144,AD$22,FALSE)))</f>
        <v>16.23</v>
      </c>
      <c r="AE37" s="22">
        <f>IF(OR($B37="",AE$22=""),"",IF(LEN(VLOOKUP($B37,Database!$B$1:$IX$10144,AE$22,FALSE))=0,"",VLOOKUP($B37,Database!$B$1:$IX$10144,AE$22,FALSE)))</f>
        <v>1.61</v>
      </c>
      <c r="AF37" s="22">
        <f>IF(OR($B37="",AF$22=""),"",IF(LEN(VLOOKUP($B37,Database!$B$1:$IX$10144,AF$22,FALSE))=0,"",VLOOKUP($B37,Database!$B$1:$IX$10144,AF$22,FALSE)))</f>
        <v>9</v>
      </c>
      <c r="AG37" s="22">
        <f>IF(OR($B37="",AG$22=""),"",IF(LEN(VLOOKUP($B37,Database!$B$1:$IX$10144,AG$22,FALSE))=0,"",VLOOKUP($B37,Database!$B$1:$IX$10144,AG$22,FALSE)))</f>
        <v>9</v>
      </c>
      <c r="AH37" s="22">
        <f>IF(OR($B37="",AH$22=""),"",IF(LEN(VLOOKUP($B37,Database!$B$1:$IX$10144,AH$22,FALSE))=0,"",VLOOKUP($B37,Database!$B$1:$IX$10144,AH$22,FALSE)))</f>
        <v>1.5</v>
      </c>
      <c r="AI37" s="22">
        <f>IF(OR($B37="",AI$22=""),"",IF(LEN(VLOOKUP($B37,Database!$B$1:$IX$10144,AI$22,FALSE))=0,"",VLOOKUP($B37,Database!$B$1:$IX$10144,AI$22,FALSE)))</f>
        <v>1.5</v>
      </c>
      <c r="AJ37" s="22" t="str">
        <f>IF(OR($B37="",AJ$22=""),"",IF(LEN(VLOOKUP($B37,Database!$B$1:$IX$10144,AJ$22,FALSE))=0,"",VLOOKUP($B37,Database!$B$1:$IX$10144,AJ$22,FALSE)))</f>
        <v/>
      </c>
      <c r="AK37" s="22">
        <f>IF(OR($B37="",AK$22=""),"",IF(LEN(VLOOKUP($B37,Database!$B$1:$IX$10144,AK$22,FALSE))=0,"",VLOOKUP($B37,Database!$B$1:$IX$10144,AK$22,FALSE)))</f>
        <v>14.06</v>
      </c>
      <c r="AL37" s="22" t="str">
        <f>IF(OR($B37="",AL$22=""),"",IF(LEN(VLOOKUP($B37,Database!$B$1:$IX$10144,AL$22,FALSE))=0,"",VLOOKUP($B37,Database!$B$1:$IX$10144,AL$22,FALSE)))</f>
        <v>ns</v>
      </c>
      <c r="AM37" s="22">
        <f>IF(OR($B37="",AM$22=""),"",IF(LEN(VLOOKUP($B37,Database!$B$1:$IX$10144,AM$22,FALSE))=0,"",VLOOKUP($B37,Database!$B$1:$IX$10144,AM$22,FALSE)))</f>
        <v>5.8823529411764701</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82.35294117647058</v>
      </c>
      <c r="AQ37" s="22" t="str">
        <f>IF(OR($B37="",AQ$22=""),"",IF(LEN(VLOOKUP($B37,Database!$B$1:$IX$10144,AQ$22,FALSE))=0,"",VLOOKUP($B37,Database!$B$1:$IX$10144,AQ$22,FALSE)))</f>
        <v>MacMaster FP, Kusumakar V.</v>
      </c>
      <c r="AR37" s="13"/>
      <c r="AX37" s="13"/>
      <c r="AY37" s="13"/>
      <c r="AZ37" s="13"/>
      <c r="BA37" s="13"/>
      <c r="BC37" s="23"/>
      <c r="BF37" s="136"/>
      <c r="BG37" s="136"/>
      <c r="BH37" s="136"/>
      <c r="BI37" s="136"/>
    </row>
    <row r="38" spans="1:61">
      <c r="A38" t="s">
        <v>2014</v>
      </c>
      <c r="B38">
        <v>15231442</v>
      </c>
      <c r="C38" s="1" t="str">
        <f>IF($B38="","",HYPERLINK(IF(LEN(VLOOKUP($B38,Database!$B$1:$IX$10144,2,FALSE))=0,"",VLOOKUP($B38,Database!$B$1:$IX$10144,2,FALSE))))</f>
        <v/>
      </c>
      <c r="D38" s="1" t="str">
        <f t="shared" ref="D38:D52" si="1">IF($B38="","",HYPERLINK(CONCATENATE("http://www.ncbi.nlm.nih.gov/pubmed/",B38)))</f>
        <v>http://www.ncbi.nlm.nih.gov/pubmed/15231442</v>
      </c>
      <c r="E38" s="22" t="str">
        <f>IF($B38="","",IF(LEN(VLOOKUP($B38,Database!$B$1:$IX$10144,4,FALSE))=0,"",VLOOKUP($B38,Database!$B$1:$IX$10144,4,FALSE)))</f>
        <v>Vythilingam M</v>
      </c>
      <c r="F38" s="22">
        <f>IF($B38="","",IF(LEN(VLOOKUP($B38,Database!$B$1:$IX$10144,5,FALSE))=0,"",VLOOKUP($B38,Database!$B$1:$IX$10144,5,FALSE)))</f>
        <v>2004</v>
      </c>
      <c r="G38" s="1" t="str">
        <f>IF($B38="","",HYPERLINK(IF(LEN(VLOOKUP($B38,Database!$B$1:$IX$10144,6,FALSE))=0,"",VLOOKUP($B38,Database!$B$1:$IX$10144,6,FALSE))))</f>
        <v>http://dx.doi.org/10.1016/j.biopsych.2004.04.002</v>
      </c>
      <c r="H38" s="22">
        <f>IF($B38="","",IF(LEN(VLOOKUP($B38,Database!$B$1:$IX$10144,7,FALSE))=0,"",VLOOKUP($B38,Database!$B$1:$IX$10144,7,FALSE)))</f>
        <v>38</v>
      </c>
      <c r="I38" s="22">
        <f>IF($B38="","",IF(LEN(VLOOKUP($B38,Database!$B$1:$IX$10144,8,FALSE))=0,"",VLOOKUP($B38,Database!$B$1:$IX$10144,8,FALSE)))</f>
        <v>33</v>
      </c>
      <c r="J38" t="s">
        <v>994</v>
      </c>
      <c r="K38" s="10"/>
      <c r="L38">
        <v>3305</v>
      </c>
      <c r="M38">
        <v>380</v>
      </c>
      <c r="N38">
        <v>3334</v>
      </c>
      <c r="O38">
        <v>390</v>
      </c>
      <c r="P38">
        <v>3132</v>
      </c>
      <c r="Q38">
        <v>417</v>
      </c>
      <c r="R38">
        <v>3235</v>
      </c>
      <c r="S38">
        <v>407</v>
      </c>
      <c r="T38">
        <v>3219</v>
      </c>
      <c r="U38">
        <v>380</v>
      </c>
      <c r="V38">
        <v>3285</v>
      </c>
      <c r="W38">
        <v>389</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41</v>
      </c>
      <c r="AC38" s="22">
        <f>IF(OR($B38="",AC$22=""),"",IF(LEN(VLOOKUP($B38,Database!$B$1:$IX$10144,AC$22,FALSE))=0,"",VLOOKUP($B38,Database!$B$1:$IX$10144,AC$22,FALSE)))</f>
        <v>11</v>
      </c>
      <c r="AD38" s="22">
        <f>IF(OR($B38="",AD$22=""),"",IF(LEN(VLOOKUP($B38,Database!$B$1:$IX$10144,AD$22,FALSE))=0,"",VLOOKUP($B38,Database!$B$1:$IX$10144,AD$22,FALSE)))</f>
        <v>34</v>
      </c>
      <c r="AE38" s="22">
        <f>IF(OR($B38="",AE$22=""),"",IF(LEN(VLOOKUP($B38,Database!$B$1:$IX$10144,AE$22,FALSE))=0,"",VLOOKUP($B38,Database!$B$1:$IX$10144,AE$22,FALSE)))</f>
        <v>10</v>
      </c>
      <c r="AF38" s="22">
        <f>IF(OR($B38="",AF$22=""),"",IF(LEN(VLOOKUP($B38,Database!$B$1:$IX$10144,AF$22,FALSE))=0,"",VLOOKUP($B38,Database!$B$1:$IX$10144,AF$22,FALSE)))</f>
        <v>23</v>
      </c>
      <c r="AG38" s="22">
        <f>IF(OR($B38="",AG$22=""),"",IF(LEN(VLOOKUP($B38,Database!$B$1:$IX$10144,AG$22,FALSE))=0,"",VLOOKUP($B38,Database!$B$1:$IX$10144,AG$22,FALSE)))</f>
        <v>21</v>
      </c>
      <c r="AH38" s="22">
        <f>IF(OR($B38="",AH$22=""),"",IF(LEN(VLOOKUP($B38,Database!$B$1:$IX$10144,AH$22,FALSE))=0,"",VLOOKUP($B38,Database!$B$1:$IX$10144,AH$22,FALSE)))</f>
        <v>1.5</v>
      </c>
      <c r="AI38" s="22">
        <f>IF(OR($B38="",AI$22=""),"",IF(LEN(VLOOKUP($B38,Database!$B$1:$IX$10144,AI$22,FALSE))=0,"",VLOOKUP($B38,Database!$B$1:$IX$10144,AI$22,FALSE)))</f>
        <v>1.5</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f>IF(OR($B38="",AM$22=""),"",IF(LEN(VLOOKUP($B38,Database!$B$1:$IX$10144,AM$22,FALSE))=0,"",VLOOKUP($B38,Database!$B$1:$IX$10144,AM$22,FALSE)))</f>
        <v>0</v>
      </c>
      <c r="AN38" s="22" t="str">
        <f>IF(OR($B38="",AN$22=""),"",IF(LEN(VLOOKUP($B38,Database!$B$1:$IX$10144,AN$22,FALSE))=0,"",VLOOKUP($B38,Database!$B$1:$IX$10144,AN$22,FALSE)))</f>
        <v>ns</v>
      </c>
      <c r="AO38" s="22" t="str">
        <f>IF(OR($B38="",AO$22=""),"",IF(LEN(VLOOKUP($B38,Database!$B$1:$IX$10144,AO$22,FALSE))=0,"",VLOOKUP($B38,Database!$B$1:$IX$10144,AO$22,FALSE)))</f>
        <v>ns</v>
      </c>
      <c r="AP38" s="22">
        <f>IF(OR($B38="",AP$22=""),"",IF(LEN(VLOOKUP($B38,Database!$B$1:$IX$10144,AP$22,FALSE))=0,"",VLOOKUP($B38,Database!$B$1:$IX$10144,AP$22,FALSE)))</f>
        <v>39.473684210526315</v>
      </c>
      <c r="AQ38" s="22" t="str">
        <f>IF(OR($B38="",AQ$22=""),"",IF(LEN(VLOOKUP($B38,Database!$B$1:$IX$10144,AQ$22,FALSE))=0,"",VLOOKUP($B38,Database!$B$1:$IX$10144,AQ$22,FALSE)))</f>
        <v>Vythilingam M, Vermetten E, Anderson GM, Luckenbaugh D, Anderson ER, Snow J, Staib LH, Charney DS, Bremner JD.</v>
      </c>
      <c r="AR38" s="13"/>
      <c r="AX38" s="13"/>
      <c r="AY38" s="13"/>
      <c r="AZ38" s="13"/>
      <c r="BA38" s="13"/>
      <c r="BC38" s="23"/>
      <c r="BF38" s="136"/>
      <c r="BG38" s="136"/>
      <c r="BH38" s="136"/>
      <c r="BI38" s="136"/>
    </row>
    <row r="39" spans="1:61">
      <c r="A39" s="7" t="s">
        <v>70</v>
      </c>
      <c r="B39" s="2">
        <v>15641704</v>
      </c>
      <c r="C39" s="1" t="str">
        <f>IF($B39="","",HYPERLINK(IF(LEN(VLOOKUP($B39,Database!$B$1:$IX$10144,2,FALSE))=0,"",VLOOKUP($B39,Database!$B$1:$IX$10144,2,FALSE))))</f>
        <v/>
      </c>
      <c r="D39" s="1" t="str">
        <f>IF($B39="","",HYPERLINK(CONCATENATE("http://www.ncbi.nlm.nih.gov/pubmed/",B39)))</f>
        <v>http://www.ncbi.nlm.nih.gov/pubmed/15641704</v>
      </c>
      <c r="E39" s="22" t="str">
        <f>IF($B39="","",IF(LEN(VLOOKUP($B39,Database!$B$1:$IX$10144,4,FALSE))=0,"",VLOOKUP($B39,Database!$B$1:$IX$10144,4,FALSE)))</f>
        <v>Xia J</v>
      </c>
      <c r="F39" s="22">
        <f>IF($B39="","",IF(LEN(VLOOKUP($B39,Database!$B$1:$IX$10144,5,FALSE))=0,"",VLOOKUP($B39,Database!$B$1:$IX$10144,5,FALSE)))</f>
        <v>2004</v>
      </c>
      <c r="G39" s="1" t="str">
        <f>IF($B39="","",HYPERLINK(IF(LEN(VLOOKUP($B39,Database!$B$1:$IX$10144,6,FALSE))=0,"",VLOOKUP($B39,Database!$B$1:$IX$10144,6,FALSE))))</f>
        <v>Not available on internet</v>
      </c>
      <c r="H39" s="22">
        <f>IF($B39="","",IF(LEN(VLOOKUP($B39,Database!$B$1:$IX$10144,7,FALSE))=0,"",VLOOKUP($B39,Database!$B$1:$IX$10144,7,FALSE)))</f>
        <v>22</v>
      </c>
      <c r="I39" s="22">
        <f>IF($B39="","",IF(LEN(VLOOKUP($B39,Database!$B$1:$IX$10144,8,FALSE))=0,"",VLOOKUP($B39,Database!$B$1:$IX$10144,8,FALSE)))</f>
        <v>13</v>
      </c>
      <c r="J39" s="2" t="s">
        <v>887</v>
      </c>
      <c r="K39" s="2"/>
      <c r="L39" s="2">
        <v>3109.86</v>
      </c>
      <c r="M39" s="2">
        <v>83.5</v>
      </c>
      <c r="N39" s="2">
        <v>3352</v>
      </c>
      <c r="O39" s="2">
        <v>45.53</v>
      </c>
      <c r="P39" s="2">
        <v>3487.27</v>
      </c>
      <c r="Q39" s="2">
        <v>62.96</v>
      </c>
      <c r="R39" s="2">
        <v>3710.31</v>
      </c>
      <c r="S39" s="2">
        <v>36.67</v>
      </c>
      <c r="Y39" s="22" t="str">
        <f>IF(OR($B39="",Y$22=""),"",IF(LEN(VLOOKUP($B39,Database!$B$1:$IX$10144,Y$22,FALSE))=0,"",VLOOKUP($B39,Database!$B$1:$IX$10144,Y$22,FALSE)))</f>
        <v>CCMD-3-R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39.5</v>
      </c>
      <c r="AC39" s="22">
        <f>IF(OR($B39="",AC$22=""),"",IF(LEN(VLOOKUP($B39,Database!$B$1:$IX$10144,AC$22,FALSE))=0,"",VLOOKUP($B39,Database!$B$1:$IX$10144,AC$22,FALSE)))</f>
        <v>12.05</v>
      </c>
      <c r="AD39" s="22">
        <f>IF(OR($B39="",AD$22=""),"",IF(LEN(VLOOKUP($B39,Database!$B$1:$IX$10144,AD$22,FALSE))=0,"",VLOOKUP($B39,Database!$B$1:$IX$10144,AD$22,FALSE)))</f>
        <v>35.43</v>
      </c>
      <c r="AE39" s="22">
        <f>IF(OR($B39="",AE$22=""),"",IF(LEN(VLOOKUP($B39,Database!$B$1:$IX$10144,AE$22,FALSE))=0,"",VLOOKUP($B39,Database!$B$1:$IX$10144,AE$22,FALSE)))</f>
        <v>8.86</v>
      </c>
      <c r="AF39" s="22">
        <f>IF(OR($B39="",AF$22=""),"",IF(LEN(VLOOKUP($B39,Database!$B$1:$IX$10144,AF$22,FALSE))=0,"",VLOOKUP($B39,Database!$B$1:$IX$10144,AF$22,FALSE)))</f>
        <v>10</v>
      </c>
      <c r="AG39" s="22">
        <f>IF(OR($B39="",AG$22=""),"",IF(LEN(VLOOKUP($B39,Database!$B$1:$IX$10144,AG$22,FALSE))=0,"",VLOOKUP($B39,Database!$B$1:$IX$10144,AG$22,FALSE)))</f>
        <v>8</v>
      </c>
      <c r="AH39" s="22">
        <f>IF(OR($B39="",AH$22=""),"",IF(LEN(VLOOKUP($B39,Database!$B$1:$IX$10144,AH$22,FALSE))=0,"",VLOOKUP($B39,Database!$B$1:$IX$10144,AH$22,FALSE)))</f>
        <v>1.5</v>
      </c>
      <c r="AI39" s="22">
        <f>IF(OR($B39="",AI$22=""),"",IF(LEN(VLOOKUP($B39,Database!$B$1:$IX$10144,AI$22,FALSE))=0,"",VLOOKUP($B39,Database!$B$1:$IX$10144,AI$22,FALSE)))</f>
        <v>1.2</v>
      </c>
      <c r="AJ39" s="22" t="str">
        <f>IF(OR($B39="",AJ$22=""),"",IF(LEN(VLOOKUP($B39,Database!$B$1:$IX$10144,AJ$22,FALSE))=0,"",VLOOKUP($B39,Database!$B$1:$IX$10144,AJ$22,FALSE)))</f>
        <v/>
      </c>
      <c r="AK39" s="22" t="str">
        <f>IF(OR($B39="",AK$22=""),"",IF(LEN(VLOOKUP($B39,Database!$B$1:$IX$10144,AK$22,FALSE))=0,"",VLOOKUP($B39,Database!$B$1:$IX$10144,AK$22,FALSE)))</f>
        <v>ns</v>
      </c>
      <c r="AL39" s="22">
        <f>IF(OR($B39="",AL$22=""),"",IF(LEN(VLOOKUP($B39,Database!$B$1:$IX$10144,AL$22,FALSE))=0,"",VLOOKUP($B39,Database!$B$1:$IX$10144,AL$22,FALSE)))</f>
        <v>21.45</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Xia J, Chen J, Zhou Y, Zhang J, Yang B, Xia L, Wang C.</v>
      </c>
      <c r="AR39" s="13"/>
      <c r="AX39" s="13"/>
      <c r="AY39" s="13"/>
      <c r="AZ39" s="13"/>
      <c r="BA39" s="13"/>
      <c r="BC39" s="23"/>
      <c r="BF39" s="136"/>
      <c r="BG39" s="136"/>
      <c r="BH39" s="136"/>
      <c r="BI39" s="136"/>
    </row>
    <row r="40" spans="1:61">
      <c r="B40">
        <v>15607296</v>
      </c>
      <c r="C40" s="1" t="str">
        <f>IF($B40="","",HYPERLINK(IF(LEN(VLOOKUP($B40,Database!$B$1:$IX$10144,2,FALSE))=0,"",VLOOKUP($B40,Database!$B$1:$IX$10144,2,FALSE))))</f>
        <v/>
      </c>
      <c r="D40" s="1" t="str">
        <f t="shared" si="1"/>
        <v>http://www.ncbi.nlm.nih.gov/pubmed/15607296</v>
      </c>
      <c r="E40" s="22" t="str">
        <f>IF($B40="","",IF(LEN(VLOOKUP($B40,Database!$B$1:$IX$10144,4,FALSE))=0,"",VLOOKUP($B40,Database!$B$1:$IX$10144,4,FALSE)))</f>
        <v>Rosso IM</v>
      </c>
      <c r="F40" s="22">
        <f>IF($B40="","",IF(LEN(VLOOKUP($B40,Database!$B$1:$IX$10144,5,FALSE))=0,"",VLOOKUP($B40,Database!$B$1:$IX$10144,5,FALSE)))</f>
        <v>2005</v>
      </c>
      <c r="G40" s="1" t="str">
        <f>IF($B40="","",HYPERLINK(IF(LEN(VLOOKUP($B40,Database!$B$1:$IX$10144,6,FALSE))=0,"",VLOOKUP($B40,Database!$B$1:$IX$10144,6,FALSE))))</f>
        <v>http://dx.doi.org/10.1016/j.biopsych.2004.10.027</v>
      </c>
      <c r="H40" s="22">
        <f>IF($B40="","",IF(LEN(VLOOKUP($B40,Database!$B$1:$IX$10144,7,FALSE))=0,"",VLOOKUP($B40,Database!$B$1:$IX$10144,7,FALSE)))</f>
        <v>20</v>
      </c>
      <c r="I40" s="22">
        <f>IF($B40="","",IF(LEN(VLOOKUP($B40,Database!$B$1:$IX$10144,8,FALSE))=0,"",VLOOKUP($B40,Database!$B$1:$IX$10144,8,FALSE)))</f>
        <v>24</v>
      </c>
      <c r="J40" t="s">
        <v>876</v>
      </c>
      <c r="L40">
        <v>6.57</v>
      </c>
      <c r="M40">
        <v>0.76</v>
      </c>
      <c r="N40">
        <v>6.26</v>
      </c>
      <c r="O40">
        <v>0.73499999999999999</v>
      </c>
      <c r="P40">
        <v>6.39</v>
      </c>
      <c r="Q40">
        <v>0.71599999999999997</v>
      </c>
      <c r="R40">
        <v>6.19</v>
      </c>
      <c r="S40">
        <v>0.78400000000000003</v>
      </c>
      <c r="T40">
        <v>12.96</v>
      </c>
      <c r="U40">
        <v>1.476</v>
      </c>
      <c r="V40">
        <v>12.45</v>
      </c>
      <c r="W40">
        <v>1.3720000000000001</v>
      </c>
      <c r="X40" s="96"/>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15.35</v>
      </c>
      <c r="AC40" s="22">
        <f>IF(OR($B40="",AC$22=""),"",IF(LEN(VLOOKUP($B40,Database!$B$1:$IX$10144,AC$22,FALSE))=0,"",VLOOKUP($B40,Database!$B$1:$IX$10144,AC$22,FALSE)))</f>
        <v>1.5209999999999999</v>
      </c>
      <c r="AD40" s="22">
        <f>IF(OR($B40="",AD$22=""),"",IF(LEN(VLOOKUP($B40,Database!$B$1:$IX$10144,AD$22,FALSE))=0,"",VLOOKUP($B40,Database!$B$1:$IX$10144,AD$22,FALSE)))</f>
        <v>14.08</v>
      </c>
      <c r="AE40" s="22">
        <f>IF(OR($B40="",AE$22=""),"",IF(LEN(VLOOKUP($B40,Database!$B$1:$IX$10144,AE$22,FALSE))=0,"",VLOOKUP($B40,Database!$B$1:$IX$10144,AE$22,FALSE)))</f>
        <v>1.5189999999999999</v>
      </c>
      <c r="AF40" s="22">
        <f>IF(OR($B40="",AF$22=""),"",IF(LEN(VLOOKUP($B40,Database!$B$1:$IX$10144,AF$22,FALSE))=0,"",VLOOKUP($B40,Database!$B$1:$IX$10144,AF$22,FALSE)))</f>
        <v>17</v>
      </c>
      <c r="AG40" s="22">
        <f>IF(OR($B40="",AG$22=""),"",IF(LEN(VLOOKUP($B40,Database!$B$1:$IX$10144,AG$22,FALSE))=0,"",VLOOKUP($B40,Database!$B$1:$IX$10144,AG$22,FALSE)))</f>
        <v>16</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f>IF(OR($B40="",AK$22=""),"",IF(LEN(VLOOKUP($B40,Database!$B$1:$IX$10144,AK$22,FALSE))=0,"",VLOOKUP($B40,Database!$B$1:$IX$10144,AK$22,FALSE)))</f>
        <v>12.8</v>
      </c>
      <c r="AL40" s="22">
        <f>IF(OR($B40="",AL$22=""),"",IF(LEN(VLOOKUP($B40,Database!$B$1:$IX$10144,AL$22,FALSE))=0,"",VLOOKUP($B40,Database!$B$1:$IX$10144,AL$22,FALSE)))</f>
        <v>16.55</v>
      </c>
      <c r="AM40" s="22">
        <f>IF(OR($B40="",AM$22=""),"",IF(LEN(VLOOKUP($B40,Database!$B$1:$IX$10144,AM$22,FALSE))=0,"",VLOOKUP($B40,Database!$B$1:$IX$10144,AM$22,FALSE)))</f>
        <v>0</v>
      </c>
      <c r="AN40" s="22">
        <f>IF(OR($B40="",AN$22=""),"",IF(LEN(VLOOKUP($B40,Database!$B$1:$IX$10144,AN$22,FALSE))=0,"",VLOOKUP($B40,Database!$B$1:$IX$10144,AN$22,FALSE)))</f>
        <v>0</v>
      </c>
      <c r="AO40" s="22">
        <f>IF(OR($B40="",AO$22=""),"",IF(LEN(VLOOKUP($B40,Database!$B$1:$IX$10144,AO$22,FALSE))=0,"",VLOOKUP($B40,Database!$B$1:$IX$10144,AO$22,FALSE)))</f>
        <v>0</v>
      </c>
      <c r="AP40" s="22">
        <f>IF(OR($B40="",AP$22=""),"",IF(LEN(VLOOKUP($B40,Database!$B$1:$IX$10144,AP$22,FALSE))=0,"",VLOOKUP($B40,Database!$B$1:$IX$10144,AP$22,FALSE)))</f>
        <v>100</v>
      </c>
      <c r="AQ40" s="22" t="str">
        <f>IF(OR($B40="",AQ$22=""),"",IF(LEN(VLOOKUP($B40,Database!$B$1:$IX$10144,AQ$22,FALSE))=0,"",VLOOKUP($B40,Database!$B$1:$IX$10144,AQ$22,FALSE)))</f>
        <v>Rosso IM, Cintron CM, Steingard RJ, Renshaw PF, Young AD, Yurgelun-Todd DA.</v>
      </c>
      <c r="AR40" s="13"/>
      <c r="AX40" s="13"/>
      <c r="AY40" s="13"/>
      <c r="AZ40" s="13"/>
      <c r="BA40" s="13"/>
      <c r="BC40" s="23"/>
      <c r="BF40" s="136"/>
      <c r="BG40" s="136"/>
      <c r="BH40" s="136"/>
      <c r="BI40" s="136"/>
    </row>
    <row r="41" spans="1:61">
      <c r="B41">
        <v>15867107</v>
      </c>
      <c r="C41" s="1" t="str">
        <f>IF($B41="","",HYPERLINK(IF(LEN(VLOOKUP($B41,Database!$B$1:$IX$10144,2,FALSE))=0,"",VLOOKUP($B41,Database!$B$1:$IX$10144,2,FALSE))))</f>
        <v/>
      </c>
      <c r="D41" s="1" t="str">
        <f t="shared" si="1"/>
        <v>http://www.ncbi.nlm.nih.gov/pubmed/15867107</v>
      </c>
      <c r="E41" s="22" t="str">
        <f>IF($B41="","",IF(LEN(VLOOKUP($B41,Database!$B$1:$IX$10144,4,FALSE))=0,"",VLOOKUP($B41,Database!$B$1:$IX$10144,4,FALSE)))</f>
        <v>Taylor WD (B)</v>
      </c>
      <c r="F41" s="22">
        <f>IF($B41="","",IF(LEN(VLOOKUP($B41,Database!$B$1:$IX$10144,5,FALSE))=0,"",VLOOKUP($B41,Database!$B$1:$IX$10144,5,FALSE)))</f>
        <v>2005</v>
      </c>
      <c r="G41" s="1" t="str">
        <f>IF($B41="","",HYPERLINK(IF(LEN(VLOOKUP($B41,Database!$B$1:$IX$10144,6,FALSE))=0,"",VLOOKUP($B41,Database!$B$1:$IX$10144,6,FALSE))))</f>
        <v>http://archpsyc.ama-assn.org/cgi/reprint/62/5/537</v>
      </c>
      <c r="H41" s="22">
        <f>IF($B41="","",IF(LEN(VLOOKUP($B41,Database!$B$1:$IX$10144,7,FALSE))=0,"",VLOOKUP($B41,Database!$B$1:$IX$10144,7,FALSE)))</f>
        <v>135</v>
      </c>
      <c r="I41" s="22">
        <f>IF($B41="","",IF(LEN(VLOOKUP($B41,Database!$B$1:$IX$10144,8,FALSE))=0,"",VLOOKUP($B41,Database!$B$1:$IX$10144,8,FALSE)))</f>
        <v>83</v>
      </c>
      <c r="J41" t="s">
        <v>877</v>
      </c>
      <c r="L41">
        <v>2.95</v>
      </c>
      <c r="M41">
        <v>0.43</v>
      </c>
      <c r="N41">
        <v>2.96</v>
      </c>
      <c r="O41">
        <v>0.45</v>
      </c>
      <c r="P41">
        <v>3.09</v>
      </c>
      <c r="Q41">
        <v>0.42</v>
      </c>
      <c r="R41">
        <v>3.12</v>
      </c>
      <c r="S41">
        <v>0.44</v>
      </c>
      <c r="T41">
        <v>6.04</v>
      </c>
      <c r="U41">
        <v>0.79</v>
      </c>
      <c r="V41">
        <v>6.09</v>
      </c>
      <c r="W41">
        <v>0.84</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70</v>
      </c>
      <c r="AC41" s="22">
        <f>IF(OR($B41="",AC$22=""),"",IF(LEN(VLOOKUP($B41,Database!$B$1:$IX$10144,AC$22,FALSE))=0,"",VLOOKUP($B41,Database!$B$1:$IX$10144,AC$22,FALSE)))</f>
        <v>7.3</v>
      </c>
      <c r="AD41" s="22">
        <f>IF(OR($B41="",AD$22=""),"",IF(LEN(VLOOKUP($B41,Database!$B$1:$IX$10144,AD$22,FALSE))=0,"",VLOOKUP($B41,Database!$B$1:$IX$10144,AD$22,FALSE)))</f>
        <v>69.400000000000006</v>
      </c>
      <c r="AE41" s="22">
        <f>IF(OR($B41="",AE$22=""),"",IF(LEN(VLOOKUP($B41,Database!$B$1:$IX$10144,AE$22,FALSE))=0,"",VLOOKUP($B41,Database!$B$1:$IX$10144,AE$22,FALSE)))</f>
        <v>6.3</v>
      </c>
      <c r="AF41" s="22">
        <f>IF(OR($B41="",AF$22=""),"",IF(LEN(VLOOKUP($B41,Database!$B$1:$IX$10144,AF$22,FALSE))=0,"",VLOOKUP($B41,Database!$B$1:$IX$10144,AF$22,FALSE)))</f>
        <v>90</v>
      </c>
      <c r="AG41" s="22">
        <f>IF(OR($B41="",AG$22=""),"",IF(LEN(VLOOKUP($B41,Database!$B$1:$IX$10144,AG$22,FALSE))=0,"",VLOOKUP($B41,Database!$B$1:$IX$10144,AG$22,FALSE)))</f>
        <v>64</v>
      </c>
      <c r="AH41" s="22">
        <f>IF(OR($B41="",AH$22=""),"",IF(LEN(VLOOKUP($B41,Database!$B$1:$IX$10144,AH$22,FALSE))=0,"",VLOOKUP($B41,Database!$B$1:$IX$10144,AH$22,FALSE)))</f>
        <v>1.5</v>
      </c>
      <c r="AI41" s="22">
        <f>IF(OR($B41="",AI$22=""),"",IF(LEN(VLOOKUP($B41,Database!$B$1:$IX$10144,AI$22,FALSE))=0,"",VLOOKUP($B41,Database!$B$1:$IX$10144,AI$22,FALSE)))</f>
        <v>3</v>
      </c>
      <c r="AJ41" s="22" t="str">
        <f>IF(OR($B41="",AJ$22=""),"",IF(LEN(VLOOKUP($B41,Database!$B$1:$IX$10144,AJ$22,FALSE))=0,"",VLOOKUP($B41,Database!$B$1:$IX$10144,AJ$22,FALSE)))</f>
        <v/>
      </c>
      <c r="AK41" s="22">
        <f>IF(OR($B41="",AK$22=""),"",IF(LEN(VLOOKUP($B41,Database!$B$1:$IX$10144,AK$22,FALSE))=0,"",VLOOKUP($B41,Database!$B$1:$IX$10144,AK$22,FALSE)))</f>
        <v>46.9</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Taylor WD, Steffens DC, Payne ME, MacFall JR, Marchuk DA, Svenson IK, Krishnan KR.</v>
      </c>
      <c r="AR41" s="13"/>
      <c r="AX41" s="13"/>
      <c r="AY41" s="13"/>
      <c r="AZ41" s="13"/>
      <c r="BA41" s="13"/>
      <c r="BC41" s="23"/>
      <c r="BF41" s="136"/>
      <c r="BG41" s="136"/>
      <c r="BH41" s="136"/>
      <c r="BI41" s="136"/>
    </row>
    <row r="42" spans="1:61">
      <c r="B42">
        <v>16395541</v>
      </c>
      <c r="C42" s="1" t="str">
        <f>IF($B42="","",HYPERLINK(IF(LEN(VLOOKUP($B42,Database!$B$1:$IX$10144,2,FALSE))=0,"",VLOOKUP($B42,Database!$B$1:$IX$10144,2,FALSE))))</f>
        <v/>
      </c>
      <c r="D42" s="1" t="str">
        <f t="shared" si="1"/>
        <v>http://www.ncbi.nlm.nih.gov/pubmed/16395541</v>
      </c>
      <c r="E42" s="22" t="str">
        <f>IF($B42="","",IF(LEN(VLOOKUP($B42,Database!$B$1:$IX$10144,4,FALSE))=0,"",VLOOKUP($B42,Database!$B$1:$IX$10144,4,FALSE)))</f>
        <v>Saylam C</v>
      </c>
      <c r="F42" s="22">
        <f>IF($B42="","",IF(LEN(VLOOKUP($B42,Database!$B$1:$IX$10144,5,FALSE))=0,"",VLOOKUP($B42,Database!$B$1:$IX$10144,5,FALSE)))</f>
        <v>2006</v>
      </c>
      <c r="G42" s="1" t="str">
        <f>IF($B42="","",HYPERLINK(IF(LEN(VLOOKUP($B42,Database!$B$1:$IX$10144,6,FALSE))=0,"",VLOOKUP($B42,Database!$B$1:$IX$10144,6,FALSE))))</f>
        <v>http://www.springerlink.com/content/y2167l4m17576560/fulltext.pdf</v>
      </c>
      <c r="H42" s="22">
        <f>IF($B42="","",IF(LEN(VLOOKUP($B42,Database!$B$1:$IX$10144,7,FALSE))=0,"",VLOOKUP($B42,Database!$B$1:$IX$10144,7,FALSE)))</f>
        <v>24</v>
      </c>
      <c r="I42" s="22">
        <f>IF($B42="","",IF(LEN(VLOOKUP($B42,Database!$B$1:$IX$10144,8,FALSE))=0,"",VLOOKUP($B42,Database!$B$1:$IX$10144,8,FALSE)))</f>
        <v>24</v>
      </c>
      <c r="J42" t="s">
        <v>1613</v>
      </c>
      <c r="L42">
        <v>2638.7</v>
      </c>
      <c r="M42">
        <v>249.2</v>
      </c>
      <c r="N42">
        <v>2786.7</v>
      </c>
      <c r="O42">
        <v>249.2</v>
      </c>
      <c r="P42">
        <v>2696.4</v>
      </c>
      <c r="Q42">
        <v>194.4</v>
      </c>
      <c r="R42">
        <v>2806.3</v>
      </c>
      <c r="S42">
        <v>256.8</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33.4</v>
      </c>
      <c r="AC42" s="22">
        <f>IF(OR($B42="",AC$22=""),"",IF(LEN(VLOOKUP($B42,Database!$B$1:$IX$10144,AC$22,FALSE))=0,"",VLOOKUP($B42,Database!$B$1:$IX$10144,AC$22,FALSE)))</f>
        <v>9.3000000000000007</v>
      </c>
      <c r="AD42" s="22">
        <f>IF(OR($B42="",AD$22=""),"",IF(LEN(VLOOKUP($B42,Database!$B$1:$IX$10144,AD$22,FALSE))=0,"",VLOOKUP($B42,Database!$B$1:$IX$10144,AD$22,FALSE)))</f>
        <v>30.16</v>
      </c>
      <c r="AE42" s="22">
        <f>IF(OR($B42="",AE$22=""),"",IF(LEN(VLOOKUP($B42,Database!$B$1:$IX$10144,AE$22,FALSE))=0,"",VLOOKUP($B42,Database!$B$1:$IX$10144,AE$22,FALSE)))</f>
        <v>6.1</v>
      </c>
      <c r="AF42" s="22">
        <f>IF(OR($B42="",AF$22=""),"",IF(LEN(VLOOKUP($B42,Database!$B$1:$IX$10144,AF$22,FALSE))=0,"",VLOOKUP($B42,Database!$B$1:$IX$10144,AF$22,FALSE)))</f>
        <v>18</v>
      </c>
      <c r="AG42" s="22">
        <f>IF(OR($B42="",AG$22=""),"",IF(LEN(VLOOKUP($B42,Database!$B$1:$IX$10144,AG$22,FALSE))=0,"",VLOOKUP($B42,Database!$B$1:$IX$10144,AG$22,FALSE)))</f>
        <v>18</v>
      </c>
      <c r="AH42" s="22">
        <f>IF(OR($B42="",AH$22=""),"",IF(LEN(VLOOKUP($B42,Database!$B$1:$IX$10144,AH$22,FALSE))=0,"",VLOOKUP($B42,Database!$B$1:$IX$10144,AH$22,FALSE)))</f>
        <v>1.5</v>
      </c>
      <c r="AI42" s="22">
        <f>IF(OR($B42="",AI$22=""),"",IF(LEN(VLOOKUP($B42,Database!$B$1:$IX$10144,AI$22,FALSE))=0,"",VLOOKUP($B42,Database!$B$1:$IX$10144,AI$22,FALSE)))</f>
        <v>2</v>
      </c>
      <c r="AJ42" s="22" t="str">
        <f>IF(OR($B42="",AJ$22=""),"",IF(LEN(VLOOKUP($B42,Database!$B$1:$IX$10144,AJ$22,FALSE))=0,"",VLOOKUP($B42,Database!$B$1:$IX$10144,AJ$22,FALSE)))</f>
        <v/>
      </c>
      <c r="AK42" s="22" t="str">
        <f>IF(OR($B42="",AK$22=""),"",IF(LEN(VLOOKUP($B42,Database!$B$1:$IX$10144,AK$22,FALSE))=0,"",VLOOKUP($B42,Database!$B$1:$IX$10144,AK$22,FALSE)))</f>
        <v>ns</v>
      </c>
      <c r="AL42" s="22">
        <f>IF(OR($B42="",AL$22=""),"",IF(LEN(VLOOKUP($B42,Database!$B$1:$IX$10144,AL$22,FALSE))=0,"",VLOOKUP($B42,Database!$B$1:$IX$10144,AL$22,FALSE)))</f>
        <v>24.4</v>
      </c>
      <c r="AM42" s="22">
        <f>IF(OR($B42="",AM$22=""),"",IF(LEN(VLOOKUP($B42,Database!$B$1:$IX$10144,AM$22,FALSE))=0,"",VLOOKUP($B42,Database!$B$1:$IX$10144,AM$22,FALSE)))</f>
        <v>0</v>
      </c>
      <c r="AN42" s="22">
        <f>IF(OR($B42="",AN$22=""),"",IF(LEN(VLOOKUP($B42,Database!$B$1:$IX$10144,AN$22,FALSE))=0,"",VLOOKUP($B42,Database!$B$1:$IX$10144,AN$22,FALSE)))</f>
        <v>0</v>
      </c>
      <c r="AO42" s="22">
        <f>IF(OR($B42="",AO$22=""),"",IF(LEN(VLOOKUP($B42,Database!$B$1:$IX$10144,AO$22,FALSE))=0,"",VLOOKUP($B42,Database!$B$1:$IX$10144,AO$22,FALSE)))</f>
        <v>0</v>
      </c>
      <c r="AP42" s="22">
        <f>IF(OR($B42="",AP$22=""),"",IF(LEN(VLOOKUP($B42,Database!$B$1:$IX$10144,AP$22,FALSE))=0,"",VLOOKUP($B42,Database!$B$1:$IX$10144,AP$22,FALSE)))</f>
        <v>100</v>
      </c>
      <c r="AQ42" s="22" t="str">
        <f>IF(OR($B42="",AQ$22=""),"",IF(LEN(VLOOKUP($B42,Database!$B$1:$IX$10144,AQ$22,FALSE))=0,"",VLOOKUP($B42,Database!$B$1:$IX$10144,AQ$22,FALSE)))</f>
        <v>Saylam C, Uçerler H, Kitiş O, Ozand E, Gönül AS.</v>
      </c>
      <c r="AR42" s="13"/>
      <c r="AX42" s="13"/>
      <c r="AY42" s="13"/>
      <c r="AZ42" s="13"/>
      <c r="BA42" s="13"/>
      <c r="BC42" s="23"/>
      <c r="BF42" s="136"/>
      <c r="BG42" s="136"/>
      <c r="BH42" s="136"/>
      <c r="BI42" s="136"/>
    </row>
    <row r="43" spans="1:61">
      <c r="B43">
        <v>16740316</v>
      </c>
      <c r="C43" s="1" t="str">
        <f>IF($B43="","",HYPERLINK(IF(LEN(VLOOKUP($B43,Database!$B$1:$IX$10144,2,FALSE))=0,"",VLOOKUP($B43,Database!$B$1:$IX$10144,2,FALSE))))</f>
        <v/>
      </c>
      <c r="D43" s="1" t="str">
        <f t="shared" si="1"/>
        <v>http://www.ncbi.nlm.nih.gov/pubmed/16740316</v>
      </c>
      <c r="E43" s="22" t="str">
        <f>IF($B43="","",IF(LEN(VLOOKUP($B43,Database!$B$1:$IX$10144,4,FALSE))=0,"",VLOOKUP($B43,Database!$B$1:$IX$10144,4,FALSE)))</f>
        <v>Weniger G</v>
      </c>
      <c r="F43" s="22">
        <f>IF($B43="","",IF(LEN(VLOOKUP($B43,Database!$B$1:$IX$10144,5,FALSE))=0,"",VLOOKUP($B43,Database!$B$1:$IX$10144,5,FALSE)))</f>
        <v>2006</v>
      </c>
      <c r="G43" s="1" t="str">
        <f>IF($B43="","",HYPERLINK(IF(LEN(VLOOKUP($B43,Database!$B$1:$IX$10144,6,FALSE))=0,"",VLOOKUP($B43,Database!$B$1:$IX$10144,6,FALSE))))</f>
        <v>http://dx.doi.org/10.1016/j.jad.2006.04.017</v>
      </c>
      <c r="H43" s="22">
        <f>IF($B43="","",IF(LEN(VLOOKUP($B43,Database!$B$1:$IX$10144,7,FALSE))=0,"",VLOOKUP($B43,Database!$B$1:$IX$10144,7,FALSE)))</f>
        <v>21</v>
      </c>
      <c r="I43" s="22">
        <f>IF($B43="","",IF(LEN(VLOOKUP($B43,Database!$B$1:$IX$10144,8,FALSE))=0,"",VLOOKUP($B43,Database!$B$1:$IX$10144,8,FALSE)))</f>
        <v>23</v>
      </c>
      <c r="J43" t="s">
        <v>1614</v>
      </c>
      <c r="L43">
        <v>2.7</v>
      </c>
      <c r="M43">
        <v>0.4</v>
      </c>
      <c r="N43">
        <v>3</v>
      </c>
      <c r="O43">
        <v>0.5</v>
      </c>
      <c r="P43">
        <v>2.7</v>
      </c>
      <c r="Q43">
        <v>0.5</v>
      </c>
      <c r="R43">
        <v>3.2</v>
      </c>
      <c r="S43">
        <v>0.4</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34</v>
      </c>
      <c r="AC43" s="22">
        <f>IF(OR($B43="",AC$22=""),"",IF(LEN(VLOOKUP($B43,Database!$B$1:$IX$10144,AC$22,FALSE))=0,"",VLOOKUP($B43,Database!$B$1:$IX$10144,AC$22,FALSE)))</f>
        <v>9</v>
      </c>
      <c r="AD43" s="22">
        <f>IF(OR($B43="",AD$22=""),"",IF(LEN(VLOOKUP($B43,Database!$B$1:$IX$10144,AD$22,FALSE))=0,"",VLOOKUP($B43,Database!$B$1:$IX$10144,AD$22,FALSE)))</f>
        <v>32</v>
      </c>
      <c r="AE43" s="22">
        <f>IF(OR($B43="",AE$22=""),"",IF(LEN(VLOOKUP($B43,Database!$B$1:$IX$10144,AE$22,FALSE))=0,"",VLOOKUP($B43,Database!$B$1:$IX$10144,AE$22,FALSE)))</f>
        <v>7</v>
      </c>
      <c r="AF43" s="22">
        <f>IF(OR($B43="",AF$22=""),"",IF(LEN(VLOOKUP($B43,Database!$B$1:$IX$10144,AF$22,FALSE))=0,"",VLOOKUP($B43,Database!$B$1:$IX$10144,AF$22,FALSE)))</f>
        <v>21</v>
      </c>
      <c r="AG43" s="22">
        <f>IF(OR($B43="",AG$22=""),"",IF(LEN(VLOOKUP($B43,Database!$B$1:$IX$10144,AG$22,FALSE))=0,"",VLOOKUP($B43,Database!$B$1:$IX$10144,AG$22,FALSE)))</f>
        <v>23</v>
      </c>
      <c r="AH43" s="22">
        <f>IF(OR($B43="",AH$22=""),"",IF(LEN(VLOOKUP($B43,Database!$B$1:$IX$10144,AH$22,FALSE))=0,"",VLOOKUP($B43,Database!$B$1:$IX$10144,AH$22,FALSE)))</f>
        <v>1.5</v>
      </c>
      <c r="AI43" s="22">
        <f>IF(OR($B43="",AI$22=""),"",IF(LEN(VLOOKUP($B43,Database!$B$1:$IX$10144,AI$22,FALSE))=0,"",VLOOKUP($B43,Database!$B$1:$IX$10144,AI$22,FALSE)))</f>
        <v>1.3</v>
      </c>
      <c r="AJ43" s="22" t="str">
        <f>IF(OR($B43="",AJ$22=""),"",IF(LEN(VLOOKUP($B43,Database!$B$1:$IX$10144,AJ$22,FALSE))=0,"",VLOOKUP($B43,Database!$B$1:$IX$10144,AJ$22,FALSE)))</f>
        <v/>
      </c>
      <c r="AK43" s="22">
        <f>IF(OR($B43="",AK$22=""),"",IF(LEN(VLOOKUP($B43,Database!$B$1:$IX$10144,AK$22,FALSE))=0,"",VLOOKUP($B43,Database!$B$1:$IX$10144,AK$22,FALSE)))</f>
        <v>28</v>
      </c>
      <c r="AL43" s="22">
        <f>IF(OR($B43="",AL$22=""),"",IF(LEN(VLOOKUP($B43,Database!$B$1:$IX$10144,AL$22,FALSE))=0,"",VLOOKUP($B43,Database!$B$1:$IX$10144,AL$22,FALSE)))</f>
        <v>23</v>
      </c>
      <c r="AM43" s="22">
        <f>IF(OR($B43="",AM$22=""),"",IF(LEN(VLOOKUP($B43,Database!$B$1:$IX$10144,AM$22,FALSE))=0,"",VLOOKUP($B43,Database!$B$1:$IX$10144,AM$22,FALSE)))</f>
        <v>100</v>
      </c>
      <c r="AN43" s="22" t="str">
        <f>IF(OR($B43="",AN$22=""),"",IF(LEN(VLOOKUP($B43,Database!$B$1:$IX$10144,AN$22,FALSE))=0,"",VLOOKUP($B43,Database!$B$1:$IX$10144,AN$22,FALSE)))</f>
        <v>ns</v>
      </c>
      <c r="AO43" s="22" t="str">
        <f>IF(OR($B43="",AO$22=""),"",IF(LEN(VLOOKUP($B43,Database!$B$1:$IX$10144,AO$22,FALSE))=0,"",VLOOKUP($B43,Database!$B$1:$IX$10144,AO$22,FALSE)))</f>
        <v>ns</v>
      </c>
      <c r="AP43" s="22">
        <f>IF(OR($B43="",AP$22=""),"",IF(LEN(VLOOKUP($B43,Database!$B$1:$IX$10144,AP$22,FALSE))=0,"",VLOOKUP($B43,Database!$B$1:$IX$10144,AP$22,FALSE)))</f>
        <v>0</v>
      </c>
      <c r="AQ43" s="22" t="str">
        <f>IF(OR($B43="",AQ$22=""),"",IF(LEN(VLOOKUP($B43,Database!$B$1:$IX$10144,AQ$22,FALSE))=0,"",VLOOKUP($B43,Database!$B$1:$IX$10144,AQ$22,FALSE)))</f>
        <v>Weniger G, Lange C, Irle E.</v>
      </c>
      <c r="AR43" s="13"/>
      <c r="AX43" s="13"/>
      <c r="AY43" s="13"/>
      <c r="AZ43" s="13"/>
      <c r="BA43" s="13"/>
      <c r="BC43" s="23"/>
      <c r="BF43" s="136"/>
      <c r="BG43" s="136"/>
      <c r="BH43" s="136"/>
      <c r="BI43" s="136"/>
    </row>
    <row r="44" spans="1:61">
      <c r="B44">
        <v>16461856</v>
      </c>
      <c r="C44" s="1" t="str">
        <f>IF($B44="","",HYPERLINK(IF(LEN(VLOOKUP($B44,Database!$B$1:$IX$10144,2,FALSE))=0,"",VLOOKUP($B44,Database!$B$1:$IX$10144,2,FALSE))))</f>
        <v/>
      </c>
      <c r="D44" s="1" t="str">
        <f>IF($B44="","",HYPERLINK(CONCATENATE("http://www.ncbi.nlm.nih.gov/pubmed/",B44)))</f>
        <v>http://www.ncbi.nlm.nih.gov/pubmed/16461856</v>
      </c>
      <c r="E44" s="22" t="str">
        <f>IF($B44="","",IF(LEN(VLOOKUP($B44,Database!$B$1:$IX$10144,4,FALSE))=0,"",VLOOKUP($B44,Database!$B$1:$IX$10144,4,FALSE)))</f>
        <v>Velakoulis D</v>
      </c>
      <c r="F44" s="22">
        <f>IF($B44="","",IF(LEN(VLOOKUP($B44,Database!$B$1:$IX$10144,5,FALSE))=0,"",VLOOKUP($B44,Database!$B$1:$IX$10144,5,FALSE)))</f>
        <v>2006</v>
      </c>
      <c r="G44" s="1" t="str">
        <f>IF($B44="","",HYPERLINK(IF(LEN(VLOOKUP($B44,Database!$B$1:$IX$10144,6,FALSE))=0,"",VLOOKUP($B44,Database!$B$1:$IX$10144,6,FALSE))))</f>
        <v>http://archpsyc.ama-assn.org/cgi/content/full/63/2/139</v>
      </c>
      <c r="H44" s="22">
        <f>IF($B44="","",IF(LEN(VLOOKUP($B44,Database!$B$1:$IX$10144,7,FALSE))=0,"",VLOOKUP($B44,Database!$B$1:$IX$10144,7,FALSE)))</f>
        <v>12</v>
      </c>
      <c r="I44" s="22">
        <f>IF($B44="","",IF(LEN(VLOOKUP($B44,Database!$B$1:$IX$10144,8,FALSE))=0,"",VLOOKUP($B44,Database!$B$1:$IX$10144,8,FALSE)))</f>
        <v>87</v>
      </c>
      <c r="J44" t="s">
        <v>887</v>
      </c>
      <c r="L44">
        <v>2849</v>
      </c>
      <c r="M44">
        <v>442</v>
      </c>
      <c r="N44">
        <v>2870</v>
      </c>
      <c r="O44">
        <v>358</v>
      </c>
      <c r="P44">
        <v>3092</v>
      </c>
      <c r="Q44">
        <v>383</v>
      </c>
      <c r="R44">
        <v>3122</v>
      </c>
      <c r="S44">
        <v>388</v>
      </c>
      <c r="X44" s="151"/>
      <c r="Y44" s="22" t="str">
        <f>IF(OR($B44="",Y$22=""),"",IF(LEN(VLOOKUP($B44,Database!$B$1:$IX$10144,Y$22,FALSE))=0,"",VLOOKUP($B44,Database!$B$1:$IX$10144,Y$22,FALSE)))</f>
        <v>DSM-III-R</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22.6</v>
      </c>
      <c r="AC44" s="22">
        <f>IF(OR($B44="",AC$22=""),"",IF(LEN(VLOOKUP($B44,Database!$B$1:$IX$10144,AC$22,FALSE))=0,"",VLOOKUP($B44,Database!$B$1:$IX$10144,AC$22,FALSE)))</f>
        <v>4.0999999999999996</v>
      </c>
      <c r="AD44" s="22">
        <f>IF(OR($B44="",AD$22=""),"",IF(LEN(VLOOKUP($B44,Database!$B$1:$IX$10144,AD$22,FALSE))=0,"",VLOOKUP($B44,Database!$B$1:$IX$10144,AD$22,FALSE)))</f>
        <v>26.9</v>
      </c>
      <c r="AE44" s="22">
        <f>IF(OR($B44="",AE$22=""),"",IF(LEN(VLOOKUP($B44,Database!$B$1:$IX$10144,AE$22,FALSE))=0,"",VLOOKUP($B44,Database!$B$1:$IX$10144,AE$22,FALSE)))</f>
        <v>10</v>
      </c>
      <c r="AF44" s="22">
        <f>IF(OR($B44="",AF$22=""),"",IF(LEN(VLOOKUP($B44,Database!$B$1:$IX$10144,AF$22,FALSE))=0,"",VLOOKUP($B44,Database!$B$1:$IX$10144,AF$22,FALSE)))</f>
        <v>5</v>
      </c>
      <c r="AG44" s="22">
        <f>IF(OR($B44="",AG$22=""),"",IF(LEN(VLOOKUP($B44,Database!$B$1:$IX$10144,AG$22,FALSE))=0,"",VLOOKUP($B44,Database!$B$1:$IX$10144,AG$22,FALSE)))</f>
        <v>32</v>
      </c>
      <c r="AH44" s="22">
        <f>IF(OR($B44="",AH$22=""),"",IF(LEN(VLOOKUP($B44,Database!$B$1:$IX$10144,AH$22,FALSE))=0,"",VLOOKUP($B44,Database!$B$1:$IX$10144,AH$22,FALSE)))</f>
        <v>1.5</v>
      </c>
      <c r="AI44" s="22">
        <f>IF(OR($B44="",AI$22=""),"",IF(LEN(VLOOKUP($B44,Database!$B$1:$IX$10144,AI$22,FALSE))=0,"",VLOOKUP($B44,Database!$B$1:$IX$10144,AI$22,FALSE)))</f>
        <v>1.5</v>
      </c>
      <c r="AJ44" s="22" t="str">
        <f>IF(OR($B44="",AJ$22=""),"",IF(LEN(VLOOKUP($B44,Database!$B$1:$IX$10144,AJ$22,FALSE))=0,"",VLOOKUP($B44,Database!$B$1:$IX$10144,AJ$22,FALSE)))</f>
        <v/>
      </c>
      <c r="AK44" s="22">
        <f>IF(OR($B44="",AK$22=""),"",IF(LEN(VLOOKUP($B44,Database!$B$1:$IX$10144,AK$22,FALSE))=0,"",VLOOKUP($B44,Database!$B$1:$IX$10144,AK$22,FALSE)))</f>
        <v>21.5</v>
      </c>
      <c r="AL44" s="22" t="str">
        <f>IF(OR($B44="",AL$22=""),"",IF(LEN(VLOOKUP($B44,Database!$B$1:$IX$10144,AL$22,FALSE))=0,"",VLOOKUP($B44,Database!$B$1:$IX$10144,AL$22,FALSE)))</f>
        <v>ns</v>
      </c>
      <c r="AM44" s="22" t="str">
        <f>IF(OR($B44="",AM$22=""),"",IF(LEN(VLOOKUP($B44,Database!$B$1:$IX$10144,AM$22,FALSE))=0,"",VLOOKUP($B44,Database!$B$1:$IX$10144,AM$22,FALSE)))</f>
        <v>ns</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Velakoulis D, Wood SJ, Wong MT, McGorry PD, Yung A, Phillips L, Smith D, Brewer W, Proffitt T, Desmond P, Pantelis C.</v>
      </c>
      <c r="AR44" s="13"/>
      <c r="AX44" s="13"/>
      <c r="AY44" s="13"/>
      <c r="AZ44" s="13"/>
      <c r="BA44" s="13"/>
      <c r="BC44" s="23"/>
      <c r="BF44" s="136"/>
      <c r="BG44" s="136"/>
      <c r="BH44" s="136"/>
      <c r="BI44" s="136"/>
    </row>
    <row r="45" spans="1:61">
      <c r="B45">
        <v>17949901</v>
      </c>
      <c r="C45" s="1" t="str">
        <f>IF($B45="","",HYPERLINK(IF(LEN(VLOOKUP($B45,Database!$B$1:$IX$10144,2,FALSE))=0,"",VLOOKUP($B45,Database!$B$1:$IX$10144,2,FALSE))))</f>
        <v/>
      </c>
      <c r="D45" s="1" t="str">
        <f t="shared" si="1"/>
        <v>http://www.ncbi.nlm.nih.gov/pubmed/17949901</v>
      </c>
      <c r="E45" s="22" t="str">
        <f>IF($B45="","",IF(LEN(VLOOKUP($B45,Database!$B$1:$IX$10144,4,FALSE))=0,"",VLOOKUP($B45,Database!$B$1:$IX$10144,4,FALSE)))</f>
        <v>Caetano SC</v>
      </c>
      <c r="F45" s="22">
        <f>IF($B45="","",IF(LEN(VLOOKUP($B45,Database!$B$1:$IX$10144,5,FALSE))=0,"",VLOOKUP($B45,Database!$B$1:$IX$10144,5,FALSE)))</f>
        <v>2007</v>
      </c>
      <c r="G45" s="1" t="str">
        <f>IF($B45="","",HYPERLINK(IF(LEN(VLOOKUP($B45,Database!$B$1:$IX$10144,6,FALSE))=0,"",VLOOKUP($B45,Database!$B$1:$IX$10144,6,FALSE))))</f>
        <v>http://dx.doi.org/10.1016/j.neulet.2007.06.014</v>
      </c>
      <c r="H45" s="22">
        <f>IF($B45="","",IF(LEN(VLOOKUP($B45,Database!$B$1:$IX$10144,7,FALSE))=0,"",VLOOKUP($B45,Database!$B$1:$IX$10144,7,FALSE)))</f>
        <v>19</v>
      </c>
      <c r="I45" s="22">
        <f>IF($B45="","",IF(LEN(VLOOKUP($B45,Database!$B$1:$IX$10144,8,FALSE))=0,"",VLOOKUP($B45,Database!$B$1:$IX$10144,8,FALSE)))</f>
        <v>24</v>
      </c>
      <c r="J45" t="s">
        <v>1378</v>
      </c>
      <c r="L45">
        <v>1.89</v>
      </c>
      <c r="M45">
        <v>0.16</v>
      </c>
      <c r="N45">
        <v>1.99</v>
      </c>
      <c r="O45">
        <v>0.18</v>
      </c>
      <c r="P45">
        <v>1.97</v>
      </c>
      <c r="Q45">
        <v>0.19</v>
      </c>
      <c r="R45">
        <v>2.04</v>
      </c>
      <c r="S45">
        <v>0.26</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13</v>
      </c>
      <c r="AC45" s="22">
        <f>IF(OR($B45="",AC$22=""),"",IF(LEN(VLOOKUP($B45,Database!$B$1:$IX$10144,AC$22,FALSE))=0,"",VLOOKUP($B45,Database!$B$1:$IX$10144,AC$22,FALSE)))</f>
        <v>2.4</v>
      </c>
      <c r="AD45" s="22">
        <f>IF(OR($B45="",AD$22=""),"",IF(LEN(VLOOKUP($B45,Database!$B$1:$IX$10144,AD$22,FALSE))=0,"",VLOOKUP($B45,Database!$B$1:$IX$10144,AD$22,FALSE)))</f>
        <v>13.9</v>
      </c>
      <c r="AE45" s="22">
        <f>IF(OR($B45="",AE$22=""),"",IF(LEN(VLOOKUP($B45,Database!$B$1:$IX$10144,AE$22,FALSE))=0,"",VLOOKUP($B45,Database!$B$1:$IX$10144,AE$22,FALSE)))</f>
        <v>2.9</v>
      </c>
      <c r="AF45" s="22">
        <f>IF(OR($B45="",AF$22=""),"",IF(LEN(VLOOKUP($B45,Database!$B$1:$IX$10144,AF$22,FALSE))=0,"",VLOOKUP($B45,Database!$B$1:$IX$10144,AF$22,FALSE)))</f>
        <v>6</v>
      </c>
      <c r="AG45" s="22">
        <f>IF(OR($B45="",AG$22=""),"",IF(LEN(VLOOKUP($B45,Database!$B$1:$IX$10144,AG$22,FALSE))=0,"",VLOOKUP($B45,Database!$B$1:$IX$10144,AG$22,FALSE)))</f>
        <v>11</v>
      </c>
      <c r="AH45" s="22">
        <f>IF(OR($B45="",AH$22=""),"",IF(LEN(VLOOKUP($B45,Database!$B$1:$IX$10144,AH$22,FALSE))=0,"",VLOOKUP($B45,Database!$B$1:$IX$10144,AH$22,FALSE)))</f>
        <v>1.5</v>
      </c>
      <c r="AI45" s="22">
        <f>IF(OR($B45="",AI$22=""),"",IF(LEN(VLOOKUP($B45,Database!$B$1:$IX$10144,AI$22,FALSE))=0,"",VLOOKUP($B45,Database!$B$1:$IX$10144,AI$22,FALSE)))</f>
        <v>1</v>
      </c>
      <c r="AJ45" s="22" t="str">
        <f>IF(OR($B45="",AJ$22=""),"",IF(LEN(VLOOKUP($B45,Database!$B$1:$IX$10144,AJ$22,FALSE))=0,"",VLOOKUP($B45,Database!$B$1:$IX$10144,AJ$22,FALSE)))</f>
        <v/>
      </c>
      <c r="AK45" s="22">
        <f>IF(OR($B45="",AK$22=""),"",IF(LEN(VLOOKUP($B45,Database!$B$1:$IX$10144,AK$22,FALSE))=0,"",VLOOKUP($B45,Database!$B$1:$IX$10144,AK$22,FALSE)))</f>
        <v>10.3</v>
      </c>
      <c r="AL45" s="22" t="str">
        <f>IF(OR($B45="",AL$22=""),"",IF(LEN(VLOOKUP($B45,Database!$B$1:$IX$10144,AL$22,FALSE))=0,"",VLOOKUP($B45,Database!$B$1:$IX$10144,AL$22,FALSE)))</f>
        <v>ns</v>
      </c>
      <c r="AM45" s="22">
        <f>IF(OR($B45="",AM$22=""),"",IF(LEN(VLOOKUP($B45,Database!$B$1:$IX$10144,AM$22,FALSE))=0,"",VLOOKUP($B45,Database!$B$1:$IX$10144,AM$22,FALSE)))</f>
        <v>47.368421052631575</v>
      </c>
      <c r="AN45" s="22" t="str">
        <f>IF(OR($B45="",AN$22=""),"",IF(LEN(VLOOKUP($B45,Database!$B$1:$IX$10144,AN$22,FALSE))=0,"",VLOOKUP($B45,Database!$B$1:$IX$10144,AN$22,FALSE)))</f>
        <v>ns</v>
      </c>
      <c r="AO45" s="22" t="str">
        <f>IF(OR($B45="",AO$22=""),"",IF(LEN(VLOOKUP($B45,Database!$B$1:$IX$10144,AO$22,FALSE))=0,"",VLOOKUP($B45,Database!$B$1:$IX$10144,AO$22,FALSE)))</f>
        <v>ns</v>
      </c>
      <c r="AP45" s="22">
        <f>IF(OR($B45="",AP$22=""),"",IF(LEN(VLOOKUP($B45,Database!$B$1:$IX$10144,AP$22,FALSE))=0,"",VLOOKUP($B45,Database!$B$1:$IX$10144,AP$22,FALSE)))</f>
        <v>52.631578947368418</v>
      </c>
      <c r="AQ45" s="22" t="str">
        <f>IF(OR($B45="",AQ$22=""),"",IF(LEN(VLOOKUP($B45,Database!$B$1:$IX$10144,AQ$22,FALSE))=0,"",VLOOKUP($B45,Database!$B$1:$IX$10144,AQ$22,FALSE)))</f>
        <v>Caetano SC, Fonseca M, Hatch JP, Olvera RL, Nicoletti M, Hunter K, Lafer B, Pliszka SR, Soares JC.</v>
      </c>
      <c r="AR45" s="13"/>
      <c r="AX45" s="13"/>
      <c r="AY45" s="13"/>
      <c r="AZ45" s="13"/>
      <c r="BA45" s="13"/>
      <c r="BC45" s="23"/>
      <c r="BF45" s="136"/>
      <c r="BG45" s="136"/>
      <c r="BH45" s="136"/>
      <c r="BI45" s="136"/>
    </row>
    <row r="46" spans="1:61">
      <c r="B46">
        <v>17023001</v>
      </c>
      <c r="C46" s="1" t="str">
        <f>IF($B46="","",HYPERLINK(IF(LEN(VLOOKUP($B46,Database!$B$1:$IX$10144,2,FALSE))=0,"",VLOOKUP($B46,Database!$B$1:$IX$10144,2,FALSE))))</f>
        <v/>
      </c>
      <c r="D46" s="1" t="str">
        <f t="shared" si="1"/>
        <v>http://www.ncbi.nlm.nih.gov/pubmed/17023001</v>
      </c>
      <c r="E46" s="22" t="str">
        <f>IF($B46="","",IF(LEN(VLOOKUP($B46,Database!$B$1:$IX$10144,4,FALSE))=0,"",VLOOKUP($B46,Database!$B$1:$IX$10144,4,FALSE)))</f>
        <v>Colla M</v>
      </c>
      <c r="F46" s="22">
        <f>IF($B46="","",IF(LEN(VLOOKUP($B46,Database!$B$1:$IX$10144,5,FALSE))=0,"",VLOOKUP($B46,Database!$B$1:$IX$10144,5,FALSE)))</f>
        <v>2007</v>
      </c>
      <c r="G46" s="1" t="str">
        <f>IF($B46="","",HYPERLINK(IF(LEN(VLOOKUP($B46,Database!$B$1:$IX$10144,6,FALSE))=0,"",VLOOKUP($B46,Database!$B$1:$IX$10144,6,FALSE))))</f>
        <v>http://dx.doi.org/10.1016/j.jpsychires.2006.06.011</v>
      </c>
      <c r="H46" s="22">
        <f>IF($B46="","",IF(LEN(VLOOKUP($B46,Database!$B$1:$IX$10144,7,FALSE))=0,"",VLOOKUP($B46,Database!$B$1:$IX$10144,7,FALSE)))</f>
        <v>24</v>
      </c>
      <c r="I46" s="22">
        <f>IF($B46="","",IF(LEN(VLOOKUP($B46,Database!$B$1:$IX$10144,8,FALSE))=0,"",VLOOKUP($B46,Database!$B$1:$IX$10144,8,FALSE)))</f>
        <v>14</v>
      </c>
      <c r="J46" t="s">
        <v>1615</v>
      </c>
      <c r="L46">
        <v>1.68</v>
      </c>
      <c r="M46">
        <v>0.27</v>
      </c>
      <c r="N46">
        <v>1.86</v>
      </c>
      <c r="O46">
        <v>0.15</v>
      </c>
      <c r="P46">
        <v>1.78</v>
      </c>
      <c r="Q46">
        <v>0.26</v>
      </c>
      <c r="R46">
        <v>2</v>
      </c>
      <c r="S46">
        <v>0.18</v>
      </c>
      <c r="T46">
        <v>3.46</v>
      </c>
      <c r="U46">
        <v>0.52</v>
      </c>
      <c r="V46">
        <v>3.86</v>
      </c>
      <c r="W46">
        <v>0.32</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54.5</v>
      </c>
      <c r="AC46" s="22">
        <f>IF(OR($B46="",AC$22=""),"",IF(LEN(VLOOKUP($B46,Database!$B$1:$IX$10144,AC$22,FALSE))=0,"",VLOOKUP($B46,Database!$B$1:$IX$10144,AC$22,FALSE)))</f>
        <v>11.9</v>
      </c>
      <c r="AD46" s="22">
        <f>IF(OR($B46="",AD$22=""),"",IF(LEN(VLOOKUP($B46,Database!$B$1:$IX$10144,AD$22,FALSE))=0,"",VLOOKUP($B46,Database!$B$1:$IX$10144,AD$22,FALSE)))</f>
        <v>53.8</v>
      </c>
      <c r="AE46" s="22">
        <f>IF(OR($B46="",AE$22=""),"",IF(LEN(VLOOKUP($B46,Database!$B$1:$IX$10144,AE$22,FALSE))=0,"",VLOOKUP($B46,Database!$B$1:$IX$10144,AE$22,FALSE)))</f>
        <v>17.7</v>
      </c>
      <c r="AF46" s="22">
        <f>IF(OR($B46="",AF$22=""),"",IF(LEN(VLOOKUP($B46,Database!$B$1:$IX$10144,AF$22,FALSE))=0,"",VLOOKUP($B46,Database!$B$1:$IX$10144,AF$22,FALSE)))</f>
        <v>15</v>
      </c>
      <c r="AG46" s="22">
        <f>IF(OR($B46="",AG$22=""),"",IF(LEN(VLOOKUP($B46,Database!$B$1:$IX$10144,AG$22,FALSE))=0,"",VLOOKUP($B46,Database!$B$1:$IX$10144,AG$22,FALSE)))</f>
        <v>8</v>
      </c>
      <c r="AH46" s="22">
        <f>IF(OR($B46="",AH$22=""),"",IF(LEN(VLOOKUP($B46,Database!$B$1:$IX$10144,AH$22,FALSE))=0,"",VLOOKUP($B46,Database!$B$1:$IX$10144,AH$22,FALSE)))</f>
        <v>1.5</v>
      </c>
      <c r="AI46" s="22">
        <f>IF(OR($B46="",AI$22=""),"",IF(LEN(VLOOKUP($B46,Database!$B$1:$IX$10144,AI$22,FALSE))=0,"",VLOOKUP($B46,Database!$B$1:$IX$10144,AI$22,FALSE)))</f>
        <v>1.05</v>
      </c>
      <c r="AJ46" s="22" t="str">
        <f>IF(OR($B46="",AJ$22=""),"",IF(LEN(VLOOKUP($B46,Database!$B$1:$IX$10144,AJ$22,FALSE))=0,"",VLOOKUP($B46,Database!$B$1:$IX$10144,AJ$22,FALSE)))</f>
        <v/>
      </c>
      <c r="AK46" s="22" t="str">
        <f>IF(OR($B46="",AK$22=""),"",IF(LEN(VLOOKUP($B46,Database!$B$1:$IX$10144,AK$22,FALSE))=0,"",VLOOKUP($B46,Database!$B$1:$IX$10144,AK$22,FALSE)))</f>
        <v>ns</v>
      </c>
      <c r="AL46" s="22">
        <f>IF(OR($B46="",AL$22=""),"",IF(LEN(VLOOKUP($B46,Database!$B$1:$IX$10144,AL$22,FALSE))=0,"",VLOOKUP($B46,Database!$B$1:$IX$10144,AL$22,FALSE)))</f>
        <v>25.3</v>
      </c>
      <c r="AM46" s="22">
        <f>IF(OR($B46="",AM$22=""),"",IF(LEN(VLOOKUP($B46,Database!$B$1:$IX$10144,AM$22,FALSE))=0,"",VLOOKUP($B46,Database!$B$1:$IX$10144,AM$22,FALSE)))</f>
        <v>0</v>
      </c>
      <c r="AN46" s="22">
        <f>IF(OR($B46="",AN$22=""),"",IF(LEN(VLOOKUP($B46,Database!$B$1:$IX$10144,AN$22,FALSE))=0,"",VLOOKUP($B46,Database!$B$1:$IX$10144,AN$22,FALSE)))</f>
        <v>0</v>
      </c>
      <c r="AO46" s="22">
        <f>IF(OR($B46="",AO$22=""),"",IF(LEN(VLOOKUP($B46,Database!$B$1:$IX$10144,AO$22,FALSE))=0,"",VLOOKUP($B46,Database!$B$1:$IX$10144,AO$22,FALSE)))</f>
        <v>0</v>
      </c>
      <c r="AP46" s="22" t="str">
        <f>IF(OR($B46="",AP$22=""),"",IF(LEN(VLOOKUP($B46,Database!$B$1:$IX$10144,AP$22,FALSE))=0,"",VLOOKUP($B46,Database!$B$1:$IX$10144,AP$22,FALSE)))</f>
        <v>ns</v>
      </c>
      <c r="AQ46" s="22" t="str">
        <f>IF(OR($B46="",AQ$22=""),"",IF(LEN(VLOOKUP($B46,Database!$B$1:$IX$10144,AQ$22,FALSE))=0,"",VLOOKUP($B46,Database!$B$1:$IX$10144,AQ$22,FALSE)))</f>
        <v>Colla M, Kronenberg G, Deuschle M, Meichel K, Hagen T, Bohrer M, Heuser I.</v>
      </c>
      <c r="AR46" s="13"/>
      <c r="AX46" s="13"/>
      <c r="AY46" s="13"/>
      <c r="AZ46" s="13"/>
      <c r="BA46" s="13"/>
      <c r="BC46" s="23"/>
      <c r="BF46" s="136"/>
      <c r="BG46" s="136"/>
      <c r="BH46" s="136"/>
      <c r="BI46" s="136"/>
    </row>
    <row r="47" spans="1:61">
      <c r="A47" s="10"/>
      <c r="B47">
        <v>17604352</v>
      </c>
      <c r="C47" s="1" t="str">
        <f>IF($B47="","",HYPERLINK(IF(LEN(VLOOKUP($B47,Database!$B$1:$IX$10144,2,FALSE))=0,"",VLOOKUP($B47,Database!$B$1:$IX$10144,2,FALSE))))</f>
        <v/>
      </c>
      <c r="D47" s="1" t="str">
        <f t="shared" si="1"/>
        <v>http://www.ncbi.nlm.nih.gov/pubmed/17604352</v>
      </c>
      <c r="E47" s="22" t="str">
        <f>IF($B47="","",IF(LEN(VLOOKUP($B47,Database!$B$1:$IX$10144,4,FALSE))=0,"",VLOOKUP($B47,Database!$B$1:$IX$10144,4,FALSE)))</f>
        <v>Maller JJ</v>
      </c>
      <c r="F47" s="22">
        <f>IF($B47="","",IF(LEN(VLOOKUP($B47,Database!$B$1:$IX$10144,5,FALSE))=0,"",VLOOKUP($B47,Database!$B$1:$IX$10144,5,FALSE)))</f>
        <v>2007</v>
      </c>
      <c r="G47" s="1" t="str">
        <f>IF($B47="","",HYPERLINK(IF(LEN(VLOOKUP($B47,Database!$B$1:$IX$10144,6,FALSE))=0,"",VLOOKUP($B47,Database!$B$1:$IX$10144,6,FALSE))))</f>
        <v>http://dx.doi.org/10.1002/hipo.20339</v>
      </c>
      <c r="H47" s="83">
        <v>22</v>
      </c>
      <c r="I47" s="83">
        <v>13</v>
      </c>
      <c r="J47" t="s">
        <v>1266</v>
      </c>
      <c r="K47" t="s">
        <v>1367</v>
      </c>
      <c r="L47">
        <v>3010.56</v>
      </c>
      <c r="M47">
        <v>291.39999999999998</v>
      </c>
      <c r="N47">
        <v>3270.01</v>
      </c>
      <c r="O47">
        <v>429.57</v>
      </c>
      <c r="P47">
        <v>2977.8</v>
      </c>
      <c r="Q47">
        <v>276.56</v>
      </c>
      <c r="R47">
        <v>3202.8</v>
      </c>
      <c r="S47">
        <v>487.12</v>
      </c>
      <c r="Y47" s="22" t="str">
        <f>IF(OR($B47="",Y$22=""),"",IF(LEN(VLOOKUP($B47,Database!$B$1:$IX$10144,Y$22,FALSE))=0,"",VLOOKUP($B47,Database!$B$1:$IX$10144,Y$22,FALSE)))</f>
        <v>DSM-IV</v>
      </c>
      <c r="Z47" s="22" t="str">
        <f>IF(OR($B47="",Z$22=""),"",IF(LEN(VLOOKUP($B47,Database!$B$1:$IX$10144,Z$22,FALSE))=0,"",VLOOKUP($B47,Database!$B$1:$IX$10144,Z$22,FALSE)))</f>
        <v>MRI</v>
      </c>
      <c r="AA47" s="214" t="s">
        <v>1367</v>
      </c>
      <c r="AB47" s="83">
        <v>37.29</v>
      </c>
      <c r="AC47" s="83">
        <v>8.76</v>
      </c>
      <c r="AD47" s="83">
        <v>39.29</v>
      </c>
      <c r="AE47" s="83">
        <v>12.67</v>
      </c>
      <c r="AF47" s="83">
        <v>0</v>
      </c>
      <c r="AG47" s="83">
        <v>0</v>
      </c>
      <c r="AH47" s="22">
        <f>IF(OR($B47="",AH$22=""),"",IF(LEN(VLOOKUP($B47,Database!$B$1:$IX$10144,AH$22,FALSE))=0,"",VLOOKUP($B47,Database!$B$1:$IX$10144,AH$22,FALSE)))</f>
        <v>1.5</v>
      </c>
      <c r="AI47" s="22">
        <f>IF(OR($B47="",AI$22=""),"",IF(LEN(VLOOKUP($B47,Database!$B$1:$IX$10144,AI$22,FALSE))=0,"",VLOOKUP($B47,Database!$B$1:$IX$10144,AI$22,FALSE)))</f>
        <v>0.94</v>
      </c>
      <c r="AJ47" s="22" t="str">
        <f>IF(OR($B47="",AJ$22=""),"",IF(LEN(VLOOKUP($B47,Database!$B$1:$IX$10144,AJ$22,FALSE))=0,"",VLOOKUP($B47,Database!$B$1:$IX$10144,AJ$22,FALSE)))</f>
        <v/>
      </c>
      <c r="AK47" s="22" t="str">
        <f>IF(OR($B47="",AK$22=""),"",IF(LEN(VLOOKUP($B47,Database!$B$1:$IX$10144,AK$22,FALSE))=0,"",VLOOKUP($B47,Database!$B$1:$IX$10144,AK$22,FALSE)))</f>
        <v>ns</v>
      </c>
      <c r="AL47" s="22" t="str">
        <f>IF(OR($B47="",AL$22=""),"",IF(LEN(VLOOKUP($B47,Database!$B$1:$IX$10144,AL$22,FALSE))=0,"",VLOOKUP($B47,Database!$B$1:$IX$10144,AL$22,FALSE)))</f>
        <v>ns</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Maller JJ, Daskalakis ZJ, Fitzgerald PB.</v>
      </c>
      <c r="AR47" s="13"/>
      <c r="AX47" s="13"/>
      <c r="AY47" s="13"/>
      <c r="AZ47" s="13"/>
      <c r="BA47" s="13"/>
      <c r="BC47" s="23"/>
      <c r="BF47" s="136"/>
      <c r="BG47" s="136"/>
      <c r="BH47" s="136"/>
      <c r="BI47" s="136"/>
    </row>
    <row r="48" spans="1:61">
      <c r="A48" t="s">
        <v>2322</v>
      </c>
      <c r="B48">
        <v>17604352</v>
      </c>
      <c r="C48" s="1" t="str">
        <f>IF($B48="","",HYPERLINK(IF(LEN(VLOOKUP($B48,Database!$B$1:$IX$10144,2,FALSE))=0,"",VLOOKUP($B48,Database!$B$1:$IX$10144,2,FALSE))))</f>
        <v/>
      </c>
      <c r="D48" s="1" t="str">
        <f t="shared" si="1"/>
        <v>http://www.ncbi.nlm.nih.gov/pubmed/17604352</v>
      </c>
      <c r="E48" s="22" t="str">
        <f>IF($B48="","",IF(LEN(VLOOKUP($B48,Database!$B$1:$IX$10144,4,FALSE))=0,"",VLOOKUP($B48,Database!$B$1:$IX$10144,4,FALSE)))</f>
        <v>Maller JJ</v>
      </c>
      <c r="F48" s="22">
        <f>IF($B48="","",IF(LEN(VLOOKUP($B48,Database!$B$1:$IX$10144,5,FALSE))=0,"",VLOOKUP($B48,Database!$B$1:$IX$10144,5,FALSE)))</f>
        <v>2007</v>
      </c>
      <c r="G48" s="1" t="str">
        <f>IF($B48="","",HYPERLINK(IF(LEN(VLOOKUP($B48,Database!$B$1:$IX$10144,6,FALSE))=0,"",VLOOKUP($B48,Database!$B$1:$IX$10144,6,FALSE))))</f>
        <v>http://dx.doi.org/10.1002/hipo.20339</v>
      </c>
      <c r="H48" s="83">
        <v>23</v>
      </c>
      <c r="I48" s="83">
        <v>17</v>
      </c>
      <c r="J48" t="s">
        <v>1266</v>
      </c>
      <c r="K48" t="s">
        <v>2188</v>
      </c>
      <c r="L48">
        <v>2781.15</v>
      </c>
      <c r="M48">
        <v>376.58</v>
      </c>
      <c r="N48">
        <v>2989.96</v>
      </c>
      <c r="O48">
        <v>252.14</v>
      </c>
      <c r="P48">
        <v>2817.3</v>
      </c>
      <c r="Q48">
        <v>239.23</v>
      </c>
      <c r="R48">
        <v>2961.03</v>
      </c>
      <c r="S48">
        <v>281.60000000000002</v>
      </c>
      <c r="Y48" s="22" t="str">
        <f>IF(OR($B48="",Y$22=""),"",IF(LEN(VLOOKUP($B48,Database!$B$1:$IX$10144,Y$22,FALSE))=0,"",VLOOKUP($B48,Database!$B$1:$IX$10144,Y$22,FALSE)))</f>
        <v>DSM-IV</v>
      </c>
      <c r="Z48" s="22" t="str">
        <f>IF(OR($B48="",Z$22=""),"",IF(LEN(VLOOKUP($B48,Database!$B$1:$IX$10144,Z$22,FALSE))=0,"",VLOOKUP($B48,Database!$B$1:$IX$10144,Z$22,FALSE)))</f>
        <v>MRI</v>
      </c>
      <c r="AA48" s="214" t="s">
        <v>1368</v>
      </c>
      <c r="AB48" s="83">
        <v>37.47</v>
      </c>
      <c r="AC48" s="83">
        <v>12.96</v>
      </c>
      <c r="AD48" s="83">
        <v>35.76</v>
      </c>
      <c r="AE48" s="83">
        <v>11.03</v>
      </c>
      <c r="AF48" s="83">
        <f>IF(OR($B48="",AF$22=""),"",IF(LEN(VLOOKUP($B48,Database!$B$1:$IX$10144,AF$22,FALSE))=0,"",VLOOKUP($B48,Database!$B$1:$IX$10144,AF$22,FALSE)))</f>
        <v>23</v>
      </c>
      <c r="AG48" s="83">
        <f>IF(OR($B48="",AG$22=""),"",IF(LEN(VLOOKUP($B48,Database!$B$1:$IX$10144,AG$22,FALSE))=0,"",VLOOKUP($B48,Database!$B$1:$IX$10144,AG$22,FALSE)))</f>
        <v>17</v>
      </c>
      <c r="AH48" s="22">
        <f>IF(OR($B48="",AH$22=""),"",IF(LEN(VLOOKUP($B48,Database!$B$1:$IX$10144,AH$22,FALSE))=0,"",VLOOKUP($B48,Database!$B$1:$IX$10144,AH$22,FALSE)))</f>
        <v>1.5</v>
      </c>
      <c r="AI48" s="22">
        <f>IF(OR($B48="",AI$22=""),"",IF(LEN(VLOOKUP($B48,Database!$B$1:$IX$10144,AI$22,FALSE))=0,"",VLOOKUP($B48,Database!$B$1:$IX$10144,AI$22,FALSE)))</f>
        <v>0.94</v>
      </c>
      <c r="AJ48" s="22" t="str">
        <f>IF(OR($B48="",AJ$22=""),"",IF(LEN(VLOOKUP($B48,Database!$B$1:$IX$10144,AJ$22,FALSE))=0,"",VLOOKUP($B48,Database!$B$1:$IX$10144,AJ$22,FALSE)))</f>
        <v/>
      </c>
      <c r="AK48" s="22" t="str">
        <f>IF(OR($B48="",AK$22=""),"",IF(LEN(VLOOKUP($B48,Database!$B$1:$IX$10144,AK$22,FALSE))=0,"",VLOOKUP($B48,Database!$B$1:$IX$10144,AK$22,FALSE)))</f>
        <v>ns</v>
      </c>
      <c r="AL48" s="22" t="str">
        <f>IF(OR($B48="",AL$22=""),"",IF(LEN(VLOOKUP($B48,Database!$B$1:$IX$10144,AL$22,FALSE))=0,"",VLOOKUP($B48,Database!$B$1:$IX$10144,AL$22,FALSE)))</f>
        <v>ns</v>
      </c>
      <c r="AM48" s="22" t="str">
        <f>IF(OR($B48="",AM$22=""),"",IF(LEN(VLOOKUP($B48,Database!$B$1:$IX$10144,AM$22,FALSE))=0,"",VLOOKUP($B48,Database!$B$1:$IX$10144,AM$22,FALSE)))</f>
        <v>ns</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Maller JJ, Daskalakis ZJ, Fitzgerald PB.</v>
      </c>
      <c r="AR48" s="13"/>
      <c r="AX48" s="13"/>
      <c r="AY48" s="13"/>
      <c r="AZ48" s="13"/>
      <c r="BA48" s="13"/>
      <c r="BC48" s="23"/>
      <c r="BF48" s="136"/>
      <c r="BG48" s="136"/>
      <c r="BH48" s="136"/>
      <c r="BI48" s="136"/>
    </row>
    <row r="49" spans="1:256">
      <c r="B49">
        <v>17986679</v>
      </c>
      <c r="C49" s="1" t="str">
        <f>IF($B49="","",HYPERLINK(IF(LEN(VLOOKUP($B49,Database!$B$1:$IX$10144,2,FALSE))=0,"",VLOOKUP($B49,Database!$B$1:$IX$10144,2,FALSE))))</f>
        <v/>
      </c>
      <c r="D49" s="1" t="str">
        <f t="shared" si="1"/>
        <v>http://www.ncbi.nlm.nih.gov/pubmed/17986679</v>
      </c>
      <c r="E49" s="22" t="str">
        <f>IF($B49="","",IF(LEN(VLOOKUP($B49,Database!$B$1:$IX$10144,4,FALSE))=0,"",VLOOKUP($B49,Database!$B$1:$IX$10144,4,FALSE)))</f>
        <v>Ballmaier M (A)</v>
      </c>
      <c r="F49" s="22">
        <f>IF($B49="","",IF(LEN(VLOOKUP($B49,Database!$B$1:$IX$10144,5,FALSE))=0,"",VLOOKUP($B49,Database!$B$1:$IX$10144,5,FALSE)))</f>
        <v>2008</v>
      </c>
      <c r="G49" s="1" t="str">
        <f>IF($B49="","",HYPERLINK(IF(LEN(VLOOKUP($B49,Database!$B$1:$IX$10144,6,FALSE))=0,"",VLOOKUP($B49,Database!$B$1:$IX$10144,6,FALSE))))</f>
        <v>http://ajp.psychiatryonline.org/cgi/reprint/165/2/229</v>
      </c>
      <c r="H49" s="22">
        <f>IF($B49="","",IF(LEN(VLOOKUP($B49,Database!$B$1:$IX$10144,7,FALSE))=0,"",VLOOKUP($B49,Database!$B$1:$IX$10144,7,FALSE)))</f>
        <v>46</v>
      </c>
      <c r="I49" s="22">
        <f>IF($B49="","",IF(LEN(VLOOKUP($B49,Database!$B$1:$IX$10144,8,FALSE))=0,"",VLOOKUP($B49,Database!$B$1:$IX$10144,8,FALSE)))</f>
        <v>34</v>
      </c>
      <c r="J49" t="s">
        <v>1379</v>
      </c>
      <c r="L49">
        <v>1116.0999999999999</v>
      </c>
      <c r="M49">
        <v>222</v>
      </c>
      <c r="N49">
        <v>1272.75</v>
      </c>
      <c r="O49">
        <v>257.64999999999998</v>
      </c>
      <c r="P49">
        <v>1127.53</v>
      </c>
      <c r="Q49">
        <v>231.12</v>
      </c>
      <c r="R49">
        <v>1308.45</v>
      </c>
      <c r="S49">
        <v>245.62</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71.099999999999994</v>
      </c>
      <c r="AC49" s="22">
        <f>IF(OR($B49="",AC$22=""),"",IF(LEN(VLOOKUP($B49,Database!$B$1:$IX$10144,AC$22,FALSE))=0,"",VLOOKUP($B49,Database!$B$1:$IX$10144,AC$22,FALSE)))</f>
        <v>7.66</v>
      </c>
      <c r="AD49" s="22">
        <f>IF(OR($B49="",AD$22=""),"",IF(LEN(VLOOKUP($B49,Database!$B$1:$IX$10144,AD$22,FALSE))=0,"",VLOOKUP($B49,Database!$B$1:$IX$10144,AD$22,FALSE)))</f>
        <v>72.38</v>
      </c>
      <c r="AE49" s="22">
        <f>IF(OR($B49="",AE$22=""),"",IF(LEN(VLOOKUP($B49,Database!$B$1:$IX$10144,AE$22,FALSE))=0,"",VLOOKUP($B49,Database!$B$1:$IX$10144,AE$22,FALSE)))</f>
        <v>6.93</v>
      </c>
      <c r="AF49" s="22">
        <f>IF(OR($B49="",AF$22=""),"",IF(LEN(VLOOKUP($B49,Database!$B$1:$IX$10144,AF$22,FALSE))=0,"",VLOOKUP($B49,Database!$B$1:$IX$10144,AF$22,FALSE)))</f>
        <v>34</v>
      </c>
      <c r="AG49" s="22">
        <f>IF(OR($B49="",AG$22=""),"",IF(LEN(VLOOKUP($B49,Database!$B$1:$IX$10144,AG$22,FALSE))=0,"",VLOOKUP($B49,Database!$B$1:$IX$10144,AG$22,FALSE)))</f>
        <v>19</v>
      </c>
      <c r="AH49" s="22">
        <f>IF(OR($B49="",AH$22=""),"",IF(LEN(VLOOKUP($B49,Database!$B$1:$IX$10144,AH$22,FALSE))=0,"",VLOOKUP($B49,Database!$B$1:$IX$10144,AH$22,FALSE)))</f>
        <v>1.5</v>
      </c>
      <c r="AI49" s="22">
        <f>IF(OR($B49="",AI$22=""),"",IF(LEN(VLOOKUP($B49,Database!$B$1:$IX$10144,AI$22,FALSE))=0,"",VLOOKUP($B49,Database!$B$1:$IX$10144,AI$22,FALSE)))</f>
        <v>1.4</v>
      </c>
      <c r="AJ49" s="22" t="str">
        <f>IF(OR($B49="",AJ$22=""),"",IF(LEN(VLOOKUP($B49,Database!$B$1:$IX$10144,AJ$22,FALSE))=0,"",VLOOKUP($B49,Database!$B$1:$IX$10144,AJ$22,FALSE)))</f>
        <v/>
      </c>
      <c r="AK49" s="22">
        <f>IF(OR($B49="",AK$22=""),"",IF(LEN(VLOOKUP($B49,Database!$B$1:$IX$10144,AK$22,FALSE))=0,"",VLOOKUP($B49,Database!$B$1:$IX$10144,AK$22,FALSE)))</f>
        <v>51.43</v>
      </c>
      <c r="AL49" s="22">
        <f>IF(OR($B49="",AL$22=""),"",IF(LEN(VLOOKUP($B49,Database!$B$1:$IX$10144,AL$22,FALSE))=0,"",VLOOKUP($B49,Database!$B$1:$IX$10144,AL$22,FALSE)))</f>
        <v>17.73</v>
      </c>
      <c r="AM49" s="22">
        <f>IF(OR($B49="",AM$22=""),"",IF(LEN(VLOOKUP($B49,Database!$B$1:$IX$10144,AM$22,FALSE))=0,"",VLOOKUP($B49,Database!$B$1:$IX$10144,AM$22,FALSE)))</f>
        <v>0</v>
      </c>
      <c r="AN49" s="22">
        <f>IF(OR($B49="",AN$22=""),"",IF(LEN(VLOOKUP($B49,Database!$B$1:$IX$10144,AN$22,FALSE))=0,"",VLOOKUP($B49,Database!$B$1:$IX$10144,AN$22,FALSE)))</f>
        <v>0</v>
      </c>
      <c r="AO49" s="22">
        <f>IF(OR($B49="",AO$22=""),"",IF(LEN(VLOOKUP($B49,Database!$B$1:$IX$10144,AO$22,FALSE))=0,"",VLOOKUP($B49,Database!$B$1:$IX$10144,AO$22,FALSE)))</f>
        <v>0</v>
      </c>
      <c r="AP49" s="22">
        <f>IF(OR($B49="",AP$22=""),"",IF(LEN(VLOOKUP($B49,Database!$B$1:$IX$10144,AP$22,FALSE))=0,"",VLOOKUP($B49,Database!$B$1:$IX$10144,AP$22,FALSE)))</f>
        <v>100</v>
      </c>
      <c r="AQ49" s="22" t="str">
        <f>IF(OR($B49="",AQ$22=""),"",IF(LEN(VLOOKUP($B49,Database!$B$1:$IX$10144,AQ$22,FALSE))=0,"",VLOOKUP($B49,Database!$B$1:$IX$10144,AQ$22,FALSE)))</f>
        <v>Ballmaier M, Narr KL, Toga AW, Elderkin-Thompson V, Thompson PM, Hamilton L, Haroon E, Pham D, Heinz A, Kumar A.</v>
      </c>
      <c r="AR49" s="13"/>
      <c r="AX49" s="13"/>
      <c r="AY49" s="13"/>
      <c r="AZ49" s="13"/>
      <c r="BA49" s="13"/>
      <c r="BC49" s="23"/>
      <c r="BF49" s="136"/>
      <c r="BG49" s="136"/>
      <c r="BH49" s="136"/>
      <c r="BI49" s="136"/>
    </row>
    <row r="50" spans="1:256">
      <c r="B50">
        <v>18450931</v>
      </c>
      <c r="C50" s="1" t="str">
        <f>IF($B50="","",HYPERLINK(IF(LEN(VLOOKUP($B50,Database!$B$1:$IX$10144,2,FALSE))=0,"",VLOOKUP($B50,Database!$B$1:$IX$10144,2,FALSE))))</f>
        <v/>
      </c>
      <c r="D50" s="1" t="str">
        <f t="shared" si="1"/>
        <v>http://www.ncbi.nlm.nih.gov/pubmed/18450931</v>
      </c>
      <c r="E50" s="22" t="str">
        <f>IF($B50="","",IF(LEN(VLOOKUP($B50,Database!$B$1:$IX$10144,4,FALSE))=0,"",VLOOKUP($B50,Database!$B$1:$IX$10144,4,FALSE)))</f>
        <v>Keller J</v>
      </c>
      <c r="F50" s="22">
        <f>IF($B50="","",IF(LEN(VLOOKUP($B50,Database!$B$1:$IX$10144,5,FALSE))=0,"",VLOOKUP($B50,Database!$B$1:$IX$10144,5,FALSE)))</f>
        <v>2008</v>
      </c>
      <c r="G50" s="1" t="str">
        <f>IF($B50="","",HYPERLINK(IF(LEN(VLOOKUP($B50,Database!$B$1:$IX$10144,6,FALSE))=0,"",VLOOKUP($B50,Database!$B$1:$IX$10144,6,FALSE))))</f>
        <v>http://ajp.psychiatryonline.org/cgi/content/full/165/7/872</v>
      </c>
      <c r="H50" s="83">
        <v>23</v>
      </c>
      <c r="I50" s="83">
        <v>11</v>
      </c>
      <c r="J50" t="s">
        <v>1378</v>
      </c>
      <c r="K50" t="s">
        <v>1173</v>
      </c>
      <c r="L50">
        <v>3.86</v>
      </c>
      <c r="M50">
        <v>0.57999999999999996</v>
      </c>
      <c r="N50">
        <v>3.78</v>
      </c>
      <c r="O50">
        <v>0.49</v>
      </c>
      <c r="P50">
        <v>3.98</v>
      </c>
      <c r="Q50">
        <v>0.56999999999999995</v>
      </c>
      <c r="R50">
        <v>3.89</v>
      </c>
      <c r="S50">
        <v>0.46</v>
      </c>
      <c r="Y50" s="22" t="str">
        <f>IF(OR($B50="",Y$22=""),"",IF(LEN(VLOOKUP($B50,Database!$B$1:$IX$10144,Y$22,FALSE))=0,"",VLOOKUP($B50,Database!$B$1:$IX$10144,Y$22,FALSE)))</f>
        <v>DSM-IV</v>
      </c>
      <c r="Z50" s="22" t="str">
        <f>IF(OR($B50="",Z$22=""),"",IF(LEN(VLOOKUP($B50,Database!$B$1:$IX$10144,Z$22,FALSE))=0,"",VLOOKUP($B50,Database!$B$1:$IX$10144,Z$22,FALSE)))</f>
        <v>MRI</v>
      </c>
      <c r="AA50" s="83" t="s">
        <v>754</v>
      </c>
      <c r="AB50" s="83">
        <v>36.5</v>
      </c>
      <c r="AC50" s="83">
        <v>13.2</v>
      </c>
      <c r="AD50" s="22">
        <f>IF(OR($B50="",AD$22=""),"",IF(LEN(VLOOKUP($B50,Database!$B$1:$IX$10144,AD$22,FALSE))=0,"",VLOOKUP($B50,Database!$B$1:$IX$10144,AD$22,FALSE)))</f>
        <v>32.200000000000003</v>
      </c>
      <c r="AE50" s="22">
        <f>IF(OR($B50="",AE$22=""),"",IF(LEN(VLOOKUP($B50,Database!$B$1:$IX$10144,AE$22,FALSE))=0,"",VLOOKUP($B50,Database!$B$1:$IX$10144,AE$22,FALSE)))</f>
        <v>11.5</v>
      </c>
      <c r="AF50" s="83">
        <v>11</v>
      </c>
      <c r="AG50" s="83">
        <v>10.5</v>
      </c>
      <c r="AH50" s="22">
        <f>IF(OR($B50="",AH$22=""),"",IF(LEN(VLOOKUP($B50,Database!$B$1:$IX$10144,AH$22,FALSE))=0,"",VLOOKUP($B50,Database!$B$1:$IX$10144,AH$22,FALSE)))</f>
        <v>3</v>
      </c>
      <c r="AI50" s="22">
        <f>IF(OR($B50="",AI$22=""),"",IF(LEN(VLOOKUP($B50,Database!$B$1:$IX$10144,AI$22,FALSE))=0,"",VLOOKUP($B50,Database!$B$1:$IX$10144,AI$22,FALSE)))</f>
        <v>1.5</v>
      </c>
      <c r="AJ50" s="22" t="str">
        <f>IF(OR($B50="",AJ$22=""),"",IF(LEN(VLOOKUP($B50,Database!$B$1:$IX$10144,AJ$22,FALSE))=0,"",VLOOKUP($B50,Database!$B$1:$IX$10144,AJ$22,FALSE)))</f>
        <v/>
      </c>
      <c r="AK50" s="83">
        <v>27.6</v>
      </c>
      <c r="AL50" s="83">
        <v>30.5</v>
      </c>
      <c r="AM50" s="83">
        <v>65.2</v>
      </c>
      <c r="AN50" s="83">
        <v>17.39</v>
      </c>
      <c r="AO50" s="83">
        <v>70</v>
      </c>
      <c r="AP50" s="83">
        <v>17.399999999999999</v>
      </c>
      <c r="AQ50" s="22" t="str">
        <f>IF(OR($B50="",AQ$22=""),"",IF(LEN(VLOOKUP($B50,Database!$B$1:$IX$10144,AQ$22,FALSE))=0,"",VLOOKUP($B50,Database!$B$1:$IX$10144,AQ$22,FALSE)))</f>
        <v>Keller J, Shen L, Gomez RG, Garrett A, Solvason HB, Reiss A, Schatzberg AF.</v>
      </c>
      <c r="AR50" s="13"/>
      <c r="AU50" s="13"/>
      <c r="AX50" s="13"/>
      <c r="AY50" s="13"/>
      <c r="AZ50" s="13"/>
      <c r="BA50" s="13"/>
      <c r="BC50" s="23"/>
      <c r="BF50" s="136"/>
      <c r="BG50" s="136"/>
      <c r="BH50" s="136"/>
      <c r="BI50" s="136"/>
    </row>
    <row r="51" spans="1:256">
      <c r="B51">
        <v>18450931</v>
      </c>
      <c r="C51" s="1" t="str">
        <f>IF($B51="","",HYPERLINK(IF(LEN(VLOOKUP($B51,Database!$B$1:$IX$10144,2,FALSE))=0,"",VLOOKUP($B51,Database!$B$1:$IX$10144,2,FALSE))))</f>
        <v/>
      </c>
      <c r="D51" s="1" t="str">
        <f t="shared" si="1"/>
        <v>http://www.ncbi.nlm.nih.gov/pubmed/18450931</v>
      </c>
      <c r="E51" s="22" t="str">
        <f>IF($B51="","",IF(LEN(VLOOKUP($B51,Database!$B$1:$IX$10144,4,FALSE))=0,"",VLOOKUP($B51,Database!$B$1:$IX$10144,4,FALSE)))</f>
        <v>Keller J</v>
      </c>
      <c r="F51" s="22">
        <f>IF($B51="","",IF(LEN(VLOOKUP($B51,Database!$B$1:$IX$10144,5,FALSE))=0,"",VLOOKUP($B51,Database!$B$1:$IX$10144,5,FALSE)))</f>
        <v>2008</v>
      </c>
      <c r="G51" s="1" t="str">
        <f>IF($B51="","",HYPERLINK(IF(LEN(VLOOKUP($B51,Database!$B$1:$IX$10144,6,FALSE))=0,"",VLOOKUP($B51,Database!$B$1:$IX$10144,6,FALSE))))</f>
        <v>http://ajp.psychiatryonline.org/cgi/content/full/165/7/872</v>
      </c>
      <c r="H51" s="83">
        <v>19</v>
      </c>
      <c r="I51" s="83">
        <v>11</v>
      </c>
      <c r="J51" t="s">
        <v>1378</v>
      </c>
      <c r="K51" t="s">
        <v>1000</v>
      </c>
      <c r="L51">
        <v>3.85</v>
      </c>
      <c r="M51">
        <v>0.3</v>
      </c>
      <c r="N51">
        <v>3.78</v>
      </c>
      <c r="O51">
        <v>0.49</v>
      </c>
      <c r="P51">
        <v>4.09</v>
      </c>
      <c r="Q51">
        <v>0.41</v>
      </c>
      <c r="R51">
        <v>3.89</v>
      </c>
      <c r="S51">
        <v>0.46</v>
      </c>
      <c r="Y51" s="22" t="str">
        <f>IF(OR($B51="",Y$22=""),"",IF(LEN(VLOOKUP($B51,Database!$B$1:$IX$10144,Y$22,FALSE))=0,"",VLOOKUP($B51,Database!$B$1:$IX$10144,Y$22,FALSE)))</f>
        <v>DSM-IV</v>
      </c>
      <c r="Z51" s="22" t="str">
        <f>IF(OR($B51="",Z$22=""),"",IF(LEN(VLOOKUP($B51,Database!$B$1:$IX$10144,Z$22,FALSE))=0,"",VLOOKUP($B51,Database!$B$1:$IX$10144,Z$22,FALSE)))</f>
        <v>MRI</v>
      </c>
      <c r="AA51" s="83" t="s">
        <v>755</v>
      </c>
      <c r="AB51" s="83">
        <v>36.6</v>
      </c>
      <c r="AC51" s="83">
        <v>11.9</v>
      </c>
      <c r="AD51" s="22">
        <f>IF(OR($B51="",AD$22=""),"",IF(LEN(VLOOKUP($B51,Database!$B$1:$IX$10144,AD$22,FALSE))=0,"",VLOOKUP($B51,Database!$B$1:$IX$10144,AD$22,FALSE)))</f>
        <v>32.200000000000003</v>
      </c>
      <c r="AE51" s="22">
        <f>IF(OR($B51="",AE$22=""),"",IF(LEN(VLOOKUP($B51,Database!$B$1:$IX$10144,AE$22,FALSE))=0,"",VLOOKUP($B51,Database!$B$1:$IX$10144,AE$22,FALSE)))</f>
        <v>11.5</v>
      </c>
      <c r="AF51" s="83">
        <v>12</v>
      </c>
      <c r="AG51" s="83">
        <v>10.5</v>
      </c>
      <c r="AH51" s="22">
        <f>IF(OR($B51="",AH$22=""),"",IF(LEN(VLOOKUP($B51,Database!$B$1:$IX$10144,AH$22,FALSE))=0,"",VLOOKUP($B51,Database!$B$1:$IX$10144,AH$22,FALSE)))</f>
        <v>3</v>
      </c>
      <c r="AI51" s="22">
        <f>IF(OR($B51="",AI$22=""),"",IF(LEN(VLOOKUP($B51,Database!$B$1:$IX$10144,AI$22,FALSE))=0,"",VLOOKUP($B51,Database!$B$1:$IX$10144,AI$22,FALSE)))</f>
        <v>1.5</v>
      </c>
      <c r="AJ51" s="22" t="str">
        <f>IF(OR($B51="",AJ$22=""),"",IF(LEN(VLOOKUP($B51,Database!$B$1:$IX$10144,AJ$22,FALSE))=0,"",VLOOKUP($B51,Database!$B$1:$IX$10144,AJ$22,FALSE)))</f>
        <v/>
      </c>
      <c r="AK51" s="83">
        <v>27</v>
      </c>
      <c r="AL51" s="83">
        <v>23.7</v>
      </c>
      <c r="AM51" s="83">
        <v>57.9</v>
      </c>
      <c r="AN51" s="83">
        <v>10.5</v>
      </c>
      <c r="AO51" s="83">
        <v>0</v>
      </c>
      <c r="AP51" s="83">
        <v>42.1</v>
      </c>
      <c r="AQ51" s="22" t="str">
        <f>IF(OR($B51="",AQ$22=""),"",IF(LEN(VLOOKUP($B51,Database!$B$1:$IX$10144,AQ$22,FALSE))=0,"",VLOOKUP($B51,Database!$B$1:$IX$10144,AQ$22,FALSE)))</f>
        <v>Keller J, Shen L, Gomez RG, Garrett A, Solvason HB, Reiss A, Schatzberg AF.</v>
      </c>
      <c r="AR51" s="13"/>
      <c r="AU51" s="13"/>
      <c r="AX51" s="13"/>
      <c r="AY51" s="13"/>
      <c r="AZ51" s="13"/>
      <c r="BA51" s="13"/>
      <c r="BC51" s="23"/>
      <c r="BF51" s="136"/>
      <c r="BG51" s="136"/>
      <c r="BH51" s="136"/>
      <c r="BI51" s="136"/>
    </row>
    <row r="52" spans="1:256">
      <c r="A52" t="s">
        <v>2112</v>
      </c>
      <c r="B52">
        <v>17640621</v>
      </c>
      <c r="C52" s="1" t="str">
        <f>IF($B52="","",HYPERLINK(IF(LEN(VLOOKUP($B52,Database!$B$1:$IX$10144,2,FALSE))=0,"",VLOOKUP($B52,Database!$B$1:$IX$10144,2,FALSE))))</f>
        <v/>
      </c>
      <c r="D52" s="1" t="str">
        <f t="shared" si="1"/>
        <v>http://www.ncbi.nlm.nih.gov/pubmed/17640621</v>
      </c>
      <c r="E52" s="22" t="str">
        <f>IF($B52="","",IF(LEN(VLOOKUP($B52,Database!$B$1:$IX$10144,4,FALSE))=0,"",VLOOKUP($B52,Database!$B$1:$IX$10144,4,FALSE)))</f>
        <v>MacMaster FP (B)</v>
      </c>
      <c r="F52" s="22">
        <f>IF($B52="","",IF(LEN(VLOOKUP($B52,Database!$B$1:$IX$10144,5,FALSE))=0,"",VLOOKUP($B52,Database!$B$1:$IX$10144,5,FALSE)))</f>
        <v>2008</v>
      </c>
      <c r="G52" s="1" t="str">
        <f>IF($B52="","",HYPERLINK(IF(LEN(VLOOKUP($B52,Database!$B$1:$IX$10144,6,FALSE))=0,"",VLOOKUP($B52,Database!$B$1:$IX$10144,6,FALSE))))</f>
        <v>http://dx.doi.org/10.1016/j.biopsych.2007.05.005</v>
      </c>
      <c r="H52" s="83">
        <v>16</v>
      </c>
      <c r="I52" s="83">
        <v>17</v>
      </c>
      <c r="J52" t="s">
        <v>877</v>
      </c>
      <c r="K52" t="s">
        <v>634</v>
      </c>
      <c r="L52">
        <v>2.76</v>
      </c>
      <c r="M52">
        <v>0.27</v>
      </c>
      <c r="N52">
        <v>3.06</v>
      </c>
      <c r="O52">
        <v>0.49</v>
      </c>
      <c r="P52">
        <v>2.84</v>
      </c>
      <c r="Q52">
        <v>0.46</v>
      </c>
      <c r="R52">
        <v>2.99</v>
      </c>
      <c r="S52">
        <v>0.27</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14.08</v>
      </c>
      <c r="AC52" s="22">
        <f>IF(OR($B52="",AC$22=""),"",IF(LEN(VLOOKUP($B52,Database!$B$1:$IX$10144,AC$22,FALSE))=0,"",VLOOKUP($B52,Database!$B$1:$IX$10144,AC$22,FALSE)))</f>
        <v>2.88</v>
      </c>
      <c r="AD52" s="22">
        <f>IF(OR($B52="",AD$22=""),"",IF(LEN(VLOOKUP($B52,Database!$B$1:$IX$10144,AD$22,FALSE))=0,"",VLOOKUP($B52,Database!$B$1:$IX$10144,AD$22,FALSE)))</f>
        <v>14.51</v>
      </c>
      <c r="AE52" s="22">
        <f>IF(OR($B52="",AE$22=""),"",IF(LEN(VLOOKUP($B52,Database!$B$1:$IX$10144,AE$22,FALSE))=0,"",VLOOKUP($B52,Database!$B$1:$IX$10144,AE$22,FALSE)))</f>
        <v>2.72</v>
      </c>
      <c r="AF52" s="214">
        <v>9</v>
      </c>
      <c r="AG52" s="22">
        <f>IF(OR($B52="",AG$22=""),"",IF(LEN(VLOOKUP($B52,Database!$B$1:$IX$10144,AG$22,FALSE))=0,"",VLOOKUP($B52,Database!$B$1:$IX$10144,AG$22,FALSE)))</f>
        <v>22</v>
      </c>
      <c r="AH52" s="22">
        <f>IF(OR($B52="",AH$22=""),"",IF(LEN(VLOOKUP($B52,Database!$B$1:$IX$10144,AH$22,FALSE))=0,"",VLOOKUP($B52,Database!$B$1:$IX$10144,AH$22,FALSE)))</f>
        <v>1.5</v>
      </c>
      <c r="AI52" s="22">
        <f>IF(OR($B52="",AI$22=""),"",IF(LEN(VLOOKUP($B52,Database!$B$1:$IX$10144,AI$22,FALSE))=0,"",VLOOKUP($B52,Database!$B$1:$IX$10144,AI$22,FALSE)))</f>
        <v>1.5</v>
      </c>
      <c r="AJ52" s="22" t="str">
        <f>IF(OR($B52="",AJ$22=""),"",IF(LEN(VLOOKUP($B52,Database!$B$1:$IX$10144,AJ$22,FALSE))=0,"",VLOOKUP($B52,Database!$B$1:$IX$10144,AJ$22,FALSE)))</f>
        <v/>
      </c>
      <c r="AK52" s="22">
        <f>IF(OR($B52="",AK$22=""),"",IF(LEN(VLOOKUP($B52,Database!$B$1:$IX$10144,AK$22,FALSE))=0,"",VLOOKUP($B52,Database!$B$1:$IX$10144,AK$22,FALSE)))</f>
        <v>11.77</v>
      </c>
      <c r="AL52" s="22" t="str">
        <f>IF(OR($B52="",AL$22=""),"",IF(LEN(VLOOKUP($B52,Database!$B$1:$IX$10144,AL$22,FALSE))=0,"",VLOOKUP($B52,Database!$B$1:$IX$10144,AL$22,FALSE)))</f>
        <v>ns</v>
      </c>
      <c r="AM52" s="22">
        <f>IF(OR($B52="",AM$22=""),"",IF(LEN(VLOOKUP($B52,Database!$B$1:$IX$10144,AM$22,FALSE))=0,"",VLOOKUP($B52,Database!$B$1:$IX$10144,AM$22,FALSE)))</f>
        <v>0</v>
      </c>
      <c r="AN52" s="22">
        <f>IF(OR($B52="",AN$22=""),"",IF(LEN(VLOOKUP($B52,Database!$B$1:$IX$10144,AN$22,FALSE))=0,"",VLOOKUP($B52,Database!$B$1:$IX$10144,AN$22,FALSE)))</f>
        <v>0</v>
      </c>
      <c r="AO52" s="22">
        <f>IF(OR($B52="",AO$22=""),"",IF(LEN(VLOOKUP($B52,Database!$B$1:$IX$10144,AO$22,FALSE))=0,"",VLOOKUP($B52,Database!$B$1:$IX$10144,AO$22,FALSE)))</f>
        <v>0</v>
      </c>
      <c r="AP52" s="22">
        <f>IF(OR($B52="",AP$22=""),"",IF(LEN(VLOOKUP($B52,Database!$B$1:$IX$10144,AP$22,FALSE))=0,"",VLOOKUP($B52,Database!$B$1:$IX$10144,AP$22,FALSE)))</f>
        <v>100</v>
      </c>
      <c r="AQ52" s="22" t="str">
        <f>IF(OR($B52="",AQ$22=""),"",IF(LEN(VLOOKUP($B52,Database!$B$1:$IX$10144,AQ$22,FALSE))=0,"",VLOOKUP($B52,Database!$B$1:$IX$10144,AQ$22,FALSE)))</f>
        <v>MacMaster FP, Mirza Y, Szeszko PR, Kmiecik LE, Easter PC, Taormina SP, Lynch M, Rose M, Moore GJ, Rosenberg DR.</v>
      </c>
      <c r="AR52" s="13"/>
      <c r="AX52" s="13"/>
      <c r="AY52" s="13"/>
      <c r="AZ52" s="13"/>
      <c r="BA52" s="13"/>
      <c r="BC52" s="23"/>
      <c r="BF52" s="136"/>
      <c r="BG52" s="136"/>
      <c r="BH52" s="136"/>
      <c r="BI52" s="136"/>
    </row>
    <row r="53" spans="1:256">
      <c r="B53">
        <v>18414838</v>
      </c>
      <c r="C53" s="1" t="str">
        <f>IF($B53="","",HYPERLINK(IF(LEN(VLOOKUP($B53,Database!$B$1:$IX$10144,2,FALSE))=0,"",VLOOKUP($B53,Database!$B$1:$IX$10144,2,FALSE))))</f>
        <v/>
      </c>
      <c r="D53" s="1" t="str">
        <f t="shared" ref="D53:D58" si="2">IF($B53="","",HYPERLINK(CONCATENATE("http://www.ncbi.nlm.nih.gov/pubmed/",B53)))</f>
        <v>http://www.ncbi.nlm.nih.gov/pubmed/18414838</v>
      </c>
      <c r="E53" s="22" t="str">
        <f>IF($B53="","",IF(LEN(VLOOKUP($B53,Database!$B$1:$IX$10144,4,FALSE))=0,"",VLOOKUP($B53,Database!$B$1:$IX$10144,4,FALSE)))</f>
        <v>Tae WS</v>
      </c>
      <c r="F53" s="22">
        <f>IF($B53="","",IF(LEN(VLOOKUP($B53,Database!$B$1:$IX$10144,5,FALSE))=0,"",VLOOKUP($B53,Database!$B$1:$IX$10144,5,FALSE)))</f>
        <v>2008</v>
      </c>
      <c r="G53" s="1" t="str">
        <f>IF($B53="","",HYPERLINK(IF(LEN(VLOOKUP($B53,Database!$B$1:$IX$10144,6,FALSE))=0,"",VLOOKUP($B53,Database!$B$1:$IX$10144,6,FALSE))))</f>
        <v>http://dx.doi.org/10.1007/s00234-008-0383-9</v>
      </c>
      <c r="H53" s="22">
        <f>IF($B53="","",IF(LEN(VLOOKUP($B53,Database!$B$1:$IX$10144,7,FALSE))=0,"",VLOOKUP($B53,Database!$B$1:$IX$10144,7,FALSE)))</f>
        <v>21</v>
      </c>
      <c r="I53" s="22">
        <f>IF($B53="","",IF(LEN(VLOOKUP($B53,Database!$B$1:$IX$10144,8,FALSE))=0,"",VLOOKUP($B53,Database!$B$1:$IX$10144,8,FALSE)))</f>
        <v>20</v>
      </c>
      <c r="J53" t="s">
        <v>643</v>
      </c>
      <c r="L53">
        <v>2589.3000000000002</v>
      </c>
      <c r="M53">
        <v>377.24</v>
      </c>
      <c r="N53">
        <v>2811.1</v>
      </c>
      <c r="O53">
        <v>226.51</v>
      </c>
      <c r="P53">
        <v>2658.5</v>
      </c>
      <c r="Q53">
        <v>412.31</v>
      </c>
      <c r="R53">
        <v>2871.9</v>
      </c>
      <c r="S53">
        <v>278.20999999999998</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41.7</v>
      </c>
      <c r="AC53" s="22">
        <f>IF(OR($B53="",AC$22=""),"",IF(LEN(VLOOKUP($B53,Database!$B$1:$IX$10144,AC$22,FALSE))=0,"",VLOOKUP($B53,Database!$B$1:$IX$10144,AC$22,FALSE)))</f>
        <v>11</v>
      </c>
      <c r="AD53" s="22">
        <f>IF(OR($B53="",AD$22=""),"",IF(LEN(VLOOKUP($B53,Database!$B$1:$IX$10144,AD$22,FALSE))=0,"",VLOOKUP($B53,Database!$B$1:$IX$10144,AD$22,FALSE)))</f>
        <v>41.9</v>
      </c>
      <c r="AE53" s="22">
        <f>IF(OR($B53="",AE$22=""),"",IF(LEN(VLOOKUP($B53,Database!$B$1:$IX$10144,AE$22,FALSE))=0,"",VLOOKUP($B53,Database!$B$1:$IX$10144,AE$22,FALSE)))</f>
        <v>10.26</v>
      </c>
      <c r="AF53" s="22">
        <f>IF(OR($B53="",AF$22=""),"",IF(LEN(VLOOKUP($B53,Database!$B$1:$IX$10144,AF$22,FALSE))=0,"",VLOOKUP($B53,Database!$B$1:$IX$10144,AF$22,FALSE)))</f>
        <v>21</v>
      </c>
      <c r="AG53" s="22">
        <f>IF(OR($B53="",AG$22=""),"",IF(LEN(VLOOKUP($B53,Database!$B$1:$IX$10144,AG$22,FALSE))=0,"",VLOOKUP($B53,Database!$B$1:$IX$10144,AG$22,FALSE)))</f>
        <v>20</v>
      </c>
      <c r="AH53" s="22">
        <f>IF(OR($B53="",AH$22=""),"",IF(LEN(VLOOKUP($B53,Database!$B$1:$IX$10144,AH$22,FALSE))=0,"",VLOOKUP($B53,Database!$B$1:$IX$10144,AH$22,FALSE)))</f>
        <v>1.5</v>
      </c>
      <c r="AI53" s="22">
        <f>IF(OR($B53="",AI$22=""),"",IF(LEN(VLOOKUP($B53,Database!$B$1:$IX$10144,AI$22,FALSE))=0,"",VLOOKUP($B53,Database!$B$1:$IX$10144,AI$22,FALSE)))</f>
        <v>1.3</v>
      </c>
      <c r="AJ53" s="22" t="str">
        <f>IF(OR($B53="",AJ$22=""),"",IF(LEN(VLOOKUP($B53,Database!$B$1:$IX$10144,AJ$22,FALSE))=0,"",VLOOKUP($B53,Database!$B$1:$IX$10144,AJ$22,FALSE)))</f>
        <v/>
      </c>
      <c r="AK53" s="22">
        <f>IF(OR($B53="",AK$22=""),"",IF(LEN(VLOOKUP($B53,Database!$B$1:$IX$10144,AK$22,FALSE))=0,"",VLOOKUP($B53,Database!$B$1:$IX$10144,AK$22,FALSE)))</f>
        <v>33.200000000000003</v>
      </c>
      <c r="AL53" s="22" t="str">
        <f>IF(OR($B53="",AL$22=""),"",IF(LEN(VLOOKUP($B53,Database!$B$1:$IX$10144,AL$22,FALSE))=0,"",VLOOKUP($B53,Database!$B$1:$IX$10144,AL$22,FALSE)))</f>
        <v>ns</v>
      </c>
      <c r="AM53" s="22">
        <f>IF(OR($B53="",AM$22=""),"",IF(LEN(VLOOKUP($B53,Database!$B$1:$IX$10144,AM$22,FALSE))=0,"",VLOOKUP($B53,Database!$B$1:$IX$10144,AM$22,FALSE)))</f>
        <v>100</v>
      </c>
      <c r="AN53" s="22">
        <f>IF(OR($B53="",AN$22=""),"",IF(LEN(VLOOKUP($B53,Database!$B$1:$IX$10144,AN$22,FALSE))=0,"",VLOOKUP($B53,Database!$B$1:$IX$10144,AN$22,FALSE)))</f>
        <v>0</v>
      </c>
      <c r="AO53" s="22">
        <f>IF(OR($B53="",AO$22=""),"",IF(LEN(VLOOKUP($B53,Database!$B$1:$IX$10144,AO$22,FALSE))=0,"",VLOOKUP($B53,Database!$B$1:$IX$10144,AO$22,FALSE)))</f>
        <v>0</v>
      </c>
      <c r="AP53" s="22">
        <f>IF(OR($B53="",AP$22=""),"",IF(LEN(VLOOKUP($B53,Database!$B$1:$IX$10144,AP$22,FALSE))=0,"",VLOOKUP($B53,Database!$B$1:$IX$10144,AP$22,FALSE)))</f>
        <v>0</v>
      </c>
      <c r="AQ53" s="22" t="str">
        <f>IF(OR($B53="",AQ$22=""),"",IF(LEN(VLOOKUP($B53,Database!$B$1:$IX$10144,AQ$22,FALSE))=0,"",VLOOKUP($B53,Database!$B$1:$IX$10144,AQ$22,FALSE)))</f>
        <v>Tae WS, Kim SS, Lee KU, Nam EC, Kim KW.</v>
      </c>
      <c r="AR53" s="13"/>
      <c r="AX53" s="13"/>
      <c r="AY53" s="13"/>
      <c r="AZ53" s="13"/>
      <c r="BA53" s="13"/>
      <c r="BC53" s="23"/>
      <c r="BF53" s="136"/>
      <c r="BG53" s="136"/>
      <c r="BH53" s="136"/>
      <c r="BI53" s="136"/>
    </row>
    <row r="54" spans="1:256">
      <c r="B54">
        <v>19071222</v>
      </c>
      <c r="C54" s="1" t="str">
        <f>IF($B54="","",HYPERLINK(IF(LEN(VLOOKUP($B54,Database!$B$1:$IX$10144,2,FALSE))=0,"",VLOOKUP($B54,Database!$B$1:$IX$10144,2,FALSE))))</f>
        <v/>
      </c>
      <c r="D54" s="1" t="str">
        <f t="shared" si="2"/>
        <v>http://www.ncbi.nlm.nih.gov/pubmed/19071222</v>
      </c>
      <c r="E54" s="22" t="str">
        <f>IF($B54="","",IF(LEN(VLOOKUP($B54,Database!$B$1:$IX$10144,4,FALSE))=0,"",VLOOKUP($B54,Database!$B$1:$IX$10144,4,FALSE)))</f>
        <v>Bergouignan L</v>
      </c>
      <c r="F54" s="22">
        <f>IF($B54="","",IF(LEN(VLOOKUP($B54,Database!$B$1:$IX$10144,5,FALSE))=0,"",VLOOKUP($B54,Database!$B$1:$IX$10144,5,FALSE)))</f>
        <v>2009</v>
      </c>
      <c r="G54" s="1" t="str">
        <f>IF($B54="","",HYPERLINK(IF(LEN(VLOOKUP($B54,Database!$B$1:$IX$10144,6,FALSE))=0,"",VLOOKUP($B54,Database!$B$1:$IX$10144,6,FALSE))))</f>
        <v>http://dx.doi.org/10.1016/j.neuroimage.2008.11.006</v>
      </c>
      <c r="H54" s="22">
        <f>IF($B54="","",IF(LEN(VLOOKUP($B54,Database!$B$1:$IX$10144,7,FALSE))=0,"",VLOOKUP($B54,Database!$B$1:$IX$10144,7,FALSE)))</f>
        <v>21</v>
      </c>
      <c r="I54" s="22">
        <f>IF($B54="","",IF(LEN(VLOOKUP($B54,Database!$B$1:$IX$10144,8,FALSE))=0,"",VLOOKUP($B54,Database!$B$1:$IX$10144,8,FALSE)))</f>
        <v>21</v>
      </c>
      <c r="J54" t="s">
        <v>651</v>
      </c>
      <c r="L54">
        <v>3.95</v>
      </c>
      <c r="M54">
        <v>0.75</v>
      </c>
      <c r="N54">
        <v>4.42</v>
      </c>
      <c r="O54">
        <v>1.04</v>
      </c>
      <c r="P54">
        <v>3.93</v>
      </c>
      <c r="Q54">
        <v>0.8</v>
      </c>
      <c r="R54">
        <v>4.5</v>
      </c>
      <c r="S54">
        <v>1.06</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33.159999999999997</v>
      </c>
      <c r="AC54" s="22">
        <f>IF(OR($B54="",AC$22=""),"",IF(LEN(VLOOKUP($B54,Database!$B$1:$IX$10144,AC$22,FALSE))=0,"",VLOOKUP($B54,Database!$B$1:$IX$10144,AC$22,FALSE)))</f>
        <v>9.58</v>
      </c>
      <c r="AD54" s="22">
        <f>IF(OR($B54="",AD$22=""),"",IF(LEN(VLOOKUP($B54,Database!$B$1:$IX$10144,AD$22,FALSE))=0,"",VLOOKUP($B54,Database!$B$1:$IX$10144,AD$22,FALSE)))</f>
        <v>28.21</v>
      </c>
      <c r="AE54" s="22">
        <f>IF(OR($B54="",AE$22=""),"",IF(LEN(VLOOKUP($B54,Database!$B$1:$IX$10144,AE$22,FALSE))=0,"",VLOOKUP($B54,Database!$B$1:$IX$10144,AE$22,FALSE)))</f>
        <v>5.5</v>
      </c>
      <c r="AF54" s="22">
        <f>IF(OR($B54="",AF$22=""),"",IF(LEN(VLOOKUP($B54,Database!$B$1:$IX$10144,AF$22,FALSE))=0,"",VLOOKUP($B54,Database!$B$1:$IX$10144,AF$22,FALSE)))</f>
        <v>17</v>
      </c>
      <c r="AG54" s="22">
        <f>IF(OR($B54="",AG$22=""),"",IF(LEN(VLOOKUP($B54,Database!$B$1:$IX$10144,AG$22,FALSE))=0,"",VLOOKUP($B54,Database!$B$1:$IX$10144,AG$22,FALSE)))</f>
        <v>14</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f>IF(OR($B54="",AK$22=""),"",IF(LEN(VLOOKUP($B54,Database!$B$1:$IX$10144,AK$22,FALSE))=0,"",VLOOKUP($B54,Database!$B$1:$IX$10144,AK$22,FALSE)))</f>
        <v>23.8</v>
      </c>
      <c r="AL54" s="22" t="str">
        <f>IF(OR($B54="",AL$22=""),"",IF(LEN(VLOOKUP($B54,Database!$B$1:$IX$10144,AL$22,FALSE))=0,"",VLOOKUP($B54,Database!$B$1:$IX$10144,AL$22,FALSE)))</f>
        <v>ns</v>
      </c>
      <c r="AM54" s="22">
        <f>IF(OR($B54="",AM$22=""),"",IF(LEN(VLOOKUP($B54,Database!$B$1:$IX$10144,AM$22,FALSE))=0,"",VLOOKUP($B54,Database!$B$1:$IX$10144,AM$22,FALSE)))</f>
        <v>100</v>
      </c>
      <c r="AN54" s="22" t="str">
        <f>IF(OR($B54="",AN$22=""),"",IF(LEN(VLOOKUP($B54,Database!$B$1:$IX$10144,AN$22,FALSE))=0,"",VLOOKUP($B54,Database!$B$1:$IX$10144,AN$22,FALSE)))</f>
        <v>ns</v>
      </c>
      <c r="AO54" s="22" t="str">
        <f>IF(OR($B54="",AO$22=""),"",IF(LEN(VLOOKUP($B54,Database!$B$1:$IX$10144,AO$22,FALSE))=0,"",VLOOKUP($B54,Database!$B$1:$IX$10144,AO$22,FALSE)))</f>
        <v>ns</v>
      </c>
      <c r="AP54" s="22">
        <f>IF(OR($B54="",AP$22=""),"",IF(LEN(VLOOKUP($B54,Database!$B$1:$IX$10144,AP$22,FALSE))=0,"",VLOOKUP($B54,Database!$B$1:$IX$10144,AP$22,FALSE)))</f>
        <v>0</v>
      </c>
      <c r="AQ54" s="22" t="str">
        <f>IF(OR($B54="",AQ$22=""),"",IF(LEN(VLOOKUP($B54,Database!$B$1:$IX$10144,AQ$22,FALSE))=0,"",VLOOKUP($B54,Database!$B$1:$IX$10144,AQ$22,FALSE)))</f>
        <v>Bergouignan L, Chupin M, Czechowska Y, Kinkingnéhun S, Lemogne C, Le Bastard G, Lepage M, Garnero L, Colliot O, Fossati P.</v>
      </c>
      <c r="AR54" s="13"/>
      <c r="AX54" s="13"/>
      <c r="AY54" s="13"/>
      <c r="AZ54" s="13"/>
      <c r="BA54" s="13"/>
      <c r="BC54" s="23"/>
      <c r="BF54" s="136"/>
      <c r="BG54" s="136"/>
      <c r="BH54" s="136"/>
      <c r="BI54" s="136"/>
    </row>
    <row r="55" spans="1:256">
      <c r="B55">
        <v>19028381</v>
      </c>
      <c r="C55" s="1" t="str">
        <f>IF($B55="","",HYPERLINK(IF(LEN(VLOOKUP($B55,Database!$B$1:$IX$10144,2,FALSE))=0,"",VLOOKUP($B55,Database!$B$1:$IX$10144,2,FALSE))))</f>
        <v/>
      </c>
      <c r="D55" s="1" t="str">
        <f t="shared" si="2"/>
        <v>http://www.ncbi.nlm.nih.gov/pubmed/19028381</v>
      </c>
      <c r="E55" s="22" t="str">
        <f>IF($B55="","",IF(LEN(VLOOKUP($B55,Database!$B$1:$IX$10144,4,FALSE))=0,"",VLOOKUP($B55,Database!$B$1:$IX$10144,4,FALSE)))</f>
        <v>van Eijndhoven P</v>
      </c>
      <c r="F55" s="22">
        <f>IF($B55="","",IF(LEN(VLOOKUP($B55,Database!$B$1:$IX$10144,5,FALSE))=0,"",VLOOKUP($B55,Database!$B$1:$IX$10144,5,FALSE)))</f>
        <v>2009</v>
      </c>
      <c r="G55" s="1" t="str">
        <f>IF($B55="","",HYPERLINK(IF(LEN(VLOOKUP($B55,Database!$B$1:$IX$10144,6,FALSE))=0,"",VLOOKUP($B55,Database!$B$1:$IX$10144,6,FALSE))))</f>
        <v>http://dx.doi.org/10.1016/j.biopsych.2008.10.027</v>
      </c>
      <c r="H55" s="83">
        <v>20</v>
      </c>
      <c r="I55" s="83">
        <v>10</v>
      </c>
      <c r="J55" t="s">
        <v>887</v>
      </c>
      <c r="K55" t="s">
        <v>864</v>
      </c>
      <c r="L55">
        <v>3620</v>
      </c>
      <c r="M55">
        <v>385</v>
      </c>
      <c r="N55">
        <v>3716</v>
      </c>
      <c r="O55">
        <v>364</v>
      </c>
      <c r="P55">
        <v>3752</v>
      </c>
      <c r="Q55">
        <v>442</v>
      </c>
      <c r="R55">
        <v>3881</v>
      </c>
      <c r="S55">
        <v>429</v>
      </c>
      <c r="Y55" s="22" t="str">
        <f>IF(OR($B55="",Y$22=""),"",IF(LEN(VLOOKUP($B55,Database!$B$1:$IX$10144,Y$22,FALSE))=0,"",VLOOKUP($B55,Database!$B$1:$IX$10144,Y$22,FALSE)))</f>
        <v>DSM-IV</v>
      </c>
      <c r="Z55" s="22" t="str">
        <f>IF(OR($B55="",Z$22=""),"",IF(LEN(VLOOKUP($B55,Database!$B$1:$IX$10144,Z$22,FALSE))=0,"",VLOOKUP($B55,Database!$B$1:$IX$10144,Z$22,FALSE)))</f>
        <v>MRI</v>
      </c>
      <c r="AA55" s="214" t="s">
        <v>2447</v>
      </c>
      <c r="AB55" s="83">
        <v>34.1</v>
      </c>
      <c r="AC55" s="83">
        <v>11.6</v>
      </c>
      <c r="AD55" s="22">
        <f>IF(OR($B55="",AD$22=""),"",IF(LEN(VLOOKUP($B55,Database!$B$1:$IX$10144,AD$22,FALSE))=0,"",VLOOKUP($B55,Database!$B$1:$IX$10144,AD$22,FALSE)))</f>
        <v>37.299999999999997</v>
      </c>
      <c r="AE55" s="22">
        <f>IF(OR($B55="",AE$22=""),"",IF(LEN(VLOOKUP($B55,Database!$B$1:$IX$10144,AE$22,FALSE))=0,"",VLOOKUP($B55,Database!$B$1:$IX$10144,AE$22,FALSE)))</f>
        <v>12.7</v>
      </c>
      <c r="AF55" s="214">
        <v>13</v>
      </c>
      <c r="AG55" s="22">
        <f>IF(OR($B55="",AG$22=""),"",IF(LEN(VLOOKUP($B55,Database!$B$1:$IX$10144,AG$22,FALSE))=0,"",VLOOKUP($B55,Database!$B$1:$IX$10144,AG$22,FALSE)))</f>
        <v>13</v>
      </c>
      <c r="AH55" s="22">
        <f>IF(OR($B55="",AH$22=""),"",IF(LEN(VLOOKUP($B55,Database!$B$1:$IX$10144,AH$22,FALSE))=0,"",VLOOKUP($B55,Database!$B$1:$IX$10144,AH$22,FALSE)))</f>
        <v>1.5</v>
      </c>
      <c r="AI55" s="22">
        <f>IF(OR($B55="",AI$22=""),"",IF(LEN(VLOOKUP($B55,Database!$B$1:$IX$10144,AI$22,FALSE))=0,"",VLOOKUP($B55,Database!$B$1:$IX$10144,AI$22,FALSE)))</f>
        <v>1</v>
      </c>
      <c r="AJ55" s="22" t="str">
        <f>IF(OR($B55="",AJ$22=""),"",IF(LEN(VLOOKUP($B55,Database!$B$1:$IX$10144,AJ$22,FALSE))=0,"",VLOOKUP($B55,Database!$B$1:$IX$10144,AJ$22,FALSE)))</f>
        <v/>
      </c>
      <c r="AK55" s="83">
        <v>34.1</v>
      </c>
      <c r="AL55" s="83">
        <v>21.08</v>
      </c>
      <c r="AM55" s="22">
        <f>IF(OR($B55="",AM$22=""),"",IF(LEN(VLOOKUP($B55,Database!$B$1:$IX$10144,AM$22,FALSE))=0,"",VLOOKUP($B55,Database!$B$1:$IX$10144,AM$22,FALSE)))</f>
        <v>0</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van Eijndhoven P, van Wingen G, van Oijen K, Rijpkema M, Goraj B, Jan Verkes R, Oude Voshaar R, Fernández G, Buitelaar J, Tendolkar I.</v>
      </c>
      <c r="AR55" s="13"/>
      <c r="AX55" s="13"/>
      <c r="AY55" s="13"/>
      <c r="AZ55" s="13"/>
      <c r="BA55" s="13"/>
      <c r="BC55" s="23"/>
      <c r="BF55" s="136"/>
      <c r="BG55" s="136"/>
      <c r="BH55" s="136"/>
      <c r="BI55" s="136"/>
    </row>
    <row r="56" spans="1:256">
      <c r="B56">
        <v>19028381</v>
      </c>
      <c r="C56" s="1" t="str">
        <f>IF($B56="","",HYPERLINK(IF(LEN(VLOOKUP($B56,Database!$B$1:$IX$10144,2,FALSE))=0,"",VLOOKUP($B56,Database!$B$1:$IX$10144,2,FALSE))))</f>
        <v/>
      </c>
      <c r="D56" s="1" t="str">
        <f t="shared" si="2"/>
        <v>http://www.ncbi.nlm.nih.gov/pubmed/19028381</v>
      </c>
      <c r="E56" s="22" t="str">
        <f>IF($B56="","",IF(LEN(VLOOKUP($B56,Database!$B$1:$IX$10144,4,FALSE))=0,"",VLOOKUP($B56,Database!$B$1:$IX$10144,4,FALSE)))</f>
        <v>van Eijndhoven P</v>
      </c>
      <c r="F56" s="22">
        <f>IF($B56="","",IF(LEN(VLOOKUP($B56,Database!$B$1:$IX$10144,5,FALSE))=0,"",VLOOKUP($B56,Database!$B$1:$IX$10144,5,FALSE)))</f>
        <v>2009</v>
      </c>
      <c r="G56" s="1" t="str">
        <f>IF($B56="","",HYPERLINK(IF(LEN(VLOOKUP($B56,Database!$B$1:$IX$10144,6,FALSE))=0,"",VLOOKUP($B56,Database!$B$1:$IX$10144,6,FALSE))))</f>
        <v>http://dx.doi.org/10.1016/j.biopsych.2008.10.027</v>
      </c>
      <c r="H56" s="83">
        <v>20</v>
      </c>
      <c r="I56" s="83">
        <v>10</v>
      </c>
      <c r="J56" t="s">
        <v>887</v>
      </c>
      <c r="K56" t="s">
        <v>357</v>
      </c>
      <c r="L56">
        <v>3600</v>
      </c>
      <c r="M56">
        <v>360</v>
      </c>
      <c r="N56">
        <v>3716</v>
      </c>
      <c r="O56">
        <v>364</v>
      </c>
      <c r="P56">
        <v>3815</v>
      </c>
      <c r="Q56">
        <v>459</v>
      </c>
      <c r="R56">
        <v>3881</v>
      </c>
      <c r="S56">
        <v>429</v>
      </c>
      <c r="Y56" s="22" t="str">
        <f>IF(OR($B56="",Y$22=""),"",IF(LEN(VLOOKUP($B56,Database!$B$1:$IX$10144,Y$22,FALSE))=0,"",VLOOKUP($B56,Database!$B$1:$IX$10144,Y$22,FALSE)))</f>
        <v>DSM-IV</v>
      </c>
      <c r="Z56" s="22" t="str">
        <f>IF(OR($B56="",Z$22=""),"",IF(LEN(VLOOKUP($B56,Database!$B$1:$IX$10144,Z$22,FALSE))=0,"",VLOOKUP($B56,Database!$B$1:$IX$10144,Z$22,FALSE)))</f>
        <v>MRI</v>
      </c>
      <c r="AA56" s="214" t="s">
        <v>2448</v>
      </c>
      <c r="AB56" s="83">
        <v>35.799999999999997</v>
      </c>
      <c r="AC56" s="83">
        <v>11.7</v>
      </c>
      <c r="AD56" s="22">
        <f>IF(OR($B56="",AD$22=""),"",IF(LEN(VLOOKUP($B56,Database!$B$1:$IX$10144,AD$22,FALSE))=0,"",VLOOKUP($B56,Database!$B$1:$IX$10144,AD$22,FALSE)))</f>
        <v>37.299999999999997</v>
      </c>
      <c r="AE56" s="22">
        <f>IF(OR($B56="",AE$22=""),"",IF(LEN(VLOOKUP($B56,Database!$B$1:$IX$10144,AE$22,FALSE))=0,"",VLOOKUP($B56,Database!$B$1:$IX$10144,AE$22,FALSE)))</f>
        <v>12.7</v>
      </c>
      <c r="AF56" s="214">
        <v>14</v>
      </c>
      <c r="AG56" s="22">
        <f>IF(OR($B56="",AG$22=""),"",IF(LEN(VLOOKUP($B56,Database!$B$1:$IX$10144,AG$22,FALSE))=0,"",VLOOKUP($B56,Database!$B$1:$IX$10144,AG$22,FALSE)))</f>
        <v>13</v>
      </c>
      <c r="AH56" s="22">
        <f>IF(OR($B56="",AH$22=""),"",IF(LEN(VLOOKUP($B56,Database!$B$1:$IX$10144,AH$22,FALSE))=0,"",VLOOKUP($B56,Database!$B$1:$IX$10144,AH$22,FALSE)))</f>
        <v>1.5</v>
      </c>
      <c r="AI56" s="22">
        <f>IF(OR($B56="",AI$22=""),"",IF(LEN(VLOOKUP($B56,Database!$B$1:$IX$10144,AI$22,FALSE))=0,"",VLOOKUP($B56,Database!$B$1:$IX$10144,AI$22,FALSE)))</f>
        <v>1</v>
      </c>
      <c r="AJ56" s="22" t="str">
        <f>IF(OR($B56="",AJ$22=""),"",IF(LEN(VLOOKUP($B56,Database!$B$1:$IX$10144,AJ$22,FALSE))=0,"",VLOOKUP($B56,Database!$B$1:$IX$10144,AJ$22,FALSE)))</f>
        <v/>
      </c>
      <c r="AK56" s="83">
        <v>33.4</v>
      </c>
      <c r="AL56" s="83">
        <v>3.4</v>
      </c>
      <c r="AM56" s="22">
        <f>IF(OR($B56="",AM$22=""),"",IF(LEN(VLOOKUP($B56,Database!$B$1:$IX$10144,AM$22,FALSE))=0,"",VLOOKUP($B56,Database!$B$1:$IX$10144,AM$22,FALSE)))</f>
        <v>0</v>
      </c>
      <c r="AN56" s="22" t="str">
        <f>IF(OR($B56="",AN$22=""),"",IF(LEN(VLOOKUP($B56,Database!$B$1:$IX$10144,AN$22,FALSE))=0,"",VLOOKUP($B56,Database!$B$1:$IX$10144,AN$22,FALSE)))</f>
        <v>ns</v>
      </c>
      <c r="AO56" s="22" t="str">
        <f>IF(OR($B56="",AO$22=""),"",IF(LEN(VLOOKUP($B56,Database!$B$1:$IX$10144,AO$22,FALSE))=0,"",VLOOKUP($B56,Database!$B$1:$IX$10144,AO$22,FALSE)))</f>
        <v>ns</v>
      </c>
      <c r="AP56" s="22" t="str">
        <f>IF(OR($B56="",AP$22=""),"",IF(LEN(VLOOKUP($B56,Database!$B$1:$IX$10144,AP$22,FALSE))=0,"",VLOOKUP($B56,Database!$B$1:$IX$10144,AP$22,FALSE)))</f>
        <v>ns</v>
      </c>
      <c r="AQ56" s="22" t="str">
        <f>IF(OR($B56="",AQ$22=""),"",IF(LEN(VLOOKUP($B56,Database!$B$1:$IX$10144,AQ$22,FALSE))=0,"",VLOOKUP($B56,Database!$B$1:$IX$10144,AQ$22,FALSE)))</f>
        <v>van Eijndhoven P, van Wingen G, van Oijen K, Rijpkema M, Goraj B, Jan Verkes R, Oude Voshaar R, Fernández G, Buitelaar J, Tendolkar I.</v>
      </c>
      <c r="AR56" s="13"/>
      <c r="AX56" s="13"/>
      <c r="AY56" s="13"/>
      <c r="AZ56" s="13"/>
      <c r="BA56" s="13"/>
      <c r="BC56" s="23"/>
      <c r="BF56" s="136"/>
      <c r="BG56" s="136"/>
      <c r="BH56" s="136"/>
      <c r="BI56" s="136"/>
    </row>
    <row r="57" spans="1:256">
      <c r="B57" s="2">
        <v>19488671</v>
      </c>
      <c r="C57" s="1" t="str">
        <f>IF($B57="","",HYPERLINK(IF(LEN(VLOOKUP($B57,Database!$B$1:$IX$10144,2,FALSE))=0,"",VLOOKUP($B57,Database!$B$1:$IX$10144,2,FALSE))))</f>
        <v/>
      </c>
      <c r="D57" s="1" t="str">
        <f t="shared" si="2"/>
        <v>http://www.ncbi.nlm.nih.gov/pubmed/19488671</v>
      </c>
      <c r="E57" s="22" t="str">
        <f>IF($B57="","",IF(LEN(VLOOKUP($B57,Database!$B$1:$IX$10144,4,FALSE))=0,"",VLOOKUP($B57,Database!$B$1:$IX$10144,4,FALSE)))</f>
        <v>Meisenzahl EM</v>
      </c>
      <c r="F57" s="22">
        <f>IF($B57="","",IF(LEN(VLOOKUP($B57,Database!$B$1:$IX$10144,5,FALSE))=0,"",VLOOKUP($B57,Database!$B$1:$IX$10144,5,FALSE)))</f>
        <v>2009</v>
      </c>
      <c r="G57" s="1" t="str">
        <f>IF($B57="","",HYPERLINK(IF(LEN(VLOOKUP($B57,Database!$B$1:$IX$10144,6,FALSE))=0,"",VLOOKUP($B57,Database!$B$1:$IX$10144,6,FALSE))))</f>
        <v>http://dx.doi.org/10.1007/s00406-009-0023-3</v>
      </c>
      <c r="H57" s="22">
        <f>IF($B57="","",IF(LEN(VLOOKUP($B57,Database!$B$1:$IX$10144,7,FALSE))=0,"",VLOOKUP($B57,Database!$B$1:$IX$10144,7,FALSE)))</f>
        <v>92</v>
      </c>
      <c r="I57" s="22">
        <f>IF($B57="","",IF(LEN(VLOOKUP($B57,Database!$B$1:$IX$10144,8,FALSE))=0,"",VLOOKUP($B57,Database!$B$1:$IX$10144,8,FALSE)))</f>
        <v>138</v>
      </c>
      <c r="J57" t="s">
        <v>2069</v>
      </c>
      <c r="L57">
        <v>3.67</v>
      </c>
      <c r="M57">
        <v>0.41</v>
      </c>
      <c r="N57">
        <v>3.83</v>
      </c>
      <c r="O57">
        <v>0.41</v>
      </c>
      <c r="P57">
        <v>3.77</v>
      </c>
      <c r="Q57">
        <v>0.42</v>
      </c>
      <c r="R57">
        <v>3.94</v>
      </c>
      <c r="S57">
        <v>0.41</v>
      </c>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f>IF(OR($B57="",AB$22=""),"",IF(LEN(VLOOKUP($B57,Database!$B$1:$IX$10144,AB$22,FALSE))=0,"",VLOOKUP($B57,Database!$B$1:$IX$10144,AB$22,FALSE)))</f>
        <v>44.6</v>
      </c>
      <c r="AC57" s="22">
        <f>IF(OR($B57="",AC$22=""),"",IF(LEN(VLOOKUP($B57,Database!$B$1:$IX$10144,AC$22,FALSE))=0,"",VLOOKUP($B57,Database!$B$1:$IX$10144,AC$22,FALSE)))</f>
        <v>12.3</v>
      </c>
      <c r="AD57" s="22">
        <f>IF(OR($B57="",AD$22=""),"",IF(LEN(VLOOKUP($B57,Database!$B$1:$IX$10144,AD$22,FALSE))=0,"",VLOOKUP($B57,Database!$B$1:$IX$10144,AD$22,FALSE)))</f>
        <v>33.299999999999997</v>
      </c>
      <c r="AE57" s="22">
        <f>IF(OR($B57="",AE$22=""),"",IF(LEN(VLOOKUP($B57,Database!$B$1:$IX$10144,AE$22,FALSE))=0,"",VLOOKUP($B57,Database!$B$1:$IX$10144,AE$22,FALSE)))</f>
        <v>12.2</v>
      </c>
      <c r="AF57" s="22">
        <f>IF(OR($B57="",AF$22=""),"",IF(LEN(VLOOKUP($B57,Database!$B$1:$IX$10144,AF$22,FALSE))=0,"",VLOOKUP($B57,Database!$B$1:$IX$10144,AF$22,FALSE)))</f>
        <v>47</v>
      </c>
      <c r="AG57" s="22">
        <f>IF(OR($B57="",AG$22=""),"",IF(LEN(VLOOKUP($B57,Database!$B$1:$IX$10144,AG$22,FALSE))=0,"",VLOOKUP($B57,Database!$B$1:$IX$10144,AG$22,FALSE)))</f>
        <v>60</v>
      </c>
      <c r="AH57" s="22">
        <f>IF(OR($B57="",AH$22=""),"",IF(LEN(VLOOKUP($B57,Database!$B$1:$IX$10144,AH$22,FALSE))=0,"",VLOOKUP($B57,Database!$B$1:$IX$10144,AH$22,FALSE)))</f>
        <v>1.5</v>
      </c>
      <c r="AI57" s="22">
        <f>IF(OR($B57="",AI$22=""),"",IF(LEN(VLOOKUP($B57,Database!$B$1:$IX$10144,AI$22,FALSE))=0,"",VLOOKUP($B57,Database!$B$1:$IX$10144,AI$22,FALSE)))</f>
        <v>1.5</v>
      </c>
      <c r="AJ57" s="22" t="str">
        <f>IF(OR($B57="",AJ$22=""),"",IF(LEN(VLOOKUP($B57,Database!$B$1:$IX$10144,AJ$22,FALSE))=0,"",VLOOKUP($B57,Database!$B$1:$IX$10144,AJ$22,FALSE)))</f>
        <v/>
      </c>
      <c r="AK57" s="22" t="str">
        <f>IF(OR($B57="",AK$22=""),"",IF(LEN(VLOOKUP($B57,Database!$B$1:$IX$10144,AK$22,FALSE))=0,"",VLOOKUP($B57,Database!$B$1:$IX$10144,AK$22,FALSE)))</f>
        <v>ns</v>
      </c>
      <c r="AL57" s="22">
        <f>IF(OR($B57="",AL$22=""),"",IF(LEN(VLOOKUP($B57,Database!$B$1:$IX$10144,AL$22,FALSE))=0,"",VLOOKUP($B57,Database!$B$1:$IX$10144,AL$22,FALSE)))</f>
        <v>23.5</v>
      </c>
      <c r="AM57" s="22" t="str">
        <f>IF(OR($B57="",AM$22=""),"",IF(LEN(VLOOKUP($B57,Database!$B$1:$IX$10144,AM$22,FALSE))=0,"",VLOOKUP($B57,Database!$B$1:$IX$10144,AM$22,FALSE)))</f>
        <v>ns</v>
      </c>
      <c r="AN57" s="22">
        <f>IF(OR($B57="",AN$22=""),"",IF(LEN(VLOOKUP($B57,Database!$B$1:$IX$10144,AN$22,FALSE))=0,"",VLOOKUP($B57,Database!$B$1:$IX$10144,AN$22,FALSE)))</f>
        <v>14.130434782608695</v>
      </c>
      <c r="AO57" s="22" t="str">
        <f>IF(OR($B57="",AO$22=""),"",IF(LEN(VLOOKUP($B57,Database!$B$1:$IX$10144,AO$22,FALSE))=0,"",VLOOKUP($B57,Database!$B$1:$IX$10144,AO$22,FALSE)))</f>
        <v>ns</v>
      </c>
      <c r="AP57" s="22">
        <f>IF(OR($B57="",AP$22=""),"",IF(LEN(VLOOKUP($B57,Database!$B$1:$IX$10144,AP$22,FALSE))=0,"",VLOOKUP($B57,Database!$B$1:$IX$10144,AP$22,FALSE)))</f>
        <v>6.5217391304347823</v>
      </c>
      <c r="AQ57" s="22" t="str">
        <f>IF(OR($B57="",AQ$22=""),"",IF(LEN(VLOOKUP($B57,Database!$B$1:$IX$10144,AQ$22,FALSE))=0,"",VLOOKUP($B57,Database!$B$1:$IX$10144,AQ$22,FALSE)))</f>
        <v>Meisenzahl EM, Seifert D, Bottlender R, Teipel S, Zetzsche T, Jäger M, Koutsouleris N, Schmitt G, Scheuerecker J, Burgermeister B, Hampel H, Rupprecht T, Born C, Reiser M, Möller HJ, Frodl T.</v>
      </c>
      <c r="AR57" s="13"/>
      <c r="AX57" s="13"/>
      <c r="AY57" s="13"/>
      <c r="AZ57" s="13"/>
      <c r="BA57" s="13"/>
      <c r="BC57" s="23"/>
      <c r="BF57" s="136"/>
      <c r="BG57" s="136"/>
      <c r="BH57" s="136"/>
      <c r="BI57" s="136"/>
    </row>
    <row r="58" spans="1:256">
      <c r="B58">
        <v>19668114</v>
      </c>
      <c r="C58" s="1" t="str">
        <f>IF($B58="","",HYPERLINK(IF(LEN(VLOOKUP($B58,Database!$B$1:$IX$10144,2,FALSE))=0,"",VLOOKUP($B58,Database!$B$1:$IX$10144,2,FALSE))))</f>
        <v/>
      </c>
      <c r="D58" s="1" t="str">
        <f t="shared" si="2"/>
        <v>http://www.ncbi.nlm.nih.gov/pubmed/19668114</v>
      </c>
      <c r="E58" s="22" t="str">
        <f>IF($B58="","",IF(LEN(VLOOKUP($B58,Database!$B$1:$IX$10144,4,FALSE))=0,"",VLOOKUP($B58,Database!$B$1:$IX$10144,4,FALSE)))</f>
        <v>Jessen F</v>
      </c>
      <c r="F58" s="22">
        <f>IF($B58="","",IF(LEN(VLOOKUP($B58,Database!$B$1:$IX$10144,5,FALSE))=0,"",VLOOKUP($B58,Database!$B$1:$IX$10144,5,FALSE)))</f>
        <v>2009</v>
      </c>
      <c r="G58" s="1" t="str">
        <f>IF($B58="","",HYPERLINK(IF(LEN(VLOOKUP($B58,Database!$B$1:$IX$10144,6,FALSE))=0,"",VLOOKUP($B58,Database!$B$1:$IX$10144,6,FALSE))))</f>
        <v>http://dx.doi.org/10.1097/YPG.0b013e32832080ce</v>
      </c>
      <c r="H58" s="22">
        <f>IF($B58="","",IF(LEN(VLOOKUP($B58,Database!$B$1:$IX$10144,7,FALSE))=0,"",VLOOKUP($B58,Database!$B$1:$IX$10144,7,FALSE)))</f>
        <v>79</v>
      </c>
      <c r="I58" s="22">
        <f>IF($B58="","",IF(LEN(VLOOKUP($B58,Database!$B$1:$IX$10144,8,FALSE))=0,"",VLOOKUP($B58,Database!$B$1:$IX$10144,8,FALSE)))</f>
        <v>84</v>
      </c>
      <c r="J58" t="s">
        <v>315</v>
      </c>
      <c r="L58">
        <v>2.06</v>
      </c>
      <c r="M58">
        <v>0.27</v>
      </c>
      <c r="N58">
        <v>2.36</v>
      </c>
      <c r="O58">
        <v>0.28999999999999998</v>
      </c>
      <c r="P58">
        <v>2.0499999999999998</v>
      </c>
      <c r="Q58">
        <v>0.32</v>
      </c>
      <c r="R58">
        <v>2.3199999999999998</v>
      </c>
      <c r="S58">
        <v>0.3</v>
      </c>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f>IF(OR($B58="",AB$22=""),"",IF(LEN(VLOOKUP($B58,Database!$B$1:$IX$10144,AB$22,FALSE))=0,"",VLOOKUP($B58,Database!$B$1:$IX$10144,AB$22,FALSE)))</f>
        <v>48.2</v>
      </c>
      <c r="AC58" s="22">
        <f>IF(OR($B58="",AC$22=""),"",IF(LEN(VLOOKUP($B58,Database!$B$1:$IX$10144,AC$22,FALSE))=0,"",VLOOKUP($B58,Database!$B$1:$IX$10144,AC$22,FALSE)))</f>
        <v>12.8</v>
      </c>
      <c r="AD58" s="22">
        <f>IF(OR($B58="",AD$22=""),"",IF(LEN(VLOOKUP($B58,Database!$B$1:$IX$10144,AD$22,FALSE))=0,"",VLOOKUP($B58,Database!$B$1:$IX$10144,AD$22,FALSE)))</f>
        <v>43.9</v>
      </c>
      <c r="AE58" s="22">
        <f>IF(OR($B58="",AE$22=""),"",IF(LEN(VLOOKUP($B58,Database!$B$1:$IX$10144,AE$22,FALSE))=0,"",VLOOKUP($B58,Database!$B$1:$IX$10144,AE$22,FALSE)))</f>
        <v>8.6999999999999993</v>
      </c>
      <c r="AF58" s="22">
        <f>IF(OR($B58="",AF$22=""),"",IF(LEN(VLOOKUP($B58,Database!$B$1:$IX$10144,AF$22,FALSE))=0,"",VLOOKUP($B58,Database!$B$1:$IX$10144,AF$22,FALSE)))</f>
        <v>52</v>
      </c>
      <c r="AG58" s="22">
        <f>IF(OR($B58="",AG$22=""),"",IF(LEN(VLOOKUP($B58,Database!$B$1:$IX$10144,AG$22,FALSE))=0,"",VLOOKUP($B58,Database!$B$1:$IX$10144,AG$22,FALSE)))</f>
        <v>40</v>
      </c>
      <c r="AH58" s="22">
        <f>IF(OR($B58="",AH$22=""),"",IF(LEN(VLOOKUP($B58,Database!$B$1:$IX$10144,AH$22,FALSE))=0,"",VLOOKUP($B58,Database!$B$1:$IX$10144,AH$22,FALSE)))</f>
        <v>1</v>
      </c>
      <c r="AI58" s="22">
        <f>IF(OR($B58="",AI$22=""),"",IF(LEN(VLOOKUP($B58,Database!$B$1:$IX$10144,AI$22,FALSE))=0,"",VLOOKUP($B58,Database!$B$1:$IX$10144,AI$22,FALSE)))</f>
        <v>1</v>
      </c>
      <c r="AJ58" s="22" t="str">
        <f>IF(OR($B58="",AJ$22=""),"",IF(LEN(VLOOKUP($B58,Database!$B$1:$IX$10144,AJ$22,FALSE))=0,"",VLOOKUP($B58,Database!$B$1:$IX$10144,AJ$22,FALSE)))</f>
        <v/>
      </c>
      <c r="AK58" s="22" t="str">
        <f>IF(OR($B58="",AK$22=""),"",IF(LEN(VLOOKUP($B58,Database!$B$1:$IX$10144,AK$22,FALSE))=0,"",VLOOKUP($B58,Database!$B$1:$IX$10144,AK$22,FALSE)))</f>
        <v>ns</v>
      </c>
      <c r="AL58" s="22" t="str">
        <f>IF(OR($B58="",AL$22=""),"",IF(LEN(VLOOKUP($B58,Database!$B$1:$IX$10144,AL$22,FALSE))=0,"",VLOOKUP($B58,Database!$B$1:$IX$10144,AL$22,FALSE)))</f>
        <v>ns</v>
      </c>
      <c r="AM58" s="22" t="str">
        <f>IF(OR($B58="",AM$22=""),"",IF(LEN(VLOOKUP($B58,Database!$B$1:$IX$10144,AM$22,FALSE))=0,"",VLOOKUP($B58,Database!$B$1:$IX$10144,AM$22,FALSE)))</f>
        <v>ns</v>
      </c>
      <c r="AN58" s="22" t="str">
        <f>IF(OR($B58="",AN$22=""),"",IF(LEN(VLOOKUP($B58,Database!$B$1:$IX$10144,AN$22,FALSE))=0,"",VLOOKUP($B58,Database!$B$1:$IX$10144,AN$22,FALSE)))</f>
        <v>ns</v>
      </c>
      <c r="AO58" s="22" t="str">
        <f>IF(OR($B58="",AO$22=""),"",IF(LEN(VLOOKUP($B58,Database!$B$1:$IX$10144,AO$22,FALSE))=0,"",VLOOKUP($B58,Database!$B$1:$IX$10144,AO$22,FALSE)))</f>
        <v>ns</v>
      </c>
      <c r="AP58" s="22" t="str">
        <f>IF(OR($B58="",AP$22=""),"",IF(LEN(VLOOKUP($B58,Database!$B$1:$IX$10144,AP$22,FALSE))=0,"",VLOOKUP($B58,Database!$B$1:$IX$10144,AP$22,FALSE)))</f>
        <v>ns</v>
      </c>
      <c r="AQ58" s="22" t="str">
        <f>IF(OR($B58="",AQ$22=""),"",IF(LEN(VLOOKUP($B58,Database!$B$1:$IX$10144,AQ$22,FALSE))=0,"",VLOOKUP($B58,Database!$B$1:$IX$10144,AQ$22,FALSE)))</f>
        <v>Jessen F, Schuhmacher A, von Widdern O, Guttenthaler V, Hofels S, Suliman H, Scheef L, Block W, Urbach H, Maier W, Zobel A.</v>
      </c>
      <c r="AR58" s="13"/>
      <c r="AX58" s="13"/>
      <c r="AY58" s="13"/>
      <c r="AZ58" s="13"/>
      <c r="BA58" s="13"/>
      <c r="BC58" s="23"/>
      <c r="BF58" s="136"/>
      <c r="BG58" s="136"/>
      <c r="BH58" s="136"/>
      <c r="BI58" s="136"/>
    </row>
    <row r="59" spans="1:256">
      <c r="B59">
        <v>19756819</v>
      </c>
      <c r="C59" s="1" t="str">
        <f>IF($B59="","",HYPERLINK(IF(LEN(VLOOKUP($B59,Database!$B$1:$IX$10144,2,FALSE))=0,"",VLOOKUP($B59,Database!$B$1:$IX$10144,2,FALSE))))</f>
        <v/>
      </c>
      <c r="D59" s="1" t="str">
        <f>IF($B59="","",HYPERLINK(CONCATENATE("http://www.ncbi.nlm.nih.gov/pubmed/",B59)))</f>
        <v>http://www.ncbi.nlm.nih.gov/pubmed/19756819</v>
      </c>
      <c r="E59" s="22" t="str">
        <f>IF($B59="","",IF(LEN(VLOOKUP($B59,Database!$B$1:$IX$10144,4,FALSE))=0,"",VLOOKUP($B59,Database!$B$1:$IX$10144,4,FALSE)))</f>
        <v>Kaymak SU</v>
      </c>
      <c r="F59" s="22">
        <f>IF($B59="","",IF(LEN(VLOOKUP($B59,Database!$B$1:$IX$10144,5,FALSE))=0,"",VLOOKUP($B59,Database!$B$1:$IX$10144,5,FALSE)))</f>
        <v>2009</v>
      </c>
      <c r="G59" s="1" t="str">
        <f>IF($B59="","",HYPERLINK(IF(LEN(VLOOKUP($B59,Database!$B$1:$IX$10144,6,FALSE))=0,"",VLOOKUP($B59,Database!$B$1:$IX$10144,6,FALSE))))</f>
        <v>http://dx.doi.org/10.1007/s00406-009-0045-x</v>
      </c>
      <c r="H59" s="22">
        <f>IF($B59="","",IF(LEN(VLOOKUP($B59,Database!$B$1:$IX$10144,7,FALSE))=0,"",VLOOKUP($B59,Database!$B$1:$IX$10144,7,FALSE)))</f>
        <v>20</v>
      </c>
      <c r="I59" s="22">
        <f>IF($B59="","",IF(LEN(VLOOKUP($B59,Database!$B$1:$IX$10144,8,FALSE))=0,"",VLOOKUP($B59,Database!$B$1:$IX$10144,8,FALSE)))</f>
        <v>15</v>
      </c>
      <c r="J59" t="s">
        <v>2378</v>
      </c>
      <c r="L59">
        <v>2.85</v>
      </c>
      <c r="M59">
        <v>0.33</v>
      </c>
      <c r="N59">
        <v>3.52</v>
      </c>
      <c r="O59">
        <v>0.33</v>
      </c>
      <c r="P59">
        <v>2.72</v>
      </c>
      <c r="Q59">
        <v>0.32</v>
      </c>
      <c r="R59">
        <v>3.4</v>
      </c>
      <c r="S59">
        <v>0.25</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32</v>
      </c>
      <c r="AC59" s="22">
        <f>IF(OR($B59="",AC$22=""),"",IF(LEN(VLOOKUP($B59,Database!$B$1:$IX$10144,AC$22,FALSE))=0,"",VLOOKUP($B59,Database!$B$1:$IX$10144,AC$22,FALSE)))</f>
        <v>8.52</v>
      </c>
      <c r="AD59" s="22">
        <f>IF(OR($B59="",AD$22=""),"",IF(LEN(VLOOKUP($B59,Database!$B$1:$IX$10144,AD$22,FALSE))=0,"",VLOOKUP($B59,Database!$B$1:$IX$10144,AD$22,FALSE)))</f>
        <v>29.3</v>
      </c>
      <c r="AE59" s="22">
        <f>IF(OR($B59="",AE$22=""),"",IF(LEN(VLOOKUP($B59,Database!$B$1:$IX$10144,AE$22,FALSE))=0,"",VLOOKUP($B59,Database!$B$1:$IX$10144,AE$22,FALSE)))</f>
        <v>5.8</v>
      </c>
      <c r="AF59" s="22">
        <f>IF(OR($B59="",AF$22=""),"",IF(LEN(VLOOKUP($B59,Database!$B$1:$IX$10144,AF$22,FALSE))=0,"",VLOOKUP($B59,Database!$B$1:$IX$10144,AF$22,FALSE)))</f>
        <v>20</v>
      </c>
      <c r="AG59" s="22">
        <f>IF(OR($B59="",AG$22=""),"",IF(LEN(VLOOKUP($B59,Database!$B$1:$IX$10144,AG$22,FALSE))=0,"",VLOOKUP($B59,Database!$B$1:$IX$10144,AG$22,FALSE)))</f>
        <v>15</v>
      </c>
      <c r="AH59" s="22">
        <f>IF(OR($B59="",AH$22=""),"",IF(LEN(VLOOKUP($B59,Database!$B$1:$IX$10144,AH$22,FALSE))=0,"",VLOOKUP($B59,Database!$B$1:$IX$10144,AH$22,FALSE)))</f>
        <v>3</v>
      </c>
      <c r="AI59" s="22">
        <f>IF(OR($B59="",AI$22=""),"",IF(LEN(VLOOKUP($B59,Database!$B$1:$IX$10144,AI$22,FALSE))=0,"",VLOOKUP($B59,Database!$B$1:$IX$10144,AI$22,FALSE)))</f>
        <v>1</v>
      </c>
      <c r="AJ59" s="22" t="str">
        <f>IF(OR($B59="",AJ$22=""),"",IF(LEN(VLOOKUP($B59,Database!$B$1:$IX$10144,AJ$22,FALSE))=0,"",VLOOKUP($B59,Database!$B$1:$IX$10144,AJ$22,FALSE)))</f>
        <v/>
      </c>
      <c r="AK59" s="22" t="str">
        <f>IF(OR($B59="",AK$22=""),"",IF(LEN(VLOOKUP($B59,Database!$B$1:$IX$10144,AK$22,FALSE))=0,"",VLOOKUP($B59,Database!$B$1:$IX$10144,AK$22,FALSE)))</f>
        <v>ns</v>
      </c>
      <c r="AL59" s="22">
        <f>IF(OR($B59="",AL$22=""),"",IF(LEN(VLOOKUP($B59,Database!$B$1:$IX$10144,AL$22,FALSE))=0,"",VLOOKUP($B59,Database!$B$1:$IX$10144,AL$22,FALSE)))</f>
        <v>23.1</v>
      </c>
      <c r="AM59" s="22">
        <f>IF(OR($B59="",AM$22=""),"",IF(LEN(VLOOKUP($B59,Database!$B$1:$IX$10144,AM$22,FALSE))=0,"",VLOOKUP($B59,Database!$B$1:$IX$10144,AM$22,FALSE)))</f>
        <v>0</v>
      </c>
      <c r="AN59" s="22">
        <f>IF(OR($B59="",AN$22=""),"",IF(LEN(VLOOKUP($B59,Database!$B$1:$IX$10144,AN$22,FALSE))=0,"",VLOOKUP($B59,Database!$B$1:$IX$10144,AN$22,FALSE)))</f>
        <v>0</v>
      </c>
      <c r="AO59" s="22">
        <f>IF(OR($B59="",AO$22=""),"",IF(LEN(VLOOKUP($B59,Database!$B$1:$IX$10144,AO$22,FALSE))=0,"",VLOOKUP($B59,Database!$B$1:$IX$10144,AO$22,FALSE)))</f>
        <v>0</v>
      </c>
      <c r="AP59" s="22">
        <f>IF(OR($B59="",AP$22=""),"",IF(LEN(VLOOKUP($B59,Database!$B$1:$IX$10144,AP$22,FALSE))=0,"",VLOOKUP($B59,Database!$B$1:$IX$10144,AP$22,FALSE)))</f>
        <v>100</v>
      </c>
      <c r="AQ59" s="22" t="str">
        <f>IF(OR($B59="",AQ$22=""),"",IF(LEN(VLOOKUP($B59,Database!$B$1:$IX$10144,AQ$22,FALSE))=0,"",VLOOKUP($B59,Database!$B$1:$IX$10144,AQ$22,FALSE)))</f>
        <v>Kaymak SU, Demir B, Sentürk S, Tatar I, Aldur MM, Uluğ B.</v>
      </c>
      <c r="AR59" s="13"/>
      <c r="AX59" s="13"/>
      <c r="AY59" s="13"/>
      <c r="AZ59" s="13"/>
      <c r="BA59" s="13"/>
      <c r="BC59" s="23"/>
      <c r="BF59" s="136"/>
      <c r="BG59" s="136"/>
      <c r="BH59" s="136"/>
      <c r="BI59" s="136"/>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row>
    <row r="60" spans="1:256">
      <c r="B60">
        <v>19800203</v>
      </c>
      <c r="C60" s="1" t="str">
        <f>IF($B60="","",HYPERLINK(IF(LEN(VLOOKUP($B60,Database!$B$1:$IX$10144,2,FALSE))=0,"",VLOOKUP($B60,Database!$B$1:$IX$10144,2,FALSE))))</f>
        <v/>
      </c>
      <c r="D60" s="1" t="str">
        <f t="shared" ref="D60:D66" si="3">IF($B60="","",HYPERLINK(CONCATENATE("http://www.ncbi.nlm.nih.gov/pubmed/",B60)))</f>
        <v>http://www.ncbi.nlm.nih.gov/pubmed/19800203</v>
      </c>
      <c r="E60" s="22" t="str">
        <f>IF($B60="","",IF(LEN(VLOOKUP($B60,Database!$B$1:$IX$10144,4,FALSE))=0,"",VLOOKUP($B60,Database!$B$1:$IX$10144,4,FALSE)))</f>
        <v>Kronmüller KT</v>
      </c>
      <c r="F60" s="22">
        <f>IF($B60="","",IF(LEN(VLOOKUP($B60,Database!$B$1:$IX$10144,5,FALSE))=0,"",VLOOKUP($B60,Database!$B$1:$IX$10144,5,FALSE)))</f>
        <v>2009</v>
      </c>
      <c r="G60" s="1" t="str">
        <f>IF($B60="","",HYPERLINK(IF(LEN(VLOOKUP($B60,Database!$B$1:$IX$10144,6,FALSE))=0,"",VLOOKUP($B60,Database!$B$1:$IX$10144,6,FALSE))))</f>
        <v>http://dx.doi.org/10.1016/j.pscychresns.2008.08.001</v>
      </c>
      <c r="H60" s="83">
        <v>13</v>
      </c>
      <c r="I60" s="83">
        <v>5.5</v>
      </c>
      <c r="J60" t="s">
        <v>2383</v>
      </c>
      <c r="K60" t="s">
        <v>2379</v>
      </c>
      <c r="L60">
        <v>2.81</v>
      </c>
      <c r="M60">
        <v>0.36</v>
      </c>
      <c r="N60">
        <v>3.19</v>
      </c>
      <c r="O60">
        <v>0.25</v>
      </c>
      <c r="P60">
        <v>3</v>
      </c>
      <c r="Q60">
        <v>0.56999999999999995</v>
      </c>
      <c r="R60">
        <v>3.3</v>
      </c>
      <c r="S60">
        <v>0.28999999999999998</v>
      </c>
      <c r="T60">
        <v>5.81</v>
      </c>
      <c r="U60">
        <v>0.9</v>
      </c>
      <c r="V60">
        <v>6.49</v>
      </c>
      <c r="W60">
        <v>0.49</v>
      </c>
      <c r="Y60" s="22" t="str">
        <f>IF(OR($B60="",Y$22=""),"",IF(LEN(VLOOKUP($B60,Database!$B$1:$IX$10144,Y$22,FALSE))=0,"",VLOOKUP($B60,Database!$B$1:$IX$10144,Y$22,FALSE)))</f>
        <v>DSM-IV</v>
      </c>
      <c r="Z60" s="22" t="str">
        <f>IF(OR($B60="",Z$22=""),"",IF(LEN(VLOOKUP($B60,Database!$B$1:$IX$10144,Z$22,FALSE))=0,"",VLOOKUP($B60,Database!$B$1:$IX$10144,Z$22,FALSE)))</f>
        <v>MRI</v>
      </c>
      <c r="AA60" s="214" t="s">
        <v>2451</v>
      </c>
      <c r="AB60" s="83">
        <v>38.08</v>
      </c>
      <c r="AC60" s="83">
        <v>11.88</v>
      </c>
      <c r="AD60" s="83">
        <v>42</v>
      </c>
      <c r="AE60" s="83">
        <v>11.28</v>
      </c>
      <c r="AF60" s="83">
        <v>0</v>
      </c>
      <c r="AG60" s="22">
        <f>IF(OR($B60="",AG$22=""),"",IF(LEN(VLOOKUP($B60,Database!$B$1:$IX$10144,AG$22,FALSE))=0,"",VLOOKUP($B60,Database!$B$1:$IX$10144,AG$22,FALSE)))</f>
        <v>19</v>
      </c>
      <c r="AH60" s="22">
        <f>IF(OR($B60="",AH$22=""),"",IF(LEN(VLOOKUP($B60,Database!$B$1:$IX$10144,AH$22,FALSE))=0,"",VLOOKUP($B60,Database!$B$1:$IX$10144,AH$22,FALSE)))</f>
        <v>1.5</v>
      </c>
      <c r="AI60" s="22">
        <f>IF(OR($B60="",AI$22=""),"",IF(LEN(VLOOKUP($B60,Database!$B$1:$IX$10144,AI$22,FALSE))=0,"",VLOOKUP($B60,Database!$B$1:$IX$10144,AI$22,FALSE)))</f>
        <v>1.5</v>
      </c>
      <c r="AJ60" s="22" t="str">
        <f>IF(OR($B60="",AJ$22=""),"",IF(LEN(VLOOKUP($B60,Database!$B$1:$IX$10144,AJ$22,FALSE))=0,"",VLOOKUP($B60,Database!$B$1:$IX$10144,AJ$22,FALSE)))</f>
        <v/>
      </c>
      <c r="AK60" s="83">
        <v>38.880000000000003</v>
      </c>
      <c r="AL60" s="83">
        <v>23</v>
      </c>
      <c r="AM60" s="22">
        <f>IF(OR($B60="",AM$22=""),"",IF(LEN(VLOOKUP($B60,Database!$B$1:$IX$10144,AM$22,FALSE))=0,"",VLOOKUP($B60,Database!$B$1:$IX$10144,AM$22,FALSE)))</f>
        <v>100</v>
      </c>
      <c r="AN60" s="22" t="str">
        <f>IF(OR($B60="",AN$22=""),"",IF(LEN(VLOOKUP($B60,Database!$B$1:$IX$10144,AN$22,FALSE))=0,"",VLOOKUP($B60,Database!$B$1:$IX$10144,AN$22,FALSE)))</f>
        <v>ns</v>
      </c>
      <c r="AO60" s="22" t="str">
        <f>IF(OR($B60="",AO$22=""),"",IF(LEN(VLOOKUP($B60,Database!$B$1:$IX$10144,AO$22,FALSE))=0,"",VLOOKUP($B60,Database!$B$1:$IX$10144,AO$22,FALSE)))</f>
        <v>ns</v>
      </c>
      <c r="AP60" s="22">
        <f>IF(OR($B60="",AP$22=""),"",IF(LEN(VLOOKUP($B60,Database!$B$1:$IX$10144,AP$22,FALSE))=0,"",VLOOKUP($B60,Database!$B$1:$IX$10144,AP$22,FALSE)))</f>
        <v>0</v>
      </c>
      <c r="AQ60" s="22" t="str">
        <f>IF(OR($B60="",AQ$22=""),"",IF(LEN(VLOOKUP($B60,Database!$B$1:$IX$10144,AQ$22,FALSE))=0,"",VLOOKUP($B60,Database!$B$1:$IX$10144,AQ$22,FALSE)))</f>
        <v>Kronmüller KT, Schröder J, Köhler S, Götz B, Victor D, Unger J, Giesel F, Magnotta V, Mundt C, Essig M, Pantel J.</v>
      </c>
      <c r="AR60" s="13"/>
      <c r="AU60" s="13"/>
      <c r="AX60" s="13"/>
      <c r="AY60" s="13"/>
      <c r="AZ60" s="13"/>
      <c r="BA60" s="13"/>
      <c r="BC60" s="23"/>
      <c r="BF60" s="136"/>
      <c r="BG60" s="136"/>
      <c r="BH60" s="136"/>
      <c r="BI60" s="136"/>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row>
    <row r="61" spans="1:256">
      <c r="B61">
        <v>19800203</v>
      </c>
      <c r="C61" s="1" t="str">
        <f>IF($B61="","",HYPERLINK(IF(LEN(VLOOKUP($B61,Database!$B$1:$IX$10144,2,FALSE))=0,"",VLOOKUP($B61,Database!$B$1:$IX$10144,2,FALSE))))</f>
        <v/>
      </c>
      <c r="D61" s="1" t="str">
        <f>IF($B61="","",HYPERLINK(CONCATENATE("http://www.ncbi.nlm.nih.gov/pubmed/",B61)))</f>
        <v>http://www.ncbi.nlm.nih.gov/pubmed/19800203</v>
      </c>
      <c r="E61" s="22" t="str">
        <f>IF($B61="","",IF(LEN(VLOOKUP($B61,Database!$B$1:$IX$10144,4,FALSE))=0,"",VLOOKUP($B61,Database!$B$1:$IX$10144,4,FALSE)))</f>
        <v>Kronmüller KT</v>
      </c>
      <c r="F61" s="22">
        <f>IF($B61="","",IF(LEN(VLOOKUP($B61,Database!$B$1:$IX$10144,5,FALSE))=0,"",VLOOKUP($B61,Database!$B$1:$IX$10144,5,FALSE)))</f>
        <v>2009</v>
      </c>
      <c r="G61" s="1" t="str">
        <f>IF($B61="","",HYPERLINK(IF(LEN(VLOOKUP($B61,Database!$B$1:$IX$10144,6,FALSE))=0,"",VLOOKUP($B61,Database!$B$1:$IX$10144,6,FALSE))))</f>
        <v>http://dx.doi.org/10.1016/j.pscychresns.2008.08.001</v>
      </c>
      <c r="H61" s="83">
        <v>13</v>
      </c>
      <c r="I61" s="83">
        <v>9.5</v>
      </c>
      <c r="J61" t="s">
        <v>2383</v>
      </c>
      <c r="K61" t="s">
        <v>2380</v>
      </c>
      <c r="L61">
        <v>2.71</v>
      </c>
      <c r="M61">
        <v>0.26</v>
      </c>
      <c r="N61">
        <v>2.72</v>
      </c>
      <c r="O61">
        <v>0.3</v>
      </c>
      <c r="P61">
        <v>2.82</v>
      </c>
      <c r="Q61">
        <v>0.36</v>
      </c>
      <c r="R61">
        <v>2.79</v>
      </c>
      <c r="S61">
        <v>0.41</v>
      </c>
      <c r="T61">
        <v>5.52</v>
      </c>
      <c r="U61">
        <v>0.56999999999999995</v>
      </c>
      <c r="V61">
        <v>5.51</v>
      </c>
      <c r="W61">
        <v>0.66</v>
      </c>
      <c r="Y61" s="22" t="str">
        <f>IF(OR($B61="",Y$22=""),"",IF(LEN(VLOOKUP($B61,Database!$B$1:$IX$10144,Y$22,FALSE))=0,"",VLOOKUP($B61,Database!$B$1:$IX$10144,Y$22,FALSE)))</f>
        <v>DSM-IV</v>
      </c>
      <c r="Z61" s="22" t="str">
        <f>IF(OR($B61="",Z$22=""),"",IF(LEN(VLOOKUP($B61,Database!$B$1:$IX$10144,Z$22,FALSE))=0,"",VLOOKUP($B61,Database!$B$1:$IX$10144,Z$22,FALSE)))</f>
        <v>MRI</v>
      </c>
      <c r="AA61" s="214" t="s">
        <v>2452</v>
      </c>
      <c r="AB61" s="83">
        <v>41.46</v>
      </c>
      <c r="AC61" s="83">
        <v>16.64</v>
      </c>
      <c r="AD61" s="83">
        <v>42.68</v>
      </c>
      <c r="AE61" s="83">
        <v>13.98</v>
      </c>
      <c r="AF61" s="83">
        <v>13</v>
      </c>
      <c r="AG61" s="22">
        <f>IF(OR($B61="",AG$22=""),"",IF(LEN(VLOOKUP($B61,Database!$B$1:$IX$10144,AG$22,FALSE))=0,"",VLOOKUP($B61,Database!$B$1:$IX$10144,AG$22,FALSE)))</f>
        <v>19</v>
      </c>
      <c r="AH61" s="22">
        <f>IF(OR($B61="",AH$22=""),"",IF(LEN(VLOOKUP($B61,Database!$B$1:$IX$10144,AH$22,FALSE))=0,"",VLOOKUP($B61,Database!$B$1:$IX$10144,AH$22,FALSE)))</f>
        <v>1.5</v>
      </c>
      <c r="AI61" s="22">
        <f>IF(OR($B61="",AI$22=""),"",IF(LEN(VLOOKUP($B61,Database!$B$1:$IX$10144,AI$22,FALSE))=0,"",VLOOKUP($B61,Database!$B$1:$IX$10144,AI$22,FALSE)))</f>
        <v>1.5</v>
      </c>
      <c r="AJ61" s="22" t="str">
        <f>IF(OR($B61="",AJ$22=""),"",IF(LEN(VLOOKUP($B61,Database!$B$1:$IX$10144,AJ$22,FALSE))=0,"",VLOOKUP($B61,Database!$B$1:$IX$10144,AJ$22,FALSE)))</f>
        <v/>
      </c>
      <c r="AK61" s="83">
        <v>38.880000000000003</v>
      </c>
      <c r="AL61" s="83">
        <v>25.62</v>
      </c>
      <c r="AM61" s="22">
        <f>IF(OR($B61="",AM$22=""),"",IF(LEN(VLOOKUP($B61,Database!$B$1:$IX$10144,AM$22,FALSE))=0,"",VLOOKUP($B61,Database!$B$1:$IX$10144,AM$22,FALSE)))</f>
        <v>100</v>
      </c>
      <c r="AN61" s="22" t="str">
        <f>IF(OR($B61="",AN$22=""),"",IF(LEN(VLOOKUP($B61,Database!$B$1:$IX$10144,AN$22,FALSE))=0,"",VLOOKUP($B61,Database!$B$1:$IX$10144,AN$22,FALSE)))</f>
        <v>ns</v>
      </c>
      <c r="AO61" s="22" t="str">
        <f>IF(OR($B61="",AO$22=""),"",IF(LEN(VLOOKUP($B61,Database!$B$1:$IX$10144,AO$22,FALSE))=0,"",VLOOKUP($B61,Database!$B$1:$IX$10144,AO$22,FALSE)))</f>
        <v>ns</v>
      </c>
      <c r="AP61" s="22">
        <f>IF(OR($B61="",AP$22=""),"",IF(LEN(VLOOKUP($B61,Database!$B$1:$IX$10144,AP$22,FALSE))=0,"",VLOOKUP($B61,Database!$B$1:$IX$10144,AP$22,FALSE)))</f>
        <v>0</v>
      </c>
      <c r="AQ61" s="22" t="str">
        <f>IF(OR($B61="",AQ$22=""),"",IF(LEN(VLOOKUP($B61,Database!$B$1:$IX$10144,AQ$22,FALSE))=0,"",VLOOKUP($B61,Database!$B$1:$IX$10144,AQ$22,FALSE)))</f>
        <v>Kronmüller KT, Schröder J, Köhler S, Götz B, Victor D, Unger J, Giesel F, Magnotta V, Mundt C, Essig M, Pantel J.</v>
      </c>
      <c r="AR61" s="13"/>
      <c r="AU61" s="13"/>
      <c r="AX61" s="13"/>
      <c r="AY61" s="13"/>
      <c r="AZ61" s="13"/>
      <c r="BA61" s="13"/>
      <c r="BC61" s="23"/>
      <c r="BF61" s="136"/>
      <c r="BG61" s="136"/>
      <c r="BH61" s="136"/>
      <c r="BI61" s="136"/>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row>
    <row r="62" spans="1:256">
      <c r="B62">
        <v>19800203</v>
      </c>
      <c r="C62" s="1" t="str">
        <f>IF($B62="","",HYPERLINK(IF(LEN(VLOOKUP($B62,Database!$B$1:$IX$10144,2,FALSE))=0,"",VLOOKUP($B62,Database!$B$1:$IX$10144,2,FALSE))))</f>
        <v/>
      </c>
      <c r="D62" s="1" t="str">
        <f>IF($B62="","",HYPERLINK(CONCATENATE("http://www.ncbi.nlm.nih.gov/pubmed/",B62)))</f>
        <v>http://www.ncbi.nlm.nih.gov/pubmed/19800203</v>
      </c>
      <c r="E62" s="22" t="str">
        <f>IF($B62="","",IF(LEN(VLOOKUP($B62,Database!$B$1:$IX$10144,4,FALSE))=0,"",VLOOKUP($B62,Database!$B$1:$IX$10144,4,FALSE)))</f>
        <v>Kronmüller KT</v>
      </c>
      <c r="F62" s="22">
        <f>IF($B62="","",IF(LEN(VLOOKUP($B62,Database!$B$1:$IX$10144,5,FALSE))=0,"",VLOOKUP($B62,Database!$B$1:$IX$10144,5,FALSE)))</f>
        <v>2009</v>
      </c>
      <c r="G62" s="1" t="str">
        <f>IF($B62="","",HYPERLINK(IF(LEN(VLOOKUP($B62,Database!$B$1:$IX$10144,6,FALSE))=0,"",VLOOKUP($B62,Database!$B$1:$IX$10144,6,FALSE))))</f>
        <v>http://dx.doi.org/10.1016/j.pscychresns.2008.08.001</v>
      </c>
      <c r="H62" s="83">
        <v>11</v>
      </c>
      <c r="I62" s="83">
        <v>5.5</v>
      </c>
      <c r="J62" t="s">
        <v>2383</v>
      </c>
      <c r="K62" t="s">
        <v>2381</v>
      </c>
      <c r="L62">
        <v>3.1</v>
      </c>
      <c r="M62">
        <v>0.39</v>
      </c>
      <c r="N62">
        <v>3.19</v>
      </c>
      <c r="O62">
        <v>0.25</v>
      </c>
      <c r="P62">
        <v>2.97</v>
      </c>
      <c r="Q62">
        <v>0.47</v>
      </c>
      <c r="R62">
        <v>3.3</v>
      </c>
      <c r="S62">
        <v>0.28999999999999998</v>
      </c>
      <c r="T62">
        <v>6.07</v>
      </c>
      <c r="U62">
        <v>0.85</v>
      </c>
      <c r="V62">
        <v>6.49</v>
      </c>
      <c r="W62">
        <v>0.49</v>
      </c>
      <c r="Y62" s="22" t="str">
        <f>IF(OR($B62="",Y$22=""),"",IF(LEN(VLOOKUP($B62,Database!$B$1:$IX$10144,Y$22,FALSE))=0,"",VLOOKUP($B62,Database!$B$1:$IX$10144,Y$22,FALSE)))</f>
        <v>DSM-IV</v>
      </c>
      <c r="Z62" s="22" t="str">
        <f>IF(OR($B62="",Z$22=""),"",IF(LEN(VLOOKUP($B62,Database!$B$1:$IX$10144,Z$22,FALSE))=0,"",VLOOKUP($B62,Database!$B$1:$IX$10144,Z$22,FALSE)))</f>
        <v>MRI</v>
      </c>
      <c r="AA62" s="214" t="s">
        <v>2453</v>
      </c>
      <c r="AB62" s="83">
        <v>48.27</v>
      </c>
      <c r="AC62" s="83">
        <v>8.73</v>
      </c>
      <c r="AD62" s="83">
        <v>42</v>
      </c>
      <c r="AE62" s="83">
        <v>11.28</v>
      </c>
      <c r="AF62" s="83">
        <v>0</v>
      </c>
      <c r="AG62" s="22">
        <f>IF(OR($B62="",AG$22=""),"",IF(LEN(VLOOKUP($B62,Database!$B$1:$IX$10144,AG$22,FALSE))=0,"",VLOOKUP($B62,Database!$B$1:$IX$10144,AG$22,FALSE)))</f>
        <v>19</v>
      </c>
      <c r="AH62" s="22">
        <f>IF(OR($B62="",AH$22=""),"",IF(LEN(VLOOKUP($B62,Database!$B$1:$IX$10144,AH$22,FALSE))=0,"",VLOOKUP($B62,Database!$B$1:$IX$10144,AH$22,FALSE)))</f>
        <v>1.5</v>
      </c>
      <c r="AI62" s="22">
        <f>IF(OR($B62="",AI$22=""),"",IF(LEN(VLOOKUP($B62,Database!$B$1:$IX$10144,AI$22,FALSE))=0,"",VLOOKUP($B62,Database!$B$1:$IX$10144,AI$22,FALSE)))</f>
        <v>1.5</v>
      </c>
      <c r="AJ62" s="22" t="str">
        <f>IF(OR($B62="",AJ$22=""),"",IF(LEN(VLOOKUP($B62,Database!$B$1:$IX$10144,AJ$22,FALSE))=0,"",VLOOKUP($B62,Database!$B$1:$IX$10144,AJ$22,FALSE)))</f>
        <v/>
      </c>
      <c r="AK62" s="83">
        <v>38.26</v>
      </c>
      <c r="AL62" s="83">
        <v>18.72</v>
      </c>
      <c r="AM62" s="22">
        <f>IF(OR($B62="",AM$22=""),"",IF(LEN(VLOOKUP($B62,Database!$B$1:$IX$10144,AM$22,FALSE))=0,"",VLOOKUP($B62,Database!$B$1:$IX$10144,AM$22,FALSE)))</f>
        <v>100</v>
      </c>
      <c r="AN62" s="22" t="str">
        <f>IF(OR($B62="",AN$22=""),"",IF(LEN(VLOOKUP($B62,Database!$B$1:$IX$10144,AN$22,FALSE))=0,"",VLOOKUP($B62,Database!$B$1:$IX$10144,AN$22,FALSE)))</f>
        <v>ns</v>
      </c>
      <c r="AO62" s="22" t="str">
        <f>IF(OR($B62="",AO$22=""),"",IF(LEN(VLOOKUP($B62,Database!$B$1:$IX$10144,AO$22,FALSE))=0,"",VLOOKUP($B62,Database!$B$1:$IX$10144,AO$22,FALSE)))</f>
        <v>ns</v>
      </c>
      <c r="AP62" s="22">
        <f>IF(OR($B62="",AP$22=""),"",IF(LEN(VLOOKUP($B62,Database!$B$1:$IX$10144,AP$22,FALSE))=0,"",VLOOKUP($B62,Database!$B$1:$IX$10144,AP$22,FALSE)))</f>
        <v>0</v>
      </c>
      <c r="AQ62" s="22" t="str">
        <f>IF(OR($B62="",AQ$22=""),"",IF(LEN(VLOOKUP($B62,Database!$B$1:$IX$10144,AQ$22,FALSE))=0,"",VLOOKUP($B62,Database!$B$1:$IX$10144,AQ$22,FALSE)))</f>
        <v>Kronmüller KT, Schröder J, Köhler S, Götz B, Victor D, Unger J, Giesel F, Magnotta V, Mundt C, Essig M, Pantel J.</v>
      </c>
      <c r="AR62" s="13"/>
      <c r="AU62" s="13"/>
      <c r="AX62" s="13"/>
      <c r="AY62" s="13"/>
      <c r="AZ62" s="13"/>
      <c r="BA62" s="13"/>
      <c r="BC62" s="23"/>
      <c r="BF62" s="136"/>
      <c r="BG62" s="136"/>
      <c r="BH62" s="136"/>
      <c r="BI62" s="136"/>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row>
    <row r="63" spans="1:256">
      <c r="B63">
        <v>19800203</v>
      </c>
      <c r="C63" s="1" t="str">
        <f>IF($B63="","",HYPERLINK(IF(LEN(VLOOKUP($B63,Database!$B$1:$IX$10144,2,FALSE))=0,"",VLOOKUP($B63,Database!$B$1:$IX$10144,2,FALSE))))</f>
        <v/>
      </c>
      <c r="D63" s="1" t="str">
        <f>IF($B63="","",HYPERLINK(CONCATENATE("http://www.ncbi.nlm.nih.gov/pubmed/",B63)))</f>
        <v>http://www.ncbi.nlm.nih.gov/pubmed/19800203</v>
      </c>
      <c r="E63" s="22" t="str">
        <f>IF($B63="","",IF(LEN(VLOOKUP($B63,Database!$B$1:$IX$10144,4,FALSE))=0,"",VLOOKUP($B63,Database!$B$1:$IX$10144,4,FALSE)))</f>
        <v>Kronmüller KT</v>
      </c>
      <c r="F63" s="22">
        <f>IF($B63="","",IF(LEN(VLOOKUP($B63,Database!$B$1:$IX$10144,5,FALSE))=0,"",VLOOKUP($B63,Database!$B$1:$IX$10144,5,FALSE)))</f>
        <v>2009</v>
      </c>
      <c r="G63" s="1" t="str">
        <f>IF($B63="","",HYPERLINK(IF(LEN(VLOOKUP($B63,Database!$B$1:$IX$10144,6,FALSE))=0,"",VLOOKUP($B63,Database!$B$1:$IX$10144,6,FALSE))))</f>
        <v>http://dx.doi.org/10.1016/j.pscychresns.2008.08.001</v>
      </c>
      <c r="H63" s="83">
        <v>20</v>
      </c>
      <c r="I63" s="83">
        <v>9.5</v>
      </c>
      <c r="J63" t="s">
        <v>2383</v>
      </c>
      <c r="K63" t="s">
        <v>2382</v>
      </c>
      <c r="L63">
        <v>2.75</v>
      </c>
      <c r="M63">
        <v>0.41</v>
      </c>
      <c r="N63">
        <v>2.72</v>
      </c>
      <c r="O63">
        <v>0.3</v>
      </c>
      <c r="P63">
        <v>2.83</v>
      </c>
      <c r="Q63">
        <v>0.35</v>
      </c>
      <c r="R63">
        <v>2.79</v>
      </c>
      <c r="S63">
        <v>0.41</v>
      </c>
      <c r="T63">
        <v>5.59</v>
      </c>
      <c r="U63">
        <v>0.73</v>
      </c>
      <c r="V63">
        <v>5.51</v>
      </c>
      <c r="W63">
        <v>0.66</v>
      </c>
      <c r="Y63" s="22" t="str">
        <f>IF(OR($B63="",Y$22=""),"",IF(LEN(VLOOKUP($B63,Database!$B$1:$IX$10144,Y$22,FALSE))=0,"",VLOOKUP($B63,Database!$B$1:$IX$10144,Y$22,FALSE)))</f>
        <v>DSM-IV</v>
      </c>
      <c r="Z63" s="22" t="str">
        <f>IF(OR($B63="",Z$22=""),"",IF(LEN(VLOOKUP($B63,Database!$B$1:$IX$10144,Z$22,FALSE))=0,"",VLOOKUP($B63,Database!$B$1:$IX$10144,Z$22,FALSE)))</f>
        <v>MRI</v>
      </c>
      <c r="AA63" s="214" t="s">
        <v>2454</v>
      </c>
      <c r="AB63" s="83">
        <v>45.85</v>
      </c>
      <c r="AC63" s="83">
        <v>11.78</v>
      </c>
      <c r="AD63" s="83">
        <v>42.68</v>
      </c>
      <c r="AE63" s="83">
        <v>13.98</v>
      </c>
      <c r="AF63" s="83">
        <v>20</v>
      </c>
      <c r="AG63" s="22">
        <f>IF(OR($B63="",AG$22=""),"",IF(LEN(VLOOKUP($B63,Database!$B$1:$IX$10144,AG$22,FALSE))=0,"",VLOOKUP($B63,Database!$B$1:$IX$10144,AG$22,FALSE)))</f>
        <v>19</v>
      </c>
      <c r="AH63" s="22">
        <f>IF(OR($B63="",AH$22=""),"",IF(LEN(VLOOKUP($B63,Database!$B$1:$IX$10144,AH$22,FALSE))=0,"",VLOOKUP($B63,Database!$B$1:$IX$10144,AH$22,FALSE)))</f>
        <v>1.5</v>
      </c>
      <c r="AI63" s="22">
        <f>IF(OR($B63="",AI$22=""),"",IF(LEN(VLOOKUP($B63,Database!$B$1:$IX$10144,AI$22,FALSE))=0,"",VLOOKUP($B63,Database!$B$1:$IX$10144,AI$22,FALSE)))</f>
        <v>1.5</v>
      </c>
      <c r="AJ63" s="22" t="str">
        <f>IF(OR($B63="",AJ$22=""),"",IF(LEN(VLOOKUP($B63,Database!$B$1:$IX$10144,AJ$22,FALSE))=0,"",VLOOKUP($B63,Database!$B$1:$IX$10144,AJ$22,FALSE)))</f>
        <v/>
      </c>
      <c r="AK63" s="83">
        <v>38.26</v>
      </c>
      <c r="AL63" s="83">
        <v>22.9</v>
      </c>
      <c r="AM63" s="22">
        <f>IF(OR($B63="",AM$22=""),"",IF(LEN(VLOOKUP($B63,Database!$B$1:$IX$10144,AM$22,FALSE))=0,"",VLOOKUP($B63,Database!$B$1:$IX$10144,AM$22,FALSE)))</f>
        <v>100</v>
      </c>
      <c r="AN63" s="22" t="str">
        <f>IF(OR($B63="",AN$22=""),"",IF(LEN(VLOOKUP($B63,Database!$B$1:$IX$10144,AN$22,FALSE))=0,"",VLOOKUP($B63,Database!$B$1:$IX$10144,AN$22,FALSE)))</f>
        <v>ns</v>
      </c>
      <c r="AO63" s="22" t="str">
        <f>IF(OR($B63="",AO$22=""),"",IF(LEN(VLOOKUP($B63,Database!$B$1:$IX$10144,AO$22,FALSE))=0,"",VLOOKUP($B63,Database!$B$1:$IX$10144,AO$22,FALSE)))</f>
        <v>ns</v>
      </c>
      <c r="AP63" s="22">
        <f>IF(OR($B63="",AP$22=""),"",IF(LEN(VLOOKUP($B63,Database!$B$1:$IX$10144,AP$22,FALSE))=0,"",VLOOKUP($B63,Database!$B$1:$IX$10144,AP$22,FALSE)))</f>
        <v>0</v>
      </c>
      <c r="AQ63" s="22" t="str">
        <f>IF(OR($B63="",AQ$22=""),"",IF(LEN(VLOOKUP($B63,Database!$B$1:$IX$10144,AQ$22,FALSE))=0,"",VLOOKUP($B63,Database!$B$1:$IX$10144,AQ$22,FALSE)))</f>
        <v>Kronmüller KT, Schröder J, Köhler S, Götz B, Victor D, Unger J, Giesel F, Magnotta V, Mundt C, Essig M, Pantel J.</v>
      </c>
      <c r="AR63" s="13"/>
      <c r="AU63" s="13"/>
      <c r="AX63" s="13"/>
      <c r="AY63" s="13"/>
      <c r="AZ63" s="13"/>
      <c r="BA63" s="13"/>
      <c r="BC63" s="23"/>
      <c r="BF63" s="136"/>
      <c r="BG63" s="136"/>
      <c r="BH63" s="136"/>
      <c r="BI63" s="136"/>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row>
    <row r="64" spans="1:256">
      <c r="B64">
        <v>19324095</v>
      </c>
      <c r="C64" s="1" t="str">
        <f>IF($B64="","",HYPERLINK(IF(LEN(VLOOKUP($B64,Database!$B$1:$IX$10144,2,FALSE))=0,"",VLOOKUP($B64,Database!$B$1:$IX$10144,2,FALSE))))</f>
        <v/>
      </c>
      <c r="D64" s="1" t="str">
        <f t="shared" si="3"/>
        <v>http://www.ncbi.nlm.nih.gov/pubmed/19324095</v>
      </c>
      <c r="E64" s="22" t="str">
        <f>IF($B64="","",IF(LEN(VLOOKUP($B64,Database!$B$1:$IX$10144,4,FALSE))=0,"",VLOOKUP($B64,Database!$B$1:$IX$10144,4,FALSE)))</f>
        <v>Milne A</v>
      </c>
      <c r="F64" s="22">
        <f>IF($B64="","",IF(LEN(VLOOKUP($B64,Database!$B$1:$IX$10144,5,FALSE))=0,"",VLOOKUP($B64,Database!$B$1:$IX$10144,5,FALSE)))</f>
        <v>2009</v>
      </c>
      <c r="G64" s="1" t="str">
        <f>IF($B64="","",HYPERLINK(IF(LEN(VLOOKUP($B64,Database!$B$1:$IX$10144,6,FALSE))=0,"",VLOOKUP($B64,Database!$B$1:$IX$10144,6,FALSE))))</f>
        <v>http://dx.doi.org/10.1016/j.neuroimage.2009.03.031</v>
      </c>
      <c r="H64" s="22">
        <f>IF($B64="","",IF(LEN(VLOOKUP($B64,Database!$B$1:$IX$10144,7,FALSE))=0,"",VLOOKUP($B64,Database!$B$1:$IX$10144,7,FALSE)))</f>
        <v>28</v>
      </c>
      <c r="I64" s="22">
        <f>IF($B64="","",IF(LEN(VLOOKUP($B64,Database!$B$1:$IX$10144,8,FALSE))=0,"",VLOOKUP($B64,Database!$B$1:$IX$10144,8,FALSE)))</f>
        <v>14</v>
      </c>
      <c r="J64" t="s">
        <v>2388</v>
      </c>
      <c r="K64" t="s">
        <v>687</v>
      </c>
      <c r="L64">
        <v>2159.5</v>
      </c>
      <c r="M64">
        <v>260.8</v>
      </c>
      <c r="N64">
        <v>2438.8000000000002</v>
      </c>
      <c r="O64">
        <v>307.89999999999998</v>
      </c>
      <c r="Y64" s="22" t="str">
        <f>IF(OR($B64="",Y$22=""),"",IF(LEN(VLOOKUP($B64,Database!$B$1:$IX$10144,Y$22,FALSE))=0,"",VLOOKUP($B64,Database!$B$1:$IX$10144,Y$22,FALSE)))</f>
        <v>DSM-IV</v>
      </c>
      <c r="Z64" s="22" t="str">
        <f>IF(OR($B64="",Z$22=""),"",IF(LEN(VLOOKUP($B64,Database!$B$1:$IX$10144,Z$22,FALSE))=0,"",VLOOKUP($B64,Database!$B$1:$IX$10144,Z$22,FALSE)))</f>
        <v>MRI</v>
      </c>
      <c r="AA64" s="22" t="str">
        <f>IF(OR($B64="",AA$22=""),"",IF(LEN(VLOOKUP($B64,Database!$B$1:$IX$10144,AA$22,FALSE))=0,"",VLOOKUP($B64,Database!$B$1:$IX$10144,AA$22,FALSE)))</f>
        <v/>
      </c>
      <c r="AB64" s="214">
        <v>47.29</v>
      </c>
      <c r="AC64" s="214">
        <v>10.59</v>
      </c>
      <c r="AD64" s="22">
        <f>IF(OR($B64="",AD$22=""),"",IF(LEN(VLOOKUP($B64,Database!$B$1:$IX$10144,AD$22,FALSE))=0,"",VLOOKUP($B64,Database!$B$1:$IX$10144,AD$22,FALSE)))</f>
        <v>41.79</v>
      </c>
      <c r="AE64" s="22">
        <f>IF(OR($B64="",AE$22=""),"",IF(LEN(VLOOKUP($B64,Database!$B$1:$IX$10144,AE$22,FALSE))=0,"",VLOOKUP($B64,Database!$B$1:$IX$10144,AE$22,FALSE)))</f>
        <v>12.91</v>
      </c>
      <c r="AF64" s="22">
        <f>IF(OR($B64="",AF$22=""),"",IF(LEN(VLOOKUP($B64,Database!$B$1:$IX$10144,AF$22,FALSE))=0,"",VLOOKUP($B64,Database!$B$1:$IX$10144,AF$22,FALSE)))</f>
        <v>15</v>
      </c>
      <c r="AG64" s="22">
        <f>IF(OR($B64="",AG$22=""),"",IF(LEN(VLOOKUP($B64,Database!$B$1:$IX$10144,AG$22,FALSE))=0,"",VLOOKUP($B64,Database!$B$1:$IX$10144,AG$22,FALSE)))</f>
        <v>10</v>
      </c>
      <c r="AH64" s="22">
        <f>IF(OR($B64="",AH$22=""),"",IF(LEN(VLOOKUP($B64,Database!$B$1:$IX$10144,AH$22,FALSE))=0,"",VLOOKUP($B64,Database!$B$1:$IX$10144,AH$22,FALSE)))</f>
        <v>3</v>
      </c>
      <c r="AI64" s="22">
        <f>IF(OR($B64="",AI$22=""),"",IF(LEN(VLOOKUP($B64,Database!$B$1:$IX$10144,AI$22,FALSE))=0,"",VLOOKUP($B64,Database!$B$1:$IX$10144,AI$22,FALSE)))</f>
        <v>1.2</v>
      </c>
      <c r="AJ64" s="22" t="str">
        <f>IF(OR($B64="",AJ$22=""),"",IF(LEN(VLOOKUP($B64,Database!$B$1:$IX$10144,AJ$22,FALSE))=0,"",VLOOKUP($B64,Database!$B$1:$IX$10144,AJ$22,FALSE)))</f>
        <v/>
      </c>
      <c r="AK64" s="22" t="str">
        <f>IF(OR($B64="",AK$22=""),"",IF(LEN(VLOOKUP($B64,Database!$B$1:$IX$10144,AK$22,FALSE))=0,"",VLOOKUP($B64,Database!$B$1:$IX$10144,AK$22,FALSE)))</f>
        <v>ns</v>
      </c>
      <c r="AL64" s="214">
        <v>8.23</v>
      </c>
      <c r="AM64" s="22">
        <f>IF(OR($B64="",AM$22=""),"",IF(LEN(VLOOKUP($B64,Database!$B$1:$IX$10144,AM$22,FALSE))=0,"",VLOOKUP($B64,Database!$B$1:$IX$10144,AM$22,FALSE)))</f>
        <v>39.285714285714285</v>
      </c>
      <c r="AN64" s="22" t="str">
        <f>IF(OR($B64="",AN$22=""),"",IF(LEN(VLOOKUP($B64,Database!$B$1:$IX$10144,AN$22,FALSE))=0,"",VLOOKUP($B64,Database!$B$1:$IX$10144,AN$22,FALSE)))</f>
        <v>ns</v>
      </c>
      <c r="AO64" s="22">
        <f>IF(OR($B64="",AO$22=""),"",IF(LEN(VLOOKUP($B64,Database!$B$1:$IX$10144,AO$22,FALSE))=0,"",VLOOKUP($B64,Database!$B$1:$IX$10144,AO$22,FALSE)))</f>
        <v>7.1428571428571423</v>
      </c>
      <c r="AP64" s="22">
        <f>IF(OR($B64="",AP$22=""),"",IF(LEN(VLOOKUP($B64,Database!$B$1:$IX$10144,AP$22,FALSE))=0,"",VLOOKUP($B64,Database!$B$1:$IX$10144,AP$22,FALSE)))</f>
        <v>57.142857142857139</v>
      </c>
      <c r="AQ64" s="22" t="str">
        <f>IF(OR($B64="",AQ$22=""),"",IF(LEN(VLOOKUP($B64,Database!$B$1:$IX$10144,AQ$22,FALSE))=0,"",VLOOKUP($B64,Database!$B$1:$IX$10144,AQ$22,FALSE)))</f>
        <v>Milne A, MacQueen GM, Yucel K, Soreni N, Hall GB.</v>
      </c>
      <c r="AR64" s="13"/>
      <c r="AX64" s="13"/>
      <c r="AY64" s="13"/>
      <c r="AZ64" s="13"/>
      <c r="BA64" s="13"/>
      <c r="BC64" s="23"/>
      <c r="BF64" s="136"/>
      <c r="BG64" s="136"/>
      <c r="BH64" s="136"/>
      <c r="BI64" s="136"/>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row>
    <row r="65" spans="1:256">
      <c r="B65">
        <v>20018381</v>
      </c>
      <c r="C65" s="1" t="str">
        <f>IF($B65="","",HYPERLINK(IF(LEN(VLOOKUP($B65,Database!$B$1:$IX$10144,2,FALSE))=0,"",VLOOKUP($B65,Database!$B$1:$IX$10144,2,FALSE))))</f>
        <v/>
      </c>
      <c r="D65" s="1" t="str">
        <f t="shared" si="3"/>
        <v>http://www.ncbi.nlm.nih.gov/pubmed/20018381</v>
      </c>
      <c r="E65" s="22" t="str">
        <f>IF($B65="","",IF(LEN(VLOOKUP($B65,Database!$B$1:$IX$10144,4,FALSE))=0,"",VLOOKUP($B65,Database!$B$1:$IX$10144,4,FALSE)))</f>
        <v>Weber K</v>
      </c>
      <c r="F65" s="22">
        <f>IF($B65="","",IF(LEN(VLOOKUP($B65,Database!$B$1:$IX$10144,5,FALSE))=0,"",VLOOKUP($B65,Database!$B$1:$IX$10144,5,FALSE)))</f>
        <v>2009</v>
      </c>
      <c r="G65" s="1" t="str">
        <f>IF($B65="","",HYPERLINK(IF(LEN(VLOOKUP($B65,Database!$B$1:$IX$10144,6,FALSE))=0,"",VLOOKUP($B65,Database!$B$1:$IX$10144,6,FALSE))))</f>
        <v>http://dx.doi.org/10.1016/j.jad.2009.11.016</v>
      </c>
      <c r="H65" s="22">
        <f>IF($B65="","",IF(LEN(VLOOKUP($B65,Database!$B$1:$IX$10144,7,FALSE))=0,"",VLOOKUP($B65,Database!$B$1:$IX$10144,7,FALSE)))</f>
        <v>38</v>
      </c>
      <c r="I65" s="22">
        <f>IF($B65="","",IF(LEN(VLOOKUP($B65,Database!$B$1:$IX$10144,8,FALSE))=0,"",VLOOKUP($B65,Database!$B$1:$IX$10144,8,FALSE)))</f>
        <v>62</v>
      </c>
      <c r="J65" t="s">
        <v>2389</v>
      </c>
      <c r="L65">
        <v>1.74</v>
      </c>
      <c r="M65">
        <v>0.23</v>
      </c>
      <c r="N65">
        <v>1.76</v>
      </c>
      <c r="O65">
        <v>0.26</v>
      </c>
      <c r="P65">
        <v>1.83</v>
      </c>
      <c r="Q65">
        <v>0.23</v>
      </c>
      <c r="R65">
        <v>1.87</v>
      </c>
      <c r="S65">
        <v>0.27</v>
      </c>
      <c r="T65">
        <v>3.58</v>
      </c>
      <c r="U65">
        <v>0.45</v>
      </c>
      <c r="V65">
        <v>3.63</v>
      </c>
      <c r="W65">
        <v>0.52</v>
      </c>
      <c r="Y65" s="22" t="str">
        <f>IF(OR($B65="",Y$22=""),"",IF(LEN(VLOOKUP($B65,Database!$B$1:$IX$10144,Y$22,FALSE))=0,"",VLOOKUP($B65,Database!$B$1:$IX$10144,Y$22,FALSE)))</f>
        <v>DSM-IV</v>
      </c>
      <c r="Z65" s="22" t="str">
        <f>IF(OR($B65="",Z$22=""),"",IF(LEN(VLOOKUP($B65,Database!$B$1:$IX$10144,Z$22,FALSE))=0,"",VLOOKUP($B65,Database!$B$1:$IX$10144,Z$22,FALSE)))</f>
        <v>MRI</v>
      </c>
      <c r="AA65" s="22" t="str">
        <f>IF(OR($B65="",AA$22=""),"",IF(LEN(VLOOKUP($B65,Database!$B$1:$IX$10144,AA$22,FALSE))=0,"",VLOOKUP($B65,Database!$B$1:$IX$10144,AA$22,FALSE)))</f>
        <v/>
      </c>
      <c r="AB65" s="22">
        <f>IF(OR($B65="",AB$22=""),"",IF(LEN(VLOOKUP($B65,Database!$B$1:$IX$10144,AB$22,FALSE))=0,"",VLOOKUP($B65,Database!$B$1:$IX$10144,AB$22,FALSE)))</f>
        <v>66.11</v>
      </c>
      <c r="AC65" s="22">
        <f>IF(OR($B65="",AC$22=""),"",IF(LEN(VLOOKUP($B65,Database!$B$1:$IX$10144,AC$22,FALSE))=0,"",VLOOKUP($B65,Database!$B$1:$IX$10144,AC$22,FALSE)))</f>
        <v>6.22</v>
      </c>
      <c r="AD65" s="22">
        <f>IF(OR($B65="",AD$22=""),"",IF(LEN(VLOOKUP($B65,Database!$B$1:$IX$10144,AD$22,FALSE))=0,"",VLOOKUP($B65,Database!$B$1:$IX$10144,AD$22,FALSE)))</f>
        <v>71.099999999999994</v>
      </c>
      <c r="AE65" s="22">
        <f>IF(OR($B65="",AE$22=""),"",IF(LEN(VLOOKUP($B65,Database!$B$1:$IX$10144,AE$22,FALSE))=0,"",VLOOKUP($B65,Database!$B$1:$IX$10144,AE$22,FALSE)))</f>
        <v>7.26</v>
      </c>
      <c r="AF65" s="22">
        <f>IF(OR($B65="",AF$22=""),"",IF(LEN(VLOOKUP($B65,Database!$B$1:$IX$10144,AF$22,FALSE))=0,"",VLOOKUP($B65,Database!$B$1:$IX$10144,AF$22,FALSE)))</f>
        <v>31</v>
      </c>
      <c r="AG65" s="22">
        <f>IF(OR($B65="",AG$22=""),"",IF(LEN(VLOOKUP($B65,Database!$B$1:$IX$10144,AG$22,FALSE))=0,"",VLOOKUP($B65,Database!$B$1:$IX$10144,AG$22,FALSE)))</f>
        <v>48</v>
      </c>
      <c r="AH65" s="22">
        <f>IF(OR($B65="",AH$22=""),"",IF(LEN(VLOOKUP($B65,Database!$B$1:$IX$10144,AH$22,FALSE))=0,"",VLOOKUP($B65,Database!$B$1:$IX$10144,AH$22,FALSE)))</f>
        <v>3</v>
      </c>
      <c r="AI65" s="22">
        <f>IF(OR($B65="",AI$22=""),"",IF(LEN(VLOOKUP($B65,Database!$B$1:$IX$10144,AI$22,FALSE))=0,"",VLOOKUP($B65,Database!$B$1:$IX$10144,AI$22,FALSE)))</f>
        <v>0.9</v>
      </c>
      <c r="AJ65" s="22" t="str">
        <f>IF(OR($B65="",AJ$22=""),"",IF(LEN(VLOOKUP($B65,Database!$B$1:$IX$10144,AJ$22,FALSE))=0,"",VLOOKUP($B65,Database!$B$1:$IX$10144,AJ$22,FALSE)))</f>
        <v/>
      </c>
      <c r="AK65" s="22">
        <f>IF(OR($B65="",AK$22=""),"",IF(LEN(VLOOKUP($B65,Database!$B$1:$IX$10144,AK$22,FALSE))=0,"",VLOOKUP($B65,Database!$B$1:$IX$10144,AK$22,FALSE)))</f>
        <v>37.76</v>
      </c>
      <c r="AL65" s="22" t="str">
        <f>IF(OR($B65="",AL$22=""),"",IF(LEN(VLOOKUP($B65,Database!$B$1:$IX$10144,AL$22,FALSE))=0,"",VLOOKUP($B65,Database!$B$1:$IX$10144,AL$22,FALSE)))</f>
        <v>ns</v>
      </c>
      <c r="AM65" s="22">
        <f>IF(OR($B65="",AM$22=""),"",IF(LEN(VLOOKUP($B65,Database!$B$1:$IX$10144,AM$22,FALSE))=0,"",VLOOKUP($B65,Database!$B$1:$IX$10144,AM$22,FALSE)))</f>
        <v>47.368421052631575</v>
      </c>
      <c r="AN65" s="22" t="str">
        <f>IF(OR($B65="",AN$22=""),"",IF(LEN(VLOOKUP($B65,Database!$B$1:$IX$10144,AN$22,FALSE))=0,"",VLOOKUP($B65,Database!$B$1:$IX$10144,AN$22,FALSE)))</f>
        <v>ns</v>
      </c>
      <c r="AO65" s="22" t="str">
        <f>IF(OR($B65="",AO$22=""),"",IF(LEN(VLOOKUP($B65,Database!$B$1:$IX$10144,AO$22,FALSE))=0,"",VLOOKUP($B65,Database!$B$1:$IX$10144,AO$22,FALSE)))</f>
        <v>ns</v>
      </c>
      <c r="AP65" s="22" t="str">
        <f>IF(OR($B65="",AP$22=""),"",IF(LEN(VLOOKUP($B65,Database!$B$1:$IX$10144,AP$22,FALSE))=0,"",VLOOKUP($B65,Database!$B$1:$IX$10144,AP$22,FALSE)))</f>
        <v>ns</v>
      </c>
      <c r="AQ65" s="22" t="str">
        <f>IF(OR($B65="",AQ$22=""),"",IF(LEN(VLOOKUP($B65,Database!$B$1:$IX$10144,AQ$22,FALSE))=0,"",VLOOKUP($B65,Database!$B$1:$IX$10144,AQ$22,FALSE)))</f>
        <v>Weber K, Giannakopoulos P, Delaloye C, de Bilbao F, Moy G, Moussa A, Rubio MM, Ebbing K, Meuli R, Lazeyras F, Meiler-Mititelu C, Herrmann FR, Gold G, Canuto A.</v>
      </c>
      <c r="AR65" s="13"/>
      <c r="AX65" s="13"/>
      <c r="AY65" s="13"/>
      <c r="AZ65" s="13"/>
      <c r="BA65" s="13"/>
      <c r="BC65" s="23"/>
      <c r="BF65" s="136"/>
      <c r="BG65" s="136"/>
      <c r="BH65" s="136"/>
      <c r="BI65" s="136"/>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row>
    <row r="66" spans="1:256">
      <c r="C66" s="1" t="str">
        <f>IF($B66="","",HYPERLINK(IF(LEN(VLOOKUP($B66,Database!$B$1:$IX$10144,2,FALSE))=0,"",VLOOKUP($B66,Database!$B$1:$IX$10144,2,FALSE))))</f>
        <v/>
      </c>
      <c r="D66" s="1" t="str">
        <f t="shared" si="3"/>
        <v/>
      </c>
      <c r="E66" s="22" t="str">
        <f>IF($B66="","",IF(LEN(VLOOKUP($B66,Database!$B$1:$IX$10144,4,FALSE))=0,"",VLOOKUP($B66,Database!$B$1:$IX$10144,4,FALSE)))</f>
        <v/>
      </c>
      <c r="F66" s="22" t="str">
        <f>IF($B66="","",IF(LEN(VLOOKUP($B66,Database!$B$1:$IX$10144,5,FALSE))=0,"",VLOOKUP($B66,Database!$B$1:$IX$10144,5,FALSE)))</f>
        <v/>
      </c>
      <c r="G66" s="1" t="str">
        <f>IF($B66="","",HYPERLINK(IF(LEN(VLOOKUP($B66,Database!$B$1:$IX$10144,6,FALSE))=0,"",VLOOKUP($B66,Database!$B$1:$IX$10144,6,FALSE))))</f>
        <v/>
      </c>
      <c r="H66" s="22" t="str">
        <f>IF($B66="","",IF(LEN(VLOOKUP($B66,Database!$B$1:$IX$10144,7,FALSE))=0,"",VLOOKUP($B66,Database!$B$1:$IX$10144,7,FALSE)))</f>
        <v/>
      </c>
      <c r="I66" s="22" t="str">
        <f>IF($B66="","",IF(LEN(VLOOKUP($B66,Database!$B$1:$IX$10144,8,FALSE))=0,"",VLOOKUP($B66,Database!$B$1:$IX$10144,8,FALSE)))</f>
        <v/>
      </c>
      <c r="Y66" s="22" t="str">
        <f>IF(OR($B66="",Y$22=""),"",IF(LEN(VLOOKUP($B66,Database!$B$1:$IX$10144,Y$22,FALSE))=0,"",VLOOKUP($B66,Database!$B$1:$IX$10144,Y$22,FALSE)))</f>
        <v/>
      </c>
      <c r="Z66" s="22" t="str">
        <f>IF(OR($B66="",Z$22=""),"",IF(LEN(VLOOKUP($B66,Database!$B$1:$IX$10144,Z$22,FALSE))=0,"",VLOOKUP($B66,Database!$B$1:$IX$10144,Z$22,FALSE)))</f>
        <v/>
      </c>
      <c r="AA66" s="22" t="str">
        <f>IF(OR($B66="",AA$22=""),"",IF(LEN(VLOOKUP($B66,Database!$B$1:$IX$10144,AA$22,FALSE))=0,"",VLOOKUP($B66,Database!$B$1:$IX$10144,AA$22,FALSE)))</f>
        <v/>
      </c>
      <c r="AB66" s="22" t="str">
        <f>IF(OR($B66="",AB$22=""),"",IF(LEN(VLOOKUP($B66,Database!$B$1:$IX$10144,AB$22,FALSE))=0,"",VLOOKUP($B66,Database!$B$1:$IX$10144,AB$22,FALSE)))</f>
        <v/>
      </c>
      <c r="AC66" s="22" t="str">
        <f>IF(OR($B66="",AC$22=""),"",IF(LEN(VLOOKUP($B66,Database!$B$1:$IX$10144,AC$22,FALSE))=0,"",VLOOKUP($B66,Database!$B$1:$IX$10144,AC$22,FALSE)))</f>
        <v/>
      </c>
      <c r="AD66" s="22" t="str">
        <f>IF(OR($B66="",AD$22=""),"",IF(LEN(VLOOKUP($B66,Database!$B$1:$IX$10144,AD$22,FALSE))=0,"",VLOOKUP($B66,Database!$B$1:$IX$10144,AD$22,FALSE)))</f>
        <v/>
      </c>
      <c r="AE66" s="22" t="str">
        <f>IF(OR($B66="",AE$22=""),"",IF(LEN(VLOOKUP($B66,Database!$B$1:$IX$10144,AE$22,FALSE))=0,"",VLOOKUP($B66,Database!$B$1:$IX$10144,AE$22,FALSE)))</f>
        <v/>
      </c>
      <c r="AF66" s="22" t="str">
        <f>IF(OR($B66="",AF$22=""),"",IF(LEN(VLOOKUP($B66,Database!$B$1:$IX$10144,AF$22,FALSE))=0,"",VLOOKUP($B66,Database!$B$1:$IX$10144,AF$22,FALSE)))</f>
        <v/>
      </c>
      <c r="AG66" s="22" t="str">
        <f>IF(OR($B66="",AG$22=""),"",IF(LEN(VLOOKUP($B66,Database!$B$1:$IX$10144,AG$22,FALSE))=0,"",VLOOKUP($B66,Database!$B$1:$IX$10144,AG$22,FALSE)))</f>
        <v/>
      </c>
      <c r="AH66" s="22"/>
      <c r="AI66" s="22"/>
      <c r="AJ66" s="22" t="str">
        <f>IF(OR($B66="",AJ$22=""),"",IF(LEN(VLOOKUP($B66,Database!$B$1:$IX$10144,AJ$22,FALSE))=0,"",VLOOKUP($B66,Database!$B$1:$IX$10144,AJ$22,FALSE)))</f>
        <v/>
      </c>
      <c r="AK66" s="22" t="str">
        <f>IF(OR($B66="",AK$22=""),"",IF(LEN(VLOOKUP($B66,Database!$B$1:$IX$10144,AK$22,FALSE))=0,"",VLOOKUP($B66,Database!$B$1:$IX$10144,AK$22,FALSE)))</f>
        <v/>
      </c>
      <c r="AL66" s="22" t="str">
        <f>IF(OR($B66="",AL$22=""),"",IF(LEN(VLOOKUP($B66,Database!$B$1:$IX$10144,AL$22,FALSE))=0,"",VLOOKUP($B66,Database!$B$1:$IX$10144,AL$22,FALSE)))</f>
        <v/>
      </c>
      <c r="AM66" s="22" t="str">
        <f>IF(OR($B66="",AM$22=""),"",IF(LEN(VLOOKUP($B66,Database!$B$1:$IX$10144,AM$22,FALSE))=0,"",VLOOKUP($B66,Database!$B$1:$IX$10144,AM$22,FALSE)))</f>
        <v/>
      </c>
      <c r="AN66" s="22" t="str">
        <f>IF(OR($B66="",AN$22=""),"",IF(LEN(VLOOKUP($B66,Database!$B$1:$IX$10144,AN$22,FALSE))=0,"",VLOOKUP($B66,Database!$B$1:$IX$10144,AN$22,FALSE)))</f>
        <v/>
      </c>
      <c r="AO66" s="22" t="str">
        <f>IF(OR($B66="",AO$22=""),"",IF(LEN(VLOOKUP($B66,Database!$B$1:$IX$10144,AO$22,FALSE))=0,"",VLOOKUP($B66,Database!$B$1:$IX$10144,AO$22,FALSE)))</f>
        <v/>
      </c>
      <c r="AP66" s="22" t="str">
        <f>IF(OR($B66="",AP$22=""),"",IF(LEN(VLOOKUP($B66,Database!$B$1:$IX$10144,AP$22,FALSE))=0,"",VLOOKUP($B66,Database!$B$1:$IX$10144,AP$22,FALSE)))</f>
        <v/>
      </c>
      <c r="AQ66" s="22" t="str">
        <f>IF(OR($B66="",AQ$22=""),"",IF(LEN(VLOOKUP($B66,Database!$B$1:$IX$10144,AQ$22,FALSE))=0,"",VLOOKUP($B66,Database!$B$1:$IX$10144,AQ$22,FALSE)))</f>
        <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row>
    <row r="67" spans="1:256">
      <c r="C67" s="1"/>
      <c r="D67" s="1"/>
      <c r="E67" s="22"/>
      <c r="F67" s="22"/>
      <c r="G67" s="1"/>
      <c r="H67" s="83"/>
      <c r="I67" s="22"/>
      <c r="Y67" s="22"/>
      <c r="Z67" s="22"/>
      <c r="AA67" s="22"/>
      <c r="AB67" s="22"/>
      <c r="AC67" s="22"/>
      <c r="AD67" s="22"/>
      <c r="AE67" s="22"/>
      <c r="AF67" s="22"/>
      <c r="AG67" s="22"/>
      <c r="AH67" s="22"/>
      <c r="AI67" s="22"/>
      <c r="AJ67" s="22"/>
      <c r="AK67" s="22"/>
      <c r="AL67" s="22"/>
      <c r="AM67" s="22"/>
      <c r="AN67" s="22"/>
      <c r="AO67" s="22"/>
      <c r="AP67" s="22"/>
      <c r="AQ67" s="22"/>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row>
    <row r="68" spans="1:256">
      <c r="C68" s="1"/>
      <c r="D68" s="1"/>
      <c r="E68" s="22"/>
      <c r="F68" s="22"/>
      <c r="G68" s="1"/>
      <c r="H68" s="83"/>
      <c r="I68" s="22"/>
      <c r="Y68" s="22"/>
      <c r="Z68" s="22"/>
      <c r="AA68" s="22"/>
      <c r="AB68" s="22"/>
      <c r="AC68" s="22"/>
      <c r="AD68" s="22"/>
      <c r="AE68" s="22"/>
      <c r="AF68" s="22"/>
      <c r="AG68" s="22"/>
      <c r="AH68" s="22"/>
      <c r="AI68" s="22"/>
      <c r="AJ68" s="22"/>
      <c r="AK68" s="22"/>
      <c r="AL68" s="22"/>
      <c r="AM68" s="22"/>
      <c r="AN68" s="22"/>
      <c r="AO68" s="22"/>
      <c r="AP68" s="22"/>
      <c r="AQ68" s="22"/>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row>
    <row r="69" spans="1:256">
      <c r="C69" s="1"/>
      <c r="D69" s="1"/>
      <c r="E69" s="22"/>
      <c r="F69" s="22"/>
      <c r="G69" s="1"/>
      <c r="H69" s="83"/>
      <c r="I69" s="22"/>
      <c r="Y69" s="22"/>
      <c r="Z69" s="22"/>
      <c r="AA69" s="22"/>
      <c r="AB69" s="22"/>
      <c r="AC69" s="22"/>
      <c r="AD69" s="22"/>
      <c r="AE69" s="22"/>
      <c r="AF69" s="22"/>
      <c r="AG69" s="22"/>
      <c r="AH69" s="22"/>
      <c r="AI69" s="22"/>
      <c r="AJ69" s="22"/>
      <c r="AK69" s="22"/>
      <c r="AL69" s="22"/>
      <c r="AM69" s="22"/>
      <c r="AN69" s="22"/>
      <c r="AO69" s="22"/>
      <c r="AP69" s="22"/>
      <c r="AQ69" s="22"/>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row>
    <row r="70" spans="1:256">
      <c r="A70" s="4" t="s">
        <v>1510</v>
      </c>
      <c r="C70" s="1" t="str">
        <f>IF($B70="","",HYPERLINK(IF(LEN(VLOOKUP($B70,Database!$B$1:$IX$10144,2,FALSE))=0,"",VLOOKUP($B70,Database!$B$1:$IX$10144,2,FALSE))))</f>
        <v/>
      </c>
      <c r="D70" s="1" t="str">
        <f t="shared" ref="D70:D86" si="4">IF($B70="","",HYPERLINK(CONCATENATE("http://www.ncbi.nlm.nih.gov/pubmed/",B70)))</f>
        <v/>
      </c>
      <c r="E70" s="22" t="str">
        <f>IF($B70="","",IF(LEN(VLOOKUP($B70,Database!$B$1:$IX$10144,4,FALSE))=0,"",VLOOKUP($B70,Database!$B$1:$IX$10144,4,FALSE)))</f>
        <v/>
      </c>
      <c r="F70" s="22" t="str">
        <f>IF($B70="","",IF(LEN(VLOOKUP($B70,Database!$B$1:$IX$10144,5,FALSE))=0,"",VLOOKUP($B70,Database!$B$1:$IX$10144,5,FALSE)))</f>
        <v/>
      </c>
      <c r="G70" s="1" t="str">
        <f>IF($B70="","",HYPERLINK(IF(LEN(VLOOKUP($B70,Database!$B$1:$IX$10144,6,FALSE))=0,"",VLOOKUP($B70,Database!$B$1:$IX$10144,6,FALSE))))</f>
        <v/>
      </c>
      <c r="H70" s="22" t="str">
        <f>IF($B70="","",IF(LEN(VLOOKUP($B70,Database!$B$1:$IX$10144,7,FALSE))=0,"",VLOOKUP($B70,Database!$B$1:$IX$10144,7,FALSE)))</f>
        <v/>
      </c>
      <c r="I70" s="22" t="str">
        <f>IF($B70="","",IF(LEN(VLOOKUP($B70,Database!$B$1:$IX$10144,8,FALSE))=0,"",VLOOKUP($B70,Database!$B$1:$IX$10144,8,FALSE)))</f>
        <v/>
      </c>
      <c r="Y70" s="22" t="str">
        <f>IF(OR($B70="",Y$22=""),"",IF(LEN(VLOOKUP($B70,Database!$B$1:$IX$10144,Y$22,FALSE))=0,"",VLOOKUP($B70,Database!$B$1:$IX$10144,Y$22,FALSE)))</f>
        <v/>
      </c>
      <c r="Z70" s="22" t="str">
        <f>IF(OR($B70="",Z$22=""),"",IF(LEN(VLOOKUP($B70,Database!$B$1:$IX$10144,Z$22,FALSE))=0,"",VLOOKUP($B70,Database!$B$1:$IX$10144,Z$22,FALSE)))</f>
        <v/>
      </c>
      <c r="AA70" s="22" t="str">
        <f>IF(OR($B70="",AA$22=""),"",IF(LEN(VLOOKUP($B70,Database!$B$1:$IX$10144,AA$22,FALSE))=0,"",VLOOKUP($B70,Database!$B$1:$IX$10144,AA$22,FALSE)))</f>
        <v/>
      </c>
      <c r="AB70" s="22" t="str">
        <f>IF(OR($B70="",AB$22=""),"",IF(LEN(VLOOKUP($B70,Database!$B$1:$IX$10144,AB$22,FALSE))=0,"",VLOOKUP($B70,Database!$B$1:$IX$10144,AB$22,FALSE)))</f>
        <v/>
      </c>
      <c r="AC70" s="22" t="str">
        <f>IF(OR($B70="",AC$22=""),"",IF(LEN(VLOOKUP($B70,Database!$B$1:$IX$10144,AC$22,FALSE))=0,"",VLOOKUP($B70,Database!$B$1:$IX$10144,AC$22,FALSE)))</f>
        <v/>
      </c>
      <c r="AD70" s="22" t="str">
        <f>IF(OR($B70="",AD$22=""),"",IF(LEN(VLOOKUP($B70,Database!$B$1:$IX$10144,AD$22,FALSE))=0,"",VLOOKUP($B70,Database!$B$1:$IX$10144,AD$22,FALSE)))</f>
        <v/>
      </c>
      <c r="AE70" s="22" t="str">
        <f>IF(OR($B70="",AE$22=""),"",IF(LEN(VLOOKUP($B70,Database!$B$1:$IX$10144,AE$22,FALSE))=0,"",VLOOKUP($B70,Database!$B$1:$IX$10144,AE$22,FALSE)))</f>
        <v/>
      </c>
      <c r="AF70" s="22" t="str">
        <f>IF(OR($B70="",AF$22=""),"",IF(LEN(VLOOKUP($B70,Database!$B$1:$IX$10144,AF$22,FALSE))=0,"",VLOOKUP($B70,Database!$B$1:$IX$10144,AF$22,FALSE)))</f>
        <v/>
      </c>
      <c r="AG70" s="22" t="str">
        <f>IF(OR($B70="",AG$22=""),"",IF(LEN(VLOOKUP($B70,Database!$B$1:$IX$10144,AG$22,FALSE))=0,"",VLOOKUP($B70,Database!$B$1:$IX$10144,AG$22,FALSE)))</f>
        <v/>
      </c>
      <c r="AH70" s="22" t="str">
        <f>IF(OR($B70="",AH$22=""),"",IF(LEN(VLOOKUP($B70,Database!$B$1:$IX$10144,AH$22,FALSE))=0,"",VLOOKUP($B70,Database!$B$1:$IX$10144,AH$22,FALSE)))</f>
        <v/>
      </c>
      <c r="AI70" s="22" t="str">
        <f>IF(OR($B70="",AI$22=""),"",IF(LEN(VLOOKUP($B70,Database!$B$1:$IX$10144,AI$22,FALSE))=0,"",VLOOKUP($B70,Database!$B$1:$IX$10144,AI$22,FALSE)))</f>
        <v/>
      </c>
      <c r="AJ70" s="22" t="str">
        <f>IF(OR($B70="",AJ$22=""),"",IF(LEN(VLOOKUP($B70,Database!$B$1:$IX$10144,AJ$22,FALSE))=0,"",VLOOKUP($B70,Database!$B$1:$IX$10144,AJ$22,FALSE)))</f>
        <v/>
      </c>
      <c r="AK70" s="22" t="str">
        <f>IF(OR($B70="",AK$22=""),"",IF(LEN(VLOOKUP($B70,Database!$B$1:$IX$10144,AK$22,FALSE))=0,"",VLOOKUP($B70,Database!$B$1:$IX$10144,AK$22,FALSE)))</f>
        <v/>
      </c>
      <c r="AL70" s="22" t="str">
        <f>IF(OR($B70="",AL$22=""),"",IF(LEN(VLOOKUP($B70,Database!$B$1:$IX$10144,AL$22,FALSE))=0,"",VLOOKUP($B70,Database!$B$1:$IX$10144,AL$22,FALSE)))</f>
        <v/>
      </c>
      <c r="AM70" s="22" t="str">
        <f>IF(OR($B70="",AM$22=""),"",IF(LEN(VLOOKUP($B70,Database!$B$1:$IX$10144,AM$22,FALSE))=0,"",VLOOKUP($B70,Database!$B$1:$IX$10144,AM$22,FALSE)))</f>
        <v/>
      </c>
      <c r="AN70" s="22" t="str">
        <f>IF(OR($B70="",AN$22=""),"",IF(LEN(VLOOKUP($B70,Database!$B$1:$IX$10144,AN$22,FALSE))=0,"",VLOOKUP($B70,Database!$B$1:$IX$10144,AN$22,FALSE)))</f>
        <v/>
      </c>
      <c r="AO70" s="22" t="str">
        <f>IF(OR($B70="",AO$22=""),"",IF(LEN(VLOOKUP($B70,Database!$B$1:$IX$10144,AO$22,FALSE))=0,"",VLOOKUP($B70,Database!$B$1:$IX$10144,AO$22,FALSE)))</f>
        <v/>
      </c>
      <c r="AP70" s="22" t="str">
        <f>IF(OR($B70="",AP$22=""),"",IF(LEN(VLOOKUP($B70,Database!$B$1:$IX$10144,AP$22,FALSE))=0,"",VLOOKUP($B70,Database!$B$1:$IX$10144,AP$22,FALSE)))</f>
        <v/>
      </c>
      <c r="AQ70" s="22" t="str">
        <f>IF(OR($B70="",AQ$22=""),"",IF(LEN(VLOOKUP($B70,Database!$B$1:$IX$10144,AQ$22,FALSE))=0,"",VLOOKUP($B70,Database!$B$1:$IX$10144,AQ$22,FALSE)))</f>
        <v/>
      </c>
    </row>
    <row r="71" spans="1:256">
      <c r="A71" s="10" t="s">
        <v>418</v>
      </c>
      <c r="B71">
        <v>8632988</v>
      </c>
      <c r="C71" s="1" t="str">
        <f>IF($B71="","",HYPERLINK(IF(LEN(VLOOKUP($B71,Database!$B$1:$IX$10144,2,FALSE))=0,"",VLOOKUP($B71,Database!$B$1:$IX$10144,2,FALSE))))</f>
        <v/>
      </c>
      <c r="D71" s="1" t="str">
        <f t="shared" si="4"/>
        <v>http://www.ncbi.nlm.nih.gov/pubmed/8632988</v>
      </c>
      <c r="E71" s="22" t="str">
        <f>IF($B71="","",IF(LEN(VLOOKUP($B71,Database!$B$1:$IX$10144,4,FALSE))=0,"",VLOOKUP($B71,Database!$B$1:$IX$10144,4,FALSE)))</f>
        <v>Sheline YI</v>
      </c>
      <c r="F71" s="22">
        <f>IF($B71="","",IF(LEN(VLOOKUP($B71,Database!$B$1:$IX$10144,5,FALSE))=0,"",VLOOKUP($B71,Database!$B$1:$IX$10144,5,FALSE)))</f>
        <v>1996</v>
      </c>
      <c r="G71" s="1" t="str">
        <f>IF($B71="","",HYPERLINK(IF(LEN(VLOOKUP($B71,Database!$B$1:$IX$10144,6,FALSE))=0,"",VLOOKUP($B71,Database!$B$1:$IX$10144,6,FALSE))))</f>
        <v>http://www.pnas.org/content/93/9/3908</v>
      </c>
      <c r="H71" s="22">
        <f>IF($B71="","",IF(LEN(VLOOKUP($B71,Database!$B$1:$IX$10144,7,FALSE))=0,"",VLOOKUP($B71,Database!$B$1:$IX$10144,7,FALSE)))</f>
        <v>10</v>
      </c>
      <c r="I71" s="22">
        <f>IF($B71="","",IF(LEN(VLOOKUP($B71,Database!$B$1:$IX$10144,8,FALSE))=0,"",VLOOKUP($B71,Database!$B$1:$IX$10144,8,FALSE)))</f>
        <v>10</v>
      </c>
      <c r="J71" t="s">
        <v>939</v>
      </c>
      <c r="L71">
        <v>2159</v>
      </c>
      <c r="M71">
        <v>301</v>
      </c>
      <c r="N71">
        <v>2544</v>
      </c>
      <c r="O71">
        <v>333</v>
      </c>
      <c r="P71">
        <v>2283</v>
      </c>
      <c r="Q71">
        <v>324</v>
      </c>
      <c r="R71">
        <v>2577</v>
      </c>
      <c r="S71">
        <v>259</v>
      </c>
      <c r="Y71" s="22" t="str">
        <f>IF(OR($B71="",Y$22=""),"",IF(LEN(VLOOKUP($B71,Database!$B$1:$IX$10144,Y$22,FALSE))=0,"",VLOOKUP($B71,Database!$B$1:$IX$10144,Y$22,FALSE)))</f>
        <v>DSM-IV</v>
      </c>
      <c r="Z71" s="22" t="str">
        <f>IF(OR($B71="",Z$22=""),"",IF(LEN(VLOOKUP($B71,Database!$B$1:$IX$10144,Z$22,FALSE))=0,"",VLOOKUP($B71,Database!$B$1:$IX$10144,Z$22,FALSE)))</f>
        <v>MRI</v>
      </c>
      <c r="AA71" s="22" t="str">
        <f>IF(OR($B71="",AA$22=""),"",IF(LEN(VLOOKUP($B71,Database!$B$1:$IX$10144,AA$22,FALSE))=0,"",VLOOKUP($B71,Database!$B$1:$IX$10144,AA$22,FALSE)))</f>
        <v/>
      </c>
      <c r="AB71" s="22">
        <f>IF(OR($B71="",AB$22=""),"",IF(LEN(VLOOKUP($B71,Database!$B$1:$IX$10144,AB$22,FALSE))=0,"",VLOOKUP($B71,Database!$B$1:$IX$10144,AB$22,FALSE)))</f>
        <v>68.5</v>
      </c>
      <c r="AC71" s="22">
        <f>IF(OR($B71="",AC$22=""),"",IF(LEN(VLOOKUP($B71,Database!$B$1:$IX$10144,AC$22,FALSE))=0,"",VLOOKUP($B71,Database!$B$1:$IX$10144,AC$22,FALSE)))</f>
        <v>10.4</v>
      </c>
      <c r="AD71" s="22">
        <f>IF(OR($B71="",AD$22=""),"",IF(LEN(VLOOKUP($B71,Database!$B$1:$IX$10144,AD$22,FALSE))=0,"",VLOOKUP($B71,Database!$B$1:$IX$10144,AD$22,FALSE)))</f>
        <v>68</v>
      </c>
      <c r="AE71" s="22">
        <f>IF(OR($B71="",AE$22=""),"",IF(LEN(VLOOKUP($B71,Database!$B$1:$IX$10144,AE$22,FALSE))=0,"",VLOOKUP($B71,Database!$B$1:$IX$10144,AE$22,FALSE)))</f>
        <v>9.5</v>
      </c>
      <c r="AF71" s="22">
        <f>IF(OR($B71="",AF$22=""),"",IF(LEN(VLOOKUP($B71,Database!$B$1:$IX$10144,AF$22,FALSE))=0,"",VLOOKUP($B71,Database!$B$1:$IX$10144,AF$22,FALSE)))</f>
        <v>10</v>
      </c>
      <c r="AG71" s="22">
        <f>IF(OR($B71="",AG$22=""),"",IF(LEN(VLOOKUP($B71,Database!$B$1:$IX$10144,AG$22,FALSE))=0,"",VLOOKUP($B71,Database!$B$1:$IX$10144,AG$22,FALSE)))</f>
        <v>10</v>
      </c>
      <c r="AH71" s="22"/>
      <c r="AI71" s="22"/>
      <c r="AJ71" s="22" t="str">
        <f>IF(OR($B71="",AJ$22=""),"",IF(LEN(VLOOKUP($B71,Database!$B$1:$IX$10144,AJ$22,FALSE))=0,"",VLOOKUP($B71,Database!$B$1:$IX$10144,AJ$22,FALSE)))</f>
        <v/>
      </c>
      <c r="AK71" s="22" t="str">
        <f>IF(OR($B71="",AK$22=""),"",IF(LEN(VLOOKUP($B71,Database!$B$1:$IX$10144,AK$22,FALSE))=0,"",VLOOKUP($B71,Database!$B$1:$IX$10144,AK$22,FALSE)))</f>
        <v>ns</v>
      </c>
      <c r="AL71" s="22" t="str">
        <f>IF(OR($B71="",AL$22=""),"",IF(LEN(VLOOKUP($B71,Database!$B$1:$IX$10144,AL$22,FALSE))=0,"",VLOOKUP($B71,Database!$B$1:$IX$10144,AL$22,FALSE)))</f>
        <v>ns</v>
      </c>
      <c r="AM71" s="22">
        <f>IF(OR($B71="",AM$22=""),"",IF(LEN(VLOOKUP($B71,Database!$B$1:$IX$10144,AM$22,FALSE))=0,"",VLOOKUP($B71,Database!$B$1:$IX$10144,AM$22,FALSE)))</f>
        <v>80</v>
      </c>
      <c r="AN71" s="22" t="str">
        <f>IF(OR($B71="",AN$22=""),"",IF(LEN(VLOOKUP($B71,Database!$B$1:$IX$10144,AN$22,FALSE))=0,"",VLOOKUP($B71,Database!$B$1:$IX$10144,AN$22,FALSE)))</f>
        <v/>
      </c>
      <c r="AO71" s="22" t="str">
        <f>IF(OR($B71="",AO$22=""),"",IF(LEN(VLOOKUP($B71,Database!$B$1:$IX$10144,AO$22,FALSE))=0,"",VLOOKUP($B71,Database!$B$1:$IX$10144,AO$22,FALSE)))</f>
        <v/>
      </c>
      <c r="AP71" s="22" t="str">
        <f>IF(OR($B71="",AP$22=""),"",IF(LEN(VLOOKUP($B71,Database!$B$1:$IX$10144,AP$22,FALSE))=0,"",VLOOKUP($B71,Database!$B$1:$IX$10144,AP$22,FALSE)))</f>
        <v/>
      </c>
      <c r="AQ71" s="22" t="str">
        <f>IF(OR($B71="",AQ$22=""),"",IF(LEN(VLOOKUP($B71,Database!$B$1:$IX$10144,AQ$22,FALSE))=0,"",VLOOKUP($B71,Database!$B$1:$IX$10144,AQ$22,FALSE)))</f>
        <v>Sheline YI, Wang PW, Gado MH, Csernansky JG, Vannier MW.</v>
      </c>
    </row>
    <row r="72" spans="1:256">
      <c r="A72" s="10" t="s">
        <v>418</v>
      </c>
      <c r="B72">
        <v>10366636</v>
      </c>
      <c r="C72" s="1" t="str">
        <f>IF($B72="","",HYPERLINK(IF(LEN(VLOOKUP($B72,Database!$B$1:$IX$10144,2,FALSE))=0,"",VLOOKUP($B72,Database!$B$1:$IX$10144,2,FALSE))))</f>
        <v/>
      </c>
      <c r="D72" s="1" t="str">
        <f t="shared" si="4"/>
        <v>http://www.ncbi.nlm.nih.gov/pubmed/10366636</v>
      </c>
      <c r="E72" s="22" t="str">
        <f>IF($B72="","",IF(LEN(VLOOKUP($B72,Database!$B$1:$IX$10144,4,FALSE))=0,"",VLOOKUP($B72,Database!$B$1:$IX$10144,4,FALSE)))</f>
        <v>Sheline YI</v>
      </c>
      <c r="F72" s="22">
        <f>IF($B72="","",IF(LEN(VLOOKUP($B72,Database!$B$1:$IX$10144,5,FALSE))=0,"",VLOOKUP($B72,Database!$B$1:$IX$10144,5,FALSE)))</f>
        <v>1999</v>
      </c>
      <c r="G72" s="1" t="str">
        <f>IF($B72="","",HYPERLINK(IF(LEN(VLOOKUP($B72,Database!$B$1:$IX$10144,6,FALSE))=0,"",VLOOKUP($B72,Database!$B$1:$IX$10144,6,FALSE))))</f>
        <v>http://ajp.psychiatryonline.org/cgi/reprint/156/12/1989</v>
      </c>
      <c r="H72" s="22">
        <f>IF($B72="","",IF(LEN(VLOOKUP($B72,Database!$B$1:$IX$10144,7,FALSE))=0,"",VLOOKUP($B72,Database!$B$1:$IX$10144,7,FALSE)))</f>
        <v>24</v>
      </c>
      <c r="I72" s="22">
        <f>IF($B72="","",IF(LEN(VLOOKUP($B72,Database!$B$1:$IX$10144,8,FALSE))=0,"",VLOOKUP($B72,Database!$B$1:$IX$10144,8,FALSE)))</f>
        <v>24</v>
      </c>
      <c r="J72" t="s">
        <v>939</v>
      </c>
      <c r="L72">
        <v>2230</v>
      </c>
      <c r="M72">
        <v>323</v>
      </c>
      <c r="N72">
        <v>2482</v>
      </c>
      <c r="O72">
        <v>305</v>
      </c>
      <c r="P72">
        <v>2264</v>
      </c>
      <c r="Q72">
        <v>320</v>
      </c>
      <c r="R72">
        <v>2468</v>
      </c>
      <c r="S72">
        <v>309</v>
      </c>
      <c r="T72">
        <v>4496</v>
      </c>
      <c r="U72">
        <v>602</v>
      </c>
      <c r="V72">
        <v>4951</v>
      </c>
      <c r="W72">
        <v>601</v>
      </c>
      <c r="Y72" s="22" t="str">
        <f>IF(OR($B72="",Y$22=""),"",IF(LEN(VLOOKUP($B72,Database!$B$1:$IX$10144,Y$22,FALSE))=0,"",VLOOKUP($B72,Database!$B$1:$IX$10144,Y$22,FALSE)))</f>
        <v>DSM-IV</v>
      </c>
      <c r="Z72" s="22" t="str">
        <f>IF(OR($B72="",Z$22=""),"",IF(LEN(VLOOKUP($B72,Database!$B$1:$IX$10144,Z$22,FALSE))=0,"",VLOOKUP($B72,Database!$B$1:$IX$10144,Z$22,FALSE)))</f>
        <v>MRI</v>
      </c>
      <c r="AA72" s="22" t="str">
        <f>IF(OR($B72="",AA$22=""),"",IF(LEN(VLOOKUP($B72,Database!$B$1:$IX$10144,AA$22,FALSE))=0,"",VLOOKUP($B72,Database!$B$1:$IX$10144,AA$22,FALSE)))</f>
        <v/>
      </c>
      <c r="AB72" s="22"/>
      <c r="AC72" s="22"/>
      <c r="AD72" s="22">
        <f>IF(OR($B72="",AD$22=""),"",IF(LEN(VLOOKUP($B72,Database!$B$1:$IX$10144,AD$22,FALSE))=0,"",VLOOKUP($B72,Database!$B$1:$IX$10144,AD$22,FALSE)))</f>
        <v>52.8</v>
      </c>
      <c r="AE72" s="22">
        <f>IF(OR($B72="",AE$22=""),"",IF(LEN(VLOOKUP($B72,Database!$B$1:$IX$10144,AE$22,FALSE))=0,"",VLOOKUP($B72,Database!$B$1:$IX$10144,AE$22,FALSE)))</f>
        <v>17.8</v>
      </c>
      <c r="AF72" s="22">
        <f>IF(OR($B72="",AF$22=""),"",IF(LEN(VLOOKUP($B72,Database!$B$1:$IX$10144,AF$22,FALSE))=0,"",VLOOKUP($B72,Database!$B$1:$IX$10144,AF$22,FALSE)))</f>
        <v>24</v>
      </c>
      <c r="AG72" s="22">
        <f>IF(OR($B72="",AG$22=""),"",IF(LEN(VLOOKUP($B72,Database!$B$1:$IX$10144,AG$22,FALSE))=0,"",VLOOKUP($B72,Database!$B$1:$IX$10144,AG$22,FALSE)))</f>
        <v>24</v>
      </c>
      <c r="AH72" s="22"/>
      <c r="AI72" s="22"/>
      <c r="AJ72" s="22" t="str">
        <f>IF(OR($B72="",AJ$22=""),"",IF(LEN(VLOOKUP($B72,Database!$B$1:$IX$10144,AJ$22,FALSE))=0,"",VLOOKUP($B72,Database!$B$1:$IX$10144,AJ$22,FALSE)))</f>
        <v/>
      </c>
      <c r="AK72" s="22" t="str">
        <f>IF(OR($B72="",AK$22=""),"",IF(LEN(VLOOKUP($B72,Database!$B$1:$IX$10144,AK$22,FALSE))=0,"",VLOOKUP($B72,Database!$B$1:$IX$10144,AK$22,FALSE)))</f>
        <v>ns</v>
      </c>
      <c r="AL72" s="22" t="str">
        <f>IF(OR($B72="",AL$22=""),"",IF(LEN(VLOOKUP($B72,Database!$B$1:$IX$10144,AL$22,FALSE))=0,"",VLOOKUP($B72,Database!$B$1:$IX$10144,AL$22,FALSE)))</f>
        <v>ns</v>
      </c>
      <c r="AM72" s="22">
        <f>IF(OR($B72="",AM$22=""),"",IF(LEN(VLOOKUP($B72,Database!$B$1:$IX$10144,AM$22,FALSE))=0,"",VLOOKUP($B72,Database!$B$1:$IX$10144,AM$22,FALSE)))</f>
        <v>66.666666666666657</v>
      </c>
      <c r="AN72" s="22" t="str">
        <f>IF(OR($B72="",AN$22=""),"",IF(LEN(VLOOKUP($B72,Database!$B$1:$IX$10144,AN$22,FALSE))=0,"",VLOOKUP($B72,Database!$B$1:$IX$10144,AN$22,FALSE)))</f>
        <v>ns</v>
      </c>
      <c r="AO72" s="22" t="str">
        <f>IF(OR($B72="",AO$22=""),"",IF(LEN(VLOOKUP($B72,Database!$B$1:$IX$10144,AO$22,FALSE))=0,"",VLOOKUP($B72,Database!$B$1:$IX$10144,AO$22,FALSE)))</f>
        <v>ns</v>
      </c>
      <c r="AP72" s="22" t="str">
        <f>IF(OR($B72="",AP$22=""),"",IF(LEN(VLOOKUP($B72,Database!$B$1:$IX$10144,AP$22,FALSE))=0,"",VLOOKUP($B72,Database!$B$1:$IX$10144,AP$22,FALSE)))</f>
        <v>ns</v>
      </c>
      <c r="AQ72" s="22" t="str">
        <f>IF(OR($B72="",AQ$22=""),"",IF(LEN(VLOOKUP($B72,Database!$B$1:$IX$10144,AQ$22,FALSE))=0,"",VLOOKUP($B72,Database!$B$1:$IX$10144,AQ$22,FALSE)))</f>
        <v>Sheline YI, Sanghavi M, Mintun MA, Gado MH.</v>
      </c>
    </row>
    <row r="73" spans="1:256">
      <c r="A73" s="10" t="s">
        <v>1188</v>
      </c>
      <c r="B73">
        <v>10960161</v>
      </c>
      <c r="C73" s="1" t="str">
        <f>IF($B73="","",HYPERLINK(IF(LEN(VLOOKUP($B73,Database!$B$1:$IX$10144,2,FALSE))=0,"",VLOOKUP($B73,Database!$B$1:$IX$10144,2,FALSE))))</f>
        <v/>
      </c>
      <c r="D73" s="1" t="str">
        <f t="shared" si="4"/>
        <v>http://www.ncbi.nlm.nih.gov/pubmed/10960161</v>
      </c>
      <c r="E73" s="22" t="str">
        <f>IF($B73="","",IF(LEN(VLOOKUP($B73,Database!$B$1:$IX$10144,4,FALSE))=0,"",VLOOKUP($B73,Database!$B$1:$IX$10144,4,FALSE)))</f>
        <v>Steffens DC</v>
      </c>
      <c r="F73" s="22">
        <f>IF($B73="","",IF(LEN(VLOOKUP($B73,Database!$B$1:$IX$10144,5,FALSE))=0,"",VLOOKUP($B73,Database!$B$1:$IX$10144,5,FALSE)))</f>
        <v>2000</v>
      </c>
      <c r="G73" s="1" t="str">
        <f>IF($B73="","",HYPERLINK(IF(LEN(VLOOKUP($B73,Database!$B$1:$IX$10144,6,FALSE))=0,"",VLOOKUP($B73,Database!$B$1:$IX$10144,6,FALSE))))</f>
        <v>http://dx.doi.org/10.1016/S0006-3223(00)00829-5</v>
      </c>
      <c r="H73" s="22">
        <f>IF($B73="","",IF(LEN(VLOOKUP($B73,Database!$B$1:$IX$10144,7,FALSE))=0,"",VLOOKUP($B73,Database!$B$1:$IX$10144,7,FALSE)))</f>
        <v>66</v>
      </c>
      <c r="I73" s="22">
        <f>IF($B73="","",IF(LEN(VLOOKUP($B73,Database!$B$1:$IX$10144,8,FALSE))=0,"",VLOOKUP($B73,Database!$B$1:$IX$10144,8,FALSE)))</f>
        <v>18</v>
      </c>
      <c r="J73" t="s">
        <v>1045</v>
      </c>
      <c r="L73">
        <v>2.92</v>
      </c>
      <c r="M73">
        <v>0.36</v>
      </c>
      <c r="N73">
        <v>3.17</v>
      </c>
      <c r="O73">
        <v>0.44</v>
      </c>
      <c r="P73">
        <v>2.98</v>
      </c>
      <c r="Q73">
        <v>0.39</v>
      </c>
      <c r="R73">
        <v>3.3</v>
      </c>
      <c r="S73">
        <v>0.44</v>
      </c>
      <c r="Y73" s="22" t="str">
        <f>IF(OR($B73="",Y$22=""),"",IF(LEN(VLOOKUP($B73,Database!$B$1:$IX$10144,Y$22,FALSE))=0,"",VLOOKUP($B73,Database!$B$1:$IX$10144,Y$22,FALSE)))</f>
        <v>DSM-IV</v>
      </c>
      <c r="Z73" s="22" t="str">
        <f>IF(OR($B73="",Z$22=""),"",IF(LEN(VLOOKUP($B73,Database!$B$1:$IX$10144,Z$22,FALSE))=0,"",VLOOKUP($B73,Database!$B$1:$IX$10144,Z$22,FALSE)))</f>
        <v>MRI</v>
      </c>
      <c r="AA73" s="22" t="str">
        <f>IF(OR($B73="",AA$22=""),"",IF(LEN(VLOOKUP($B73,Database!$B$1:$IX$10144,AA$22,FALSE))=0,"",VLOOKUP($B73,Database!$B$1:$IX$10144,AA$22,FALSE)))</f>
        <v/>
      </c>
      <c r="AB73" s="22">
        <f>IF(OR($B73="",AB$22=""),"",IF(LEN(VLOOKUP($B73,Database!$B$1:$IX$10144,AB$22,FALSE))=0,"",VLOOKUP($B73,Database!$B$1:$IX$10144,AB$22,FALSE)))</f>
        <v>71.739999999999995</v>
      </c>
      <c r="AC73" s="22">
        <f>IF(OR($B73="",AC$22=""),"",IF(LEN(VLOOKUP($B73,Database!$B$1:$IX$10144,AC$22,FALSE))=0,"",VLOOKUP($B73,Database!$B$1:$IX$10144,AC$22,FALSE)))</f>
        <v>8.42</v>
      </c>
      <c r="AD73" s="22">
        <f>IF(OR($B73="",AD$22=""),"",IF(LEN(VLOOKUP($B73,Database!$B$1:$IX$10144,AD$22,FALSE))=0,"",VLOOKUP($B73,Database!$B$1:$IX$10144,AD$22,FALSE)))</f>
        <v>67.11</v>
      </c>
      <c r="AE73" s="22">
        <f>IF(OR($B73="",AE$22=""),"",IF(LEN(VLOOKUP($B73,Database!$B$1:$IX$10144,AE$22,FALSE))=0,"",VLOOKUP($B73,Database!$B$1:$IX$10144,AE$22,FALSE)))</f>
        <v>5.04</v>
      </c>
      <c r="AF73" s="22">
        <f>IF(OR($B73="",AF$22=""),"",IF(LEN(VLOOKUP($B73,Database!$B$1:$IX$10144,AF$22,FALSE))=0,"",VLOOKUP($B73,Database!$B$1:$IX$10144,AF$22,FALSE)))</f>
        <v>51</v>
      </c>
      <c r="AG73" s="22">
        <f>IF(OR($B73="",AG$22=""),"",IF(LEN(VLOOKUP($B73,Database!$B$1:$IX$10144,AG$22,FALSE))=0,"",VLOOKUP($B73,Database!$B$1:$IX$10144,AG$22,FALSE)))</f>
        <v>9</v>
      </c>
      <c r="AH73" s="22"/>
      <c r="AI73" s="22"/>
      <c r="AJ73" s="22" t="str">
        <f>IF(OR($B73="",AJ$22=""),"",IF(LEN(VLOOKUP($B73,Database!$B$1:$IX$10144,AJ$22,FALSE))=0,"",VLOOKUP($B73,Database!$B$1:$IX$10144,AJ$22,FALSE)))</f>
        <v/>
      </c>
      <c r="AK73" s="22" t="str">
        <f>IF(OR($B73="",AK$22=""),"",IF(LEN(VLOOKUP($B73,Database!$B$1:$IX$10144,AK$22,FALSE))=0,"",VLOOKUP($B73,Database!$B$1:$IX$10144,AK$22,FALSE)))</f>
        <v>ns</v>
      </c>
      <c r="AL73" s="22" t="str">
        <f>IF(OR($B73="",AL$22=""),"",IF(LEN(VLOOKUP($B73,Database!$B$1:$IX$10144,AL$22,FALSE))=0,"",VLOOKUP($B73,Database!$B$1:$IX$10144,AL$22,FALSE)))</f>
        <v>ns</v>
      </c>
      <c r="AM73" s="22" t="str">
        <f>IF(OR($B73="",AM$22=""),"",IF(LEN(VLOOKUP($B73,Database!$B$1:$IX$10144,AM$22,FALSE))=0,"",VLOOKUP($B73,Database!$B$1:$IX$10144,AM$22,FALSE)))</f>
        <v>ns</v>
      </c>
      <c r="AN73" s="22" t="str">
        <f>IF(OR($B73="",AN$22=""),"",IF(LEN(VLOOKUP($B73,Database!$B$1:$IX$10144,AN$22,FALSE))=0,"",VLOOKUP($B73,Database!$B$1:$IX$10144,AN$22,FALSE)))</f>
        <v>ns</v>
      </c>
      <c r="AO73" s="22" t="str">
        <f>IF(OR($B73="",AO$22=""),"",IF(LEN(VLOOKUP($B73,Database!$B$1:$IX$10144,AO$22,FALSE))=0,"",VLOOKUP($B73,Database!$B$1:$IX$10144,AO$22,FALSE)))</f>
        <v>ns</v>
      </c>
      <c r="AP73" s="22" t="str">
        <f>IF(OR($B73="",AP$22=""),"",IF(LEN(VLOOKUP($B73,Database!$B$1:$IX$10144,AP$22,FALSE))=0,"",VLOOKUP($B73,Database!$B$1:$IX$10144,AP$22,FALSE)))</f>
        <v>ns</v>
      </c>
      <c r="AQ73" s="22" t="str">
        <f>IF(OR($B73="",AQ$22=""),"",IF(LEN(VLOOKUP($B73,Database!$B$1:$IX$10144,AQ$22,FALSE))=0,"",VLOOKUP($B73,Database!$B$1:$IX$10144,AQ$22,FALSE)))</f>
        <v>Steffens DC, Byrum CE, McQuoid DR, Greenberg DL, Payne ME, Blitchington TF, MacFall JR, Krishnan KR.</v>
      </c>
    </row>
    <row r="74" spans="1:256">
      <c r="A74" s="10" t="s">
        <v>2335</v>
      </c>
      <c r="B74">
        <v>12091188</v>
      </c>
      <c r="C74" s="1" t="str">
        <f>IF($B74="","",HYPERLINK(IF(LEN(VLOOKUP($B74,Database!$B$1:$IX$10144,2,FALSE))=0,"",VLOOKUP($B74,Database!$B$1:$IX$10144,2,FALSE))))</f>
        <v/>
      </c>
      <c r="D74" s="1" t="str">
        <f t="shared" si="4"/>
        <v>http://www.ncbi.nlm.nih.gov/pubmed/12091188</v>
      </c>
      <c r="E74" s="22" t="str">
        <f>IF($B74="","",IF(LEN(VLOOKUP($B74,Database!$B$1:$IX$10144,4,FALSE))=0,"",VLOOKUP($B74,Database!$B$1:$IX$10144,4,FALSE)))</f>
        <v>Frodl T (B)</v>
      </c>
      <c r="F74" s="22">
        <f>IF($B74="","",IF(LEN(VLOOKUP($B74,Database!$B$1:$IX$10144,5,FALSE))=0,"",VLOOKUP($B74,Database!$B$1:$IX$10144,5,FALSE)))</f>
        <v>2002</v>
      </c>
      <c r="G74" s="1" t="str">
        <f>IF($B74="","",HYPERLINK(IF(LEN(VLOOKUP($B74,Database!$B$1:$IX$10144,6,FALSE))=0,"",VLOOKUP($B74,Database!$B$1:$IX$10144,6,FALSE))))</f>
        <v>http://ajp.psychiatryonline.org/cgi/reprint/159/7/1112</v>
      </c>
      <c r="H74" s="22">
        <f>IF($B74="","",IF(LEN(VLOOKUP($B74,Database!$B$1:$IX$10144,7,FALSE))=0,"",VLOOKUP($B74,Database!$B$1:$IX$10144,7,FALSE)))</f>
        <v>30</v>
      </c>
      <c r="I74" s="22">
        <f>IF($B74="","",IF(LEN(VLOOKUP($B74,Database!$B$1:$IX$10144,8,FALSE))=0,"",VLOOKUP($B74,Database!$B$1:$IX$10144,8,FALSE)))</f>
        <v>30</v>
      </c>
      <c r="J74" t="s">
        <v>869</v>
      </c>
      <c r="L74">
        <v>3681</v>
      </c>
      <c r="M74">
        <v>393</v>
      </c>
      <c r="N74">
        <v>3772</v>
      </c>
      <c r="O74">
        <v>397</v>
      </c>
      <c r="P74">
        <v>3847</v>
      </c>
      <c r="Q74">
        <v>400</v>
      </c>
      <c r="R74">
        <v>3763</v>
      </c>
      <c r="S74">
        <v>411</v>
      </c>
      <c r="Y74" s="22" t="str">
        <f>IF(OR($B74="",Y$22=""),"",IF(LEN(VLOOKUP($B74,Database!$B$1:$IX$10144,Y$22,FALSE))=0,"",VLOOKUP($B74,Database!$B$1:$IX$10144,Y$22,FALSE)))</f>
        <v>DSM-IV</v>
      </c>
      <c r="Z74" s="22" t="str">
        <f>IF(OR($B74="",Z$22=""),"",IF(LEN(VLOOKUP($B74,Database!$B$1:$IX$10144,Z$22,FALSE))=0,"",VLOOKUP($B74,Database!$B$1:$IX$10144,Z$22,FALSE)))</f>
        <v>MRI</v>
      </c>
      <c r="AA74" s="22" t="str">
        <f>IF(OR($B74="",AA$22=""),"",IF(LEN(VLOOKUP($B74,Database!$B$1:$IX$10144,AA$22,FALSE))=0,"",VLOOKUP($B74,Database!$B$1:$IX$10144,AA$22,FALSE)))</f>
        <v/>
      </c>
      <c r="AB74" s="22">
        <f>IF(OR($B74="",AB$22=""),"",IF(LEN(VLOOKUP($B74,Database!$B$1:$IX$10144,AB$22,FALSE))=0,"",VLOOKUP($B74,Database!$B$1:$IX$10144,AB$22,FALSE)))</f>
        <v>40.299999999999997</v>
      </c>
      <c r="AC74" s="22">
        <f>IF(OR($B74="",AC$22=""),"",IF(LEN(VLOOKUP($B74,Database!$B$1:$IX$10144,AC$22,FALSE))=0,"",VLOOKUP($B74,Database!$B$1:$IX$10144,AC$22,FALSE)))</f>
        <v>12.6</v>
      </c>
      <c r="AD74" s="22">
        <f>IF(OR($B74="",AD$22=""),"",IF(LEN(VLOOKUP($B74,Database!$B$1:$IX$10144,AD$22,FALSE))=0,"",VLOOKUP($B74,Database!$B$1:$IX$10144,AD$22,FALSE)))</f>
        <v>40.6</v>
      </c>
      <c r="AE74" s="22">
        <f>IF(OR($B74="",AE$22=""),"",IF(LEN(VLOOKUP($B74,Database!$B$1:$IX$10144,AE$22,FALSE))=0,"",VLOOKUP($B74,Database!$B$1:$IX$10144,AE$22,FALSE)))</f>
        <v>12.5</v>
      </c>
      <c r="AF74" s="22">
        <f>IF(OR($B74="",AF$22=""),"",IF(LEN(VLOOKUP($B74,Database!$B$1:$IX$10144,AF$22,FALSE))=0,"",VLOOKUP($B74,Database!$B$1:$IX$10144,AF$22,FALSE)))</f>
        <v>17</v>
      </c>
      <c r="AG74" s="22">
        <f>IF(OR($B74="",AG$22=""),"",IF(LEN(VLOOKUP($B74,Database!$B$1:$IX$10144,AG$22,FALSE))=0,"",VLOOKUP($B74,Database!$B$1:$IX$10144,AG$22,FALSE)))</f>
        <v>17</v>
      </c>
      <c r="AH74" s="22"/>
      <c r="AI74" s="22"/>
      <c r="AJ74" s="22" t="str">
        <f>IF(OR($B74="",AJ$22=""),"",IF(LEN(VLOOKUP($B74,Database!$B$1:$IX$10144,AJ$22,FALSE))=0,"",VLOOKUP($B74,Database!$B$1:$IX$10144,AJ$22,FALSE)))</f>
        <v/>
      </c>
      <c r="AK74" s="22">
        <f>IF(OR($B74="",AK$22=""),"",IF(LEN(VLOOKUP($B74,Database!$B$1:$IX$10144,AK$22,FALSE))=0,"",VLOOKUP($B74,Database!$B$1:$IX$10144,AK$22,FALSE)))</f>
        <v>40</v>
      </c>
      <c r="AL74" s="22">
        <f>IF(OR($B74="",AL$22=""),"",IF(LEN(VLOOKUP($B74,Database!$B$1:$IX$10144,AL$22,FALSE))=0,"",VLOOKUP($B74,Database!$B$1:$IX$10144,AL$22,FALSE)))</f>
        <v>24.8</v>
      </c>
      <c r="AM74" s="22" t="str">
        <f>IF(OR($B74="",AM$22=""),"",IF(LEN(VLOOKUP($B74,Database!$B$1:$IX$10144,AM$22,FALSE))=0,"",VLOOKUP($B74,Database!$B$1:$IX$10144,AM$22,FALSE)))</f>
        <v>ns</v>
      </c>
      <c r="AN74" s="22" t="str">
        <f>IF(OR($B74="",AN$22=""),"",IF(LEN(VLOOKUP($B74,Database!$B$1:$IX$10144,AN$22,FALSE))=0,"",VLOOKUP($B74,Database!$B$1:$IX$10144,AN$22,FALSE)))</f>
        <v>ns</v>
      </c>
      <c r="AO74" s="22" t="str">
        <f>IF(OR($B74="",AO$22=""),"",IF(LEN(VLOOKUP($B74,Database!$B$1:$IX$10144,AO$22,FALSE))=0,"",VLOOKUP($B74,Database!$B$1:$IX$10144,AO$22,FALSE)))</f>
        <v>ns</v>
      </c>
      <c r="AP74" s="22" t="str">
        <f>IF(OR($B74="",AP$22=""),"",IF(LEN(VLOOKUP($B74,Database!$B$1:$IX$10144,AP$22,FALSE))=0,"",VLOOKUP($B74,Database!$B$1:$IX$10144,AP$22,FALSE)))</f>
        <v>ns</v>
      </c>
      <c r="AQ74" s="22" t="str">
        <f>IF(OR($B74="",AQ$22=""),"",IF(LEN(VLOOKUP($B74,Database!$B$1:$IX$10144,AQ$22,FALSE))=0,"",VLOOKUP($B74,Database!$B$1:$IX$10144,AQ$22,FALSE)))</f>
        <v>Frodl T, Meisenzahl EM, Zetzsche T, Born C, Groll C, Jager M, Leinsinger G, Bottlender R, Hahn K, Moller HJ.</v>
      </c>
    </row>
    <row r="75" spans="1:256">
      <c r="A75" s="10" t="s">
        <v>2335</v>
      </c>
      <c r="B75">
        <v>15119911</v>
      </c>
      <c r="C75" s="1" t="str">
        <f>IF($B75="","",HYPERLINK(IF(LEN(VLOOKUP($B75,Database!$B$1:$IX$10144,2,FALSE))=0,"",VLOOKUP($B75,Database!$B$1:$IX$10144,2,FALSE))))</f>
        <v/>
      </c>
      <c r="D75" s="1" t="str">
        <f t="shared" si="4"/>
        <v>http://www.ncbi.nlm.nih.gov/pubmed/15119911</v>
      </c>
      <c r="E75" s="22" t="str">
        <f>IF($B75="","",IF(LEN(VLOOKUP($B75,Database!$B$1:$IX$10144,4,FALSE))=0,"",VLOOKUP($B75,Database!$B$1:$IX$10144,4,FALSE)))</f>
        <v>Frodl T (B)</v>
      </c>
      <c r="F75" s="22">
        <f>IF($B75="","",IF(LEN(VLOOKUP($B75,Database!$B$1:$IX$10144,5,FALSE))=0,"",VLOOKUP($B75,Database!$B$1:$IX$10144,5,FALSE)))</f>
        <v>2004</v>
      </c>
      <c r="G75" s="1" t="str">
        <f>IF($B75="","",HYPERLINK(IF(LEN(VLOOKUP($B75,Database!$B$1:$IX$10144,6,FALSE))=0,"",VLOOKUP($B75,Database!$B$1:$IX$10144,6,FALSE))))</f>
        <v>http://www.psychiatrist.com/abstracts/abstracts.asp?abstract=200404/040405.htm</v>
      </c>
      <c r="H75" s="22">
        <f>IF($B75="","",IF(LEN(VLOOKUP($B75,Database!$B$1:$IX$10144,7,FALSE))=0,"",VLOOKUP($B75,Database!$B$1:$IX$10144,7,FALSE)))</f>
        <v>30</v>
      </c>
      <c r="I75" s="22">
        <f>IF($B75="","",IF(LEN(VLOOKUP($B75,Database!$B$1:$IX$10144,8,FALSE))=0,"",VLOOKUP($B75,Database!$B$1:$IX$10144,8,FALSE)))</f>
        <v>30</v>
      </c>
      <c r="J75" t="s">
        <v>1381</v>
      </c>
      <c r="L75">
        <v>3.7</v>
      </c>
      <c r="M75">
        <v>0.33</v>
      </c>
      <c r="N75">
        <v>3.82</v>
      </c>
      <c r="O75">
        <v>0.34</v>
      </c>
      <c r="P75">
        <v>3.8</v>
      </c>
      <c r="Q75">
        <v>0.31</v>
      </c>
      <c r="R75">
        <v>3.93</v>
      </c>
      <c r="S75">
        <v>0.35</v>
      </c>
      <c r="Y75" s="22" t="str">
        <f>IF(OR($B75="",Y$22=""),"",IF(LEN(VLOOKUP($B75,Database!$B$1:$IX$10144,Y$22,FALSE))=0,"",VLOOKUP($B75,Database!$B$1:$IX$10144,Y$22,FALSE)))</f>
        <v>DSM-IV</v>
      </c>
      <c r="Z75" s="22" t="str">
        <f>IF(OR($B75="",Z$22=""),"",IF(LEN(VLOOKUP($B75,Database!$B$1:$IX$10144,Z$22,FALSE))=0,"",VLOOKUP($B75,Database!$B$1:$IX$10144,Z$22,FALSE)))</f>
        <v>MRI</v>
      </c>
      <c r="AA75" s="22" t="str">
        <f>IF(OR($B75="",AA$22=""),"",IF(LEN(VLOOKUP($B75,Database!$B$1:$IX$10144,AA$22,FALSE))=0,"",VLOOKUP($B75,Database!$B$1:$IX$10144,AA$22,FALSE)))</f>
        <v/>
      </c>
      <c r="AB75" s="22">
        <f>IF(OR($B75="",AB$22=""),"",IF(LEN(VLOOKUP($B75,Database!$B$1:$IX$10144,AB$22,FALSE))=0,"",VLOOKUP($B75,Database!$B$1:$IX$10144,AB$22,FALSE)))</f>
        <v>48.4</v>
      </c>
      <c r="AC75" s="22">
        <f>IF(OR($B75="",AC$22=""),"",IF(LEN(VLOOKUP($B75,Database!$B$1:$IX$10144,AC$22,FALSE))=0,"",VLOOKUP($B75,Database!$B$1:$IX$10144,AC$22,FALSE)))</f>
        <v>13.4</v>
      </c>
      <c r="AD75" s="22">
        <f>IF(OR($B75="",AD$22=""),"",IF(LEN(VLOOKUP($B75,Database!$B$1:$IX$10144,AD$22,FALSE))=0,"",VLOOKUP($B75,Database!$B$1:$IX$10144,AD$22,FALSE)))</f>
        <v>45.7</v>
      </c>
      <c r="AE75" s="22">
        <f>IF(OR($B75="",AE$22=""),"",IF(LEN(VLOOKUP($B75,Database!$B$1:$IX$10144,AE$22,FALSE))=0,"",VLOOKUP($B75,Database!$B$1:$IX$10144,AE$22,FALSE)))</f>
        <v>12.9</v>
      </c>
      <c r="AF75" s="22">
        <f>IF(OR($B75="",AF$22=""),"",IF(LEN(VLOOKUP($B75,Database!$B$1:$IX$10144,AF$22,FALSE))=0,"",VLOOKUP($B75,Database!$B$1:$IX$10144,AF$22,FALSE)))</f>
        <v>18</v>
      </c>
      <c r="AG75" s="22">
        <f>IF(OR($B75="",AG$22=""),"",IF(LEN(VLOOKUP($B75,Database!$B$1:$IX$10144,AG$22,FALSE))=0,"",VLOOKUP($B75,Database!$B$1:$IX$10144,AG$22,FALSE)))</f>
        <v>18</v>
      </c>
      <c r="AH75" s="22"/>
      <c r="AI75" s="22"/>
      <c r="AJ75" s="22" t="str">
        <f>IF(OR($B75="",AJ$22=""),"",IF(LEN(VLOOKUP($B75,Database!$B$1:$IX$10144,AJ$22,FALSE))=0,"",VLOOKUP($B75,Database!$B$1:$IX$10144,AJ$22,FALSE)))</f>
        <v/>
      </c>
      <c r="AK75" s="22">
        <f>IF(OR($B75="",AK$22=""),"",IF(LEN(VLOOKUP($B75,Database!$B$1:$IX$10144,AK$22,FALSE))=0,"",VLOOKUP($B75,Database!$B$1:$IX$10144,AK$22,FALSE)))</f>
        <v>39.299999999999997</v>
      </c>
      <c r="AL75" s="22">
        <f>IF(OR($B75="",AL$22=""),"",IF(LEN(VLOOKUP($B75,Database!$B$1:$IX$10144,AL$22,FALSE))=0,"",VLOOKUP($B75,Database!$B$1:$IX$10144,AL$22,FALSE)))</f>
        <v>23.7</v>
      </c>
      <c r="AM75" s="22" t="str">
        <f>IF(OR($B75="",AM$22=""),"",IF(LEN(VLOOKUP($B75,Database!$B$1:$IX$10144,AM$22,FALSE))=0,"",VLOOKUP($B75,Database!$B$1:$IX$10144,AM$22,FALSE)))</f>
        <v>ns</v>
      </c>
      <c r="AN75" s="22">
        <f>IF(OR($B75="",AN$22=""),"",IF(LEN(VLOOKUP($B75,Database!$B$1:$IX$10144,AN$22,FALSE))=0,"",VLOOKUP($B75,Database!$B$1:$IX$10144,AN$22,FALSE)))</f>
        <v>23.333333333333332</v>
      </c>
      <c r="AO75" s="22" t="str">
        <f>IF(OR($B75="",AO$22=""),"",IF(LEN(VLOOKUP($B75,Database!$B$1:$IX$10144,AO$22,FALSE))=0,"",VLOOKUP($B75,Database!$B$1:$IX$10144,AO$22,FALSE)))</f>
        <v>ns</v>
      </c>
      <c r="AP75" s="22">
        <f>IF(OR($B75="",AP$22=""),"",IF(LEN(VLOOKUP($B75,Database!$B$1:$IX$10144,AP$22,FALSE))=0,"",VLOOKUP($B75,Database!$B$1:$IX$10144,AP$22,FALSE)))</f>
        <v>6.666666666666667</v>
      </c>
      <c r="AQ75" s="22" t="str">
        <f>IF(OR($B75="",AQ$22=""),"",IF(LEN(VLOOKUP($B75,Database!$B$1:$IX$10144,AQ$22,FALSE))=0,"",VLOOKUP($B75,Database!$B$1:$IX$10144,AQ$22,FALSE)))</f>
        <v>Frodl T, Meisenzahl EM, Zetzsche T, Hohne T, Banac S, Schorr C, Jager M, Leinsinger G, Bottlender R, Reiser M, Moller HJ.</v>
      </c>
    </row>
    <row r="76" spans="1:256">
      <c r="A76" s="10" t="s">
        <v>1913</v>
      </c>
      <c r="B76">
        <v>15738499</v>
      </c>
      <c r="C76" s="1" t="str">
        <f>IF($B76="","",HYPERLINK(IF(LEN(VLOOKUP($B76,Database!$B$1:$IX$10144,2,FALSE))=0,"",VLOOKUP($B76,Database!$B$1:$IX$10144,2,FALSE))))</f>
        <v/>
      </c>
      <c r="D76" s="1" t="str">
        <f t="shared" si="4"/>
        <v>http://www.ncbi.nlm.nih.gov/pubmed/15738499</v>
      </c>
      <c r="E76" s="22" t="str">
        <f>IF($B76="","",IF(LEN(VLOOKUP($B76,Database!$B$1:$IX$10144,4,FALSE))=0,"",VLOOKUP($B76,Database!$B$1:$IX$10144,4,FALSE)))</f>
        <v>Hickie I (A)</v>
      </c>
      <c r="F76" s="22">
        <f>IF($B76="","",IF(LEN(VLOOKUP($B76,Database!$B$1:$IX$10144,5,FALSE))=0,"",VLOOKUP($B76,Database!$B$1:$IX$10144,5,FALSE)))</f>
        <v>2005</v>
      </c>
      <c r="G76" s="1" t="str">
        <f>IF($B76="","",HYPERLINK(IF(LEN(VLOOKUP($B76,Database!$B$1:$IX$10144,6,FALSE))=0,"",VLOOKUP($B76,Database!$B$1:$IX$10144,6,FALSE))))</f>
        <v>http://bjp.rcpsych.org/cgi/content/full/186/3/197</v>
      </c>
      <c r="H76" s="22">
        <f>IF($B76="","",IF(LEN(VLOOKUP($B76,Database!$B$1:$IX$10144,7,FALSE))=0,"",VLOOKUP($B76,Database!$B$1:$IX$10144,7,FALSE)))</f>
        <v>51</v>
      </c>
      <c r="I76" s="22">
        <f>IF($B76="","",IF(LEN(VLOOKUP($B76,Database!$B$1:$IX$10144,8,FALSE))=0,"",VLOOKUP($B76,Database!$B$1:$IX$10144,8,FALSE)))</f>
        <v>20</v>
      </c>
      <c r="J76" t="s">
        <v>1054</v>
      </c>
      <c r="L76">
        <v>2.9</v>
      </c>
      <c r="M76">
        <v>0.4</v>
      </c>
      <c r="N76">
        <v>3.3</v>
      </c>
      <c r="O76">
        <v>0.5</v>
      </c>
      <c r="P76">
        <v>3</v>
      </c>
      <c r="Q76">
        <v>0.4</v>
      </c>
      <c r="R76">
        <v>3.3</v>
      </c>
      <c r="S76">
        <v>0.6</v>
      </c>
      <c r="T76">
        <v>5.9</v>
      </c>
      <c r="U76">
        <v>0.7</v>
      </c>
      <c r="V76">
        <v>6.6</v>
      </c>
      <c r="W76">
        <v>1.1000000000000001</v>
      </c>
      <c r="Y76" s="22" t="str">
        <f>IF(OR($B76="",Y$22=""),"",IF(LEN(VLOOKUP($B76,Database!$B$1:$IX$10144,Y$22,FALSE))=0,"",VLOOKUP($B76,Database!$B$1:$IX$10144,Y$22,FALSE)))</f>
        <v>DSM-IV</v>
      </c>
      <c r="Z76" s="22" t="str">
        <f>IF(OR($B76="",Z$22=""),"",IF(LEN(VLOOKUP($B76,Database!$B$1:$IX$10144,Z$22,FALSE))=0,"",VLOOKUP($B76,Database!$B$1:$IX$10144,Z$22,FALSE)))</f>
        <v>MRI</v>
      </c>
      <c r="AA76" s="22" t="str">
        <f>IF(OR($B76="",AA$22=""),"",IF(LEN(VLOOKUP($B76,Database!$B$1:$IX$10144,AA$22,FALSE))=0,"",VLOOKUP($B76,Database!$B$1:$IX$10144,AA$22,FALSE)))</f>
        <v/>
      </c>
      <c r="AB76" s="22">
        <f>IF(OR($B76="",AB$22=""),"",IF(LEN(VLOOKUP($B76,Database!$B$1:$IX$10144,AB$22,FALSE))=0,"",VLOOKUP($B76,Database!$B$1:$IX$10144,AB$22,FALSE)))</f>
        <v>53.5</v>
      </c>
      <c r="AC76" s="22">
        <f>IF(OR($B76="",AC$22=""),"",IF(LEN(VLOOKUP($B76,Database!$B$1:$IX$10144,AC$22,FALSE))=0,"",VLOOKUP($B76,Database!$B$1:$IX$10144,AC$22,FALSE)))</f>
        <v>13.5</v>
      </c>
      <c r="AD76" s="22">
        <f>IF(OR($B76="",AD$22=""),"",IF(LEN(VLOOKUP($B76,Database!$B$1:$IX$10144,AD$22,FALSE))=0,"",VLOOKUP($B76,Database!$B$1:$IX$10144,AD$22,FALSE)))</f>
        <v>55.8</v>
      </c>
      <c r="AE76" s="22">
        <f>IF(OR($B76="",AE$22=""),"",IF(LEN(VLOOKUP($B76,Database!$B$1:$IX$10144,AE$22,FALSE))=0,"",VLOOKUP($B76,Database!$B$1:$IX$10144,AE$22,FALSE)))</f>
        <v>10</v>
      </c>
      <c r="AF76" s="22">
        <f>IF(OR($B76="",AF$22=""),"",IF(LEN(VLOOKUP($B76,Database!$B$1:$IX$10144,AF$22,FALSE))=0,"",VLOOKUP($B76,Database!$B$1:$IX$10144,AF$22,FALSE)))</f>
        <v>44</v>
      </c>
      <c r="AG76" s="22">
        <f>IF(OR($B76="",AG$22=""),"",IF(LEN(VLOOKUP($B76,Database!$B$1:$IX$10144,AG$22,FALSE))=0,"",VLOOKUP($B76,Database!$B$1:$IX$10144,AG$22,FALSE)))</f>
        <v>11</v>
      </c>
      <c r="AH76" s="22">
        <f>IF(OR($B76="",AH$22=""),"",IF(LEN(VLOOKUP($B76,Database!$B$1:$IX$10144,AH$22,FALSE))=0,"",VLOOKUP($B76,Database!$B$1:$IX$10144,AH$22,FALSE)))</f>
        <v>1.5</v>
      </c>
      <c r="AI76" s="22">
        <f>IF(OR($B76="",AI$22=""),"",IF(LEN(VLOOKUP($B76,Database!$B$1:$IX$10144,AI$22,FALSE))=0,"",VLOOKUP($B76,Database!$B$1:$IX$10144,AI$22,FALSE)))</f>
        <v>1.5</v>
      </c>
      <c r="AJ76" s="22" t="str">
        <f>IF(OR($B76="",AJ$22=""),"",IF(LEN(VLOOKUP($B76,Database!$B$1:$IX$10144,AJ$22,FALSE))=0,"",VLOOKUP($B76,Database!$B$1:$IX$10144,AJ$22,FALSE)))</f>
        <v/>
      </c>
      <c r="AK76" s="22">
        <f>IF(OR($B76="",AK$22=""),"",IF(LEN(VLOOKUP($B76,Database!$B$1:$IX$10144,AK$22,FALSE))=0,"",VLOOKUP($B76,Database!$B$1:$IX$10144,AK$22,FALSE)))</f>
        <v>38.4</v>
      </c>
      <c r="AL76" s="22">
        <f>IF(OR($B76="",AL$22=""),"",IF(LEN(VLOOKUP($B76,Database!$B$1:$IX$10144,AL$22,FALSE))=0,"",VLOOKUP($B76,Database!$B$1:$IX$10144,AL$22,FALSE)))</f>
        <v>24.9</v>
      </c>
      <c r="AM76" s="22" t="str">
        <f>IF(OR($B76="",AM$22=""),"",IF(LEN(VLOOKUP($B76,Database!$B$1:$IX$10144,AM$22,FALSE))=0,"",VLOOKUP($B76,Database!$B$1:$IX$10144,AM$22,FALSE)))</f>
        <v>ns</v>
      </c>
      <c r="AN76" s="22" t="str">
        <f>IF(OR($B76="",AN$22=""),"",IF(LEN(VLOOKUP($B76,Database!$B$1:$IX$10144,AN$22,FALSE))=0,"",VLOOKUP($B76,Database!$B$1:$IX$10144,AN$22,FALSE)))</f>
        <v>ns</v>
      </c>
      <c r="AO76" s="22" t="str">
        <f>IF(OR($B76="",AO$22=""),"",IF(LEN(VLOOKUP($B76,Database!$B$1:$IX$10144,AO$22,FALSE))=0,"",VLOOKUP($B76,Database!$B$1:$IX$10144,AO$22,FALSE)))</f>
        <v>ns</v>
      </c>
      <c r="AP76" s="22" t="str">
        <f>IF(OR($B76="",AP$22=""),"",IF(LEN(VLOOKUP($B76,Database!$B$1:$IX$10144,AP$22,FALSE))=0,"",VLOOKUP($B76,Database!$B$1:$IX$10144,AP$22,FALSE)))</f>
        <v>ns</v>
      </c>
      <c r="AQ76" s="22" t="str">
        <f>IF(OR($B76="",AQ$22=""),"",IF(LEN(VLOOKUP($B76,Database!$B$1:$IX$10144,AQ$22,FALSE))=0,"",VLOOKUP($B76,Database!$B$1:$IX$10144,AQ$22,FALSE)))</f>
        <v>Hickie I, Naismith S, Ward PB, Turner K, Scott E, Mitchell P, Wilhelm K, Parker G.</v>
      </c>
    </row>
    <row r="77" spans="1:256">
      <c r="A77" s="10" t="s">
        <v>2335</v>
      </c>
      <c r="B77">
        <v>16951734</v>
      </c>
      <c r="C77" s="1" t="str">
        <f>IF($B77="","",HYPERLINK(IF(LEN(VLOOKUP($B77,Database!$B$1:$IX$10144,2,FALSE))=0,"",VLOOKUP($B77,Database!$B$1:$IX$10144,2,FALSE))))</f>
        <v/>
      </c>
      <c r="D77" s="1" t="str">
        <f t="shared" si="4"/>
        <v>http://www.ncbi.nlm.nih.gov/pubmed/16951734</v>
      </c>
      <c r="E77" s="22" t="str">
        <f>IF($B77="","",IF(LEN(VLOOKUP($B77,Database!$B$1:$IX$10144,4,FALSE))=0,"",VLOOKUP($B77,Database!$B$1:$IX$10144,4,FALSE)))</f>
        <v>Frodl T</v>
      </c>
      <c r="F77" s="22">
        <f>IF($B77="","",IF(LEN(VLOOKUP($B77,Database!$B$1:$IX$10144,5,FALSE))=0,"",VLOOKUP($B77,Database!$B$1:$IX$10144,5,FALSE)))</f>
        <v>2006</v>
      </c>
      <c r="G77" s="1" t="str">
        <f>IF($B77="","",HYPERLINK(IF(LEN(VLOOKUP($B77,Database!$B$1:$IX$10144,6,FALSE))=0,"",VLOOKUP($B77,Database!$B$1:$IX$10144,6,FALSE))))</f>
        <v>http://www.cma.ca/multimedia/staticContent/HTML/N0/l2/jpn/vol-31/issue-5/pdf/pg316.pdf</v>
      </c>
      <c r="H77" s="22">
        <f>IF($B77="","",IF(LEN(VLOOKUP($B77,Database!$B$1:$IX$10144,7,FALSE))=0,"",VLOOKUP($B77,Database!$B$1:$IX$10144,7,FALSE)))</f>
        <v>34</v>
      </c>
      <c r="I77" s="22">
        <f>IF($B77="","",IF(LEN(VLOOKUP($B77,Database!$B$1:$IX$10144,8,FALSE))=0,"",VLOOKUP($B77,Database!$B$1:$IX$10144,8,FALSE)))</f>
        <v>34</v>
      </c>
      <c r="J77" t="s">
        <v>878</v>
      </c>
      <c r="L77">
        <v>2.79</v>
      </c>
      <c r="M77">
        <v>0.31</v>
      </c>
      <c r="N77">
        <v>3.06</v>
      </c>
      <c r="O77">
        <v>0.3</v>
      </c>
      <c r="P77">
        <v>2.92</v>
      </c>
      <c r="Q77">
        <v>0.28999999999999998</v>
      </c>
      <c r="R77">
        <v>3.14</v>
      </c>
      <c r="S77">
        <v>0.3</v>
      </c>
      <c r="Y77" s="22" t="str">
        <f>IF(OR($B77="",Y$22=""),"",IF(LEN(VLOOKUP($B77,Database!$B$1:$IX$10144,Y$22,FALSE))=0,"",VLOOKUP($B77,Database!$B$1:$IX$10144,Y$22,FALSE)))</f>
        <v>DSM-IV</v>
      </c>
      <c r="Z77" s="22" t="str">
        <f>IF(OR($B77="",Z$22=""),"",IF(LEN(VLOOKUP($B77,Database!$B$1:$IX$10144,Z$22,FALSE))=0,"",VLOOKUP($B77,Database!$B$1:$IX$10144,Z$22,FALSE)))</f>
        <v>MRI</v>
      </c>
      <c r="AA77" s="22" t="str">
        <f>IF(OR($B77="",AA$22=""),"",IF(LEN(VLOOKUP($B77,Database!$B$1:$IX$10144,AA$22,FALSE))=0,"",VLOOKUP($B77,Database!$B$1:$IX$10144,AA$22,FALSE)))</f>
        <v/>
      </c>
      <c r="AB77" s="22">
        <f>IF(OR($B77="",AB$22=""),"",IF(LEN(VLOOKUP($B77,Database!$B$1:$IX$10144,AB$22,FALSE))=0,"",VLOOKUP($B77,Database!$B$1:$IX$10144,AB$22,FALSE)))</f>
        <v>45.5</v>
      </c>
      <c r="AC77" s="22">
        <f>IF(OR($B77="",AC$22=""),"",IF(LEN(VLOOKUP($B77,Database!$B$1:$IX$10144,AC$22,FALSE))=0,"",VLOOKUP($B77,Database!$B$1:$IX$10144,AC$22,FALSE)))</f>
        <v>11.9</v>
      </c>
      <c r="AD77" s="22">
        <f>IF(OR($B77="",AD$22=""),"",IF(LEN(VLOOKUP($B77,Database!$B$1:$IX$10144,AD$22,FALSE))=0,"",VLOOKUP($B77,Database!$B$1:$IX$10144,AD$22,FALSE)))</f>
        <v>43.6</v>
      </c>
      <c r="AE77" s="22">
        <f>IF(OR($B77="",AE$22=""),"",IF(LEN(VLOOKUP($B77,Database!$B$1:$IX$10144,AE$22,FALSE))=0,"",VLOOKUP($B77,Database!$B$1:$IX$10144,AE$22,FALSE)))</f>
        <v>13.2</v>
      </c>
      <c r="AF77" s="22">
        <f>IF(OR($B77="",AF$22=""),"",IF(LEN(VLOOKUP($B77,Database!$B$1:$IX$10144,AF$22,FALSE))=0,"",VLOOKUP($B77,Database!$B$1:$IX$10144,AF$22,FALSE)))</f>
        <v>15</v>
      </c>
      <c r="AG77" s="22">
        <f>IF(OR($B77="",AG$22=""),"",IF(LEN(VLOOKUP($B77,Database!$B$1:$IX$10144,AG$22,FALSE))=0,"",VLOOKUP($B77,Database!$B$1:$IX$10144,AG$22,FALSE)))</f>
        <v>15</v>
      </c>
      <c r="AH77" s="22"/>
      <c r="AI77" s="22"/>
      <c r="AJ77" s="22" t="str">
        <f>IF(OR($B77="",AJ$22=""),"",IF(LEN(VLOOKUP($B77,Database!$B$1:$IX$10144,AJ$22,FALSE))=0,"",VLOOKUP($B77,Database!$B$1:$IX$10144,AJ$22,FALSE)))</f>
        <v/>
      </c>
      <c r="AK77" s="22">
        <f>IF(OR($B77="",AK$22=""),"",IF(LEN(VLOOKUP($B77,Database!$B$1:$IX$10144,AK$22,FALSE))=0,"",VLOOKUP($B77,Database!$B$1:$IX$10144,AK$22,FALSE)))</f>
        <v>38.799999999999997</v>
      </c>
      <c r="AL77" s="22">
        <f>IF(OR($B77="",AL$22=""),"",IF(LEN(VLOOKUP($B77,Database!$B$1:$IX$10144,AL$22,FALSE))=0,"",VLOOKUP($B77,Database!$B$1:$IX$10144,AL$22,FALSE)))</f>
        <v>24.8</v>
      </c>
      <c r="AM77" s="22">
        <f>IF(OR($B77="",AM$22=""),"",IF(LEN(VLOOKUP($B77,Database!$B$1:$IX$10144,AM$22,FALSE))=0,"",VLOOKUP($B77,Database!$B$1:$IX$10144,AM$22,FALSE)))</f>
        <v>91.17647058823529</v>
      </c>
      <c r="AN77" s="22" t="str">
        <f>IF(OR($B77="",AN$22=""),"",IF(LEN(VLOOKUP($B77,Database!$B$1:$IX$10144,AN$22,FALSE))=0,"",VLOOKUP($B77,Database!$B$1:$IX$10144,AN$22,FALSE)))</f>
        <v>ns</v>
      </c>
      <c r="AO77" s="22">
        <f>IF(OR($B77="",AO$22=""),"",IF(LEN(VLOOKUP($B77,Database!$B$1:$IX$10144,AO$22,FALSE))=0,"",VLOOKUP($B77,Database!$B$1:$IX$10144,AO$22,FALSE)))</f>
        <v>11.76470588235294</v>
      </c>
      <c r="AP77" s="22">
        <f>IF(OR($B77="",AP$22=""),"",IF(LEN(VLOOKUP($B77,Database!$B$1:$IX$10144,AP$22,FALSE))=0,"",VLOOKUP($B77,Database!$B$1:$IX$10144,AP$22,FALSE)))</f>
        <v>8.8235294117647065</v>
      </c>
      <c r="AQ77" s="22" t="str">
        <f>IF(OR($B77="",AQ$22=""),"",IF(LEN(VLOOKUP($B77,Database!$B$1:$IX$10144,AQ$22,FALSE))=0,"",VLOOKUP($B77,Database!$B$1:$IX$10144,AQ$22,FALSE)))</f>
        <v>Frodl T, Schaub A, Banac S, Charypar M, Jager M, Kummler P, Bottlender R, Zetzsche T, Born C, Leinsinger G, Reiser M, Moller HJ, Meisenzahl EM.</v>
      </c>
    </row>
    <row r="78" spans="1:256">
      <c r="A78" s="10" t="s">
        <v>2336</v>
      </c>
      <c r="B78">
        <v>17389903</v>
      </c>
      <c r="C78" s="1" t="str">
        <f>IF($B78="","",HYPERLINK(IF(LEN(VLOOKUP($B78,Database!$B$1:$IX$10144,2,FALSE))=0,"",VLOOKUP($B78,Database!$B$1:$IX$10144,2,FALSE))))</f>
        <v/>
      </c>
      <c r="D78" s="1" t="str">
        <f t="shared" si="4"/>
        <v>http://www.ncbi.nlm.nih.gov/pubmed/17389903</v>
      </c>
      <c r="E78" s="22" t="str">
        <f>IF($B78="","",IF(LEN(VLOOKUP($B78,Database!$B$1:$IX$10144,4,FALSE))=0,"",VLOOKUP($B78,Database!$B$1:$IX$10144,4,FALSE)))</f>
        <v>Monkul ES</v>
      </c>
      <c r="F78" s="22">
        <f>IF($B78="","",IF(LEN(VLOOKUP($B78,Database!$B$1:$IX$10144,5,FALSE))=0,"",VLOOKUP($B78,Database!$B$1:$IX$10144,5,FALSE)))</f>
        <v>2007</v>
      </c>
      <c r="G78" s="1" t="str">
        <f>IF($B78="","",HYPERLINK(IF(LEN(VLOOKUP($B78,Database!$B$1:$IX$10144,6,FALSE))=0,"",VLOOKUP($B78,Database!$B$1:$IX$10144,6,FALSE))))</f>
        <v>http://www.nature.com/mp/journal/v12/n4/pdf/4001919a.pdf</v>
      </c>
      <c r="H78" s="83">
        <v>7</v>
      </c>
      <c r="I78" s="83">
        <v>8.5</v>
      </c>
      <c r="J78" t="s">
        <v>1378</v>
      </c>
      <c r="K78" t="s">
        <v>988</v>
      </c>
      <c r="L78">
        <v>3.44</v>
      </c>
      <c r="M78">
        <v>0.7</v>
      </c>
      <c r="N78">
        <v>3.32</v>
      </c>
      <c r="O78">
        <v>0.27</v>
      </c>
      <c r="P78">
        <v>3.35</v>
      </c>
      <c r="Q78">
        <v>0.49</v>
      </c>
      <c r="R78">
        <v>3.29</v>
      </c>
      <c r="S78">
        <v>0.34</v>
      </c>
      <c r="Y78" s="22" t="str">
        <f>IF(OR($B78="",Y$22=""),"",IF(LEN(VLOOKUP($B78,Database!$B$1:$IX$10144,Y$22,FALSE))=0,"",VLOOKUP($B78,Database!$B$1:$IX$10144,Y$22,FALSE)))</f>
        <v>DSM-IV</v>
      </c>
      <c r="Z78" s="22" t="str">
        <f>IF(OR($B78="",Z$22=""),"",IF(LEN(VLOOKUP($B78,Database!$B$1:$IX$10144,Z$22,FALSE))=0,"",VLOOKUP($B78,Database!$B$1:$IX$10144,Z$22,FALSE)))</f>
        <v>MRI</v>
      </c>
      <c r="AA78" s="22" t="str">
        <f>IF(OR($B78="",AA$22=""),"",IF(LEN(VLOOKUP($B78,Database!$B$1:$IX$10144,AA$22,FALSE))=0,"",VLOOKUP($B78,Database!$B$1:$IX$10144,AA$22,FALSE)))</f>
        <v/>
      </c>
      <c r="AB78" s="83">
        <v>31.4</v>
      </c>
      <c r="AC78" s="83">
        <v>13.9</v>
      </c>
      <c r="AD78" s="83">
        <f>IF(OR($B78="",AD$22=""),"",IF(LEN(VLOOKUP($B78,Database!$B$1:$IX$10144,AD$22,FALSE))=0,"",VLOOKUP($B78,Database!$B$1:$IX$10144,AD$22,FALSE)))</f>
        <v>31.3</v>
      </c>
      <c r="AE78" s="83">
        <f>IF(OR($B78="",AE$22=""),"",IF(LEN(VLOOKUP($B78,Database!$B$1:$IX$10144,AE$22,FALSE))=0,"",VLOOKUP($B78,Database!$B$1:$IX$10144,AE$22,FALSE)))</f>
        <v>8.3000000000000007</v>
      </c>
      <c r="AF78" s="83">
        <v>7</v>
      </c>
      <c r="AG78" s="83">
        <v>8.5</v>
      </c>
      <c r="AH78" s="22"/>
      <c r="AI78" s="22"/>
      <c r="AJ78" s="22" t="str">
        <f>IF(OR($B78="",AJ$22=""),"",IF(LEN(VLOOKUP($B78,Database!$B$1:$IX$10144,AJ$22,FALSE))=0,"",VLOOKUP($B78,Database!$B$1:$IX$10144,AJ$22,FALSE)))</f>
        <v/>
      </c>
      <c r="AK78" s="83">
        <v>16</v>
      </c>
      <c r="AL78" s="83">
        <v>13.7</v>
      </c>
      <c r="AM78" s="22">
        <f>IF(OR($B78="",AM$22=""),"",IF(LEN(VLOOKUP($B78,Database!$B$1:$IX$10144,AM$22,FALSE))=0,"",VLOOKUP($B78,Database!$B$1:$IX$10144,AM$22,FALSE)))</f>
        <v>0</v>
      </c>
      <c r="AN78" s="22">
        <f>IF(OR($B78="",AN$22=""),"",IF(LEN(VLOOKUP($B78,Database!$B$1:$IX$10144,AN$22,FALSE))=0,"",VLOOKUP($B78,Database!$B$1:$IX$10144,AN$22,FALSE)))</f>
        <v>0</v>
      </c>
      <c r="AO78" s="22">
        <f>IF(OR($B78="",AO$22=""),"",IF(LEN(VLOOKUP($B78,Database!$B$1:$IX$10144,AO$22,FALSE))=0,"",VLOOKUP($B78,Database!$B$1:$IX$10144,AO$22,FALSE)))</f>
        <v>0</v>
      </c>
      <c r="AP78" s="22">
        <f>IF(OR($B78="",AP$22=""),"",IF(LEN(VLOOKUP($B78,Database!$B$1:$IX$10144,AP$22,FALSE))=0,"",VLOOKUP($B78,Database!$B$1:$IX$10144,AP$22,FALSE)))</f>
        <v>100</v>
      </c>
      <c r="AQ78" s="22" t="str">
        <f>IF(OR($B78="",AQ$22=""),"",IF(LEN(VLOOKUP($B78,Database!$B$1:$IX$10144,AQ$22,FALSE))=0,"",VLOOKUP($B78,Database!$B$1:$IX$10144,AQ$22,FALSE)))</f>
        <v>Monkul ES, Hatch JP, Nicoletti MA, Spence S, Brambilla P, Lacerda AL, Sassi RB, Mallinger AG, Keshavan MS, Soares JC.</v>
      </c>
    </row>
    <row r="79" spans="1:256">
      <c r="A79" s="10" t="s">
        <v>2336</v>
      </c>
      <c r="B79">
        <v>17389903</v>
      </c>
      <c r="C79" s="1" t="str">
        <f>IF($B79="","",HYPERLINK(IF(LEN(VLOOKUP($B79,Database!$B$1:$IX$10144,2,FALSE))=0,"",VLOOKUP($B79,Database!$B$1:$IX$10144,2,FALSE))))</f>
        <v/>
      </c>
      <c r="D79" s="1" t="str">
        <f t="shared" si="4"/>
        <v>http://www.ncbi.nlm.nih.gov/pubmed/17389903</v>
      </c>
      <c r="E79" s="22" t="str">
        <f>IF($B79="","",IF(LEN(VLOOKUP($B79,Database!$B$1:$IX$10144,4,FALSE))=0,"",VLOOKUP($B79,Database!$B$1:$IX$10144,4,FALSE)))</f>
        <v>Monkul ES</v>
      </c>
      <c r="F79" s="22">
        <f>IF($B79="","",IF(LEN(VLOOKUP($B79,Database!$B$1:$IX$10144,5,FALSE))=0,"",VLOOKUP($B79,Database!$B$1:$IX$10144,5,FALSE)))</f>
        <v>2007</v>
      </c>
      <c r="G79" s="1" t="str">
        <f>IF($B79="","",HYPERLINK(IF(LEN(VLOOKUP($B79,Database!$B$1:$IX$10144,6,FALSE))=0,"",VLOOKUP($B79,Database!$B$1:$IX$10144,6,FALSE))))</f>
        <v>http://www.nature.com/mp/journal/v12/n4/pdf/4001919a.pdf</v>
      </c>
      <c r="H79" s="83">
        <v>10</v>
      </c>
      <c r="I79" s="83">
        <v>8.5</v>
      </c>
      <c r="J79" t="s">
        <v>1378</v>
      </c>
      <c r="K79" t="s">
        <v>989</v>
      </c>
      <c r="L79">
        <v>3.38</v>
      </c>
      <c r="M79">
        <v>0.43</v>
      </c>
      <c r="N79">
        <v>3.32</v>
      </c>
      <c r="O79">
        <v>0.27</v>
      </c>
      <c r="P79">
        <v>3.47</v>
      </c>
      <c r="Q79">
        <v>0.42</v>
      </c>
      <c r="R79">
        <v>3.29</v>
      </c>
      <c r="S79">
        <v>0.34</v>
      </c>
      <c r="Y79" s="22" t="str">
        <f>IF(OR($B79="",Y$22=""),"",IF(LEN(VLOOKUP($B79,Database!$B$1:$IX$10144,Y$22,FALSE))=0,"",VLOOKUP($B79,Database!$B$1:$IX$10144,Y$22,FALSE)))</f>
        <v>DSM-IV</v>
      </c>
      <c r="Z79" s="22" t="str">
        <f>IF(OR($B79="",Z$22=""),"",IF(LEN(VLOOKUP($B79,Database!$B$1:$IX$10144,Z$22,FALSE))=0,"",VLOOKUP($B79,Database!$B$1:$IX$10144,Z$22,FALSE)))</f>
        <v>MRI</v>
      </c>
      <c r="AA79" s="22" t="str">
        <f>IF(OR($B79="",AA$22=""),"",IF(LEN(VLOOKUP($B79,Database!$B$1:$IX$10144,AA$22,FALSE))=0,"",VLOOKUP($B79,Database!$B$1:$IX$10144,AA$22,FALSE)))</f>
        <v/>
      </c>
      <c r="AB79" s="83">
        <v>36.5</v>
      </c>
      <c r="AC79" s="83">
        <v>7.5</v>
      </c>
      <c r="AD79" s="83">
        <f>IF(OR($B79="",AD$22=""),"",IF(LEN(VLOOKUP($B79,Database!$B$1:$IX$10144,AD$22,FALSE))=0,"",VLOOKUP($B79,Database!$B$1:$IX$10144,AD$22,FALSE)))</f>
        <v>31.3</v>
      </c>
      <c r="AE79" s="83">
        <f>IF(OR($B79="",AE$22=""),"",IF(LEN(VLOOKUP($B79,Database!$B$1:$IX$10144,AE$22,FALSE))=0,"",VLOOKUP($B79,Database!$B$1:$IX$10144,AE$22,FALSE)))</f>
        <v>8.3000000000000007</v>
      </c>
      <c r="AF79" s="83">
        <v>10</v>
      </c>
      <c r="AG79" s="83">
        <v>8.5</v>
      </c>
      <c r="AH79" s="22"/>
      <c r="AI79" s="22"/>
      <c r="AJ79" s="22" t="str">
        <f>IF(OR($B79="",AJ$22=""),"",IF(LEN(VLOOKUP($B79,Database!$B$1:$IX$10144,AJ$22,FALSE))=0,"",VLOOKUP($B79,Database!$B$1:$IX$10144,AJ$22,FALSE)))</f>
        <v/>
      </c>
      <c r="AK79" s="83">
        <v>26.9</v>
      </c>
      <c r="AL79" s="83">
        <v>10.9</v>
      </c>
      <c r="AM79" s="22">
        <f>IF(OR($B79="",AM$22=""),"",IF(LEN(VLOOKUP($B79,Database!$B$1:$IX$10144,AM$22,FALSE))=0,"",VLOOKUP($B79,Database!$B$1:$IX$10144,AM$22,FALSE)))</f>
        <v>0</v>
      </c>
      <c r="AN79" s="22">
        <f>IF(OR($B79="",AN$22=""),"",IF(LEN(VLOOKUP($B79,Database!$B$1:$IX$10144,AN$22,FALSE))=0,"",VLOOKUP($B79,Database!$B$1:$IX$10144,AN$22,FALSE)))</f>
        <v>0</v>
      </c>
      <c r="AO79" s="22">
        <f>IF(OR($B79="",AO$22=""),"",IF(LEN(VLOOKUP($B79,Database!$B$1:$IX$10144,AO$22,FALSE))=0,"",VLOOKUP($B79,Database!$B$1:$IX$10144,AO$22,FALSE)))</f>
        <v>0</v>
      </c>
      <c r="AP79" s="22">
        <f>IF(OR($B79="",AP$22=""),"",IF(LEN(VLOOKUP($B79,Database!$B$1:$IX$10144,AP$22,FALSE))=0,"",VLOOKUP($B79,Database!$B$1:$IX$10144,AP$22,FALSE)))</f>
        <v>100</v>
      </c>
      <c r="AQ79" s="22" t="str">
        <f>IF(OR($B79="",AQ$22=""),"",IF(LEN(VLOOKUP($B79,Database!$B$1:$IX$10144,AQ$22,FALSE))=0,"",VLOOKUP($B79,Database!$B$1:$IX$10144,AQ$22,FALSE)))</f>
        <v>Monkul ES, Hatch JP, Nicoletti MA, Spence S, Brambilla P, Lacerda AL, Sassi RB, Mallinger AG, Keshavan MS, Soares JC.</v>
      </c>
    </row>
    <row r="80" spans="1:256">
      <c r="A80" s="10" t="s">
        <v>2335</v>
      </c>
      <c r="B80">
        <v>18787661</v>
      </c>
      <c r="C80" s="1" t="str">
        <f>IF($B80="","",HYPERLINK(IF(LEN(VLOOKUP($B80,Database!$B$1:$IX$10144,2,FALSE))=0,"",VLOOKUP($B80,Database!$B$1:$IX$10144,2,FALSE))))</f>
        <v/>
      </c>
      <c r="D80" s="1" t="str">
        <f t="shared" si="4"/>
        <v>http://www.ncbi.nlm.nih.gov/pubmed/18787661</v>
      </c>
      <c r="E80" s="22" t="str">
        <f>IF($B80="","",IF(LEN(VLOOKUP($B80,Database!$B$1:$IX$10144,4,FALSE))=0,"",VLOOKUP($B80,Database!$B$1:$IX$10144,4,FALSE)))</f>
        <v>Frodl T (C)</v>
      </c>
      <c r="F80" s="22">
        <f>IF($B80="","",IF(LEN(VLOOKUP($B80,Database!$B$1:$IX$10144,5,FALSE))=0,"",VLOOKUP($B80,Database!$B$1:$IX$10144,5,FALSE)))</f>
        <v>2008</v>
      </c>
      <c r="G80" s="1" t="str">
        <f>IF($B80="","",HYPERLINK(IF(LEN(VLOOKUP($B80,Database!$B$1:$IX$10144,6,FALSE))=0,"",VLOOKUP($B80,Database!$B$1:$IX$10144,6,FALSE))))</f>
        <v>http://www.cma.ca/multimedia/staticContent/HTML/N0/l2/jpn/vol-33/issue-5/pdf/pg423.pdf</v>
      </c>
      <c r="H80" s="22">
        <f>IF($B80="","",IF(LEN(VLOOKUP($B80,Database!$B$1:$IX$10144,7,FALSE))=0,"",VLOOKUP($B80,Database!$B$1:$IX$10144,7,FALSE)))</f>
        <v>30</v>
      </c>
      <c r="I80" s="22">
        <f>IF($B80="","",IF(LEN(VLOOKUP($B80,Database!$B$1:$IX$10144,8,FALSE))=0,"",VLOOKUP($B80,Database!$B$1:$IX$10144,8,FALSE)))</f>
        <v>30</v>
      </c>
      <c r="J80" t="s">
        <v>652</v>
      </c>
      <c r="L80">
        <v>3.71</v>
      </c>
      <c r="M80">
        <v>0.34</v>
      </c>
      <c r="N80">
        <v>3.72</v>
      </c>
      <c r="O80">
        <v>0.37</v>
      </c>
      <c r="P80">
        <v>3.85</v>
      </c>
      <c r="Q80">
        <v>0.34</v>
      </c>
      <c r="R80">
        <v>3.82</v>
      </c>
      <c r="S80">
        <v>0.47</v>
      </c>
      <c r="Y80" s="22" t="str">
        <f>IF(OR($B80="",Y$22=""),"",IF(LEN(VLOOKUP($B80,Database!$B$1:$IX$10144,Y$22,FALSE))=0,"",VLOOKUP($B80,Database!$B$1:$IX$10144,Y$22,FALSE)))</f>
        <v>DSM-IV</v>
      </c>
      <c r="Z80" s="22" t="str">
        <f>IF(OR($B80="",Z$22=""),"",IF(LEN(VLOOKUP($B80,Database!$B$1:$IX$10144,Z$22,FALSE))=0,"",VLOOKUP($B80,Database!$B$1:$IX$10144,Z$22,FALSE)))</f>
        <v>MRI</v>
      </c>
      <c r="AA80" s="22" t="str">
        <f>IF(OR($B80="",AA$22=""),"",IF(LEN(VLOOKUP($B80,Database!$B$1:$IX$10144,AA$22,FALSE))=0,"",VLOOKUP($B80,Database!$B$1:$IX$10144,AA$22,FALSE)))</f>
        <v/>
      </c>
      <c r="AB80" s="22">
        <f>IF(OR($B80="",AB$22=""),"",IF(LEN(VLOOKUP($B80,Database!$B$1:$IX$10144,AB$22,FALSE))=0,"",VLOOKUP($B80,Database!$B$1:$IX$10144,AB$22,FALSE)))</f>
        <v>45</v>
      </c>
      <c r="AC80" s="22">
        <f>IF(OR($B80="",AC$22=""),"",IF(LEN(VLOOKUP($B80,Database!$B$1:$IX$10144,AC$22,FALSE))=0,"",VLOOKUP($B80,Database!$B$1:$IX$10144,AC$22,FALSE)))</f>
        <v>11.1</v>
      </c>
      <c r="AD80" s="22">
        <f>IF(OR($B80="",AD$22=""),"",IF(LEN(VLOOKUP($B80,Database!$B$1:$IX$10144,AD$22,FALSE))=0,"",VLOOKUP($B80,Database!$B$1:$IX$10144,AD$22,FALSE)))</f>
        <v>43.6</v>
      </c>
      <c r="AE80" s="22">
        <f>IF(OR($B80="",AE$22=""),"",IF(LEN(VLOOKUP($B80,Database!$B$1:$IX$10144,AE$22,FALSE))=0,"",VLOOKUP($B80,Database!$B$1:$IX$10144,AE$22,FALSE)))</f>
        <v>13.1</v>
      </c>
      <c r="AF80" s="22">
        <f>IF(OR($B80="",AF$22=""),"",IF(LEN(VLOOKUP($B80,Database!$B$1:$IX$10144,AF$22,FALSE))=0,"",VLOOKUP($B80,Database!$B$1:$IX$10144,AF$22,FALSE)))</f>
        <v>19</v>
      </c>
      <c r="AG80" s="22">
        <f>IF(OR($B80="",AG$22=""),"",IF(LEN(VLOOKUP($B80,Database!$B$1:$IX$10144,AG$22,FALSE))=0,"",VLOOKUP($B80,Database!$B$1:$IX$10144,AG$22,FALSE)))</f>
        <v>19</v>
      </c>
      <c r="AH80" s="22"/>
      <c r="AI80" s="22"/>
      <c r="AJ80" s="22" t="str">
        <f>IF(OR($B80="",AJ$22=""),"",IF(LEN(VLOOKUP($B80,Database!$B$1:$IX$10144,AJ$22,FALSE))=0,"",VLOOKUP($B80,Database!$B$1:$IX$10144,AJ$22,FALSE)))</f>
        <v/>
      </c>
      <c r="AK80" s="22">
        <f>IF(OR($B80="",AK$22=""),"",IF(LEN(VLOOKUP($B80,Database!$B$1:$IX$10144,AK$22,FALSE))=0,"",VLOOKUP($B80,Database!$B$1:$IX$10144,AK$22,FALSE)))</f>
        <v>39.299999999999997</v>
      </c>
      <c r="AL80" s="22">
        <f>IF(OR($B80="",AL$22=""),"",IF(LEN(VLOOKUP($B80,Database!$B$1:$IX$10144,AL$22,FALSE))=0,"",VLOOKUP($B80,Database!$B$1:$IX$10144,AL$22,FALSE)))</f>
        <v>24</v>
      </c>
      <c r="AM80" s="22">
        <f>IF(OR($B80="",AM$22=""),"",IF(LEN(VLOOKUP($B80,Database!$B$1:$IX$10144,AM$22,FALSE))=0,"",VLOOKUP($B80,Database!$B$1:$IX$10144,AM$22,FALSE)))</f>
        <v>96.666666666666671</v>
      </c>
      <c r="AN80" s="22" t="str">
        <f>IF(OR($B80="",AN$22=""),"",IF(LEN(VLOOKUP($B80,Database!$B$1:$IX$10144,AN$22,FALSE))=0,"",VLOOKUP($B80,Database!$B$1:$IX$10144,AN$22,FALSE)))</f>
        <v>ns</v>
      </c>
      <c r="AO80" s="22" t="str">
        <f>IF(OR($B80="",AO$22=""),"",IF(LEN(VLOOKUP($B80,Database!$B$1:$IX$10144,AO$22,FALSE))=0,"",VLOOKUP($B80,Database!$B$1:$IX$10144,AO$22,FALSE)))</f>
        <v>ns</v>
      </c>
      <c r="AP80" s="22" t="str">
        <f>IF(OR($B80="",AP$22=""),"",IF(LEN(VLOOKUP($B80,Database!$B$1:$IX$10144,AP$22,FALSE))=0,"",VLOOKUP($B80,Database!$B$1:$IX$10144,AP$22,FALSE)))</f>
        <v>ns</v>
      </c>
      <c r="AQ80" s="22" t="str">
        <f>IF(OR($B80="",AQ$22=""),"",IF(LEN(VLOOKUP($B80,Database!$B$1:$IX$10144,AQ$22,FALSE))=0,"",VLOOKUP($B80,Database!$B$1:$IX$10144,AQ$22,FALSE)))</f>
        <v>Frodl T, Jäger M, Smajstrlova I, Born C, Bottlender R, Palladino T, Reiser M, Möller HJ, Meisenzahl EM.</v>
      </c>
    </row>
    <row r="81" spans="1:52">
      <c r="A81" s="10" t="s">
        <v>1188</v>
      </c>
      <c r="B81">
        <v>18508244</v>
      </c>
      <c r="C81" s="1" t="str">
        <f>IF($B81="","",HYPERLINK(IF(LEN(VLOOKUP($B81,Database!$B$1:$IX$10144,2,FALSE))=0,"",VLOOKUP($B81,Database!$B$1:$IX$10144,2,FALSE))))</f>
        <v/>
      </c>
      <c r="D81" s="1" t="str">
        <f t="shared" si="4"/>
        <v>http://www.ncbi.nlm.nih.gov/pubmed/18508244</v>
      </c>
      <c r="E81" s="22" t="str">
        <f>IF($B81="","",IF(LEN(VLOOKUP($B81,Database!$B$1:$IX$10144,4,FALSE))=0,"",VLOOKUP($B81,Database!$B$1:$IX$10144,4,FALSE)))</f>
        <v>Greenberg DL</v>
      </c>
      <c r="F81" s="22">
        <f>IF($B81="","",IF(LEN(VLOOKUP($B81,Database!$B$1:$IX$10144,5,FALSE))=0,"",VLOOKUP($B81,Database!$B$1:$IX$10144,5,FALSE)))</f>
        <v>2008</v>
      </c>
      <c r="G81" s="1" t="str">
        <f>IF($B81="","",HYPERLINK(IF(LEN(VLOOKUP($B81,Database!$B$1:$IX$10144,6,FALSE))=0,"",VLOOKUP($B81,Database!$B$1:$IX$10144,6,FALSE))))</f>
        <v>http://dx.doi.org/10.1016/j.pscychresns.2007.12.009</v>
      </c>
      <c r="H81" s="83">
        <v>56</v>
      </c>
      <c r="I81" s="83">
        <v>41.5</v>
      </c>
      <c r="J81" t="s">
        <v>609</v>
      </c>
      <c r="K81" t="s">
        <v>607</v>
      </c>
      <c r="L81">
        <v>2.91</v>
      </c>
      <c r="M81">
        <v>0.45</v>
      </c>
      <c r="N81">
        <v>2.95</v>
      </c>
      <c r="O81">
        <v>0.45</v>
      </c>
      <c r="P81">
        <v>3.13</v>
      </c>
      <c r="Q81">
        <v>0.36</v>
      </c>
      <c r="R81">
        <v>3.13</v>
      </c>
      <c r="S81">
        <v>0.44</v>
      </c>
      <c r="Y81" s="22" t="str">
        <f>IF(OR($B81="",Y$22=""),"",IF(LEN(VLOOKUP($B81,Database!$B$1:$IX$10144,Y$22,FALSE))=0,"",VLOOKUP($B81,Database!$B$1:$IX$10144,Y$22,FALSE)))</f>
        <v>DSM-IV</v>
      </c>
      <c r="Z81" s="22" t="str">
        <f>IF(OR($B81="",Z$22=""),"",IF(LEN(VLOOKUP($B81,Database!$B$1:$IX$10144,Z$22,FALSE))=0,"",VLOOKUP($B81,Database!$B$1:$IX$10144,Z$22,FALSE)))</f>
        <v>MRI</v>
      </c>
      <c r="AA81" s="83" t="s">
        <v>751</v>
      </c>
      <c r="AB81" s="83">
        <v>71</v>
      </c>
      <c r="AC81" s="83">
        <v>7</v>
      </c>
      <c r="AD81" s="22">
        <f>IF(OR($B81="",AD$22=""),"",IF(LEN(VLOOKUP($B81,Database!$B$1:$IX$10144,AD$22,FALSE))=0,"",VLOOKUP($B81,Database!$B$1:$IX$10144,AD$22,FALSE)))</f>
        <v>69</v>
      </c>
      <c r="AE81" s="22">
        <f>IF(OR($B81="",AE$22=""),"",IF(LEN(VLOOKUP($B81,Database!$B$1:$IX$10144,AE$22,FALSE))=0,"",VLOOKUP($B81,Database!$B$1:$IX$10144,AE$22,FALSE)))</f>
        <v>7</v>
      </c>
      <c r="AF81" s="83">
        <v>37</v>
      </c>
      <c r="AG81" s="83">
        <v>31.5</v>
      </c>
      <c r="AH81" s="22"/>
      <c r="AI81" s="22"/>
      <c r="AJ81" s="22" t="str">
        <f>IF(OR($B81="",AJ$22=""),"",IF(LEN(VLOOKUP($B81,Database!$B$1:$IX$10144,AJ$22,FALSE))=0,"",VLOOKUP($B81,Database!$B$1:$IX$10144,AJ$22,FALSE)))</f>
        <v/>
      </c>
      <c r="AK81" s="83">
        <v>49</v>
      </c>
      <c r="AL81" s="83">
        <v>21</v>
      </c>
      <c r="AM81" s="22" t="str">
        <f>IF(OR($B81="",AM$22=""),"",IF(LEN(VLOOKUP($B81,Database!$B$1:$IX$10144,AM$22,FALSE))=0,"",VLOOKUP($B81,Database!$B$1:$IX$10144,AM$22,FALSE)))</f>
        <v>ns</v>
      </c>
      <c r="AN81" s="22" t="str">
        <f>IF(OR($B81="",AN$22=""),"",IF(LEN(VLOOKUP($B81,Database!$B$1:$IX$10144,AN$22,FALSE))=0,"",VLOOKUP($B81,Database!$B$1:$IX$10144,AN$22,FALSE)))</f>
        <v>ns</v>
      </c>
      <c r="AO81" s="22" t="str">
        <f>IF(OR($B81="",AO$22=""),"",IF(LEN(VLOOKUP($B81,Database!$B$1:$IX$10144,AO$22,FALSE))=0,"",VLOOKUP($B81,Database!$B$1:$IX$10144,AO$22,FALSE)))</f>
        <v>ns</v>
      </c>
      <c r="AP81" s="22" t="str">
        <f>IF(OR($B81="",AP$22=""),"",IF(LEN(VLOOKUP($B81,Database!$B$1:$IX$10144,AP$22,FALSE))=0,"",VLOOKUP($B81,Database!$B$1:$IX$10144,AP$22,FALSE)))</f>
        <v>ns</v>
      </c>
      <c r="AQ81" s="22" t="str">
        <f>IF(OR($B81="",AQ$22=""),"",IF(LEN(VLOOKUP($B81,Database!$B$1:$IX$10144,AQ$22,FALSE))=0,"",VLOOKUP($B81,Database!$B$1:$IX$10144,AQ$22,FALSE)))</f>
        <v>Greenberg DL, Payne ME, MacFall JR, Steffens DC, Krishnan RR.</v>
      </c>
    </row>
    <row r="82" spans="1:52">
      <c r="A82" s="10" t="s">
        <v>1188</v>
      </c>
      <c r="B82">
        <v>18508244</v>
      </c>
      <c r="C82" s="1" t="str">
        <f>IF($B82="","",HYPERLINK(IF(LEN(VLOOKUP($B82,Database!$B$1:$IX$10144,2,FALSE))=0,"",VLOOKUP($B82,Database!$B$1:$IX$10144,2,FALSE))))</f>
        <v/>
      </c>
      <c r="D82" s="1" t="str">
        <f t="shared" si="4"/>
        <v>http://www.ncbi.nlm.nih.gov/pubmed/18508244</v>
      </c>
      <c r="E82" s="22" t="str">
        <f>IF($B82="","",IF(LEN(VLOOKUP($B82,Database!$B$1:$IX$10144,4,FALSE))=0,"",VLOOKUP($B82,Database!$B$1:$IX$10144,4,FALSE)))</f>
        <v>Greenberg DL</v>
      </c>
      <c r="F82" s="22">
        <f>IF($B82="","",IF(LEN(VLOOKUP($B82,Database!$B$1:$IX$10144,5,FALSE))=0,"",VLOOKUP($B82,Database!$B$1:$IX$10144,5,FALSE)))</f>
        <v>2008</v>
      </c>
      <c r="G82" s="1" t="str">
        <f>IF($B82="","",HYPERLINK(IF(LEN(VLOOKUP($B82,Database!$B$1:$IX$10144,6,FALSE))=0,"",VLOOKUP($B82,Database!$B$1:$IX$10144,6,FALSE))))</f>
        <v>http://dx.doi.org/10.1016/j.pscychresns.2007.12.009</v>
      </c>
      <c r="H82" s="83">
        <v>68</v>
      </c>
      <c r="I82" s="83">
        <v>41.5</v>
      </c>
      <c r="J82" t="s">
        <v>609</v>
      </c>
      <c r="K82" t="s">
        <v>608</v>
      </c>
      <c r="L82">
        <v>2.99</v>
      </c>
      <c r="M82">
        <v>0.48</v>
      </c>
      <c r="N82">
        <v>2.95</v>
      </c>
      <c r="O82">
        <v>0.45</v>
      </c>
      <c r="P82">
        <v>3.07</v>
      </c>
      <c r="Q82">
        <v>0.46</v>
      </c>
      <c r="R82">
        <v>3.13</v>
      </c>
      <c r="S82">
        <v>0.44</v>
      </c>
      <c r="Y82" s="22" t="str">
        <f>IF(OR($B82="",Y$22=""),"",IF(LEN(VLOOKUP($B82,Database!$B$1:$IX$10144,Y$22,FALSE))=0,"",VLOOKUP($B82,Database!$B$1:$IX$10144,Y$22,FALSE)))</f>
        <v>DSM-IV</v>
      </c>
      <c r="Z82" s="22" t="str">
        <f>IF(OR($B82="",Z$22=""),"",IF(LEN(VLOOKUP($B82,Database!$B$1:$IX$10144,Z$22,FALSE))=0,"",VLOOKUP($B82,Database!$B$1:$IX$10144,Z$22,FALSE)))</f>
        <v>MRI</v>
      </c>
      <c r="AA82" s="83" t="s">
        <v>752</v>
      </c>
      <c r="AB82" s="83">
        <v>70</v>
      </c>
      <c r="AC82" s="83">
        <v>8</v>
      </c>
      <c r="AD82" s="22">
        <f>IF(OR($B82="",AD$22=""),"",IF(LEN(VLOOKUP($B82,Database!$B$1:$IX$10144,AD$22,FALSE))=0,"",VLOOKUP($B82,Database!$B$1:$IX$10144,AD$22,FALSE)))</f>
        <v>69</v>
      </c>
      <c r="AE82" s="22">
        <f>IF(OR($B82="",AE$22=""),"",IF(LEN(VLOOKUP($B82,Database!$B$1:$IX$10144,AE$22,FALSE))=0,"",VLOOKUP($B82,Database!$B$1:$IX$10144,AE$22,FALSE)))</f>
        <v>7</v>
      </c>
      <c r="AF82" s="83">
        <v>48</v>
      </c>
      <c r="AG82" s="83">
        <v>31.5</v>
      </c>
      <c r="AH82" s="22"/>
      <c r="AI82" s="22"/>
      <c r="AJ82" s="22" t="str">
        <f>IF(OR($B82="",AJ$22=""),"",IF(LEN(VLOOKUP($B82,Database!$B$1:$IX$10144,AJ$22,FALSE))=0,"",VLOOKUP($B82,Database!$B$1:$IX$10144,AJ$22,FALSE)))</f>
        <v/>
      </c>
      <c r="AK82" s="83">
        <v>40</v>
      </c>
      <c r="AL82" s="83">
        <v>21</v>
      </c>
      <c r="AM82" s="22" t="str">
        <f>IF(OR($B82="",AM$22=""),"",IF(LEN(VLOOKUP($B82,Database!$B$1:$IX$10144,AM$22,FALSE))=0,"",VLOOKUP($B82,Database!$B$1:$IX$10144,AM$22,FALSE)))</f>
        <v>ns</v>
      </c>
      <c r="AN82" s="22" t="str">
        <f>IF(OR($B82="",AN$22=""),"",IF(LEN(VLOOKUP($B82,Database!$B$1:$IX$10144,AN$22,FALSE))=0,"",VLOOKUP($B82,Database!$B$1:$IX$10144,AN$22,FALSE)))</f>
        <v>ns</v>
      </c>
      <c r="AO82" s="22" t="str">
        <f>IF(OR($B82="",AO$22=""),"",IF(LEN(VLOOKUP($B82,Database!$B$1:$IX$10144,AO$22,FALSE))=0,"",VLOOKUP($B82,Database!$B$1:$IX$10144,AO$22,FALSE)))</f>
        <v>ns</v>
      </c>
      <c r="AP82" s="22" t="str">
        <f>IF(OR($B82="",AP$22=""),"",IF(LEN(VLOOKUP($B82,Database!$B$1:$IX$10144,AP$22,FALSE))=0,"",VLOOKUP($B82,Database!$B$1:$IX$10144,AP$22,FALSE)))</f>
        <v>ns</v>
      </c>
      <c r="AQ82" s="22" t="str">
        <f>IF(OR($B82="",AQ$22=""),"",IF(LEN(VLOOKUP($B82,Database!$B$1:$IX$10144,AQ$22,FALSE))=0,"",VLOOKUP($B82,Database!$B$1:$IX$10144,AQ$22,FALSE)))</f>
        <v>Greenberg DL, Payne ME, MacFall JR, Steffens DC, Krishnan RR.</v>
      </c>
    </row>
    <row r="83" spans="1:52">
      <c r="A83" s="10" t="s">
        <v>1912</v>
      </c>
      <c r="B83">
        <v>18515903</v>
      </c>
      <c r="C83" s="1" t="str">
        <f>IF($B83="","",HYPERLINK(IF(LEN(VLOOKUP($B83,Database!$B$1:$IX$10144,2,FALSE))=0,"",VLOOKUP($B83,Database!$B$1:$IX$10144,2,FALSE))))</f>
        <v/>
      </c>
      <c r="D83" s="1" t="str">
        <f t="shared" si="4"/>
        <v>http://www.ncbi.nlm.nih.gov/pubmed/18515903</v>
      </c>
      <c r="E83" s="22" t="str">
        <f>IF($B83="","",IF(LEN(VLOOKUP($B83,Database!$B$1:$IX$10144,4,FALSE))=0,"",VLOOKUP($B83,Database!$B$1:$IX$10144,4,FALSE)))</f>
        <v>Kronmüller KT</v>
      </c>
      <c r="F83" s="22">
        <f>IF($B83="","",IF(LEN(VLOOKUP($B83,Database!$B$1:$IX$10144,5,FALSE))=0,"",VLOOKUP($B83,Database!$B$1:$IX$10144,5,FALSE)))</f>
        <v>2008</v>
      </c>
      <c r="G83" s="1" t="str">
        <f>IF($B83="","",HYPERLINK(IF(LEN(VLOOKUP($B83,Database!$B$1:$IX$10144,6,FALSE))=0,"",VLOOKUP($B83,Database!$B$1:$IX$10144,6,FALSE))))</f>
        <v>http://bjp.rcpsych.org/cgi/content/full/192/6/472</v>
      </c>
      <c r="H83" s="22">
        <f>IF($B83="","",IF(LEN(VLOOKUP($B83,Database!$B$1:$IX$10144,7,FALSE))=0,"",VLOOKUP($B83,Database!$B$1:$IX$10144,7,FALSE)))</f>
        <v>49</v>
      </c>
      <c r="I83" s="22">
        <f>IF($B83="","",IF(LEN(VLOOKUP($B83,Database!$B$1:$IX$10144,8,FALSE))=0,"",VLOOKUP($B83,Database!$B$1:$IX$10144,8,FALSE)))</f>
        <v>30</v>
      </c>
      <c r="K83" s="10"/>
      <c r="Y83" s="22" t="str">
        <f>IF(OR($B83="",Y$22=""),"",IF(LEN(VLOOKUP($B83,Database!$B$1:$IX$10144,Y$22,FALSE))=0,"",VLOOKUP($B83,Database!$B$1:$IX$10144,Y$22,FALSE)))</f>
        <v>DSM-IV</v>
      </c>
      <c r="Z83" s="22" t="str">
        <f>IF(OR($B83="",Z$22=""),"",IF(LEN(VLOOKUP($B83,Database!$B$1:$IX$10144,Z$22,FALSE))=0,"",VLOOKUP($B83,Database!$B$1:$IX$10144,Z$22,FALSE)))</f>
        <v>MRI</v>
      </c>
      <c r="AA83" s="22" t="str">
        <f>IF(OR($B83="",AA$22=""),"",IF(LEN(VLOOKUP($B83,Database!$B$1:$IX$10144,AA$22,FALSE))=0,"",VLOOKUP($B83,Database!$B$1:$IX$10144,AA$22,FALSE)))</f>
        <v/>
      </c>
      <c r="AB83" s="22" t="str">
        <f>IF(OR($B83="",AB$22=""),"",IF(LEN(VLOOKUP($B83,Database!$B$1:$IX$10144,AB$22,FALSE))=0,"",VLOOKUP($B83,Database!$B$1:$IX$10144,AB$22,FALSE)))</f>
        <v/>
      </c>
      <c r="AC83" s="22" t="str">
        <f>IF(OR($B83="",AC$22=""),"",IF(LEN(VLOOKUP($B83,Database!$B$1:$IX$10144,AC$22,FALSE))=0,"",VLOOKUP($B83,Database!$B$1:$IX$10144,AC$22,FALSE)))</f>
        <v/>
      </c>
      <c r="AD83" s="22" t="str">
        <f>IF(OR($B83="",AD$22=""),"",IF(LEN(VLOOKUP($B83,Database!$B$1:$IX$10144,AD$22,FALSE))=0,"",VLOOKUP($B83,Database!$B$1:$IX$10144,AD$22,FALSE)))</f>
        <v/>
      </c>
      <c r="AE83" s="22" t="str">
        <f>IF(OR($B83="",AE$22=""),"",IF(LEN(VLOOKUP($B83,Database!$B$1:$IX$10144,AE$22,FALSE))=0,"",VLOOKUP($B83,Database!$B$1:$IX$10144,AE$22,FALSE)))</f>
        <v/>
      </c>
      <c r="AF83" s="22" t="str">
        <f>IF(OR($B83="",AF$22=""),"",IF(LEN(VLOOKUP($B83,Database!$B$1:$IX$10144,AF$22,FALSE))=0,"",VLOOKUP($B83,Database!$B$1:$IX$10144,AF$22,FALSE)))</f>
        <v/>
      </c>
      <c r="AG83" s="22" t="str">
        <f>IF(OR($B83="",AG$22=""),"",IF(LEN(VLOOKUP($B83,Database!$B$1:$IX$10144,AG$22,FALSE))=0,"",VLOOKUP($B83,Database!$B$1:$IX$10144,AG$22,FALSE)))</f>
        <v/>
      </c>
      <c r="AH83" s="22">
        <f>IF(OR($B83="",AH$22=""),"",IF(LEN(VLOOKUP($B83,Database!$B$1:$IX$10144,AH$22,FALSE))=0,"",VLOOKUP($B83,Database!$B$1:$IX$10144,AH$22,FALSE)))</f>
        <v>1.5</v>
      </c>
      <c r="AI83" s="22" t="str">
        <f>IF(OR($B83="",AI$22=""),"",IF(LEN(VLOOKUP($B83,Database!$B$1:$IX$10144,AI$22,FALSE))=0,"",VLOOKUP($B83,Database!$B$1:$IX$10144,AI$22,FALSE)))</f>
        <v>ns</v>
      </c>
      <c r="AJ83" s="22" t="str">
        <f>IF(OR($B83="",AJ$22=""),"",IF(LEN(VLOOKUP($B83,Database!$B$1:$IX$10144,AJ$22,FALSE))=0,"",VLOOKUP($B83,Database!$B$1:$IX$10144,AJ$22,FALSE)))</f>
        <v/>
      </c>
      <c r="AK83" s="22" t="str">
        <f>IF(OR($B83="",AK$22=""),"",IF(LEN(VLOOKUP($B83,Database!$B$1:$IX$10144,AK$22,FALSE))=0,"",VLOOKUP($B83,Database!$B$1:$IX$10144,AK$22,FALSE)))</f>
        <v>ns</v>
      </c>
      <c r="AL83" s="22">
        <f>IF(OR($B83="",AL$22=""),"",IF(LEN(VLOOKUP($B83,Database!$B$1:$IX$10144,AL$22,FALSE))=0,"",VLOOKUP($B83,Database!$B$1:$IX$10144,AL$22,FALSE)))</f>
        <v>22.74</v>
      </c>
      <c r="AM83" s="22" t="str">
        <f>IF(OR($B83="",AM$22=""),"",IF(LEN(VLOOKUP($B83,Database!$B$1:$IX$10144,AM$22,FALSE))=0,"",VLOOKUP($B83,Database!$B$1:$IX$10144,AM$22,FALSE)))</f>
        <v>ns</v>
      </c>
      <c r="AN83" s="22" t="str">
        <f>IF(OR($B83="",AN$22=""),"",IF(LEN(VLOOKUP($B83,Database!$B$1:$IX$10144,AN$22,FALSE))=0,"",VLOOKUP($B83,Database!$B$1:$IX$10144,AN$22,FALSE)))</f>
        <v>ns</v>
      </c>
      <c r="AO83" s="22" t="str">
        <f>IF(OR($B83="",AO$22=""),"",IF(LEN(VLOOKUP($B83,Database!$B$1:$IX$10144,AO$22,FALSE))=0,"",VLOOKUP($B83,Database!$B$1:$IX$10144,AO$22,FALSE)))</f>
        <v>ns</v>
      </c>
      <c r="AP83" s="22" t="str">
        <f>IF(OR($B83="",AP$22=""),"",IF(LEN(VLOOKUP($B83,Database!$B$1:$IX$10144,AP$22,FALSE))=0,"",VLOOKUP($B83,Database!$B$1:$IX$10144,AP$22,FALSE)))</f>
        <v>ns</v>
      </c>
      <c r="AQ83" s="22" t="str">
        <f>IF(OR($B83="",AQ$22=""),"",IF(LEN(VLOOKUP($B83,Database!$B$1:$IX$10144,AQ$22,FALSE))=0,"",VLOOKUP($B83,Database!$B$1:$IX$10144,AQ$22,FALSE)))</f>
        <v>Kronmüller KT, Pantel J, Köhler S, Victor D, Giesel F, Magnotta VA, Mundt C, Essig M, Schröder J.</v>
      </c>
    </row>
    <row r="84" spans="1:52">
      <c r="A84" s="10" t="s">
        <v>2210</v>
      </c>
      <c r="B84">
        <v>18068956</v>
      </c>
      <c r="C84" s="1" t="str">
        <f>IF($B84="","",HYPERLINK(IF(LEN(VLOOKUP($B84,Database!$B$1:$IX$10144,2,FALSE))=0,"",VLOOKUP($B84,Database!$B$1:$IX$10144,2,FALSE))))</f>
        <v/>
      </c>
      <c r="D84" s="1" t="str">
        <f t="shared" si="4"/>
        <v>http://www.ncbi.nlm.nih.gov/pubmed/18068956</v>
      </c>
      <c r="E84" s="22" t="str">
        <f>IF($B84="","",IF(LEN(VLOOKUP($B84,Database!$B$1:$IX$10144,4,FALSE))=0,"",VLOOKUP($B84,Database!$B$1:$IX$10144,4,FALSE)))</f>
        <v>Lenze SN</v>
      </c>
      <c r="F84" s="22">
        <f>IF($B84="","",IF(LEN(VLOOKUP($B84,Database!$B$1:$IX$10144,5,FALSE))=0,"",VLOOKUP($B84,Database!$B$1:$IX$10144,5,FALSE)))</f>
        <v>2008</v>
      </c>
      <c r="G84" s="1" t="str">
        <f>IF($B84="","",HYPERLINK(IF(LEN(VLOOKUP($B84,Database!$B$1:$IX$10144,6,FALSE))=0,"",VLOOKUP($B84,Database!$B$1:$IX$10144,6,FALSE))))</f>
        <v>http://dx.doi.org/10.1016/j.pscychresns.2007.04.004</v>
      </c>
      <c r="H84" s="22">
        <f>IF($B84="","",IF(LEN(VLOOKUP($B84,Database!$B$1:$IX$10144,7,FALSE))=0,"",VLOOKUP($B84,Database!$B$1:$IX$10144,7,FALSE)))</f>
        <v>31</v>
      </c>
      <c r="I84" s="22">
        <f>IF($B84="","",IF(LEN(VLOOKUP($B84,Database!$B$1:$IX$10144,8,FALSE))=0,"",VLOOKUP($B84,Database!$B$1:$IX$10144,8,FALSE)))</f>
        <v>24</v>
      </c>
      <c r="J84" t="s">
        <v>1002</v>
      </c>
      <c r="K84" s="10"/>
      <c r="Y84" s="22" t="str">
        <f>IF(OR($B84="",Y$22=""),"",IF(LEN(VLOOKUP($B84,Database!$B$1:$IX$10144,Y$22,FALSE))=0,"",VLOOKUP($B84,Database!$B$1:$IX$10144,Y$22,FALSE)))</f>
        <v>DSM-IV</v>
      </c>
      <c r="Z84" s="22" t="str">
        <f>IF(OR($B84="",Z$22=""),"",IF(LEN(VLOOKUP($B84,Database!$B$1:$IX$10144,Z$22,FALSE))=0,"",VLOOKUP($B84,Database!$B$1:$IX$10144,Z$22,FALSE)))</f>
        <v>MRI</v>
      </c>
      <c r="AA84" s="22" t="str">
        <f>IF(OR($B84="",AA$22=""),"",IF(LEN(VLOOKUP($B84,Database!$B$1:$IX$10144,AA$22,FALSE))=0,"",VLOOKUP($B84,Database!$B$1:$IX$10144,AA$22,FALSE)))</f>
        <v/>
      </c>
      <c r="AB84" s="22">
        <f>IF(OR($B84="",AB$22=""),"",IF(LEN(VLOOKUP($B84,Database!$B$1:$IX$10144,AB$22,FALSE))=0,"",VLOOKUP($B84,Database!$B$1:$IX$10144,AB$22,FALSE)))</f>
        <v>50</v>
      </c>
      <c r="AC84" s="22">
        <f>IF(OR($B84="",AC$22=""),"",IF(LEN(VLOOKUP($B84,Database!$B$1:$IX$10144,AC$22,FALSE))=0,"",VLOOKUP($B84,Database!$B$1:$IX$10144,AC$22,FALSE)))</f>
        <v>15</v>
      </c>
      <c r="AD84" s="22">
        <f>IF(OR($B84="",AD$22=""),"",IF(LEN(VLOOKUP($B84,Database!$B$1:$IX$10144,AD$22,FALSE))=0,"",VLOOKUP($B84,Database!$B$1:$IX$10144,AD$22,FALSE)))</f>
        <v>46</v>
      </c>
      <c r="AE84" s="22">
        <f>IF(OR($B84="",AE$22=""),"",IF(LEN(VLOOKUP($B84,Database!$B$1:$IX$10144,AE$22,FALSE))=0,"",VLOOKUP($B84,Database!$B$1:$IX$10144,AE$22,FALSE)))</f>
        <v>14</v>
      </c>
      <c r="AF84" s="22">
        <f>IF(OR($B84="",AF$22=""),"",IF(LEN(VLOOKUP($B84,Database!$B$1:$IX$10144,AF$22,FALSE))=0,"",VLOOKUP($B84,Database!$B$1:$IX$10144,AF$22,FALSE)))</f>
        <v>31</v>
      </c>
      <c r="AG84" s="22">
        <f>IF(OR($B84="",AG$22=""),"",IF(LEN(VLOOKUP($B84,Database!$B$1:$IX$10144,AG$22,FALSE))=0,"",VLOOKUP($B84,Database!$B$1:$IX$10144,AG$22,FALSE)))</f>
        <v>24</v>
      </c>
      <c r="AH84" s="22">
        <f>IF(OR($B84="",AH$22=""),"",IF(LEN(VLOOKUP($B84,Database!$B$1:$IX$10144,AH$22,FALSE))=0,"",VLOOKUP($B84,Database!$B$1:$IX$10144,AH$22,FALSE)))</f>
        <v>1.5</v>
      </c>
      <c r="AI84" s="22">
        <f>IF(OR($B84="",AI$22=""),"",IF(LEN(VLOOKUP($B84,Database!$B$1:$IX$10144,AI$22,FALSE))=0,"",VLOOKUP($B84,Database!$B$1:$IX$10144,AI$22,FALSE)))</f>
        <v>1.25</v>
      </c>
      <c r="AJ84" s="22" t="str">
        <f>IF(OR($B84="",AJ$22=""),"",IF(LEN(VLOOKUP($B84,Database!$B$1:$IX$10144,AJ$22,FALSE))=0,"",VLOOKUP($B84,Database!$B$1:$IX$10144,AJ$22,FALSE)))</f>
        <v/>
      </c>
      <c r="AK84" s="22">
        <f>IF(OR($B84="",AK$22=""),"",IF(LEN(VLOOKUP($B84,Database!$B$1:$IX$10144,AK$22,FALSE))=0,"",VLOOKUP($B84,Database!$B$1:$IX$10144,AK$22,FALSE)))</f>
        <v>29</v>
      </c>
      <c r="AL84" s="22">
        <f>IF(OR($B84="",AL$22=""),"",IF(LEN(VLOOKUP($B84,Database!$B$1:$IX$10144,AL$22,FALSE))=0,"",VLOOKUP($B84,Database!$B$1:$IX$10144,AL$22,FALSE)))</f>
        <v>7</v>
      </c>
      <c r="AM84" s="22">
        <f>IF(OR($B84="",AM$22=""),"",IF(LEN(VLOOKUP($B84,Database!$B$1:$IX$10144,AM$22,FALSE))=0,"",VLOOKUP($B84,Database!$B$1:$IX$10144,AM$22,FALSE)))</f>
        <v>77.41935483870968</v>
      </c>
      <c r="AN84" s="22" t="str">
        <f>IF(OR($B84="",AN$22=""),"",IF(LEN(VLOOKUP($B84,Database!$B$1:$IX$10144,AN$22,FALSE))=0,"",VLOOKUP($B84,Database!$B$1:$IX$10144,AN$22,FALSE)))</f>
        <v>ns</v>
      </c>
      <c r="AO84" s="22" t="str">
        <f>IF(OR($B84="",AO$22=""),"",IF(LEN(VLOOKUP($B84,Database!$B$1:$IX$10144,AO$22,FALSE))=0,"",VLOOKUP($B84,Database!$B$1:$IX$10144,AO$22,FALSE)))</f>
        <v>ns</v>
      </c>
      <c r="AP84" s="22" t="str">
        <f>IF(OR($B84="",AP$22=""),"",IF(LEN(VLOOKUP($B84,Database!$B$1:$IX$10144,AP$22,FALSE))=0,"",VLOOKUP($B84,Database!$B$1:$IX$10144,AP$22,FALSE)))</f>
        <v>ns</v>
      </c>
      <c r="AQ84" s="22" t="str">
        <f>IF(OR($B84="",AQ$22=""),"",IF(LEN(VLOOKUP($B84,Database!$B$1:$IX$10144,AQ$22,FALSE))=0,"",VLOOKUP($B84,Database!$B$1:$IX$10144,AQ$22,FALSE)))</f>
        <v>Lenze SN, Xiong C, Sheline YI.</v>
      </c>
    </row>
    <row r="85" spans="1:52">
      <c r="A85" s="10" t="s">
        <v>1188</v>
      </c>
      <c r="B85">
        <v>18350172</v>
      </c>
      <c r="C85" s="1" t="str">
        <f>IF($B85="","",HYPERLINK(IF(LEN(VLOOKUP($B85,Database!$B$1:$IX$10144,2,FALSE))=0,"",VLOOKUP($B85,Database!$B$1:$IX$10144,2,FALSE))))</f>
        <v/>
      </c>
      <c r="D85" s="1" t="str">
        <f t="shared" si="4"/>
        <v>http://www.ncbi.nlm.nih.gov/pubmed/18350172</v>
      </c>
      <c r="E85" s="22" t="str">
        <f>IF($B85="","",IF(LEN(VLOOKUP($B85,Database!$B$1:$IX$10144,4,FALSE))=0,"",VLOOKUP($B85,Database!$B$1:$IX$10144,4,FALSE)))</f>
        <v>Zhao Z</v>
      </c>
      <c r="F85" s="22">
        <f>IF($B85="","",IF(LEN(VLOOKUP($B85,Database!$B$1:$IX$10144,5,FALSE))=0,"",VLOOKUP($B85,Database!$B$1:$IX$10144,5,FALSE)))</f>
        <v>2008</v>
      </c>
      <c r="G85" s="1" t="str">
        <f>IF($B85="","",HYPERLINK(IF(LEN(VLOOKUP($B85,Database!$B$1:$IX$10144,6,FALSE))=0,"",VLOOKUP($B85,Database!$B$1:$IX$10144,6,FALSE))))</f>
        <v>http://www.plosone.org/article/info:doi/10.1371/journal.pone.0001837</v>
      </c>
      <c r="H85" s="22">
        <f>IF($B85="","",IF(LEN(VLOOKUP($B85,Database!$B$1:$IX$10144,7,FALSE))=0,"",VLOOKUP($B85,Database!$B$1:$IX$10144,7,FALSE)))</f>
        <v>61</v>
      </c>
      <c r="I85" s="22">
        <f>IF($B85="","",IF(LEN(VLOOKUP($B85,Database!$B$1:$IX$10144,8,FALSE))=0,"",VLOOKUP($B85,Database!$B$1:$IX$10144,8,FALSE)))</f>
        <v>43</v>
      </c>
      <c r="J85" t="s">
        <v>1614</v>
      </c>
      <c r="L85">
        <v>3.42</v>
      </c>
      <c r="M85">
        <v>0.54</v>
      </c>
      <c r="N85">
        <v>3.55</v>
      </c>
      <c r="O85">
        <v>0.48</v>
      </c>
      <c r="P85">
        <v>3.65</v>
      </c>
      <c r="Q85">
        <v>0.55000000000000004</v>
      </c>
      <c r="R85">
        <v>3.66</v>
      </c>
      <c r="S85">
        <v>0.56999999999999995</v>
      </c>
      <c r="Y85" s="22" t="str">
        <f>IF(OR($B85="",Y$22=""),"",IF(LEN(VLOOKUP($B85,Database!$B$1:$IX$10144,Y$22,FALSE))=0,"",VLOOKUP($B85,Database!$B$1:$IX$10144,Y$22,FALSE)))</f>
        <v>DSM-IV</v>
      </c>
      <c r="Z85" s="22" t="str">
        <f>IF(OR($B85="",Z$22=""),"",IF(LEN(VLOOKUP($B85,Database!$B$1:$IX$10144,Z$22,FALSE))=0,"",VLOOKUP($B85,Database!$B$1:$IX$10144,Z$22,FALSE)))</f>
        <v>MRI</v>
      </c>
      <c r="AA85" s="22" t="str">
        <f>IF(OR($B85="",AA$22=""),"",IF(LEN(VLOOKUP($B85,Database!$B$1:$IX$10144,AA$22,FALSE))=0,"",VLOOKUP($B85,Database!$B$1:$IX$10144,AA$22,FALSE)))</f>
        <v/>
      </c>
      <c r="AB85" s="22">
        <f>IF(OR($B85="",AB$22=""),"",IF(LEN(VLOOKUP($B85,Database!$B$1:$IX$10144,AB$22,FALSE))=0,"",VLOOKUP($B85,Database!$B$1:$IX$10144,AB$22,FALSE)))</f>
        <v>65.900000000000006</v>
      </c>
      <c r="AC85" s="22">
        <f>IF(OR($B85="",AC$22=""),"",IF(LEN(VLOOKUP($B85,Database!$B$1:$IX$10144,AC$22,FALSE))=0,"",VLOOKUP($B85,Database!$B$1:$IX$10144,AC$22,FALSE)))</f>
        <v>5.5</v>
      </c>
      <c r="AD85" s="22">
        <f>IF(OR($B85="",AD$22=""),"",IF(LEN(VLOOKUP($B85,Database!$B$1:$IX$10144,AD$22,FALSE))=0,"",VLOOKUP($B85,Database!$B$1:$IX$10144,AD$22,FALSE)))</f>
        <v>69</v>
      </c>
      <c r="AE85" s="22">
        <f>IF(OR($B85="",AE$22=""),"",IF(LEN(VLOOKUP($B85,Database!$B$1:$IX$10144,AE$22,FALSE))=0,"",VLOOKUP($B85,Database!$B$1:$IX$10144,AE$22,FALSE)))</f>
        <v>5.5</v>
      </c>
      <c r="AF85" s="22">
        <f>IF(OR($B85="",AF$22=""),"",IF(LEN(VLOOKUP($B85,Database!$B$1:$IX$10144,AF$22,FALSE))=0,"",VLOOKUP($B85,Database!$B$1:$IX$10144,AF$22,FALSE)))</f>
        <v>37</v>
      </c>
      <c r="AG85" s="22">
        <f>IF(OR($B85="",AG$22=""),"",IF(LEN(VLOOKUP($B85,Database!$B$1:$IX$10144,AG$22,FALSE))=0,"",VLOOKUP($B85,Database!$B$1:$IX$10144,AG$22,FALSE)))</f>
        <v>29</v>
      </c>
      <c r="AH85" s="22"/>
      <c r="AI85" s="22"/>
      <c r="AJ85" s="22" t="str">
        <f>IF(OR($B85="",AJ$22=""),"",IF(LEN(VLOOKUP($B85,Database!$B$1:$IX$10144,AJ$22,FALSE))=0,"",VLOOKUP($B85,Database!$B$1:$IX$10144,AJ$22,FALSE)))</f>
        <v/>
      </c>
      <c r="AK85" s="22">
        <f>IF(OR($B85="",AK$22=""),"",IF(LEN(VLOOKUP($B85,Database!$B$1:$IX$10144,AK$22,FALSE))=0,"",VLOOKUP($B85,Database!$B$1:$IX$10144,AK$22,FALSE)))</f>
        <v>39.299999999999997</v>
      </c>
      <c r="AL85" s="22" t="str">
        <f>IF(OR($B85="",AL$22=""),"",IF(LEN(VLOOKUP($B85,Database!$B$1:$IX$10144,AL$22,FALSE))=0,"",VLOOKUP($B85,Database!$B$1:$IX$10144,AL$22,FALSE)))</f>
        <v>ns</v>
      </c>
      <c r="AM85" s="22">
        <f>IF(OR($B85="",AM$22=""),"",IF(LEN(VLOOKUP($B85,Database!$B$1:$IX$10144,AM$22,FALSE))=0,"",VLOOKUP($B85,Database!$B$1:$IX$10144,AM$22,FALSE)))</f>
        <v>88.52459016393442</v>
      </c>
      <c r="AN85" s="22" t="str">
        <f>IF(OR($B85="",AN$22=""),"",IF(LEN(VLOOKUP($B85,Database!$B$1:$IX$10144,AN$22,FALSE))=0,"",VLOOKUP($B85,Database!$B$1:$IX$10144,AN$22,FALSE)))</f>
        <v>ns</v>
      </c>
      <c r="AO85" s="22" t="str">
        <f>IF(OR($B85="",AO$22=""),"",IF(LEN(VLOOKUP($B85,Database!$B$1:$IX$10144,AO$22,FALSE))=0,"",VLOOKUP($B85,Database!$B$1:$IX$10144,AO$22,FALSE)))</f>
        <v>ns</v>
      </c>
      <c r="AP85" s="22" t="str">
        <f>IF(OR($B85="",AP$22=""),"",IF(LEN(VLOOKUP($B85,Database!$B$1:$IX$10144,AP$22,FALSE))=0,"",VLOOKUP($B85,Database!$B$1:$IX$10144,AP$22,FALSE)))</f>
        <v>ns</v>
      </c>
      <c r="AQ85" s="22" t="str">
        <f>IF(OR($B85="",AQ$22=""),"",IF(LEN(VLOOKUP($B85,Database!$B$1:$IX$10144,AQ$22,FALSE))=0,"",VLOOKUP($B85,Database!$B$1:$IX$10144,AQ$22,FALSE)))</f>
        <v>Zhao Z, Taylor WD, Styner M, Steffens DC, Krishnan KR, MacFall JR.</v>
      </c>
    </row>
    <row r="86" spans="1:52">
      <c r="A86" s="10" t="s">
        <v>1188</v>
      </c>
      <c r="B86">
        <v>19010425</v>
      </c>
      <c r="C86" s="1" t="str">
        <f>IF($B86="","",HYPERLINK(IF(LEN(VLOOKUP($B86,Database!$B$1:$IX$10144,2,FALSE))=0,"",VLOOKUP($B86,Database!$B$1:$IX$10144,2,FALSE))))</f>
        <v/>
      </c>
      <c r="D86" s="1" t="str">
        <f t="shared" si="4"/>
        <v>http://www.ncbi.nlm.nih.gov/pubmed/19010425</v>
      </c>
      <c r="E86" s="22" t="str">
        <f>IF($B86="","",IF(LEN(VLOOKUP($B86,Database!$B$1:$IX$10144,4,FALSE))=0,"",VLOOKUP($B86,Database!$B$1:$IX$10144,4,FALSE)))</f>
        <v>Qiu A</v>
      </c>
      <c r="F86" s="22">
        <f>IF($B86="","",IF(LEN(VLOOKUP($B86,Database!$B$1:$IX$10144,5,FALSE))=0,"",VLOOKUP($B86,Database!$B$1:$IX$10144,5,FALSE)))</f>
        <v>2009</v>
      </c>
      <c r="G86" s="1" t="str">
        <f>IF($B86="","",HYPERLINK(IF(LEN(VLOOKUP($B86,Database!$B$1:$IX$10144,6,FALSE))=0,"",VLOOKUP($B86,Database!$B$1:$IX$10144,6,FALSE))))</f>
        <v>http://dx.doi.org/10.1016/j.neuroimage.2008.10.010</v>
      </c>
      <c r="H86" s="83">
        <v>38</v>
      </c>
      <c r="I86" s="22">
        <f>IF($B86="","",IF(LEN(VLOOKUP($B86,Database!$B$1:$IX$10144,8,FALSE))=0,"",VLOOKUP($B86,Database!$B$1:$IX$10144,8,FALSE)))</f>
        <v>31</v>
      </c>
      <c r="J86" t="s">
        <v>887</v>
      </c>
      <c r="K86" t="s">
        <v>644</v>
      </c>
      <c r="L86">
        <v>3381.6</v>
      </c>
      <c r="M86">
        <v>414.9</v>
      </c>
      <c r="N86">
        <v>3520.2</v>
      </c>
      <c r="O86">
        <v>481.1</v>
      </c>
      <c r="P86">
        <v>3620.4</v>
      </c>
      <c r="Q86">
        <v>451.1</v>
      </c>
      <c r="R86">
        <v>3607.9</v>
      </c>
      <c r="S86">
        <v>542</v>
      </c>
      <c r="Y86" s="22" t="str">
        <f>IF(OR($B86="",Y$22=""),"",IF(LEN(VLOOKUP($B86,Database!$B$1:$IX$10144,Y$22,FALSE))=0,"",VLOOKUP($B86,Database!$B$1:$IX$10144,Y$22,FALSE)))</f>
        <v>DSM-IV</v>
      </c>
      <c r="Z86" s="22" t="str">
        <f>IF(OR($B86="",Z$22=""),"",IF(LEN(VLOOKUP($B86,Database!$B$1:$IX$10144,Z$22,FALSE))=0,"",VLOOKUP($B86,Database!$B$1:$IX$10144,Z$22,FALSE)))</f>
        <v>MRI</v>
      </c>
      <c r="AA86" s="22" t="str">
        <f>IF(OR($B86="",AA$22=""),"",IF(LEN(VLOOKUP($B86,Database!$B$1:$IX$10144,AA$22,FALSE))=0,"",VLOOKUP($B86,Database!$B$1:$IX$10144,AA$22,FALSE)))</f>
        <v/>
      </c>
      <c r="AB86" s="22" t="str">
        <f>IF(OR($B86="",AB$22=""),"",IF(LEN(VLOOKUP($B86,Database!$B$1:$IX$10144,AB$22,FALSE))=0,"",VLOOKUP($B86,Database!$B$1:$IX$10144,AB$22,FALSE)))</f>
        <v/>
      </c>
      <c r="AC86" s="22" t="str">
        <f>IF(OR($B86="",AC$22=""),"",IF(LEN(VLOOKUP($B86,Database!$B$1:$IX$10144,AC$22,FALSE))=0,"",VLOOKUP($B86,Database!$B$1:$IX$10144,AC$22,FALSE)))</f>
        <v/>
      </c>
      <c r="AD86" s="22">
        <f>IF(OR($B86="",AD$22=""),"",IF(LEN(VLOOKUP($B86,Database!$B$1:$IX$10144,AD$22,FALSE))=0,"",VLOOKUP($B86,Database!$B$1:$IX$10144,AD$22,FALSE)))</f>
        <v>68.900000000000006</v>
      </c>
      <c r="AE86" s="22">
        <f>IF(OR($B86="",AE$22=""),"",IF(LEN(VLOOKUP($B86,Database!$B$1:$IX$10144,AE$22,FALSE))=0,"",VLOOKUP($B86,Database!$B$1:$IX$10144,AE$22,FALSE)))</f>
        <v>5.9</v>
      </c>
      <c r="AF86" s="22">
        <f>IF(OR($B86="",AF$22=""),"",IF(LEN(VLOOKUP($B86,Database!$B$1:$IX$10144,AF$22,FALSE))=0,"",VLOOKUP($B86,Database!$B$1:$IX$10144,AF$22,FALSE)))</f>
        <v>34</v>
      </c>
      <c r="AG86" s="22">
        <f>IF(OR($B86="",AG$22=""),"",IF(LEN(VLOOKUP($B86,Database!$B$1:$IX$10144,AG$22,FALSE))=0,"",VLOOKUP($B86,Database!$B$1:$IX$10144,AG$22,FALSE)))</f>
        <v>21</v>
      </c>
      <c r="AH86" s="22"/>
      <c r="AI86" s="22"/>
      <c r="AJ86" s="22" t="str">
        <f>IF(OR($B86="",AJ$22=""),"",IF(LEN(VLOOKUP($B86,Database!$B$1:$IX$10144,AJ$22,FALSE))=0,"",VLOOKUP($B86,Database!$B$1:$IX$10144,AJ$22,FALSE)))</f>
        <v/>
      </c>
      <c r="AK86" s="22" t="str">
        <f>IF(OR($B86="",AK$22=""),"",IF(LEN(VLOOKUP($B86,Database!$B$1:$IX$10144,AK$22,FALSE))=0,"",VLOOKUP($B86,Database!$B$1:$IX$10144,AK$22,FALSE)))</f>
        <v>ns</v>
      </c>
      <c r="AL86" s="22" t="str">
        <f>IF(OR($B86="",AL$22=""),"",IF(LEN(VLOOKUP($B86,Database!$B$1:$IX$10144,AL$22,FALSE))=0,"",VLOOKUP($B86,Database!$B$1:$IX$10144,AL$22,FALSE)))</f>
        <v>ns</v>
      </c>
      <c r="AM86" s="22">
        <f>IF(OR($B86="",AM$22=""),"",IF(LEN(VLOOKUP($B86,Database!$B$1:$IX$10144,AM$22,FALSE))=0,"",VLOOKUP($B86,Database!$B$1:$IX$10144,AM$22,FALSE)))</f>
        <v>90.384615384615387</v>
      </c>
      <c r="AN86" s="22" t="str">
        <f>IF(OR($B86="",AN$22=""),"",IF(LEN(VLOOKUP($B86,Database!$B$1:$IX$10144,AN$22,FALSE))=0,"",VLOOKUP($B86,Database!$B$1:$IX$10144,AN$22,FALSE)))</f>
        <v>ns</v>
      </c>
      <c r="AO86" s="22" t="str">
        <f>IF(OR($B86="",AO$22=""),"",IF(LEN(VLOOKUP($B86,Database!$B$1:$IX$10144,AO$22,FALSE))=0,"",VLOOKUP($B86,Database!$B$1:$IX$10144,AO$22,FALSE)))</f>
        <v>ns</v>
      </c>
      <c r="AP86" s="22" t="str">
        <f>IF(OR($B86="",AP$22=""),"",IF(LEN(VLOOKUP($B86,Database!$B$1:$IX$10144,AP$22,FALSE))=0,"",VLOOKUP($B86,Database!$B$1:$IX$10144,AP$22,FALSE)))</f>
        <v>ns</v>
      </c>
      <c r="AQ86" s="22" t="str">
        <f>IF(OR($B86="",AQ$22=""),"",IF(LEN(VLOOKUP($B86,Database!$B$1:$IX$10144,AQ$22,FALSE))=0,"",VLOOKUP($B86,Database!$B$1:$IX$10144,AQ$22,FALSE)))</f>
        <v>Qiu A, Taylor WD, Zhao Z, MacFall JR, Miller MI, Key CR, Payne ME, Steffens DC, Krishnan KR.</v>
      </c>
    </row>
    <row r="87" spans="1:52">
      <c r="I87" s="22" t="str">
        <f>IF($B87="","",IF(LEN(VLOOKUP($B87,Database!$B$1:$IX$10144,8,FALSE))=0,"",VLOOKUP($B87,Database!$B$1:$IX$10144,8,FALSE)))</f>
        <v/>
      </c>
      <c r="AF87" t="s">
        <v>602</v>
      </c>
      <c r="AJ87" t="s">
        <v>329</v>
      </c>
      <c r="AN87" t="s">
        <v>330</v>
      </c>
    </row>
    <row r="88" spans="1:52" ht="45" customHeight="1">
      <c r="E88" s="60" t="s">
        <v>617</v>
      </c>
      <c r="F88" s="60" t="s">
        <v>740</v>
      </c>
      <c r="G88" s="60" t="s">
        <v>244</v>
      </c>
      <c r="H88" s="60" t="s">
        <v>245</v>
      </c>
      <c r="I88" s="60" t="s">
        <v>246</v>
      </c>
      <c r="J88" s="60" t="s">
        <v>593</v>
      </c>
      <c r="K88" s="60" t="s">
        <v>1039</v>
      </c>
      <c r="L88" s="60" t="s">
        <v>594</v>
      </c>
      <c r="M88" s="60" t="s">
        <v>1299</v>
      </c>
      <c r="N88" s="61" t="s">
        <v>595</v>
      </c>
      <c r="O88" s="61" t="s">
        <v>596</v>
      </c>
      <c r="P88" s="61" t="s">
        <v>597</v>
      </c>
      <c r="Q88" s="61" t="s">
        <v>598</v>
      </c>
      <c r="R88" s="61" t="s">
        <v>599</v>
      </c>
      <c r="S88" s="61" t="s">
        <v>600</v>
      </c>
      <c r="T88" s="61" t="s">
        <v>601</v>
      </c>
      <c r="U88" s="61" t="s">
        <v>484</v>
      </c>
      <c r="V88" s="61" t="s">
        <v>485</v>
      </c>
      <c r="W88" s="61" t="s">
        <v>486</v>
      </c>
      <c r="AF88" s="61" t="s">
        <v>1517</v>
      </c>
      <c r="AG88" s="62" t="s">
        <v>834</v>
      </c>
      <c r="AH88" s="62" t="s">
        <v>835</v>
      </c>
      <c r="AJ88" s="61" t="s">
        <v>836</v>
      </c>
      <c r="AK88" s="61" t="s">
        <v>837</v>
      </c>
      <c r="AL88" s="61" t="s">
        <v>487</v>
      </c>
      <c r="AN88" t="s">
        <v>488</v>
      </c>
      <c r="AO88" t="s">
        <v>489</v>
      </c>
      <c r="AP88" t="s">
        <v>490</v>
      </c>
      <c r="AQ88" t="s">
        <v>491</v>
      </c>
      <c r="AR88" t="s">
        <v>492</v>
      </c>
      <c r="AS88" t="s">
        <v>493</v>
      </c>
      <c r="AT88" t="s">
        <v>494</v>
      </c>
      <c r="AU88" t="s">
        <v>495</v>
      </c>
      <c r="AV88" t="s">
        <v>496</v>
      </c>
      <c r="AW88" t="s">
        <v>497</v>
      </c>
      <c r="AX88" t="s">
        <v>498</v>
      </c>
      <c r="AY88" t="s">
        <v>499</v>
      </c>
    </row>
    <row r="89" spans="1:52">
      <c r="E89" t="str">
        <f t="shared" ref="E89:F100" si="5">E24</f>
        <v>Ashtari M</v>
      </c>
      <c r="F89">
        <f t="shared" si="5"/>
        <v>1999</v>
      </c>
      <c r="G89">
        <v>42</v>
      </c>
      <c r="H89">
        <f t="shared" ref="H89:I100" si="6">H24</f>
        <v>40</v>
      </c>
      <c r="I89">
        <f t="shared" si="6"/>
        <v>46</v>
      </c>
      <c r="J89">
        <f t="shared" ref="J89:M90" si="7">IF($D$4="Total",T24,IF($D$4="Left",L24,IF($D$4="Right",P24,"error")))</f>
        <v>1745</v>
      </c>
      <c r="K89">
        <f t="shared" si="7"/>
        <v>380</v>
      </c>
      <c r="L89">
        <f t="shared" si="7"/>
        <v>1853</v>
      </c>
      <c r="M89">
        <f t="shared" si="7"/>
        <v>348</v>
      </c>
      <c r="N89">
        <f t="shared" ref="N89:N99" si="8">IF($D$3=1,SQRT((((I89-1)*(M89)^2)+((H89-1)*(K89)^2))/(H89+I89-2)),M89)</f>
        <v>363.20792942886033</v>
      </c>
      <c r="O89" s="59">
        <f t="shared" ref="O89:O99" si="9">IF($D$6=1,LN(J89/L89),IF($D$5=1,(1-3/(4*(H89+I89)-9))*((J89-L89)/N89),(J89-L89)/N89))</f>
        <v>-0.2946874975697894</v>
      </c>
      <c r="P89" s="63">
        <f t="shared" ref="P89:P99" si="10">IF($D$6=1,(K89^2)/(H89*J89^2)+(M89^2)/(I89*L89^2),(IF($D$5=1,((H89+I89)/(H89*I89))+(O89*O89)/(2*(H89+I89-3.94)),((H89+I89)/(H89*I89))+((O89^2)/(2*(H89+I89-2))))))</f>
        <v>4.726825985973962E-2</v>
      </c>
      <c r="Q89" s="59">
        <f t="shared" ref="Q89:Q130" si="11">$R$147*SQRT(P89)</f>
        <v>0.42612879165479506</v>
      </c>
      <c r="R89" s="59">
        <f t="shared" ref="R89:R99" si="12">1/P89</f>
        <v>21.155845444010989</v>
      </c>
      <c r="S89" s="59">
        <f t="shared" ref="S89:S99" si="13">O89*R89</f>
        <v>-6.2343631528688288</v>
      </c>
      <c r="T89" s="59">
        <f t="shared" ref="T89:T99" si="14">R89*(O89^2)</f>
        <v>1.8371888764602176</v>
      </c>
      <c r="U89" s="23">
        <f t="shared" ref="U89:U99" si="15">R89^2</f>
        <v>447.56979645088052</v>
      </c>
      <c r="V89" s="59">
        <f t="shared" ref="V89:V107" si="16">1/((1/R89)+$I$144)</f>
        <v>4.6641854848749169</v>
      </c>
      <c r="W89" s="59">
        <f t="shared" ref="W89:W99" si="17">V89*O89</f>
        <v>-1.3744771487391241</v>
      </c>
      <c r="AF89" s="59">
        <f t="shared" ref="AF89:AF99" si="18">IF($D$6=1,100*((EXP(O89))-1),O89)</f>
        <v>-0.2946874975697894</v>
      </c>
      <c r="AG89" s="59">
        <f t="shared" ref="AG89:AG99" si="19">IF($D$6=1,100*(EXP(O89+Q89)-EXP(O89)),Q89)</f>
        <v>0.42612879165479506</v>
      </c>
      <c r="AH89" s="59">
        <f t="shared" ref="AH89:AH99" si="20">IF($D$6=1,100*(EXP(O89)-EXP(O89-Q89)),Q89)</f>
        <v>0.42612879165479506</v>
      </c>
      <c r="AJ89">
        <f t="shared" ref="AJ89:AJ99" si="21">SQRT(P89)</f>
        <v>0.21741264880346686</v>
      </c>
      <c r="AK89">
        <f t="shared" ref="AK89:AK130" si="22">1/AJ89</f>
        <v>4.5995483956591858</v>
      </c>
      <c r="AL89">
        <f t="shared" ref="AL89:AL99" si="23">O89/AJ89</f>
        <v>-1.3554294066679451</v>
      </c>
      <c r="AN89" s="207" t="str">
        <f t="shared" ref="AN89:AN99" si="24">E89</f>
        <v>Ashtari M</v>
      </c>
      <c r="AO89" s="207">
        <f t="shared" ref="AO89:AO99" si="25">F89</f>
        <v>1999</v>
      </c>
      <c r="AP89" s="207" t="str">
        <f t="shared" ref="AP89:AP99" si="26">CONCATENATE(AN89," ",AO89)</f>
        <v>Ashtari M 1999</v>
      </c>
      <c r="AQ89" s="207">
        <f t="shared" ref="AQ89:AQ99" si="27">INT(H89)</f>
        <v>40</v>
      </c>
      <c r="AR89" s="207">
        <f t="shared" ref="AR89:AR99" si="28">J89</f>
        <v>1745</v>
      </c>
      <c r="AS89" s="207">
        <f t="shared" ref="AS89:AS99" si="29">K89</f>
        <v>380</v>
      </c>
      <c r="AT89" s="207">
        <f t="shared" ref="AT89:AT99" si="30">INT(I89)</f>
        <v>46</v>
      </c>
      <c r="AU89" s="207">
        <f t="shared" ref="AU89:AU99" si="31">L89</f>
        <v>1853</v>
      </c>
      <c r="AV89" s="207">
        <f t="shared" ref="AV89:AV99" si="32">M89</f>
        <v>348</v>
      </c>
      <c r="AW89" s="208">
        <f t="shared" ref="AW89:AW99" si="33">O89</f>
        <v>-0.2946874975697894</v>
      </c>
      <c r="AX89" s="207">
        <f t="shared" ref="AX89:AX99" si="34">SQRT(P89)</f>
        <v>0.21741264880346686</v>
      </c>
      <c r="AY89" s="207" t="str">
        <f>$F$4</f>
        <v>Left</v>
      </c>
      <c r="AZ89" s="207"/>
    </row>
    <row r="90" spans="1:52">
      <c r="E90" t="str">
        <f t="shared" si="5"/>
        <v>Bremner JD</v>
      </c>
      <c r="F90">
        <f t="shared" si="5"/>
        <v>2000</v>
      </c>
      <c r="G90">
        <v>41</v>
      </c>
      <c r="H90">
        <f t="shared" si="6"/>
        <v>16</v>
      </c>
      <c r="I90">
        <f t="shared" si="6"/>
        <v>16</v>
      </c>
      <c r="J90">
        <f t="shared" si="7"/>
        <v>940</v>
      </c>
      <c r="K90">
        <f t="shared" si="7"/>
        <v>208</v>
      </c>
      <c r="L90">
        <f t="shared" si="7"/>
        <v>1166</v>
      </c>
      <c r="M90">
        <f t="shared" si="7"/>
        <v>248</v>
      </c>
      <c r="N90">
        <f t="shared" si="8"/>
        <v>228.87551201471948</v>
      </c>
      <c r="O90" s="59">
        <f t="shared" si="9"/>
        <v>-0.96254299583712222</v>
      </c>
      <c r="P90" s="63">
        <f t="shared" si="10"/>
        <v>0.14150907018594266</v>
      </c>
      <c r="Q90" s="59">
        <f t="shared" si="11"/>
        <v>0.73730675029211368</v>
      </c>
      <c r="R90" s="59">
        <f t="shared" si="12"/>
        <v>7.0666848328944694</v>
      </c>
      <c r="S90" s="59">
        <f t="shared" si="13"/>
        <v>-6.8019879896909963</v>
      </c>
      <c r="T90" s="59">
        <f t="shared" si="14"/>
        <v>6.5472058972452958</v>
      </c>
      <c r="U90" s="23">
        <f t="shared" si="15"/>
        <v>49.938034527460736</v>
      </c>
      <c r="V90" s="59">
        <f t="shared" si="16"/>
        <v>3.2400153084290815</v>
      </c>
      <c r="W90" s="59">
        <f t="shared" si="17"/>
        <v>-3.1186540415334658</v>
      </c>
      <c r="AF90" s="59">
        <f t="shared" si="18"/>
        <v>-0.96254299583712222</v>
      </c>
      <c r="AG90" s="59">
        <f t="shared" si="19"/>
        <v>0.73730675029211368</v>
      </c>
      <c r="AH90" s="59">
        <f t="shared" si="20"/>
        <v>0.73730675029211368</v>
      </c>
      <c r="AJ90">
        <f t="shared" si="21"/>
        <v>0.37617691341434373</v>
      </c>
      <c r="AK90">
        <f t="shared" si="22"/>
        <v>2.6583236885101988</v>
      </c>
      <c r="AL90">
        <f t="shared" si="23"/>
        <v>-2.5587508470433957</v>
      </c>
      <c r="AN90" s="207" t="str">
        <f t="shared" si="24"/>
        <v>Bremner JD</v>
      </c>
      <c r="AO90" s="207">
        <f t="shared" si="25"/>
        <v>2000</v>
      </c>
      <c r="AP90" s="207" t="str">
        <f t="shared" si="26"/>
        <v>Bremner JD 2000</v>
      </c>
      <c r="AQ90" s="207">
        <f t="shared" si="27"/>
        <v>16</v>
      </c>
      <c r="AR90" s="207">
        <f t="shared" si="28"/>
        <v>940</v>
      </c>
      <c r="AS90" s="207">
        <f t="shared" si="29"/>
        <v>208</v>
      </c>
      <c r="AT90" s="207">
        <f t="shared" si="30"/>
        <v>16</v>
      </c>
      <c r="AU90" s="207">
        <f t="shared" si="31"/>
        <v>1166</v>
      </c>
      <c r="AV90" s="207">
        <f t="shared" si="32"/>
        <v>248</v>
      </c>
      <c r="AW90" s="208">
        <f t="shared" si="33"/>
        <v>-0.96254299583712222</v>
      </c>
      <c r="AX90" s="207">
        <f t="shared" si="34"/>
        <v>0.37617691341434373</v>
      </c>
      <c r="AY90" s="207" t="str">
        <f>$F$5</f>
        <v>H Correction</v>
      </c>
      <c r="AZ90" s="207"/>
    </row>
    <row r="91" spans="1:52">
      <c r="E91" t="str">
        <f t="shared" si="5"/>
        <v>Vakili K</v>
      </c>
      <c r="F91">
        <f t="shared" si="5"/>
        <v>2000</v>
      </c>
      <c r="G91">
        <v>40</v>
      </c>
      <c r="H91">
        <f t="shared" si="6"/>
        <v>38</v>
      </c>
      <c r="I91">
        <f t="shared" si="6"/>
        <v>20</v>
      </c>
      <c r="J91">
        <f t="shared" ref="J91:J107" si="35">IF($D$4="Total",T26,IF($D$4="Left",L26,IF($D$4="Right",P26,"error")))</f>
        <v>2.64</v>
      </c>
      <c r="K91">
        <f t="shared" ref="K91:K107" si="36">IF($D$4="Total",U26,IF($D$4="Left",M26,IF($D$4="Right",Q26,"error")))</f>
        <v>0.55000000000000004</v>
      </c>
      <c r="L91">
        <f t="shared" ref="L91:L107" si="37">IF($D$4="Total",V26,IF($D$4="Left",N26,IF($D$4="Right",R26,"error")))</f>
        <v>2.46</v>
      </c>
      <c r="M91">
        <f t="shared" ref="M91:M107" si="38">IF($D$4="Total",W26,IF($D$4="Left",O26,IF($D$4="Right",S26,"error")))</f>
        <v>0.38</v>
      </c>
      <c r="N91">
        <f t="shared" si="8"/>
        <v>0.49885762354746932</v>
      </c>
      <c r="O91" s="59">
        <f t="shared" si="9"/>
        <v>0.35597025474629307</v>
      </c>
      <c r="P91" s="63">
        <f t="shared" si="10"/>
        <v>7.7487772661476856E-2</v>
      </c>
      <c r="Q91" s="59">
        <f t="shared" si="11"/>
        <v>0.54559786240080654</v>
      </c>
      <c r="R91" s="59">
        <f t="shared" si="12"/>
        <v>12.905261896850872</v>
      </c>
      <c r="S91" s="59">
        <f t="shared" si="13"/>
        <v>4.593889364989634</v>
      </c>
      <c r="T91" s="59">
        <f t="shared" si="14"/>
        <v>1.6352879675316465</v>
      </c>
      <c r="U91" s="23">
        <f t="shared" si="15"/>
        <v>166.54578462631096</v>
      </c>
      <c r="V91" s="59">
        <f t="shared" si="16"/>
        <v>4.087986226080079</v>
      </c>
      <c r="W91" s="59">
        <f t="shared" si="17"/>
        <v>1.4552014982970629</v>
      </c>
      <c r="AF91" s="59">
        <f t="shared" si="18"/>
        <v>0.35597025474629307</v>
      </c>
      <c r="AG91" s="59">
        <f t="shared" si="19"/>
        <v>0.54559786240080654</v>
      </c>
      <c r="AH91" s="59">
        <f t="shared" si="20"/>
        <v>0.54559786240080654</v>
      </c>
      <c r="AJ91">
        <f t="shared" si="21"/>
        <v>0.27836625632694212</v>
      </c>
      <c r="AK91">
        <f t="shared" si="22"/>
        <v>3.5923894411451101</v>
      </c>
      <c r="AL91">
        <f t="shared" si="23"/>
        <v>1.2787837845123182</v>
      </c>
      <c r="AN91" s="207" t="str">
        <f t="shared" si="24"/>
        <v>Vakili K</v>
      </c>
      <c r="AO91" s="207">
        <f t="shared" si="25"/>
        <v>2000</v>
      </c>
      <c r="AP91" s="207" t="str">
        <f t="shared" si="26"/>
        <v>Vakili K 2000</v>
      </c>
      <c r="AQ91" s="207">
        <f t="shared" si="27"/>
        <v>38</v>
      </c>
      <c r="AR91" s="207">
        <f t="shared" si="28"/>
        <v>2.64</v>
      </c>
      <c r="AS91" s="207">
        <f t="shared" si="29"/>
        <v>0.55000000000000004</v>
      </c>
      <c r="AT91" s="207">
        <f t="shared" si="30"/>
        <v>20</v>
      </c>
      <c r="AU91" s="207">
        <f t="shared" si="31"/>
        <v>2.46</v>
      </c>
      <c r="AV91" s="207">
        <f t="shared" si="32"/>
        <v>0.38</v>
      </c>
      <c r="AW91" s="208">
        <f t="shared" si="33"/>
        <v>0.35597025474629307</v>
      </c>
      <c r="AX91" s="207">
        <f t="shared" si="34"/>
        <v>0.27836625632694212</v>
      </c>
      <c r="AY91" s="207"/>
      <c r="AZ91" s="207"/>
    </row>
    <row r="92" spans="1:52">
      <c r="E92" t="str">
        <f t="shared" si="5"/>
        <v>Rusch BD</v>
      </c>
      <c r="F92">
        <f t="shared" si="5"/>
        <v>2001</v>
      </c>
      <c r="G92">
        <v>39</v>
      </c>
      <c r="H92">
        <f t="shared" si="6"/>
        <v>25</v>
      </c>
      <c r="I92">
        <f t="shared" si="6"/>
        <v>15</v>
      </c>
      <c r="J92">
        <f t="shared" si="35"/>
        <v>2.17</v>
      </c>
      <c r="K92">
        <f t="shared" si="36"/>
        <v>0.26</v>
      </c>
      <c r="L92">
        <f t="shared" si="37"/>
        <v>2.13</v>
      </c>
      <c r="M92">
        <f t="shared" si="38"/>
        <v>0.27</v>
      </c>
      <c r="N92">
        <f t="shared" si="8"/>
        <v>0.26372832911719474</v>
      </c>
      <c r="O92" s="59">
        <f t="shared" si="9"/>
        <v>0.14865789407031485</v>
      </c>
      <c r="P92" s="63">
        <f t="shared" si="10"/>
        <v>0.10697308887228815</v>
      </c>
      <c r="Q92" s="59">
        <f t="shared" si="11"/>
        <v>0.64105211817119989</v>
      </c>
      <c r="R92" s="59">
        <f t="shared" si="12"/>
        <v>9.3481455059586889</v>
      </c>
      <c r="S92" s="59">
        <f t="shared" si="13"/>
        <v>1.3896756243786965</v>
      </c>
      <c r="T92" s="59">
        <f t="shared" si="14"/>
        <v>0.20658625176098694</v>
      </c>
      <c r="U92" s="23">
        <f t="shared" si="15"/>
        <v>87.387824400575624</v>
      </c>
      <c r="V92" s="59">
        <f t="shared" si="16"/>
        <v>3.6482431688427774</v>
      </c>
      <c r="W92" s="59">
        <f t="shared" si="17"/>
        <v>0.54234014653657936</v>
      </c>
      <c r="AF92" s="59">
        <f t="shared" si="18"/>
        <v>0.14865789407031485</v>
      </c>
      <c r="AG92" s="59">
        <f t="shared" si="19"/>
        <v>0.64105211817119989</v>
      </c>
      <c r="AH92" s="59">
        <f t="shared" si="20"/>
        <v>0.64105211817119989</v>
      </c>
      <c r="AJ92">
        <f t="shared" si="21"/>
        <v>0.32706740723020405</v>
      </c>
      <c r="AK92">
        <f t="shared" si="22"/>
        <v>3.057473713044593</v>
      </c>
      <c r="AL92">
        <f t="shared" si="23"/>
        <v>0.45451760335655533</v>
      </c>
      <c r="AN92" s="207" t="str">
        <f t="shared" si="24"/>
        <v>Rusch BD</v>
      </c>
      <c r="AO92" s="207">
        <f t="shared" si="25"/>
        <v>2001</v>
      </c>
      <c r="AP92" s="207" t="str">
        <f t="shared" si="26"/>
        <v>Rusch BD 2001</v>
      </c>
      <c r="AQ92" s="207">
        <f t="shared" si="27"/>
        <v>25</v>
      </c>
      <c r="AR92" s="207">
        <f t="shared" si="28"/>
        <v>2.17</v>
      </c>
      <c r="AS92" s="207">
        <f t="shared" si="29"/>
        <v>0.26</v>
      </c>
      <c r="AT92" s="207">
        <f t="shared" si="30"/>
        <v>15</v>
      </c>
      <c r="AU92" s="207">
        <f t="shared" si="31"/>
        <v>2.13</v>
      </c>
      <c r="AV92" s="207">
        <f t="shared" si="32"/>
        <v>0.27</v>
      </c>
      <c r="AW92" s="208">
        <f t="shared" si="33"/>
        <v>0.14865789407031485</v>
      </c>
      <c r="AX92" s="207">
        <f t="shared" si="34"/>
        <v>0.32706740723020405</v>
      </c>
      <c r="AY92" s="207"/>
      <c r="AZ92" s="207"/>
    </row>
    <row r="93" spans="1:52">
      <c r="E93" t="str">
        <f t="shared" si="5"/>
        <v>MacMillan S</v>
      </c>
      <c r="F93">
        <f t="shared" si="5"/>
        <v>2003</v>
      </c>
      <c r="G93">
        <v>38</v>
      </c>
      <c r="H93">
        <f t="shared" si="6"/>
        <v>23</v>
      </c>
      <c r="I93">
        <f t="shared" si="6"/>
        <v>23</v>
      </c>
      <c r="J93">
        <f t="shared" si="35"/>
        <v>3.15</v>
      </c>
      <c r="K93">
        <f t="shared" si="36"/>
        <v>0.39</v>
      </c>
      <c r="L93">
        <f t="shared" si="37"/>
        <v>3.24</v>
      </c>
      <c r="M93">
        <f t="shared" si="38"/>
        <v>0.44</v>
      </c>
      <c r="N93">
        <f t="shared" si="8"/>
        <v>0.4157523301197481</v>
      </c>
      <c r="O93" s="59">
        <f t="shared" si="9"/>
        <v>-0.2127640338940856</v>
      </c>
      <c r="P93" s="63">
        <f t="shared" si="10"/>
        <v>8.7494664084813781E-2</v>
      </c>
      <c r="Q93" s="59">
        <f t="shared" si="11"/>
        <v>0.57975814056226982</v>
      </c>
      <c r="R93" s="59">
        <f t="shared" si="12"/>
        <v>11.429268406935542</v>
      </c>
      <c r="S93" s="59">
        <f t="shared" si="13"/>
        <v>-2.4317372507178354</v>
      </c>
      <c r="T93" s="59">
        <f t="shared" si="14"/>
        <v>0.51738622683324009</v>
      </c>
      <c r="U93" s="23">
        <f t="shared" si="15"/>
        <v>130.62817631777489</v>
      </c>
      <c r="V93" s="59">
        <f t="shared" si="16"/>
        <v>3.9273269985005084</v>
      </c>
      <c r="W93" s="59">
        <f t="shared" si="17"/>
        <v>-0.83559393462211962</v>
      </c>
      <c r="AF93" s="59">
        <f t="shared" si="18"/>
        <v>-0.2127640338940856</v>
      </c>
      <c r="AG93" s="59">
        <f t="shared" si="19"/>
        <v>0.57975814056226982</v>
      </c>
      <c r="AH93" s="59">
        <f t="shared" si="20"/>
        <v>0.57975814056226982</v>
      </c>
      <c r="AJ93">
        <f t="shared" si="21"/>
        <v>0.29579496967462748</v>
      </c>
      <c r="AK93">
        <f t="shared" si="22"/>
        <v>3.3807201018326762</v>
      </c>
      <c r="AL93">
        <f t="shared" si="23"/>
        <v>-0.71929564633274401</v>
      </c>
      <c r="AN93" s="207" t="str">
        <f t="shared" si="24"/>
        <v>MacMillan S</v>
      </c>
      <c r="AO93" s="207">
        <f t="shared" si="25"/>
        <v>2003</v>
      </c>
      <c r="AP93" s="207" t="str">
        <f t="shared" si="26"/>
        <v>MacMillan S 2003</v>
      </c>
      <c r="AQ93" s="207">
        <f t="shared" si="27"/>
        <v>23</v>
      </c>
      <c r="AR93" s="207">
        <f t="shared" si="28"/>
        <v>3.15</v>
      </c>
      <c r="AS93" s="207">
        <f t="shared" si="29"/>
        <v>0.39</v>
      </c>
      <c r="AT93" s="207">
        <f t="shared" si="30"/>
        <v>23</v>
      </c>
      <c r="AU93" s="207">
        <f t="shared" si="31"/>
        <v>3.24</v>
      </c>
      <c r="AV93" s="207">
        <f t="shared" si="32"/>
        <v>0.44</v>
      </c>
      <c r="AW93" s="208">
        <f t="shared" si="33"/>
        <v>-0.2127640338940856</v>
      </c>
      <c r="AX93" s="207">
        <f t="shared" si="34"/>
        <v>0.29579496967462748</v>
      </c>
      <c r="AY93" s="207"/>
      <c r="AZ93" s="207"/>
    </row>
    <row r="94" spans="1:52">
      <c r="E94" t="str">
        <f t="shared" si="5"/>
        <v>MacQueen GM</v>
      </c>
      <c r="F94">
        <f t="shared" si="5"/>
        <v>2003</v>
      </c>
      <c r="G94">
        <v>37</v>
      </c>
      <c r="H94">
        <f t="shared" si="6"/>
        <v>20</v>
      </c>
      <c r="I94">
        <f t="shared" si="6"/>
        <v>20</v>
      </c>
      <c r="J94">
        <f t="shared" si="35"/>
        <v>2738</v>
      </c>
      <c r="K94">
        <f t="shared" si="36"/>
        <v>301.10000000000002</v>
      </c>
      <c r="L94">
        <f t="shared" si="37"/>
        <v>2761</v>
      </c>
      <c r="M94">
        <f t="shared" si="38"/>
        <v>368.4</v>
      </c>
      <c r="N94">
        <f t="shared" si="8"/>
        <v>336.43704463093837</v>
      </c>
      <c r="O94" s="59">
        <f t="shared" si="9"/>
        <v>-6.7005244271911138E-2</v>
      </c>
      <c r="P94" s="63">
        <f t="shared" si="10"/>
        <v>0.10006225322739794</v>
      </c>
      <c r="Q94" s="59">
        <f t="shared" si="11"/>
        <v>0.61999931612734216</v>
      </c>
      <c r="R94" s="59">
        <f t="shared" si="12"/>
        <v>9.9937785503134275</v>
      </c>
      <c r="S94" s="59">
        <f t="shared" si="13"/>
        <v>-0.66963557296313714</v>
      </c>
      <c r="T94" s="59">
        <f t="shared" si="14"/>
        <v>4.4869095139556177E-2</v>
      </c>
      <c r="U94" s="23">
        <f t="shared" si="15"/>
        <v>99.875609712704758</v>
      </c>
      <c r="V94" s="59">
        <f t="shared" si="16"/>
        <v>3.742603211482638</v>
      </c>
      <c r="W94" s="59">
        <f t="shared" si="17"/>
        <v>-0.25077404239823325</v>
      </c>
      <c r="AF94" s="59">
        <f t="shared" si="18"/>
        <v>-6.7005244271911138E-2</v>
      </c>
      <c r="AG94" s="59">
        <f t="shared" si="19"/>
        <v>0.61999931612734216</v>
      </c>
      <c r="AH94" s="59">
        <f t="shared" si="20"/>
        <v>0.61999931612734216</v>
      </c>
      <c r="AJ94">
        <f t="shared" si="21"/>
        <v>0.31632618169762355</v>
      </c>
      <c r="AK94">
        <f t="shared" si="22"/>
        <v>3.1612938095522578</v>
      </c>
      <c r="AL94">
        <f t="shared" si="23"/>
        <v>-0.21182326392432954</v>
      </c>
      <c r="AN94" s="207" t="str">
        <f t="shared" si="24"/>
        <v>MacQueen GM</v>
      </c>
      <c r="AO94" s="207">
        <f t="shared" si="25"/>
        <v>2003</v>
      </c>
      <c r="AP94" s="207" t="str">
        <f t="shared" si="26"/>
        <v>MacQueen GM 2003</v>
      </c>
      <c r="AQ94" s="207">
        <f t="shared" si="27"/>
        <v>20</v>
      </c>
      <c r="AR94" s="207">
        <f t="shared" si="28"/>
        <v>2738</v>
      </c>
      <c r="AS94" s="207">
        <f t="shared" si="29"/>
        <v>301.10000000000002</v>
      </c>
      <c r="AT94" s="207">
        <f t="shared" si="30"/>
        <v>20</v>
      </c>
      <c r="AU94" s="207">
        <f t="shared" si="31"/>
        <v>2761</v>
      </c>
      <c r="AV94" s="207">
        <f t="shared" si="32"/>
        <v>368.4</v>
      </c>
      <c r="AW94" s="208">
        <f t="shared" si="33"/>
        <v>-6.7005244271911138E-2</v>
      </c>
      <c r="AX94" s="207">
        <f t="shared" si="34"/>
        <v>0.31632618169762355</v>
      </c>
      <c r="AY94" s="207"/>
      <c r="AZ94" s="207"/>
    </row>
    <row r="95" spans="1:52">
      <c r="E95" t="str">
        <f t="shared" si="5"/>
        <v>MacQueen GM</v>
      </c>
      <c r="F95">
        <f t="shared" si="5"/>
        <v>2003</v>
      </c>
      <c r="G95">
        <v>36</v>
      </c>
      <c r="H95">
        <f t="shared" si="6"/>
        <v>17</v>
      </c>
      <c r="I95">
        <f t="shared" si="6"/>
        <v>17</v>
      </c>
      <c r="J95">
        <f t="shared" si="35"/>
        <v>2381</v>
      </c>
      <c r="K95">
        <f t="shared" si="36"/>
        <v>273.5</v>
      </c>
      <c r="L95">
        <f t="shared" si="37"/>
        <v>2703</v>
      </c>
      <c r="M95">
        <f t="shared" si="38"/>
        <v>249</v>
      </c>
      <c r="N95">
        <f t="shared" si="8"/>
        <v>261.53704326538525</v>
      </c>
      <c r="O95" s="59">
        <f t="shared" si="9"/>
        <v>-1.2021000805931035</v>
      </c>
      <c r="P95" s="63">
        <f t="shared" si="10"/>
        <v>0.14168306354345533</v>
      </c>
      <c r="Q95" s="59">
        <f t="shared" si="11"/>
        <v>0.73775989109502149</v>
      </c>
      <c r="R95" s="59">
        <f t="shared" si="12"/>
        <v>7.058006616953846</v>
      </c>
      <c r="S95" s="59">
        <f t="shared" si="13"/>
        <v>-8.4844303230668761</v>
      </c>
      <c r="T95" s="59">
        <f t="shared" si="14"/>
        <v>10.199134375145261</v>
      </c>
      <c r="U95" s="23">
        <f t="shared" si="15"/>
        <v>49.815457404964278</v>
      </c>
      <c r="V95" s="59">
        <f t="shared" si="16"/>
        <v>3.2381898076092313</v>
      </c>
      <c r="W95" s="59">
        <f t="shared" si="17"/>
        <v>-3.8926282287028231</v>
      </c>
      <c r="AF95" s="59">
        <f t="shared" si="18"/>
        <v>-1.2021000805931035</v>
      </c>
      <c r="AG95" s="59">
        <f t="shared" si="19"/>
        <v>0.73775989109502149</v>
      </c>
      <c r="AH95" s="59">
        <f t="shared" si="20"/>
        <v>0.73775989109502149</v>
      </c>
      <c r="AJ95">
        <f t="shared" si="21"/>
        <v>0.37640810770154159</v>
      </c>
      <c r="AK95">
        <f t="shared" si="22"/>
        <v>2.6566909148325566</v>
      </c>
      <c r="AL95">
        <f t="shared" si="23"/>
        <v>-3.1936083628311818</v>
      </c>
      <c r="AN95" s="207" t="str">
        <f t="shared" si="24"/>
        <v>MacQueen GM</v>
      </c>
      <c r="AO95" s="207">
        <f t="shared" si="25"/>
        <v>2003</v>
      </c>
      <c r="AP95" s="207" t="str">
        <f t="shared" si="26"/>
        <v>MacQueen GM 2003</v>
      </c>
      <c r="AQ95" s="207">
        <f t="shared" si="27"/>
        <v>17</v>
      </c>
      <c r="AR95" s="207">
        <f t="shared" si="28"/>
        <v>2381</v>
      </c>
      <c r="AS95" s="207">
        <f t="shared" si="29"/>
        <v>273.5</v>
      </c>
      <c r="AT95" s="207">
        <f t="shared" si="30"/>
        <v>17</v>
      </c>
      <c r="AU95" s="207">
        <f t="shared" si="31"/>
        <v>2703</v>
      </c>
      <c r="AV95" s="207">
        <f t="shared" si="32"/>
        <v>249</v>
      </c>
      <c r="AW95" s="208">
        <f t="shared" si="33"/>
        <v>-1.2021000805931035</v>
      </c>
      <c r="AX95" s="207">
        <f t="shared" si="34"/>
        <v>0.37640810770154159</v>
      </c>
      <c r="AY95" s="207"/>
      <c r="AZ95" s="207"/>
    </row>
    <row r="96" spans="1:52">
      <c r="E96" t="str">
        <f t="shared" si="5"/>
        <v>Posener JA</v>
      </c>
      <c r="F96">
        <f t="shared" si="5"/>
        <v>2003</v>
      </c>
      <c r="G96">
        <v>35</v>
      </c>
      <c r="H96">
        <f t="shared" si="6"/>
        <v>27</v>
      </c>
      <c r="I96">
        <f t="shared" si="6"/>
        <v>42</v>
      </c>
      <c r="J96">
        <f t="shared" si="35"/>
        <v>2546</v>
      </c>
      <c r="K96">
        <f t="shared" si="36"/>
        <v>392.7</v>
      </c>
      <c r="L96">
        <f t="shared" si="37"/>
        <v>2475</v>
      </c>
      <c r="M96">
        <f t="shared" si="38"/>
        <v>359.4</v>
      </c>
      <c r="N96">
        <f t="shared" si="8"/>
        <v>372.67584850604618</v>
      </c>
      <c r="O96" s="59">
        <f t="shared" si="9"/>
        <v>0.18837348186750635</v>
      </c>
      <c r="P96" s="63">
        <f t="shared" si="10"/>
        <v>6.1119267338037075E-2</v>
      </c>
      <c r="Q96" s="59">
        <f t="shared" si="11"/>
        <v>0.48455730043597861</v>
      </c>
      <c r="R96" s="59">
        <f t="shared" si="12"/>
        <v>16.361452673658903</v>
      </c>
      <c r="S96" s="59">
        <f t="shared" si="13"/>
        <v>3.0820638085475487</v>
      </c>
      <c r="T96" s="59">
        <f t="shared" si="14"/>
        <v>0.58057909095392923</v>
      </c>
      <c r="U96" s="23">
        <f t="shared" si="15"/>
        <v>267.69713359238006</v>
      </c>
      <c r="V96" s="59">
        <f t="shared" si="16"/>
        <v>4.381147299164069</v>
      </c>
      <c r="W96" s="59">
        <f t="shared" si="17"/>
        <v>0.82529197131795717</v>
      </c>
      <c r="AF96" s="59">
        <f t="shared" si="18"/>
        <v>0.18837348186750635</v>
      </c>
      <c r="AG96" s="59">
        <f t="shared" si="19"/>
        <v>0.48455730043597861</v>
      </c>
      <c r="AH96" s="59">
        <f t="shared" si="20"/>
        <v>0.48455730043597861</v>
      </c>
      <c r="AJ96">
        <f t="shared" si="21"/>
        <v>0.24722311246733603</v>
      </c>
      <c r="AK96">
        <f t="shared" si="22"/>
        <v>4.044929254468971</v>
      </c>
      <c r="AL96">
        <f t="shared" si="23"/>
        <v>0.76195740757205666</v>
      </c>
      <c r="AN96" s="207" t="str">
        <f t="shared" si="24"/>
        <v>Posener JA</v>
      </c>
      <c r="AO96" s="207">
        <f t="shared" si="25"/>
        <v>2003</v>
      </c>
      <c r="AP96" s="207" t="str">
        <f t="shared" si="26"/>
        <v>Posener JA 2003</v>
      </c>
      <c r="AQ96" s="207">
        <f t="shared" si="27"/>
        <v>27</v>
      </c>
      <c r="AR96" s="207">
        <f t="shared" si="28"/>
        <v>2546</v>
      </c>
      <c r="AS96" s="207">
        <f t="shared" si="29"/>
        <v>392.7</v>
      </c>
      <c r="AT96" s="207">
        <f t="shared" si="30"/>
        <v>42</v>
      </c>
      <c r="AU96" s="207">
        <f t="shared" si="31"/>
        <v>2475</v>
      </c>
      <c r="AV96" s="207">
        <f t="shared" si="32"/>
        <v>359.4</v>
      </c>
      <c r="AW96" s="208">
        <f t="shared" si="33"/>
        <v>0.18837348186750635</v>
      </c>
      <c r="AX96" s="207">
        <f t="shared" si="34"/>
        <v>0.24722311246733603</v>
      </c>
      <c r="AY96" s="207"/>
      <c r="AZ96" s="207"/>
    </row>
    <row r="97" spans="5:52">
      <c r="E97" t="str">
        <f t="shared" si="5"/>
        <v>Sheline YI</v>
      </c>
      <c r="F97">
        <f t="shared" si="5"/>
        <v>2003</v>
      </c>
      <c r="G97">
        <v>34</v>
      </c>
      <c r="H97">
        <f t="shared" si="6"/>
        <v>38</v>
      </c>
      <c r="I97">
        <f t="shared" si="6"/>
        <v>38</v>
      </c>
      <c r="J97">
        <f t="shared" si="35"/>
        <v>2171</v>
      </c>
      <c r="K97">
        <f t="shared" si="36"/>
        <v>316</v>
      </c>
      <c r="L97">
        <f t="shared" si="37"/>
        <v>2421</v>
      </c>
      <c r="M97">
        <f t="shared" si="38"/>
        <v>318</v>
      </c>
      <c r="N97">
        <f t="shared" si="8"/>
        <v>317.00157728314224</v>
      </c>
      <c r="O97" s="59">
        <f t="shared" si="9"/>
        <v>-0.78061954530156075</v>
      </c>
      <c r="P97" s="63">
        <f t="shared" si="10"/>
        <v>5.6859769861237523E-2</v>
      </c>
      <c r="Q97" s="59">
        <f t="shared" si="11"/>
        <v>0.46736761965173634</v>
      </c>
      <c r="R97" s="59">
        <f t="shared" si="12"/>
        <v>17.587127110089142</v>
      </c>
      <c r="S97" s="59">
        <f t="shared" si="13"/>
        <v>-13.728855167838539</v>
      </c>
      <c r="T97" s="59">
        <f t="shared" si="14"/>
        <v>10.717012678629102</v>
      </c>
      <c r="U97" s="23">
        <f t="shared" si="15"/>
        <v>309.30703998643247</v>
      </c>
      <c r="V97" s="59">
        <f t="shared" si="16"/>
        <v>4.4644607707377375</v>
      </c>
      <c r="W97" s="59">
        <f t="shared" si="17"/>
        <v>-3.4850453368699479</v>
      </c>
      <c r="AF97" s="59">
        <f t="shared" si="18"/>
        <v>-0.78061954530156075</v>
      </c>
      <c r="AG97" s="59">
        <f t="shared" si="19"/>
        <v>0.46736761965173634</v>
      </c>
      <c r="AH97" s="59">
        <f t="shared" si="20"/>
        <v>0.46736761965173634</v>
      </c>
      <c r="AJ97">
        <f t="shared" si="21"/>
        <v>0.23845286716925324</v>
      </c>
      <c r="AK97">
        <f t="shared" si="22"/>
        <v>4.1937008846708581</v>
      </c>
      <c r="AL97">
        <f t="shared" si="23"/>
        <v>-3.2736848777225185</v>
      </c>
      <c r="AN97" s="207" t="str">
        <f t="shared" si="24"/>
        <v>Sheline YI</v>
      </c>
      <c r="AO97" s="207">
        <f t="shared" si="25"/>
        <v>2003</v>
      </c>
      <c r="AP97" s="207" t="str">
        <f t="shared" si="26"/>
        <v>Sheline YI 2003</v>
      </c>
      <c r="AQ97" s="207">
        <f t="shared" si="27"/>
        <v>38</v>
      </c>
      <c r="AR97" s="207">
        <f t="shared" si="28"/>
        <v>2171</v>
      </c>
      <c r="AS97" s="207">
        <f t="shared" si="29"/>
        <v>316</v>
      </c>
      <c r="AT97" s="207">
        <f t="shared" si="30"/>
        <v>38</v>
      </c>
      <c r="AU97" s="207">
        <f t="shared" si="31"/>
        <v>2421</v>
      </c>
      <c r="AV97" s="207">
        <f t="shared" si="32"/>
        <v>318</v>
      </c>
      <c r="AW97" s="208">
        <f t="shared" si="33"/>
        <v>-0.78061954530156075</v>
      </c>
      <c r="AX97" s="207">
        <f t="shared" si="34"/>
        <v>0.23845286716925324</v>
      </c>
      <c r="AY97" s="207"/>
      <c r="AZ97" s="207"/>
    </row>
    <row r="98" spans="5:52">
      <c r="E98" t="str">
        <f t="shared" si="5"/>
        <v>Caetano SC</v>
      </c>
      <c r="F98">
        <f t="shared" si="5"/>
        <v>2004</v>
      </c>
      <c r="G98">
        <v>33</v>
      </c>
      <c r="H98">
        <f t="shared" si="6"/>
        <v>31</v>
      </c>
      <c r="I98">
        <f t="shared" si="6"/>
        <v>31</v>
      </c>
      <c r="J98">
        <f t="shared" si="35"/>
        <v>3.32</v>
      </c>
      <c r="K98">
        <f t="shared" si="36"/>
        <v>0.48</v>
      </c>
      <c r="L98">
        <f t="shared" si="37"/>
        <v>3.37</v>
      </c>
      <c r="M98">
        <f t="shared" si="38"/>
        <v>0.42</v>
      </c>
      <c r="N98">
        <f t="shared" si="8"/>
        <v>0.4509988913511872</v>
      </c>
      <c r="O98" s="59">
        <f t="shared" si="9"/>
        <v>-0.10947340644080009</v>
      </c>
      <c r="P98" s="63">
        <f t="shared" si="10"/>
        <v>6.4619336289558724E-2</v>
      </c>
      <c r="Q98" s="59">
        <f t="shared" si="11"/>
        <v>0.49823853954704139</v>
      </c>
      <c r="R98" s="59">
        <f t="shared" si="12"/>
        <v>15.475244058821776</v>
      </c>
      <c r="S98" s="59">
        <f t="shared" si="13"/>
        <v>-1.6941276826219731</v>
      </c>
      <c r="T98" s="59">
        <f t="shared" si="14"/>
        <v>0.18546192836228603</v>
      </c>
      <c r="U98" s="23">
        <f t="shared" si="15"/>
        <v>239.48317868009866</v>
      </c>
      <c r="V98" s="59">
        <f t="shared" si="16"/>
        <v>4.3149800248788717</v>
      </c>
      <c r="W98" s="59">
        <f t="shared" si="17"/>
        <v>-0.47237556204749837</v>
      </c>
      <c r="AF98" s="59">
        <f t="shared" si="18"/>
        <v>-0.10947340644080009</v>
      </c>
      <c r="AG98" s="59">
        <f t="shared" si="19"/>
        <v>0.49823853954704139</v>
      </c>
      <c r="AH98" s="59">
        <f t="shared" si="20"/>
        <v>0.49823853954704139</v>
      </c>
      <c r="AJ98">
        <f t="shared" si="21"/>
        <v>0.25420333650359256</v>
      </c>
      <c r="AK98">
        <f t="shared" si="22"/>
        <v>3.9338586729598939</v>
      </c>
      <c r="AL98">
        <f t="shared" si="23"/>
        <v>-0.43065290938560497</v>
      </c>
      <c r="AN98" s="207" t="str">
        <f t="shared" si="24"/>
        <v>Caetano SC</v>
      </c>
      <c r="AO98" s="207">
        <f t="shared" si="25"/>
        <v>2004</v>
      </c>
      <c r="AP98" s="207" t="str">
        <f t="shared" si="26"/>
        <v>Caetano SC 2004</v>
      </c>
      <c r="AQ98" s="207">
        <f t="shared" si="27"/>
        <v>31</v>
      </c>
      <c r="AR98" s="207">
        <f t="shared" si="28"/>
        <v>3.32</v>
      </c>
      <c r="AS98" s="207">
        <f t="shared" si="29"/>
        <v>0.48</v>
      </c>
      <c r="AT98" s="207">
        <f t="shared" si="30"/>
        <v>31</v>
      </c>
      <c r="AU98" s="207">
        <f t="shared" si="31"/>
        <v>3.37</v>
      </c>
      <c r="AV98" s="207">
        <f t="shared" si="32"/>
        <v>0.42</v>
      </c>
      <c r="AW98" s="208">
        <f t="shared" si="33"/>
        <v>-0.10947340644080009</v>
      </c>
      <c r="AX98" s="207">
        <f t="shared" si="34"/>
        <v>0.25420333650359256</v>
      </c>
      <c r="AY98" s="207"/>
      <c r="AZ98" s="207"/>
    </row>
    <row r="99" spans="5:52">
      <c r="E99" t="str">
        <f t="shared" si="5"/>
        <v>Janssen J</v>
      </c>
      <c r="F99">
        <f t="shared" si="5"/>
        <v>2004</v>
      </c>
      <c r="G99">
        <v>32</v>
      </c>
      <c r="H99">
        <f t="shared" si="6"/>
        <v>28</v>
      </c>
      <c r="I99">
        <f t="shared" si="6"/>
        <v>41</v>
      </c>
      <c r="J99">
        <f t="shared" si="35"/>
        <v>3.1</v>
      </c>
      <c r="K99">
        <f t="shared" si="36"/>
        <v>0.37</v>
      </c>
      <c r="L99">
        <f t="shared" si="37"/>
        <v>3.2</v>
      </c>
      <c r="M99">
        <f t="shared" si="38"/>
        <v>0.52</v>
      </c>
      <c r="N99">
        <f t="shared" si="8"/>
        <v>0.46540465461500641</v>
      </c>
      <c r="O99" s="59">
        <f t="shared" si="9"/>
        <v>-0.2124525475065886</v>
      </c>
      <c r="P99" s="63">
        <f t="shared" si="10"/>
        <v>6.0451410072780987E-2</v>
      </c>
      <c r="Q99" s="59">
        <f t="shared" si="11"/>
        <v>0.48190262183930421</v>
      </c>
      <c r="R99" s="59">
        <f t="shared" si="12"/>
        <v>16.542211319736655</v>
      </c>
      <c r="S99" s="59">
        <f t="shared" si="13"/>
        <v>-3.5144349362703795</v>
      </c>
      <c r="T99" s="59">
        <f t="shared" si="14"/>
        <v>0.74665065525679741</v>
      </c>
      <c r="U99" s="23">
        <f t="shared" si="15"/>
        <v>273.6447553468235</v>
      </c>
      <c r="V99" s="59">
        <f t="shared" si="16"/>
        <v>4.3940040718290172</v>
      </c>
      <c r="W99" s="59">
        <f t="shared" si="17"/>
        <v>-0.93351735881439801</v>
      </c>
      <c r="AF99" s="59">
        <f t="shared" si="18"/>
        <v>-0.2124525475065886</v>
      </c>
      <c r="AG99" s="59">
        <f t="shared" si="19"/>
        <v>0.48190262183930421</v>
      </c>
      <c r="AH99" s="59">
        <f t="shared" si="20"/>
        <v>0.48190262183930421</v>
      </c>
      <c r="AJ99">
        <f t="shared" si="21"/>
        <v>0.2458686846118899</v>
      </c>
      <c r="AK99">
        <f t="shared" si="22"/>
        <v>4.0672117377555663</v>
      </c>
      <c r="AL99">
        <f t="shared" si="23"/>
        <v>-0.8640894949348692</v>
      </c>
      <c r="AN99" s="207" t="str">
        <f t="shared" si="24"/>
        <v>Janssen J</v>
      </c>
      <c r="AO99" s="207">
        <f t="shared" si="25"/>
        <v>2004</v>
      </c>
      <c r="AP99" s="207" t="str">
        <f t="shared" si="26"/>
        <v>Janssen J 2004</v>
      </c>
      <c r="AQ99" s="207">
        <f t="shared" si="27"/>
        <v>28</v>
      </c>
      <c r="AR99" s="207">
        <f t="shared" si="28"/>
        <v>3.1</v>
      </c>
      <c r="AS99" s="207">
        <f t="shared" si="29"/>
        <v>0.37</v>
      </c>
      <c r="AT99" s="207">
        <f t="shared" si="30"/>
        <v>41</v>
      </c>
      <c r="AU99" s="207">
        <f t="shared" si="31"/>
        <v>3.2</v>
      </c>
      <c r="AV99" s="207">
        <f t="shared" si="32"/>
        <v>0.52</v>
      </c>
      <c r="AW99" s="208">
        <f t="shared" si="33"/>
        <v>-0.2124525475065886</v>
      </c>
      <c r="AX99" s="207">
        <f t="shared" si="34"/>
        <v>0.2458686846118899</v>
      </c>
      <c r="AY99" s="207"/>
      <c r="AZ99" s="207"/>
    </row>
    <row r="100" spans="5:52">
      <c r="E100" t="str">
        <f t="shared" si="5"/>
        <v>Lange C</v>
      </c>
      <c r="F100">
        <f t="shared" si="5"/>
        <v>2004</v>
      </c>
      <c r="G100">
        <v>31</v>
      </c>
      <c r="H100">
        <f t="shared" si="6"/>
        <v>17</v>
      </c>
      <c r="I100">
        <f t="shared" si="6"/>
        <v>17</v>
      </c>
      <c r="J100">
        <f t="shared" si="35"/>
        <v>2.79</v>
      </c>
      <c r="K100">
        <f t="shared" si="36"/>
        <v>0.41</v>
      </c>
      <c r="L100">
        <f t="shared" si="37"/>
        <v>2.99</v>
      </c>
      <c r="M100">
        <f t="shared" si="38"/>
        <v>0.46</v>
      </c>
      <c r="N100">
        <f>IF($D$3=1,SQRT((((I100-1)*(M100)^2)+((H100-1)*(K100)^2))/(H100+I100-2)),M100)</f>
        <v>0.43571779858068682</v>
      </c>
      <c r="O100" s="59">
        <f>IF($D$6=1,LN(J100/L100),IF($D$5=1,(1-3/(4*(H100+I100)-9))*((J100-L100)/N100),(J100-L100)/N100))</f>
        <v>-0.44816987322362017</v>
      </c>
      <c r="P100" s="63">
        <f>IF($D$6=1,(K100^2)/(H100*J100^2)+(M100^2)/(I100*L100^2),(IF($D$5=1,((H100+I100)/(H100*I100))+(O100*O100)/(2*(H100+I100-3.94)),((H100+I100)/(H100*I100))+((O100^2)/(2*(H100+I100-2))))))</f>
        <v>0.12098798090046348</v>
      </c>
      <c r="Q100" s="59">
        <f t="shared" si="11"/>
        <v>0.68175320125923899</v>
      </c>
      <c r="R100" s="59">
        <f>1/P100</f>
        <v>8.2652838121391383</v>
      </c>
      <c r="S100" s="59">
        <f>O100*R100</f>
        <v>-3.7042511982436377</v>
      </c>
      <c r="T100" s="59">
        <f>R100*(O100^2)</f>
        <v>1.6601337899052941</v>
      </c>
      <c r="U100" s="23">
        <f>R100^2</f>
        <v>68.314916495209289</v>
      </c>
      <c r="V100" s="59">
        <f t="shared" si="16"/>
        <v>3.4707829590160779</v>
      </c>
      <c r="W100" s="59">
        <f>V100*O100</f>
        <v>-1.5555003587289369</v>
      </c>
      <c r="AF100" s="59">
        <f>IF($D$6=1,100*((EXP(O100))-1),O100)</f>
        <v>-0.44816987322362017</v>
      </c>
      <c r="AG100" s="59">
        <f>IF($D$6=1,100*(EXP(O100+Q100)-EXP(O100)),Q100)</f>
        <v>0.68175320125923899</v>
      </c>
      <c r="AH100" s="59">
        <f>IF($D$6=1,100*(EXP(O100)-EXP(O100-Q100)),Q100)</f>
        <v>0.68175320125923899</v>
      </c>
      <c r="AJ100">
        <f>SQRT(P100)</f>
        <v>0.34783326594859132</v>
      </c>
      <c r="AK100">
        <f t="shared" si="22"/>
        <v>2.8749406623683802</v>
      </c>
      <c r="AL100">
        <f>O100/AJ100</f>
        <v>-1.2884617921790675</v>
      </c>
      <c r="AN100" s="207" t="str">
        <f>E100</f>
        <v>Lange C</v>
      </c>
      <c r="AO100" s="207">
        <f>F100</f>
        <v>2004</v>
      </c>
      <c r="AP100" s="207" t="str">
        <f>CONCATENATE(AN100," ",AO100)</f>
        <v>Lange C 2004</v>
      </c>
      <c r="AQ100" s="207">
        <f>INT(H100)</f>
        <v>17</v>
      </c>
      <c r="AR100" s="207">
        <f>J100</f>
        <v>2.79</v>
      </c>
      <c r="AS100" s="207">
        <f>K100</f>
        <v>0.41</v>
      </c>
      <c r="AT100" s="207">
        <f>INT(I100)</f>
        <v>17</v>
      </c>
      <c r="AU100" s="207">
        <f>L100</f>
        <v>2.99</v>
      </c>
      <c r="AV100" s="207">
        <f>M100</f>
        <v>0.46</v>
      </c>
      <c r="AW100" s="208">
        <f>O100</f>
        <v>-0.44816987322362017</v>
      </c>
      <c r="AX100" s="207">
        <f>SQRT(P100)</f>
        <v>0.34783326594859132</v>
      </c>
      <c r="AY100" s="207"/>
      <c r="AZ100" s="207"/>
    </row>
    <row r="101" spans="5:52">
      <c r="E101" t="str">
        <f t="shared" ref="E101:F104" si="39">E36</f>
        <v>Lloyd AJ</v>
      </c>
      <c r="F101">
        <f t="shared" si="39"/>
        <v>2004</v>
      </c>
      <c r="G101">
        <v>30</v>
      </c>
      <c r="H101">
        <f t="shared" ref="H101:I104" si="40">H36</f>
        <v>51</v>
      </c>
      <c r="I101">
        <f t="shared" si="40"/>
        <v>39</v>
      </c>
      <c r="J101">
        <f t="shared" si="35"/>
        <v>2.7</v>
      </c>
      <c r="K101">
        <f t="shared" si="36"/>
        <v>0.4</v>
      </c>
      <c r="L101">
        <f t="shared" si="37"/>
        <v>2.8</v>
      </c>
      <c r="M101">
        <f t="shared" si="38"/>
        <v>0.4</v>
      </c>
      <c r="N101">
        <f t="shared" ref="N101:N107" si="41">IF($D$3=1,SQRT((((I101-1)*(M101)^2)+((H101-1)*(K101)^2))/(H101+I101-2)),M101)</f>
        <v>0.4</v>
      </c>
      <c r="O101" s="59">
        <f t="shared" ref="O101:O107" si="42">IF($D$6=1,LN(J101/L101),IF($D$5=1,(1-3/(4*(H101+I101)-9))*((J101-L101)/N101),(J101-L101)/N101))</f>
        <v>-0.24786324786324698</v>
      </c>
      <c r="P101" s="63">
        <f t="shared" ref="P101:P107" si="43">IF($D$6=1,(K101^2)/(H101*J101^2)+(M101^2)/(I101*L101^2),(IF($D$5=1,((H101+I101)/(H101*I101))+(O101*O101)/(2*(H101+I101-3.94)),((H101+I101)/(H101*I101))+((O101^2)/(2*(H101+I101-2))))))</f>
        <v>4.5605806900760888E-2</v>
      </c>
      <c r="Q101" s="59">
        <f t="shared" si="11"/>
        <v>0.41856811606949118</v>
      </c>
      <c r="R101" s="59">
        <f t="shared" ref="R101:R107" si="44">1/P101</f>
        <v>21.927032278499517</v>
      </c>
      <c r="S101" s="59">
        <f t="shared" ref="S101:S107" si="45">O101*R101</f>
        <v>-5.4349054365511433</v>
      </c>
      <c r="T101" s="59">
        <f t="shared" ref="T101:T107" si="46">R101*(O101^2)</f>
        <v>1.3471133133331845</v>
      </c>
      <c r="U101" s="23">
        <f t="shared" ref="U101:U107" si="47">R101^2</f>
        <v>480.79474454235975</v>
      </c>
      <c r="V101" s="59">
        <f t="shared" si="16"/>
        <v>4.7006341501830491</v>
      </c>
      <c r="W101" s="59">
        <f t="shared" ref="W101:W107" si="48">V101*O101</f>
        <v>-1.1651144474812645</v>
      </c>
      <c r="AF101" s="59">
        <f t="shared" ref="AF101:AF107" si="49">IF($D$6=1,100*((EXP(O101))-1),O101)</f>
        <v>-0.24786324786324698</v>
      </c>
      <c r="AG101" s="59">
        <f t="shared" ref="AG101:AG107" si="50">IF($D$6=1,100*(EXP(O101+Q101)-EXP(O101)),Q101)</f>
        <v>0.41856811606949118</v>
      </c>
      <c r="AH101" s="59">
        <f t="shared" ref="AH101:AH107" si="51">IF($D$6=1,100*(EXP(O101)-EXP(O101-Q101)),Q101)</f>
        <v>0.41856811606949118</v>
      </c>
      <c r="AJ101">
        <f t="shared" ref="AJ101:AJ107" si="52">SQRT(P101)</f>
        <v>0.21355516125994448</v>
      </c>
      <c r="AK101">
        <f t="shared" si="22"/>
        <v>4.682630914186972</v>
      </c>
      <c r="AL101">
        <f t="shared" ref="AL101:AL107" si="53">O101/AJ101</f>
        <v>-1.1606521069352282</v>
      </c>
      <c r="AN101" s="207" t="str">
        <f t="shared" ref="AN101:AN107" si="54">E101</f>
        <v>Lloyd AJ</v>
      </c>
      <c r="AO101" s="207">
        <f t="shared" ref="AO101:AO107" si="55">F101</f>
        <v>2004</v>
      </c>
      <c r="AP101" s="207" t="str">
        <f t="shared" ref="AP101:AP107" si="56">CONCATENATE(AN101," ",AO101)</f>
        <v>Lloyd AJ 2004</v>
      </c>
      <c r="AQ101" s="207">
        <f t="shared" ref="AQ101:AQ107" si="57">INT(H101)</f>
        <v>51</v>
      </c>
      <c r="AR101" s="207">
        <f t="shared" ref="AR101:AR107" si="58">J101</f>
        <v>2.7</v>
      </c>
      <c r="AS101" s="207">
        <f t="shared" ref="AS101:AS107" si="59">K101</f>
        <v>0.4</v>
      </c>
      <c r="AT101" s="207">
        <f t="shared" ref="AT101:AT107" si="60">INT(I101)</f>
        <v>39</v>
      </c>
      <c r="AU101" s="207">
        <f t="shared" ref="AU101:AU107" si="61">L101</f>
        <v>2.8</v>
      </c>
      <c r="AV101" s="207">
        <f t="shared" ref="AV101:AV107" si="62">M101</f>
        <v>0.4</v>
      </c>
      <c r="AW101" s="208">
        <f t="shared" ref="AW101:AW107" si="63">O101</f>
        <v>-0.24786324786324698</v>
      </c>
      <c r="AX101" s="207">
        <f t="shared" ref="AX101:AX107" si="64">SQRT(P101)</f>
        <v>0.21355516125994448</v>
      </c>
      <c r="AY101" s="207"/>
      <c r="AZ101" s="207"/>
    </row>
    <row r="102" spans="5:52">
      <c r="E102" t="str">
        <f t="shared" si="39"/>
        <v>MacMaster FP (A)</v>
      </c>
      <c r="F102">
        <f t="shared" si="39"/>
        <v>2004</v>
      </c>
      <c r="G102">
        <v>29</v>
      </c>
      <c r="H102">
        <f t="shared" si="40"/>
        <v>17</v>
      </c>
      <c r="I102">
        <f t="shared" si="40"/>
        <v>17</v>
      </c>
      <c r="J102">
        <f t="shared" si="35"/>
        <v>2.5299999999999998</v>
      </c>
      <c r="K102">
        <f t="shared" si="36"/>
        <v>0.371</v>
      </c>
      <c r="L102">
        <f t="shared" si="37"/>
        <v>3.05</v>
      </c>
      <c r="M102">
        <f t="shared" si="38"/>
        <v>0.45400000000000001</v>
      </c>
      <c r="N102">
        <f t="shared" si="41"/>
        <v>0.41458231993175976</v>
      </c>
      <c r="O102" s="59">
        <f t="shared" si="42"/>
        <v>-1.2246458930439701</v>
      </c>
      <c r="P102" s="63">
        <f t="shared" si="43"/>
        <v>0.14259312607817784</v>
      </c>
      <c r="Q102" s="59">
        <f t="shared" si="11"/>
        <v>0.74012549823791907</v>
      </c>
      <c r="R102" s="59">
        <f t="shared" si="44"/>
        <v>7.0129607752041423</v>
      </c>
      <c r="S102" s="59">
        <f t="shared" si="45"/>
        <v>-8.5883936114322097</v>
      </c>
      <c r="T102" s="59">
        <f t="shared" si="46"/>
        <v>10.517740964085526</v>
      </c>
      <c r="U102" s="23">
        <f t="shared" si="47"/>
        <v>49.181618834551884</v>
      </c>
      <c r="V102" s="59">
        <f t="shared" si="16"/>
        <v>3.2286750468126999</v>
      </c>
      <c r="W102" s="59">
        <f t="shared" si="48"/>
        <v>-3.9539836360527207</v>
      </c>
      <c r="AF102" s="59">
        <f t="shared" si="49"/>
        <v>-1.2246458930439701</v>
      </c>
      <c r="AG102" s="59">
        <f t="shared" si="50"/>
        <v>0.74012549823791907</v>
      </c>
      <c r="AH102" s="59">
        <f t="shared" si="51"/>
        <v>0.74012549823791907</v>
      </c>
      <c r="AJ102">
        <f t="shared" si="52"/>
        <v>0.3776150501213873</v>
      </c>
      <c r="AK102">
        <f t="shared" si="22"/>
        <v>2.6481995346280351</v>
      </c>
      <c r="AL102">
        <f t="shared" si="53"/>
        <v>-3.2431066840431759</v>
      </c>
      <c r="AN102" s="207" t="str">
        <f t="shared" si="54"/>
        <v>MacMaster FP (A)</v>
      </c>
      <c r="AO102" s="207">
        <f t="shared" si="55"/>
        <v>2004</v>
      </c>
      <c r="AP102" s="207" t="str">
        <f t="shared" si="56"/>
        <v>MacMaster FP (A) 2004</v>
      </c>
      <c r="AQ102" s="207">
        <f t="shared" si="57"/>
        <v>17</v>
      </c>
      <c r="AR102" s="207">
        <f t="shared" si="58"/>
        <v>2.5299999999999998</v>
      </c>
      <c r="AS102" s="207">
        <f t="shared" si="59"/>
        <v>0.371</v>
      </c>
      <c r="AT102" s="207">
        <f t="shared" si="60"/>
        <v>17</v>
      </c>
      <c r="AU102" s="207">
        <f t="shared" si="61"/>
        <v>3.05</v>
      </c>
      <c r="AV102" s="207">
        <f t="shared" si="62"/>
        <v>0.45400000000000001</v>
      </c>
      <c r="AW102" s="208">
        <f t="shared" si="63"/>
        <v>-1.2246458930439701</v>
      </c>
      <c r="AX102" s="207">
        <f t="shared" si="64"/>
        <v>0.3776150501213873</v>
      </c>
      <c r="AY102" s="207"/>
      <c r="AZ102" s="207"/>
    </row>
    <row r="103" spans="5:52">
      <c r="E103" t="str">
        <f t="shared" si="39"/>
        <v>Vythilingam M</v>
      </c>
      <c r="F103">
        <f t="shared" si="39"/>
        <v>2004</v>
      </c>
      <c r="G103">
        <v>28</v>
      </c>
      <c r="H103">
        <f t="shared" si="40"/>
        <v>38</v>
      </c>
      <c r="I103">
        <f t="shared" si="40"/>
        <v>33</v>
      </c>
      <c r="J103">
        <f t="shared" si="35"/>
        <v>3305</v>
      </c>
      <c r="K103">
        <f t="shared" si="36"/>
        <v>380</v>
      </c>
      <c r="L103">
        <f t="shared" si="37"/>
        <v>3334</v>
      </c>
      <c r="M103">
        <f t="shared" si="38"/>
        <v>390</v>
      </c>
      <c r="N103">
        <f t="shared" si="41"/>
        <v>384.6700072695474</v>
      </c>
      <c r="O103" s="59">
        <f t="shared" si="42"/>
        <v>-7.4566864641300357E-2</v>
      </c>
      <c r="P103" s="63">
        <f t="shared" si="43"/>
        <v>5.6660276809986462E-2</v>
      </c>
      <c r="Q103" s="59">
        <f t="shared" si="11"/>
        <v>0.46654701734470877</v>
      </c>
      <c r="R103" s="59">
        <f t="shared" si="44"/>
        <v>17.649048968707977</v>
      </c>
      <c r="S103" s="59">
        <f t="shared" si="45"/>
        <v>-1.3160342454973293</v>
      </c>
      <c r="T103" s="59">
        <f t="shared" si="46"/>
        <v>9.8132547447315199E-2</v>
      </c>
      <c r="U103" s="23">
        <f t="shared" si="47"/>
        <v>311.48892949985208</v>
      </c>
      <c r="V103" s="59">
        <f t="shared" si="16"/>
        <v>4.4684404929847314</v>
      </c>
      <c r="W103" s="59">
        <f t="shared" si="48"/>
        <v>-0.3331975973980979</v>
      </c>
      <c r="AF103" s="59">
        <f t="shared" si="49"/>
        <v>-7.4566864641300357E-2</v>
      </c>
      <c r="AG103" s="59">
        <f t="shared" si="50"/>
        <v>0.46654701734470877</v>
      </c>
      <c r="AH103" s="59">
        <f t="shared" si="51"/>
        <v>0.46654701734470877</v>
      </c>
      <c r="AJ103">
        <f t="shared" si="52"/>
        <v>0.23803419252281061</v>
      </c>
      <c r="AK103">
        <f t="shared" si="22"/>
        <v>4.2010771200619459</v>
      </c>
      <c r="AL103">
        <f t="shared" si="53"/>
        <v>-0.31326114895932305</v>
      </c>
      <c r="AN103" s="207" t="str">
        <f t="shared" si="54"/>
        <v>Vythilingam M</v>
      </c>
      <c r="AO103" s="207">
        <f t="shared" si="55"/>
        <v>2004</v>
      </c>
      <c r="AP103" s="207" t="str">
        <f t="shared" si="56"/>
        <v>Vythilingam M 2004</v>
      </c>
      <c r="AQ103" s="207">
        <f t="shared" si="57"/>
        <v>38</v>
      </c>
      <c r="AR103" s="207">
        <f t="shared" si="58"/>
        <v>3305</v>
      </c>
      <c r="AS103" s="207">
        <f t="shared" si="59"/>
        <v>380</v>
      </c>
      <c r="AT103" s="207">
        <f t="shared" si="60"/>
        <v>33</v>
      </c>
      <c r="AU103" s="207">
        <f t="shared" si="61"/>
        <v>3334</v>
      </c>
      <c r="AV103" s="207">
        <f t="shared" si="62"/>
        <v>390</v>
      </c>
      <c r="AW103" s="208">
        <f t="shared" si="63"/>
        <v>-7.4566864641300357E-2</v>
      </c>
      <c r="AX103" s="207">
        <f t="shared" si="64"/>
        <v>0.23803419252281061</v>
      </c>
      <c r="AY103" s="207"/>
      <c r="AZ103" s="207"/>
    </row>
    <row r="104" spans="5:52">
      <c r="E104" t="str">
        <f t="shared" si="39"/>
        <v>Xia J</v>
      </c>
      <c r="F104">
        <f t="shared" si="39"/>
        <v>2004</v>
      </c>
      <c r="G104">
        <v>27</v>
      </c>
      <c r="H104">
        <f t="shared" si="40"/>
        <v>22</v>
      </c>
      <c r="I104">
        <f t="shared" si="40"/>
        <v>13</v>
      </c>
      <c r="J104">
        <f t="shared" si="35"/>
        <v>3109.86</v>
      </c>
      <c r="K104">
        <f t="shared" si="36"/>
        <v>83.5</v>
      </c>
      <c r="L104">
        <f t="shared" si="37"/>
        <v>3352</v>
      </c>
      <c r="M104">
        <f t="shared" si="38"/>
        <v>45.53</v>
      </c>
      <c r="N104">
        <f>IF($D$3=1,SQRT((((I104-1)*(M104)^2)+((H104-1)*(K104)^2))/(H104+I104-2)),M104)</f>
        <v>72.046496098006045</v>
      </c>
      <c r="O104" s="59">
        <f>IF($D$6=1,LN(J104/L104),IF($D$5=1,(1-3/(4*(H104+I104)-9))*((J104-L104)/N104),(J104-L104)/N104))</f>
        <v>-3.2839183301636399</v>
      </c>
      <c r="P104" s="63">
        <f>IF($D$6=1,(K104^2)/(H104*J104^2)+(M104^2)/(I104*L104^2),(IF($D$5=1,((H104+I104)/(H104*I104))+(O104*O104)/(2*(H104+I104-3.94)),((H104+I104)/(H104*I104))+((O104^2)/(2*(H104+I104-2))))))</f>
        <v>0.29597903253835561</v>
      </c>
      <c r="Q104" s="59">
        <f t="shared" si="11"/>
        <v>1.0663175190342449</v>
      </c>
      <c r="R104" s="59">
        <f>1/P104</f>
        <v>3.3786177062066418</v>
      </c>
      <c r="S104" s="59">
        <f>O104*R104</f>
        <v>-11.095104616027422</v>
      </c>
      <c r="T104" s="59">
        <f>R104*(O104^2)</f>
        <v>36.435417423655664</v>
      </c>
      <c r="U104" s="23">
        <f>R104^2</f>
        <v>11.415057604693029</v>
      </c>
      <c r="V104" s="59">
        <f t="shared" si="16"/>
        <v>2.1593119665945486</v>
      </c>
      <c r="W104" s="59">
        <f>V104*O104</f>
        <v>-7.0910041476415353</v>
      </c>
      <c r="AF104" s="59">
        <f>IF($D$6=1,100*((EXP(O104))-1),O104)</f>
        <v>-3.2839183301636399</v>
      </c>
      <c r="AG104" s="59">
        <f>IF($D$6=1,100*(EXP(O104+Q104)-EXP(O104)),Q104)</f>
        <v>1.0663175190342449</v>
      </c>
      <c r="AH104" s="59">
        <f>IF($D$6=1,100*(EXP(O104)-EXP(O104-Q104)),Q104)</f>
        <v>1.0663175190342449</v>
      </c>
      <c r="AJ104">
        <f>SQRT(P104)</f>
        <v>0.54403955052767594</v>
      </c>
      <c r="AK104">
        <f t="shared" si="22"/>
        <v>1.8381016582895084</v>
      </c>
      <c r="AL104">
        <f>O104/AJ104</f>
        <v>-6.0361757283611004</v>
      </c>
      <c r="AN104" s="207" t="str">
        <f>E104</f>
        <v>Xia J</v>
      </c>
      <c r="AO104" s="207">
        <f>F104</f>
        <v>2004</v>
      </c>
      <c r="AP104" s="207" t="str">
        <f>CONCATENATE(AN104," ",AO104)</f>
        <v>Xia J 2004</v>
      </c>
      <c r="AQ104" s="207">
        <f>INT(H104)</f>
        <v>22</v>
      </c>
      <c r="AR104" s="207">
        <f>J104</f>
        <v>3109.86</v>
      </c>
      <c r="AS104" s="207">
        <f>K104</f>
        <v>83.5</v>
      </c>
      <c r="AT104" s="207">
        <f>INT(I104)</f>
        <v>13</v>
      </c>
      <c r="AU104" s="207">
        <f>L104</f>
        <v>3352</v>
      </c>
      <c r="AV104" s="207">
        <f>M104</f>
        <v>45.53</v>
      </c>
      <c r="AW104" s="208">
        <f>O104</f>
        <v>-3.2839183301636399</v>
      </c>
      <c r="AX104" s="207">
        <f>SQRT(P104)</f>
        <v>0.54403955052767594</v>
      </c>
      <c r="AY104" s="207"/>
      <c r="AZ104" s="207"/>
    </row>
    <row r="105" spans="5:52">
      <c r="E105" t="str">
        <f>E40</f>
        <v>Rosso IM</v>
      </c>
      <c r="F105">
        <f>F40</f>
        <v>2005</v>
      </c>
      <c r="G105">
        <v>26</v>
      </c>
      <c r="H105">
        <f>H40</f>
        <v>20</v>
      </c>
      <c r="I105">
        <f>I40</f>
        <v>24</v>
      </c>
      <c r="J105">
        <f t="shared" si="35"/>
        <v>6.57</v>
      </c>
      <c r="K105">
        <f t="shared" si="36"/>
        <v>0.76</v>
      </c>
      <c r="L105">
        <f t="shared" si="37"/>
        <v>6.26</v>
      </c>
      <c r="M105">
        <f t="shared" si="38"/>
        <v>0.73499999999999999</v>
      </c>
      <c r="N105">
        <f t="shared" si="41"/>
        <v>0.74641324887440075</v>
      </c>
      <c r="O105" s="59">
        <f t="shared" si="42"/>
        <v>0.40785870050355727</v>
      </c>
      <c r="P105" s="63">
        <f t="shared" si="43"/>
        <v>9.3742911294430645E-2</v>
      </c>
      <c r="Q105" s="59">
        <f t="shared" si="11"/>
        <v>0.60010229796984182</v>
      </c>
      <c r="R105" s="59">
        <f t="shared" si="44"/>
        <v>10.667473264822862</v>
      </c>
      <c r="S105" s="59">
        <f t="shared" si="45"/>
        <v>4.3508217834470919</v>
      </c>
      <c r="T105" s="59">
        <f t="shared" si="46"/>
        <v>1.7745205187193003</v>
      </c>
      <c r="U105" s="23">
        <f t="shared" si="47"/>
        <v>113.79498585571052</v>
      </c>
      <c r="V105" s="59">
        <f t="shared" si="16"/>
        <v>3.8332629052177656</v>
      </c>
      <c r="W105" s="59">
        <f t="shared" si="48"/>
        <v>1.5634296272106085</v>
      </c>
      <c r="AF105" s="59">
        <f t="shared" si="49"/>
        <v>0.40785870050355727</v>
      </c>
      <c r="AG105" s="59">
        <f t="shared" si="50"/>
        <v>0.60010229796984182</v>
      </c>
      <c r="AH105" s="59">
        <f t="shared" si="51"/>
        <v>0.60010229796984182</v>
      </c>
      <c r="AJ105">
        <f t="shared" si="52"/>
        <v>0.30617464182134785</v>
      </c>
      <c r="AK105">
        <f t="shared" si="22"/>
        <v>3.2661098059959439</v>
      </c>
      <c r="AL105">
        <f t="shared" si="53"/>
        <v>1.3321113011754311</v>
      </c>
      <c r="AN105" s="207" t="str">
        <f t="shared" si="54"/>
        <v>Rosso IM</v>
      </c>
      <c r="AO105" s="207">
        <f t="shared" si="55"/>
        <v>2005</v>
      </c>
      <c r="AP105" s="207" t="str">
        <f t="shared" si="56"/>
        <v>Rosso IM 2005</v>
      </c>
      <c r="AQ105" s="207">
        <f t="shared" si="57"/>
        <v>20</v>
      </c>
      <c r="AR105" s="207">
        <f t="shared" si="58"/>
        <v>6.57</v>
      </c>
      <c r="AS105" s="207">
        <f t="shared" si="59"/>
        <v>0.76</v>
      </c>
      <c r="AT105" s="207">
        <f t="shared" si="60"/>
        <v>24</v>
      </c>
      <c r="AU105" s="207">
        <f t="shared" si="61"/>
        <v>6.26</v>
      </c>
      <c r="AV105" s="207">
        <f t="shared" si="62"/>
        <v>0.73499999999999999</v>
      </c>
      <c r="AW105" s="208">
        <f t="shared" si="63"/>
        <v>0.40785870050355727</v>
      </c>
      <c r="AX105" s="207">
        <f t="shared" si="64"/>
        <v>0.30617464182134785</v>
      </c>
      <c r="AY105" s="207"/>
      <c r="AZ105" s="207"/>
    </row>
    <row r="106" spans="5:52">
      <c r="E106" t="str">
        <f>E41</f>
        <v>Taylor WD (B)</v>
      </c>
      <c r="F106">
        <f>F41</f>
        <v>2005</v>
      </c>
      <c r="G106">
        <v>25</v>
      </c>
      <c r="H106">
        <f>H41</f>
        <v>135</v>
      </c>
      <c r="I106">
        <f>I41</f>
        <v>83</v>
      </c>
      <c r="J106">
        <f t="shared" si="35"/>
        <v>2.95</v>
      </c>
      <c r="K106">
        <f t="shared" si="36"/>
        <v>0.43</v>
      </c>
      <c r="L106">
        <f t="shared" si="37"/>
        <v>2.96</v>
      </c>
      <c r="M106">
        <f t="shared" si="38"/>
        <v>0.45</v>
      </c>
      <c r="N106">
        <f t="shared" si="41"/>
        <v>0.43770021873593057</v>
      </c>
      <c r="O106" s="59">
        <f t="shared" si="42"/>
        <v>-2.2767266537431174E-2</v>
      </c>
      <c r="P106" s="63">
        <f t="shared" si="43"/>
        <v>1.9456810933480034E-2</v>
      </c>
      <c r="Q106" s="59">
        <f t="shared" si="11"/>
        <v>0.27339583918204918</v>
      </c>
      <c r="R106" s="59">
        <f t="shared" si="44"/>
        <v>51.395884115791247</v>
      </c>
      <c r="S106" s="59">
        <f t="shared" si="45"/>
        <v>-1.1701437925911444</v>
      </c>
      <c r="T106" s="59">
        <f t="shared" si="46"/>
        <v>2.6640975613043166E-2</v>
      </c>
      <c r="U106" s="23">
        <f t="shared" si="47"/>
        <v>2641.5369040438432</v>
      </c>
      <c r="V106" s="59">
        <f t="shared" si="16"/>
        <v>5.3593940576741792</v>
      </c>
      <c r="W106" s="59">
        <f t="shared" si="48"/>
        <v>-0.12201875299019282</v>
      </c>
      <c r="AF106" s="59">
        <f t="shared" si="49"/>
        <v>-2.2767266537431174E-2</v>
      </c>
      <c r="AG106" s="59">
        <f t="shared" si="50"/>
        <v>0.27339583918204918</v>
      </c>
      <c r="AH106" s="59">
        <f t="shared" si="51"/>
        <v>0.27339583918204918</v>
      </c>
      <c r="AJ106">
        <f t="shared" si="52"/>
        <v>0.13948767305206591</v>
      </c>
      <c r="AK106">
        <f t="shared" si="22"/>
        <v>7.1690922797653576</v>
      </c>
      <c r="AL106">
        <f t="shared" si="53"/>
        <v>-0.16322063476485799</v>
      </c>
      <c r="AN106" s="207" t="str">
        <f t="shared" si="54"/>
        <v>Taylor WD (B)</v>
      </c>
      <c r="AO106" s="207">
        <f t="shared" si="55"/>
        <v>2005</v>
      </c>
      <c r="AP106" s="207" t="str">
        <f t="shared" si="56"/>
        <v>Taylor WD (B) 2005</v>
      </c>
      <c r="AQ106" s="207">
        <f t="shared" si="57"/>
        <v>135</v>
      </c>
      <c r="AR106" s="207">
        <f t="shared" si="58"/>
        <v>2.95</v>
      </c>
      <c r="AS106" s="207">
        <f t="shared" si="59"/>
        <v>0.43</v>
      </c>
      <c r="AT106" s="207">
        <f t="shared" si="60"/>
        <v>83</v>
      </c>
      <c r="AU106" s="207">
        <f t="shared" si="61"/>
        <v>2.96</v>
      </c>
      <c r="AV106" s="207">
        <f t="shared" si="62"/>
        <v>0.45</v>
      </c>
      <c r="AW106" s="208">
        <f t="shared" si="63"/>
        <v>-2.2767266537431174E-2</v>
      </c>
      <c r="AX106" s="207">
        <f t="shared" si="64"/>
        <v>0.13948767305206591</v>
      </c>
      <c r="AY106" s="207"/>
      <c r="AZ106" s="207"/>
    </row>
    <row r="107" spans="5:52">
      <c r="E107" t="str">
        <f t="shared" ref="E107:F109" si="65">E42</f>
        <v>Saylam C</v>
      </c>
      <c r="F107">
        <f t="shared" si="65"/>
        <v>2006</v>
      </c>
      <c r="G107">
        <v>24</v>
      </c>
      <c r="H107">
        <f t="shared" ref="H107:I109" si="66">H42</f>
        <v>24</v>
      </c>
      <c r="I107">
        <f t="shared" si="66"/>
        <v>24</v>
      </c>
      <c r="J107">
        <f t="shared" si="35"/>
        <v>2638.7</v>
      </c>
      <c r="K107">
        <f t="shared" si="36"/>
        <v>249.2</v>
      </c>
      <c r="L107">
        <f t="shared" si="37"/>
        <v>2786.7</v>
      </c>
      <c r="M107">
        <f t="shared" si="38"/>
        <v>249.2</v>
      </c>
      <c r="N107">
        <f t="shared" si="41"/>
        <v>249.2</v>
      </c>
      <c r="O107" s="59">
        <f t="shared" si="42"/>
        <v>-0.58416440807304693</v>
      </c>
      <c r="P107" s="63">
        <f t="shared" si="43"/>
        <v>8.7205871413897712E-2</v>
      </c>
      <c r="Q107" s="59">
        <f t="shared" si="11"/>
        <v>0.57880054908718714</v>
      </c>
      <c r="R107" s="59">
        <f t="shared" si="44"/>
        <v>11.467117795931264</v>
      </c>
      <c r="S107" s="59">
        <f t="shared" si="45"/>
        <v>-6.6986820795640893</v>
      </c>
      <c r="T107" s="59">
        <f t="shared" si="46"/>
        <v>3.9131316518780834</v>
      </c>
      <c r="U107" s="23">
        <f t="shared" si="47"/>
        <v>131.49479054576349</v>
      </c>
      <c r="V107" s="59">
        <f t="shared" si="16"/>
        <v>3.9317863647515834</v>
      </c>
      <c r="W107" s="59">
        <f t="shared" si="48"/>
        <v>-2.2968096544347856</v>
      </c>
      <c r="AF107" s="59">
        <f t="shared" si="49"/>
        <v>-0.58416440807304693</v>
      </c>
      <c r="AG107" s="59">
        <f t="shared" si="50"/>
        <v>0.57880054908718714</v>
      </c>
      <c r="AH107" s="59">
        <f t="shared" si="51"/>
        <v>0.57880054908718714</v>
      </c>
      <c r="AJ107">
        <f t="shared" si="52"/>
        <v>0.29530640259550367</v>
      </c>
      <c r="AK107">
        <f t="shared" si="22"/>
        <v>3.3863133044553435</v>
      </c>
      <c r="AL107">
        <f t="shared" si="53"/>
        <v>-1.9781637070470393</v>
      </c>
      <c r="AN107" s="207" t="str">
        <f t="shared" si="54"/>
        <v>Saylam C</v>
      </c>
      <c r="AO107" s="207">
        <f t="shared" si="55"/>
        <v>2006</v>
      </c>
      <c r="AP107" s="207" t="str">
        <f t="shared" si="56"/>
        <v>Saylam C 2006</v>
      </c>
      <c r="AQ107" s="207">
        <f t="shared" si="57"/>
        <v>24</v>
      </c>
      <c r="AR107" s="207">
        <f t="shared" si="58"/>
        <v>2638.7</v>
      </c>
      <c r="AS107" s="207">
        <f t="shared" si="59"/>
        <v>249.2</v>
      </c>
      <c r="AT107" s="207">
        <f t="shared" si="60"/>
        <v>24</v>
      </c>
      <c r="AU107" s="207">
        <f t="shared" si="61"/>
        <v>2786.7</v>
      </c>
      <c r="AV107" s="207">
        <f t="shared" si="62"/>
        <v>249.2</v>
      </c>
      <c r="AW107" s="208">
        <f t="shared" si="63"/>
        <v>-0.58416440807304693</v>
      </c>
      <c r="AX107" s="207">
        <f t="shared" si="64"/>
        <v>0.29530640259550367</v>
      </c>
      <c r="AY107" s="207"/>
      <c r="AZ107" s="207"/>
    </row>
    <row r="108" spans="5:52">
      <c r="E108" t="str">
        <f t="shared" si="65"/>
        <v>Weniger G</v>
      </c>
      <c r="F108">
        <f t="shared" si="65"/>
        <v>2006</v>
      </c>
      <c r="G108">
        <v>23</v>
      </c>
      <c r="H108">
        <f t="shared" si="66"/>
        <v>21</v>
      </c>
      <c r="I108">
        <f t="shared" si="66"/>
        <v>23</v>
      </c>
      <c r="J108">
        <f t="shared" ref="J108:M109" si="67">IF($D$4="Total",T43,IF($D$4="Left",L43,IF($D$4="Right",P43,"error")))</f>
        <v>2.7</v>
      </c>
      <c r="K108">
        <f t="shared" si="67"/>
        <v>0.4</v>
      </c>
      <c r="L108">
        <f t="shared" si="67"/>
        <v>3</v>
      </c>
      <c r="M108">
        <f t="shared" si="67"/>
        <v>0.5</v>
      </c>
      <c r="N108">
        <f t="shared" ref="N108:N113" si="68">IF($D$3=1,SQRT((((I108-1)*(M108)^2)+((H108-1)*(K108)^2))/(H108+I108-2)),M108)</f>
        <v>0.45512949491639976</v>
      </c>
      <c r="O108" s="59">
        <f t="shared" ref="O108:O113" si="69">IF($D$6=1,LN(J108/L108),IF($D$5=1,(1-3/(4*(H108+I108)-9))*((J108-L108)/N108),(J108-L108)/N108))</f>
        <v>-0.64731198864013206</v>
      </c>
      <c r="P108" s="63">
        <f t="shared" ref="P108:P113" si="70">IF($D$6=1,(K108^2)/(H108*J108^2)+(M108^2)/(I108*L108^2),(IF($D$5=1,((H108+I108)/(H108*I108))+(O108*O108)/(2*(H108+I108-3.94)),((H108+I108)/(H108*I108))+((O108^2)/(2*(H108+I108-2))))))</f>
        <v>9.6327123898463582E-2</v>
      </c>
      <c r="Q108" s="59">
        <f t="shared" si="11"/>
        <v>0.60831758084765042</v>
      </c>
      <c r="R108" s="59">
        <f t="shared" ref="R108:R113" si="71">1/P108</f>
        <v>10.381291992627945</v>
      </c>
      <c r="S108" s="59">
        <f t="shared" ref="S108:S113" si="72">O108*R108</f>
        <v>-6.7199347644018745</v>
      </c>
      <c r="T108" s="59">
        <f t="shared" ref="T108:T113" si="73">R108*(O108^2)</f>
        <v>4.3498943358769342</v>
      </c>
      <c r="U108" s="23">
        <f t="shared" ref="U108:U113" si="74">R108^2</f>
        <v>107.7712234362011</v>
      </c>
      <c r="V108" s="59">
        <f t="shared" ref="V108:V113" si="75">1/((1/R108)+$I$144)</f>
        <v>3.7956631934829397</v>
      </c>
      <c r="W108" s="59">
        <f t="shared" ref="W108:W113" si="76">V108*O108</f>
        <v>-2.456978289981596</v>
      </c>
      <c r="AF108" s="59">
        <f t="shared" ref="AF108:AF113" si="77">IF($D$6=1,100*((EXP(O108))-1),O108)</f>
        <v>-0.64731198864013206</v>
      </c>
      <c r="AG108" s="59">
        <f t="shared" ref="AG108:AG113" si="78">IF($D$6=1,100*(EXP(O108+Q108)-EXP(O108)),Q108)</f>
        <v>0.60831758084765042</v>
      </c>
      <c r="AH108" s="59">
        <f t="shared" ref="AH108:AH113" si="79">IF($D$6=1,100*(EXP(O108)-EXP(O108-Q108)),Q108)</f>
        <v>0.60831758084765042</v>
      </c>
      <c r="AJ108">
        <f t="shared" ref="AJ108:AJ113" si="80">SQRT(P108)</f>
        <v>0.31036611267737269</v>
      </c>
      <c r="AK108">
        <f t="shared" si="22"/>
        <v>3.222001240320671</v>
      </c>
      <c r="AL108">
        <f t="shared" ref="AL108:AL113" si="81">O108/AJ108</f>
        <v>-2.0856400302729456</v>
      </c>
      <c r="AN108" s="207" t="str">
        <f t="shared" ref="AN108:AN113" si="82">E108</f>
        <v>Weniger G</v>
      </c>
      <c r="AO108" s="207">
        <f t="shared" ref="AO108:AO113" si="83">F108</f>
        <v>2006</v>
      </c>
      <c r="AP108" s="207" t="str">
        <f t="shared" ref="AP108:AP113" si="84">CONCATENATE(AN108," ",AO108)</f>
        <v>Weniger G 2006</v>
      </c>
      <c r="AQ108" s="207">
        <f t="shared" ref="AQ108:AQ113" si="85">INT(H108)</f>
        <v>21</v>
      </c>
      <c r="AR108" s="207">
        <f t="shared" ref="AR108:AR113" si="86">J108</f>
        <v>2.7</v>
      </c>
      <c r="AS108" s="207">
        <f t="shared" ref="AS108:AS113" si="87">K108</f>
        <v>0.4</v>
      </c>
      <c r="AT108" s="207">
        <f t="shared" ref="AT108:AT113" si="88">INT(I108)</f>
        <v>23</v>
      </c>
      <c r="AU108" s="207">
        <f t="shared" ref="AU108:AU113" si="89">L108</f>
        <v>3</v>
      </c>
      <c r="AV108" s="207">
        <f t="shared" ref="AV108:AV113" si="90">M108</f>
        <v>0.5</v>
      </c>
      <c r="AW108" s="208">
        <f t="shared" ref="AW108:AW113" si="91">O108</f>
        <v>-0.64731198864013206</v>
      </c>
      <c r="AX108" s="207">
        <f t="shared" ref="AX108:AX113" si="92">SQRT(P108)</f>
        <v>0.31036611267737269</v>
      </c>
      <c r="AY108" s="207"/>
      <c r="AZ108" s="207"/>
    </row>
    <row r="109" spans="5:52">
      <c r="E109" t="str">
        <f t="shared" si="65"/>
        <v>Velakoulis D</v>
      </c>
      <c r="F109">
        <f t="shared" si="65"/>
        <v>2006</v>
      </c>
      <c r="G109">
        <v>22</v>
      </c>
      <c r="H109">
        <f t="shared" si="66"/>
        <v>12</v>
      </c>
      <c r="I109">
        <f t="shared" si="66"/>
        <v>87</v>
      </c>
      <c r="J109">
        <f t="shared" si="67"/>
        <v>2849</v>
      </c>
      <c r="K109">
        <f t="shared" si="67"/>
        <v>442</v>
      </c>
      <c r="L109">
        <f t="shared" si="67"/>
        <v>2870</v>
      </c>
      <c r="M109">
        <f t="shared" si="67"/>
        <v>358</v>
      </c>
      <c r="N109">
        <f>IF($D$3=1,SQRT((((I109-1)*(M109)^2)+((H109-1)*(K109)^2))/(H109+I109-2)),M109)</f>
        <v>368.48964511462333</v>
      </c>
      <c r="O109" s="59">
        <f>IF($D$6=1,LN(J109/L109),IF($D$5=1,(1-3/(4*(H109+I109)-9))*((J109-L109)/N109),(J109-L109)/N109))</f>
        <v>-5.6547611523368332E-2</v>
      </c>
      <c r="P109" s="63">
        <f>IF($D$6=1,(K109^2)/(H109*J109^2)+(M109^2)/(I109*L109^2),(IF($D$5=1,((H109+I109)/(H109*I109))+(O109*O109)/(2*(H109+I109-3.94)),((H109+I109)/(H109*I109))+((O109^2)/(2*(H109+I109-2))))))</f>
        <v>9.4844405228404011E-2</v>
      </c>
      <c r="Q109" s="59">
        <f t="shared" si="11"/>
        <v>0.60361764977959087</v>
      </c>
      <c r="R109" s="59">
        <f>1/P109</f>
        <v>10.543584490743582</v>
      </c>
      <c r="S109" s="59">
        <f>O109*R109</f>
        <v>-0.59621451984637941</v>
      </c>
      <c r="T109" s="59">
        <f>R109*(O109^2)</f>
        <v>3.3714507052864641E-2</v>
      </c>
      <c r="U109" s="23">
        <f>R109^2</f>
        <v>111.16717391344859</v>
      </c>
      <c r="V109" s="59">
        <f t="shared" si="75"/>
        <v>3.8171457104308644</v>
      </c>
      <c r="W109" s="59">
        <f>V109*O109</f>
        <v>-0.21585047276153635</v>
      </c>
      <c r="AF109" s="59">
        <f>IF($D$6=1,100*((EXP(O109))-1),O109)</f>
        <v>-5.6547611523368332E-2</v>
      </c>
      <c r="AG109" s="59">
        <f>IF($D$6=1,100*(EXP(O109+Q109)-EXP(O109)),Q109)</f>
        <v>0.60361764977959087</v>
      </c>
      <c r="AH109" s="59">
        <f>IF($D$6=1,100*(EXP(O109)-EXP(O109-Q109)),Q109)</f>
        <v>0.60361764977959087</v>
      </c>
      <c r="AJ109">
        <f>SQRT(P109)</f>
        <v>0.30796818866305659</v>
      </c>
      <c r="AK109">
        <f t="shared" si="22"/>
        <v>3.2470886176301965</v>
      </c>
      <c r="AL109">
        <f>O109/AJ109</f>
        <v>-0.18361510573170345</v>
      </c>
      <c r="AN109" s="207" t="str">
        <f>E109</f>
        <v>Velakoulis D</v>
      </c>
      <c r="AO109" s="207">
        <f>F109</f>
        <v>2006</v>
      </c>
      <c r="AP109" s="207" t="str">
        <f>CONCATENATE(AN109," ",AO109)</f>
        <v>Velakoulis D 2006</v>
      </c>
      <c r="AQ109" s="207">
        <f>INT(H109)</f>
        <v>12</v>
      </c>
      <c r="AR109" s="207">
        <f>J109</f>
        <v>2849</v>
      </c>
      <c r="AS109" s="207">
        <f>K109</f>
        <v>442</v>
      </c>
      <c r="AT109" s="207">
        <f>INT(I109)</f>
        <v>87</v>
      </c>
      <c r="AU109" s="207">
        <f>L109</f>
        <v>2870</v>
      </c>
      <c r="AV109" s="207">
        <f>M109</f>
        <v>358</v>
      </c>
      <c r="AW109" s="208">
        <f>O109</f>
        <v>-5.6547611523368332E-2</v>
      </c>
      <c r="AX109" s="207">
        <f>SQRT(P109)</f>
        <v>0.30796818866305659</v>
      </c>
      <c r="AY109" s="207"/>
      <c r="AZ109" s="207"/>
    </row>
    <row r="110" spans="5:52">
      <c r="E110" t="str">
        <f t="shared" ref="E110:F114" si="93">E45</f>
        <v>Caetano SC</v>
      </c>
      <c r="F110">
        <f t="shared" si="93"/>
        <v>2007</v>
      </c>
      <c r="G110">
        <v>21</v>
      </c>
      <c r="H110">
        <f t="shared" ref="H110:I114" si="94">H45</f>
        <v>19</v>
      </c>
      <c r="I110">
        <f t="shared" si="94"/>
        <v>24</v>
      </c>
      <c r="J110">
        <f t="shared" ref="J110:M111" si="95">IF($D$4="Total",T45,IF($D$4="Left",L45,IF($D$4="Right",P45,"error")))</f>
        <v>1.89</v>
      </c>
      <c r="K110">
        <f t="shared" si="95"/>
        <v>0.16</v>
      </c>
      <c r="L110">
        <f t="shared" si="95"/>
        <v>1.99</v>
      </c>
      <c r="M110">
        <f t="shared" si="95"/>
        <v>0.18</v>
      </c>
      <c r="N110">
        <f t="shared" si="68"/>
        <v>0.17150695072311636</v>
      </c>
      <c r="O110" s="59">
        <f t="shared" si="69"/>
        <v>-0.57233545805921537</v>
      </c>
      <c r="P110" s="63">
        <f t="shared" si="70"/>
        <v>9.8491382794678353E-2</v>
      </c>
      <c r="Q110" s="59">
        <f t="shared" si="11"/>
        <v>0.61511340104409717</v>
      </c>
      <c r="R110" s="59">
        <f t="shared" si="71"/>
        <v>10.153172507331591</v>
      </c>
      <c r="S110" s="59">
        <f t="shared" si="72"/>
        <v>-5.811020637737859</v>
      </c>
      <c r="T110" s="59">
        <f t="shared" si="73"/>
        <v>3.3258531584912512</v>
      </c>
      <c r="U110" s="23">
        <f t="shared" si="74"/>
        <v>103.08691196363408</v>
      </c>
      <c r="V110" s="59">
        <f t="shared" si="75"/>
        <v>3.7647366430636873</v>
      </c>
      <c r="W110" s="59">
        <f t="shared" si="76"/>
        <v>-2.1546922710801684</v>
      </c>
      <c r="AF110" s="59">
        <f t="shared" si="77"/>
        <v>-0.57233545805921537</v>
      </c>
      <c r="AG110" s="59">
        <f t="shared" si="78"/>
        <v>0.61511340104409717</v>
      </c>
      <c r="AH110" s="59">
        <f t="shared" si="79"/>
        <v>0.61511340104409717</v>
      </c>
      <c r="AJ110">
        <f t="shared" si="80"/>
        <v>0.31383336787964144</v>
      </c>
      <c r="AK110">
        <f t="shared" si="22"/>
        <v>3.1864043226388565</v>
      </c>
      <c r="AL110">
        <f t="shared" si="81"/>
        <v>-1.823692177559374</v>
      </c>
      <c r="AN110" s="207" t="str">
        <f t="shared" si="82"/>
        <v>Caetano SC</v>
      </c>
      <c r="AO110" s="207">
        <f t="shared" si="83"/>
        <v>2007</v>
      </c>
      <c r="AP110" s="207" t="str">
        <f t="shared" si="84"/>
        <v>Caetano SC 2007</v>
      </c>
      <c r="AQ110" s="207">
        <f t="shared" si="85"/>
        <v>19</v>
      </c>
      <c r="AR110" s="207">
        <f t="shared" si="86"/>
        <v>1.89</v>
      </c>
      <c r="AS110" s="207">
        <f t="shared" si="87"/>
        <v>0.16</v>
      </c>
      <c r="AT110" s="207">
        <f t="shared" si="88"/>
        <v>24</v>
      </c>
      <c r="AU110" s="207">
        <f t="shared" si="89"/>
        <v>1.99</v>
      </c>
      <c r="AV110" s="207">
        <f t="shared" si="90"/>
        <v>0.18</v>
      </c>
      <c r="AW110" s="208">
        <f t="shared" si="91"/>
        <v>-0.57233545805921537</v>
      </c>
      <c r="AX110" s="207">
        <f t="shared" si="92"/>
        <v>0.31383336787964144</v>
      </c>
      <c r="AY110" s="207"/>
      <c r="AZ110" s="207"/>
    </row>
    <row r="111" spans="5:52">
      <c r="E111" t="str">
        <f t="shared" si="93"/>
        <v>Colla M</v>
      </c>
      <c r="F111">
        <f t="shared" si="93"/>
        <v>2007</v>
      </c>
      <c r="G111">
        <v>20</v>
      </c>
      <c r="H111">
        <f t="shared" si="94"/>
        <v>24</v>
      </c>
      <c r="I111">
        <f t="shared" si="94"/>
        <v>14</v>
      </c>
      <c r="J111">
        <f t="shared" si="95"/>
        <v>1.68</v>
      </c>
      <c r="K111">
        <f t="shared" si="95"/>
        <v>0.27</v>
      </c>
      <c r="L111">
        <f t="shared" si="95"/>
        <v>1.86</v>
      </c>
      <c r="M111">
        <f t="shared" si="95"/>
        <v>0.15</v>
      </c>
      <c r="N111">
        <f t="shared" si="68"/>
        <v>0.23388031127052999</v>
      </c>
      <c r="O111" s="59">
        <f t="shared" si="69"/>
        <v>-0.7534784577053939</v>
      </c>
      <c r="P111" s="63">
        <f t="shared" si="70"/>
        <v>0.12142949802222135</v>
      </c>
      <c r="Q111" s="59">
        <f t="shared" si="11"/>
        <v>0.68299601726669346</v>
      </c>
      <c r="R111" s="59">
        <f t="shared" si="71"/>
        <v>8.2352312764811231</v>
      </c>
      <c r="S111" s="59">
        <f t="shared" si="72"/>
        <v>-6.205069361050219</v>
      </c>
      <c r="T111" s="59">
        <f t="shared" si="73"/>
        <v>4.6753860921191128</v>
      </c>
      <c r="U111" s="23">
        <f t="shared" si="74"/>
        <v>67.819034177132906</v>
      </c>
      <c r="V111" s="59">
        <f t="shared" si="75"/>
        <v>3.4654724340488605</v>
      </c>
      <c r="W111" s="59">
        <f t="shared" si="76"/>
        <v>-2.6111588248276929</v>
      </c>
      <c r="AF111" s="59">
        <f t="shared" si="77"/>
        <v>-0.7534784577053939</v>
      </c>
      <c r="AG111" s="59">
        <f t="shared" si="78"/>
        <v>0.68299601726669346</v>
      </c>
      <c r="AH111" s="59">
        <f t="shared" si="79"/>
        <v>0.68299601726669346</v>
      </c>
      <c r="AJ111">
        <f t="shared" si="80"/>
        <v>0.348467355748313</v>
      </c>
      <c r="AK111">
        <f t="shared" si="22"/>
        <v>2.8697092668911819</v>
      </c>
      <c r="AL111">
        <f t="shared" si="81"/>
        <v>-2.1622641124800444</v>
      </c>
      <c r="AN111" s="207" t="str">
        <f t="shared" si="82"/>
        <v>Colla M</v>
      </c>
      <c r="AO111" s="207">
        <f t="shared" si="83"/>
        <v>2007</v>
      </c>
      <c r="AP111" s="207" t="str">
        <f t="shared" si="84"/>
        <v>Colla M 2007</v>
      </c>
      <c r="AQ111" s="207">
        <f t="shared" si="85"/>
        <v>24</v>
      </c>
      <c r="AR111" s="207">
        <f t="shared" si="86"/>
        <v>1.68</v>
      </c>
      <c r="AS111" s="207">
        <f t="shared" si="87"/>
        <v>0.27</v>
      </c>
      <c r="AT111" s="207">
        <f t="shared" si="88"/>
        <v>14</v>
      </c>
      <c r="AU111" s="207">
        <f t="shared" si="89"/>
        <v>1.86</v>
      </c>
      <c r="AV111" s="207">
        <f t="shared" si="90"/>
        <v>0.15</v>
      </c>
      <c r="AW111" s="208">
        <f t="shared" si="91"/>
        <v>-0.7534784577053939</v>
      </c>
      <c r="AX111" s="207">
        <f t="shared" si="92"/>
        <v>0.348467355748313</v>
      </c>
      <c r="AY111" s="207"/>
      <c r="AZ111" s="207"/>
    </row>
    <row r="112" spans="5:52">
      <c r="E112" t="str">
        <f t="shared" si="93"/>
        <v>Maller JJ</v>
      </c>
      <c r="F112">
        <f t="shared" si="93"/>
        <v>2007</v>
      </c>
      <c r="G112">
        <v>19</v>
      </c>
      <c r="H112">
        <f t="shared" si="94"/>
        <v>22</v>
      </c>
      <c r="I112">
        <f t="shared" si="94"/>
        <v>13</v>
      </c>
      <c r="J112">
        <f t="shared" ref="J112:M113" si="96">IF($D$4="Total",T47,IF($D$4="Left",L47,IF($D$4="Right",P47,"error")))</f>
        <v>3010.56</v>
      </c>
      <c r="K112">
        <f t="shared" si="96"/>
        <v>291.39999999999998</v>
      </c>
      <c r="L112">
        <f t="shared" si="96"/>
        <v>3270.01</v>
      </c>
      <c r="M112">
        <f t="shared" si="96"/>
        <v>429.57</v>
      </c>
      <c r="N112">
        <f t="shared" si="68"/>
        <v>348.04901164791568</v>
      </c>
      <c r="O112" s="59">
        <f t="shared" si="69"/>
        <v>-0.72836982281970308</v>
      </c>
      <c r="P112" s="63">
        <f t="shared" si="70"/>
        <v>0.13091790890039132</v>
      </c>
      <c r="Q112" s="59">
        <f t="shared" si="11"/>
        <v>0.70917856625235309</v>
      </c>
      <c r="R112" s="59">
        <f t="shared" si="71"/>
        <v>7.6383743706206646</v>
      </c>
      <c r="S112" s="59">
        <f t="shared" si="72"/>
        <v>-5.5635613869595346</v>
      </c>
      <c r="T112" s="59">
        <f t="shared" si="73"/>
        <v>4.0523302216662573</v>
      </c>
      <c r="U112" s="23">
        <f t="shared" si="74"/>
        <v>58.344763025754631</v>
      </c>
      <c r="V112" s="59">
        <f t="shared" si="75"/>
        <v>3.3551490070500982</v>
      </c>
      <c r="W112" s="59">
        <f t="shared" si="76"/>
        <v>-2.4437892877987828</v>
      </c>
      <c r="AF112" s="59">
        <f t="shared" si="77"/>
        <v>-0.72836982281970308</v>
      </c>
      <c r="AG112" s="59">
        <f t="shared" si="78"/>
        <v>0.70917856625235309</v>
      </c>
      <c r="AH112" s="59">
        <f t="shared" si="79"/>
        <v>0.70917856625235309</v>
      </c>
      <c r="AJ112">
        <f t="shared" si="80"/>
        <v>0.36182579910834345</v>
      </c>
      <c r="AK112">
        <f t="shared" si="22"/>
        <v>2.7637609105385121</v>
      </c>
      <c r="AL112">
        <f t="shared" si="81"/>
        <v>-2.0130400447249572</v>
      </c>
      <c r="AN112" s="207" t="str">
        <f t="shared" si="82"/>
        <v>Maller JJ</v>
      </c>
      <c r="AO112" s="207">
        <f t="shared" si="83"/>
        <v>2007</v>
      </c>
      <c r="AP112" s="207" t="str">
        <f t="shared" si="84"/>
        <v>Maller JJ 2007</v>
      </c>
      <c r="AQ112" s="207">
        <f t="shared" si="85"/>
        <v>22</v>
      </c>
      <c r="AR112" s="207">
        <f t="shared" si="86"/>
        <v>3010.56</v>
      </c>
      <c r="AS112" s="207">
        <f t="shared" si="87"/>
        <v>291.39999999999998</v>
      </c>
      <c r="AT112" s="207">
        <f t="shared" si="88"/>
        <v>13</v>
      </c>
      <c r="AU112" s="207">
        <f t="shared" si="89"/>
        <v>3270.01</v>
      </c>
      <c r="AV112" s="207">
        <f t="shared" si="90"/>
        <v>429.57</v>
      </c>
      <c r="AW112" s="208">
        <f t="shared" si="91"/>
        <v>-0.72836982281970308</v>
      </c>
      <c r="AX112" s="207">
        <f t="shared" si="92"/>
        <v>0.36182579910834345</v>
      </c>
      <c r="AY112" s="207"/>
      <c r="AZ112" s="207"/>
    </row>
    <row r="113" spans="5:52">
      <c r="E113" t="str">
        <f t="shared" si="93"/>
        <v>Maller JJ</v>
      </c>
      <c r="F113">
        <f t="shared" si="93"/>
        <v>2007</v>
      </c>
      <c r="G113">
        <v>18</v>
      </c>
      <c r="H113">
        <f t="shared" si="94"/>
        <v>23</v>
      </c>
      <c r="I113">
        <f t="shared" si="94"/>
        <v>17</v>
      </c>
      <c r="J113">
        <f t="shared" si="96"/>
        <v>2781.15</v>
      </c>
      <c r="K113">
        <f t="shared" si="96"/>
        <v>376.58</v>
      </c>
      <c r="L113">
        <f t="shared" si="96"/>
        <v>2989.96</v>
      </c>
      <c r="M113">
        <f t="shared" si="96"/>
        <v>252.14</v>
      </c>
      <c r="N113">
        <f t="shared" si="68"/>
        <v>329.95486909895004</v>
      </c>
      <c r="O113" s="59">
        <f t="shared" si="69"/>
        <v>-0.62027106165318169</v>
      </c>
      <c r="P113" s="63">
        <f t="shared" si="70"/>
        <v>0.10763645736292123</v>
      </c>
      <c r="Q113" s="59">
        <f t="shared" si="11"/>
        <v>0.64303671326402367</v>
      </c>
      <c r="R113" s="59">
        <f t="shared" si="71"/>
        <v>9.2905324506200397</v>
      </c>
      <c r="S113" s="59">
        <f t="shared" si="72"/>
        <v>-5.7626484264694282</v>
      </c>
      <c r="T113" s="59">
        <f t="shared" si="73"/>
        <v>3.5744040574202294</v>
      </c>
      <c r="U113" s="23">
        <f t="shared" si="74"/>
        <v>86.313993216024002</v>
      </c>
      <c r="V113" s="59">
        <f t="shared" si="75"/>
        <v>3.6394352639628225</v>
      </c>
      <c r="W113" s="59">
        <f t="shared" si="76"/>
        <v>-2.2574363749962476</v>
      </c>
      <c r="AF113" s="59">
        <f t="shared" si="77"/>
        <v>-0.62027106165318169</v>
      </c>
      <c r="AG113" s="59">
        <f t="shared" si="78"/>
        <v>0.64303671326402367</v>
      </c>
      <c r="AH113" s="59">
        <f t="shared" si="79"/>
        <v>0.64303671326402367</v>
      </c>
      <c r="AJ113">
        <f t="shared" si="80"/>
        <v>0.32807995574695087</v>
      </c>
      <c r="AK113">
        <f t="shared" si="22"/>
        <v>3.0480374752650334</v>
      </c>
      <c r="AL113">
        <f t="shared" si="81"/>
        <v>-1.8906094407413259</v>
      </c>
      <c r="AN113" s="207" t="str">
        <f t="shared" si="82"/>
        <v>Maller JJ</v>
      </c>
      <c r="AO113" s="207">
        <f t="shared" si="83"/>
        <v>2007</v>
      </c>
      <c r="AP113" s="207" t="str">
        <f t="shared" si="84"/>
        <v>Maller JJ 2007</v>
      </c>
      <c r="AQ113" s="207">
        <f t="shared" si="85"/>
        <v>23</v>
      </c>
      <c r="AR113" s="207">
        <f t="shared" si="86"/>
        <v>2781.15</v>
      </c>
      <c r="AS113" s="207">
        <f t="shared" si="87"/>
        <v>376.58</v>
      </c>
      <c r="AT113" s="207">
        <f t="shared" si="88"/>
        <v>17</v>
      </c>
      <c r="AU113" s="207">
        <f t="shared" si="89"/>
        <v>2989.96</v>
      </c>
      <c r="AV113" s="207">
        <f t="shared" si="90"/>
        <v>252.14</v>
      </c>
      <c r="AW113" s="208">
        <f t="shared" si="91"/>
        <v>-0.62027106165318169</v>
      </c>
      <c r="AX113" s="207">
        <f t="shared" si="92"/>
        <v>0.32807995574695087</v>
      </c>
      <c r="AY113" s="207"/>
      <c r="AZ113" s="207"/>
    </row>
    <row r="114" spans="5:52">
      <c r="E114" t="str">
        <f t="shared" si="93"/>
        <v>Ballmaier M (A)</v>
      </c>
      <c r="F114">
        <f t="shared" si="93"/>
        <v>2008</v>
      </c>
      <c r="G114">
        <v>17</v>
      </c>
      <c r="H114">
        <f t="shared" si="94"/>
        <v>46</v>
      </c>
      <c r="I114">
        <f t="shared" si="94"/>
        <v>34</v>
      </c>
      <c r="J114">
        <f t="shared" ref="J114:M119" si="97">IF($D$4="Total",T49,IF($D$4="Left",L49,IF($D$4="Right",P49,"error")))</f>
        <v>1116.0999999999999</v>
      </c>
      <c r="K114">
        <f t="shared" si="97"/>
        <v>222</v>
      </c>
      <c r="L114">
        <f t="shared" si="97"/>
        <v>1272.75</v>
      </c>
      <c r="M114">
        <f t="shared" si="97"/>
        <v>257.64999999999998</v>
      </c>
      <c r="N114">
        <f t="shared" ref="N114:N120" si="98">IF($D$3=1,SQRT((((I114-1)*(M114)^2)+((H114-1)*(K114)^2))/(H114+I114-2)),M114)</f>
        <v>237.73601613004416</v>
      </c>
      <c r="O114" s="59">
        <f t="shared" ref="O114:O120" si="99">IF($D$6=1,LN(J114/L114),IF($D$5=1,(1-3/(4*(H114+I114)-9))*((J114-L114)/N114),(J114-L114)/N114))</f>
        <v>-0.65256795868720618</v>
      </c>
      <c r="P114" s="63">
        <f t="shared" ref="P114:P120" si="100">IF($D$6=1,(K114^2)/(H114*J114^2)+(M114^2)/(I114*L114^2),(IF($D$5=1,((H114+I114)/(H114*I114))+(O114*O114)/(2*(H114+I114-3.94)),((H114+I114)/(H114*I114))+((O114^2)/(2*(H114+I114-2))))))</f>
        <v>5.3950296538937292E-2</v>
      </c>
      <c r="Q114" s="59">
        <f t="shared" si="11"/>
        <v>0.45525318141006055</v>
      </c>
      <c r="R114" s="59">
        <f t="shared" ref="R114:R120" si="101">1/P114</f>
        <v>18.535579304522908</v>
      </c>
      <c r="S114" s="59">
        <f t="shared" ref="S114:S120" si="102">O114*R114</f>
        <v>-12.095725149837339</v>
      </c>
      <c r="T114" s="59">
        <f t="shared" ref="T114:T120" si="103">R114*(O114^2)</f>
        <v>7.893282669870854</v>
      </c>
      <c r="U114" s="23">
        <f t="shared" ref="U114:U120" si="104">R114^2</f>
        <v>343.56770015425792</v>
      </c>
      <c r="V114" s="59">
        <f t="shared" ref="V114:V121" si="105">1/((1/R114)+$I$144)</f>
        <v>4.5232138333460252</v>
      </c>
      <c r="W114" s="59">
        <f t="shared" ref="W114:W120" si="106">V114*O114</f>
        <v>-2.9517044179323486</v>
      </c>
      <c r="AF114" s="59">
        <f t="shared" ref="AF114:AF120" si="107">IF($D$6=1,100*((EXP(O114))-1),O114)</f>
        <v>-0.65256795868720618</v>
      </c>
      <c r="AG114" s="59">
        <f t="shared" ref="AG114:AG120" si="108">IF($D$6=1,100*(EXP(O114+Q114)-EXP(O114)),Q114)</f>
        <v>0.45525318141006055</v>
      </c>
      <c r="AH114" s="59">
        <f t="shared" ref="AH114:AH120" si="109">IF($D$6=1,100*(EXP(O114)-EXP(O114-Q114)),Q114)</f>
        <v>0.45525318141006055</v>
      </c>
      <c r="AJ114">
        <f t="shared" ref="AJ114:AJ120" si="110">SQRT(P114)</f>
        <v>0.23227203133166355</v>
      </c>
      <c r="AK114">
        <f t="shared" si="22"/>
        <v>4.3052966569706799</v>
      </c>
      <c r="AL114">
        <f t="shared" ref="AL114:AL120" si="111">O114/AJ114</f>
        <v>-2.8094986509822091</v>
      </c>
      <c r="AN114" s="207" t="str">
        <f t="shared" ref="AN114:AO119" si="112">E114</f>
        <v>Ballmaier M (A)</v>
      </c>
      <c r="AO114" s="207">
        <f t="shared" si="112"/>
        <v>2008</v>
      </c>
      <c r="AP114" s="207" t="str">
        <f t="shared" ref="AP114:AP120" si="113">CONCATENATE(AN114," ",AO114)</f>
        <v>Ballmaier M (A) 2008</v>
      </c>
      <c r="AQ114" s="207">
        <f t="shared" ref="AQ114:AQ120" si="114">INT(H114)</f>
        <v>46</v>
      </c>
      <c r="AR114" s="207">
        <f t="shared" ref="AR114:AS119" si="115">J114</f>
        <v>1116.0999999999999</v>
      </c>
      <c r="AS114" s="207">
        <f t="shared" si="115"/>
        <v>222</v>
      </c>
      <c r="AT114" s="207">
        <f t="shared" ref="AT114:AT120" si="116">INT(I114)</f>
        <v>34</v>
      </c>
      <c r="AU114" s="207">
        <f t="shared" ref="AU114:AV119" si="117">L114</f>
        <v>1272.75</v>
      </c>
      <c r="AV114" s="207">
        <f t="shared" si="117"/>
        <v>257.64999999999998</v>
      </c>
      <c r="AW114" s="208">
        <f t="shared" ref="AW114:AW120" si="118">O114</f>
        <v>-0.65256795868720618</v>
      </c>
      <c r="AX114" s="207">
        <f t="shared" ref="AX114:AX120" si="119">SQRT(P114)</f>
        <v>0.23227203133166355</v>
      </c>
      <c r="AY114" s="207"/>
      <c r="AZ114" s="207"/>
    </row>
    <row r="115" spans="5:52">
      <c r="E115" t="str">
        <f t="shared" ref="E115:F117" si="120">E50</f>
        <v>Keller J</v>
      </c>
      <c r="F115">
        <f t="shared" si="120"/>
        <v>2008</v>
      </c>
      <c r="G115">
        <v>16</v>
      </c>
      <c r="H115">
        <f t="shared" ref="H115:I117" si="121">H50</f>
        <v>23</v>
      </c>
      <c r="I115">
        <f t="shared" si="121"/>
        <v>11</v>
      </c>
      <c r="J115">
        <f t="shared" si="97"/>
        <v>3.86</v>
      </c>
      <c r="K115">
        <f t="shared" si="97"/>
        <v>0.57999999999999996</v>
      </c>
      <c r="L115">
        <f t="shared" si="97"/>
        <v>3.78</v>
      </c>
      <c r="M115">
        <f t="shared" si="97"/>
        <v>0.49</v>
      </c>
      <c r="N115">
        <f t="shared" si="98"/>
        <v>0.5534494105155412</v>
      </c>
      <c r="O115" s="59">
        <f t="shared" si="99"/>
        <v>0.14113347080397537</v>
      </c>
      <c r="P115" s="63">
        <f t="shared" si="100"/>
        <v>0.13471866675838295</v>
      </c>
      <c r="Q115" s="59">
        <f t="shared" si="11"/>
        <v>0.71939921477508162</v>
      </c>
      <c r="R115" s="59">
        <f t="shared" si="101"/>
        <v>7.4228763100327697</v>
      </c>
      <c r="S115" s="59">
        <f t="shared" si="102"/>
        <v>1.0476162969835303</v>
      </c>
      <c r="T115" s="59">
        <f t="shared" si="103"/>
        <v>0.14785372406409386</v>
      </c>
      <c r="U115" s="23">
        <f t="shared" si="104"/>
        <v>55.09909271404571</v>
      </c>
      <c r="V115" s="59">
        <f t="shared" si="105"/>
        <v>3.3129025132495498</v>
      </c>
      <c r="W115" s="59">
        <f t="shared" si="106"/>
        <v>0.46756143013012197</v>
      </c>
      <c r="AF115" s="59">
        <f t="shared" si="107"/>
        <v>0.14113347080397537</v>
      </c>
      <c r="AG115" s="59">
        <f t="shared" si="108"/>
        <v>0.71939921477508162</v>
      </c>
      <c r="AH115" s="59">
        <f t="shared" si="109"/>
        <v>0.71939921477508162</v>
      </c>
      <c r="AJ115">
        <f t="shared" si="110"/>
        <v>0.36704041570157225</v>
      </c>
      <c r="AK115">
        <f t="shared" si="22"/>
        <v>2.7244956065357804</v>
      </c>
      <c r="AL115">
        <f t="shared" si="111"/>
        <v>0.38451752114057669</v>
      </c>
      <c r="AN115" s="207" t="str">
        <f t="shared" si="112"/>
        <v>Keller J</v>
      </c>
      <c r="AO115" s="207">
        <f t="shared" si="112"/>
        <v>2008</v>
      </c>
      <c r="AP115" s="207" t="str">
        <f t="shared" si="113"/>
        <v>Keller J 2008</v>
      </c>
      <c r="AQ115" s="207">
        <f t="shared" si="114"/>
        <v>23</v>
      </c>
      <c r="AR115" s="207">
        <f t="shared" si="115"/>
        <v>3.86</v>
      </c>
      <c r="AS115" s="207">
        <f t="shared" si="115"/>
        <v>0.57999999999999996</v>
      </c>
      <c r="AT115" s="207">
        <f t="shared" si="116"/>
        <v>11</v>
      </c>
      <c r="AU115" s="207">
        <f t="shared" si="117"/>
        <v>3.78</v>
      </c>
      <c r="AV115" s="207">
        <f t="shared" si="117"/>
        <v>0.49</v>
      </c>
      <c r="AW115" s="208">
        <f t="shared" si="118"/>
        <v>0.14113347080397537</v>
      </c>
      <c r="AX115" s="207">
        <f t="shared" si="119"/>
        <v>0.36704041570157225</v>
      </c>
      <c r="AY115" s="207"/>
      <c r="AZ115" s="207"/>
    </row>
    <row r="116" spans="5:52">
      <c r="E116" t="str">
        <f t="shared" si="120"/>
        <v>Keller J</v>
      </c>
      <c r="F116">
        <f t="shared" si="120"/>
        <v>2008</v>
      </c>
      <c r="G116">
        <v>15</v>
      </c>
      <c r="H116">
        <f t="shared" si="121"/>
        <v>19</v>
      </c>
      <c r="I116">
        <f t="shared" si="121"/>
        <v>11</v>
      </c>
      <c r="J116">
        <f t="shared" si="97"/>
        <v>3.85</v>
      </c>
      <c r="K116">
        <f t="shared" si="97"/>
        <v>0.3</v>
      </c>
      <c r="L116">
        <f t="shared" si="97"/>
        <v>3.78</v>
      </c>
      <c r="M116">
        <f t="shared" si="97"/>
        <v>0.49</v>
      </c>
      <c r="N116">
        <f t="shared" si="98"/>
        <v>0.37895533095226785</v>
      </c>
      <c r="O116" s="59">
        <f t="shared" si="99"/>
        <v>0.17972595328573723</v>
      </c>
      <c r="P116" s="63">
        <f t="shared" si="100"/>
        <v>0.14416042078286889</v>
      </c>
      <c r="Q116" s="59">
        <f t="shared" si="11"/>
        <v>0.74418188131630092</v>
      </c>
      <c r="R116" s="59">
        <f t="shared" si="101"/>
        <v>6.9367167116290327</v>
      </c>
      <c r="S116" s="59">
        <f t="shared" si="102"/>
        <v>1.2467080236706323</v>
      </c>
      <c r="T116" s="59">
        <f t="shared" si="103"/>
        <v>0.22406578802318186</v>
      </c>
      <c r="U116" s="23">
        <f t="shared" si="104"/>
        <v>48.118038737393498</v>
      </c>
      <c r="V116" s="59">
        <f t="shared" si="105"/>
        <v>3.2124192886957061</v>
      </c>
      <c r="W116" s="59">
        <f t="shared" si="106"/>
        <v>0.57735511901432568</v>
      </c>
      <c r="AF116" s="59">
        <f t="shared" si="107"/>
        <v>0.17972595328573723</v>
      </c>
      <c r="AG116" s="59">
        <f t="shared" si="108"/>
        <v>0.74418188131630092</v>
      </c>
      <c r="AH116" s="59">
        <f t="shared" si="109"/>
        <v>0.74418188131630092</v>
      </c>
      <c r="AJ116">
        <f t="shared" si="110"/>
        <v>0.37968463332464336</v>
      </c>
      <c r="AK116">
        <f t="shared" si="22"/>
        <v>2.6337647411317953</v>
      </c>
      <c r="AL116">
        <f t="shared" si="111"/>
        <v>0.47335587883027491</v>
      </c>
      <c r="AN116" s="207" t="str">
        <f t="shared" si="112"/>
        <v>Keller J</v>
      </c>
      <c r="AO116" s="207">
        <f t="shared" si="112"/>
        <v>2008</v>
      </c>
      <c r="AP116" s="207" t="str">
        <f t="shared" si="113"/>
        <v>Keller J 2008</v>
      </c>
      <c r="AQ116" s="207">
        <f t="shared" si="114"/>
        <v>19</v>
      </c>
      <c r="AR116" s="207">
        <f t="shared" si="115"/>
        <v>3.85</v>
      </c>
      <c r="AS116" s="207">
        <f t="shared" si="115"/>
        <v>0.3</v>
      </c>
      <c r="AT116" s="207">
        <f t="shared" si="116"/>
        <v>11</v>
      </c>
      <c r="AU116" s="207">
        <f t="shared" si="117"/>
        <v>3.78</v>
      </c>
      <c r="AV116" s="207">
        <f t="shared" si="117"/>
        <v>0.49</v>
      </c>
      <c r="AW116" s="208">
        <f t="shared" si="118"/>
        <v>0.17972595328573723</v>
      </c>
      <c r="AX116" s="207">
        <f t="shared" si="119"/>
        <v>0.37968463332464336</v>
      </c>
      <c r="AY116" s="207"/>
      <c r="AZ116" s="207"/>
    </row>
    <row r="117" spans="5:52">
      <c r="E117" t="str">
        <f t="shared" si="120"/>
        <v>MacMaster FP (B)</v>
      </c>
      <c r="F117">
        <f t="shared" si="120"/>
        <v>2008</v>
      </c>
      <c r="G117">
        <v>14</v>
      </c>
      <c r="H117">
        <f t="shared" si="121"/>
        <v>16</v>
      </c>
      <c r="I117">
        <f t="shared" si="121"/>
        <v>17</v>
      </c>
      <c r="J117">
        <f t="shared" si="97"/>
        <v>2.76</v>
      </c>
      <c r="K117">
        <f t="shared" si="97"/>
        <v>0.27</v>
      </c>
      <c r="L117">
        <f t="shared" si="97"/>
        <v>3.06</v>
      </c>
      <c r="M117">
        <f t="shared" si="97"/>
        <v>0.49</v>
      </c>
      <c r="N117">
        <f t="shared" si="98"/>
        <v>0.3989947044680523</v>
      </c>
      <c r="O117" s="59">
        <f t="shared" si="99"/>
        <v>-0.73355090569304493</v>
      </c>
      <c r="P117" s="63">
        <f t="shared" si="100"/>
        <v>0.13058190744416467</v>
      </c>
      <c r="Q117" s="59">
        <f t="shared" si="11"/>
        <v>0.70826792644980263</v>
      </c>
      <c r="R117" s="59">
        <f t="shared" si="101"/>
        <v>7.6580287389934822</v>
      </c>
      <c r="S117" s="59">
        <f t="shared" si="102"/>
        <v>-5.6175539173120352</v>
      </c>
      <c r="T117" s="59">
        <f t="shared" si="103"/>
        <v>4.120761763823757</v>
      </c>
      <c r="U117" s="23">
        <f t="shared" si="104"/>
        <v>58.645404167250106</v>
      </c>
      <c r="V117" s="59">
        <f t="shared" si="105"/>
        <v>3.3589356526135683</v>
      </c>
      <c r="W117" s="59">
        <f t="shared" si="106"/>
        <v>-2.463950290139342</v>
      </c>
      <c r="AF117" s="59">
        <f t="shared" si="107"/>
        <v>-0.73355090569304493</v>
      </c>
      <c r="AG117" s="59">
        <f t="shared" si="108"/>
        <v>0.70826792644980263</v>
      </c>
      <c r="AH117" s="59">
        <f t="shared" si="109"/>
        <v>0.70826792644980263</v>
      </c>
      <c r="AJ117">
        <f t="shared" si="110"/>
        <v>0.36136118696418501</v>
      </c>
      <c r="AK117">
        <f t="shared" si="22"/>
        <v>2.7673143549285255</v>
      </c>
      <c r="AL117">
        <f t="shared" si="111"/>
        <v>-2.0299659513951842</v>
      </c>
      <c r="AN117" s="207" t="str">
        <f t="shared" si="112"/>
        <v>MacMaster FP (B)</v>
      </c>
      <c r="AO117" s="207">
        <f t="shared" si="112"/>
        <v>2008</v>
      </c>
      <c r="AP117" s="207" t="str">
        <f t="shared" si="113"/>
        <v>MacMaster FP (B) 2008</v>
      </c>
      <c r="AQ117" s="207">
        <f t="shared" si="114"/>
        <v>16</v>
      </c>
      <c r="AR117" s="207">
        <f t="shared" si="115"/>
        <v>2.76</v>
      </c>
      <c r="AS117" s="207">
        <f t="shared" si="115"/>
        <v>0.27</v>
      </c>
      <c r="AT117" s="207">
        <f t="shared" si="116"/>
        <v>17</v>
      </c>
      <c r="AU117" s="207">
        <f t="shared" si="117"/>
        <v>3.06</v>
      </c>
      <c r="AV117" s="207">
        <f t="shared" si="117"/>
        <v>0.49</v>
      </c>
      <c r="AW117" s="208">
        <f t="shared" si="118"/>
        <v>-0.73355090569304493</v>
      </c>
      <c r="AX117" s="207">
        <f t="shared" si="119"/>
        <v>0.36136118696418501</v>
      </c>
      <c r="AY117" s="207"/>
      <c r="AZ117" s="207"/>
    </row>
    <row r="118" spans="5:52">
      <c r="E118" t="str">
        <f t="shared" ref="E118:F121" si="122">E53</f>
        <v>Tae WS</v>
      </c>
      <c r="F118">
        <f t="shared" si="122"/>
        <v>2008</v>
      </c>
      <c r="G118">
        <v>13</v>
      </c>
      <c r="H118">
        <f t="shared" ref="H118:I121" si="123">H53</f>
        <v>21</v>
      </c>
      <c r="I118">
        <f t="shared" si="123"/>
        <v>20</v>
      </c>
      <c r="J118">
        <f t="shared" si="97"/>
        <v>2589.3000000000002</v>
      </c>
      <c r="K118">
        <f t="shared" si="97"/>
        <v>377.24</v>
      </c>
      <c r="L118">
        <f t="shared" si="97"/>
        <v>2811.1</v>
      </c>
      <c r="M118">
        <f t="shared" si="97"/>
        <v>226.51</v>
      </c>
      <c r="N118">
        <f t="shared" si="98"/>
        <v>313.00975547589076</v>
      </c>
      <c r="O118" s="59">
        <f t="shared" si="99"/>
        <v>-0.69488919424732276</v>
      </c>
      <c r="P118" s="63">
        <f t="shared" si="100"/>
        <v>0.10413376688890318</v>
      </c>
      <c r="Q118" s="59">
        <f t="shared" si="11"/>
        <v>0.63248737448300929</v>
      </c>
      <c r="R118" s="59">
        <f t="shared" si="101"/>
        <v>9.6030330014553922</v>
      </c>
      <c r="S118" s="59">
        <f t="shared" si="102"/>
        <v>-6.6730438647117873</v>
      </c>
      <c r="T118" s="59">
        <f t="shared" si="103"/>
        <v>4.6370260743266138</v>
      </c>
      <c r="U118" s="23">
        <f t="shared" si="104"/>
        <v>92.218242827041365</v>
      </c>
      <c r="V118" s="59">
        <f t="shared" si="105"/>
        <v>3.6864291820334523</v>
      </c>
      <c r="W118" s="59">
        <f t="shared" si="106"/>
        <v>-2.5616598039530429</v>
      </c>
      <c r="AF118" s="59">
        <f t="shared" si="107"/>
        <v>-0.69488919424732276</v>
      </c>
      <c r="AG118" s="59">
        <f t="shared" si="108"/>
        <v>0.63248737448300929</v>
      </c>
      <c r="AH118" s="59">
        <f t="shared" si="109"/>
        <v>0.63248737448300929</v>
      </c>
      <c r="AJ118">
        <f t="shared" si="110"/>
        <v>0.32269764004235169</v>
      </c>
      <c r="AK118">
        <f t="shared" si="22"/>
        <v>3.0988760868184761</v>
      </c>
      <c r="AL118">
        <f t="shared" si="111"/>
        <v>-2.1533755070415874</v>
      </c>
      <c r="AN118" s="207" t="str">
        <f t="shared" si="112"/>
        <v>Tae WS</v>
      </c>
      <c r="AO118" s="207">
        <f t="shared" si="112"/>
        <v>2008</v>
      </c>
      <c r="AP118" s="207" t="str">
        <f t="shared" si="113"/>
        <v>Tae WS 2008</v>
      </c>
      <c r="AQ118" s="207">
        <f t="shared" si="114"/>
        <v>21</v>
      </c>
      <c r="AR118" s="207">
        <f t="shared" si="115"/>
        <v>2589.3000000000002</v>
      </c>
      <c r="AS118" s="207">
        <f t="shared" si="115"/>
        <v>377.24</v>
      </c>
      <c r="AT118" s="207">
        <f t="shared" si="116"/>
        <v>20</v>
      </c>
      <c r="AU118" s="207">
        <f t="shared" si="117"/>
        <v>2811.1</v>
      </c>
      <c r="AV118" s="207">
        <f t="shared" si="117"/>
        <v>226.51</v>
      </c>
      <c r="AW118" s="208">
        <f t="shared" si="118"/>
        <v>-0.69488919424732276</v>
      </c>
      <c r="AX118" s="207">
        <f t="shared" si="119"/>
        <v>0.32269764004235169</v>
      </c>
      <c r="AY118" s="207"/>
      <c r="AZ118" s="207"/>
    </row>
    <row r="119" spans="5:52">
      <c r="E119" t="str">
        <f t="shared" si="122"/>
        <v>Bergouignan L</v>
      </c>
      <c r="F119">
        <f t="shared" si="122"/>
        <v>2009</v>
      </c>
      <c r="G119">
        <v>12</v>
      </c>
      <c r="H119">
        <f t="shared" si="123"/>
        <v>21</v>
      </c>
      <c r="I119">
        <f t="shared" si="123"/>
        <v>21</v>
      </c>
      <c r="J119">
        <f t="shared" si="97"/>
        <v>3.95</v>
      </c>
      <c r="K119">
        <f t="shared" si="97"/>
        <v>0.75</v>
      </c>
      <c r="L119">
        <f t="shared" si="97"/>
        <v>4.42</v>
      </c>
      <c r="M119">
        <f t="shared" si="97"/>
        <v>1.04</v>
      </c>
      <c r="N119">
        <f t="shared" si="98"/>
        <v>0.90666973038698062</v>
      </c>
      <c r="O119" s="59">
        <f t="shared" si="99"/>
        <v>-0.50859983521770336</v>
      </c>
      <c r="P119" s="63">
        <f t="shared" si="100"/>
        <v>9.8636332132255436E-2</v>
      </c>
      <c r="Q119" s="59">
        <f t="shared" si="11"/>
        <v>0.61556586448508699</v>
      </c>
      <c r="R119" s="59">
        <f t="shared" si="101"/>
        <v>10.138252086048384</v>
      </c>
      <c r="S119" s="59">
        <f t="shared" si="102"/>
        <v>-5.1563133403597456</v>
      </c>
      <c r="T119" s="59">
        <f t="shared" si="103"/>
        <v>2.6225001152378118</v>
      </c>
      <c r="U119" s="23">
        <f t="shared" si="104"/>
        <v>102.78415536026441</v>
      </c>
      <c r="V119" s="59">
        <f t="shared" si="105"/>
        <v>3.7626833614933908</v>
      </c>
      <c r="W119" s="59">
        <f t="shared" si="106"/>
        <v>-1.9137001376319327</v>
      </c>
      <c r="AF119" s="59">
        <f t="shared" si="107"/>
        <v>-0.50859983521770336</v>
      </c>
      <c r="AG119" s="59">
        <f t="shared" si="108"/>
        <v>0.61556586448508699</v>
      </c>
      <c r="AH119" s="59">
        <f t="shared" si="109"/>
        <v>0.61556586448508699</v>
      </c>
      <c r="AJ119">
        <f t="shared" si="110"/>
        <v>0.314064216574024</v>
      </c>
      <c r="AK119">
        <f t="shared" si="22"/>
        <v>3.1840621988347499</v>
      </c>
      <c r="AL119">
        <f t="shared" si="111"/>
        <v>-1.619413509650272</v>
      </c>
      <c r="AN119" s="207" t="str">
        <f t="shared" si="112"/>
        <v>Bergouignan L</v>
      </c>
      <c r="AO119" s="207">
        <f t="shared" si="112"/>
        <v>2009</v>
      </c>
      <c r="AP119" s="207" t="str">
        <f t="shared" si="113"/>
        <v>Bergouignan L 2009</v>
      </c>
      <c r="AQ119" s="207">
        <f t="shared" si="114"/>
        <v>21</v>
      </c>
      <c r="AR119" s="207">
        <f t="shared" si="115"/>
        <v>3.95</v>
      </c>
      <c r="AS119" s="207">
        <f t="shared" si="115"/>
        <v>0.75</v>
      </c>
      <c r="AT119" s="207">
        <f t="shared" si="116"/>
        <v>21</v>
      </c>
      <c r="AU119" s="207">
        <f t="shared" si="117"/>
        <v>4.42</v>
      </c>
      <c r="AV119" s="207">
        <f t="shared" si="117"/>
        <v>1.04</v>
      </c>
      <c r="AW119" s="208">
        <f t="shared" si="118"/>
        <v>-0.50859983521770336</v>
      </c>
      <c r="AX119" s="207">
        <f t="shared" si="119"/>
        <v>0.314064216574024</v>
      </c>
      <c r="AY119" s="207"/>
      <c r="AZ119" s="207"/>
    </row>
    <row r="120" spans="5:52">
      <c r="E120" t="str">
        <f t="shared" si="122"/>
        <v>van Eijndhoven P</v>
      </c>
      <c r="F120">
        <f t="shared" si="122"/>
        <v>2009</v>
      </c>
      <c r="G120">
        <v>11</v>
      </c>
      <c r="H120">
        <f t="shared" si="123"/>
        <v>20</v>
      </c>
      <c r="I120">
        <f t="shared" si="123"/>
        <v>10</v>
      </c>
      <c r="J120">
        <f t="shared" ref="J120:M121" si="124">IF($D$4="Total",T55,IF($D$4="Left",L55,IF($D$4="Right",P55,"error")))</f>
        <v>3620</v>
      </c>
      <c r="K120">
        <f t="shared" si="124"/>
        <v>385</v>
      </c>
      <c r="L120">
        <f t="shared" si="124"/>
        <v>3716</v>
      </c>
      <c r="M120">
        <f t="shared" si="124"/>
        <v>364</v>
      </c>
      <c r="N120">
        <f t="shared" si="98"/>
        <v>378.37712668711885</v>
      </c>
      <c r="O120" s="59">
        <f t="shared" si="99"/>
        <v>-0.24685795947343989</v>
      </c>
      <c r="P120" s="63">
        <f t="shared" si="100"/>
        <v>0.15116920284258231</v>
      </c>
      <c r="Q120" s="59">
        <f t="shared" si="11"/>
        <v>0.76205748447217825</v>
      </c>
      <c r="R120" s="59">
        <f t="shared" si="101"/>
        <v>6.6151040105790226</v>
      </c>
      <c r="S120" s="59">
        <f t="shared" si="102"/>
        <v>-1.6329910777561061</v>
      </c>
      <c r="T120" s="59">
        <f t="shared" si="103"/>
        <v>0.40311684529320574</v>
      </c>
      <c r="U120" s="23">
        <f t="shared" si="104"/>
        <v>43.759601070778672</v>
      </c>
      <c r="V120" s="59">
        <f t="shared" si="105"/>
        <v>3.1416838167430483</v>
      </c>
      <c r="W120" s="59">
        <f t="shared" si="106"/>
        <v>-0.77554965631191741</v>
      </c>
      <c r="AF120" s="59">
        <f t="shared" si="107"/>
        <v>-0.24685795947343989</v>
      </c>
      <c r="AG120" s="59">
        <f t="shared" si="108"/>
        <v>0.76205748447217825</v>
      </c>
      <c r="AH120" s="59">
        <f t="shared" si="109"/>
        <v>0.76205748447217825</v>
      </c>
      <c r="AJ120">
        <f t="shared" si="110"/>
        <v>0.38880483901641749</v>
      </c>
      <c r="AK120">
        <f t="shared" si="22"/>
        <v>2.5719844499100342</v>
      </c>
      <c r="AL120">
        <f t="shared" si="111"/>
        <v>-0.63491483310220886</v>
      </c>
      <c r="AN120" s="207" t="str">
        <f t="shared" ref="AN120:AO122" si="125">E120</f>
        <v>van Eijndhoven P</v>
      </c>
      <c r="AO120" s="207">
        <f t="shared" si="125"/>
        <v>2009</v>
      </c>
      <c r="AP120" s="207" t="str">
        <f t="shared" si="113"/>
        <v>van Eijndhoven P 2009</v>
      </c>
      <c r="AQ120" s="207">
        <f t="shared" si="114"/>
        <v>20</v>
      </c>
      <c r="AR120" s="207">
        <f t="shared" ref="AR120:AS122" si="126">J120</f>
        <v>3620</v>
      </c>
      <c r="AS120" s="207">
        <f t="shared" si="126"/>
        <v>385</v>
      </c>
      <c r="AT120" s="207">
        <f t="shared" si="116"/>
        <v>10</v>
      </c>
      <c r="AU120" s="207">
        <f t="shared" ref="AU120:AV122" si="127">L120</f>
        <v>3716</v>
      </c>
      <c r="AV120" s="207">
        <f t="shared" si="127"/>
        <v>364</v>
      </c>
      <c r="AW120" s="208">
        <f t="shared" si="118"/>
        <v>-0.24685795947343989</v>
      </c>
      <c r="AX120" s="207">
        <f t="shared" si="119"/>
        <v>0.38880483901641749</v>
      </c>
      <c r="AY120" s="207"/>
      <c r="AZ120" s="207"/>
    </row>
    <row r="121" spans="5:52">
      <c r="E121" t="str">
        <f t="shared" si="122"/>
        <v>van Eijndhoven P</v>
      </c>
      <c r="F121">
        <f t="shared" si="122"/>
        <v>2009</v>
      </c>
      <c r="G121">
        <v>10</v>
      </c>
      <c r="H121">
        <f t="shared" si="123"/>
        <v>20</v>
      </c>
      <c r="I121">
        <f t="shared" si="123"/>
        <v>10</v>
      </c>
      <c r="J121">
        <f t="shared" si="124"/>
        <v>3600</v>
      </c>
      <c r="K121">
        <f t="shared" si="124"/>
        <v>360</v>
      </c>
      <c r="L121">
        <f t="shared" si="124"/>
        <v>3716</v>
      </c>
      <c r="M121">
        <f t="shared" si="124"/>
        <v>364</v>
      </c>
      <c r="N121">
        <f>IF($D$3=1,SQRT((((I121-1)*(M121)^2)+((H121-1)*(K121)^2))/(H121+I121-2)),M121)</f>
        <v>361.29054394331598</v>
      </c>
      <c r="O121" s="59">
        <f>IF($D$6=1,LN(J121/L121),IF($D$5=1,(1-3/(4*(H121+I121)-9))*((J121-L121)/N121),(J121-L121)/N121))</f>
        <v>-0.3123936309901667</v>
      </c>
      <c r="P121" s="63">
        <f>IF($D$6=1,(K121^2)/(H121*J121^2)+(M121^2)/(I121*L121^2),(IF($D$5=1,((H121+I121)/(H121*I121))+(O121*O121)/(2*(H121+I121-3.94)),((H121+I121)/(H121*I121))+((O121^2)/(2*(H121+I121-2))))))</f>
        <v>0.15187240561556448</v>
      </c>
      <c r="Q121" s="59">
        <f t="shared" si="11"/>
        <v>0.76382788206031893</v>
      </c>
      <c r="R121" s="59">
        <f>1/P121</f>
        <v>6.5844746183273477</v>
      </c>
      <c r="S121" s="59">
        <f>O121*R121</f>
        <v>-2.0569479341818724</v>
      </c>
      <c r="T121" s="59">
        <f>R121*(O121^2)</f>
        <v>0.64257743391679745</v>
      </c>
      <c r="U121" s="23">
        <f>R121^2</f>
        <v>43.355305999397068</v>
      </c>
      <c r="V121" s="59">
        <f t="shared" si="105"/>
        <v>3.134758380718726</v>
      </c>
      <c r="W121" s="59">
        <f>V121*O121</f>
        <v>-0.97927855282957821</v>
      </c>
      <c r="AF121" s="59">
        <f>IF($D$6=1,100*((EXP(O121))-1),O121)</f>
        <v>-0.3123936309901667</v>
      </c>
      <c r="AG121" s="59">
        <f>IF($D$6=1,100*(EXP(O121+Q121)-EXP(O121)),Q121)</f>
        <v>0.76382788206031893</v>
      </c>
      <c r="AH121" s="59">
        <f>IF($D$6=1,100*(EXP(O121)-EXP(O121-Q121)),Q121)</f>
        <v>0.76382788206031893</v>
      </c>
      <c r="AJ121">
        <f>SQRT(P121)</f>
        <v>0.38970810309199944</v>
      </c>
      <c r="AK121">
        <f t="shared" si="22"/>
        <v>2.5660231133657678</v>
      </c>
      <c r="AL121">
        <f>O121/AJ121</f>
        <v>-0.80160927758902434</v>
      </c>
      <c r="AN121" s="207" t="str">
        <f t="shared" si="125"/>
        <v>van Eijndhoven P</v>
      </c>
      <c r="AO121" s="207">
        <f t="shared" si="125"/>
        <v>2009</v>
      </c>
      <c r="AP121" s="207" t="str">
        <f>CONCATENATE(AN121," ",AO121)</f>
        <v>van Eijndhoven P 2009</v>
      </c>
      <c r="AQ121" s="207">
        <f>INT(H121)</f>
        <v>20</v>
      </c>
      <c r="AR121" s="207">
        <f t="shared" si="126"/>
        <v>3600</v>
      </c>
      <c r="AS121" s="207">
        <f t="shared" si="126"/>
        <v>360</v>
      </c>
      <c r="AT121" s="207">
        <f>INT(I121)</f>
        <v>10</v>
      </c>
      <c r="AU121" s="207">
        <f t="shared" si="127"/>
        <v>3716</v>
      </c>
      <c r="AV121" s="207">
        <f t="shared" si="127"/>
        <v>364</v>
      </c>
      <c r="AW121" s="208">
        <f>O121</f>
        <v>-0.3123936309901667</v>
      </c>
      <c r="AX121" s="207">
        <f>SQRT(P121)</f>
        <v>0.38970810309199944</v>
      </c>
      <c r="AY121" s="207"/>
      <c r="AZ121" s="207"/>
    </row>
    <row r="122" spans="5:52">
      <c r="E122" t="str">
        <f t="shared" ref="E122:F130" si="128">E57</f>
        <v>Meisenzahl EM</v>
      </c>
      <c r="F122">
        <f t="shared" si="128"/>
        <v>2009</v>
      </c>
      <c r="G122">
        <v>9</v>
      </c>
      <c r="H122">
        <f t="shared" ref="H122:I130" si="129">H57</f>
        <v>92</v>
      </c>
      <c r="I122">
        <f t="shared" si="129"/>
        <v>138</v>
      </c>
      <c r="J122">
        <f>IF($D$4="Total",T57,IF($D$4="Left",L57,IF($D$4="Right",P57,"error")))</f>
        <v>3.67</v>
      </c>
      <c r="K122">
        <f>IF($D$4="Total",U57,IF($D$4="Left",M57,IF($D$4="Right",Q57,"error")))</f>
        <v>0.41</v>
      </c>
      <c r="L122">
        <f>IF($D$4="Total",V57,IF($D$4="Left",N57,IF($D$4="Right",R57,"error")))</f>
        <v>3.83</v>
      </c>
      <c r="M122">
        <f>IF($D$4="Total",W57,IF($D$4="Left",O57,IF($D$4="Right",S57,"error")))</f>
        <v>0.41</v>
      </c>
      <c r="N122">
        <f>IF($D$3=1,SQRT((((I122-1)*(M122)^2)+((H122-1)*(K122)^2))/(H122+I122-2)),M122)</f>
        <v>0.41</v>
      </c>
      <c r="O122" s="59">
        <f>IF($D$6=1,LN(J122/L122),IF($D$5=1,(1-3/(4*(H122+I122)-9))*((J122-L122)/N122),(J122-L122)/N122))</f>
        <v>-0.38895879628390173</v>
      </c>
      <c r="P122" s="63">
        <f>IF($D$6=1,(K122^2)/(H122*J122^2)+(M122^2)/(I122*L122^2),(IF($D$5=1,((H122+I122)/(H122*I122))+(O122*O122)/(2*(H122+I122-3.94)),((H122+I122)/(H122*I122))+((O122^2)/(2*(H122+I122-2))))))</f>
        <v>1.8450563247260791E-2</v>
      </c>
      <c r="Q122" s="59">
        <f t="shared" si="11"/>
        <v>0.26623238678019068</v>
      </c>
      <c r="R122" s="59">
        <f>1/P122</f>
        <v>54.198887405156157</v>
      </c>
      <c r="S122" s="59">
        <f>O122*R122</f>
        <v>-21.081134005036262</v>
      </c>
      <c r="T122" s="59">
        <f>R122*(O122^2)</f>
        <v>8.1996925068985309</v>
      </c>
      <c r="U122" s="23">
        <f>R122^2</f>
        <v>2937.5193959567946</v>
      </c>
      <c r="V122" s="59">
        <f>1/((1/R122)+$I$144)</f>
        <v>5.3884533283827292</v>
      </c>
      <c r="W122" s="59">
        <f>V122*O122</f>
        <v>-2.09588632043973</v>
      </c>
      <c r="AF122" s="59">
        <f>IF($D$6=1,100*((EXP(O122))-1),O122)</f>
        <v>-0.38895879628390173</v>
      </c>
      <c r="AG122" s="59">
        <f>IF($D$6=1,100*(EXP(O122+Q122)-EXP(O122)),Q122)</f>
        <v>0.26623238678019068</v>
      </c>
      <c r="AH122" s="59">
        <f>IF($D$6=1,100*(EXP(O122)-EXP(O122-Q122)),Q122)</f>
        <v>0.26623238678019068</v>
      </c>
      <c r="AJ122">
        <f>SQRT(P122)</f>
        <v>0.13583285039805648</v>
      </c>
      <c r="AK122">
        <f t="shared" si="22"/>
        <v>7.3619893646456838</v>
      </c>
      <c r="AL122">
        <f>O122/AJ122</f>
        <v>-2.8635105215274717</v>
      </c>
      <c r="AN122" s="207" t="str">
        <f t="shared" si="125"/>
        <v>Meisenzahl EM</v>
      </c>
      <c r="AO122" s="207">
        <f t="shared" si="125"/>
        <v>2009</v>
      </c>
      <c r="AP122" s="207" t="str">
        <f>CONCATENATE(AN122," ",AO122)</f>
        <v>Meisenzahl EM 2009</v>
      </c>
      <c r="AQ122" s="207">
        <f>INT(H122)</f>
        <v>92</v>
      </c>
      <c r="AR122" s="207">
        <f t="shared" si="126"/>
        <v>3.67</v>
      </c>
      <c r="AS122" s="207">
        <f t="shared" si="126"/>
        <v>0.41</v>
      </c>
      <c r="AT122" s="207">
        <f>INT(I122)</f>
        <v>138</v>
      </c>
      <c r="AU122" s="207">
        <f t="shared" si="127"/>
        <v>3.83</v>
      </c>
      <c r="AV122" s="207">
        <f t="shared" si="127"/>
        <v>0.41</v>
      </c>
      <c r="AW122" s="208">
        <f>O122</f>
        <v>-0.38895879628390173</v>
      </c>
      <c r="AX122" s="207">
        <f>SQRT(P122)</f>
        <v>0.13583285039805648</v>
      </c>
      <c r="AY122" s="207"/>
      <c r="AZ122" s="207"/>
    </row>
    <row r="123" spans="5:52">
      <c r="E123" t="str">
        <f t="shared" si="128"/>
        <v>Jessen F</v>
      </c>
      <c r="F123">
        <f t="shared" si="128"/>
        <v>2009</v>
      </c>
      <c r="G123">
        <v>8</v>
      </c>
      <c r="H123">
        <f t="shared" si="129"/>
        <v>79</v>
      </c>
      <c r="I123">
        <f t="shared" si="129"/>
        <v>84</v>
      </c>
      <c r="J123">
        <f t="shared" ref="J123:J130" si="130">IF($D$4="Total",T58,IF($D$4="Left",L58,IF($D$4="Right",P58,"error")))</f>
        <v>2.06</v>
      </c>
      <c r="K123">
        <f t="shared" ref="K123:K130" si="131">IF($D$4="Total",U58,IF($D$4="Left",M58,IF($D$4="Right",Q58,"error")))</f>
        <v>0.27</v>
      </c>
      <c r="L123">
        <f t="shared" ref="L123:L130" si="132">IF($D$4="Total",V58,IF($D$4="Left",N58,IF($D$4="Right",R58,"error")))</f>
        <v>2.36</v>
      </c>
      <c r="M123">
        <f t="shared" ref="M123:M130" si="133">IF($D$4="Total",W58,IF($D$4="Left",O58,IF($D$4="Right",S58,"error")))</f>
        <v>0.28999999999999998</v>
      </c>
      <c r="N123">
        <f t="shared" ref="N123:N130" si="134">IF($D$3=1,SQRT((((I123-1)*(M123)^2)+((H123-1)*(K123)^2))/(H123+I123-2)),M123)</f>
        <v>0.2804887039498708</v>
      </c>
      <c r="O123" s="59">
        <f t="shared" ref="O123:O130" si="135">IF($D$6=1,LN(J123/L123),IF($D$5=1,(1-3/(4*(H123+I123)-9))*((J123-L123)/N123),(J123-L123)/N123))</f>
        <v>-1.0645716096123308</v>
      </c>
      <c r="P123" s="63">
        <f t="shared" ref="P123:P130" si="136">IF($D$6=1,(K123^2)/(H123*J123^2)+(M123^2)/(I123*L123^2),(IF($D$5=1,((H123+I123)/(H123*I123))+(O123*O123)/(2*(H123+I123-3.94)),((H123+I123)/(H123*I123))+((O123^2)/(2*(H123+I123-2))))))</f>
        <v>2.8125521853933803E-2</v>
      </c>
      <c r="Q123" s="59">
        <f t="shared" si="11"/>
        <v>0.32870504217926455</v>
      </c>
      <c r="R123" s="59">
        <f t="shared" ref="R123:R130" si="137">1/P123</f>
        <v>35.554895841341839</v>
      </c>
      <c r="S123" s="59">
        <f t="shared" ref="S123:S130" si="138">O123*R123</f>
        <v>-37.850732695416049</v>
      </c>
      <c r="T123" s="59">
        <f t="shared" ref="T123:T130" si="139">R123*(O123^2)</f>
        <v>40.294815430565137</v>
      </c>
      <c r="U123" s="23">
        <f t="shared" ref="U123:U130" si="140">R123^2</f>
        <v>1264.1506182886671</v>
      </c>
      <c r="V123" s="59">
        <f t="shared" ref="V123:V130" si="141">1/((1/R123)+$I$144)</f>
        <v>5.1214561335990192</v>
      </c>
      <c r="W123" s="59">
        <f t="shared" ref="W123:W130" si="142">V123*O123</f>
        <v>-5.4521567997044524</v>
      </c>
      <c r="AF123" s="59">
        <f t="shared" ref="AF123:AF130" si="143">IF($D$6=1,100*((EXP(O123))-1),O123)</f>
        <v>-1.0645716096123308</v>
      </c>
      <c r="AG123" s="59">
        <f t="shared" ref="AG123:AG130" si="144">IF($D$6=1,100*(EXP(O123+Q123)-EXP(O123)),Q123)</f>
        <v>0.32870504217926455</v>
      </c>
      <c r="AH123" s="59">
        <f t="shared" ref="AH123:AH130" si="145">IF($D$6=1,100*(EXP(O123)-EXP(O123-Q123)),Q123)</f>
        <v>0.32870504217926455</v>
      </c>
      <c r="AJ123">
        <f t="shared" ref="AJ123:AJ130" si="146">SQRT(P123)</f>
        <v>0.16770665417309416</v>
      </c>
      <c r="AK123">
        <f t="shared" si="22"/>
        <v>5.9627926210242999</v>
      </c>
      <c r="AL123">
        <f t="shared" ref="AL123:AL130" si="147">O123/AJ123</f>
        <v>-6.3478197383483677</v>
      </c>
      <c r="AN123" s="207" t="str">
        <f t="shared" ref="AN123:AN130" si="148">E123</f>
        <v>Jessen F</v>
      </c>
      <c r="AO123" s="207">
        <f t="shared" ref="AO123:AO130" si="149">F123</f>
        <v>2009</v>
      </c>
      <c r="AP123" s="207" t="str">
        <f t="shared" ref="AP123:AP130" si="150">CONCATENATE(AN123," ",AO123)</f>
        <v>Jessen F 2009</v>
      </c>
      <c r="AQ123" s="207">
        <f t="shared" ref="AQ123:AQ130" si="151">INT(H123)</f>
        <v>79</v>
      </c>
      <c r="AR123" s="207">
        <f t="shared" ref="AR123:AR130" si="152">J123</f>
        <v>2.06</v>
      </c>
      <c r="AS123" s="207">
        <f t="shared" ref="AS123:AS130" si="153">K123</f>
        <v>0.27</v>
      </c>
      <c r="AT123" s="207">
        <f t="shared" ref="AT123:AT130" si="154">INT(I123)</f>
        <v>84</v>
      </c>
      <c r="AU123" s="207">
        <f t="shared" ref="AU123:AU130" si="155">L123</f>
        <v>2.36</v>
      </c>
      <c r="AV123" s="207">
        <f t="shared" ref="AV123:AV130" si="156">M123</f>
        <v>0.28999999999999998</v>
      </c>
      <c r="AW123" s="208">
        <f t="shared" ref="AW123:AW130" si="157">O123</f>
        <v>-1.0645716096123308</v>
      </c>
      <c r="AX123" s="207">
        <f t="shared" ref="AX123:AX130" si="158">SQRT(P123)</f>
        <v>0.16770665417309416</v>
      </c>
      <c r="AY123" s="207"/>
      <c r="AZ123" s="207"/>
    </row>
    <row r="124" spans="5:52">
      <c r="E124" t="str">
        <f t="shared" si="128"/>
        <v>Kaymak SU</v>
      </c>
      <c r="F124">
        <f t="shared" si="128"/>
        <v>2009</v>
      </c>
      <c r="G124">
        <v>7</v>
      </c>
      <c r="H124">
        <f t="shared" si="129"/>
        <v>20</v>
      </c>
      <c r="I124">
        <f t="shared" si="129"/>
        <v>15</v>
      </c>
      <c r="J124">
        <f t="shared" si="130"/>
        <v>2.85</v>
      </c>
      <c r="K124">
        <f t="shared" si="131"/>
        <v>0.33</v>
      </c>
      <c r="L124">
        <f t="shared" si="132"/>
        <v>3.52</v>
      </c>
      <c r="M124">
        <f t="shared" si="133"/>
        <v>0.33</v>
      </c>
      <c r="N124">
        <f t="shared" si="134"/>
        <v>0.33</v>
      </c>
      <c r="O124" s="59">
        <f t="shared" si="135"/>
        <v>-1.9838075410594489</v>
      </c>
      <c r="P124" s="63">
        <f t="shared" si="136"/>
        <v>0.18001973105759289</v>
      </c>
      <c r="Q124" s="59">
        <f t="shared" si="11"/>
        <v>0.83160314984423245</v>
      </c>
      <c r="R124" s="59">
        <f t="shared" si="137"/>
        <v>5.5549466390441085</v>
      </c>
      <c r="S124" s="59">
        <f t="shared" si="138"/>
        <v>-11.019945032718542</v>
      </c>
      <c r="T124" s="59">
        <f t="shared" si="139"/>
        <v>21.861450057967659</v>
      </c>
      <c r="U124" s="23">
        <f t="shared" si="140"/>
        <v>30.857432162627436</v>
      </c>
      <c r="V124" s="59">
        <f t="shared" si="141"/>
        <v>2.8805893905517399</v>
      </c>
      <c r="W124" s="59">
        <f t="shared" si="142"/>
        <v>-5.7145349556723835</v>
      </c>
      <c r="AF124" s="59">
        <f t="shared" si="143"/>
        <v>-1.9838075410594489</v>
      </c>
      <c r="AG124" s="59">
        <f t="shared" si="144"/>
        <v>0.83160314984423245</v>
      </c>
      <c r="AH124" s="59">
        <f t="shared" si="145"/>
        <v>0.83160314984423245</v>
      </c>
      <c r="AJ124">
        <f t="shared" si="146"/>
        <v>0.42428732134909819</v>
      </c>
      <c r="AK124">
        <f t="shared" si="22"/>
        <v>2.3568934297172004</v>
      </c>
      <c r="AL124">
        <f t="shared" si="147"/>
        <v>-4.6756229593464509</v>
      </c>
      <c r="AN124" s="207" t="str">
        <f t="shared" si="148"/>
        <v>Kaymak SU</v>
      </c>
      <c r="AO124" s="207">
        <f t="shared" si="149"/>
        <v>2009</v>
      </c>
      <c r="AP124" s="207" t="str">
        <f t="shared" si="150"/>
        <v>Kaymak SU 2009</v>
      </c>
      <c r="AQ124" s="207">
        <f t="shared" si="151"/>
        <v>20</v>
      </c>
      <c r="AR124" s="207">
        <f t="shared" si="152"/>
        <v>2.85</v>
      </c>
      <c r="AS124" s="207">
        <f t="shared" si="153"/>
        <v>0.33</v>
      </c>
      <c r="AT124" s="207">
        <f t="shared" si="154"/>
        <v>15</v>
      </c>
      <c r="AU124" s="207">
        <f t="shared" si="155"/>
        <v>3.52</v>
      </c>
      <c r="AV124" s="207">
        <f t="shared" si="156"/>
        <v>0.33</v>
      </c>
      <c r="AW124" s="208">
        <f t="shared" si="157"/>
        <v>-1.9838075410594489</v>
      </c>
      <c r="AX124" s="207">
        <f t="shared" si="158"/>
        <v>0.42428732134909819</v>
      </c>
      <c r="AY124" s="207"/>
      <c r="AZ124" s="207"/>
    </row>
    <row r="125" spans="5:52">
      <c r="E125" t="str">
        <f t="shared" si="128"/>
        <v>Kronmüller KT</v>
      </c>
      <c r="F125">
        <f t="shared" si="128"/>
        <v>2009</v>
      </c>
      <c r="G125">
        <v>6</v>
      </c>
      <c r="H125">
        <f t="shared" si="129"/>
        <v>13</v>
      </c>
      <c r="I125">
        <f t="shared" si="129"/>
        <v>5.5</v>
      </c>
      <c r="J125">
        <f t="shared" si="130"/>
        <v>2.81</v>
      </c>
      <c r="K125">
        <f t="shared" si="131"/>
        <v>0.36</v>
      </c>
      <c r="L125">
        <f t="shared" si="132"/>
        <v>3.19</v>
      </c>
      <c r="M125">
        <f t="shared" si="133"/>
        <v>0.25</v>
      </c>
      <c r="N125">
        <f t="shared" si="134"/>
        <v>0.33361654635224552</v>
      </c>
      <c r="O125" s="59">
        <f t="shared" si="135"/>
        <v>-1.0864615152476196</v>
      </c>
      <c r="P125" s="63">
        <f t="shared" si="136"/>
        <v>0.29927692577814591</v>
      </c>
      <c r="Q125" s="59">
        <f t="shared" si="11"/>
        <v>1.0722416882724368</v>
      </c>
      <c r="R125" s="59">
        <f t="shared" si="137"/>
        <v>3.3413869024480034</v>
      </c>
      <c r="S125" s="59">
        <f t="shared" si="138"/>
        <v>-3.630288277062208</v>
      </c>
      <c r="T125" s="59">
        <f t="shared" si="139"/>
        <v>3.9441685022826767</v>
      </c>
      <c r="U125" s="23">
        <f t="shared" si="140"/>
        <v>11.164866431851063</v>
      </c>
      <c r="V125" s="59">
        <f t="shared" si="141"/>
        <v>2.1440438437324012</v>
      </c>
      <c r="W125" s="59">
        <f t="shared" si="142"/>
        <v>-2.3294211232188351</v>
      </c>
      <c r="AF125" s="59">
        <f t="shared" si="143"/>
        <v>-1.0864615152476196</v>
      </c>
      <c r="AG125" s="59">
        <f t="shared" si="144"/>
        <v>1.0722416882724368</v>
      </c>
      <c r="AH125" s="59">
        <f t="shared" si="145"/>
        <v>1.0722416882724368</v>
      </c>
      <c r="AJ125">
        <f t="shared" si="146"/>
        <v>0.54706208585328409</v>
      </c>
      <c r="AK125">
        <f t="shared" si="22"/>
        <v>1.8279460884960483</v>
      </c>
      <c r="AL125">
        <f t="shared" si="147"/>
        <v>-1.985993077098376</v>
      </c>
      <c r="AN125" s="207" t="str">
        <f t="shared" si="148"/>
        <v>Kronmüller KT</v>
      </c>
      <c r="AO125" s="207">
        <f t="shared" si="149"/>
        <v>2009</v>
      </c>
      <c r="AP125" s="207" t="str">
        <f t="shared" si="150"/>
        <v>Kronmüller KT 2009</v>
      </c>
      <c r="AQ125" s="207">
        <f t="shared" si="151"/>
        <v>13</v>
      </c>
      <c r="AR125" s="207">
        <f t="shared" si="152"/>
        <v>2.81</v>
      </c>
      <c r="AS125" s="207">
        <f t="shared" si="153"/>
        <v>0.36</v>
      </c>
      <c r="AT125" s="207">
        <f t="shared" si="154"/>
        <v>5</v>
      </c>
      <c r="AU125" s="207">
        <f t="shared" si="155"/>
        <v>3.19</v>
      </c>
      <c r="AV125" s="207">
        <f t="shared" si="156"/>
        <v>0.25</v>
      </c>
      <c r="AW125" s="208">
        <f t="shared" si="157"/>
        <v>-1.0864615152476196</v>
      </c>
      <c r="AX125" s="207">
        <f t="shared" si="158"/>
        <v>0.54706208585328409</v>
      </c>
      <c r="AY125" s="207"/>
      <c r="AZ125" s="207"/>
    </row>
    <row r="126" spans="5:52">
      <c r="E126" t="str">
        <f t="shared" si="128"/>
        <v>Kronmüller KT</v>
      </c>
      <c r="F126">
        <f t="shared" si="128"/>
        <v>2009</v>
      </c>
      <c r="G126">
        <v>5</v>
      </c>
      <c r="H126">
        <f t="shared" si="129"/>
        <v>13</v>
      </c>
      <c r="I126">
        <f t="shared" si="129"/>
        <v>9.5</v>
      </c>
      <c r="J126">
        <f t="shared" si="130"/>
        <v>2.71</v>
      </c>
      <c r="K126">
        <f t="shared" si="131"/>
        <v>0.26</v>
      </c>
      <c r="L126">
        <f t="shared" si="132"/>
        <v>2.72</v>
      </c>
      <c r="M126">
        <f t="shared" si="133"/>
        <v>0.3</v>
      </c>
      <c r="N126">
        <f t="shared" si="134"/>
        <v>0.27728650323816478</v>
      </c>
      <c r="O126" s="59">
        <f t="shared" si="135"/>
        <v>-3.472808635535659E-2</v>
      </c>
      <c r="P126" s="63">
        <f t="shared" si="136"/>
        <v>0.18221872511905043</v>
      </c>
      <c r="Q126" s="59">
        <f t="shared" si="11"/>
        <v>0.83666687182972899</v>
      </c>
      <c r="R126" s="59">
        <f t="shared" si="137"/>
        <v>5.4879101988374792</v>
      </c>
      <c r="S126" s="59">
        <f t="shared" si="138"/>
        <v>-0.19058461929567014</v>
      </c>
      <c r="T126" s="59">
        <f t="shared" si="139"/>
        <v>6.6186391169027929E-3</v>
      </c>
      <c r="U126" s="23">
        <f t="shared" si="140"/>
        <v>30.117158350504422</v>
      </c>
      <c r="V126" s="59">
        <f t="shared" si="141"/>
        <v>2.8624574430916696</v>
      </c>
      <c r="W126" s="59">
        <f t="shared" si="142"/>
        <v>-9.9407669272220722E-2</v>
      </c>
      <c r="AF126" s="59">
        <f t="shared" si="143"/>
        <v>-3.472808635535659E-2</v>
      </c>
      <c r="AG126" s="59">
        <f t="shared" si="144"/>
        <v>0.83666687182972899</v>
      </c>
      <c r="AH126" s="59">
        <f t="shared" si="145"/>
        <v>0.83666687182972899</v>
      </c>
      <c r="AJ126">
        <f t="shared" si="146"/>
        <v>0.42687085297435151</v>
      </c>
      <c r="AK126">
        <f t="shared" si="22"/>
        <v>2.3426289076243978</v>
      </c>
      <c r="AL126">
        <f t="shared" si="147"/>
        <v>-8.1355019002534765E-2</v>
      </c>
      <c r="AN126" s="207" t="str">
        <f t="shared" si="148"/>
        <v>Kronmüller KT</v>
      </c>
      <c r="AO126" s="207">
        <f t="shared" si="149"/>
        <v>2009</v>
      </c>
      <c r="AP126" s="207" t="str">
        <f t="shared" si="150"/>
        <v>Kronmüller KT 2009</v>
      </c>
      <c r="AQ126" s="207">
        <f t="shared" si="151"/>
        <v>13</v>
      </c>
      <c r="AR126" s="207">
        <f t="shared" si="152"/>
        <v>2.71</v>
      </c>
      <c r="AS126" s="207">
        <f t="shared" si="153"/>
        <v>0.26</v>
      </c>
      <c r="AT126" s="207">
        <f t="shared" si="154"/>
        <v>9</v>
      </c>
      <c r="AU126" s="207">
        <f t="shared" si="155"/>
        <v>2.72</v>
      </c>
      <c r="AV126" s="207">
        <f t="shared" si="156"/>
        <v>0.3</v>
      </c>
      <c r="AW126" s="208">
        <f t="shared" si="157"/>
        <v>-3.472808635535659E-2</v>
      </c>
      <c r="AX126" s="207">
        <f t="shared" si="158"/>
        <v>0.42687085297435151</v>
      </c>
      <c r="AY126" s="207"/>
      <c r="AZ126" s="207"/>
    </row>
    <row r="127" spans="5:52">
      <c r="E127" t="str">
        <f t="shared" si="128"/>
        <v>Kronmüller KT</v>
      </c>
      <c r="F127">
        <f t="shared" si="128"/>
        <v>2009</v>
      </c>
      <c r="G127">
        <v>4</v>
      </c>
      <c r="H127">
        <f t="shared" si="129"/>
        <v>11</v>
      </c>
      <c r="I127">
        <f t="shared" si="129"/>
        <v>5.5</v>
      </c>
      <c r="J127">
        <f t="shared" si="130"/>
        <v>3.1</v>
      </c>
      <c r="K127">
        <f t="shared" si="131"/>
        <v>0.39</v>
      </c>
      <c r="L127">
        <f t="shared" si="132"/>
        <v>3.19</v>
      </c>
      <c r="M127">
        <f t="shared" si="133"/>
        <v>0.25</v>
      </c>
      <c r="N127">
        <f t="shared" si="134"/>
        <v>0.35255227051924637</v>
      </c>
      <c r="O127" s="59">
        <f t="shared" si="135"/>
        <v>-0.24184543690261684</v>
      </c>
      <c r="P127" s="63">
        <f t="shared" si="136"/>
        <v>0.27505566505810941</v>
      </c>
      <c r="Q127" s="59">
        <f t="shared" si="11"/>
        <v>1.0279366920619351</v>
      </c>
      <c r="R127" s="59">
        <f t="shared" si="137"/>
        <v>3.6356277184428678</v>
      </c>
      <c r="S127" s="59">
        <f t="shared" si="138"/>
        <v>-0.87925997398207945</v>
      </c>
      <c r="T127" s="59">
        <f t="shared" si="139"/>
        <v>0.21264501255867951</v>
      </c>
      <c r="U127" s="23">
        <f t="shared" si="140"/>
        <v>13.217788907110092</v>
      </c>
      <c r="V127" s="59">
        <f t="shared" si="141"/>
        <v>2.261486083760754</v>
      </c>
      <c r="W127" s="59">
        <f t="shared" si="142"/>
        <v>-0.54693008997630754</v>
      </c>
      <c r="AF127" s="59">
        <f t="shared" si="143"/>
        <v>-0.24184543690261684</v>
      </c>
      <c r="AG127" s="59">
        <f t="shared" si="144"/>
        <v>1.0279366920619351</v>
      </c>
      <c r="AH127" s="59">
        <f t="shared" si="145"/>
        <v>1.0279366920619351</v>
      </c>
      <c r="AJ127">
        <f t="shared" si="146"/>
        <v>0.52445749594996682</v>
      </c>
      <c r="AK127">
        <f t="shared" si="22"/>
        <v>1.9067322094208372</v>
      </c>
      <c r="AL127">
        <f t="shared" si="147"/>
        <v>-0.46113448424367426</v>
      </c>
      <c r="AN127" s="207" t="str">
        <f t="shared" si="148"/>
        <v>Kronmüller KT</v>
      </c>
      <c r="AO127" s="207">
        <f t="shared" si="149"/>
        <v>2009</v>
      </c>
      <c r="AP127" s="207" t="str">
        <f t="shared" si="150"/>
        <v>Kronmüller KT 2009</v>
      </c>
      <c r="AQ127" s="207">
        <f t="shared" si="151"/>
        <v>11</v>
      </c>
      <c r="AR127" s="207">
        <f t="shared" si="152"/>
        <v>3.1</v>
      </c>
      <c r="AS127" s="207">
        <f t="shared" si="153"/>
        <v>0.39</v>
      </c>
      <c r="AT127" s="207">
        <f t="shared" si="154"/>
        <v>5</v>
      </c>
      <c r="AU127" s="207">
        <f t="shared" si="155"/>
        <v>3.19</v>
      </c>
      <c r="AV127" s="207">
        <f t="shared" si="156"/>
        <v>0.25</v>
      </c>
      <c r="AW127" s="208">
        <f t="shared" si="157"/>
        <v>-0.24184543690261684</v>
      </c>
      <c r="AX127" s="207">
        <f t="shared" si="158"/>
        <v>0.52445749594996682</v>
      </c>
      <c r="AY127" s="207"/>
      <c r="AZ127" s="207"/>
    </row>
    <row r="128" spans="5:52">
      <c r="E128" t="str">
        <f t="shared" si="128"/>
        <v>Kronmüller KT</v>
      </c>
      <c r="F128">
        <f t="shared" si="128"/>
        <v>2009</v>
      </c>
      <c r="G128">
        <v>3</v>
      </c>
      <c r="H128">
        <f t="shared" si="129"/>
        <v>20</v>
      </c>
      <c r="I128">
        <f t="shared" si="129"/>
        <v>9.5</v>
      </c>
      <c r="J128">
        <f t="shared" si="130"/>
        <v>2.75</v>
      </c>
      <c r="K128">
        <f t="shared" si="131"/>
        <v>0.41</v>
      </c>
      <c r="L128">
        <f t="shared" si="132"/>
        <v>2.72</v>
      </c>
      <c r="M128">
        <f t="shared" si="133"/>
        <v>0.3</v>
      </c>
      <c r="N128">
        <f t="shared" si="134"/>
        <v>0.37942061093198398</v>
      </c>
      <c r="O128" s="59">
        <f t="shared" si="135"/>
        <v>7.6891742530653354E-2</v>
      </c>
      <c r="P128" s="63">
        <f t="shared" si="136"/>
        <v>0.15537881399938083</v>
      </c>
      <c r="Q128" s="59">
        <f t="shared" si="11"/>
        <v>0.77259514097619153</v>
      </c>
      <c r="R128" s="59">
        <f t="shared" si="137"/>
        <v>6.4358838522476098</v>
      </c>
      <c r="S128" s="59">
        <f t="shared" si="138"/>
        <v>0.49486632412421266</v>
      </c>
      <c r="T128" s="59">
        <f t="shared" si="139"/>
        <v>3.8051133981649818E-2</v>
      </c>
      <c r="U128" s="23">
        <f t="shared" si="140"/>
        <v>41.420600959621531</v>
      </c>
      <c r="V128" s="59">
        <f t="shared" si="141"/>
        <v>3.1006765408466541</v>
      </c>
      <c r="W128" s="59">
        <f t="shared" si="142"/>
        <v>0.23841642224961779</v>
      </c>
      <c r="AF128" s="59">
        <f t="shared" si="143"/>
        <v>7.6891742530653354E-2</v>
      </c>
      <c r="AG128" s="59">
        <f t="shared" si="144"/>
        <v>0.77259514097619153</v>
      </c>
      <c r="AH128" s="59">
        <f t="shared" si="145"/>
        <v>0.77259514097619153</v>
      </c>
      <c r="AJ128">
        <f t="shared" si="146"/>
        <v>0.39418119437560795</v>
      </c>
      <c r="AK128">
        <f t="shared" si="22"/>
        <v>2.5369043837416521</v>
      </c>
      <c r="AL128">
        <f t="shared" si="147"/>
        <v>0.19506699869954891</v>
      </c>
      <c r="AN128" s="207" t="str">
        <f t="shared" si="148"/>
        <v>Kronmüller KT</v>
      </c>
      <c r="AO128" s="207">
        <f t="shared" si="149"/>
        <v>2009</v>
      </c>
      <c r="AP128" s="207" t="str">
        <f t="shared" si="150"/>
        <v>Kronmüller KT 2009</v>
      </c>
      <c r="AQ128" s="207">
        <f t="shared" si="151"/>
        <v>20</v>
      </c>
      <c r="AR128" s="207">
        <f t="shared" si="152"/>
        <v>2.75</v>
      </c>
      <c r="AS128" s="207">
        <f t="shared" si="153"/>
        <v>0.41</v>
      </c>
      <c r="AT128" s="207">
        <f t="shared" si="154"/>
        <v>9</v>
      </c>
      <c r="AU128" s="207">
        <f t="shared" si="155"/>
        <v>2.72</v>
      </c>
      <c r="AV128" s="207">
        <f t="shared" si="156"/>
        <v>0.3</v>
      </c>
      <c r="AW128" s="208">
        <f t="shared" si="157"/>
        <v>7.6891742530653354E-2</v>
      </c>
      <c r="AX128" s="207">
        <f t="shared" si="158"/>
        <v>0.39418119437560795</v>
      </c>
      <c r="AY128" s="207"/>
      <c r="AZ128" s="207"/>
    </row>
    <row r="129" spans="5:52">
      <c r="E129" t="str">
        <f t="shared" si="128"/>
        <v>Milne A</v>
      </c>
      <c r="F129">
        <f t="shared" si="128"/>
        <v>2009</v>
      </c>
      <c r="G129">
        <v>2</v>
      </c>
      <c r="H129">
        <f t="shared" si="129"/>
        <v>28</v>
      </c>
      <c r="I129">
        <f t="shared" si="129"/>
        <v>14</v>
      </c>
      <c r="J129">
        <f t="shared" si="130"/>
        <v>2159.5</v>
      </c>
      <c r="K129">
        <f t="shared" si="131"/>
        <v>260.8</v>
      </c>
      <c r="L129">
        <f t="shared" si="132"/>
        <v>2438.8000000000002</v>
      </c>
      <c r="M129">
        <f t="shared" si="133"/>
        <v>307.89999999999998</v>
      </c>
      <c r="N129">
        <f t="shared" si="134"/>
        <v>276.98739186107372</v>
      </c>
      <c r="O129" s="59">
        <f t="shared" si="135"/>
        <v>-0.98932369028799882</v>
      </c>
      <c r="P129" s="63">
        <f t="shared" si="136"/>
        <v>0.12000099382395361</v>
      </c>
      <c r="Q129" s="59">
        <f t="shared" si="11"/>
        <v>0.67896672810536174</v>
      </c>
      <c r="R129" s="59">
        <f t="shared" si="137"/>
        <v>8.3332643183525725</v>
      </c>
      <c r="S129" s="59">
        <f t="shared" si="138"/>
        <v>-8.2442958075778723</v>
      </c>
      <c r="T129" s="59">
        <f t="shared" si="139"/>
        <v>8.1562771521788182</v>
      </c>
      <c r="U129" s="23">
        <f t="shared" si="140"/>
        <v>69.443294199528168</v>
      </c>
      <c r="V129" s="59">
        <f t="shared" si="141"/>
        <v>3.4827134044853234</v>
      </c>
      <c r="W129" s="59">
        <f t="shared" si="142"/>
        <v>-3.4455308775409001</v>
      </c>
      <c r="AF129" s="59">
        <f t="shared" si="143"/>
        <v>-0.98932369028799882</v>
      </c>
      <c r="AG129" s="59">
        <f t="shared" si="144"/>
        <v>0.67896672810536174</v>
      </c>
      <c r="AH129" s="59">
        <f t="shared" si="145"/>
        <v>0.67896672810536174</v>
      </c>
      <c r="AJ129">
        <f t="shared" si="146"/>
        <v>0.34641159597212334</v>
      </c>
      <c r="AK129">
        <f t="shared" si="22"/>
        <v>2.8867393921780629</v>
      </c>
      <c r="AL129">
        <f t="shared" si="147"/>
        <v>-2.855919668369336</v>
      </c>
      <c r="AN129" s="207" t="str">
        <f t="shared" si="148"/>
        <v>Milne A</v>
      </c>
      <c r="AO129" s="207">
        <f t="shared" si="149"/>
        <v>2009</v>
      </c>
      <c r="AP129" s="207" t="str">
        <f t="shared" si="150"/>
        <v>Milne A 2009</v>
      </c>
      <c r="AQ129" s="207">
        <f t="shared" si="151"/>
        <v>28</v>
      </c>
      <c r="AR129" s="207">
        <f t="shared" si="152"/>
        <v>2159.5</v>
      </c>
      <c r="AS129" s="207">
        <f t="shared" si="153"/>
        <v>260.8</v>
      </c>
      <c r="AT129" s="207">
        <f t="shared" si="154"/>
        <v>14</v>
      </c>
      <c r="AU129" s="207">
        <f t="shared" si="155"/>
        <v>2438.8000000000002</v>
      </c>
      <c r="AV129" s="207">
        <f t="shared" si="156"/>
        <v>307.89999999999998</v>
      </c>
      <c r="AW129" s="208">
        <f t="shared" si="157"/>
        <v>-0.98932369028799882</v>
      </c>
      <c r="AX129" s="207">
        <f t="shared" si="158"/>
        <v>0.34641159597212334</v>
      </c>
      <c r="AY129" s="207"/>
      <c r="AZ129" s="207"/>
    </row>
    <row r="130" spans="5:52">
      <c r="E130" t="str">
        <f t="shared" si="128"/>
        <v>Weber K</v>
      </c>
      <c r="F130">
        <f t="shared" si="128"/>
        <v>2009</v>
      </c>
      <c r="G130">
        <v>1</v>
      </c>
      <c r="H130">
        <f t="shared" si="129"/>
        <v>38</v>
      </c>
      <c r="I130">
        <f t="shared" si="129"/>
        <v>62</v>
      </c>
      <c r="J130">
        <f t="shared" si="130"/>
        <v>1.74</v>
      </c>
      <c r="K130">
        <f t="shared" si="131"/>
        <v>0.23</v>
      </c>
      <c r="L130">
        <f t="shared" si="132"/>
        <v>1.76</v>
      </c>
      <c r="M130">
        <f t="shared" si="133"/>
        <v>0.26</v>
      </c>
      <c r="N130">
        <f t="shared" si="134"/>
        <v>0.24909837414162303</v>
      </c>
      <c r="O130" s="59">
        <f t="shared" si="135"/>
        <v>-7.9673532125482338E-2</v>
      </c>
      <c r="P130" s="63">
        <f t="shared" si="136"/>
        <v>4.2477862912892544E-2</v>
      </c>
      <c r="Q130" s="59">
        <f t="shared" si="11"/>
        <v>0.40395910457145034</v>
      </c>
      <c r="R130" s="59">
        <f t="shared" si="137"/>
        <v>23.541673978529836</v>
      </c>
      <c r="S130" s="59">
        <f t="shared" si="138"/>
        <v>-1.8756483180160286</v>
      </c>
      <c r="T130" s="59">
        <f t="shared" si="139"/>
        <v>0.14943952652155698</v>
      </c>
      <c r="U130" s="23">
        <f t="shared" si="140"/>
        <v>554.21041371138881</v>
      </c>
      <c r="V130" s="59">
        <f t="shared" si="141"/>
        <v>4.7707804635592099</v>
      </c>
      <c r="W130" s="59">
        <f t="shared" si="142"/>
        <v>-0.38010493052700822</v>
      </c>
      <c r="AF130" s="59">
        <f t="shared" si="143"/>
        <v>-7.9673532125482338E-2</v>
      </c>
      <c r="AG130" s="59">
        <f t="shared" si="144"/>
        <v>0.40395910457145034</v>
      </c>
      <c r="AH130" s="59">
        <f t="shared" si="145"/>
        <v>0.40395910457145034</v>
      </c>
      <c r="AJ130">
        <f t="shared" si="146"/>
        <v>0.2061015839650257</v>
      </c>
      <c r="AK130">
        <f t="shared" si="22"/>
        <v>4.8519762961632278</v>
      </c>
      <c r="AL130">
        <f t="shared" si="147"/>
        <v>-0.38657408930443976</v>
      </c>
      <c r="AN130" s="207" t="str">
        <f t="shared" si="148"/>
        <v>Weber K</v>
      </c>
      <c r="AO130" s="207">
        <f t="shared" si="149"/>
        <v>2009</v>
      </c>
      <c r="AP130" s="207" t="str">
        <f t="shared" si="150"/>
        <v>Weber K 2009</v>
      </c>
      <c r="AQ130" s="207">
        <f t="shared" si="151"/>
        <v>38</v>
      </c>
      <c r="AR130" s="207">
        <f t="shared" si="152"/>
        <v>1.74</v>
      </c>
      <c r="AS130" s="207">
        <f t="shared" si="153"/>
        <v>0.23</v>
      </c>
      <c r="AT130" s="207">
        <f t="shared" si="154"/>
        <v>62</v>
      </c>
      <c r="AU130" s="207">
        <f t="shared" si="155"/>
        <v>1.76</v>
      </c>
      <c r="AV130" s="207">
        <f t="shared" si="156"/>
        <v>0.26</v>
      </c>
      <c r="AW130" s="208">
        <f t="shared" si="157"/>
        <v>-7.9673532125482338E-2</v>
      </c>
      <c r="AX130" s="207">
        <f t="shared" si="158"/>
        <v>0.2061015839650257</v>
      </c>
      <c r="AY130" s="207"/>
      <c r="AZ130" s="207"/>
    </row>
    <row r="131" spans="5:52">
      <c r="U131" s="23"/>
    </row>
    <row r="132" spans="5:52">
      <c r="L132" t="s">
        <v>500</v>
      </c>
      <c r="N132" s="7"/>
      <c r="O132" s="66">
        <f>COUNT(O89:O130)</f>
        <v>42</v>
      </c>
      <c r="Q132" t="s">
        <v>885</v>
      </c>
      <c r="R132" s="59">
        <f t="shared" ref="R132:W132" si="159">SUM(R89:R130)</f>
        <v>552.50717385794087</v>
      </c>
      <c r="S132" s="59">
        <f t="shared" si="159"/>
        <v>-214.02435893953307</v>
      </c>
      <c r="T132" s="59">
        <f t="shared" si="159"/>
        <v>212.5561189772103</v>
      </c>
      <c r="U132" s="23">
        <f t="shared" si="159"/>
        <v>12204.066948199108</v>
      </c>
      <c r="V132" s="59">
        <f t="shared" si="159"/>
        <v>157.2387152286058</v>
      </c>
      <c r="W132" s="59">
        <f t="shared" si="159"/>
        <v>-69.060819180294914</v>
      </c>
    </row>
    <row r="133" spans="5:52">
      <c r="L133" t="s">
        <v>501</v>
      </c>
      <c r="N133" s="7"/>
      <c r="O133" s="2">
        <v>7</v>
      </c>
    </row>
    <row r="134" spans="5:52">
      <c r="N134" s="7"/>
      <c r="O134" s="7"/>
    </row>
    <row r="135" spans="5:52">
      <c r="G135" s="67" t="s">
        <v>502</v>
      </c>
      <c r="H135" s="40"/>
      <c r="I135" s="40">
        <f>S132/R132</f>
        <v>-0.38736937557766882</v>
      </c>
      <c r="J135" s="40"/>
      <c r="K135" s="68" t="s">
        <v>879</v>
      </c>
      <c r="L135" s="40"/>
      <c r="M135" s="42"/>
      <c r="N135" s="7"/>
      <c r="O135" s="69" t="s">
        <v>503</v>
      </c>
      <c r="P135" s="70">
        <f>T132-((S132^2)/R132)</f>
        <v>129.64963669639252</v>
      </c>
      <c r="Q135" s="71" t="s">
        <v>824</v>
      </c>
      <c r="R135" s="28"/>
      <c r="S135" s="29"/>
      <c r="T135" s="30"/>
      <c r="U135" s="31"/>
      <c r="AF135" s="2" t="s">
        <v>1518</v>
      </c>
    </row>
    <row r="136" spans="5:52">
      <c r="G136" s="43" t="s">
        <v>504</v>
      </c>
      <c r="H136" s="31"/>
      <c r="I136" s="31">
        <f>1/R132</f>
        <v>1.8099312503354341E-3</v>
      </c>
      <c r="J136" s="31"/>
      <c r="K136" s="31"/>
      <c r="L136" s="31"/>
      <c r="M136" s="44"/>
      <c r="N136" s="7"/>
      <c r="O136" s="30" t="s">
        <v>505</v>
      </c>
      <c r="P136" s="31">
        <f>CHIDIST(P135,I140-1)</f>
        <v>3.9312787334257957E-11</v>
      </c>
      <c r="Q136" s="31"/>
      <c r="R136" s="31"/>
      <c r="S136" s="34"/>
      <c r="T136" s="30"/>
      <c r="U136" s="31"/>
      <c r="AF136" s="2"/>
    </row>
    <row r="137" spans="5:52">
      <c r="G137" s="72" t="s">
        <v>506</v>
      </c>
      <c r="H137" s="31"/>
      <c r="I137" s="31">
        <f>$R$147*SQRT(I136)</f>
        <v>8.3384842095482817E-2</v>
      </c>
      <c r="J137" s="31"/>
      <c r="K137" s="31" t="s">
        <v>507</v>
      </c>
      <c r="L137" s="31"/>
      <c r="M137" s="44">
        <f>ABS(I135/SQRT(I136))</f>
        <v>9.1052996809999502</v>
      </c>
      <c r="N137" s="7"/>
      <c r="O137" s="35" t="s">
        <v>508</v>
      </c>
      <c r="P137" s="37">
        <f>IF(((P135-(I140-1))/P135)&lt;0,0,100*((P135-(I140-1))/P135))</f>
        <v>68.376309379090756</v>
      </c>
      <c r="Q137" s="36"/>
      <c r="R137" s="36"/>
      <c r="S137" s="38"/>
      <c r="T137" s="30"/>
      <c r="U137" s="31"/>
      <c r="AF137" s="2" t="s">
        <v>1535</v>
      </c>
      <c r="AH137">
        <f>IF($D$6=1,100*((EXP(I135))-1),I135)</f>
        <v>-0.38736937557766882</v>
      </c>
    </row>
    <row r="138" spans="5:52">
      <c r="G138" s="45" t="s">
        <v>509</v>
      </c>
      <c r="H138" s="46"/>
      <c r="I138" s="46">
        <v>-2</v>
      </c>
      <c r="J138" s="46"/>
      <c r="K138" s="46" t="s">
        <v>825</v>
      </c>
      <c r="L138" s="46"/>
      <c r="M138" s="47">
        <f>2*(1-NORMDIST(M137,0,1,1))</f>
        <v>0</v>
      </c>
      <c r="N138" s="7"/>
      <c r="O138" s="7"/>
      <c r="AF138" s="79" t="s">
        <v>834</v>
      </c>
      <c r="AH138">
        <f>IF($D$6=1,100*(EXP(I135+I137)-EXP(I135)),I137)</f>
        <v>8.3384842095482817E-2</v>
      </c>
    </row>
    <row r="139" spans="5:52">
      <c r="G139" s="40"/>
      <c r="H139" s="40"/>
      <c r="I139" s="40"/>
      <c r="J139" s="40"/>
      <c r="K139" s="40"/>
      <c r="L139" s="40"/>
      <c r="M139" s="40"/>
      <c r="N139" s="7"/>
      <c r="O139" s="7"/>
      <c r="AF139" s="79" t="s">
        <v>835</v>
      </c>
      <c r="AH139">
        <f>IF($D$6=1,100*(EXP(I135)-EXP(I135-I137)),I137)</f>
        <v>8.3384842095482817E-2</v>
      </c>
    </row>
    <row r="140" spans="5:52">
      <c r="G140" s="73" t="s">
        <v>1110</v>
      </c>
      <c r="H140" s="74"/>
      <c r="I140" s="74">
        <f>O132</f>
        <v>42</v>
      </c>
      <c r="J140" s="74"/>
      <c r="K140" s="75" t="s">
        <v>1167</v>
      </c>
      <c r="L140" s="74"/>
      <c r="M140" s="76"/>
      <c r="N140" s="77"/>
      <c r="O140" s="101" t="s">
        <v>1513</v>
      </c>
      <c r="P140" s="102"/>
      <c r="Q140" s="103"/>
      <c r="AF140" s="7"/>
    </row>
    <row r="141" spans="5:52">
      <c r="G141" s="77" t="s">
        <v>1531</v>
      </c>
      <c r="H141" s="31"/>
      <c r="I141" s="31">
        <f>R132/I140</f>
        <v>13.154932710903354</v>
      </c>
      <c r="J141" s="31"/>
      <c r="K141" s="31"/>
      <c r="L141" s="31"/>
      <c r="M141" s="78"/>
      <c r="N141" s="77"/>
      <c r="O141" s="104" t="s">
        <v>1514</v>
      </c>
      <c r="P141" s="31"/>
      <c r="Q141" s="105">
        <f>INDEX(LINEST(AL89:AL130,AK89:AK130,TRUE,TRUE),1,2)</f>
        <v>-1.3169703907179768</v>
      </c>
      <c r="AF141" s="2" t="s">
        <v>1687</v>
      </c>
      <c r="AH141">
        <f>IF($D$6=1,100*((EXP(I146))-1),I146)</f>
        <v>-0.4392100194909947</v>
      </c>
    </row>
    <row r="142" spans="5:52">
      <c r="G142" s="77" t="s">
        <v>1532</v>
      </c>
      <c r="H142" s="31"/>
      <c r="I142" s="31">
        <f>(1/(I140-1))*(U132-(I140*I141^2))</f>
        <v>120.38712814162231</v>
      </c>
      <c r="J142" s="31"/>
      <c r="K142" s="31"/>
      <c r="L142" s="31"/>
      <c r="M142" s="78"/>
      <c r="N142" s="77"/>
      <c r="O142" s="104" t="s">
        <v>1516</v>
      </c>
      <c r="P142" s="31"/>
      <c r="Q142" s="105">
        <f>INDEX(LINEST(AL89:AL130,AK89:AK130,TRUE,TRUE),2,2)</f>
        <v>0.80769523316701519</v>
      </c>
      <c r="AF142" s="79" t="s">
        <v>834</v>
      </c>
      <c r="AG142" s="7"/>
      <c r="AH142">
        <f>IF($D$6=1,100*(EXP(I146+I148)-EXP(I146)),I148)</f>
        <v>0.15630624429729734</v>
      </c>
    </row>
    <row r="143" spans="5:52">
      <c r="G143" s="77" t="s">
        <v>1669</v>
      </c>
      <c r="H143" s="31"/>
      <c r="I143" s="31">
        <f>(I140-1)*(I141-(I142/(I140*I141)))</f>
        <v>530.41865170720951</v>
      </c>
      <c r="J143" s="31"/>
      <c r="K143" s="31"/>
      <c r="L143" s="31"/>
      <c r="M143" s="78"/>
      <c r="N143" s="77"/>
      <c r="O143" s="104" t="s">
        <v>1349</v>
      </c>
      <c r="P143" s="31"/>
      <c r="Q143" s="105">
        <f>ABS(Q141/Q142)</f>
        <v>1.6305288636582231</v>
      </c>
      <c r="AF143" s="79" t="s">
        <v>835</v>
      </c>
      <c r="AH143">
        <f>IF($D$6=1,100*(EXP(I146)-EXP(I146-I148)),I148)</f>
        <v>0.15630624429729734</v>
      </c>
    </row>
    <row r="144" spans="5:52">
      <c r="G144" s="77" t="s">
        <v>1685</v>
      </c>
      <c r="H144" s="31"/>
      <c r="I144" s="31">
        <f>IF(P135&gt;(I140-1),(P135-(I140-1))/I143,0)</f>
        <v>0.16713144685064171</v>
      </c>
      <c r="J144" s="31"/>
      <c r="K144" s="31"/>
      <c r="L144" s="31"/>
      <c r="M144" s="78"/>
      <c r="N144" s="77"/>
      <c r="O144" s="106" t="s">
        <v>1515</v>
      </c>
      <c r="P144" s="107"/>
      <c r="Q144" s="108">
        <f>TDIST(Q143,I140-2,2)</f>
        <v>0.11084014440475554</v>
      </c>
    </row>
    <row r="145" spans="7:18">
      <c r="G145" s="77"/>
      <c r="H145" s="31"/>
      <c r="I145" s="31"/>
      <c r="J145" s="31"/>
      <c r="K145" s="31"/>
      <c r="L145" s="31"/>
      <c r="M145" s="78"/>
      <c r="N145" s="77"/>
    </row>
    <row r="146" spans="7:18">
      <c r="G146" s="77" t="s">
        <v>1686</v>
      </c>
      <c r="H146" s="31"/>
      <c r="I146" s="31">
        <f>W132/V132</f>
        <v>-0.4392100194909947</v>
      </c>
      <c r="J146" s="31"/>
      <c r="N146" s="77"/>
    </row>
    <row r="147" spans="7:18">
      <c r="G147" s="77" t="s">
        <v>504</v>
      </c>
      <c r="H147" s="31"/>
      <c r="I147" s="31">
        <f>1/V132</f>
        <v>6.3597568737834235E-3</v>
      </c>
      <c r="J147" s="31"/>
      <c r="N147" s="77"/>
      <c r="O147" t="s">
        <v>805</v>
      </c>
      <c r="R147">
        <v>1.96</v>
      </c>
    </row>
    <row r="148" spans="7:18">
      <c r="G148" s="80" t="s">
        <v>506</v>
      </c>
      <c r="H148" s="31"/>
      <c r="I148" s="31">
        <f>$R$147*SQRT(I147)</f>
        <v>0.15630624429729734</v>
      </c>
      <c r="J148" s="31"/>
      <c r="K148" s="31" t="s">
        <v>507</v>
      </c>
      <c r="L148" s="31"/>
      <c r="M148" s="78">
        <f>ABS(I146/(SQRT(I147)))</f>
        <v>5.5074679970238041</v>
      </c>
      <c r="N148" s="77"/>
    </row>
    <row r="149" spans="7:18">
      <c r="G149" s="81" t="s">
        <v>509</v>
      </c>
      <c r="H149" s="82"/>
      <c r="I149" s="82">
        <v>-3</v>
      </c>
      <c r="J149" s="82"/>
      <c r="K149" s="31" t="s">
        <v>825</v>
      </c>
      <c r="L149" s="31"/>
      <c r="M149" s="78">
        <f>2*(1-NORMDIST(M148,0,1,1))</f>
        <v>3.6403156267184045E-8</v>
      </c>
      <c r="N149" s="77"/>
    </row>
    <row r="150" spans="7:18">
      <c r="G150" s="74"/>
      <c r="H150" s="74"/>
      <c r="I150" s="74"/>
      <c r="J150" s="74"/>
      <c r="K150" s="74"/>
      <c r="L150" s="74"/>
      <c r="M150" s="74"/>
      <c r="N150" s="31"/>
      <c r="O150" s="7"/>
    </row>
  </sheetData>
  <phoneticPr fontId="10" type="noConversion"/>
  <conditionalFormatting sqref="D17 D13 F13">
    <cfRule type="cellIs" dxfId="108" priority="0" stopIfTrue="1" operator="lessThan">
      <formula>0.05</formula>
    </cfRule>
  </conditionalFormatting>
  <conditionalFormatting sqref="D21">
    <cfRule type="cellIs" dxfId="10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6.xml><?xml version="1.0" encoding="utf-8"?>
<worksheet xmlns="http://schemas.openxmlformats.org/spreadsheetml/2006/main" xmlns:r="http://schemas.openxmlformats.org/officeDocument/2006/relationships">
  <sheetPr published="0" codeName="Sheet31" enableFormatConditionsCalculation="0"/>
  <dimension ref="A1:BM14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666</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I137-O130</f>
        <v>34</v>
      </c>
      <c r="AD7" s="89"/>
    </row>
    <row r="8" spans="2:30">
      <c r="B8" t="s">
        <v>822</v>
      </c>
      <c r="D8">
        <f>SUM(H24:H64)</f>
        <v>1220</v>
      </c>
      <c r="AD8" s="89"/>
    </row>
    <row r="9" spans="2:30">
      <c r="B9" t="s">
        <v>823</v>
      </c>
      <c r="D9">
        <f>SUM(I24:I64)</f>
        <v>1200</v>
      </c>
      <c r="AD9" s="89"/>
    </row>
    <row r="11" spans="2:30">
      <c r="B11" s="27" t="s">
        <v>516</v>
      </c>
      <c r="C11" s="28"/>
      <c r="D11" s="109">
        <f>P132</f>
        <v>118.77703677097675</v>
      </c>
      <c r="E11" s="110" t="s">
        <v>1513</v>
      </c>
      <c r="F11" s="103"/>
    </row>
    <row r="12" spans="2:30">
      <c r="B12" s="30" t="s">
        <v>826</v>
      </c>
      <c r="C12" s="31"/>
      <c r="D12" s="112">
        <f>P134</f>
        <v>66.323456884071703</v>
      </c>
      <c r="E12" s="31"/>
      <c r="F12" s="105"/>
    </row>
    <row r="13" spans="2:30">
      <c r="B13" s="35" t="s">
        <v>825</v>
      </c>
      <c r="C13" s="36"/>
      <c r="D13" s="113">
        <f>P133</f>
        <v>9.6802283448984344E-10</v>
      </c>
      <c r="E13" s="111" t="s">
        <v>825</v>
      </c>
      <c r="F13" s="115">
        <f>Q141</f>
        <v>0.15447327730773841</v>
      </c>
    </row>
    <row r="15" spans="2:30">
      <c r="B15" s="39" t="s">
        <v>879</v>
      </c>
      <c r="C15" s="40"/>
      <c r="D15" s="41">
        <f>AH134</f>
        <v>-0.40829231730122978</v>
      </c>
      <c r="E15" s="116"/>
    </row>
    <row r="16" spans="2:30">
      <c r="B16" s="43" t="s">
        <v>1165</v>
      </c>
      <c r="C16" s="31"/>
      <c r="D16" s="33">
        <f>AH134-AH136</f>
        <v>-0.49236493010391003</v>
      </c>
      <c r="E16" s="117">
        <f>AH134+AH135</f>
        <v>-0.32421970449854953</v>
      </c>
    </row>
    <row r="17" spans="1:65">
      <c r="B17" s="45" t="s">
        <v>1166</v>
      </c>
      <c r="C17" s="46"/>
      <c r="D17" s="124">
        <f>M135</f>
        <v>0</v>
      </c>
      <c r="E17" s="118"/>
    </row>
    <row r="18" spans="1:65">
      <c r="D18" s="48"/>
      <c r="F18" s="49"/>
    </row>
    <row r="19" spans="1:65">
      <c r="B19" s="50" t="s">
        <v>1167</v>
      </c>
      <c r="C19" s="51"/>
      <c r="D19" s="52">
        <f>AH138</f>
        <v>-0.44849787563323235</v>
      </c>
      <c r="E19" s="120"/>
      <c r="F19" s="33"/>
      <c r="G19" s="31"/>
    </row>
    <row r="20" spans="1:65">
      <c r="B20" s="53" t="s">
        <v>1165</v>
      </c>
      <c r="C20" s="31"/>
      <c r="D20" s="33">
        <f>AH138-AH140</f>
        <v>-0.6017505743178363</v>
      </c>
      <c r="E20" s="121">
        <f>AH138+AH139</f>
        <v>-0.2952451769486284</v>
      </c>
      <c r="F20" s="31"/>
      <c r="G20" s="31"/>
    </row>
    <row r="21" spans="1:65">
      <c r="B21" s="54" t="s">
        <v>1440</v>
      </c>
      <c r="C21" s="55"/>
      <c r="D21" s="125">
        <f>M146</f>
        <v>9.6944794414355329E-9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10405084</v>
      </c>
      <c r="C24" s="1" t="str">
        <f>IF($B24="","",HYPERLINK(IF(LEN(VLOOKUP($B24,Database!$B$1:$IX$10144,2,FALSE))=0,"",VLOOKUP($B24,Database!$B$1:$IX$10144,2,FALSE))))</f>
        <v/>
      </c>
      <c r="D24" s="1" t="str">
        <f t="shared" ref="D24:D68" si="0">IF($B24="","",HYPERLINK(CONCATENATE("http://www.ncbi.nlm.nih.gov/pubmed/",B24)))</f>
        <v>http://www.ncbi.nlm.nih.gov/pubmed/10405084</v>
      </c>
      <c r="E24" s="22" t="str">
        <f>IF($B24="","",IF(LEN(VLOOKUP($B24,Database!$B$1:$IX$10144,4,FALSE))=0,"",VLOOKUP($B24,Database!$B$1:$IX$10144,4,FALSE)))</f>
        <v>Ashtari M</v>
      </c>
      <c r="F24" s="22">
        <f>IF($B24="","",IF(LEN(VLOOKUP($B24,Database!$B$1:$IX$10144,5,FALSE))=0,"",VLOOKUP($B24,Database!$B$1:$IX$10144,5,FALSE)))</f>
        <v>1999</v>
      </c>
      <c r="G24" s="1" t="str">
        <f>IF($B24="","",HYPERLINK(IF(LEN(VLOOKUP($B24,Database!$B$1:$IX$10144,6,FALSE))=0,"",VLOOKUP($B24,Database!$B$1:$IX$10144,6,FALSE))))</f>
        <v>http://dx.doi.org/10.1017/S0033291799008405</v>
      </c>
      <c r="H24" s="22">
        <f>IF($B24="","",IF(LEN(VLOOKUP($B24,Database!$B$1:$IX$10144,7,FALSE))=0,"",VLOOKUP($B24,Database!$B$1:$IX$10144,7,FALSE)))</f>
        <v>40</v>
      </c>
      <c r="I24" s="22">
        <f>IF($B24="","",IF(LEN(VLOOKUP($B24,Database!$B$1:$IX$10144,8,FALSE))=0,"",VLOOKUP($B24,Database!$B$1:$IX$10144,8,FALSE)))</f>
        <v>46</v>
      </c>
      <c r="J24" t="s">
        <v>940</v>
      </c>
      <c r="L24">
        <v>1745</v>
      </c>
      <c r="M24">
        <v>380</v>
      </c>
      <c r="N24">
        <v>1853</v>
      </c>
      <c r="O24">
        <v>348</v>
      </c>
      <c r="P24">
        <v>1742</v>
      </c>
      <c r="Q24">
        <v>345</v>
      </c>
      <c r="R24">
        <v>1843</v>
      </c>
      <c r="S24">
        <v>337</v>
      </c>
      <c r="T24">
        <v>3487</v>
      </c>
      <c r="U24">
        <v>662</v>
      </c>
      <c r="V24">
        <v>3697</v>
      </c>
      <c r="W24">
        <v>597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v>
      </c>
      <c r="AD24" s="22">
        <f>IF(OR($B24="",AD$22=""),"",IF(LEN(VLOOKUP($B24,Database!$B$1:$IX$10144,AD$22,FALSE))=0,"",VLOOKUP($B24,Database!$B$1:$IX$10144,AD$22,FALSE)))</f>
        <v>71.400000000000006</v>
      </c>
      <c r="AE24" s="22">
        <f>IF(OR($B24="",AE$22=""),"",IF(LEN(VLOOKUP($B24,Database!$B$1:$IX$10144,AE$22,FALSE))=0,"",VLOOKUP($B24,Database!$B$1:$IX$10144,AE$22,FALSE)))</f>
        <v>0.3</v>
      </c>
      <c r="AF24" s="22">
        <f>IF(OR($B24="",AF$22=""),"",IF(LEN(VLOOKUP($B24,Database!$B$1:$IX$10144,AF$22,FALSE))=0,"",VLOOKUP($B24,Database!$B$1:$IX$10144,AF$22,FALSE)))</f>
        <v>28</v>
      </c>
      <c r="AG24" s="22">
        <f>IF(OR($B24="",AG$22=""),"",IF(LEN(VLOOKUP($B24,Database!$B$1:$IX$10144,AG$22,FALSE))=0,"",VLOOKUP($B24,Database!$B$1:$IX$10144,AG$22,FALSE)))</f>
        <v>28</v>
      </c>
      <c r="AH24" s="22">
        <f>IF(OR($B24="",AH$22=""),"",IF(LEN(VLOOKUP($B24,Database!$B$1:$IX$10144,AH$22,FALSE))=0,"",VLOOKUP($B24,Database!$B$1:$IX$10144,AH$22,FALSE)))</f>
        <v>1</v>
      </c>
      <c r="AI24" s="22">
        <f>IF(OR($B24="",AI$22=""),"",IF(LEN(VLOOKUP($B24,Database!$B$1:$IX$10144,AI$22,FALSE))=0,"",VLOOKUP($B24,Database!$B$1:$IX$10144,AI$22,FALSE)))</f>
        <v>3.1</v>
      </c>
      <c r="AJ24" s="22" t="str">
        <f>IF(OR($B24="",AJ$22=""),"",IF(LEN(VLOOKUP($B24,Database!$B$1:$IX$10144,AJ$22,FALSE))=0,"",VLOOKUP($B24,Database!$B$1:$IX$10144,AJ$22,FALSE)))</f>
        <v/>
      </c>
      <c r="AK24" s="22">
        <f>IF(OR($B24="",AK$22=""),"",IF(LEN(VLOOKUP($B24,Database!$B$1:$IX$10144,AK$22,FALSE))=0,"",VLOOKUP($B24,Database!$B$1:$IX$10144,AK$22,FALSE)))</f>
        <v>61.5</v>
      </c>
      <c r="AL24" s="22">
        <f>IF(OR($B24="",AL$22=""),"",IF(LEN(VLOOKUP($B24,Database!$B$1:$IX$10144,AL$22,FALSE))=0,"",VLOOKUP($B24,Database!$B$1:$IX$10144,AL$22,FALSE)))</f>
        <v>26.1</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Ashtari M, Greenwald BS, Kramer-Ginsberg E, Hu J, Wu H, Patel M, Aupperle P, Pollack S.</v>
      </c>
      <c r="AR24" s="13"/>
      <c r="AX24" s="13"/>
      <c r="AY24" s="13"/>
      <c r="AZ24" s="13"/>
      <c r="BA24" s="13"/>
      <c r="BC24" s="23"/>
      <c r="BF24" s="136"/>
      <c r="BG24" s="136"/>
      <c r="BH24" s="136"/>
      <c r="BI24" s="136"/>
    </row>
    <row r="25" spans="1:65">
      <c r="A25" t="s">
        <v>2013</v>
      </c>
      <c r="B25">
        <v>10618023</v>
      </c>
      <c r="C25" s="1" t="str">
        <f>IF($B25="","",HYPERLINK(IF(LEN(VLOOKUP($B25,Database!$B$1:$IX$10144,2,FALSE))=0,"",VLOOKUP($B25,Database!$B$1:$IX$10144,2,FALSE))))</f>
        <v/>
      </c>
      <c r="D25" s="1" t="str">
        <f t="shared" si="0"/>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887</v>
      </c>
      <c r="K25" t="s">
        <v>1044</v>
      </c>
      <c r="L25">
        <v>940</v>
      </c>
      <c r="M25">
        <v>208</v>
      </c>
      <c r="N25">
        <v>1166</v>
      </c>
      <c r="O25">
        <v>248</v>
      </c>
      <c r="P25">
        <v>982</v>
      </c>
      <c r="Q25">
        <v>269</v>
      </c>
      <c r="R25">
        <v>1113</v>
      </c>
      <c r="S25">
        <v>194</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2"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v>10862809</v>
      </c>
      <c r="C26" s="1" t="str">
        <f>IF($B26="","",HYPERLINK(IF(LEN(VLOOKUP($B26,Database!$B$1:$IX$10144,2,FALSE))=0,"",VLOOKUP($B26,Database!$B$1:$IX$10144,2,FALSE))))</f>
        <v/>
      </c>
      <c r="D26" s="1" t="str">
        <f t="shared" si="0"/>
        <v>http://www.ncbi.nlm.nih.gov/pubmed/10862809</v>
      </c>
      <c r="E26" s="22" t="str">
        <f>IF($B26="","",IF(LEN(VLOOKUP($B26,Database!$B$1:$IX$10144,4,FALSE))=0,"",VLOOKUP($B26,Database!$B$1:$IX$10144,4,FALSE)))</f>
        <v>Vakili K</v>
      </c>
      <c r="F26" s="22">
        <f>IF($B26="","",IF(LEN(VLOOKUP($B26,Database!$B$1:$IX$10144,5,FALSE))=0,"",VLOOKUP($B26,Database!$B$1:$IX$10144,5,FALSE)))</f>
        <v>2000</v>
      </c>
      <c r="G26" s="1" t="str">
        <f>IF($B26="","",HYPERLINK(IF(LEN(VLOOKUP($B26,Database!$B$1:$IX$10144,6,FALSE))=0,"",VLOOKUP($B26,Database!$B$1:$IX$10144,6,FALSE))))</f>
        <v>http://dx.doi.org/10.1016/S0006-3223(99)00296-6</v>
      </c>
      <c r="H26" s="22">
        <f>IF($B26="","",IF(LEN(VLOOKUP($B26,Database!$B$1:$IX$10144,7,FALSE))=0,"",VLOOKUP($B26,Database!$B$1:$IX$10144,7,FALSE)))</f>
        <v>38</v>
      </c>
      <c r="I26" s="22">
        <f>IF($B26="","",IF(LEN(VLOOKUP($B26,Database!$B$1:$IX$10144,8,FALSE))=0,"",VLOOKUP($B26,Database!$B$1:$IX$10144,8,FALSE)))</f>
        <v>20</v>
      </c>
      <c r="J26" t="s">
        <v>1046</v>
      </c>
      <c r="L26">
        <v>2.64</v>
      </c>
      <c r="M26">
        <v>0.55000000000000004</v>
      </c>
      <c r="N26">
        <v>2.46</v>
      </c>
      <c r="O26">
        <v>0.38</v>
      </c>
      <c r="P26">
        <v>2.61</v>
      </c>
      <c r="Q26">
        <v>0.57999999999999996</v>
      </c>
      <c r="R26">
        <v>2.6</v>
      </c>
      <c r="S26">
        <v>0.51</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38.5</v>
      </c>
      <c r="AC26" s="22">
        <f>IF(OR($B26="",AC$22=""),"",IF(LEN(VLOOKUP($B26,Database!$B$1:$IX$10144,AC$22,FALSE))=0,"",VLOOKUP($B26,Database!$B$1:$IX$10144,AC$22,FALSE)))</f>
        <v>10</v>
      </c>
      <c r="AD26" s="22">
        <f>IF(OR($B26="",AD$22=""),"",IF(LEN(VLOOKUP($B26,Database!$B$1:$IX$10144,AD$22,FALSE))=0,"",VLOOKUP($B26,Database!$B$1:$IX$10144,AD$22,FALSE)))</f>
        <v>40.299999999999997</v>
      </c>
      <c r="AE26" s="22">
        <f>IF(OR($B26="",AE$22=""),"",IF(LEN(VLOOKUP($B26,Database!$B$1:$IX$10144,AE$22,FALSE))=0,"",VLOOKUP($B26,Database!$B$1:$IX$10144,AE$22,FALSE)))</f>
        <v>10.4</v>
      </c>
      <c r="AF26" s="22">
        <f>IF(OR($B26="",AF$22=""),"",IF(LEN(VLOOKUP($B26,Database!$B$1:$IX$10144,AF$22,FALSE))=0,"",VLOOKUP($B26,Database!$B$1:$IX$10144,AF$22,FALSE)))</f>
        <v>21</v>
      </c>
      <c r="AG26" s="22">
        <f>IF(OR($B26="",AG$22=""),"",IF(LEN(VLOOKUP($B26,Database!$B$1:$IX$10144,AG$22,FALSE))=0,"",VLOOKUP($B26,Database!$B$1:$IX$10144,AG$22,FALSE)))</f>
        <v>11</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Vakili K, Pillay SS, Lafer B, Fava M, Renshaw PF, Bonello-Cintron CM, Yurgelun-Todd DA.</v>
      </c>
      <c r="AR26" s="13"/>
      <c r="AX26" s="13"/>
      <c r="AY26" s="13"/>
      <c r="AZ26" s="13"/>
      <c r="BA26" s="13"/>
      <c r="BC26" s="23"/>
      <c r="BF26" s="136"/>
      <c r="BG26" s="136"/>
      <c r="BH26" s="136"/>
      <c r="BI26" s="136"/>
    </row>
    <row r="27" spans="1:65">
      <c r="B27">
        <v>11750892</v>
      </c>
      <c r="C27" s="1" t="str">
        <f>IF($B27="","",HYPERLINK(IF(LEN(VLOOKUP($B27,Database!$B$1:$IX$10144,2,FALSE))=0,"",VLOOKUP($B27,Database!$B$1:$IX$10144,2,FALSE))))</f>
        <v/>
      </c>
      <c r="D27" s="1" t="str">
        <f t="shared" si="0"/>
        <v>http://www.ncbi.nlm.nih.gov/pubmed/11750892</v>
      </c>
      <c r="E27" s="22" t="str">
        <f>IF($B27="","",IF(LEN(VLOOKUP($B27,Database!$B$1:$IX$10144,4,FALSE))=0,"",VLOOKUP($B27,Database!$B$1:$IX$10144,4,FALSE)))</f>
        <v>Rusch BD</v>
      </c>
      <c r="F27" s="22">
        <f>IF($B27="","",IF(LEN(VLOOKUP($B27,Database!$B$1:$IX$10144,5,FALSE))=0,"",VLOOKUP($B27,Database!$B$1:$IX$10144,5,FALSE)))</f>
        <v>2001</v>
      </c>
      <c r="G27" s="1" t="str">
        <f>IF($B27="","",HYPERLINK(IF(LEN(VLOOKUP($B27,Database!$B$1:$IX$10144,6,FALSE))=0,"",VLOOKUP($B27,Database!$B$1:$IX$10144,6,FALSE))))</f>
        <v>http://dx.doi.org/10.1016/S0006-3223(01)01248-3</v>
      </c>
      <c r="H27" s="22">
        <f>IF($B27="","",IF(LEN(VLOOKUP($B27,Database!$B$1:$IX$10144,7,FALSE))=0,"",VLOOKUP($B27,Database!$B$1:$IX$10144,7,FALSE)))</f>
        <v>25</v>
      </c>
      <c r="I27" s="22">
        <f>IF($B27="","",IF(LEN(VLOOKUP($B27,Database!$B$1:$IX$10144,8,FALSE))=0,"",VLOOKUP($B27,Database!$B$1:$IX$10144,8,FALSE)))</f>
        <v>15</v>
      </c>
      <c r="J27" t="s">
        <v>866</v>
      </c>
      <c r="L27">
        <v>2.17</v>
      </c>
      <c r="M27">
        <v>0.26</v>
      </c>
      <c r="N27">
        <v>2.13</v>
      </c>
      <c r="O27">
        <v>0.27</v>
      </c>
      <c r="P27">
        <v>2.29</v>
      </c>
      <c r="Q27">
        <v>0.3</v>
      </c>
      <c r="R27">
        <v>2.2000000000000002</v>
      </c>
      <c r="S27">
        <v>0.24</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33.200000000000003</v>
      </c>
      <c r="AC27" s="22">
        <f>IF(OR($B27="",AC$22=""),"",IF(LEN(VLOOKUP($B27,Database!$B$1:$IX$10144,AC$22,FALSE))=0,"",VLOOKUP($B27,Database!$B$1:$IX$10144,AC$22,FALSE)))</f>
        <v>9.5</v>
      </c>
      <c r="AD27" s="22">
        <f>IF(OR($B27="",AD$22=""),"",IF(LEN(VLOOKUP($B27,Database!$B$1:$IX$10144,AD$22,FALSE))=0,"",VLOOKUP($B27,Database!$B$1:$IX$10144,AD$22,FALSE)))</f>
        <v>37.4</v>
      </c>
      <c r="AE27" s="22">
        <f>IF(OR($B27="",AE$22=""),"",IF(LEN(VLOOKUP($B27,Database!$B$1:$IX$10144,AE$22,FALSE))=0,"",VLOOKUP($B27,Database!$B$1:$IX$10144,AE$22,FALSE)))</f>
        <v>14.4</v>
      </c>
      <c r="AF27" s="22">
        <f>IF(OR($B27="",AF$22=""),"",IF(LEN(VLOOKUP($B27,Database!$B$1:$IX$10144,AF$22,FALSE))=0,"",VLOOKUP($B27,Database!$B$1:$IX$10144,AF$22,FALSE)))</f>
        <v>14</v>
      </c>
      <c r="AG27" s="22">
        <f>IF(OR($B27="",AG$22=""),"",IF(LEN(VLOOKUP($B27,Database!$B$1:$IX$10144,AG$22,FALSE))=0,"",VLOOKUP($B27,Database!$B$1:$IX$10144,AG$22,FALSE)))</f>
        <v>9</v>
      </c>
      <c r="AH27" s="22">
        <f>IF(OR($B27="",AH$22=""),"",IF(LEN(VLOOKUP($B27,Database!$B$1:$IX$10144,AH$22,FALSE))=0,"",VLOOKUP($B27,Database!$B$1:$IX$10144,AH$22,FALSE)))</f>
        <v>1.5</v>
      </c>
      <c r="AI27" s="22">
        <f>IF(OR($B27="",AI$22=""),"",IF(LEN(VLOOKUP($B27,Database!$B$1:$IX$10144,AI$22,FALSE))=0,"",VLOOKUP($B27,Database!$B$1:$IX$10144,AI$22,FALSE)))</f>
        <v>1.2</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19.399999999999999</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100</v>
      </c>
      <c r="AQ27" s="22" t="str">
        <f>IF(OR($B27="",AQ$22=""),"",IF(LEN(VLOOKUP($B27,Database!$B$1:$IX$10144,AQ$22,FALSE))=0,"",VLOOKUP($B27,Database!$B$1:$IX$10144,AQ$22,FALSE)))</f>
        <v>Rusch BD, Abercrombie HC, Oakes TR, Schaefer SM, Davidson RJ.</v>
      </c>
      <c r="AR27" s="13"/>
      <c r="AX27" s="13"/>
      <c r="AY27" s="13"/>
      <c r="AZ27" s="13"/>
      <c r="BA27" s="13"/>
      <c r="BC27" s="23"/>
      <c r="BF27" s="136"/>
      <c r="BG27" s="136"/>
      <c r="BH27" s="136"/>
      <c r="BI27" s="136"/>
    </row>
    <row r="28" spans="1:65">
      <c r="A28" t="s">
        <v>2084</v>
      </c>
      <c r="B28">
        <v>12804127</v>
      </c>
      <c r="C28" s="1" t="str">
        <f>IF($B28="","",HYPERLINK(IF(LEN(VLOOKUP($B28,Database!$B$1:$IX$10144,2,FALSE))=0,"",VLOOKUP($B28,Database!$B$1:$IX$10144,2,FALSE))))</f>
        <v/>
      </c>
      <c r="D28" s="1" t="str">
        <f t="shared" si="0"/>
        <v>http://www.ncbi.nlm.nih.gov/pubmed/12804127</v>
      </c>
      <c r="E28" s="22" t="str">
        <f>IF($B28="","",IF(LEN(VLOOKUP($B28,Database!$B$1:$IX$10144,4,FALSE))=0,"",VLOOKUP($B28,Database!$B$1:$IX$10144,4,FALSE)))</f>
        <v>MacMillan S</v>
      </c>
      <c r="F28" s="22">
        <f>IF($B28="","",IF(LEN(VLOOKUP($B28,Database!$B$1:$IX$10144,5,FALSE))=0,"",VLOOKUP($B28,Database!$B$1:$IX$10144,5,FALSE)))</f>
        <v>2003</v>
      </c>
      <c r="G28" s="1" t="str">
        <f>IF($B28="","",HYPERLINK(IF(LEN(VLOOKUP($B28,Database!$B$1:$IX$10144,6,FALSE))=0,"",VLOOKUP($B28,Database!$B$1:$IX$10144,6,FALSE))))</f>
        <v>http://www.liebertonline.com/doi/pdf/10.1089/104454603321666207</v>
      </c>
      <c r="H28" s="22">
        <f>IF($B28="","",IF(LEN(VLOOKUP($B28,Database!$B$1:$IX$10144,7,FALSE))=0,"",VLOOKUP($B28,Database!$B$1:$IX$10144,7,FALSE)))</f>
        <v>23</v>
      </c>
      <c r="I28" s="22">
        <f>IF($B28="","",IF(LEN(VLOOKUP($B28,Database!$B$1:$IX$10144,8,FALSE))=0,"",VLOOKUP($B28,Database!$B$1:$IX$10144,8,FALSE)))</f>
        <v>23</v>
      </c>
      <c r="J28" t="s">
        <v>1378</v>
      </c>
      <c r="L28">
        <v>3.15</v>
      </c>
      <c r="M28">
        <v>0.39</v>
      </c>
      <c r="N28">
        <v>3.24</v>
      </c>
      <c r="O28">
        <v>0.44</v>
      </c>
      <c r="P28">
        <v>3.17</v>
      </c>
      <c r="Q28">
        <v>0.52</v>
      </c>
      <c r="R28">
        <v>3.26</v>
      </c>
      <c r="S28">
        <v>0.4</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f>IF(OR($B28="",AF$22=""),"",IF(LEN(VLOOKUP($B28,Database!$B$1:$IX$10144,AF$22,FALSE))=0,"",VLOOKUP($B28,Database!$B$1:$IX$10144,AF$22,FALSE)))</f>
        <v>13</v>
      </c>
      <c r="AG28" s="22">
        <f>IF(OR($B28="",AG$22=""),"",IF(LEN(VLOOKUP($B28,Database!$B$1:$IX$10144,AG$22,FALSE))=0,"",VLOOKUP($B28,Database!$B$1:$IX$10144,AG$22,FALSE)))</f>
        <v>13</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11.84</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MacMillan S, Szeszko PR, Moore GJ, Madden R, Lorch E, Ivey J, Banerjee SP, Rosenberg DR.</v>
      </c>
      <c r="AR28" s="13"/>
      <c r="AX28" s="13"/>
      <c r="AY28" s="13"/>
      <c r="AZ28" s="13"/>
      <c r="BA28" s="13"/>
      <c r="BC28" s="23"/>
      <c r="BF28" s="136"/>
      <c r="BG28" s="136"/>
      <c r="BH28" s="136"/>
      <c r="BI28" s="136"/>
    </row>
    <row r="29" spans="1:65">
      <c r="A29" s="10"/>
      <c r="B29">
        <v>12552118</v>
      </c>
      <c r="C29" s="1" t="str">
        <f>IF($B29="","",HYPERLINK(IF(LEN(VLOOKUP($B29,Database!$B$1:$IX$10144,2,FALSE))=0,"",VLOOKUP($B29,Database!$B$1:$IX$10144,2,FALSE))))</f>
        <v/>
      </c>
      <c r="D29" s="1" t="str">
        <f t="shared" si="0"/>
        <v>http://www.ncbi.nlm.nih.gov/pubmed/12552118</v>
      </c>
      <c r="E29" s="22" t="str">
        <f>IF($B29="","",IF(LEN(VLOOKUP($B29,Database!$B$1:$IX$10144,4,FALSE))=0,"",VLOOKUP($B29,Database!$B$1:$IX$10144,4,FALSE)))</f>
        <v>MacQueen GM</v>
      </c>
      <c r="F29" s="22">
        <f>IF($B29="","",IF(LEN(VLOOKUP($B29,Database!$B$1:$IX$10144,5,FALSE))=0,"",VLOOKUP($B29,Database!$B$1:$IX$10144,5,FALSE)))</f>
        <v>2003</v>
      </c>
      <c r="G29" s="1" t="str">
        <f>IF($B29="","",HYPERLINK(IF(LEN(VLOOKUP($B29,Database!$B$1:$IX$10144,6,FALSE))=0,"",VLOOKUP($B29,Database!$B$1:$IX$10144,6,FALSE))))</f>
        <v>http://www.pnas.org/content/100/3/1387.full.pdf</v>
      </c>
      <c r="H29" s="83">
        <v>20</v>
      </c>
      <c r="I29" s="83">
        <v>20</v>
      </c>
      <c r="J29" t="s">
        <v>1379</v>
      </c>
      <c r="K29" t="s">
        <v>1720</v>
      </c>
      <c r="L29">
        <v>2738</v>
      </c>
      <c r="M29">
        <v>301.10000000000002</v>
      </c>
      <c r="N29">
        <v>2761</v>
      </c>
      <c r="O29">
        <v>368.4</v>
      </c>
      <c r="P29">
        <v>2793</v>
      </c>
      <c r="Q29">
        <v>303.8</v>
      </c>
      <c r="R29">
        <v>2784</v>
      </c>
      <c r="S29">
        <v>342.2</v>
      </c>
      <c r="Y29" s="22" t="str">
        <f>IF(OR($B29="",Y$22=""),"",IF(LEN(VLOOKUP($B29,Database!$B$1:$IX$10144,Y$22,FALSE))=0,"",VLOOKUP($B29,Database!$B$1:$IX$10144,Y$22,FALSE)))</f>
        <v>DSM-IV</v>
      </c>
      <c r="Z29" s="22" t="str">
        <f>IF(OR($B29="",Z$22=""),"",IF(LEN(VLOOKUP($B29,Database!$B$1:$IX$10144,Z$22,FALSE))=0,"",VLOOKUP($B29,Database!$B$1:$IX$10144,Z$22,FALSE)))</f>
        <v>MRI</v>
      </c>
      <c r="AA29" s="83" t="s">
        <v>748</v>
      </c>
      <c r="AB29" s="83">
        <v>28.4</v>
      </c>
      <c r="AC29" s="83">
        <v>11.8</v>
      </c>
      <c r="AD29" s="83">
        <v>28.4</v>
      </c>
      <c r="AE29" s="83">
        <v>11.5</v>
      </c>
      <c r="AF29" s="83">
        <v>13</v>
      </c>
      <c r="AG29" s="214">
        <v>13</v>
      </c>
      <c r="AH29" s="22">
        <f>IF(OR($B29="",AH$22=""),"",IF(LEN(VLOOKUP($B29,Database!$B$1:$IX$10144,AH$22,FALSE))=0,"",VLOOKUP($B29,Database!$B$1:$IX$10144,AH$22,FALSE)))</f>
        <v>1.5</v>
      </c>
      <c r="AI29" s="22">
        <f>IF(OR($B29="",AI$22=""),"",IF(LEN(VLOOKUP($B29,Database!$B$1:$IX$10144,AI$22,FALSE))=0,"",VLOOKUP($B29,Database!$B$1:$IX$10144,AI$22,FALSE)))</f>
        <v>1.2</v>
      </c>
      <c r="AJ29" s="22" t="str">
        <f>IF(OR($B29="",AJ$22=""),"",IF(LEN(VLOOKUP($B29,Database!$B$1:$IX$10144,AJ$22,FALSE))=0,"",VLOOKUP($B29,Database!$B$1:$IX$10144,AJ$22,FALSE)))</f>
        <v/>
      </c>
      <c r="AK29" s="83">
        <v>26.3</v>
      </c>
      <c r="AL29" s="83">
        <v>19.100000000000001</v>
      </c>
      <c r="AM29" s="22" t="str">
        <f>IF(OR($B29="",AM$22=""),"",IF(LEN(VLOOKUP($B29,Database!$B$1:$IX$10144,AM$22,FALSE))=0,"",VLOOKUP($B29,Database!$B$1:$IX$10144,AM$22,FALSE)))</f>
        <v>ns</v>
      </c>
      <c r="AN29" s="22">
        <f>IF(OR($B29="",AN$22=""),"",IF(LEN(VLOOKUP($B29,Database!$B$1:$IX$10144,AN$22,FALSE))=0,"",VLOOKUP($B29,Database!$B$1:$IX$10144,AN$22,FALSE)))</f>
        <v>0</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MacQueen GM, Campbell S, McEwen BS, Macdonald K, Amano S, Joffe RT, Nahmias C, Young LT.</v>
      </c>
      <c r="AR29" s="13"/>
      <c r="AU29" s="13"/>
      <c r="AX29" s="13"/>
      <c r="AY29" s="13"/>
      <c r="AZ29" s="13"/>
      <c r="BA29" s="13"/>
      <c r="BC29" s="23"/>
      <c r="BF29" s="136"/>
      <c r="BG29" s="136"/>
      <c r="BH29" s="136"/>
      <c r="BI29" s="136"/>
    </row>
    <row r="30" spans="1:65">
      <c r="A30" s="10"/>
      <c r="B30">
        <v>12552118</v>
      </c>
      <c r="C30" s="1" t="str">
        <f>IF($B30="","",HYPERLINK(IF(LEN(VLOOKUP($B30,Database!$B$1:$IX$10144,2,FALSE))=0,"",VLOOKUP($B30,Database!$B$1:$IX$10144,2,FALSE))))</f>
        <v/>
      </c>
      <c r="D30" s="1" t="str">
        <f t="shared" si="0"/>
        <v>http://www.ncbi.nlm.nih.gov/pubmed/12552118</v>
      </c>
      <c r="E30" s="22" t="str">
        <f>IF($B30="","",IF(LEN(VLOOKUP($B30,Database!$B$1:$IX$10144,4,FALSE))=0,"",VLOOKUP($B30,Database!$B$1:$IX$10144,4,FALSE)))</f>
        <v>MacQueen GM</v>
      </c>
      <c r="F30" s="22">
        <f>IF($B30="","",IF(LEN(VLOOKUP($B30,Database!$B$1:$IX$10144,5,FALSE))=0,"",VLOOKUP($B30,Database!$B$1:$IX$10144,5,FALSE)))</f>
        <v>2003</v>
      </c>
      <c r="G30" s="1" t="str">
        <f>IF($B30="","",HYPERLINK(IF(LEN(VLOOKUP($B30,Database!$B$1:$IX$10144,6,FALSE))=0,"",VLOOKUP($B30,Database!$B$1:$IX$10144,6,FALSE))))</f>
        <v>http://www.pnas.org/content/100/3/1387.full.pdf</v>
      </c>
      <c r="H30" s="83">
        <v>17</v>
      </c>
      <c r="I30" s="83">
        <v>17</v>
      </c>
      <c r="J30" t="s">
        <v>1379</v>
      </c>
      <c r="K30" t="s">
        <v>687</v>
      </c>
      <c r="L30">
        <v>2381</v>
      </c>
      <c r="M30">
        <v>273.5</v>
      </c>
      <c r="N30">
        <v>2703</v>
      </c>
      <c r="O30">
        <v>249</v>
      </c>
      <c r="P30">
        <v>2392</v>
      </c>
      <c r="Q30">
        <v>256.7</v>
      </c>
      <c r="R30">
        <v>2692</v>
      </c>
      <c r="S30">
        <v>190.1</v>
      </c>
      <c r="Y30" s="22" t="str">
        <f>IF(OR($B30="",Y$22=""),"",IF(LEN(VLOOKUP($B30,Database!$B$1:$IX$10144,Y$22,FALSE))=0,"",VLOOKUP($B30,Database!$B$1:$IX$10144,Y$22,FALSE)))</f>
        <v>DSM-IV</v>
      </c>
      <c r="Z30" s="22" t="str">
        <f>IF(OR($B30="",Z$22=""),"",IF(LEN(VLOOKUP($B30,Database!$B$1:$IX$10144,Z$22,FALSE))=0,"",VLOOKUP($B30,Database!$B$1:$IX$10144,Z$22,FALSE)))</f>
        <v>MRI</v>
      </c>
      <c r="AA30" s="83" t="s">
        <v>747</v>
      </c>
      <c r="AB30" s="83">
        <v>35.9</v>
      </c>
      <c r="AC30" s="83">
        <v>11.1</v>
      </c>
      <c r="AD30" s="83">
        <v>36.200000000000003</v>
      </c>
      <c r="AE30" s="83">
        <v>11.9</v>
      </c>
      <c r="AF30" s="83">
        <v>11</v>
      </c>
      <c r="AG30" s="214">
        <v>11</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83">
        <v>24.9</v>
      </c>
      <c r="AL30" s="83">
        <v>17.5</v>
      </c>
      <c r="AM30" s="22" t="str">
        <f>IF(OR($B30="",AM$22=""),"",IF(LEN(VLOOKUP($B30,Database!$B$1:$IX$10144,AM$22,FALSE))=0,"",VLOOKUP($B30,Database!$B$1:$IX$10144,AM$22,FALSE)))</f>
        <v>ns</v>
      </c>
      <c r="AN30" s="22">
        <f>IF(OR($B30="",AN$22=""),"",IF(LEN(VLOOKUP($B30,Database!$B$1:$IX$10144,AN$22,FALSE))=0,"",VLOOKUP($B30,Database!$B$1:$IX$10144,AN$22,FALSE)))</f>
        <v>0</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MacQueen GM, Campbell S, McEwen BS, Macdonald K, Amano S, Joffe RT, Nahmias C, Young LT.</v>
      </c>
      <c r="AR30" s="13"/>
      <c r="AU30" s="13"/>
      <c r="AX30" s="13"/>
      <c r="AY30" s="13"/>
      <c r="AZ30" s="13"/>
      <c r="BA30" s="13"/>
      <c r="BC30" s="23"/>
      <c r="BF30" s="136"/>
      <c r="BG30" s="136"/>
      <c r="BH30" s="136"/>
      <c r="BI30" s="136"/>
    </row>
    <row r="31" spans="1:65">
      <c r="B31">
        <v>12505805</v>
      </c>
      <c r="C31" s="1" t="str">
        <f>IF($B31="","",HYPERLINK(IF(LEN(VLOOKUP($B31,Database!$B$1:$IX$10144,2,FALSE))=0,"",VLOOKUP($B31,Database!$B$1:$IX$10144,2,FALSE))))</f>
        <v/>
      </c>
      <c r="D31" s="1" t="str">
        <f t="shared" si="0"/>
        <v>http://www.ncbi.nlm.nih.gov/pubmed/12505805</v>
      </c>
      <c r="E31" s="22" t="str">
        <f>IF($B31="","",IF(LEN(VLOOKUP($B31,Database!$B$1:$IX$10144,4,FALSE))=0,"",VLOOKUP($B31,Database!$B$1:$IX$10144,4,FALSE)))</f>
        <v>Posener JA</v>
      </c>
      <c r="F31" s="22">
        <f>IF($B31="","",IF(LEN(VLOOKUP($B31,Database!$B$1:$IX$10144,5,FALSE))=0,"",VLOOKUP($B31,Database!$B$1:$IX$10144,5,FALSE)))</f>
        <v>2003</v>
      </c>
      <c r="G31" s="1" t="str">
        <f>IF($B31="","",HYPERLINK(IF(LEN(VLOOKUP($B31,Database!$B$1:$IX$10144,6,FALSE))=0,"",VLOOKUP($B31,Database!$B$1:$IX$10144,6,FALSE))))</f>
        <v>http://ajp.psychiatryonline.org/cgi/reprint/160/1/83</v>
      </c>
      <c r="H31" s="22">
        <f>IF($B31="","",IF(LEN(VLOOKUP($B31,Database!$B$1:$IX$10144,7,FALSE))=0,"",VLOOKUP($B31,Database!$B$1:$IX$10144,7,FALSE)))</f>
        <v>27</v>
      </c>
      <c r="I31" s="22">
        <f>IF($B31="","",IF(LEN(VLOOKUP($B31,Database!$B$1:$IX$10144,8,FALSE))=0,"",VLOOKUP($B31,Database!$B$1:$IX$10144,8,FALSE)))</f>
        <v>42</v>
      </c>
      <c r="J31" t="s">
        <v>887</v>
      </c>
      <c r="L31">
        <v>2546</v>
      </c>
      <c r="M31">
        <v>392.7</v>
      </c>
      <c r="N31">
        <v>2475</v>
      </c>
      <c r="O31">
        <v>359.4</v>
      </c>
      <c r="P31">
        <v>2948.4</v>
      </c>
      <c r="Q31">
        <v>446.7</v>
      </c>
      <c r="R31">
        <v>2993.9</v>
      </c>
      <c r="S31">
        <v>414.2</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33</v>
      </c>
      <c r="AC31" s="22">
        <f>IF(OR($B31="",AC$22=""),"",IF(LEN(VLOOKUP($B31,Database!$B$1:$IX$10144,AC$22,FALSE))=0,"",VLOOKUP($B31,Database!$B$1:$IX$10144,AC$22,FALSE)))</f>
        <v>10.7</v>
      </c>
      <c r="AD31" s="22">
        <f>IF(OR($B31="",AD$22=""),"",IF(LEN(VLOOKUP($B31,Database!$B$1:$IX$10144,AD$22,FALSE))=0,"",VLOOKUP($B31,Database!$B$1:$IX$10144,AD$22,FALSE)))</f>
        <v>33.200000000000003</v>
      </c>
      <c r="AE31" s="22">
        <f>IF(OR($B31="",AE$22=""),"",IF(LEN(VLOOKUP($B31,Database!$B$1:$IX$10144,AE$22,FALSE))=0,"",VLOOKUP($B31,Database!$B$1:$IX$10144,AE$22,FALSE)))</f>
        <v>10.8</v>
      </c>
      <c r="AF31" s="22">
        <f>IF(OR($B31="",AF$22=""),"",IF(LEN(VLOOKUP($B31,Database!$B$1:$IX$10144,AF$22,FALSE))=0,"",VLOOKUP($B31,Database!$B$1:$IX$10144,AF$22,FALSE)))</f>
        <v>15</v>
      </c>
      <c r="AG31" s="22">
        <f>IF(OR($B31="",AG$22=""),"",IF(LEN(VLOOKUP($B31,Database!$B$1:$IX$10144,AG$22,FALSE))=0,"",VLOOKUP($B31,Database!$B$1:$IX$10144,AG$22,FALSE)))</f>
        <v>23</v>
      </c>
      <c r="AH31" s="22">
        <f>IF(OR($B31="",AH$22=""),"",IF(LEN(VLOOKUP($B31,Database!$B$1:$IX$10144,AH$22,FALSE))=0,"",VLOOKUP($B31,Database!$B$1:$IX$10144,AH$22,FALSE)))</f>
        <v>1.5</v>
      </c>
      <c r="AI31" s="22">
        <f>IF(OR($B31="",AI$22=""),"",IF(LEN(VLOOKUP($B31,Database!$B$1:$IX$10144,AI$22,FALSE))=0,"",VLOOKUP($B31,Database!$B$1:$IX$10144,AI$22,FALSE)))</f>
        <v>1</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27.3</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Posener JA, Wang L, Price JL, Gado MH, Province MA, Miller MI, Babb CM, Csernansky JG.</v>
      </c>
      <c r="AR31" s="13"/>
      <c r="AX31" s="13"/>
      <c r="AY31" s="13"/>
      <c r="AZ31" s="13"/>
      <c r="BA31" s="13"/>
      <c r="BC31" s="23"/>
      <c r="BF31" s="136"/>
      <c r="BG31" s="136"/>
      <c r="BH31" s="136"/>
      <c r="BI31" s="136"/>
    </row>
    <row r="32" spans="1:65">
      <c r="A32" s="10"/>
      <c r="B32">
        <v>12900317</v>
      </c>
      <c r="C32" s="1" t="str">
        <f>IF($B32="","",HYPERLINK(IF(LEN(VLOOKUP($B32,Database!$B$1:$IX$10144,2,FALSE))=0,"",VLOOKUP($B32,Database!$B$1:$IX$10144,2,FALSE))))</f>
        <v/>
      </c>
      <c r="D32" s="1" t="str">
        <f t="shared" si="0"/>
        <v>http://www.ncbi.nlm.nih.gov/pubmed/12900317</v>
      </c>
      <c r="E32" s="22" t="str">
        <f>IF($B32="","",IF(LEN(VLOOKUP($B32,Database!$B$1:$IX$10144,4,FALSE))=0,"",VLOOKUP($B32,Database!$B$1:$IX$10144,4,FALSE)))</f>
        <v>Sheline YI</v>
      </c>
      <c r="F32" s="22">
        <f>IF($B32="","",IF(LEN(VLOOKUP($B32,Database!$B$1:$IX$10144,5,FALSE))=0,"",VLOOKUP($B32,Database!$B$1:$IX$10144,5,FALSE)))</f>
        <v>2003</v>
      </c>
      <c r="G32" s="1" t="str">
        <f>IF($B32="","",HYPERLINK(IF(LEN(VLOOKUP($B32,Database!$B$1:$IX$10144,6,FALSE))=0,"",VLOOKUP($B32,Database!$B$1:$IX$10144,6,FALSE))))</f>
        <v>http://ajp.psychiatryonline.org/cgi/reprint/160/8/1516</v>
      </c>
      <c r="H32" s="22">
        <f>IF($B32="","",IF(LEN(VLOOKUP($B32,Database!$B$1:$IX$10144,7,FALSE))=0,"",VLOOKUP($B32,Database!$B$1:$IX$10144,7,FALSE)))</f>
        <v>38</v>
      </c>
      <c r="I32" s="22">
        <f>IF($B32="","",IF(LEN(VLOOKUP($B32,Database!$B$1:$IX$10144,8,FALSE))=0,"",VLOOKUP($B32,Database!$B$1:$IX$10144,8,FALSE)))</f>
        <v>38</v>
      </c>
      <c r="J32" t="s">
        <v>939</v>
      </c>
      <c r="L32">
        <v>2171</v>
      </c>
      <c r="M32">
        <v>316</v>
      </c>
      <c r="N32">
        <v>2421</v>
      </c>
      <c r="O32">
        <v>318</v>
      </c>
      <c r="P32">
        <v>2203</v>
      </c>
      <c r="Q32">
        <v>315</v>
      </c>
      <c r="R32">
        <v>2429</v>
      </c>
      <c r="S32">
        <v>326</v>
      </c>
      <c r="T32">
        <v>4374</v>
      </c>
      <c r="U32">
        <v>601</v>
      </c>
      <c r="V32">
        <v>4850</v>
      </c>
      <c r="W32">
        <v>631</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50.8</v>
      </c>
      <c r="AC32" s="22">
        <f>IF(OR($B32="",AC$22=""),"",IF(LEN(VLOOKUP($B32,Database!$B$1:$IX$10144,AC$22,FALSE))=0,"",VLOOKUP($B32,Database!$B$1:$IX$10144,AC$22,FALSE)))</f>
        <v>17.100000000000001</v>
      </c>
      <c r="AD32" s="22" t="str">
        <f>IF(OR($B32="",AD$22=""),"",IF(LEN(VLOOKUP($B32,Database!$B$1:$IX$10144,AD$22,FALSE))=0,"",VLOOKUP($B32,Database!$B$1:$IX$10144,AD$22,FALSE)))</f>
        <v>ns</v>
      </c>
      <c r="AE32" s="22" t="str">
        <f>IF(OR($B32="",AE$22=""),"",IF(LEN(VLOOKUP($B32,Database!$B$1:$IX$10144,AE$22,FALSE))=0,"",VLOOKUP($B32,Database!$B$1:$IX$10144,AE$22,FALSE)))</f>
        <v>ns</v>
      </c>
      <c r="AF32" s="22">
        <f>IF(OR($B32="",AF$22=""),"",IF(LEN(VLOOKUP($B32,Database!$B$1:$IX$10144,AF$22,FALSE))=0,"",VLOOKUP($B32,Database!$B$1:$IX$10144,AF$22,FALSE)))</f>
        <v>38</v>
      </c>
      <c r="AG32" s="22" t="str">
        <f>IF(OR($B32="",AG$22=""),"",IF(LEN(VLOOKUP($B32,Database!$B$1:$IX$10144,AG$22,FALSE))=0,"",VLOOKUP($B32,Database!$B$1:$IX$10144,AG$22,FALSE)))</f>
        <v>ns</v>
      </c>
      <c r="AH32" s="22">
        <f>IF(OR($B32="",AH$22=""),"",IF(LEN(VLOOKUP($B32,Database!$B$1:$IX$10144,AH$22,FALSE))=0,"",VLOOKUP($B32,Database!$B$1:$IX$10144,AH$22,FALSE)))</f>
        <v>1.5</v>
      </c>
      <c r="AI32" s="22" t="str">
        <f>IF(OR($B32="",AI$22=""),"",IF(LEN(VLOOKUP($B32,Database!$B$1:$IX$10144,AI$22,FALSE))=0,"",VLOOKUP($B32,Database!$B$1:$IX$10144,AI$22,FALSE)))</f>
        <v>ns</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6.7</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Sheline YI, Gado MH, Kraemer HC.</v>
      </c>
      <c r="AR32" s="13"/>
      <c r="AX32" s="13"/>
      <c r="AY32" s="13"/>
      <c r="AZ32" s="13"/>
      <c r="BA32" s="13"/>
      <c r="BC32" s="23"/>
      <c r="BF32" s="136"/>
      <c r="BG32" s="136"/>
      <c r="BH32" s="136"/>
      <c r="BI32" s="136"/>
    </row>
    <row r="33" spans="1:61">
      <c r="A33" t="s">
        <v>2337</v>
      </c>
      <c r="B33">
        <v>15598548</v>
      </c>
      <c r="C33" s="1" t="str">
        <f>IF($B33="","",HYPERLINK(IF(LEN(VLOOKUP($B33,Database!$B$1:$IX$10144,2,FALSE))=0,"",VLOOKUP($B33,Database!$B$1:$IX$10144,2,FALSE))))</f>
        <v/>
      </c>
      <c r="D33" s="1" t="str">
        <f t="shared" si="0"/>
        <v>http://www.ncbi.nlm.nih.gov/pubmed/15598548</v>
      </c>
      <c r="E33" s="22" t="str">
        <f>IF($B33="","",IF(LEN(VLOOKUP($B33,Database!$B$1:$IX$10144,4,FALSE))=0,"",VLOOKUP($B33,Database!$B$1:$IX$10144,4,FALSE)))</f>
        <v>Caetano SC</v>
      </c>
      <c r="F33" s="22">
        <f>IF($B33="","",IF(LEN(VLOOKUP($B33,Database!$B$1:$IX$10144,5,FALSE))=0,"",VLOOKUP($B33,Database!$B$1:$IX$10144,5,FALSE)))</f>
        <v>2004</v>
      </c>
      <c r="G33" s="1" t="str">
        <f>IF($B33="","",HYPERLINK(IF(LEN(VLOOKUP($B33,Database!$B$1:$IX$10144,6,FALSE))=0,"",VLOOKUP($B33,Database!$B$1:$IX$10144,6,FALSE))))</f>
        <v>http://dx.doi.org/10.1016/j.pscychresns.2004.08.002</v>
      </c>
      <c r="H33" s="22">
        <f>IF($B33="","",IF(LEN(VLOOKUP($B33,Database!$B$1:$IX$10144,7,FALSE))=0,"",VLOOKUP($B33,Database!$B$1:$IX$10144,7,FALSE)))</f>
        <v>31</v>
      </c>
      <c r="I33" s="22">
        <f>IF($B33="","",IF(LEN(VLOOKUP($B33,Database!$B$1:$IX$10144,8,FALSE))=0,"",VLOOKUP($B33,Database!$B$1:$IX$10144,8,FALSE)))</f>
        <v>31</v>
      </c>
      <c r="J33" t="s">
        <v>1380</v>
      </c>
      <c r="L33">
        <v>3.32</v>
      </c>
      <c r="M33">
        <v>0.48</v>
      </c>
      <c r="N33">
        <v>3.37</v>
      </c>
      <c r="O33">
        <v>0.42</v>
      </c>
      <c r="P33">
        <v>3.22</v>
      </c>
      <c r="Q33">
        <v>0.39</v>
      </c>
      <c r="R33">
        <v>3.32</v>
      </c>
      <c r="S33">
        <v>0.43</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39.200000000000003</v>
      </c>
      <c r="AC33" s="22">
        <f>IF(OR($B33="",AC$22=""),"",IF(LEN(VLOOKUP($B33,Database!$B$1:$IX$10144,AC$22,FALSE))=0,"",VLOOKUP($B33,Database!$B$1:$IX$10144,AC$22,FALSE)))</f>
        <v>11.9</v>
      </c>
      <c r="AD33" s="22">
        <f>IF(OR($B33="",AD$22=""),"",IF(LEN(VLOOKUP($B33,Database!$B$1:$IX$10144,AD$22,FALSE))=0,"",VLOOKUP($B33,Database!$B$1:$IX$10144,AD$22,FALSE)))</f>
        <v>36.700000000000003</v>
      </c>
      <c r="AE33" s="22">
        <f>IF(OR($B33="",AE$22=""),"",IF(LEN(VLOOKUP($B33,Database!$B$1:$IX$10144,AE$22,FALSE))=0,"",VLOOKUP($B33,Database!$B$1:$IX$10144,AE$22,FALSE)))</f>
        <v>10.7</v>
      </c>
      <c r="AF33" s="22">
        <f>IF(OR($B33="",AF$22=""),"",IF(LEN(VLOOKUP($B33,Database!$B$1:$IX$10144,AF$22,FALSE))=0,"",VLOOKUP($B33,Database!$B$1:$IX$10144,AF$22,FALSE)))</f>
        <v>24</v>
      </c>
      <c r="AG33" s="22">
        <f>IF(OR($B33="",AG$22=""),"",IF(LEN(VLOOKUP($B33,Database!$B$1:$IX$10144,AG$22,FALSE))=0,"",VLOOKUP($B33,Database!$B$1:$IX$10144,AG$22,FALSE)))</f>
        <v>24</v>
      </c>
      <c r="AH33" s="22">
        <f>IF(OR($B33="",AH$22=""),"",IF(LEN(VLOOKUP($B33,Database!$B$1:$IX$10144,AH$22,FALSE))=0,"",VLOOKUP($B33,Database!$B$1:$IX$10144,AH$22,FALSE)))</f>
        <v>1.5</v>
      </c>
      <c r="AI33" s="22">
        <f>IF(OR($B33="",AI$22=""),"",IF(LEN(VLOOKUP($B33,Database!$B$1:$IX$10144,AI$22,FALSE))=0,"",VLOOKUP($B33,Database!$B$1:$IX$10144,AI$22,FALSE)))</f>
        <v>1.5</v>
      </c>
      <c r="AJ33" s="22" t="str">
        <f>IF(OR($B33="",AJ$22=""),"",IF(LEN(VLOOKUP($B33,Database!$B$1:$IX$10144,AJ$22,FALSE))=0,"",VLOOKUP($B33,Database!$B$1:$IX$10144,AJ$22,FALSE)))</f>
        <v/>
      </c>
      <c r="AK33" s="214">
        <v>27.9</v>
      </c>
      <c r="AL33" s="214">
        <v>11.8</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Caetano SC, Hatch JP, Brambilla P, Sassi RB, Nicoletti M, Mallinger AG, Frank E, Kupfer DJ, Keshavan MS, Soares JC.</v>
      </c>
      <c r="AR33" s="13"/>
      <c r="AX33" s="13"/>
      <c r="AY33" s="13"/>
      <c r="AZ33" s="13"/>
      <c r="BA33" s="13"/>
      <c r="BC33" s="23"/>
      <c r="BF33" s="136"/>
      <c r="BG33" s="136"/>
      <c r="BH33" s="136"/>
      <c r="BI33" s="136"/>
    </row>
    <row r="34" spans="1:61">
      <c r="A34" s="10"/>
      <c r="B34">
        <v>15576058</v>
      </c>
      <c r="C34" s="1" t="str">
        <f>IF($B34="","",HYPERLINK(IF(LEN(VLOOKUP($B34,Database!$B$1:$IX$10144,2,FALSE))=0,"",VLOOKUP($B34,Database!$B$1:$IX$10144,2,FALSE))))</f>
        <v/>
      </c>
      <c r="D34" s="1" t="str">
        <f t="shared" si="0"/>
        <v>http://www.ncbi.nlm.nih.gov/pubmed/15576058</v>
      </c>
      <c r="E34" s="22" t="str">
        <f>IF($B34="","",IF(LEN(VLOOKUP($B34,Database!$B$1:$IX$10144,4,FALSE))=0,"",VLOOKUP($B34,Database!$B$1:$IX$10144,4,FALSE)))</f>
        <v>Janssen J</v>
      </c>
      <c r="F34" s="22">
        <f>IF($B34="","",IF(LEN(VLOOKUP($B34,Database!$B$1:$IX$10144,5,FALSE))=0,"",VLOOKUP($B34,Database!$B$1:$IX$10144,5,FALSE)))</f>
        <v>2004</v>
      </c>
      <c r="G34" s="1" t="str">
        <f>IF($B34="","",HYPERLINK(IF(LEN(VLOOKUP($B34,Database!$B$1:$IX$10144,6,FALSE))=0,"",VLOOKUP($B34,Database!$B$1:$IX$10144,6,FALSE))))</f>
        <v>http://dx.doi.org/10.1016/j.biopsych.2004.09.011</v>
      </c>
      <c r="H34" s="22">
        <f>IF($B34="","",IF(LEN(VLOOKUP($B34,Database!$B$1:$IX$10144,7,FALSE))=0,"",VLOOKUP($B34,Database!$B$1:$IX$10144,7,FALSE)))</f>
        <v>28</v>
      </c>
      <c r="I34" s="22">
        <f>IF($B34="","",IF(LEN(VLOOKUP($B34,Database!$B$1:$IX$10144,8,FALSE))=0,"",VLOOKUP($B34,Database!$B$1:$IX$10144,8,FALSE)))</f>
        <v>41</v>
      </c>
      <c r="J34" t="s">
        <v>877</v>
      </c>
      <c r="L34">
        <v>3.1</v>
      </c>
      <c r="M34">
        <v>0.37</v>
      </c>
      <c r="N34">
        <v>3.2</v>
      </c>
      <c r="O34">
        <v>0.52</v>
      </c>
      <c r="P34">
        <v>2.84</v>
      </c>
      <c r="Q34">
        <v>0.39</v>
      </c>
      <c r="R34">
        <v>3.12</v>
      </c>
      <c r="S34">
        <v>0.45</v>
      </c>
      <c r="T34">
        <v>5.94</v>
      </c>
      <c r="U34">
        <v>0.7</v>
      </c>
      <c r="V34">
        <v>6.32</v>
      </c>
      <c r="W34">
        <v>0.93</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64.040000000000006</v>
      </c>
      <c r="AC34" s="22">
        <f>IF(OR($B34="",AC$22=""),"",IF(LEN(VLOOKUP($B34,Database!$B$1:$IX$10144,AC$22,FALSE))=0,"",VLOOKUP($B34,Database!$B$1:$IX$10144,AC$22,FALSE)))</f>
        <v>10.9</v>
      </c>
      <c r="AD34" s="22">
        <f>IF(OR($B34="",AD$22=""),"",IF(LEN(VLOOKUP($B34,Database!$B$1:$IX$10144,AD$22,FALSE))=0,"",VLOOKUP($B34,Database!$B$1:$IX$10144,AD$22,FALSE)))</f>
        <v>62.37</v>
      </c>
      <c r="AE34" s="22">
        <f>IF(OR($B34="",AE$22=""),"",IF(LEN(VLOOKUP($B34,Database!$B$1:$IX$10144,AE$22,FALSE))=0,"",VLOOKUP($B34,Database!$B$1:$IX$10144,AE$22,FALSE)))</f>
        <v>11.38</v>
      </c>
      <c r="AF34" s="22">
        <f>IF(OR($B34="",AF$22=""),"",IF(LEN(VLOOKUP($B34,Database!$B$1:$IX$10144,AF$22,FALSE))=0,"",VLOOKUP($B34,Database!$B$1:$IX$10144,AF$22,FALSE)))</f>
        <v>28</v>
      </c>
      <c r="AG34" s="22">
        <f>IF(OR($B34="",AG$22=""),"",IF(LEN(VLOOKUP($B34,Database!$B$1:$IX$10144,AG$22,FALSE))=0,"",VLOOKUP($B34,Database!$B$1:$IX$10144,AG$22,FALSE)))</f>
        <v>41</v>
      </c>
      <c r="AH34" s="22">
        <f>IF(OR($B34="",AH$22=""),"",IF(LEN(VLOOKUP($B34,Database!$B$1:$IX$10144,AH$22,FALSE))=0,"",VLOOKUP($B34,Database!$B$1:$IX$10144,AH$22,FALSE)))</f>
        <v>1.5</v>
      </c>
      <c r="AI34" s="22">
        <f>IF(OR($B34="",AI$22=""),"",IF(LEN(VLOOKUP($B34,Database!$B$1:$IX$10144,AI$22,FALSE))=0,"",VLOOKUP($B34,Database!$B$1:$IX$10144,AI$22,FALSE)))</f>
        <v>1.2</v>
      </c>
      <c r="AJ34" s="22" t="str">
        <f>IF(OR($B34="",AJ$22=""),"",IF(LEN(VLOOKUP($B34,Database!$B$1:$IX$10144,AJ$22,FALSE))=0,"",VLOOKUP($B34,Database!$B$1:$IX$10144,AJ$22,FALSE)))</f>
        <v/>
      </c>
      <c r="AK34" s="22">
        <f>IF(OR($B34="",AK$22=""),"",IF(LEN(VLOOKUP($B34,Database!$B$1:$IX$10144,AK$22,FALSE))=0,"",VLOOKUP($B34,Database!$B$1:$IX$10144,AK$22,FALSE)))</f>
        <v>33.04</v>
      </c>
      <c r="AL34" s="22" t="str">
        <f>IF(OR($B34="",AL$22=""),"",IF(LEN(VLOOKUP($B34,Database!$B$1:$IX$10144,AL$22,FALSE))=0,"",VLOOKUP($B34,Database!$B$1:$IX$10144,AL$22,FALSE)))</f>
        <v>ns</v>
      </c>
      <c r="AM34" s="22">
        <f>IF(OR($B34="",AM$22=""),"",IF(LEN(VLOOKUP($B34,Database!$B$1:$IX$10144,AM$22,FALSE))=0,"",VLOOKUP($B34,Database!$B$1:$IX$10144,AM$22,FALSE)))</f>
        <v>60.714285714285708</v>
      </c>
      <c r="AN34" s="22">
        <f>IF(OR($B34="",AN$22=""),"",IF(LEN(VLOOKUP($B34,Database!$B$1:$IX$10144,AN$22,FALSE))=0,"",VLOOKUP($B34,Database!$B$1:$IX$10144,AN$22,FALSE)))</f>
        <v>25</v>
      </c>
      <c r="AO34" s="22">
        <f>IF(OR($B34="",AO$22=""),"",IF(LEN(VLOOKUP($B34,Database!$B$1:$IX$10144,AO$22,FALSE))=0,"",VLOOKUP($B34,Database!$B$1:$IX$10144,AO$22,FALSE)))</f>
        <v>14.285714285714285</v>
      </c>
      <c r="AP34" s="22">
        <f>IF(OR($B34="",AP$22=""),"",IF(LEN(VLOOKUP($B34,Database!$B$1:$IX$10144,AP$22,FALSE))=0,"",VLOOKUP($B34,Database!$B$1:$IX$10144,AP$22,FALSE)))</f>
        <v>21.428571428571427</v>
      </c>
      <c r="AQ34" s="22" t="str">
        <f>IF(OR($B34="",AQ$22=""),"",IF(LEN(VLOOKUP($B34,Database!$B$1:$IX$10144,AQ$22,FALSE))=0,"",VLOOKUP($B34,Database!$B$1:$IX$10144,AQ$22,FALSE)))</f>
        <v>Janssen J, Hulshoff Pol HE, Lampe IK, Schnack HG, de Leeuw FE, Kahn RS, Heeren TJ.</v>
      </c>
      <c r="AR34" s="13"/>
      <c r="AX34" s="13"/>
      <c r="AY34" s="13"/>
      <c r="AZ34" s="13"/>
      <c r="BA34" s="13"/>
      <c r="BC34" s="23"/>
      <c r="BF34" s="136"/>
      <c r="BG34" s="136"/>
      <c r="BH34" s="136"/>
      <c r="BI34" s="136"/>
    </row>
    <row r="35" spans="1:61">
      <c r="A35" s="10"/>
      <c r="B35" s="13">
        <v>15554576</v>
      </c>
      <c r="C35" s="1" t="str">
        <f>IF($B35="","",HYPERLINK(IF(LEN(VLOOKUP($B35,Database!$B$1:$IX$10144,2,FALSE))=0,"",VLOOKUP($B35,Database!$B$1:$IX$10144,2,FALSE))))</f>
        <v/>
      </c>
      <c r="D35" s="1" t="str">
        <f>IF($B35="","",HYPERLINK(CONCATENATE("http://www.ncbi.nlm.nih.gov/pubmed/",B35)))</f>
        <v>http://www.ncbi.nlm.nih.gov/pubmed/15554576</v>
      </c>
      <c r="E35" s="22" t="str">
        <f>IF($B35="","",IF(LEN(VLOOKUP($B35,Database!$B$1:$IX$10144,4,FALSE))=0,"",VLOOKUP($B35,Database!$B$1:$IX$10144,4,FALSE)))</f>
        <v>Lange C</v>
      </c>
      <c r="F35" s="22">
        <f>IF($B35="","",IF(LEN(VLOOKUP($B35,Database!$B$1:$IX$10144,5,FALSE))=0,"",VLOOKUP($B35,Database!$B$1:$IX$10144,5,FALSE)))</f>
        <v>2004</v>
      </c>
      <c r="G35" s="1" t="str">
        <f>IF($B35="","",HYPERLINK(IF(LEN(VLOOKUP($B35,Database!$B$1:$IX$10144,6,FALSE))=0,"",VLOOKUP($B35,Database!$B$1:$IX$10144,6,FALSE))))</f>
        <v>http://dx.doi.org/10.1017/S0033291703001806</v>
      </c>
      <c r="H35" s="22">
        <f>IF($B35="","",IF(LEN(VLOOKUP($B35,Database!$B$1:$IX$10144,7,FALSE))=0,"",VLOOKUP($B35,Database!$B$1:$IX$10144,7,FALSE)))</f>
        <v>17</v>
      </c>
      <c r="I35" s="22">
        <f>IF($B35="","",IF(LEN(VLOOKUP($B35,Database!$B$1:$IX$10144,8,FALSE))=0,"",VLOOKUP($B35,Database!$B$1:$IX$10144,8,FALSE)))</f>
        <v>17</v>
      </c>
      <c r="J35" s="13" t="s">
        <v>1614</v>
      </c>
      <c r="K35" s="13"/>
      <c r="L35" s="13">
        <v>2.79</v>
      </c>
      <c r="M35" s="13">
        <v>0.41</v>
      </c>
      <c r="N35" s="13">
        <v>2.99</v>
      </c>
      <c r="O35" s="13">
        <v>0.46</v>
      </c>
      <c r="P35" s="13">
        <v>2.67</v>
      </c>
      <c r="Q35" s="13">
        <v>0.5</v>
      </c>
      <c r="R35" s="13">
        <v>3.19</v>
      </c>
      <c r="S35" s="13">
        <v>0.37</v>
      </c>
      <c r="T35" s="13">
        <v>5.46</v>
      </c>
      <c r="U35" s="13">
        <v>0.83</v>
      </c>
      <c r="V35" s="13">
        <v>6.19</v>
      </c>
      <c r="W35" s="13">
        <v>0.71</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34</v>
      </c>
      <c r="AC35" s="22">
        <f>IF(OR($B35="",AC$22=""),"",IF(LEN(VLOOKUP($B35,Database!$B$1:$IX$10144,AC$22,FALSE))=0,"",VLOOKUP($B35,Database!$B$1:$IX$10144,AC$22,FALSE)))</f>
        <v>10</v>
      </c>
      <c r="AD35" s="22">
        <f>IF(OR($B35="",AD$22=""),"",IF(LEN(VLOOKUP($B35,Database!$B$1:$IX$10144,AD$22,FALSE))=0,"",VLOOKUP($B35,Database!$B$1:$IX$10144,AD$22,FALSE)))</f>
        <v>32</v>
      </c>
      <c r="AE35" s="22">
        <f>IF(OR($B35="",AE$22=""),"",IF(LEN(VLOOKUP($B35,Database!$B$1:$IX$10144,AE$22,FALSE))=0,"",VLOOKUP($B35,Database!$B$1:$IX$10144,AE$22,FALSE)))</f>
        <v>6</v>
      </c>
      <c r="AF35" s="22">
        <f>IF(OR($B35="",AF$22=""),"",IF(LEN(VLOOKUP($B35,Database!$B$1:$IX$10144,AF$22,FALSE))=0,"",VLOOKUP($B35,Database!$B$1:$IX$10144,AF$22,FALSE)))</f>
        <v>17</v>
      </c>
      <c r="AG35" s="22">
        <f>IF(OR($B35="",AG$22=""),"",IF(LEN(VLOOKUP($B35,Database!$B$1:$IX$10144,AG$22,FALSE))=0,"",VLOOKUP($B35,Database!$B$1:$IX$10144,AG$22,FALSE)))</f>
        <v>17</v>
      </c>
      <c r="AH35" s="22">
        <f>IF(OR($B35="",AH$22=""),"",IF(LEN(VLOOKUP($B35,Database!$B$1:$IX$10144,AH$22,FALSE))=0,"",VLOOKUP($B35,Database!$B$1:$IX$10144,AH$22,FALSE)))</f>
        <v>1.5</v>
      </c>
      <c r="AI35" s="22">
        <f>IF(OR($B35="",AI$22=""),"",IF(LEN(VLOOKUP($B35,Database!$B$1:$IX$10144,AI$22,FALSE))=0,"",VLOOKUP($B35,Database!$B$1:$IX$10144,AI$22,FALSE)))</f>
        <v>1.3</v>
      </c>
      <c r="AJ35" s="22" t="str">
        <f>IF(OR($B35="",AJ$22=""),"",IF(LEN(VLOOKUP($B35,Database!$B$1:$IX$10144,AJ$22,FALSE))=0,"",VLOOKUP($B35,Database!$B$1:$IX$10144,AJ$22,FALSE)))</f>
        <v/>
      </c>
      <c r="AK35" s="22">
        <f>IF(OR($B35="",AK$22=""),"",IF(LEN(VLOOKUP($B35,Database!$B$1:$IX$10144,AK$22,FALSE))=0,"",VLOOKUP($B35,Database!$B$1:$IX$10144,AK$22,FALSE)))</f>
        <v>29</v>
      </c>
      <c r="AL35" s="22">
        <f>IF(OR($B35="",AL$22=""),"",IF(LEN(VLOOKUP($B35,Database!$B$1:$IX$10144,AL$22,FALSE))=0,"",VLOOKUP($B35,Database!$B$1:$IX$10144,AL$22,FALSE)))</f>
        <v>22</v>
      </c>
      <c r="AM35" s="22">
        <f>IF(OR($B35="",AM$22=""),"",IF(LEN(VLOOKUP($B35,Database!$B$1:$IX$10144,AM$22,FALSE))=0,"",VLOOKUP($B35,Database!$B$1:$IX$10144,AM$22,FALSE)))</f>
        <v>100</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0</v>
      </c>
      <c r="AQ35" s="22" t="str">
        <f>IF(OR($B35="",AQ$22=""),"",IF(LEN(VLOOKUP($B35,Database!$B$1:$IX$10144,AQ$22,FALSE))=0,"",VLOOKUP($B35,Database!$B$1:$IX$10144,AQ$22,FALSE)))</f>
        <v>Lange, Irle</v>
      </c>
      <c r="AR35" s="13"/>
      <c r="AX35" s="13"/>
      <c r="AY35" s="13"/>
      <c r="AZ35" s="13"/>
      <c r="BA35" s="13"/>
      <c r="BC35" s="23"/>
      <c r="BF35" s="136"/>
      <c r="BG35" s="136"/>
      <c r="BH35" s="136"/>
      <c r="BI35" s="136"/>
    </row>
    <row r="36" spans="1:61">
      <c r="A36" s="10"/>
      <c r="B36">
        <v>15172942</v>
      </c>
      <c r="C36" s="1" t="str">
        <f>IF($B36="","",HYPERLINK(IF(LEN(VLOOKUP($B36,Database!$B$1:$IX$10144,2,FALSE))=0,"",VLOOKUP($B36,Database!$B$1:$IX$10144,2,FALSE))))</f>
        <v/>
      </c>
      <c r="D36" s="1" t="str">
        <f t="shared" si="0"/>
        <v>http://www.ncbi.nlm.nih.gov/pubmed/15172942</v>
      </c>
      <c r="E36" s="22" t="str">
        <f>IF($B36="","",IF(LEN(VLOOKUP($B36,Database!$B$1:$IX$10144,4,FALSE))=0,"",VLOOKUP($B36,Database!$B$1:$IX$10144,4,FALSE)))</f>
        <v>Lloyd AJ</v>
      </c>
      <c r="F36" s="22">
        <f>IF($B36="","",IF(LEN(VLOOKUP($B36,Database!$B$1:$IX$10144,5,FALSE))=0,"",VLOOKUP($B36,Database!$B$1:$IX$10144,5,FALSE)))</f>
        <v>2004</v>
      </c>
      <c r="G36" s="1" t="str">
        <f>IF($B36="","",HYPERLINK(IF(LEN(VLOOKUP($B36,Database!$B$1:$IX$10144,6,FALSE))=0,"",VLOOKUP($B36,Database!$B$1:$IX$10144,6,FALSE))))</f>
        <v>http://bjp.rcpsych.org/cgi/reprint/184/6/488</v>
      </c>
      <c r="H36" s="22">
        <f>IF($B36="","",IF(LEN(VLOOKUP($B36,Database!$B$1:$IX$10144,7,FALSE))=0,"",VLOOKUP($B36,Database!$B$1:$IX$10144,7,FALSE)))</f>
        <v>51</v>
      </c>
      <c r="I36" s="22">
        <f>IF($B36="","",IF(LEN(VLOOKUP($B36,Database!$B$1:$IX$10144,8,FALSE))=0,"",VLOOKUP($B36,Database!$B$1:$IX$10144,8,FALSE)))</f>
        <v>39</v>
      </c>
      <c r="J36" t="s">
        <v>1612</v>
      </c>
      <c r="L36">
        <v>2.7</v>
      </c>
      <c r="M36">
        <v>0.4</v>
      </c>
      <c r="N36">
        <v>2.8</v>
      </c>
      <c r="O36">
        <v>0.4</v>
      </c>
      <c r="P36">
        <v>2.8</v>
      </c>
      <c r="Q36">
        <v>0.5</v>
      </c>
      <c r="R36">
        <v>3</v>
      </c>
      <c r="S36">
        <v>0.4</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74</v>
      </c>
      <c r="AC36" s="22">
        <f>IF(OR($B36="",AC$22=""),"",IF(LEN(VLOOKUP($B36,Database!$B$1:$IX$10144,AC$22,FALSE))=0,"",VLOOKUP($B36,Database!$B$1:$IX$10144,AC$22,FALSE)))</f>
        <v>6.3</v>
      </c>
      <c r="AD36" s="22">
        <f>IF(OR($B36="",AD$22=""),"",IF(LEN(VLOOKUP($B36,Database!$B$1:$IX$10144,AD$22,FALSE))=0,"",VLOOKUP($B36,Database!$B$1:$IX$10144,AD$22,FALSE)))</f>
        <v>73.099999999999994</v>
      </c>
      <c r="AE36" s="22">
        <f>IF(OR($B36="",AE$22=""),"",IF(LEN(VLOOKUP($B36,Database!$B$1:$IX$10144,AE$22,FALSE))=0,"",VLOOKUP($B36,Database!$B$1:$IX$10144,AE$22,FALSE)))</f>
        <v>6.7</v>
      </c>
      <c r="AF36" s="22">
        <f>IF(OR($B36="",AF$22=""),"",IF(LEN(VLOOKUP($B36,Database!$B$1:$IX$10144,AF$22,FALSE))=0,"",VLOOKUP($B36,Database!$B$1:$IX$10144,AF$22,FALSE)))</f>
        <v>41</v>
      </c>
      <c r="AG36" s="22">
        <f>IF(OR($B36="",AG$22=""),"",IF(LEN(VLOOKUP($B36,Database!$B$1:$IX$10144,AG$22,FALSE))=0,"",VLOOKUP($B36,Database!$B$1:$IX$10144,AG$22,FALSE)))</f>
        <v>29</v>
      </c>
      <c r="AH36" s="22">
        <f>IF(OR($B36="",AH$22=""),"",IF(LEN(VLOOKUP($B36,Database!$B$1:$IX$10144,AH$22,FALSE))=0,"",VLOOKUP($B36,Database!$B$1:$IX$10144,AH$22,FALSE)))</f>
        <v>1</v>
      </c>
      <c r="AI36" s="22">
        <f>IF(OR($B36="",AI$22=""),"",IF(LEN(VLOOKUP($B36,Database!$B$1:$IX$10144,AI$22,FALSE))=0,"",VLOOKUP($B36,Database!$B$1:$IX$10144,AI$22,FALSE)))</f>
        <v>1</v>
      </c>
      <c r="AJ36" s="22" t="str">
        <f>IF(OR($B36="",AJ$22=""),"",IF(LEN(VLOOKUP($B36,Database!$B$1:$IX$10144,AJ$22,FALSE))=0,"",VLOOKUP($B36,Database!$B$1:$IX$10144,AJ$22,FALSE)))</f>
        <v/>
      </c>
      <c r="AK36" s="22">
        <f>IF(OR($B36="",AK$22=""),"",IF(LEN(VLOOKUP($B36,Database!$B$1:$IX$10144,AK$22,FALSE))=0,"",VLOOKUP($B36,Database!$B$1:$IX$10144,AK$22,FALSE)))</f>
        <v>57</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Lloyd AJ, Ferrier IN, Barber R, Gholkar A, Young AH, O'Brien JT.</v>
      </c>
      <c r="AR36" s="13"/>
      <c r="AX36" s="13"/>
      <c r="AY36" s="13"/>
      <c r="AZ36" s="13"/>
      <c r="BA36" s="13"/>
      <c r="BC36" s="23"/>
      <c r="BF36" s="136"/>
      <c r="BG36" s="136"/>
      <c r="BH36" s="136"/>
      <c r="BI36" s="136"/>
    </row>
    <row r="37" spans="1:61">
      <c r="A37" t="s">
        <v>2191</v>
      </c>
      <c r="B37">
        <v>14969587</v>
      </c>
      <c r="C37" s="1" t="str">
        <f>IF($B37="","",HYPERLINK(IF(LEN(VLOOKUP($B37,Database!$B$1:$IX$10144,2,FALSE))=0,"",VLOOKUP($B37,Database!$B$1:$IX$10144,2,FALSE))))</f>
        <v/>
      </c>
      <c r="D37" s="1" t="str">
        <f t="shared" si="0"/>
        <v>http://www.ncbi.nlm.nih.gov/pubmed/14969587</v>
      </c>
      <c r="E37" s="22" t="str">
        <f>IF($B37="","",IF(LEN(VLOOKUP($B37,Database!$B$1:$IX$10144,4,FALSE))=0,"",VLOOKUP($B37,Database!$B$1:$IX$10144,4,FALSE)))</f>
        <v>MacMaster FP (A)</v>
      </c>
      <c r="F37" s="22">
        <f>IF($B37="","",IF(LEN(VLOOKUP($B37,Database!$B$1:$IX$10144,5,FALSE))=0,"",VLOOKUP($B37,Database!$B$1:$IX$10144,5,FALSE)))</f>
        <v>2004</v>
      </c>
      <c r="G37" s="1" t="str">
        <f>IF($B37="","",HYPERLINK(IF(LEN(VLOOKUP($B37,Database!$B$1:$IX$10144,6,FALSE))=0,"",VLOOKUP($B37,Database!$B$1:$IX$10144,6,FALSE))))</f>
        <v>http://www.biomedcentral.com/content/pdf/1741-7015-2-2.pdf</v>
      </c>
      <c r="H37" s="22">
        <f>IF($B37="","",IF(LEN(VLOOKUP($B37,Database!$B$1:$IX$10144,7,FALSE))=0,"",VLOOKUP($B37,Database!$B$1:$IX$10144,7,FALSE)))</f>
        <v>17</v>
      </c>
      <c r="I37" s="22">
        <f>IF($B37="","",IF(LEN(VLOOKUP($B37,Database!$B$1:$IX$10144,8,FALSE))=0,"",VLOOKUP($B37,Database!$B$1:$IX$10144,8,FALSE)))</f>
        <v>17</v>
      </c>
      <c r="J37" t="s">
        <v>1223</v>
      </c>
      <c r="L37">
        <v>2.5299999999999998</v>
      </c>
      <c r="M37">
        <v>0.371</v>
      </c>
      <c r="N37">
        <v>3.05</v>
      </c>
      <c r="O37">
        <v>0.45400000000000001</v>
      </c>
      <c r="P37">
        <v>2.54</v>
      </c>
      <c r="Q37">
        <v>0.495</v>
      </c>
      <c r="R37">
        <v>2.88</v>
      </c>
      <c r="S37">
        <v>0.45400000000000001</v>
      </c>
      <c r="X37" s="96"/>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16.670000000000002</v>
      </c>
      <c r="AC37" s="22">
        <f>IF(OR($B37="",AC$22=""),"",IF(LEN(VLOOKUP($B37,Database!$B$1:$IX$10144,AC$22,FALSE))=0,"",VLOOKUP($B37,Database!$B$1:$IX$10144,AC$22,FALSE)))</f>
        <v>1.83</v>
      </c>
      <c r="AD37" s="22">
        <f>IF(OR($B37="",AD$22=""),"",IF(LEN(VLOOKUP($B37,Database!$B$1:$IX$10144,AD$22,FALSE))=0,"",VLOOKUP($B37,Database!$B$1:$IX$10144,AD$22,FALSE)))</f>
        <v>16.23</v>
      </c>
      <c r="AE37" s="22">
        <f>IF(OR($B37="",AE$22=""),"",IF(LEN(VLOOKUP($B37,Database!$B$1:$IX$10144,AE$22,FALSE))=0,"",VLOOKUP($B37,Database!$B$1:$IX$10144,AE$22,FALSE)))</f>
        <v>1.61</v>
      </c>
      <c r="AF37" s="22">
        <f>IF(OR($B37="",AF$22=""),"",IF(LEN(VLOOKUP($B37,Database!$B$1:$IX$10144,AF$22,FALSE))=0,"",VLOOKUP($B37,Database!$B$1:$IX$10144,AF$22,FALSE)))</f>
        <v>9</v>
      </c>
      <c r="AG37" s="22">
        <f>IF(OR($B37="",AG$22=""),"",IF(LEN(VLOOKUP($B37,Database!$B$1:$IX$10144,AG$22,FALSE))=0,"",VLOOKUP($B37,Database!$B$1:$IX$10144,AG$22,FALSE)))</f>
        <v>9</v>
      </c>
      <c r="AH37" s="22">
        <f>IF(OR($B37="",AH$22=""),"",IF(LEN(VLOOKUP($B37,Database!$B$1:$IX$10144,AH$22,FALSE))=0,"",VLOOKUP($B37,Database!$B$1:$IX$10144,AH$22,FALSE)))</f>
        <v>1.5</v>
      </c>
      <c r="AI37" s="22">
        <f>IF(OR($B37="",AI$22=""),"",IF(LEN(VLOOKUP($B37,Database!$B$1:$IX$10144,AI$22,FALSE))=0,"",VLOOKUP($B37,Database!$B$1:$IX$10144,AI$22,FALSE)))</f>
        <v>1.5</v>
      </c>
      <c r="AJ37" s="22" t="str">
        <f>IF(OR($B37="",AJ$22=""),"",IF(LEN(VLOOKUP($B37,Database!$B$1:$IX$10144,AJ$22,FALSE))=0,"",VLOOKUP($B37,Database!$B$1:$IX$10144,AJ$22,FALSE)))</f>
        <v/>
      </c>
      <c r="AK37" s="22">
        <f>IF(OR($B37="",AK$22=""),"",IF(LEN(VLOOKUP($B37,Database!$B$1:$IX$10144,AK$22,FALSE))=0,"",VLOOKUP($B37,Database!$B$1:$IX$10144,AK$22,FALSE)))</f>
        <v>14.06</v>
      </c>
      <c r="AL37" s="22" t="str">
        <f>IF(OR($B37="",AL$22=""),"",IF(LEN(VLOOKUP($B37,Database!$B$1:$IX$10144,AL$22,FALSE))=0,"",VLOOKUP($B37,Database!$B$1:$IX$10144,AL$22,FALSE)))</f>
        <v>ns</v>
      </c>
      <c r="AM37" s="22">
        <f>IF(OR($B37="",AM$22=""),"",IF(LEN(VLOOKUP($B37,Database!$B$1:$IX$10144,AM$22,FALSE))=0,"",VLOOKUP($B37,Database!$B$1:$IX$10144,AM$22,FALSE)))</f>
        <v>5.8823529411764701</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82.35294117647058</v>
      </c>
      <c r="AQ37" s="22" t="str">
        <f>IF(OR($B37="",AQ$22=""),"",IF(LEN(VLOOKUP($B37,Database!$B$1:$IX$10144,AQ$22,FALSE))=0,"",VLOOKUP($B37,Database!$B$1:$IX$10144,AQ$22,FALSE)))</f>
        <v>MacMaster FP, Kusumakar V.</v>
      </c>
      <c r="AR37" s="13"/>
      <c r="AX37" s="13"/>
      <c r="AY37" s="13"/>
      <c r="AZ37" s="13"/>
      <c r="BA37" s="13"/>
      <c r="BC37" s="23"/>
      <c r="BF37" s="136"/>
      <c r="BG37" s="136"/>
      <c r="BH37" s="136"/>
      <c r="BI37" s="136"/>
    </row>
    <row r="38" spans="1:61">
      <c r="A38" t="s">
        <v>2014</v>
      </c>
      <c r="B38">
        <v>15231442</v>
      </c>
      <c r="C38" s="1" t="str">
        <f>IF($B38="","",HYPERLINK(IF(LEN(VLOOKUP($B38,Database!$B$1:$IX$10144,2,FALSE))=0,"",VLOOKUP($B38,Database!$B$1:$IX$10144,2,FALSE))))</f>
        <v/>
      </c>
      <c r="D38" s="1" t="str">
        <f t="shared" si="0"/>
        <v>http://www.ncbi.nlm.nih.gov/pubmed/15231442</v>
      </c>
      <c r="E38" s="22" t="str">
        <f>IF($B38="","",IF(LEN(VLOOKUP($B38,Database!$B$1:$IX$10144,4,FALSE))=0,"",VLOOKUP($B38,Database!$B$1:$IX$10144,4,FALSE)))</f>
        <v>Vythilingam M</v>
      </c>
      <c r="F38" s="22">
        <f>IF($B38="","",IF(LEN(VLOOKUP($B38,Database!$B$1:$IX$10144,5,FALSE))=0,"",VLOOKUP($B38,Database!$B$1:$IX$10144,5,FALSE)))</f>
        <v>2004</v>
      </c>
      <c r="G38" s="1" t="str">
        <f>IF($B38="","",HYPERLINK(IF(LEN(VLOOKUP($B38,Database!$B$1:$IX$10144,6,FALSE))=0,"",VLOOKUP($B38,Database!$B$1:$IX$10144,6,FALSE))))</f>
        <v>http://dx.doi.org/10.1016/j.biopsych.2004.04.002</v>
      </c>
      <c r="H38" s="22">
        <f>IF($B38="","",IF(LEN(VLOOKUP($B38,Database!$B$1:$IX$10144,7,FALSE))=0,"",VLOOKUP($B38,Database!$B$1:$IX$10144,7,FALSE)))</f>
        <v>38</v>
      </c>
      <c r="I38" s="22">
        <f>IF($B38="","",IF(LEN(VLOOKUP($B38,Database!$B$1:$IX$10144,8,FALSE))=0,"",VLOOKUP($B38,Database!$B$1:$IX$10144,8,FALSE)))</f>
        <v>33</v>
      </c>
      <c r="J38" t="s">
        <v>994</v>
      </c>
      <c r="K38" s="10"/>
      <c r="L38">
        <v>3305</v>
      </c>
      <c r="M38">
        <v>380</v>
      </c>
      <c r="N38">
        <v>3334</v>
      </c>
      <c r="O38">
        <v>390</v>
      </c>
      <c r="P38">
        <v>3132</v>
      </c>
      <c r="Q38">
        <v>417</v>
      </c>
      <c r="R38">
        <v>3235</v>
      </c>
      <c r="S38">
        <v>407</v>
      </c>
      <c r="T38">
        <v>3219</v>
      </c>
      <c r="U38">
        <v>380</v>
      </c>
      <c r="V38">
        <v>3285</v>
      </c>
      <c r="W38">
        <v>389</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41</v>
      </c>
      <c r="AC38" s="22">
        <f>IF(OR($B38="",AC$22=""),"",IF(LEN(VLOOKUP($B38,Database!$B$1:$IX$10144,AC$22,FALSE))=0,"",VLOOKUP($B38,Database!$B$1:$IX$10144,AC$22,FALSE)))</f>
        <v>11</v>
      </c>
      <c r="AD38" s="22">
        <f>IF(OR($B38="",AD$22=""),"",IF(LEN(VLOOKUP($B38,Database!$B$1:$IX$10144,AD$22,FALSE))=0,"",VLOOKUP($B38,Database!$B$1:$IX$10144,AD$22,FALSE)))</f>
        <v>34</v>
      </c>
      <c r="AE38" s="22">
        <f>IF(OR($B38="",AE$22=""),"",IF(LEN(VLOOKUP($B38,Database!$B$1:$IX$10144,AE$22,FALSE))=0,"",VLOOKUP($B38,Database!$B$1:$IX$10144,AE$22,FALSE)))</f>
        <v>10</v>
      </c>
      <c r="AF38" s="22">
        <f>IF(OR($B38="",AF$22=""),"",IF(LEN(VLOOKUP($B38,Database!$B$1:$IX$10144,AF$22,FALSE))=0,"",VLOOKUP($B38,Database!$B$1:$IX$10144,AF$22,FALSE)))</f>
        <v>23</v>
      </c>
      <c r="AG38" s="22">
        <f>IF(OR($B38="",AG$22=""),"",IF(LEN(VLOOKUP($B38,Database!$B$1:$IX$10144,AG$22,FALSE))=0,"",VLOOKUP($B38,Database!$B$1:$IX$10144,AG$22,FALSE)))</f>
        <v>21</v>
      </c>
      <c r="AH38" s="22">
        <f>IF(OR($B38="",AH$22=""),"",IF(LEN(VLOOKUP($B38,Database!$B$1:$IX$10144,AH$22,FALSE))=0,"",VLOOKUP($B38,Database!$B$1:$IX$10144,AH$22,FALSE)))</f>
        <v>1.5</v>
      </c>
      <c r="AI38" s="22">
        <f>IF(OR($B38="",AI$22=""),"",IF(LEN(VLOOKUP($B38,Database!$B$1:$IX$10144,AI$22,FALSE))=0,"",VLOOKUP($B38,Database!$B$1:$IX$10144,AI$22,FALSE)))</f>
        <v>1.5</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f>IF(OR($B38="",AM$22=""),"",IF(LEN(VLOOKUP($B38,Database!$B$1:$IX$10144,AM$22,FALSE))=0,"",VLOOKUP($B38,Database!$B$1:$IX$10144,AM$22,FALSE)))</f>
        <v>0</v>
      </c>
      <c r="AN38" s="22" t="str">
        <f>IF(OR($B38="",AN$22=""),"",IF(LEN(VLOOKUP($B38,Database!$B$1:$IX$10144,AN$22,FALSE))=0,"",VLOOKUP($B38,Database!$B$1:$IX$10144,AN$22,FALSE)))</f>
        <v>ns</v>
      </c>
      <c r="AO38" s="22" t="str">
        <f>IF(OR($B38="",AO$22=""),"",IF(LEN(VLOOKUP($B38,Database!$B$1:$IX$10144,AO$22,FALSE))=0,"",VLOOKUP($B38,Database!$B$1:$IX$10144,AO$22,FALSE)))</f>
        <v>ns</v>
      </c>
      <c r="AP38" s="22">
        <f>IF(OR($B38="",AP$22=""),"",IF(LEN(VLOOKUP($B38,Database!$B$1:$IX$10144,AP$22,FALSE))=0,"",VLOOKUP($B38,Database!$B$1:$IX$10144,AP$22,FALSE)))</f>
        <v>39.473684210526315</v>
      </c>
      <c r="AQ38" s="22" t="str">
        <f>IF(OR($B38="",AQ$22=""),"",IF(LEN(VLOOKUP($B38,Database!$B$1:$IX$10144,AQ$22,FALSE))=0,"",VLOOKUP($B38,Database!$B$1:$IX$10144,AQ$22,FALSE)))</f>
        <v>Vythilingam M, Vermetten E, Anderson GM, Luckenbaugh D, Anderson ER, Snow J, Staib LH, Charney DS, Bremner JD.</v>
      </c>
      <c r="AR38" s="13"/>
      <c r="AX38" s="13"/>
      <c r="AY38" s="13"/>
      <c r="AZ38" s="13"/>
      <c r="BA38" s="13"/>
      <c r="BC38" s="23"/>
      <c r="BF38" s="136"/>
      <c r="BG38" s="136"/>
      <c r="BH38" s="136"/>
      <c r="BI38" s="136"/>
    </row>
    <row r="39" spans="1:61">
      <c r="A39" s="7" t="s">
        <v>70</v>
      </c>
      <c r="B39" s="2">
        <v>15641704</v>
      </c>
      <c r="C39" s="1" t="str">
        <f>IF($B39="","",HYPERLINK(IF(LEN(VLOOKUP($B39,Database!$B$1:$IX$10144,2,FALSE))=0,"",VLOOKUP($B39,Database!$B$1:$IX$10144,2,FALSE))))</f>
        <v/>
      </c>
      <c r="D39" s="1" t="str">
        <f>IF($B39="","",HYPERLINK(CONCATENATE("http://www.ncbi.nlm.nih.gov/pubmed/",B39)))</f>
        <v>http://www.ncbi.nlm.nih.gov/pubmed/15641704</v>
      </c>
      <c r="E39" s="22" t="str">
        <f>IF($B39="","",IF(LEN(VLOOKUP($B39,Database!$B$1:$IX$10144,4,FALSE))=0,"",VLOOKUP($B39,Database!$B$1:$IX$10144,4,FALSE)))</f>
        <v>Xia J</v>
      </c>
      <c r="F39" s="22">
        <f>IF($B39="","",IF(LEN(VLOOKUP($B39,Database!$B$1:$IX$10144,5,FALSE))=0,"",VLOOKUP($B39,Database!$B$1:$IX$10144,5,FALSE)))</f>
        <v>2004</v>
      </c>
      <c r="G39" s="1" t="str">
        <f>IF($B39="","",HYPERLINK(IF(LEN(VLOOKUP($B39,Database!$B$1:$IX$10144,6,FALSE))=0,"",VLOOKUP($B39,Database!$B$1:$IX$10144,6,FALSE))))</f>
        <v>Not available on internet</v>
      </c>
      <c r="H39" s="22">
        <f>IF($B39="","",IF(LEN(VLOOKUP($B39,Database!$B$1:$IX$10144,7,FALSE))=0,"",VLOOKUP($B39,Database!$B$1:$IX$10144,7,FALSE)))</f>
        <v>22</v>
      </c>
      <c r="I39" s="22">
        <f>IF($B39="","",IF(LEN(VLOOKUP($B39,Database!$B$1:$IX$10144,8,FALSE))=0,"",VLOOKUP($B39,Database!$B$1:$IX$10144,8,FALSE)))</f>
        <v>13</v>
      </c>
      <c r="J39" s="2" t="s">
        <v>887</v>
      </c>
      <c r="K39" s="2"/>
      <c r="L39" s="2">
        <v>3109.86</v>
      </c>
      <c r="M39" s="2">
        <v>83.5</v>
      </c>
      <c r="N39" s="2">
        <v>3352</v>
      </c>
      <c r="O39" s="2">
        <v>45.53</v>
      </c>
      <c r="P39" s="2">
        <v>3487.27</v>
      </c>
      <c r="Q39" s="2">
        <v>62.96</v>
      </c>
      <c r="R39" s="2">
        <v>3710.31</v>
      </c>
      <c r="S39" s="2">
        <v>36.67</v>
      </c>
      <c r="Y39" s="22" t="str">
        <f>IF(OR($B39="",Y$22=""),"",IF(LEN(VLOOKUP($B39,Database!$B$1:$IX$10144,Y$22,FALSE))=0,"",VLOOKUP($B39,Database!$B$1:$IX$10144,Y$22,FALSE)))</f>
        <v>CCMD-3-R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39.5</v>
      </c>
      <c r="AC39" s="22">
        <f>IF(OR($B39="",AC$22=""),"",IF(LEN(VLOOKUP($B39,Database!$B$1:$IX$10144,AC$22,FALSE))=0,"",VLOOKUP($B39,Database!$B$1:$IX$10144,AC$22,FALSE)))</f>
        <v>12.05</v>
      </c>
      <c r="AD39" s="22">
        <f>IF(OR($B39="",AD$22=""),"",IF(LEN(VLOOKUP($B39,Database!$B$1:$IX$10144,AD$22,FALSE))=0,"",VLOOKUP($B39,Database!$B$1:$IX$10144,AD$22,FALSE)))</f>
        <v>35.43</v>
      </c>
      <c r="AE39" s="22">
        <f>IF(OR($B39="",AE$22=""),"",IF(LEN(VLOOKUP($B39,Database!$B$1:$IX$10144,AE$22,FALSE))=0,"",VLOOKUP($B39,Database!$B$1:$IX$10144,AE$22,FALSE)))</f>
        <v>8.86</v>
      </c>
      <c r="AF39" s="22">
        <f>IF(OR($B39="",AF$22=""),"",IF(LEN(VLOOKUP($B39,Database!$B$1:$IX$10144,AF$22,FALSE))=0,"",VLOOKUP($B39,Database!$B$1:$IX$10144,AF$22,FALSE)))</f>
        <v>10</v>
      </c>
      <c r="AG39" s="22">
        <f>IF(OR($B39="",AG$22=""),"",IF(LEN(VLOOKUP($B39,Database!$B$1:$IX$10144,AG$22,FALSE))=0,"",VLOOKUP($B39,Database!$B$1:$IX$10144,AG$22,FALSE)))</f>
        <v>8</v>
      </c>
      <c r="AH39" s="22">
        <f>IF(OR($B39="",AH$22=""),"",IF(LEN(VLOOKUP($B39,Database!$B$1:$IX$10144,AH$22,FALSE))=0,"",VLOOKUP($B39,Database!$B$1:$IX$10144,AH$22,FALSE)))</f>
        <v>1.5</v>
      </c>
      <c r="AI39" s="22">
        <f>IF(OR($B39="",AI$22=""),"",IF(LEN(VLOOKUP($B39,Database!$B$1:$IX$10144,AI$22,FALSE))=0,"",VLOOKUP($B39,Database!$B$1:$IX$10144,AI$22,FALSE)))</f>
        <v>1.2</v>
      </c>
      <c r="AJ39" s="22" t="str">
        <f>IF(OR($B39="",AJ$22=""),"",IF(LEN(VLOOKUP($B39,Database!$B$1:$IX$10144,AJ$22,FALSE))=0,"",VLOOKUP($B39,Database!$B$1:$IX$10144,AJ$22,FALSE)))</f>
        <v/>
      </c>
      <c r="AK39" s="22" t="str">
        <f>IF(OR($B39="",AK$22=""),"",IF(LEN(VLOOKUP($B39,Database!$B$1:$IX$10144,AK$22,FALSE))=0,"",VLOOKUP($B39,Database!$B$1:$IX$10144,AK$22,FALSE)))</f>
        <v>ns</v>
      </c>
      <c r="AL39" s="22">
        <f>IF(OR($B39="",AL$22=""),"",IF(LEN(VLOOKUP($B39,Database!$B$1:$IX$10144,AL$22,FALSE))=0,"",VLOOKUP($B39,Database!$B$1:$IX$10144,AL$22,FALSE)))</f>
        <v>21.45</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Xia J, Chen J, Zhou Y, Zhang J, Yang B, Xia L, Wang C.</v>
      </c>
      <c r="AR39" s="13"/>
      <c r="AX39" s="13"/>
      <c r="AY39" s="13"/>
      <c r="AZ39" s="13"/>
      <c r="BA39" s="13"/>
      <c r="BC39" s="23"/>
      <c r="BF39" s="136"/>
      <c r="BG39" s="136"/>
      <c r="BH39" s="136"/>
      <c r="BI39" s="136"/>
    </row>
    <row r="40" spans="1:61">
      <c r="B40">
        <v>15607296</v>
      </c>
      <c r="C40" s="1" t="str">
        <f>IF($B40="","",HYPERLINK(IF(LEN(VLOOKUP($B40,Database!$B$1:$IX$10144,2,FALSE))=0,"",VLOOKUP($B40,Database!$B$1:$IX$10144,2,FALSE))))</f>
        <v/>
      </c>
      <c r="D40" s="1" t="str">
        <f t="shared" si="0"/>
        <v>http://www.ncbi.nlm.nih.gov/pubmed/15607296</v>
      </c>
      <c r="E40" s="22" t="str">
        <f>IF($B40="","",IF(LEN(VLOOKUP($B40,Database!$B$1:$IX$10144,4,FALSE))=0,"",VLOOKUP($B40,Database!$B$1:$IX$10144,4,FALSE)))</f>
        <v>Rosso IM</v>
      </c>
      <c r="F40" s="22">
        <f>IF($B40="","",IF(LEN(VLOOKUP($B40,Database!$B$1:$IX$10144,5,FALSE))=0,"",VLOOKUP($B40,Database!$B$1:$IX$10144,5,FALSE)))</f>
        <v>2005</v>
      </c>
      <c r="G40" s="1" t="str">
        <f>IF($B40="","",HYPERLINK(IF(LEN(VLOOKUP($B40,Database!$B$1:$IX$10144,6,FALSE))=0,"",VLOOKUP($B40,Database!$B$1:$IX$10144,6,FALSE))))</f>
        <v>http://dx.doi.org/10.1016/j.biopsych.2004.10.027</v>
      </c>
      <c r="H40" s="22">
        <f>IF($B40="","",IF(LEN(VLOOKUP($B40,Database!$B$1:$IX$10144,7,FALSE))=0,"",VLOOKUP($B40,Database!$B$1:$IX$10144,7,FALSE)))</f>
        <v>20</v>
      </c>
      <c r="I40" s="22">
        <f>IF($B40="","",IF(LEN(VLOOKUP($B40,Database!$B$1:$IX$10144,8,FALSE))=0,"",VLOOKUP($B40,Database!$B$1:$IX$10144,8,FALSE)))</f>
        <v>24</v>
      </c>
      <c r="J40" t="s">
        <v>876</v>
      </c>
      <c r="L40">
        <v>6.57</v>
      </c>
      <c r="M40">
        <v>0.76</v>
      </c>
      <c r="N40">
        <v>6.26</v>
      </c>
      <c r="O40">
        <v>0.73499999999999999</v>
      </c>
      <c r="P40">
        <v>6.39</v>
      </c>
      <c r="Q40">
        <v>0.71599999999999997</v>
      </c>
      <c r="R40">
        <v>6.19</v>
      </c>
      <c r="S40">
        <v>0.78400000000000003</v>
      </c>
      <c r="T40">
        <v>12.96</v>
      </c>
      <c r="U40">
        <v>1.476</v>
      </c>
      <c r="V40">
        <v>12.45</v>
      </c>
      <c r="W40">
        <v>1.3720000000000001</v>
      </c>
      <c r="X40" s="96"/>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15.35</v>
      </c>
      <c r="AC40" s="22">
        <f>IF(OR($B40="",AC$22=""),"",IF(LEN(VLOOKUP($B40,Database!$B$1:$IX$10144,AC$22,FALSE))=0,"",VLOOKUP($B40,Database!$B$1:$IX$10144,AC$22,FALSE)))</f>
        <v>1.5209999999999999</v>
      </c>
      <c r="AD40" s="22">
        <f>IF(OR($B40="",AD$22=""),"",IF(LEN(VLOOKUP($B40,Database!$B$1:$IX$10144,AD$22,FALSE))=0,"",VLOOKUP($B40,Database!$B$1:$IX$10144,AD$22,FALSE)))</f>
        <v>14.08</v>
      </c>
      <c r="AE40" s="22">
        <f>IF(OR($B40="",AE$22=""),"",IF(LEN(VLOOKUP($B40,Database!$B$1:$IX$10144,AE$22,FALSE))=0,"",VLOOKUP($B40,Database!$B$1:$IX$10144,AE$22,FALSE)))</f>
        <v>1.5189999999999999</v>
      </c>
      <c r="AF40" s="22">
        <f>IF(OR($B40="",AF$22=""),"",IF(LEN(VLOOKUP($B40,Database!$B$1:$IX$10144,AF$22,FALSE))=0,"",VLOOKUP($B40,Database!$B$1:$IX$10144,AF$22,FALSE)))</f>
        <v>17</v>
      </c>
      <c r="AG40" s="22">
        <f>IF(OR($B40="",AG$22=""),"",IF(LEN(VLOOKUP($B40,Database!$B$1:$IX$10144,AG$22,FALSE))=0,"",VLOOKUP($B40,Database!$B$1:$IX$10144,AG$22,FALSE)))</f>
        <v>16</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f>IF(OR($B40="",AK$22=""),"",IF(LEN(VLOOKUP($B40,Database!$B$1:$IX$10144,AK$22,FALSE))=0,"",VLOOKUP($B40,Database!$B$1:$IX$10144,AK$22,FALSE)))</f>
        <v>12.8</v>
      </c>
      <c r="AL40" s="22">
        <f>IF(OR($B40="",AL$22=""),"",IF(LEN(VLOOKUP($B40,Database!$B$1:$IX$10144,AL$22,FALSE))=0,"",VLOOKUP($B40,Database!$B$1:$IX$10144,AL$22,FALSE)))</f>
        <v>16.55</v>
      </c>
      <c r="AM40" s="22">
        <f>IF(OR($B40="",AM$22=""),"",IF(LEN(VLOOKUP($B40,Database!$B$1:$IX$10144,AM$22,FALSE))=0,"",VLOOKUP($B40,Database!$B$1:$IX$10144,AM$22,FALSE)))</f>
        <v>0</v>
      </c>
      <c r="AN40" s="22">
        <f>IF(OR($B40="",AN$22=""),"",IF(LEN(VLOOKUP($B40,Database!$B$1:$IX$10144,AN$22,FALSE))=0,"",VLOOKUP($B40,Database!$B$1:$IX$10144,AN$22,FALSE)))</f>
        <v>0</v>
      </c>
      <c r="AO40" s="22">
        <f>IF(OR($B40="",AO$22=""),"",IF(LEN(VLOOKUP($B40,Database!$B$1:$IX$10144,AO$22,FALSE))=0,"",VLOOKUP($B40,Database!$B$1:$IX$10144,AO$22,FALSE)))</f>
        <v>0</v>
      </c>
      <c r="AP40" s="22">
        <f>IF(OR($B40="",AP$22=""),"",IF(LEN(VLOOKUP($B40,Database!$B$1:$IX$10144,AP$22,FALSE))=0,"",VLOOKUP($B40,Database!$B$1:$IX$10144,AP$22,FALSE)))</f>
        <v>100</v>
      </c>
      <c r="AQ40" s="22" t="str">
        <f>IF(OR($B40="",AQ$22=""),"",IF(LEN(VLOOKUP($B40,Database!$B$1:$IX$10144,AQ$22,FALSE))=0,"",VLOOKUP($B40,Database!$B$1:$IX$10144,AQ$22,FALSE)))</f>
        <v>Rosso IM, Cintron CM, Steingard RJ, Renshaw PF, Young AD, Yurgelun-Todd DA.</v>
      </c>
      <c r="AR40" s="13"/>
      <c r="AX40" s="13"/>
      <c r="AY40" s="13"/>
      <c r="AZ40" s="13"/>
      <c r="BA40" s="13"/>
      <c r="BC40" s="23"/>
      <c r="BF40" s="136"/>
      <c r="BG40" s="136"/>
      <c r="BH40" s="136"/>
      <c r="BI40" s="136"/>
    </row>
    <row r="41" spans="1:61">
      <c r="B41">
        <v>15867107</v>
      </c>
      <c r="C41" s="1" t="str">
        <f>IF($B41="","",HYPERLINK(IF(LEN(VLOOKUP($B41,Database!$B$1:$IX$10144,2,FALSE))=0,"",VLOOKUP($B41,Database!$B$1:$IX$10144,2,FALSE))))</f>
        <v/>
      </c>
      <c r="D41" s="1" t="str">
        <f t="shared" si="0"/>
        <v>http://www.ncbi.nlm.nih.gov/pubmed/15867107</v>
      </c>
      <c r="E41" s="22" t="str">
        <f>IF($B41="","",IF(LEN(VLOOKUP($B41,Database!$B$1:$IX$10144,4,FALSE))=0,"",VLOOKUP($B41,Database!$B$1:$IX$10144,4,FALSE)))</f>
        <v>Taylor WD (B)</v>
      </c>
      <c r="F41" s="22">
        <f>IF($B41="","",IF(LEN(VLOOKUP($B41,Database!$B$1:$IX$10144,5,FALSE))=0,"",VLOOKUP($B41,Database!$B$1:$IX$10144,5,FALSE)))</f>
        <v>2005</v>
      </c>
      <c r="G41" s="1" t="str">
        <f>IF($B41="","",HYPERLINK(IF(LEN(VLOOKUP($B41,Database!$B$1:$IX$10144,6,FALSE))=0,"",VLOOKUP($B41,Database!$B$1:$IX$10144,6,FALSE))))</f>
        <v>http://archpsyc.ama-assn.org/cgi/reprint/62/5/537</v>
      </c>
      <c r="H41" s="22">
        <f>IF($B41="","",IF(LEN(VLOOKUP($B41,Database!$B$1:$IX$10144,7,FALSE))=0,"",VLOOKUP($B41,Database!$B$1:$IX$10144,7,FALSE)))</f>
        <v>135</v>
      </c>
      <c r="I41" s="22">
        <f>IF($B41="","",IF(LEN(VLOOKUP($B41,Database!$B$1:$IX$10144,8,FALSE))=0,"",VLOOKUP($B41,Database!$B$1:$IX$10144,8,FALSE)))</f>
        <v>83</v>
      </c>
      <c r="J41" t="s">
        <v>877</v>
      </c>
      <c r="L41">
        <v>2.95</v>
      </c>
      <c r="M41">
        <v>0.43</v>
      </c>
      <c r="N41">
        <v>2.96</v>
      </c>
      <c r="O41">
        <v>0.45</v>
      </c>
      <c r="P41">
        <v>3.09</v>
      </c>
      <c r="Q41">
        <v>0.42</v>
      </c>
      <c r="R41">
        <v>3.12</v>
      </c>
      <c r="S41">
        <v>0.44</v>
      </c>
      <c r="T41">
        <v>6.04</v>
      </c>
      <c r="U41">
        <v>0.79</v>
      </c>
      <c r="V41">
        <v>6.09</v>
      </c>
      <c r="W41">
        <v>0.84</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70</v>
      </c>
      <c r="AC41" s="22">
        <f>IF(OR($B41="",AC$22=""),"",IF(LEN(VLOOKUP($B41,Database!$B$1:$IX$10144,AC$22,FALSE))=0,"",VLOOKUP($B41,Database!$B$1:$IX$10144,AC$22,FALSE)))</f>
        <v>7.3</v>
      </c>
      <c r="AD41" s="22">
        <f>IF(OR($B41="",AD$22=""),"",IF(LEN(VLOOKUP($B41,Database!$B$1:$IX$10144,AD$22,FALSE))=0,"",VLOOKUP($B41,Database!$B$1:$IX$10144,AD$22,FALSE)))</f>
        <v>69.400000000000006</v>
      </c>
      <c r="AE41" s="22">
        <f>IF(OR($B41="",AE$22=""),"",IF(LEN(VLOOKUP($B41,Database!$B$1:$IX$10144,AE$22,FALSE))=0,"",VLOOKUP($B41,Database!$B$1:$IX$10144,AE$22,FALSE)))</f>
        <v>6.3</v>
      </c>
      <c r="AF41" s="22">
        <f>IF(OR($B41="",AF$22=""),"",IF(LEN(VLOOKUP($B41,Database!$B$1:$IX$10144,AF$22,FALSE))=0,"",VLOOKUP($B41,Database!$B$1:$IX$10144,AF$22,FALSE)))</f>
        <v>90</v>
      </c>
      <c r="AG41" s="22">
        <f>IF(OR($B41="",AG$22=""),"",IF(LEN(VLOOKUP($B41,Database!$B$1:$IX$10144,AG$22,FALSE))=0,"",VLOOKUP($B41,Database!$B$1:$IX$10144,AG$22,FALSE)))</f>
        <v>64</v>
      </c>
      <c r="AH41" s="22">
        <f>IF(OR($B41="",AH$22=""),"",IF(LEN(VLOOKUP($B41,Database!$B$1:$IX$10144,AH$22,FALSE))=0,"",VLOOKUP($B41,Database!$B$1:$IX$10144,AH$22,FALSE)))</f>
        <v>1.5</v>
      </c>
      <c r="AI41" s="22">
        <f>IF(OR($B41="",AI$22=""),"",IF(LEN(VLOOKUP($B41,Database!$B$1:$IX$10144,AI$22,FALSE))=0,"",VLOOKUP($B41,Database!$B$1:$IX$10144,AI$22,FALSE)))</f>
        <v>3</v>
      </c>
      <c r="AJ41" s="22" t="str">
        <f>IF(OR($B41="",AJ$22=""),"",IF(LEN(VLOOKUP($B41,Database!$B$1:$IX$10144,AJ$22,FALSE))=0,"",VLOOKUP($B41,Database!$B$1:$IX$10144,AJ$22,FALSE)))</f>
        <v/>
      </c>
      <c r="AK41" s="22">
        <f>IF(OR($B41="",AK$22=""),"",IF(LEN(VLOOKUP($B41,Database!$B$1:$IX$10144,AK$22,FALSE))=0,"",VLOOKUP($B41,Database!$B$1:$IX$10144,AK$22,FALSE)))</f>
        <v>46.9</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Taylor WD, Steffens DC, Payne ME, MacFall JR, Marchuk DA, Svenson IK, Krishnan KR.</v>
      </c>
      <c r="AR41" s="13"/>
      <c r="AX41" s="13"/>
      <c r="AY41" s="13"/>
      <c r="AZ41" s="13"/>
      <c r="BA41" s="13"/>
      <c r="BC41" s="23"/>
      <c r="BF41" s="136"/>
      <c r="BG41" s="136"/>
      <c r="BH41" s="136"/>
      <c r="BI41" s="136"/>
    </row>
    <row r="42" spans="1:61">
      <c r="B42">
        <v>16395541</v>
      </c>
      <c r="C42" s="1" t="str">
        <f>IF($B42="","",HYPERLINK(IF(LEN(VLOOKUP($B42,Database!$B$1:$IX$10144,2,FALSE))=0,"",VLOOKUP($B42,Database!$B$1:$IX$10144,2,FALSE))))</f>
        <v/>
      </c>
      <c r="D42" s="1" t="str">
        <f t="shared" si="0"/>
        <v>http://www.ncbi.nlm.nih.gov/pubmed/16395541</v>
      </c>
      <c r="E42" s="22" t="str">
        <f>IF($B42="","",IF(LEN(VLOOKUP($B42,Database!$B$1:$IX$10144,4,FALSE))=0,"",VLOOKUP($B42,Database!$B$1:$IX$10144,4,FALSE)))</f>
        <v>Saylam C</v>
      </c>
      <c r="F42" s="22">
        <f>IF($B42="","",IF(LEN(VLOOKUP($B42,Database!$B$1:$IX$10144,5,FALSE))=0,"",VLOOKUP($B42,Database!$B$1:$IX$10144,5,FALSE)))</f>
        <v>2006</v>
      </c>
      <c r="G42" s="1" t="str">
        <f>IF($B42="","",HYPERLINK(IF(LEN(VLOOKUP($B42,Database!$B$1:$IX$10144,6,FALSE))=0,"",VLOOKUP($B42,Database!$B$1:$IX$10144,6,FALSE))))</f>
        <v>http://www.springerlink.com/content/y2167l4m17576560/fulltext.pdf</v>
      </c>
      <c r="H42" s="22">
        <f>IF($B42="","",IF(LEN(VLOOKUP($B42,Database!$B$1:$IX$10144,7,FALSE))=0,"",VLOOKUP($B42,Database!$B$1:$IX$10144,7,FALSE)))</f>
        <v>24</v>
      </c>
      <c r="I42" s="22">
        <f>IF($B42="","",IF(LEN(VLOOKUP($B42,Database!$B$1:$IX$10144,8,FALSE))=0,"",VLOOKUP($B42,Database!$B$1:$IX$10144,8,FALSE)))</f>
        <v>24</v>
      </c>
      <c r="J42" t="s">
        <v>1613</v>
      </c>
      <c r="L42">
        <v>2638.7</v>
      </c>
      <c r="M42">
        <v>249.2</v>
      </c>
      <c r="N42">
        <v>2786.7</v>
      </c>
      <c r="O42">
        <v>249.2</v>
      </c>
      <c r="P42">
        <v>2696.4</v>
      </c>
      <c r="Q42">
        <v>194.4</v>
      </c>
      <c r="R42">
        <v>2806.3</v>
      </c>
      <c r="S42">
        <v>256.8</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33.4</v>
      </c>
      <c r="AC42" s="22">
        <f>IF(OR($B42="",AC$22=""),"",IF(LEN(VLOOKUP($B42,Database!$B$1:$IX$10144,AC$22,FALSE))=0,"",VLOOKUP($B42,Database!$B$1:$IX$10144,AC$22,FALSE)))</f>
        <v>9.3000000000000007</v>
      </c>
      <c r="AD42" s="22">
        <f>IF(OR($B42="",AD$22=""),"",IF(LEN(VLOOKUP($B42,Database!$B$1:$IX$10144,AD$22,FALSE))=0,"",VLOOKUP($B42,Database!$B$1:$IX$10144,AD$22,FALSE)))</f>
        <v>30.16</v>
      </c>
      <c r="AE42" s="22">
        <f>IF(OR($B42="",AE$22=""),"",IF(LEN(VLOOKUP($B42,Database!$B$1:$IX$10144,AE$22,FALSE))=0,"",VLOOKUP($B42,Database!$B$1:$IX$10144,AE$22,FALSE)))</f>
        <v>6.1</v>
      </c>
      <c r="AF42" s="22">
        <f>IF(OR($B42="",AF$22=""),"",IF(LEN(VLOOKUP($B42,Database!$B$1:$IX$10144,AF$22,FALSE))=0,"",VLOOKUP($B42,Database!$B$1:$IX$10144,AF$22,FALSE)))</f>
        <v>18</v>
      </c>
      <c r="AG42" s="22">
        <f>IF(OR($B42="",AG$22=""),"",IF(LEN(VLOOKUP($B42,Database!$B$1:$IX$10144,AG$22,FALSE))=0,"",VLOOKUP($B42,Database!$B$1:$IX$10144,AG$22,FALSE)))</f>
        <v>18</v>
      </c>
      <c r="AH42" s="22">
        <f>IF(OR($B42="",AH$22=""),"",IF(LEN(VLOOKUP($B42,Database!$B$1:$IX$10144,AH$22,FALSE))=0,"",VLOOKUP($B42,Database!$B$1:$IX$10144,AH$22,FALSE)))</f>
        <v>1.5</v>
      </c>
      <c r="AI42" s="22">
        <f>IF(OR($B42="",AI$22=""),"",IF(LEN(VLOOKUP($B42,Database!$B$1:$IX$10144,AI$22,FALSE))=0,"",VLOOKUP($B42,Database!$B$1:$IX$10144,AI$22,FALSE)))</f>
        <v>2</v>
      </c>
      <c r="AJ42" s="22" t="str">
        <f>IF(OR($B42="",AJ$22=""),"",IF(LEN(VLOOKUP($B42,Database!$B$1:$IX$10144,AJ$22,FALSE))=0,"",VLOOKUP($B42,Database!$B$1:$IX$10144,AJ$22,FALSE)))</f>
        <v/>
      </c>
      <c r="AK42" s="22" t="str">
        <f>IF(OR($B42="",AK$22=""),"",IF(LEN(VLOOKUP($B42,Database!$B$1:$IX$10144,AK$22,FALSE))=0,"",VLOOKUP($B42,Database!$B$1:$IX$10144,AK$22,FALSE)))</f>
        <v>ns</v>
      </c>
      <c r="AL42" s="22">
        <f>IF(OR($B42="",AL$22=""),"",IF(LEN(VLOOKUP($B42,Database!$B$1:$IX$10144,AL$22,FALSE))=0,"",VLOOKUP($B42,Database!$B$1:$IX$10144,AL$22,FALSE)))</f>
        <v>24.4</v>
      </c>
      <c r="AM42" s="22">
        <f>IF(OR($B42="",AM$22=""),"",IF(LEN(VLOOKUP($B42,Database!$B$1:$IX$10144,AM$22,FALSE))=0,"",VLOOKUP($B42,Database!$B$1:$IX$10144,AM$22,FALSE)))</f>
        <v>0</v>
      </c>
      <c r="AN42" s="22">
        <f>IF(OR($B42="",AN$22=""),"",IF(LEN(VLOOKUP($B42,Database!$B$1:$IX$10144,AN$22,FALSE))=0,"",VLOOKUP($B42,Database!$B$1:$IX$10144,AN$22,FALSE)))</f>
        <v>0</v>
      </c>
      <c r="AO42" s="22">
        <f>IF(OR($B42="",AO$22=""),"",IF(LEN(VLOOKUP($B42,Database!$B$1:$IX$10144,AO$22,FALSE))=0,"",VLOOKUP($B42,Database!$B$1:$IX$10144,AO$22,FALSE)))</f>
        <v>0</v>
      </c>
      <c r="AP42" s="22">
        <f>IF(OR($B42="",AP$22=""),"",IF(LEN(VLOOKUP($B42,Database!$B$1:$IX$10144,AP$22,FALSE))=0,"",VLOOKUP($B42,Database!$B$1:$IX$10144,AP$22,FALSE)))</f>
        <v>100</v>
      </c>
      <c r="AQ42" s="22" t="str">
        <f>IF(OR($B42="",AQ$22=""),"",IF(LEN(VLOOKUP($B42,Database!$B$1:$IX$10144,AQ$22,FALSE))=0,"",VLOOKUP($B42,Database!$B$1:$IX$10144,AQ$22,FALSE)))</f>
        <v>Saylam C, Uçerler H, Kitiş O, Ozand E, Gönül AS.</v>
      </c>
      <c r="AR42" s="13"/>
      <c r="AX42" s="13"/>
      <c r="AY42" s="13"/>
      <c r="AZ42" s="13"/>
      <c r="BA42" s="13"/>
      <c r="BC42" s="23"/>
      <c r="BF42" s="136"/>
      <c r="BG42" s="136"/>
      <c r="BH42" s="136"/>
      <c r="BI42" s="136"/>
    </row>
    <row r="43" spans="1:61">
      <c r="B43">
        <v>16740316</v>
      </c>
      <c r="C43" s="1" t="str">
        <f>IF($B43="","",HYPERLINK(IF(LEN(VLOOKUP($B43,Database!$B$1:$IX$10144,2,FALSE))=0,"",VLOOKUP($B43,Database!$B$1:$IX$10144,2,FALSE))))</f>
        <v/>
      </c>
      <c r="D43" s="1" t="str">
        <f t="shared" si="0"/>
        <v>http://www.ncbi.nlm.nih.gov/pubmed/16740316</v>
      </c>
      <c r="E43" s="22" t="str">
        <f>IF($B43="","",IF(LEN(VLOOKUP($B43,Database!$B$1:$IX$10144,4,FALSE))=0,"",VLOOKUP($B43,Database!$B$1:$IX$10144,4,FALSE)))</f>
        <v>Weniger G</v>
      </c>
      <c r="F43" s="22">
        <f>IF($B43="","",IF(LEN(VLOOKUP($B43,Database!$B$1:$IX$10144,5,FALSE))=0,"",VLOOKUP($B43,Database!$B$1:$IX$10144,5,FALSE)))</f>
        <v>2006</v>
      </c>
      <c r="G43" s="1" t="str">
        <f>IF($B43="","",HYPERLINK(IF(LEN(VLOOKUP($B43,Database!$B$1:$IX$10144,6,FALSE))=0,"",VLOOKUP($B43,Database!$B$1:$IX$10144,6,FALSE))))</f>
        <v>http://dx.doi.org/10.1016/j.jad.2006.04.017</v>
      </c>
      <c r="H43" s="22">
        <f>IF($B43="","",IF(LEN(VLOOKUP($B43,Database!$B$1:$IX$10144,7,FALSE))=0,"",VLOOKUP($B43,Database!$B$1:$IX$10144,7,FALSE)))</f>
        <v>21</v>
      </c>
      <c r="I43" s="22">
        <f>IF($B43="","",IF(LEN(VLOOKUP($B43,Database!$B$1:$IX$10144,8,FALSE))=0,"",VLOOKUP($B43,Database!$B$1:$IX$10144,8,FALSE)))</f>
        <v>23</v>
      </c>
      <c r="J43" t="s">
        <v>1614</v>
      </c>
      <c r="L43">
        <v>2.7</v>
      </c>
      <c r="M43">
        <v>0.4</v>
      </c>
      <c r="N43">
        <v>3</v>
      </c>
      <c r="O43">
        <v>0.5</v>
      </c>
      <c r="P43">
        <v>2.7</v>
      </c>
      <c r="Q43">
        <v>0.5</v>
      </c>
      <c r="R43">
        <v>3.2</v>
      </c>
      <c r="S43">
        <v>0.4</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34</v>
      </c>
      <c r="AC43" s="22">
        <f>IF(OR($B43="",AC$22=""),"",IF(LEN(VLOOKUP($B43,Database!$B$1:$IX$10144,AC$22,FALSE))=0,"",VLOOKUP($B43,Database!$B$1:$IX$10144,AC$22,FALSE)))</f>
        <v>9</v>
      </c>
      <c r="AD43" s="22">
        <f>IF(OR($B43="",AD$22=""),"",IF(LEN(VLOOKUP($B43,Database!$B$1:$IX$10144,AD$22,FALSE))=0,"",VLOOKUP($B43,Database!$B$1:$IX$10144,AD$22,FALSE)))</f>
        <v>32</v>
      </c>
      <c r="AE43" s="22">
        <f>IF(OR($B43="",AE$22=""),"",IF(LEN(VLOOKUP($B43,Database!$B$1:$IX$10144,AE$22,FALSE))=0,"",VLOOKUP($B43,Database!$B$1:$IX$10144,AE$22,FALSE)))</f>
        <v>7</v>
      </c>
      <c r="AF43" s="22">
        <f>IF(OR($B43="",AF$22=""),"",IF(LEN(VLOOKUP($B43,Database!$B$1:$IX$10144,AF$22,FALSE))=0,"",VLOOKUP($B43,Database!$B$1:$IX$10144,AF$22,FALSE)))</f>
        <v>21</v>
      </c>
      <c r="AG43" s="22">
        <f>IF(OR($B43="",AG$22=""),"",IF(LEN(VLOOKUP($B43,Database!$B$1:$IX$10144,AG$22,FALSE))=0,"",VLOOKUP($B43,Database!$B$1:$IX$10144,AG$22,FALSE)))</f>
        <v>23</v>
      </c>
      <c r="AH43" s="22">
        <f>IF(OR($B43="",AH$22=""),"",IF(LEN(VLOOKUP($B43,Database!$B$1:$IX$10144,AH$22,FALSE))=0,"",VLOOKUP($B43,Database!$B$1:$IX$10144,AH$22,FALSE)))</f>
        <v>1.5</v>
      </c>
      <c r="AI43" s="22">
        <f>IF(OR($B43="",AI$22=""),"",IF(LEN(VLOOKUP($B43,Database!$B$1:$IX$10144,AI$22,FALSE))=0,"",VLOOKUP($B43,Database!$B$1:$IX$10144,AI$22,FALSE)))</f>
        <v>1.3</v>
      </c>
      <c r="AJ43" s="22" t="str">
        <f>IF(OR($B43="",AJ$22=""),"",IF(LEN(VLOOKUP($B43,Database!$B$1:$IX$10144,AJ$22,FALSE))=0,"",VLOOKUP($B43,Database!$B$1:$IX$10144,AJ$22,FALSE)))</f>
        <v/>
      </c>
      <c r="AK43" s="22">
        <f>IF(OR($B43="",AK$22=""),"",IF(LEN(VLOOKUP($B43,Database!$B$1:$IX$10144,AK$22,FALSE))=0,"",VLOOKUP($B43,Database!$B$1:$IX$10144,AK$22,FALSE)))</f>
        <v>28</v>
      </c>
      <c r="AL43" s="22">
        <f>IF(OR($B43="",AL$22=""),"",IF(LEN(VLOOKUP($B43,Database!$B$1:$IX$10144,AL$22,FALSE))=0,"",VLOOKUP($B43,Database!$B$1:$IX$10144,AL$22,FALSE)))</f>
        <v>23</v>
      </c>
      <c r="AM43" s="22">
        <f>IF(OR($B43="",AM$22=""),"",IF(LEN(VLOOKUP($B43,Database!$B$1:$IX$10144,AM$22,FALSE))=0,"",VLOOKUP($B43,Database!$B$1:$IX$10144,AM$22,FALSE)))</f>
        <v>100</v>
      </c>
      <c r="AN43" s="22" t="str">
        <f>IF(OR($B43="",AN$22=""),"",IF(LEN(VLOOKUP($B43,Database!$B$1:$IX$10144,AN$22,FALSE))=0,"",VLOOKUP($B43,Database!$B$1:$IX$10144,AN$22,FALSE)))</f>
        <v>ns</v>
      </c>
      <c r="AO43" s="22" t="str">
        <f>IF(OR($B43="",AO$22=""),"",IF(LEN(VLOOKUP($B43,Database!$B$1:$IX$10144,AO$22,FALSE))=0,"",VLOOKUP($B43,Database!$B$1:$IX$10144,AO$22,FALSE)))</f>
        <v>ns</v>
      </c>
      <c r="AP43" s="22">
        <f>IF(OR($B43="",AP$22=""),"",IF(LEN(VLOOKUP($B43,Database!$B$1:$IX$10144,AP$22,FALSE))=0,"",VLOOKUP($B43,Database!$B$1:$IX$10144,AP$22,FALSE)))</f>
        <v>0</v>
      </c>
      <c r="AQ43" s="22" t="str">
        <f>IF(OR($B43="",AQ$22=""),"",IF(LEN(VLOOKUP($B43,Database!$B$1:$IX$10144,AQ$22,FALSE))=0,"",VLOOKUP($B43,Database!$B$1:$IX$10144,AQ$22,FALSE)))</f>
        <v>Weniger G, Lange C, Irle E.</v>
      </c>
      <c r="AR43" s="13"/>
      <c r="AX43" s="13"/>
      <c r="AY43" s="13"/>
      <c r="AZ43" s="13"/>
      <c r="BA43" s="13"/>
      <c r="BC43" s="23"/>
      <c r="BF43" s="136"/>
      <c r="BG43" s="136"/>
      <c r="BH43" s="136"/>
      <c r="BI43" s="136"/>
    </row>
    <row r="44" spans="1:61">
      <c r="B44">
        <v>16461856</v>
      </c>
      <c r="C44" s="1" t="str">
        <f>IF($B44="","",HYPERLINK(IF(LEN(VLOOKUP($B44,Database!$B$1:$IX$10144,2,FALSE))=0,"",VLOOKUP($B44,Database!$B$1:$IX$10144,2,FALSE))))</f>
        <v/>
      </c>
      <c r="D44" s="1" t="str">
        <f>IF($B44="","",HYPERLINK(CONCATENATE("http://www.ncbi.nlm.nih.gov/pubmed/",B44)))</f>
        <v>http://www.ncbi.nlm.nih.gov/pubmed/16461856</v>
      </c>
      <c r="E44" s="22" t="str">
        <f>IF($B44="","",IF(LEN(VLOOKUP($B44,Database!$B$1:$IX$10144,4,FALSE))=0,"",VLOOKUP($B44,Database!$B$1:$IX$10144,4,FALSE)))</f>
        <v>Velakoulis D</v>
      </c>
      <c r="F44" s="22">
        <f>IF($B44="","",IF(LEN(VLOOKUP($B44,Database!$B$1:$IX$10144,5,FALSE))=0,"",VLOOKUP($B44,Database!$B$1:$IX$10144,5,FALSE)))</f>
        <v>2006</v>
      </c>
      <c r="G44" s="1" t="str">
        <f>IF($B44="","",HYPERLINK(IF(LEN(VLOOKUP($B44,Database!$B$1:$IX$10144,6,FALSE))=0,"",VLOOKUP($B44,Database!$B$1:$IX$10144,6,FALSE))))</f>
        <v>http://archpsyc.ama-assn.org/cgi/content/full/63/2/139</v>
      </c>
      <c r="H44" s="22">
        <f>IF($B44="","",IF(LEN(VLOOKUP($B44,Database!$B$1:$IX$10144,7,FALSE))=0,"",VLOOKUP($B44,Database!$B$1:$IX$10144,7,FALSE)))</f>
        <v>12</v>
      </c>
      <c r="I44" s="22">
        <f>IF($B44="","",IF(LEN(VLOOKUP($B44,Database!$B$1:$IX$10144,8,FALSE))=0,"",VLOOKUP($B44,Database!$B$1:$IX$10144,8,FALSE)))</f>
        <v>87</v>
      </c>
      <c r="J44" t="s">
        <v>887</v>
      </c>
      <c r="L44">
        <v>2849</v>
      </c>
      <c r="M44">
        <v>442</v>
      </c>
      <c r="N44">
        <v>2870</v>
      </c>
      <c r="O44">
        <v>358</v>
      </c>
      <c r="P44">
        <v>3092</v>
      </c>
      <c r="Q44">
        <v>383</v>
      </c>
      <c r="R44">
        <v>3122</v>
      </c>
      <c r="S44">
        <v>388</v>
      </c>
      <c r="X44" s="151"/>
      <c r="Y44" s="22" t="str">
        <f>IF(OR($B44="",Y$22=""),"",IF(LEN(VLOOKUP($B44,Database!$B$1:$IX$10144,Y$22,FALSE))=0,"",VLOOKUP($B44,Database!$B$1:$IX$10144,Y$22,FALSE)))</f>
        <v>DSM-III-R</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22.6</v>
      </c>
      <c r="AC44" s="22">
        <f>IF(OR($B44="",AC$22=""),"",IF(LEN(VLOOKUP($B44,Database!$B$1:$IX$10144,AC$22,FALSE))=0,"",VLOOKUP($B44,Database!$B$1:$IX$10144,AC$22,FALSE)))</f>
        <v>4.0999999999999996</v>
      </c>
      <c r="AD44" s="22">
        <f>IF(OR($B44="",AD$22=""),"",IF(LEN(VLOOKUP($B44,Database!$B$1:$IX$10144,AD$22,FALSE))=0,"",VLOOKUP($B44,Database!$B$1:$IX$10144,AD$22,FALSE)))</f>
        <v>26.9</v>
      </c>
      <c r="AE44" s="22">
        <f>IF(OR($B44="",AE$22=""),"",IF(LEN(VLOOKUP($B44,Database!$B$1:$IX$10144,AE$22,FALSE))=0,"",VLOOKUP($B44,Database!$B$1:$IX$10144,AE$22,FALSE)))</f>
        <v>10</v>
      </c>
      <c r="AF44" s="22">
        <f>IF(OR($B44="",AF$22=""),"",IF(LEN(VLOOKUP($B44,Database!$B$1:$IX$10144,AF$22,FALSE))=0,"",VLOOKUP($B44,Database!$B$1:$IX$10144,AF$22,FALSE)))</f>
        <v>5</v>
      </c>
      <c r="AG44" s="22">
        <f>IF(OR($B44="",AG$22=""),"",IF(LEN(VLOOKUP($B44,Database!$B$1:$IX$10144,AG$22,FALSE))=0,"",VLOOKUP($B44,Database!$B$1:$IX$10144,AG$22,FALSE)))</f>
        <v>32</v>
      </c>
      <c r="AH44" s="22">
        <f>IF(OR($B44="",AH$22=""),"",IF(LEN(VLOOKUP($B44,Database!$B$1:$IX$10144,AH$22,FALSE))=0,"",VLOOKUP($B44,Database!$B$1:$IX$10144,AH$22,FALSE)))</f>
        <v>1.5</v>
      </c>
      <c r="AI44" s="22">
        <f>IF(OR($B44="",AI$22=""),"",IF(LEN(VLOOKUP($B44,Database!$B$1:$IX$10144,AI$22,FALSE))=0,"",VLOOKUP($B44,Database!$B$1:$IX$10144,AI$22,FALSE)))</f>
        <v>1.5</v>
      </c>
      <c r="AJ44" s="22" t="str">
        <f>IF(OR($B44="",AJ$22=""),"",IF(LEN(VLOOKUP($B44,Database!$B$1:$IX$10144,AJ$22,FALSE))=0,"",VLOOKUP($B44,Database!$B$1:$IX$10144,AJ$22,FALSE)))</f>
        <v/>
      </c>
      <c r="AK44" s="22">
        <f>IF(OR($B44="",AK$22=""),"",IF(LEN(VLOOKUP($B44,Database!$B$1:$IX$10144,AK$22,FALSE))=0,"",VLOOKUP($B44,Database!$B$1:$IX$10144,AK$22,FALSE)))</f>
        <v>21.5</v>
      </c>
      <c r="AL44" s="22" t="str">
        <f>IF(OR($B44="",AL$22=""),"",IF(LEN(VLOOKUP($B44,Database!$B$1:$IX$10144,AL$22,FALSE))=0,"",VLOOKUP($B44,Database!$B$1:$IX$10144,AL$22,FALSE)))</f>
        <v>ns</v>
      </c>
      <c r="AM44" s="22" t="str">
        <f>IF(OR($B44="",AM$22=""),"",IF(LEN(VLOOKUP($B44,Database!$B$1:$IX$10144,AM$22,FALSE))=0,"",VLOOKUP($B44,Database!$B$1:$IX$10144,AM$22,FALSE)))</f>
        <v>ns</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Velakoulis D, Wood SJ, Wong MT, McGorry PD, Yung A, Phillips L, Smith D, Brewer W, Proffitt T, Desmond P, Pantelis C.</v>
      </c>
      <c r="AR44" s="13"/>
      <c r="AX44" s="13"/>
      <c r="AY44" s="13"/>
      <c r="AZ44" s="13"/>
      <c r="BA44" s="13"/>
      <c r="BC44" s="23"/>
      <c r="BF44" s="136"/>
      <c r="BG44" s="136"/>
      <c r="BH44" s="136"/>
      <c r="BI44" s="136"/>
    </row>
    <row r="45" spans="1:61">
      <c r="B45">
        <v>17949901</v>
      </c>
      <c r="C45" s="1" t="str">
        <f>IF($B45="","",HYPERLINK(IF(LEN(VLOOKUP($B45,Database!$B$1:$IX$10144,2,FALSE))=0,"",VLOOKUP($B45,Database!$B$1:$IX$10144,2,FALSE))))</f>
        <v/>
      </c>
      <c r="D45" s="1" t="str">
        <f t="shared" si="0"/>
        <v>http://www.ncbi.nlm.nih.gov/pubmed/17949901</v>
      </c>
      <c r="E45" s="22" t="str">
        <f>IF($B45="","",IF(LEN(VLOOKUP($B45,Database!$B$1:$IX$10144,4,FALSE))=0,"",VLOOKUP($B45,Database!$B$1:$IX$10144,4,FALSE)))</f>
        <v>Caetano SC</v>
      </c>
      <c r="F45" s="22">
        <f>IF($B45="","",IF(LEN(VLOOKUP($B45,Database!$B$1:$IX$10144,5,FALSE))=0,"",VLOOKUP($B45,Database!$B$1:$IX$10144,5,FALSE)))</f>
        <v>2007</v>
      </c>
      <c r="G45" s="1" t="str">
        <f>IF($B45="","",HYPERLINK(IF(LEN(VLOOKUP($B45,Database!$B$1:$IX$10144,6,FALSE))=0,"",VLOOKUP($B45,Database!$B$1:$IX$10144,6,FALSE))))</f>
        <v>http://dx.doi.org/10.1016/j.neulet.2007.06.014</v>
      </c>
      <c r="H45" s="22">
        <f>IF($B45="","",IF(LEN(VLOOKUP($B45,Database!$B$1:$IX$10144,7,FALSE))=0,"",VLOOKUP($B45,Database!$B$1:$IX$10144,7,FALSE)))</f>
        <v>19</v>
      </c>
      <c r="I45" s="22">
        <f>IF($B45="","",IF(LEN(VLOOKUP($B45,Database!$B$1:$IX$10144,8,FALSE))=0,"",VLOOKUP($B45,Database!$B$1:$IX$10144,8,FALSE)))</f>
        <v>24</v>
      </c>
      <c r="J45" t="s">
        <v>1378</v>
      </c>
      <c r="L45">
        <v>1.89</v>
      </c>
      <c r="M45">
        <v>0.16</v>
      </c>
      <c r="N45">
        <v>1.99</v>
      </c>
      <c r="O45">
        <v>0.18</v>
      </c>
      <c r="P45">
        <v>1.97</v>
      </c>
      <c r="Q45">
        <v>0.19</v>
      </c>
      <c r="R45">
        <v>2.04</v>
      </c>
      <c r="S45">
        <v>0.26</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13</v>
      </c>
      <c r="AC45" s="22">
        <f>IF(OR($B45="",AC$22=""),"",IF(LEN(VLOOKUP($B45,Database!$B$1:$IX$10144,AC$22,FALSE))=0,"",VLOOKUP($B45,Database!$B$1:$IX$10144,AC$22,FALSE)))</f>
        <v>2.4</v>
      </c>
      <c r="AD45" s="22">
        <f>IF(OR($B45="",AD$22=""),"",IF(LEN(VLOOKUP($B45,Database!$B$1:$IX$10144,AD$22,FALSE))=0,"",VLOOKUP($B45,Database!$B$1:$IX$10144,AD$22,FALSE)))</f>
        <v>13.9</v>
      </c>
      <c r="AE45" s="22">
        <f>IF(OR($B45="",AE$22=""),"",IF(LEN(VLOOKUP($B45,Database!$B$1:$IX$10144,AE$22,FALSE))=0,"",VLOOKUP($B45,Database!$B$1:$IX$10144,AE$22,FALSE)))</f>
        <v>2.9</v>
      </c>
      <c r="AF45" s="22">
        <f>IF(OR($B45="",AF$22=""),"",IF(LEN(VLOOKUP($B45,Database!$B$1:$IX$10144,AF$22,FALSE))=0,"",VLOOKUP($B45,Database!$B$1:$IX$10144,AF$22,FALSE)))</f>
        <v>6</v>
      </c>
      <c r="AG45" s="22">
        <f>IF(OR($B45="",AG$22=""),"",IF(LEN(VLOOKUP($B45,Database!$B$1:$IX$10144,AG$22,FALSE))=0,"",VLOOKUP($B45,Database!$B$1:$IX$10144,AG$22,FALSE)))</f>
        <v>11</v>
      </c>
      <c r="AH45" s="22">
        <f>IF(OR($B45="",AH$22=""),"",IF(LEN(VLOOKUP($B45,Database!$B$1:$IX$10144,AH$22,FALSE))=0,"",VLOOKUP($B45,Database!$B$1:$IX$10144,AH$22,FALSE)))</f>
        <v>1.5</v>
      </c>
      <c r="AI45" s="22">
        <f>IF(OR($B45="",AI$22=""),"",IF(LEN(VLOOKUP($B45,Database!$B$1:$IX$10144,AI$22,FALSE))=0,"",VLOOKUP($B45,Database!$B$1:$IX$10144,AI$22,FALSE)))</f>
        <v>1</v>
      </c>
      <c r="AJ45" s="22" t="str">
        <f>IF(OR($B45="",AJ$22=""),"",IF(LEN(VLOOKUP($B45,Database!$B$1:$IX$10144,AJ$22,FALSE))=0,"",VLOOKUP($B45,Database!$B$1:$IX$10144,AJ$22,FALSE)))</f>
        <v/>
      </c>
      <c r="AK45" s="22">
        <f>IF(OR($B45="",AK$22=""),"",IF(LEN(VLOOKUP($B45,Database!$B$1:$IX$10144,AK$22,FALSE))=0,"",VLOOKUP($B45,Database!$B$1:$IX$10144,AK$22,FALSE)))</f>
        <v>10.3</v>
      </c>
      <c r="AL45" s="22" t="str">
        <f>IF(OR($B45="",AL$22=""),"",IF(LEN(VLOOKUP($B45,Database!$B$1:$IX$10144,AL$22,FALSE))=0,"",VLOOKUP($B45,Database!$B$1:$IX$10144,AL$22,FALSE)))</f>
        <v>ns</v>
      </c>
      <c r="AM45" s="22">
        <f>IF(OR($B45="",AM$22=""),"",IF(LEN(VLOOKUP($B45,Database!$B$1:$IX$10144,AM$22,FALSE))=0,"",VLOOKUP($B45,Database!$B$1:$IX$10144,AM$22,FALSE)))</f>
        <v>47.368421052631575</v>
      </c>
      <c r="AN45" s="22" t="str">
        <f>IF(OR($B45="",AN$22=""),"",IF(LEN(VLOOKUP($B45,Database!$B$1:$IX$10144,AN$22,FALSE))=0,"",VLOOKUP($B45,Database!$B$1:$IX$10144,AN$22,FALSE)))</f>
        <v>ns</v>
      </c>
      <c r="AO45" s="22" t="str">
        <f>IF(OR($B45="",AO$22=""),"",IF(LEN(VLOOKUP($B45,Database!$B$1:$IX$10144,AO$22,FALSE))=0,"",VLOOKUP($B45,Database!$B$1:$IX$10144,AO$22,FALSE)))</f>
        <v>ns</v>
      </c>
      <c r="AP45" s="22">
        <f>IF(OR($B45="",AP$22=""),"",IF(LEN(VLOOKUP($B45,Database!$B$1:$IX$10144,AP$22,FALSE))=0,"",VLOOKUP($B45,Database!$B$1:$IX$10144,AP$22,FALSE)))</f>
        <v>52.631578947368418</v>
      </c>
      <c r="AQ45" s="22" t="str">
        <f>IF(OR($B45="",AQ$22=""),"",IF(LEN(VLOOKUP($B45,Database!$B$1:$IX$10144,AQ$22,FALSE))=0,"",VLOOKUP($B45,Database!$B$1:$IX$10144,AQ$22,FALSE)))</f>
        <v>Caetano SC, Fonseca M, Hatch JP, Olvera RL, Nicoletti M, Hunter K, Lafer B, Pliszka SR, Soares JC.</v>
      </c>
      <c r="AR45" s="13"/>
      <c r="AX45" s="13"/>
      <c r="AY45" s="13"/>
      <c r="AZ45" s="13"/>
      <c r="BA45" s="13"/>
      <c r="BC45" s="23"/>
      <c r="BF45" s="136"/>
      <c r="BG45" s="136"/>
      <c r="BH45" s="136"/>
      <c r="BI45" s="136"/>
    </row>
    <row r="46" spans="1:61">
      <c r="B46">
        <v>17023001</v>
      </c>
      <c r="C46" s="1" t="str">
        <f>IF($B46="","",HYPERLINK(IF(LEN(VLOOKUP($B46,Database!$B$1:$IX$10144,2,FALSE))=0,"",VLOOKUP($B46,Database!$B$1:$IX$10144,2,FALSE))))</f>
        <v/>
      </c>
      <c r="D46" s="1" t="str">
        <f t="shared" si="0"/>
        <v>http://www.ncbi.nlm.nih.gov/pubmed/17023001</v>
      </c>
      <c r="E46" s="22" t="str">
        <f>IF($B46="","",IF(LEN(VLOOKUP($B46,Database!$B$1:$IX$10144,4,FALSE))=0,"",VLOOKUP($B46,Database!$B$1:$IX$10144,4,FALSE)))</f>
        <v>Colla M</v>
      </c>
      <c r="F46" s="22">
        <f>IF($B46="","",IF(LEN(VLOOKUP($B46,Database!$B$1:$IX$10144,5,FALSE))=0,"",VLOOKUP($B46,Database!$B$1:$IX$10144,5,FALSE)))</f>
        <v>2007</v>
      </c>
      <c r="G46" s="1" t="str">
        <f>IF($B46="","",HYPERLINK(IF(LEN(VLOOKUP($B46,Database!$B$1:$IX$10144,6,FALSE))=0,"",VLOOKUP($B46,Database!$B$1:$IX$10144,6,FALSE))))</f>
        <v>http://dx.doi.org/10.1016/j.jpsychires.2006.06.011</v>
      </c>
      <c r="H46" s="22">
        <f>IF($B46="","",IF(LEN(VLOOKUP($B46,Database!$B$1:$IX$10144,7,FALSE))=0,"",VLOOKUP($B46,Database!$B$1:$IX$10144,7,FALSE)))</f>
        <v>24</v>
      </c>
      <c r="I46" s="22">
        <f>IF($B46="","",IF(LEN(VLOOKUP($B46,Database!$B$1:$IX$10144,8,FALSE))=0,"",VLOOKUP($B46,Database!$B$1:$IX$10144,8,FALSE)))</f>
        <v>14</v>
      </c>
      <c r="J46" t="s">
        <v>1615</v>
      </c>
      <c r="L46">
        <v>1.68</v>
      </c>
      <c r="M46">
        <v>0.27</v>
      </c>
      <c r="N46">
        <v>1.86</v>
      </c>
      <c r="O46">
        <v>0.15</v>
      </c>
      <c r="P46">
        <v>1.78</v>
      </c>
      <c r="Q46">
        <v>0.26</v>
      </c>
      <c r="R46">
        <v>2</v>
      </c>
      <c r="S46">
        <v>0.18</v>
      </c>
      <c r="T46">
        <v>3.46</v>
      </c>
      <c r="U46">
        <v>0.52</v>
      </c>
      <c r="V46">
        <v>3.86</v>
      </c>
      <c r="W46">
        <v>0.32</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54.5</v>
      </c>
      <c r="AC46" s="22">
        <f>IF(OR($B46="",AC$22=""),"",IF(LEN(VLOOKUP($B46,Database!$B$1:$IX$10144,AC$22,FALSE))=0,"",VLOOKUP($B46,Database!$B$1:$IX$10144,AC$22,FALSE)))</f>
        <v>11.9</v>
      </c>
      <c r="AD46" s="22">
        <f>IF(OR($B46="",AD$22=""),"",IF(LEN(VLOOKUP($B46,Database!$B$1:$IX$10144,AD$22,FALSE))=0,"",VLOOKUP($B46,Database!$B$1:$IX$10144,AD$22,FALSE)))</f>
        <v>53.8</v>
      </c>
      <c r="AE46" s="22">
        <f>IF(OR($B46="",AE$22=""),"",IF(LEN(VLOOKUP($B46,Database!$B$1:$IX$10144,AE$22,FALSE))=0,"",VLOOKUP($B46,Database!$B$1:$IX$10144,AE$22,FALSE)))</f>
        <v>17.7</v>
      </c>
      <c r="AF46" s="22">
        <f>IF(OR($B46="",AF$22=""),"",IF(LEN(VLOOKUP($B46,Database!$B$1:$IX$10144,AF$22,FALSE))=0,"",VLOOKUP($B46,Database!$B$1:$IX$10144,AF$22,FALSE)))</f>
        <v>15</v>
      </c>
      <c r="AG46" s="22">
        <f>IF(OR($B46="",AG$22=""),"",IF(LEN(VLOOKUP($B46,Database!$B$1:$IX$10144,AG$22,FALSE))=0,"",VLOOKUP($B46,Database!$B$1:$IX$10144,AG$22,FALSE)))</f>
        <v>8</v>
      </c>
      <c r="AH46" s="22">
        <f>IF(OR($B46="",AH$22=""),"",IF(LEN(VLOOKUP($B46,Database!$B$1:$IX$10144,AH$22,FALSE))=0,"",VLOOKUP($B46,Database!$B$1:$IX$10144,AH$22,FALSE)))</f>
        <v>1.5</v>
      </c>
      <c r="AI46" s="22">
        <f>IF(OR($B46="",AI$22=""),"",IF(LEN(VLOOKUP($B46,Database!$B$1:$IX$10144,AI$22,FALSE))=0,"",VLOOKUP($B46,Database!$B$1:$IX$10144,AI$22,FALSE)))</f>
        <v>1.05</v>
      </c>
      <c r="AJ46" s="22" t="str">
        <f>IF(OR($B46="",AJ$22=""),"",IF(LEN(VLOOKUP($B46,Database!$B$1:$IX$10144,AJ$22,FALSE))=0,"",VLOOKUP($B46,Database!$B$1:$IX$10144,AJ$22,FALSE)))</f>
        <v/>
      </c>
      <c r="AK46" s="22" t="str">
        <f>IF(OR($B46="",AK$22=""),"",IF(LEN(VLOOKUP($B46,Database!$B$1:$IX$10144,AK$22,FALSE))=0,"",VLOOKUP($B46,Database!$B$1:$IX$10144,AK$22,FALSE)))</f>
        <v>ns</v>
      </c>
      <c r="AL46" s="22">
        <f>IF(OR($B46="",AL$22=""),"",IF(LEN(VLOOKUP($B46,Database!$B$1:$IX$10144,AL$22,FALSE))=0,"",VLOOKUP($B46,Database!$B$1:$IX$10144,AL$22,FALSE)))</f>
        <v>25.3</v>
      </c>
      <c r="AM46" s="22">
        <f>IF(OR($B46="",AM$22=""),"",IF(LEN(VLOOKUP($B46,Database!$B$1:$IX$10144,AM$22,FALSE))=0,"",VLOOKUP($B46,Database!$B$1:$IX$10144,AM$22,FALSE)))</f>
        <v>0</v>
      </c>
      <c r="AN46" s="22">
        <f>IF(OR($B46="",AN$22=""),"",IF(LEN(VLOOKUP($B46,Database!$B$1:$IX$10144,AN$22,FALSE))=0,"",VLOOKUP($B46,Database!$B$1:$IX$10144,AN$22,FALSE)))</f>
        <v>0</v>
      </c>
      <c r="AO46" s="22">
        <f>IF(OR($B46="",AO$22=""),"",IF(LEN(VLOOKUP($B46,Database!$B$1:$IX$10144,AO$22,FALSE))=0,"",VLOOKUP($B46,Database!$B$1:$IX$10144,AO$22,FALSE)))</f>
        <v>0</v>
      </c>
      <c r="AP46" s="22" t="str">
        <f>IF(OR($B46="",AP$22=""),"",IF(LEN(VLOOKUP($B46,Database!$B$1:$IX$10144,AP$22,FALSE))=0,"",VLOOKUP($B46,Database!$B$1:$IX$10144,AP$22,FALSE)))</f>
        <v>ns</v>
      </c>
      <c r="AQ46" s="22" t="str">
        <f>IF(OR($B46="",AQ$22=""),"",IF(LEN(VLOOKUP($B46,Database!$B$1:$IX$10144,AQ$22,FALSE))=0,"",VLOOKUP($B46,Database!$B$1:$IX$10144,AQ$22,FALSE)))</f>
        <v>Colla M, Kronenberg G, Deuschle M, Meichel K, Hagen T, Bohrer M, Heuser I.</v>
      </c>
      <c r="AR46" s="13"/>
      <c r="AX46" s="13"/>
      <c r="AY46" s="13"/>
      <c r="AZ46" s="13"/>
      <c r="BA46" s="13"/>
      <c r="BC46" s="23"/>
      <c r="BF46" s="136"/>
      <c r="BG46" s="136"/>
      <c r="BH46" s="136"/>
      <c r="BI46" s="136"/>
    </row>
    <row r="47" spans="1:61">
      <c r="A47" s="10"/>
      <c r="B47">
        <v>17604352</v>
      </c>
      <c r="C47" s="1" t="str">
        <f>IF($B47="","",HYPERLINK(IF(LEN(VLOOKUP($B47,Database!$B$1:$IX$10144,2,FALSE))=0,"",VLOOKUP($B47,Database!$B$1:$IX$10144,2,FALSE))))</f>
        <v/>
      </c>
      <c r="D47" s="1" t="str">
        <f t="shared" si="0"/>
        <v>http://www.ncbi.nlm.nih.gov/pubmed/17604352</v>
      </c>
      <c r="E47" s="22" t="str">
        <f>IF($B47="","",IF(LEN(VLOOKUP($B47,Database!$B$1:$IX$10144,4,FALSE))=0,"",VLOOKUP($B47,Database!$B$1:$IX$10144,4,FALSE)))</f>
        <v>Maller JJ</v>
      </c>
      <c r="F47" s="22">
        <f>IF($B47="","",IF(LEN(VLOOKUP($B47,Database!$B$1:$IX$10144,5,FALSE))=0,"",VLOOKUP($B47,Database!$B$1:$IX$10144,5,FALSE)))</f>
        <v>2007</v>
      </c>
      <c r="G47" s="1" t="str">
        <f>IF($B47="","",HYPERLINK(IF(LEN(VLOOKUP($B47,Database!$B$1:$IX$10144,6,FALSE))=0,"",VLOOKUP($B47,Database!$B$1:$IX$10144,6,FALSE))))</f>
        <v>http://dx.doi.org/10.1002/hipo.20339</v>
      </c>
      <c r="H47" s="83">
        <v>22</v>
      </c>
      <c r="I47" s="83">
        <v>13</v>
      </c>
      <c r="J47" t="s">
        <v>1266</v>
      </c>
      <c r="K47" t="s">
        <v>1367</v>
      </c>
      <c r="L47">
        <v>3010.56</v>
      </c>
      <c r="M47">
        <v>291.39999999999998</v>
      </c>
      <c r="N47">
        <v>3270.01</v>
      </c>
      <c r="O47">
        <v>429.57</v>
      </c>
      <c r="P47">
        <v>2977.8</v>
      </c>
      <c r="Q47">
        <v>276.56</v>
      </c>
      <c r="R47">
        <v>3202.8</v>
      </c>
      <c r="S47">
        <v>487.12</v>
      </c>
      <c r="Y47" s="22" t="str">
        <f>IF(OR($B47="",Y$22=""),"",IF(LEN(VLOOKUP($B47,Database!$B$1:$IX$10144,Y$22,FALSE))=0,"",VLOOKUP($B47,Database!$B$1:$IX$10144,Y$22,FALSE)))</f>
        <v>DSM-IV</v>
      </c>
      <c r="Z47" s="22" t="str">
        <f>IF(OR($B47="",Z$22=""),"",IF(LEN(VLOOKUP($B47,Database!$B$1:$IX$10144,Z$22,FALSE))=0,"",VLOOKUP($B47,Database!$B$1:$IX$10144,Z$22,FALSE)))</f>
        <v>MRI</v>
      </c>
      <c r="AA47" s="214" t="s">
        <v>1367</v>
      </c>
      <c r="AB47" s="83">
        <v>37.29</v>
      </c>
      <c r="AC47" s="83">
        <v>8.76</v>
      </c>
      <c r="AD47" s="83">
        <v>39.29</v>
      </c>
      <c r="AE47" s="83">
        <v>12.67</v>
      </c>
      <c r="AF47" s="83">
        <v>0</v>
      </c>
      <c r="AG47" s="83">
        <v>0</v>
      </c>
      <c r="AH47" s="22">
        <f>IF(OR($B47="",AH$22=""),"",IF(LEN(VLOOKUP($B47,Database!$B$1:$IX$10144,AH$22,FALSE))=0,"",VLOOKUP($B47,Database!$B$1:$IX$10144,AH$22,FALSE)))</f>
        <v>1.5</v>
      </c>
      <c r="AI47" s="22">
        <f>IF(OR($B47="",AI$22=""),"",IF(LEN(VLOOKUP($B47,Database!$B$1:$IX$10144,AI$22,FALSE))=0,"",VLOOKUP($B47,Database!$B$1:$IX$10144,AI$22,FALSE)))</f>
        <v>0.94</v>
      </c>
      <c r="AJ47" s="22" t="str">
        <f>IF(OR($B47="",AJ$22=""),"",IF(LEN(VLOOKUP($B47,Database!$B$1:$IX$10144,AJ$22,FALSE))=0,"",VLOOKUP($B47,Database!$B$1:$IX$10144,AJ$22,FALSE)))</f>
        <v/>
      </c>
      <c r="AK47" s="22" t="str">
        <f>IF(OR($B47="",AK$22=""),"",IF(LEN(VLOOKUP($B47,Database!$B$1:$IX$10144,AK$22,FALSE))=0,"",VLOOKUP($B47,Database!$B$1:$IX$10144,AK$22,FALSE)))</f>
        <v>ns</v>
      </c>
      <c r="AL47" s="22" t="str">
        <f>IF(OR($B47="",AL$22=""),"",IF(LEN(VLOOKUP($B47,Database!$B$1:$IX$10144,AL$22,FALSE))=0,"",VLOOKUP($B47,Database!$B$1:$IX$10144,AL$22,FALSE)))</f>
        <v>ns</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Maller JJ, Daskalakis ZJ, Fitzgerald PB.</v>
      </c>
      <c r="AR47" s="13"/>
      <c r="AX47" s="13"/>
      <c r="AY47" s="13"/>
      <c r="AZ47" s="13"/>
      <c r="BA47" s="13"/>
      <c r="BC47" s="23"/>
      <c r="BF47" s="136"/>
      <c r="BG47" s="136"/>
      <c r="BH47" s="136"/>
      <c r="BI47" s="136"/>
    </row>
    <row r="48" spans="1:61">
      <c r="A48" t="s">
        <v>2322</v>
      </c>
      <c r="B48">
        <v>17604352</v>
      </c>
      <c r="C48" s="1" t="str">
        <f>IF($B48="","",HYPERLINK(IF(LEN(VLOOKUP($B48,Database!$B$1:$IX$10144,2,FALSE))=0,"",VLOOKUP($B48,Database!$B$1:$IX$10144,2,FALSE))))</f>
        <v/>
      </c>
      <c r="D48" s="1" t="str">
        <f t="shared" si="0"/>
        <v>http://www.ncbi.nlm.nih.gov/pubmed/17604352</v>
      </c>
      <c r="E48" s="22" t="str">
        <f>IF($B48="","",IF(LEN(VLOOKUP($B48,Database!$B$1:$IX$10144,4,FALSE))=0,"",VLOOKUP($B48,Database!$B$1:$IX$10144,4,FALSE)))</f>
        <v>Maller JJ</v>
      </c>
      <c r="F48" s="22">
        <f>IF($B48="","",IF(LEN(VLOOKUP($B48,Database!$B$1:$IX$10144,5,FALSE))=0,"",VLOOKUP($B48,Database!$B$1:$IX$10144,5,FALSE)))</f>
        <v>2007</v>
      </c>
      <c r="G48" s="1" t="str">
        <f>IF($B48="","",HYPERLINK(IF(LEN(VLOOKUP($B48,Database!$B$1:$IX$10144,6,FALSE))=0,"",VLOOKUP($B48,Database!$B$1:$IX$10144,6,FALSE))))</f>
        <v>http://dx.doi.org/10.1002/hipo.20339</v>
      </c>
      <c r="H48" s="83">
        <v>23</v>
      </c>
      <c r="I48" s="83">
        <v>17</v>
      </c>
      <c r="J48" t="s">
        <v>1266</v>
      </c>
      <c r="K48" t="s">
        <v>1368</v>
      </c>
      <c r="L48">
        <v>2781.15</v>
      </c>
      <c r="M48">
        <v>376.58</v>
      </c>
      <c r="N48">
        <v>2989.96</v>
      </c>
      <c r="O48">
        <v>252.14</v>
      </c>
      <c r="P48">
        <v>2817.3</v>
      </c>
      <c r="Q48">
        <v>239.23</v>
      </c>
      <c r="R48">
        <v>2961.03</v>
      </c>
      <c r="S48">
        <v>281.60000000000002</v>
      </c>
      <c r="Y48" s="22" t="str">
        <f>IF(OR($B48="",Y$22=""),"",IF(LEN(VLOOKUP($B48,Database!$B$1:$IX$10144,Y$22,FALSE))=0,"",VLOOKUP($B48,Database!$B$1:$IX$10144,Y$22,FALSE)))</f>
        <v>DSM-IV</v>
      </c>
      <c r="Z48" s="22" t="str">
        <f>IF(OR($B48="",Z$22=""),"",IF(LEN(VLOOKUP($B48,Database!$B$1:$IX$10144,Z$22,FALSE))=0,"",VLOOKUP($B48,Database!$B$1:$IX$10144,Z$22,FALSE)))</f>
        <v>MRI</v>
      </c>
      <c r="AA48" s="214" t="s">
        <v>1368</v>
      </c>
      <c r="AB48" s="83">
        <v>37.47</v>
      </c>
      <c r="AC48" s="83">
        <v>12.96</v>
      </c>
      <c r="AD48" s="83">
        <v>35.76</v>
      </c>
      <c r="AE48" s="83">
        <v>11.03</v>
      </c>
      <c r="AF48" s="83">
        <f>IF(OR($B48="",AF$22=""),"",IF(LEN(VLOOKUP($B48,Database!$B$1:$IX$10144,AF$22,FALSE))=0,"",VLOOKUP($B48,Database!$B$1:$IX$10144,AF$22,FALSE)))</f>
        <v>23</v>
      </c>
      <c r="AG48" s="83">
        <f>IF(OR($B48="",AG$22=""),"",IF(LEN(VLOOKUP($B48,Database!$B$1:$IX$10144,AG$22,FALSE))=0,"",VLOOKUP($B48,Database!$B$1:$IX$10144,AG$22,FALSE)))</f>
        <v>17</v>
      </c>
      <c r="AH48" s="22">
        <f>IF(OR($B48="",AH$22=""),"",IF(LEN(VLOOKUP($B48,Database!$B$1:$IX$10144,AH$22,FALSE))=0,"",VLOOKUP($B48,Database!$B$1:$IX$10144,AH$22,FALSE)))</f>
        <v>1.5</v>
      </c>
      <c r="AI48" s="22">
        <f>IF(OR($B48="",AI$22=""),"",IF(LEN(VLOOKUP($B48,Database!$B$1:$IX$10144,AI$22,FALSE))=0,"",VLOOKUP($B48,Database!$B$1:$IX$10144,AI$22,FALSE)))</f>
        <v>0.94</v>
      </c>
      <c r="AJ48" s="22" t="str">
        <f>IF(OR($B48="",AJ$22=""),"",IF(LEN(VLOOKUP($B48,Database!$B$1:$IX$10144,AJ$22,FALSE))=0,"",VLOOKUP($B48,Database!$B$1:$IX$10144,AJ$22,FALSE)))</f>
        <v/>
      </c>
      <c r="AK48" s="22" t="str">
        <f>IF(OR($B48="",AK$22=""),"",IF(LEN(VLOOKUP($B48,Database!$B$1:$IX$10144,AK$22,FALSE))=0,"",VLOOKUP($B48,Database!$B$1:$IX$10144,AK$22,FALSE)))</f>
        <v>ns</v>
      </c>
      <c r="AL48" s="22" t="str">
        <f>IF(OR($B48="",AL$22=""),"",IF(LEN(VLOOKUP($B48,Database!$B$1:$IX$10144,AL$22,FALSE))=0,"",VLOOKUP($B48,Database!$B$1:$IX$10144,AL$22,FALSE)))</f>
        <v>ns</v>
      </c>
      <c r="AM48" s="22" t="str">
        <f>IF(OR($B48="",AM$22=""),"",IF(LEN(VLOOKUP($B48,Database!$B$1:$IX$10144,AM$22,FALSE))=0,"",VLOOKUP($B48,Database!$B$1:$IX$10144,AM$22,FALSE)))</f>
        <v>ns</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Maller JJ, Daskalakis ZJ, Fitzgerald PB.</v>
      </c>
      <c r="AR48" s="13"/>
      <c r="AX48" s="13"/>
      <c r="AY48" s="13"/>
      <c r="AZ48" s="13"/>
      <c r="BA48" s="13"/>
      <c r="BC48" s="23"/>
      <c r="BF48" s="136"/>
      <c r="BG48" s="136"/>
      <c r="BH48" s="136"/>
      <c r="BI48" s="136"/>
    </row>
    <row r="49" spans="1:61">
      <c r="B49">
        <v>17986679</v>
      </c>
      <c r="C49" s="1" t="str">
        <f>IF($B49="","",HYPERLINK(IF(LEN(VLOOKUP($B49,Database!$B$1:$IX$10144,2,FALSE))=0,"",VLOOKUP($B49,Database!$B$1:$IX$10144,2,FALSE))))</f>
        <v/>
      </c>
      <c r="D49" s="1" t="str">
        <f t="shared" si="0"/>
        <v>http://www.ncbi.nlm.nih.gov/pubmed/17986679</v>
      </c>
      <c r="E49" s="22" t="str">
        <f>IF($B49="","",IF(LEN(VLOOKUP($B49,Database!$B$1:$IX$10144,4,FALSE))=0,"",VLOOKUP($B49,Database!$B$1:$IX$10144,4,FALSE)))</f>
        <v>Ballmaier M (A)</v>
      </c>
      <c r="F49" s="22">
        <f>IF($B49="","",IF(LEN(VLOOKUP($B49,Database!$B$1:$IX$10144,5,FALSE))=0,"",VLOOKUP($B49,Database!$B$1:$IX$10144,5,FALSE)))</f>
        <v>2008</v>
      </c>
      <c r="G49" s="1" t="str">
        <f>IF($B49="","",HYPERLINK(IF(LEN(VLOOKUP($B49,Database!$B$1:$IX$10144,6,FALSE))=0,"",VLOOKUP($B49,Database!$B$1:$IX$10144,6,FALSE))))</f>
        <v>http://ajp.psychiatryonline.org/cgi/reprint/165/2/229</v>
      </c>
      <c r="H49" s="22">
        <f>IF($B49="","",IF(LEN(VLOOKUP($B49,Database!$B$1:$IX$10144,7,FALSE))=0,"",VLOOKUP($B49,Database!$B$1:$IX$10144,7,FALSE)))</f>
        <v>46</v>
      </c>
      <c r="I49" s="22">
        <f>IF($B49="","",IF(LEN(VLOOKUP($B49,Database!$B$1:$IX$10144,8,FALSE))=0,"",VLOOKUP($B49,Database!$B$1:$IX$10144,8,FALSE)))</f>
        <v>34</v>
      </c>
      <c r="J49" t="s">
        <v>1379</v>
      </c>
      <c r="L49">
        <v>1116.0999999999999</v>
      </c>
      <c r="M49">
        <v>222</v>
      </c>
      <c r="N49">
        <v>1272.75</v>
      </c>
      <c r="O49">
        <v>257.64999999999998</v>
      </c>
      <c r="P49">
        <v>1127.53</v>
      </c>
      <c r="Q49">
        <v>231.12</v>
      </c>
      <c r="R49">
        <v>1308.45</v>
      </c>
      <c r="S49">
        <v>245.62</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71.099999999999994</v>
      </c>
      <c r="AC49" s="22">
        <f>IF(OR($B49="",AC$22=""),"",IF(LEN(VLOOKUP($B49,Database!$B$1:$IX$10144,AC$22,FALSE))=0,"",VLOOKUP($B49,Database!$B$1:$IX$10144,AC$22,FALSE)))</f>
        <v>7.66</v>
      </c>
      <c r="AD49" s="22">
        <f>IF(OR($B49="",AD$22=""),"",IF(LEN(VLOOKUP($B49,Database!$B$1:$IX$10144,AD$22,FALSE))=0,"",VLOOKUP($B49,Database!$B$1:$IX$10144,AD$22,FALSE)))</f>
        <v>72.38</v>
      </c>
      <c r="AE49" s="22">
        <f>IF(OR($B49="",AE$22=""),"",IF(LEN(VLOOKUP($B49,Database!$B$1:$IX$10144,AE$22,FALSE))=0,"",VLOOKUP($B49,Database!$B$1:$IX$10144,AE$22,FALSE)))</f>
        <v>6.93</v>
      </c>
      <c r="AF49" s="22">
        <f>IF(OR($B49="",AF$22=""),"",IF(LEN(VLOOKUP($B49,Database!$B$1:$IX$10144,AF$22,FALSE))=0,"",VLOOKUP($B49,Database!$B$1:$IX$10144,AF$22,FALSE)))</f>
        <v>34</v>
      </c>
      <c r="AG49" s="22">
        <f>IF(OR($B49="",AG$22=""),"",IF(LEN(VLOOKUP($B49,Database!$B$1:$IX$10144,AG$22,FALSE))=0,"",VLOOKUP($B49,Database!$B$1:$IX$10144,AG$22,FALSE)))</f>
        <v>19</v>
      </c>
      <c r="AH49" s="22">
        <f>IF(OR($B49="",AH$22=""),"",IF(LEN(VLOOKUP($B49,Database!$B$1:$IX$10144,AH$22,FALSE))=0,"",VLOOKUP($B49,Database!$B$1:$IX$10144,AH$22,FALSE)))</f>
        <v>1.5</v>
      </c>
      <c r="AI49" s="22">
        <f>IF(OR($B49="",AI$22=""),"",IF(LEN(VLOOKUP($B49,Database!$B$1:$IX$10144,AI$22,FALSE))=0,"",VLOOKUP($B49,Database!$B$1:$IX$10144,AI$22,FALSE)))</f>
        <v>1.4</v>
      </c>
      <c r="AJ49" s="22" t="str">
        <f>IF(OR($B49="",AJ$22=""),"",IF(LEN(VLOOKUP($B49,Database!$B$1:$IX$10144,AJ$22,FALSE))=0,"",VLOOKUP($B49,Database!$B$1:$IX$10144,AJ$22,FALSE)))</f>
        <v/>
      </c>
      <c r="AK49" s="22">
        <f>IF(OR($B49="",AK$22=""),"",IF(LEN(VLOOKUP($B49,Database!$B$1:$IX$10144,AK$22,FALSE))=0,"",VLOOKUP($B49,Database!$B$1:$IX$10144,AK$22,FALSE)))</f>
        <v>51.43</v>
      </c>
      <c r="AL49" s="22">
        <f>IF(OR($B49="",AL$22=""),"",IF(LEN(VLOOKUP($B49,Database!$B$1:$IX$10144,AL$22,FALSE))=0,"",VLOOKUP($B49,Database!$B$1:$IX$10144,AL$22,FALSE)))</f>
        <v>17.73</v>
      </c>
      <c r="AM49" s="22">
        <f>IF(OR($B49="",AM$22=""),"",IF(LEN(VLOOKUP($B49,Database!$B$1:$IX$10144,AM$22,FALSE))=0,"",VLOOKUP($B49,Database!$B$1:$IX$10144,AM$22,FALSE)))</f>
        <v>0</v>
      </c>
      <c r="AN49" s="22">
        <f>IF(OR($B49="",AN$22=""),"",IF(LEN(VLOOKUP($B49,Database!$B$1:$IX$10144,AN$22,FALSE))=0,"",VLOOKUP($B49,Database!$B$1:$IX$10144,AN$22,FALSE)))</f>
        <v>0</v>
      </c>
      <c r="AO49" s="22">
        <f>IF(OR($B49="",AO$22=""),"",IF(LEN(VLOOKUP($B49,Database!$B$1:$IX$10144,AO$22,FALSE))=0,"",VLOOKUP($B49,Database!$B$1:$IX$10144,AO$22,FALSE)))</f>
        <v>0</v>
      </c>
      <c r="AP49" s="22">
        <f>IF(OR($B49="",AP$22=""),"",IF(LEN(VLOOKUP($B49,Database!$B$1:$IX$10144,AP$22,FALSE))=0,"",VLOOKUP($B49,Database!$B$1:$IX$10144,AP$22,FALSE)))</f>
        <v>100</v>
      </c>
      <c r="AQ49" s="22" t="str">
        <f>IF(OR($B49="",AQ$22=""),"",IF(LEN(VLOOKUP($B49,Database!$B$1:$IX$10144,AQ$22,FALSE))=0,"",VLOOKUP($B49,Database!$B$1:$IX$10144,AQ$22,FALSE)))</f>
        <v>Ballmaier M, Narr KL, Toga AW, Elderkin-Thompson V, Thompson PM, Hamilton L, Haroon E, Pham D, Heinz A, Kumar A.</v>
      </c>
      <c r="AR49" s="13"/>
      <c r="AX49" s="13"/>
      <c r="AY49" s="13"/>
      <c r="AZ49" s="13"/>
      <c r="BA49" s="13"/>
      <c r="BC49" s="23"/>
      <c r="BF49" s="136"/>
      <c r="BG49" s="136"/>
      <c r="BH49" s="136"/>
      <c r="BI49" s="136"/>
    </row>
    <row r="50" spans="1:61">
      <c r="B50">
        <v>18450931</v>
      </c>
      <c r="C50" s="1" t="str">
        <f>IF($B50="","",HYPERLINK(IF(LEN(VLOOKUP($B50,Database!$B$1:$IX$10144,2,FALSE))=0,"",VLOOKUP($B50,Database!$B$1:$IX$10144,2,FALSE))))</f>
        <v/>
      </c>
      <c r="D50" s="1" t="str">
        <f t="shared" si="0"/>
        <v>http://www.ncbi.nlm.nih.gov/pubmed/18450931</v>
      </c>
      <c r="E50" s="22" t="str">
        <f>IF($B50="","",IF(LEN(VLOOKUP($B50,Database!$B$1:$IX$10144,4,FALSE))=0,"",VLOOKUP($B50,Database!$B$1:$IX$10144,4,FALSE)))</f>
        <v>Keller J</v>
      </c>
      <c r="F50" s="22">
        <f>IF($B50="","",IF(LEN(VLOOKUP($B50,Database!$B$1:$IX$10144,5,FALSE))=0,"",VLOOKUP($B50,Database!$B$1:$IX$10144,5,FALSE)))</f>
        <v>2008</v>
      </c>
      <c r="G50" s="1" t="str">
        <f>IF($B50="","",HYPERLINK(IF(LEN(VLOOKUP($B50,Database!$B$1:$IX$10144,6,FALSE))=0,"",VLOOKUP($B50,Database!$B$1:$IX$10144,6,FALSE))))</f>
        <v>http://ajp.psychiatryonline.org/cgi/content/full/165/7/872</v>
      </c>
      <c r="H50" s="83">
        <v>23</v>
      </c>
      <c r="I50" s="83">
        <v>11</v>
      </c>
      <c r="J50" t="s">
        <v>1378</v>
      </c>
      <c r="K50" t="s">
        <v>1173</v>
      </c>
      <c r="L50">
        <v>3.86</v>
      </c>
      <c r="M50">
        <v>0.57999999999999996</v>
      </c>
      <c r="N50">
        <v>3.78</v>
      </c>
      <c r="O50">
        <v>0.49</v>
      </c>
      <c r="P50">
        <v>3.98</v>
      </c>
      <c r="Q50">
        <v>0.56999999999999995</v>
      </c>
      <c r="R50">
        <v>3.89</v>
      </c>
      <c r="S50">
        <v>0.46</v>
      </c>
      <c r="Y50" s="22" t="str">
        <f>IF(OR($B50="",Y$22=""),"",IF(LEN(VLOOKUP($B50,Database!$B$1:$IX$10144,Y$22,FALSE))=0,"",VLOOKUP($B50,Database!$B$1:$IX$10144,Y$22,FALSE)))</f>
        <v>DSM-IV</v>
      </c>
      <c r="Z50" s="22" t="str">
        <f>IF(OR($B50="",Z$22=""),"",IF(LEN(VLOOKUP($B50,Database!$B$1:$IX$10144,Z$22,FALSE))=0,"",VLOOKUP($B50,Database!$B$1:$IX$10144,Z$22,FALSE)))</f>
        <v>MRI</v>
      </c>
      <c r="AA50" s="83" t="s">
        <v>754</v>
      </c>
      <c r="AB50" s="83">
        <v>36.5</v>
      </c>
      <c r="AC50" s="83">
        <v>13.2</v>
      </c>
      <c r="AD50" s="22">
        <f>IF(OR($B50="",AD$22=""),"",IF(LEN(VLOOKUP($B50,Database!$B$1:$IX$10144,AD$22,FALSE))=0,"",VLOOKUP($B50,Database!$B$1:$IX$10144,AD$22,FALSE)))</f>
        <v>32.200000000000003</v>
      </c>
      <c r="AE50" s="22">
        <f>IF(OR($B50="",AE$22=""),"",IF(LEN(VLOOKUP($B50,Database!$B$1:$IX$10144,AE$22,FALSE))=0,"",VLOOKUP($B50,Database!$B$1:$IX$10144,AE$22,FALSE)))</f>
        <v>11.5</v>
      </c>
      <c r="AF50" s="83">
        <v>11</v>
      </c>
      <c r="AG50" s="22">
        <f>IF(OR($B50="",AG$22=""),"",IF(LEN(VLOOKUP($B50,Database!$B$1:$IX$10144,AG$22,FALSE))=0,"",VLOOKUP($B50,Database!$B$1:$IX$10144,AG$22,FALSE)))</f>
        <v>11</v>
      </c>
      <c r="AH50" s="22">
        <f>IF(OR($B50="",AH$22=""),"",IF(LEN(VLOOKUP($B50,Database!$B$1:$IX$10144,AH$22,FALSE))=0,"",VLOOKUP($B50,Database!$B$1:$IX$10144,AH$22,FALSE)))</f>
        <v>3</v>
      </c>
      <c r="AI50" s="22">
        <f>IF(OR($B50="",AI$22=""),"",IF(LEN(VLOOKUP($B50,Database!$B$1:$IX$10144,AI$22,FALSE))=0,"",VLOOKUP($B50,Database!$B$1:$IX$10144,AI$22,FALSE)))</f>
        <v>1.5</v>
      </c>
      <c r="AJ50" s="22" t="str">
        <f>IF(OR($B50="",AJ$22=""),"",IF(LEN(VLOOKUP($B50,Database!$B$1:$IX$10144,AJ$22,FALSE))=0,"",VLOOKUP($B50,Database!$B$1:$IX$10144,AJ$22,FALSE)))</f>
        <v/>
      </c>
      <c r="AK50" s="83">
        <v>27.6</v>
      </c>
      <c r="AL50" s="83">
        <v>30.5</v>
      </c>
      <c r="AM50" s="83">
        <v>65.2</v>
      </c>
      <c r="AN50" s="83">
        <v>17.39</v>
      </c>
      <c r="AO50" s="83">
        <v>70</v>
      </c>
      <c r="AP50" s="83">
        <v>17.399999999999999</v>
      </c>
      <c r="AQ50" s="22" t="str">
        <f>IF(OR($B50="",AQ$22=""),"",IF(LEN(VLOOKUP($B50,Database!$B$1:$IX$10144,AQ$22,FALSE))=0,"",VLOOKUP($B50,Database!$B$1:$IX$10144,AQ$22,FALSE)))</f>
        <v>Keller J, Shen L, Gomez RG, Garrett A, Solvason HB, Reiss A, Schatzberg AF.</v>
      </c>
      <c r="AR50" s="13"/>
      <c r="AU50" s="13"/>
      <c r="AX50" s="13"/>
      <c r="AY50" s="13"/>
      <c r="AZ50" s="13"/>
      <c r="BA50" s="13"/>
      <c r="BC50" s="23"/>
      <c r="BF50" s="136"/>
      <c r="BG50" s="136"/>
      <c r="BH50" s="136"/>
      <c r="BI50" s="136"/>
    </row>
    <row r="51" spans="1:61">
      <c r="B51">
        <v>18450931</v>
      </c>
      <c r="C51" s="1" t="str">
        <f>IF($B51="","",HYPERLINK(IF(LEN(VLOOKUP($B51,Database!$B$1:$IX$10144,2,FALSE))=0,"",VLOOKUP($B51,Database!$B$1:$IX$10144,2,FALSE))))</f>
        <v/>
      </c>
      <c r="D51" s="1" t="str">
        <f t="shared" si="0"/>
        <v>http://www.ncbi.nlm.nih.gov/pubmed/18450931</v>
      </c>
      <c r="E51" s="22" t="str">
        <f>IF($B51="","",IF(LEN(VLOOKUP($B51,Database!$B$1:$IX$10144,4,FALSE))=0,"",VLOOKUP($B51,Database!$B$1:$IX$10144,4,FALSE)))</f>
        <v>Keller J</v>
      </c>
      <c r="F51" s="22">
        <f>IF($B51="","",IF(LEN(VLOOKUP($B51,Database!$B$1:$IX$10144,5,FALSE))=0,"",VLOOKUP($B51,Database!$B$1:$IX$10144,5,FALSE)))</f>
        <v>2008</v>
      </c>
      <c r="G51" s="1" t="str">
        <f>IF($B51="","",HYPERLINK(IF(LEN(VLOOKUP($B51,Database!$B$1:$IX$10144,6,FALSE))=0,"",VLOOKUP($B51,Database!$B$1:$IX$10144,6,FALSE))))</f>
        <v>http://ajp.psychiatryonline.org/cgi/content/full/165/7/872</v>
      </c>
      <c r="H51" s="83">
        <v>19</v>
      </c>
      <c r="I51" s="83">
        <v>11</v>
      </c>
      <c r="J51" t="s">
        <v>1378</v>
      </c>
      <c r="K51" t="s">
        <v>1000</v>
      </c>
      <c r="L51">
        <v>3.85</v>
      </c>
      <c r="M51">
        <v>0.3</v>
      </c>
      <c r="N51">
        <v>3.78</v>
      </c>
      <c r="O51">
        <v>0.49</v>
      </c>
      <c r="P51">
        <v>4.09</v>
      </c>
      <c r="Q51">
        <v>0.41</v>
      </c>
      <c r="R51">
        <v>3.89</v>
      </c>
      <c r="S51">
        <v>0.46</v>
      </c>
      <c r="Y51" s="22" t="str">
        <f>IF(OR($B51="",Y$22=""),"",IF(LEN(VLOOKUP($B51,Database!$B$1:$IX$10144,Y$22,FALSE))=0,"",VLOOKUP($B51,Database!$B$1:$IX$10144,Y$22,FALSE)))</f>
        <v>DSM-IV</v>
      </c>
      <c r="Z51" s="22" t="str">
        <f>IF(OR($B51="",Z$22=""),"",IF(LEN(VLOOKUP($B51,Database!$B$1:$IX$10144,Z$22,FALSE))=0,"",VLOOKUP($B51,Database!$B$1:$IX$10144,Z$22,FALSE)))</f>
        <v>MRI</v>
      </c>
      <c r="AA51" s="83" t="s">
        <v>755</v>
      </c>
      <c r="AB51" s="83">
        <v>36.6</v>
      </c>
      <c r="AC51" s="83">
        <v>11.9</v>
      </c>
      <c r="AD51" s="22">
        <f>IF(OR($B51="",AD$22=""),"",IF(LEN(VLOOKUP($B51,Database!$B$1:$IX$10144,AD$22,FALSE))=0,"",VLOOKUP($B51,Database!$B$1:$IX$10144,AD$22,FALSE)))</f>
        <v>32.200000000000003</v>
      </c>
      <c r="AE51" s="22">
        <f>IF(OR($B51="",AE$22=""),"",IF(LEN(VLOOKUP($B51,Database!$B$1:$IX$10144,AE$22,FALSE))=0,"",VLOOKUP($B51,Database!$B$1:$IX$10144,AE$22,FALSE)))</f>
        <v>11.5</v>
      </c>
      <c r="AF51" s="83">
        <v>12</v>
      </c>
      <c r="AG51" s="22">
        <f>IF(OR($B51="",AG$22=""),"",IF(LEN(VLOOKUP($B51,Database!$B$1:$IX$10144,AG$22,FALSE))=0,"",VLOOKUP($B51,Database!$B$1:$IX$10144,AG$22,FALSE)))</f>
        <v>11</v>
      </c>
      <c r="AH51" s="22">
        <f>IF(OR($B51="",AH$22=""),"",IF(LEN(VLOOKUP($B51,Database!$B$1:$IX$10144,AH$22,FALSE))=0,"",VLOOKUP($B51,Database!$B$1:$IX$10144,AH$22,FALSE)))</f>
        <v>3</v>
      </c>
      <c r="AI51" s="22">
        <f>IF(OR($B51="",AI$22=""),"",IF(LEN(VLOOKUP($B51,Database!$B$1:$IX$10144,AI$22,FALSE))=0,"",VLOOKUP($B51,Database!$B$1:$IX$10144,AI$22,FALSE)))</f>
        <v>1.5</v>
      </c>
      <c r="AJ51" s="22" t="str">
        <f>IF(OR($B51="",AJ$22=""),"",IF(LEN(VLOOKUP($B51,Database!$B$1:$IX$10144,AJ$22,FALSE))=0,"",VLOOKUP($B51,Database!$B$1:$IX$10144,AJ$22,FALSE)))</f>
        <v/>
      </c>
      <c r="AK51" s="83">
        <v>27</v>
      </c>
      <c r="AL51" s="83">
        <v>23.7</v>
      </c>
      <c r="AM51" s="83">
        <v>57.9</v>
      </c>
      <c r="AN51" s="83">
        <v>10.5</v>
      </c>
      <c r="AO51" s="83">
        <v>0</v>
      </c>
      <c r="AP51" s="83">
        <v>42.1</v>
      </c>
      <c r="AQ51" s="22" t="str">
        <f>IF(OR($B51="",AQ$22=""),"",IF(LEN(VLOOKUP($B51,Database!$B$1:$IX$10144,AQ$22,FALSE))=0,"",VLOOKUP($B51,Database!$B$1:$IX$10144,AQ$22,FALSE)))</f>
        <v>Keller J, Shen L, Gomez RG, Garrett A, Solvason HB, Reiss A, Schatzberg AF.</v>
      </c>
      <c r="AR51" s="13"/>
      <c r="AU51" s="13"/>
      <c r="AX51" s="13"/>
      <c r="AY51" s="13"/>
      <c r="AZ51" s="13"/>
      <c r="BA51" s="13"/>
      <c r="BC51" s="23"/>
      <c r="BF51" s="136"/>
      <c r="BG51" s="136"/>
      <c r="BH51" s="136"/>
      <c r="BI51" s="136"/>
    </row>
    <row r="52" spans="1:61">
      <c r="A52" t="s">
        <v>2112</v>
      </c>
      <c r="B52">
        <v>17640621</v>
      </c>
      <c r="C52" s="1" t="str">
        <f>IF($B52="","",HYPERLINK(IF(LEN(VLOOKUP($B52,Database!$B$1:$IX$10144,2,FALSE))=0,"",VLOOKUP($B52,Database!$B$1:$IX$10144,2,FALSE))))</f>
        <v/>
      </c>
      <c r="D52" s="1" t="str">
        <f t="shared" si="0"/>
        <v>http://www.ncbi.nlm.nih.gov/pubmed/17640621</v>
      </c>
      <c r="E52" s="22" t="str">
        <f>IF($B52="","",IF(LEN(VLOOKUP($B52,Database!$B$1:$IX$10144,4,FALSE))=0,"",VLOOKUP($B52,Database!$B$1:$IX$10144,4,FALSE)))</f>
        <v>MacMaster FP (B)</v>
      </c>
      <c r="F52" s="22">
        <f>IF($B52="","",IF(LEN(VLOOKUP($B52,Database!$B$1:$IX$10144,5,FALSE))=0,"",VLOOKUP($B52,Database!$B$1:$IX$10144,5,FALSE)))</f>
        <v>2008</v>
      </c>
      <c r="G52" s="1" t="str">
        <f>IF($B52="","",HYPERLINK(IF(LEN(VLOOKUP($B52,Database!$B$1:$IX$10144,6,FALSE))=0,"",VLOOKUP($B52,Database!$B$1:$IX$10144,6,FALSE))))</f>
        <v>http://dx.doi.org/10.1016/j.biopsych.2007.05.005</v>
      </c>
      <c r="H52" s="83">
        <v>16</v>
      </c>
      <c r="I52" s="83">
        <v>17</v>
      </c>
      <c r="J52" t="s">
        <v>877</v>
      </c>
      <c r="K52" t="s">
        <v>634</v>
      </c>
      <c r="L52">
        <v>2.76</v>
      </c>
      <c r="M52">
        <v>0.27</v>
      </c>
      <c r="N52">
        <v>3.06</v>
      </c>
      <c r="O52">
        <v>0.49</v>
      </c>
      <c r="P52">
        <v>2.84</v>
      </c>
      <c r="Q52">
        <v>0.46</v>
      </c>
      <c r="R52">
        <v>2.99</v>
      </c>
      <c r="S52">
        <v>0.27</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14.08</v>
      </c>
      <c r="AC52" s="22">
        <f>IF(OR($B52="",AC$22=""),"",IF(LEN(VLOOKUP($B52,Database!$B$1:$IX$10144,AC$22,FALSE))=0,"",VLOOKUP($B52,Database!$B$1:$IX$10144,AC$22,FALSE)))</f>
        <v>2.88</v>
      </c>
      <c r="AD52" s="22">
        <f>IF(OR($B52="",AD$22=""),"",IF(LEN(VLOOKUP($B52,Database!$B$1:$IX$10144,AD$22,FALSE))=0,"",VLOOKUP($B52,Database!$B$1:$IX$10144,AD$22,FALSE)))</f>
        <v>14.51</v>
      </c>
      <c r="AE52" s="22">
        <f>IF(OR($B52="",AE$22=""),"",IF(LEN(VLOOKUP($B52,Database!$B$1:$IX$10144,AE$22,FALSE))=0,"",VLOOKUP($B52,Database!$B$1:$IX$10144,AE$22,FALSE)))</f>
        <v>2.72</v>
      </c>
      <c r="AF52" s="214">
        <v>9</v>
      </c>
      <c r="AG52" s="22">
        <f>IF(OR($B52="",AG$22=""),"",IF(LEN(VLOOKUP($B52,Database!$B$1:$IX$10144,AG$22,FALSE))=0,"",VLOOKUP($B52,Database!$B$1:$IX$10144,AG$22,FALSE)))</f>
        <v>22</v>
      </c>
      <c r="AH52" s="22">
        <f>IF(OR($B52="",AH$22=""),"",IF(LEN(VLOOKUP($B52,Database!$B$1:$IX$10144,AH$22,FALSE))=0,"",VLOOKUP($B52,Database!$B$1:$IX$10144,AH$22,FALSE)))</f>
        <v>1.5</v>
      </c>
      <c r="AI52" s="22">
        <f>IF(OR($B52="",AI$22=""),"",IF(LEN(VLOOKUP($B52,Database!$B$1:$IX$10144,AI$22,FALSE))=0,"",VLOOKUP($B52,Database!$B$1:$IX$10144,AI$22,FALSE)))</f>
        <v>1.5</v>
      </c>
      <c r="AJ52" s="22" t="str">
        <f>IF(OR($B52="",AJ$22=""),"",IF(LEN(VLOOKUP($B52,Database!$B$1:$IX$10144,AJ$22,FALSE))=0,"",VLOOKUP($B52,Database!$B$1:$IX$10144,AJ$22,FALSE)))</f>
        <v/>
      </c>
      <c r="AK52" s="22">
        <f>IF(OR($B52="",AK$22=""),"",IF(LEN(VLOOKUP($B52,Database!$B$1:$IX$10144,AK$22,FALSE))=0,"",VLOOKUP($B52,Database!$B$1:$IX$10144,AK$22,FALSE)))</f>
        <v>11.77</v>
      </c>
      <c r="AL52" s="22" t="str">
        <f>IF(OR($B52="",AL$22=""),"",IF(LEN(VLOOKUP($B52,Database!$B$1:$IX$10144,AL$22,FALSE))=0,"",VLOOKUP($B52,Database!$B$1:$IX$10144,AL$22,FALSE)))</f>
        <v>ns</v>
      </c>
      <c r="AM52" s="22">
        <f>IF(OR($B52="",AM$22=""),"",IF(LEN(VLOOKUP($B52,Database!$B$1:$IX$10144,AM$22,FALSE))=0,"",VLOOKUP($B52,Database!$B$1:$IX$10144,AM$22,FALSE)))</f>
        <v>0</v>
      </c>
      <c r="AN52" s="22">
        <f>IF(OR($B52="",AN$22=""),"",IF(LEN(VLOOKUP($B52,Database!$B$1:$IX$10144,AN$22,FALSE))=0,"",VLOOKUP($B52,Database!$B$1:$IX$10144,AN$22,FALSE)))</f>
        <v>0</v>
      </c>
      <c r="AO52" s="22">
        <f>IF(OR($B52="",AO$22=""),"",IF(LEN(VLOOKUP($B52,Database!$B$1:$IX$10144,AO$22,FALSE))=0,"",VLOOKUP($B52,Database!$B$1:$IX$10144,AO$22,FALSE)))</f>
        <v>0</v>
      </c>
      <c r="AP52" s="22">
        <f>IF(OR($B52="",AP$22=""),"",IF(LEN(VLOOKUP($B52,Database!$B$1:$IX$10144,AP$22,FALSE))=0,"",VLOOKUP($B52,Database!$B$1:$IX$10144,AP$22,FALSE)))</f>
        <v>100</v>
      </c>
      <c r="AQ52" s="22" t="str">
        <f>IF(OR($B52="",AQ$22=""),"",IF(LEN(VLOOKUP($B52,Database!$B$1:$IX$10144,AQ$22,FALSE))=0,"",VLOOKUP($B52,Database!$B$1:$IX$10144,AQ$22,FALSE)))</f>
        <v>MacMaster FP, Mirza Y, Szeszko PR, Kmiecik LE, Easter PC, Taormina SP, Lynch M, Rose M, Moore GJ, Rosenberg DR.</v>
      </c>
      <c r="AR52" s="13"/>
      <c r="AX52" s="13"/>
      <c r="AY52" s="13"/>
      <c r="AZ52" s="13"/>
      <c r="BA52" s="13"/>
      <c r="BC52" s="23"/>
      <c r="BF52" s="136"/>
      <c r="BG52" s="136"/>
      <c r="BH52" s="136"/>
      <c r="BI52" s="136"/>
    </row>
    <row r="53" spans="1:61">
      <c r="B53">
        <v>18414838</v>
      </c>
      <c r="C53" s="1" t="str">
        <f>IF($B53="","",HYPERLINK(IF(LEN(VLOOKUP($B53,Database!$B$1:$IX$10144,2,FALSE))=0,"",VLOOKUP($B53,Database!$B$1:$IX$10144,2,FALSE))))</f>
        <v/>
      </c>
      <c r="D53" s="1" t="str">
        <f t="shared" ref="D53:D58" si="1">IF($B53="","",HYPERLINK(CONCATENATE("http://www.ncbi.nlm.nih.gov/pubmed/",B53)))</f>
        <v>http://www.ncbi.nlm.nih.gov/pubmed/18414838</v>
      </c>
      <c r="E53" s="22" t="str">
        <f>IF($B53="","",IF(LEN(VLOOKUP($B53,Database!$B$1:$IX$10144,4,FALSE))=0,"",VLOOKUP($B53,Database!$B$1:$IX$10144,4,FALSE)))</f>
        <v>Tae WS</v>
      </c>
      <c r="F53" s="22">
        <f>IF($B53="","",IF(LEN(VLOOKUP($B53,Database!$B$1:$IX$10144,5,FALSE))=0,"",VLOOKUP($B53,Database!$B$1:$IX$10144,5,FALSE)))</f>
        <v>2008</v>
      </c>
      <c r="G53" s="1" t="str">
        <f>IF($B53="","",HYPERLINK(IF(LEN(VLOOKUP($B53,Database!$B$1:$IX$10144,6,FALSE))=0,"",VLOOKUP($B53,Database!$B$1:$IX$10144,6,FALSE))))</f>
        <v>http://dx.doi.org/10.1007/s00234-008-0383-9</v>
      </c>
      <c r="H53" s="22">
        <f>IF($B53="","",IF(LEN(VLOOKUP($B53,Database!$B$1:$IX$10144,7,FALSE))=0,"",VLOOKUP($B53,Database!$B$1:$IX$10144,7,FALSE)))</f>
        <v>21</v>
      </c>
      <c r="I53" s="22">
        <f>IF($B53="","",IF(LEN(VLOOKUP($B53,Database!$B$1:$IX$10144,8,FALSE))=0,"",VLOOKUP($B53,Database!$B$1:$IX$10144,8,FALSE)))</f>
        <v>20</v>
      </c>
      <c r="J53" t="s">
        <v>643</v>
      </c>
      <c r="L53">
        <v>2589.3000000000002</v>
      </c>
      <c r="M53">
        <v>377.24</v>
      </c>
      <c r="N53">
        <v>2811.1</v>
      </c>
      <c r="O53">
        <v>226.51</v>
      </c>
      <c r="P53">
        <v>2658.5</v>
      </c>
      <c r="Q53">
        <v>412.31</v>
      </c>
      <c r="R53">
        <v>2871.9</v>
      </c>
      <c r="S53">
        <v>278.20999999999998</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41.7</v>
      </c>
      <c r="AC53" s="22">
        <f>IF(OR($B53="",AC$22=""),"",IF(LEN(VLOOKUP($B53,Database!$B$1:$IX$10144,AC$22,FALSE))=0,"",VLOOKUP($B53,Database!$B$1:$IX$10144,AC$22,FALSE)))</f>
        <v>11</v>
      </c>
      <c r="AD53" s="22">
        <f>IF(OR($B53="",AD$22=""),"",IF(LEN(VLOOKUP($B53,Database!$B$1:$IX$10144,AD$22,FALSE))=0,"",VLOOKUP($B53,Database!$B$1:$IX$10144,AD$22,FALSE)))</f>
        <v>41.9</v>
      </c>
      <c r="AE53" s="22">
        <f>IF(OR($B53="",AE$22=""),"",IF(LEN(VLOOKUP($B53,Database!$B$1:$IX$10144,AE$22,FALSE))=0,"",VLOOKUP($B53,Database!$B$1:$IX$10144,AE$22,FALSE)))</f>
        <v>10.26</v>
      </c>
      <c r="AF53" s="22">
        <f>IF(OR($B53="",AF$22=""),"",IF(LEN(VLOOKUP($B53,Database!$B$1:$IX$10144,AF$22,FALSE))=0,"",VLOOKUP($B53,Database!$B$1:$IX$10144,AF$22,FALSE)))</f>
        <v>21</v>
      </c>
      <c r="AG53" s="22">
        <f>IF(OR($B53="",AG$22=""),"",IF(LEN(VLOOKUP($B53,Database!$B$1:$IX$10144,AG$22,FALSE))=0,"",VLOOKUP($B53,Database!$B$1:$IX$10144,AG$22,FALSE)))</f>
        <v>20</v>
      </c>
      <c r="AH53" s="22">
        <f>IF(OR($B53="",AH$22=""),"",IF(LEN(VLOOKUP($B53,Database!$B$1:$IX$10144,AH$22,FALSE))=0,"",VLOOKUP($B53,Database!$B$1:$IX$10144,AH$22,FALSE)))</f>
        <v>1.5</v>
      </c>
      <c r="AI53" s="22">
        <f>IF(OR($B53="",AI$22=""),"",IF(LEN(VLOOKUP($B53,Database!$B$1:$IX$10144,AI$22,FALSE))=0,"",VLOOKUP($B53,Database!$B$1:$IX$10144,AI$22,FALSE)))</f>
        <v>1.3</v>
      </c>
      <c r="AJ53" s="22" t="str">
        <f>IF(OR($B53="",AJ$22=""),"",IF(LEN(VLOOKUP($B53,Database!$B$1:$IX$10144,AJ$22,FALSE))=0,"",VLOOKUP($B53,Database!$B$1:$IX$10144,AJ$22,FALSE)))</f>
        <v/>
      </c>
      <c r="AK53" s="22">
        <f>IF(OR($B53="",AK$22=""),"",IF(LEN(VLOOKUP($B53,Database!$B$1:$IX$10144,AK$22,FALSE))=0,"",VLOOKUP($B53,Database!$B$1:$IX$10144,AK$22,FALSE)))</f>
        <v>33.200000000000003</v>
      </c>
      <c r="AL53" s="22" t="str">
        <f>IF(OR($B53="",AL$22=""),"",IF(LEN(VLOOKUP($B53,Database!$B$1:$IX$10144,AL$22,FALSE))=0,"",VLOOKUP($B53,Database!$B$1:$IX$10144,AL$22,FALSE)))</f>
        <v>ns</v>
      </c>
      <c r="AM53" s="22">
        <f>IF(OR($B53="",AM$22=""),"",IF(LEN(VLOOKUP($B53,Database!$B$1:$IX$10144,AM$22,FALSE))=0,"",VLOOKUP($B53,Database!$B$1:$IX$10144,AM$22,FALSE)))</f>
        <v>100</v>
      </c>
      <c r="AN53" s="22">
        <f>IF(OR($B53="",AN$22=""),"",IF(LEN(VLOOKUP($B53,Database!$B$1:$IX$10144,AN$22,FALSE))=0,"",VLOOKUP($B53,Database!$B$1:$IX$10144,AN$22,FALSE)))</f>
        <v>0</v>
      </c>
      <c r="AO53" s="22">
        <f>IF(OR($B53="",AO$22=""),"",IF(LEN(VLOOKUP($B53,Database!$B$1:$IX$10144,AO$22,FALSE))=0,"",VLOOKUP($B53,Database!$B$1:$IX$10144,AO$22,FALSE)))</f>
        <v>0</v>
      </c>
      <c r="AP53" s="22">
        <f>IF(OR($B53="",AP$22=""),"",IF(LEN(VLOOKUP($B53,Database!$B$1:$IX$10144,AP$22,FALSE))=0,"",VLOOKUP($B53,Database!$B$1:$IX$10144,AP$22,FALSE)))</f>
        <v>0</v>
      </c>
      <c r="AQ53" s="22" t="str">
        <f>IF(OR($B53="",AQ$22=""),"",IF(LEN(VLOOKUP($B53,Database!$B$1:$IX$10144,AQ$22,FALSE))=0,"",VLOOKUP($B53,Database!$B$1:$IX$10144,AQ$22,FALSE)))</f>
        <v>Tae WS, Kim SS, Lee KU, Nam EC, Kim KW.</v>
      </c>
      <c r="AR53" s="13"/>
      <c r="AX53" s="13"/>
      <c r="AY53" s="13"/>
      <c r="AZ53" s="13"/>
      <c r="BA53" s="13"/>
      <c r="BC53" s="23"/>
      <c r="BF53" s="136"/>
      <c r="BG53" s="136"/>
      <c r="BH53" s="136"/>
      <c r="BI53" s="136"/>
    </row>
    <row r="54" spans="1:61">
      <c r="B54">
        <v>19071222</v>
      </c>
      <c r="C54" s="1" t="str">
        <f>IF($B54="","",HYPERLINK(IF(LEN(VLOOKUP($B54,Database!$B$1:$IX$10144,2,FALSE))=0,"",VLOOKUP($B54,Database!$B$1:$IX$10144,2,FALSE))))</f>
        <v/>
      </c>
      <c r="D54" s="1" t="str">
        <f t="shared" si="1"/>
        <v>http://www.ncbi.nlm.nih.gov/pubmed/19071222</v>
      </c>
      <c r="E54" s="22" t="str">
        <f>IF($B54="","",IF(LEN(VLOOKUP($B54,Database!$B$1:$IX$10144,4,FALSE))=0,"",VLOOKUP($B54,Database!$B$1:$IX$10144,4,FALSE)))</f>
        <v>Bergouignan L</v>
      </c>
      <c r="F54" s="22">
        <f>IF($B54="","",IF(LEN(VLOOKUP($B54,Database!$B$1:$IX$10144,5,FALSE))=0,"",VLOOKUP($B54,Database!$B$1:$IX$10144,5,FALSE)))</f>
        <v>2009</v>
      </c>
      <c r="G54" s="1" t="str">
        <f>IF($B54="","",HYPERLINK(IF(LEN(VLOOKUP($B54,Database!$B$1:$IX$10144,6,FALSE))=0,"",VLOOKUP($B54,Database!$B$1:$IX$10144,6,FALSE))))</f>
        <v>http://dx.doi.org/10.1016/j.neuroimage.2008.11.006</v>
      </c>
      <c r="H54" s="22">
        <f>IF($B54="","",IF(LEN(VLOOKUP($B54,Database!$B$1:$IX$10144,7,FALSE))=0,"",VLOOKUP($B54,Database!$B$1:$IX$10144,7,FALSE)))</f>
        <v>21</v>
      </c>
      <c r="I54" s="22">
        <f>IF($B54="","",IF(LEN(VLOOKUP($B54,Database!$B$1:$IX$10144,8,FALSE))=0,"",VLOOKUP($B54,Database!$B$1:$IX$10144,8,FALSE)))</f>
        <v>21</v>
      </c>
      <c r="J54" t="s">
        <v>651</v>
      </c>
      <c r="L54">
        <v>3.95</v>
      </c>
      <c r="M54">
        <v>0.75</v>
      </c>
      <c r="N54">
        <v>4.42</v>
      </c>
      <c r="O54">
        <v>1.04</v>
      </c>
      <c r="P54">
        <v>3.93</v>
      </c>
      <c r="Q54">
        <v>0.8</v>
      </c>
      <c r="R54">
        <v>4.5</v>
      </c>
      <c r="S54">
        <v>1.06</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33.159999999999997</v>
      </c>
      <c r="AC54" s="22">
        <f>IF(OR($B54="",AC$22=""),"",IF(LEN(VLOOKUP($B54,Database!$B$1:$IX$10144,AC$22,FALSE))=0,"",VLOOKUP($B54,Database!$B$1:$IX$10144,AC$22,FALSE)))</f>
        <v>9.58</v>
      </c>
      <c r="AD54" s="22">
        <f>IF(OR($B54="",AD$22=""),"",IF(LEN(VLOOKUP($B54,Database!$B$1:$IX$10144,AD$22,FALSE))=0,"",VLOOKUP($B54,Database!$B$1:$IX$10144,AD$22,FALSE)))</f>
        <v>28.21</v>
      </c>
      <c r="AE54" s="22">
        <f>IF(OR($B54="",AE$22=""),"",IF(LEN(VLOOKUP($B54,Database!$B$1:$IX$10144,AE$22,FALSE))=0,"",VLOOKUP($B54,Database!$B$1:$IX$10144,AE$22,FALSE)))</f>
        <v>5.5</v>
      </c>
      <c r="AF54" s="22">
        <f>IF(OR($B54="",AF$22=""),"",IF(LEN(VLOOKUP($B54,Database!$B$1:$IX$10144,AF$22,FALSE))=0,"",VLOOKUP($B54,Database!$B$1:$IX$10144,AF$22,FALSE)))</f>
        <v>17</v>
      </c>
      <c r="AG54" s="22">
        <f>IF(OR($B54="",AG$22=""),"",IF(LEN(VLOOKUP($B54,Database!$B$1:$IX$10144,AG$22,FALSE))=0,"",VLOOKUP($B54,Database!$B$1:$IX$10144,AG$22,FALSE)))</f>
        <v>14</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f>IF(OR($B54="",AK$22=""),"",IF(LEN(VLOOKUP($B54,Database!$B$1:$IX$10144,AK$22,FALSE))=0,"",VLOOKUP($B54,Database!$B$1:$IX$10144,AK$22,FALSE)))</f>
        <v>23.8</v>
      </c>
      <c r="AL54" s="22" t="str">
        <f>IF(OR($B54="",AL$22=""),"",IF(LEN(VLOOKUP($B54,Database!$B$1:$IX$10144,AL$22,FALSE))=0,"",VLOOKUP($B54,Database!$B$1:$IX$10144,AL$22,FALSE)))</f>
        <v>ns</v>
      </c>
      <c r="AM54" s="22">
        <f>IF(OR($B54="",AM$22=""),"",IF(LEN(VLOOKUP($B54,Database!$B$1:$IX$10144,AM$22,FALSE))=0,"",VLOOKUP($B54,Database!$B$1:$IX$10144,AM$22,FALSE)))</f>
        <v>100</v>
      </c>
      <c r="AN54" s="22" t="str">
        <f>IF(OR($B54="",AN$22=""),"",IF(LEN(VLOOKUP($B54,Database!$B$1:$IX$10144,AN$22,FALSE))=0,"",VLOOKUP($B54,Database!$B$1:$IX$10144,AN$22,FALSE)))</f>
        <v>ns</v>
      </c>
      <c r="AO54" s="22" t="str">
        <f>IF(OR($B54="",AO$22=""),"",IF(LEN(VLOOKUP($B54,Database!$B$1:$IX$10144,AO$22,FALSE))=0,"",VLOOKUP($B54,Database!$B$1:$IX$10144,AO$22,FALSE)))</f>
        <v>ns</v>
      </c>
      <c r="AP54" s="22">
        <f>IF(OR($B54="",AP$22=""),"",IF(LEN(VLOOKUP($B54,Database!$B$1:$IX$10144,AP$22,FALSE))=0,"",VLOOKUP($B54,Database!$B$1:$IX$10144,AP$22,FALSE)))</f>
        <v>0</v>
      </c>
      <c r="AQ54" s="22" t="str">
        <f>IF(OR($B54="",AQ$22=""),"",IF(LEN(VLOOKUP($B54,Database!$B$1:$IX$10144,AQ$22,FALSE))=0,"",VLOOKUP($B54,Database!$B$1:$IX$10144,AQ$22,FALSE)))</f>
        <v>Bergouignan L, Chupin M, Czechowska Y, Kinkingnéhun S, Lemogne C, Le Bastard G, Lepage M, Garnero L, Colliot O, Fossati P.</v>
      </c>
      <c r="AR54" s="13"/>
      <c r="AX54" s="13"/>
      <c r="AY54" s="13"/>
      <c r="AZ54" s="13"/>
      <c r="BA54" s="13"/>
      <c r="BC54" s="23"/>
      <c r="BF54" s="136"/>
      <c r="BG54" s="136"/>
      <c r="BH54" s="136"/>
      <c r="BI54" s="136"/>
    </row>
    <row r="55" spans="1:61">
      <c r="B55">
        <v>19028381</v>
      </c>
      <c r="C55" s="1" t="str">
        <f>IF($B55="","",HYPERLINK(IF(LEN(VLOOKUP($B55,Database!$B$1:$IX$10144,2,FALSE))=0,"",VLOOKUP($B55,Database!$B$1:$IX$10144,2,FALSE))))</f>
        <v/>
      </c>
      <c r="D55" s="1" t="str">
        <f t="shared" si="1"/>
        <v>http://www.ncbi.nlm.nih.gov/pubmed/19028381</v>
      </c>
      <c r="E55" s="22" t="str">
        <f>IF($B55="","",IF(LEN(VLOOKUP($B55,Database!$B$1:$IX$10144,4,FALSE))=0,"",VLOOKUP($B55,Database!$B$1:$IX$10144,4,FALSE)))</f>
        <v>van Eijndhoven P</v>
      </c>
      <c r="F55" s="22">
        <f>IF($B55="","",IF(LEN(VLOOKUP($B55,Database!$B$1:$IX$10144,5,FALSE))=0,"",VLOOKUP($B55,Database!$B$1:$IX$10144,5,FALSE)))</f>
        <v>2009</v>
      </c>
      <c r="G55" s="1" t="str">
        <f>IF($B55="","",HYPERLINK(IF(LEN(VLOOKUP($B55,Database!$B$1:$IX$10144,6,FALSE))=0,"",VLOOKUP($B55,Database!$B$1:$IX$10144,6,FALSE))))</f>
        <v>http://dx.doi.org/10.1016/j.biopsych.2008.10.027</v>
      </c>
      <c r="H55" s="83">
        <v>20</v>
      </c>
      <c r="I55" s="83">
        <v>10</v>
      </c>
      <c r="J55" t="s">
        <v>887</v>
      </c>
      <c r="K55" t="s">
        <v>864</v>
      </c>
      <c r="L55">
        <v>3620</v>
      </c>
      <c r="M55">
        <v>385</v>
      </c>
      <c r="N55">
        <v>3716</v>
      </c>
      <c r="O55">
        <v>364</v>
      </c>
      <c r="P55">
        <v>3752</v>
      </c>
      <c r="Q55">
        <v>442</v>
      </c>
      <c r="R55">
        <v>3881</v>
      </c>
      <c r="S55">
        <v>429</v>
      </c>
      <c r="Y55" s="22" t="str">
        <f>IF(OR($B55="",Y$22=""),"",IF(LEN(VLOOKUP($B55,Database!$B$1:$IX$10144,Y$22,FALSE))=0,"",VLOOKUP($B55,Database!$B$1:$IX$10144,Y$22,FALSE)))</f>
        <v>DSM-IV</v>
      </c>
      <c r="Z55" s="22" t="str">
        <f>IF(OR($B55="",Z$22=""),"",IF(LEN(VLOOKUP($B55,Database!$B$1:$IX$10144,Z$22,FALSE))=0,"",VLOOKUP($B55,Database!$B$1:$IX$10144,Z$22,FALSE)))</f>
        <v>MRI</v>
      </c>
      <c r="AA55" s="214" t="s">
        <v>2447</v>
      </c>
      <c r="AB55" s="83">
        <v>34.1</v>
      </c>
      <c r="AC55" s="83">
        <v>11.6</v>
      </c>
      <c r="AD55" s="22">
        <f>IF(OR($B55="",AD$22=""),"",IF(LEN(VLOOKUP($B55,Database!$B$1:$IX$10144,AD$22,FALSE))=0,"",VLOOKUP($B55,Database!$B$1:$IX$10144,AD$22,FALSE)))</f>
        <v>37.299999999999997</v>
      </c>
      <c r="AE55" s="22">
        <f>IF(OR($B55="",AE$22=""),"",IF(LEN(VLOOKUP($B55,Database!$B$1:$IX$10144,AE$22,FALSE))=0,"",VLOOKUP($B55,Database!$B$1:$IX$10144,AE$22,FALSE)))</f>
        <v>12.7</v>
      </c>
      <c r="AF55" s="214">
        <v>13</v>
      </c>
      <c r="AG55" s="22">
        <f>IF(OR($B55="",AG$22=""),"",IF(LEN(VLOOKUP($B55,Database!$B$1:$IX$10144,AG$22,FALSE))=0,"",VLOOKUP($B55,Database!$B$1:$IX$10144,AG$22,FALSE)))</f>
        <v>13</v>
      </c>
      <c r="AH55" s="22">
        <f>IF(OR($B55="",AH$22=""),"",IF(LEN(VLOOKUP($B55,Database!$B$1:$IX$10144,AH$22,FALSE))=0,"",VLOOKUP($B55,Database!$B$1:$IX$10144,AH$22,FALSE)))</f>
        <v>1.5</v>
      </c>
      <c r="AI55" s="22">
        <f>IF(OR($B55="",AI$22=""),"",IF(LEN(VLOOKUP($B55,Database!$B$1:$IX$10144,AI$22,FALSE))=0,"",VLOOKUP($B55,Database!$B$1:$IX$10144,AI$22,FALSE)))</f>
        <v>1</v>
      </c>
      <c r="AJ55" s="22" t="str">
        <f>IF(OR($B55="",AJ$22=""),"",IF(LEN(VLOOKUP($B55,Database!$B$1:$IX$10144,AJ$22,FALSE))=0,"",VLOOKUP($B55,Database!$B$1:$IX$10144,AJ$22,FALSE)))</f>
        <v/>
      </c>
      <c r="AK55" s="83">
        <v>34.1</v>
      </c>
      <c r="AL55" s="83">
        <v>21.08</v>
      </c>
      <c r="AM55" s="22">
        <f>IF(OR($B55="",AM$22=""),"",IF(LEN(VLOOKUP($B55,Database!$B$1:$IX$10144,AM$22,FALSE))=0,"",VLOOKUP($B55,Database!$B$1:$IX$10144,AM$22,FALSE)))</f>
        <v>0</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van Eijndhoven P, van Wingen G, van Oijen K, Rijpkema M, Goraj B, Jan Verkes R, Oude Voshaar R, Fernández G, Buitelaar J, Tendolkar I.</v>
      </c>
      <c r="AR55" s="13"/>
      <c r="AX55" s="13"/>
      <c r="AY55" s="13"/>
      <c r="AZ55" s="13"/>
      <c r="BA55" s="13"/>
      <c r="BC55" s="23"/>
      <c r="BF55" s="136"/>
      <c r="BG55" s="136"/>
      <c r="BH55" s="136"/>
      <c r="BI55" s="136"/>
    </row>
    <row r="56" spans="1:61">
      <c r="B56">
        <v>19028381</v>
      </c>
      <c r="C56" s="1" t="str">
        <f>IF($B56="","",HYPERLINK(IF(LEN(VLOOKUP($B56,Database!$B$1:$IX$10144,2,FALSE))=0,"",VLOOKUP($B56,Database!$B$1:$IX$10144,2,FALSE))))</f>
        <v/>
      </c>
      <c r="D56" s="1" t="str">
        <f t="shared" si="1"/>
        <v>http://www.ncbi.nlm.nih.gov/pubmed/19028381</v>
      </c>
      <c r="E56" s="22" t="str">
        <f>IF($B56="","",IF(LEN(VLOOKUP($B56,Database!$B$1:$IX$10144,4,FALSE))=0,"",VLOOKUP($B56,Database!$B$1:$IX$10144,4,FALSE)))</f>
        <v>van Eijndhoven P</v>
      </c>
      <c r="F56" s="22">
        <f>IF($B56="","",IF(LEN(VLOOKUP($B56,Database!$B$1:$IX$10144,5,FALSE))=0,"",VLOOKUP($B56,Database!$B$1:$IX$10144,5,FALSE)))</f>
        <v>2009</v>
      </c>
      <c r="G56" s="1" t="str">
        <f>IF($B56="","",HYPERLINK(IF(LEN(VLOOKUP($B56,Database!$B$1:$IX$10144,6,FALSE))=0,"",VLOOKUP($B56,Database!$B$1:$IX$10144,6,FALSE))))</f>
        <v>http://dx.doi.org/10.1016/j.biopsych.2008.10.027</v>
      </c>
      <c r="H56" s="83">
        <v>20</v>
      </c>
      <c r="I56" s="83">
        <v>10</v>
      </c>
      <c r="J56" t="s">
        <v>887</v>
      </c>
      <c r="K56" t="s">
        <v>357</v>
      </c>
      <c r="L56">
        <v>3600</v>
      </c>
      <c r="M56">
        <v>360</v>
      </c>
      <c r="N56">
        <v>3716</v>
      </c>
      <c r="O56">
        <v>364</v>
      </c>
      <c r="P56">
        <v>3815</v>
      </c>
      <c r="Q56">
        <v>459</v>
      </c>
      <c r="R56">
        <v>3881</v>
      </c>
      <c r="S56">
        <v>429</v>
      </c>
      <c r="Y56" s="22" t="str">
        <f>IF(OR($B56="",Y$22=""),"",IF(LEN(VLOOKUP($B56,Database!$B$1:$IX$10144,Y$22,FALSE))=0,"",VLOOKUP($B56,Database!$B$1:$IX$10144,Y$22,FALSE)))</f>
        <v>DSM-IV</v>
      </c>
      <c r="Z56" s="22" t="str">
        <f>IF(OR($B56="",Z$22=""),"",IF(LEN(VLOOKUP($B56,Database!$B$1:$IX$10144,Z$22,FALSE))=0,"",VLOOKUP($B56,Database!$B$1:$IX$10144,Z$22,FALSE)))</f>
        <v>MRI</v>
      </c>
      <c r="AA56" s="214" t="s">
        <v>2448</v>
      </c>
      <c r="AB56" s="83">
        <v>35.799999999999997</v>
      </c>
      <c r="AC56" s="83">
        <v>11.7</v>
      </c>
      <c r="AD56" s="22">
        <f>IF(OR($B56="",AD$22=""),"",IF(LEN(VLOOKUP($B56,Database!$B$1:$IX$10144,AD$22,FALSE))=0,"",VLOOKUP($B56,Database!$B$1:$IX$10144,AD$22,FALSE)))</f>
        <v>37.299999999999997</v>
      </c>
      <c r="AE56" s="22">
        <f>IF(OR($B56="",AE$22=""),"",IF(LEN(VLOOKUP($B56,Database!$B$1:$IX$10144,AE$22,FALSE))=0,"",VLOOKUP($B56,Database!$B$1:$IX$10144,AE$22,FALSE)))</f>
        <v>12.7</v>
      </c>
      <c r="AF56" s="214">
        <v>14</v>
      </c>
      <c r="AG56" s="22">
        <f>IF(OR($B56="",AG$22=""),"",IF(LEN(VLOOKUP($B56,Database!$B$1:$IX$10144,AG$22,FALSE))=0,"",VLOOKUP($B56,Database!$B$1:$IX$10144,AG$22,FALSE)))</f>
        <v>13</v>
      </c>
      <c r="AH56" s="22">
        <f>IF(OR($B56="",AH$22=""),"",IF(LEN(VLOOKUP($B56,Database!$B$1:$IX$10144,AH$22,FALSE))=0,"",VLOOKUP($B56,Database!$B$1:$IX$10144,AH$22,FALSE)))</f>
        <v>1.5</v>
      </c>
      <c r="AI56" s="22">
        <f>IF(OR($B56="",AI$22=""),"",IF(LEN(VLOOKUP($B56,Database!$B$1:$IX$10144,AI$22,FALSE))=0,"",VLOOKUP($B56,Database!$B$1:$IX$10144,AI$22,FALSE)))</f>
        <v>1</v>
      </c>
      <c r="AJ56" s="22" t="str">
        <f>IF(OR($B56="",AJ$22=""),"",IF(LEN(VLOOKUP($B56,Database!$B$1:$IX$10144,AJ$22,FALSE))=0,"",VLOOKUP($B56,Database!$B$1:$IX$10144,AJ$22,FALSE)))</f>
        <v/>
      </c>
      <c r="AK56" s="83">
        <v>33.4</v>
      </c>
      <c r="AL56" s="83">
        <v>3.4</v>
      </c>
      <c r="AM56" s="22">
        <f>IF(OR($B56="",AM$22=""),"",IF(LEN(VLOOKUP($B56,Database!$B$1:$IX$10144,AM$22,FALSE))=0,"",VLOOKUP($B56,Database!$B$1:$IX$10144,AM$22,FALSE)))</f>
        <v>0</v>
      </c>
      <c r="AN56" s="22" t="str">
        <f>IF(OR($B56="",AN$22=""),"",IF(LEN(VLOOKUP($B56,Database!$B$1:$IX$10144,AN$22,FALSE))=0,"",VLOOKUP($B56,Database!$B$1:$IX$10144,AN$22,FALSE)))</f>
        <v>ns</v>
      </c>
      <c r="AO56" s="22" t="str">
        <f>IF(OR($B56="",AO$22=""),"",IF(LEN(VLOOKUP($B56,Database!$B$1:$IX$10144,AO$22,FALSE))=0,"",VLOOKUP($B56,Database!$B$1:$IX$10144,AO$22,FALSE)))</f>
        <v>ns</v>
      </c>
      <c r="AP56" s="22" t="str">
        <f>IF(OR($B56="",AP$22=""),"",IF(LEN(VLOOKUP($B56,Database!$B$1:$IX$10144,AP$22,FALSE))=0,"",VLOOKUP($B56,Database!$B$1:$IX$10144,AP$22,FALSE)))</f>
        <v>ns</v>
      </c>
      <c r="AQ56" s="22" t="str">
        <f>IF(OR($B56="",AQ$22=""),"",IF(LEN(VLOOKUP($B56,Database!$B$1:$IX$10144,AQ$22,FALSE))=0,"",VLOOKUP($B56,Database!$B$1:$IX$10144,AQ$22,FALSE)))</f>
        <v>van Eijndhoven P, van Wingen G, van Oijen K, Rijpkema M, Goraj B, Jan Verkes R, Oude Voshaar R, Fernández G, Buitelaar J, Tendolkar I.</v>
      </c>
      <c r="AR56" s="13"/>
      <c r="AX56" s="13"/>
      <c r="AY56" s="13"/>
      <c r="AZ56" s="13"/>
      <c r="BA56" s="13"/>
      <c r="BC56" s="23"/>
      <c r="BF56" s="136"/>
      <c r="BG56" s="136"/>
      <c r="BH56" s="136"/>
      <c r="BI56" s="136"/>
    </row>
    <row r="57" spans="1:61">
      <c r="B57" s="2">
        <v>19488671</v>
      </c>
      <c r="C57" s="1" t="str">
        <f>IF($B57="","",HYPERLINK(IF(LEN(VLOOKUP($B57,Database!$B$1:$IX$10144,2,FALSE))=0,"",VLOOKUP($B57,Database!$B$1:$IX$10144,2,FALSE))))</f>
        <v/>
      </c>
      <c r="D57" s="1" t="str">
        <f t="shared" si="1"/>
        <v>http://www.ncbi.nlm.nih.gov/pubmed/19488671</v>
      </c>
      <c r="E57" s="22" t="str">
        <f>IF($B57="","",IF(LEN(VLOOKUP($B57,Database!$B$1:$IX$10144,4,FALSE))=0,"",VLOOKUP($B57,Database!$B$1:$IX$10144,4,FALSE)))</f>
        <v>Meisenzahl EM</v>
      </c>
      <c r="F57" s="22">
        <f>IF($B57="","",IF(LEN(VLOOKUP($B57,Database!$B$1:$IX$10144,5,FALSE))=0,"",VLOOKUP($B57,Database!$B$1:$IX$10144,5,FALSE)))</f>
        <v>2009</v>
      </c>
      <c r="G57" s="1" t="str">
        <f>IF($B57="","",HYPERLINK(IF(LEN(VLOOKUP($B57,Database!$B$1:$IX$10144,6,FALSE))=0,"",VLOOKUP($B57,Database!$B$1:$IX$10144,6,FALSE))))</f>
        <v>http://dx.doi.org/10.1007/s00406-009-0023-3</v>
      </c>
      <c r="H57" s="22">
        <f>IF($B57="","",IF(LEN(VLOOKUP($B57,Database!$B$1:$IX$10144,7,FALSE))=0,"",VLOOKUP($B57,Database!$B$1:$IX$10144,7,FALSE)))</f>
        <v>92</v>
      </c>
      <c r="I57" s="22">
        <f>IF($B57="","",IF(LEN(VLOOKUP($B57,Database!$B$1:$IX$10144,8,FALSE))=0,"",VLOOKUP($B57,Database!$B$1:$IX$10144,8,FALSE)))</f>
        <v>138</v>
      </c>
      <c r="J57" t="s">
        <v>2069</v>
      </c>
      <c r="L57">
        <v>3.67</v>
      </c>
      <c r="M57">
        <v>0.41</v>
      </c>
      <c r="N57">
        <v>3.83</v>
      </c>
      <c r="O57">
        <v>0.41</v>
      </c>
      <c r="P57">
        <v>3.77</v>
      </c>
      <c r="Q57">
        <v>0.42</v>
      </c>
      <c r="R57">
        <v>3.94</v>
      </c>
      <c r="S57">
        <v>0.41</v>
      </c>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f>IF(OR($B57="",AB$22=""),"",IF(LEN(VLOOKUP($B57,Database!$B$1:$IX$10144,AB$22,FALSE))=0,"",VLOOKUP($B57,Database!$B$1:$IX$10144,AB$22,FALSE)))</f>
        <v>44.6</v>
      </c>
      <c r="AC57" s="22">
        <f>IF(OR($B57="",AC$22=""),"",IF(LEN(VLOOKUP($B57,Database!$B$1:$IX$10144,AC$22,FALSE))=0,"",VLOOKUP($B57,Database!$B$1:$IX$10144,AC$22,FALSE)))</f>
        <v>12.3</v>
      </c>
      <c r="AD57" s="22">
        <f>IF(OR($B57="",AD$22=""),"",IF(LEN(VLOOKUP($B57,Database!$B$1:$IX$10144,AD$22,FALSE))=0,"",VLOOKUP($B57,Database!$B$1:$IX$10144,AD$22,FALSE)))</f>
        <v>33.299999999999997</v>
      </c>
      <c r="AE57" s="22">
        <f>IF(OR($B57="",AE$22=""),"",IF(LEN(VLOOKUP($B57,Database!$B$1:$IX$10144,AE$22,FALSE))=0,"",VLOOKUP($B57,Database!$B$1:$IX$10144,AE$22,FALSE)))</f>
        <v>12.2</v>
      </c>
      <c r="AF57" s="22">
        <f>IF(OR($B57="",AF$22=""),"",IF(LEN(VLOOKUP($B57,Database!$B$1:$IX$10144,AF$22,FALSE))=0,"",VLOOKUP($B57,Database!$B$1:$IX$10144,AF$22,FALSE)))</f>
        <v>47</v>
      </c>
      <c r="AG57" s="22">
        <f>IF(OR($B57="",AG$22=""),"",IF(LEN(VLOOKUP($B57,Database!$B$1:$IX$10144,AG$22,FALSE))=0,"",VLOOKUP($B57,Database!$B$1:$IX$10144,AG$22,FALSE)))</f>
        <v>60</v>
      </c>
      <c r="AH57" s="22">
        <f>IF(OR($B57="",AH$22=""),"",IF(LEN(VLOOKUP($B57,Database!$B$1:$IX$10144,AH$22,FALSE))=0,"",VLOOKUP($B57,Database!$B$1:$IX$10144,AH$22,FALSE)))</f>
        <v>1.5</v>
      </c>
      <c r="AI57" s="22">
        <f>IF(OR($B57="",AI$22=""),"",IF(LEN(VLOOKUP($B57,Database!$B$1:$IX$10144,AI$22,FALSE))=0,"",VLOOKUP($B57,Database!$B$1:$IX$10144,AI$22,FALSE)))</f>
        <v>1.5</v>
      </c>
      <c r="AJ57" s="22" t="str">
        <f>IF(OR($B57="",AJ$22=""),"",IF(LEN(VLOOKUP($B57,Database!$B$1:$IX$10144,AJ$22,FALSE))=0,"",VLOOKUP($B57,Database!$B$1:$IX$10144,AJ$22,FALSE)))</f>
        <v/>
      </c>
      <c r="AK57" s="22" t="str">
        <f>IF(OR($B57="",AK$22=""),"",IF(LEN(VLOOKUP($B57,Database!$B$1:$IX$10144,AK$22,FALSE))=0,"",VLOOKUP($B57,Database!$B$1:$IX$10144,AK$22,FALSE)))</f>
        <v>ns</v>
      </c>
      <c r="AL57" s="22">
        <f>IF(OR($B57="",AL$22=""),"",IF(LEN(VLOOKUP($B57,Database!$B$1:$IX$10144,AL$22,FALSE))=0,"",VLOOKUP($B57,Database!$B$1:$IX$10144,AL$22,FALSE)))</f>
        <v>23.5</v>
      </c>
      <c r="AM57" s="22" t="str">
        <f>IF(OR($B57="",AM$22=""),"",IF(LEN(VLOOKUP($B57,Database!$B$1:$IX$10144,AM$22,FALSE))=0,"",VLOOKUP($B57,Database!$B$1:$IX$10144,AM$22,FALSE)))</f>
        <v>ns</v>
      </c>
      <c r="AN57" s="22">
        <f>IF(OR($B57="",AN$22=""),"",IF(LEN(VLOOKUP($B57,Database!$B$1:$IX$10144,AN$22,FALSE))=0,"",VLOOKUP($B57,Database!$B$1:$IX$10144,AN$22,FALSE)))</f>
        <v>14.130434782608695</v>
      </c>
      <c r="AO57" s="22" t="str">
        <f>IF(OR($B57="",AO$22=""),"",IF(LEN(VLOOKUP($B57,Database!$B$1:$IX$10144,AO$22,FALSE))=0,"",VLOOKUP($B57,Database!$B$1:$IX$10144,AO$22,FALSE)))</f>
        <v>ns</v>
      </c>
      <c r="AP57" s="22">
        <f>IF(OR($B57="",AP$22=""),"",IF(LEN(VLOOKUP($B57,Database!$B$1:$IX$10144,AP$22,FALSE))=0,"",VLOOKUP($B57,Database!$B$1:$IX$10144,AP$22,FALSE)))</f>
        <v>6.5217391304347823</v>
      </c>
      <c r="AQ57" s="22" t="str">
        <f>IF(OR($B57="",AQ$22=""),"",IF(LEN(VLOOKUP($B57,Database!$B$1:$IX$10144,AQ$22,FALSE))=0,"",VLOOKUP($B57,Database!$B$1:$IX$10144,AQ$22,FALSE)))</f>
        <v>Meisenzahl EM, Seifert D, Bottlender R, Teipel S, Zetzsche T, Jäger M, Koutsouleris N, Schmitt G, Scheuerecker J, Burgermeister B, Hampel H, Rupprecht T, Born C, Reiser M, Möller HJ, Frodl T.</v>
      </c>
      <c r="AR57" s="13"/>
      <c r="AX57" s="13"/>
      <c r="AY57" s="13"/>
      <c r="AZ57" s="13"/>
      <c r="BA57" s="13"/>
      <c r="BC57" s="23"/>
      <c r="BF57" s="136"/>
      <c r="BG57" s="136"/>
      <c r="BH57" s="136"/>
      <c r="BI57" s="136"/>
    </row>
    <row r="58" spans="1:61">
      <c r="B58">
        <v>19668114</v>
      </c>
      <c r="C58" s="1" t="str">
        <f>IF($B58="","",HYPERLINK(IF(LEN(VLOOKUP($B58,Database!$B$1:$IX$10144,2,FALSE))=0,"",VLOOKUP($B58,Database!$B$1:$IX$10144,2,FALSE))))</f>
        <v/>
      </c>
      <c r="D58" s="1" t="str">
        <f t="shared" si="1"/>
        <v>http://www.ncbi.nlm.nih.gov/pubmed/19668114</v>
      </c>
      <c r="E58" s="22" t="str">
        <f>IF($B58="","",IF(LEN(VLOOKUP($B58,Database!$B$1:$IX$10144,4,FALSE))=0,"",VLOOKUP($B58,Database!$B$1:$IX$10144,4,FALSE)))</f>
        <v>Jessen F</v>
      </c>
      <c r="F58" s="22">
        <f>IF($B58="","",IF(LEN(VLOOKUP($B58,Database!$B$1:$IX$10144,5,FALSE))=0,"",VLOOKUP($B58,Database!$B$1:$IX$10144,5,FALSE)))</f>
        <v>2009</v>
      </c>
      <c r="G58" s="1" t="str">
        <f>IF($B58="","",HYPERLINK(IF(LEN(VLOOKUP($B58,Database!$B$1:$IX$10144,6,FALSE))=0,"",VLOOKUP($B58,Database!$B$1:$IX$10144,6,FALSE))))</f>
        <v>http://dx.doi.org/10.1097/YPG.0b013e32832080ce</v>
      </c>
      <c r="H58" s="22">
        <f>IF($B58="","",IF(LEN(VLOOKUP($B58,Database!$B$1:$IX$10144,7,FALSE))=0,"",VLOOKUP($B58,Database!$B$1:$IX$10144,7,FALSE)))</f>
        <v>79</v>
      </c>
      <c r="I58" s="22">
        <f>IF($B58="","",IF(LEN(VLOOKUP($B58,Database!$B$1:$IX$10144,8,FALSE))=0,"",VLOOKUP($B58,Database!$B$1:$IX$10144,8,FALSE)))</f>
        <v>84</v>
      </c>
      <c r="J58" t="s">
        <v>315</v>
      </c>
      <c r="L58">
        <v>2.06</v>
      </c>
      <c r="M58">
        <v>0.27</v>
      </c>
      <c r="N58">
        <v>2.36</v>
      </c>
      <c r="O58">
        <v>0.28999999999999998</v>
      </c>
      <c r="P58">
        <v>2.0499999999999998</v>
      </c>
      <c r="Q58">
        <v>0.32</v>
      </c>
      <c r="R58">
        <v>2.3199999999999998</v>
      </c>
      <c r="S58">
        <v>0.3</v>
      </c>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f>IF(OR($B58="",AB$22=""),"",IF(LEN(VLOOKUP($B58,Database!$B$1:$IX$10144,AB$22,FALSE))=0,"",VLOOKUP($B58,Database!$B$1:$IX$10144,AB$22,FALSE)))</f>
        <v>48.2</v>
      </c>
      <c r="AC58" s="22">
        <f>IF(OR($B58="",AC$22=""),"",IF(LEN(VLOOKUP($B58,Database!$B$1:$IX$10144,AC$22,FALSE))=0,"",VLOOKUP($B58,Database!$B$1:$IX$10144,AC$22,FALSE)))</f>
        <v>12.8</v>
      </c>
      <c r="AD58" s="22">
        <f>IF(OR($B58="",AD$22=""),"",IF(LEN(VLOOKUP($B58,Database!$B$1:$IX$10144,AD$22,FALSE))=0,"",VLOOKUP($B58,Database!$B$1:$IX$10144,AD$22,FALSE)))</f>
        <v>43.9</v>
      </c>
      <c r="AE58" s="22">
        <f>IF(OR($B58="",AE$22=""),"",IF(LEN(VLOOKUP($B58,Database!$B$1:$IX$10144,AE$22,FALSE))=0,"",VLOOKUP($B58,Database!$B$1:$IX$10144,AE$22,FALSE)))</f>
        <v>8.6999999999999993</v>
      </c>
      <c r="AF58" s="22">
        <f>IF(OR($B58="",AF$22=""),"",IF(LEN(VLOOKUP($B58,Database!$B$1:$IX$10144,AF$22,FALSE))=0,"",VLOOKUP($B58,Database!$B$1:$IX$10144,AF$22,FALSE)))</f>
        <v>52</v>
      </c>
      <c r="AG58" s="22">
        <f>IF(OR($B58="",AG$22=""),"",IF(LEN(VLOOKUP($B58,Database!$B$1:$IX$10144,AG$22,FALSE))=0,"",VLOOKUP($B58,Database!$B$1:$IX$10144,AG$22,FALSE)))</f>
        <v>40</v>
      </c>
      <c r="AH58" s="22">
        <f>IF(OR($B58="",AH$22=""),"",IF(LEN(VLOOKUP($B58,Database!$B$1:$IX$10144,AH$22,FALSE))=0,"",VLOOKUP($B58,Database!$B$1:$IX$10144,AH$22,FALSE)))</f>
        <v>1</v>
      </c>
      <c r="AI58" s="22">
        <f>IF(OR($B58="",AI$22=""),"",IF(LEN(VLOOKUP($B58,Database!$B$1:$IX$10144,AI$22,FALSE))=0,"",VLOOKUP($B58,Database!$B$1:$IX$10144,AI$22,FALSE)))</f>
        <v>1</v>
      </c>
      <c r="AJ58" s="22" t="str">
        <f>IF(OR($B58="",AJ$22=""),"",IF(LEN(VLOOKUP($B58,Database!$B$1:$IX$10144,AJ$22,FALSE))=0,"",VLOOKUP($B58,Database!$B$1:$IX$10144,AJ$22,FALSE)))</f>
        <v/>
      </c>
      <c r="AK58" s="22" t="str">
        <f>IF(OR($B58="",AK$22=""),"",IF(LEN(VLOOKUP($B58,Database!$B$1:$IX$10144,AK$22,FALSE))=0,"",VLOOKUP($B58,Database!$B$1:$IX$10144,AK$22,FALSE)))</f>
        <v>ns</v>
      </c>
      <c r="AL58" s="22" t="str">
        <f>IF(OR($B58="",AL$22=""),"",IF(LEN(VLOOKUP($B58,Database!$B$1:$IX$10144,AL$22,FALSE))=0,"",VLOOKUP($B58,Database!$B$1:$IX$10144,AL$22,FALSE)))</f>
        <v>ns</v>
      </c>
      <c r="AM58" s="22" t="str">
        <f>IF(OR($B58="",AM$22=""),"",IF(LEN(VLOOKUP($B58,Database!$B$1:$IX$10144,AM$22,FALSE))=0,"",VLOOKUP($B58,Database!$B$1:$IX$10144,AM$22,FALSE)))</f>
        <v>ns</v>
      </c>
      <c r="AN58" s="22" t="str">
        <f>IF(OR($B58="",AN$22=""),"",IF(LEN(VLOOKUP($B58,Database!$B$1:$IX$10144,AN$22,FALSE))=0,"",VLOOKUP($B58,Database!$B$1:$IX$10144,AN$22,FALSE)))</f>
        <v>ns</v>
      </c>
      <c r="AO58" s="22" t="str">
        <f>IF(OR($B58="",AO$22=""),"",IF(LEN(VLOOKUP($B58,Database!$B$1:$IX$10144,AO$22,FALSE))=0,"",VLOOKUP($B58,Database!$B$1:$IX$10144,AO$22,FALSE)))</f>
        <v>ns</v>
      </c>
      <c r="AP58" s="22" t="str">
        <f>IF(OR($B58="",AP$22=""),"",IF(LEN(VLOOKUP($B58,Database!$B$1:$IX$10144,AP$22,FALSE))=0,"",VLOOKUP($B58,Database!$B$1:$IX$10144,AP$22,FALSE)))</f>
        <v>ns</v>
      </c>
      <c r="AQ58" s="22" t="str">
        <f>IF(OR($B58="",AQ$22=""),"",IF(LEN(VLOOKUP($B58,Database!$B$1:$IX$10144,AQ$22,FALSE))=0,"",VLOOKUP($B58,Database!$B$1:$IX$10144,AQ$22,FALSE)))</f>
        <v>Jessen F, Schuhmacher A, von Widdern O, Guttenthaler V, Hofels S, Suliman H, Scheef L, Block W, Urbach H, Maier W, Zobel A.</v>
      </c>
      <c r="AR58" s="13"/>
      <c r="AX58" s="13"/>
      <c r="AY58" s="13"/>
      <c r="AZ58" s="13"/>
      <c r="BA58" s="13"/>
      <c r="BC58" s="23"/>
      <c r="BF58" s="136"/>
      <c r="BG58" s="136"/>
      <c r="BH58" s="136"/>
      <c r="BI58" s="136"/>
    </row>
    <row r="59" spans="1:61">
      <c r="B59">
        <v>19756819</v>
      </c>
      <c r="C59" s="1" t="str">
        <f>IF($B59="","",HYPERLINK(IF(LEN(VLOOKUP($B59,Database!$B$1:$IX$10144,2,FALSE))=0,"",VLOOKUP($B59,Database!$B$1:$IX$10144,2,FALSE))))</f>
        <v/>
      </c>
      <c r="D59" s="1" t="str">
        <f>IF($B59="","",HYPERLINK(CONCATENATE("http://www.ncbi.nlm.nih.gov/pubmed/",B59)))</f>
        <v>http://www.ncbi.nlm.nih.gov/pubmed/19756819</v>
      </c>
      <c r="E59" s="22" t="str">
        <f>IF($B59="","",IF(LEN(VLOOKUP($B59,Database!$B$1:$IX$10144,4,FALSE))=0,"",VLOOKUP($B59,Database!$B$1:$IX$10144,4,FALSE)))</f>
        <v>Kaymak SU</v>
      </c>
      <c r="F59" s="22">
        <f>IF($B59="","",IF(LEN(VLOOKUP($B59,Database!$B$1:$IX$10144,5,FALSE))=0,"",VLOOKUP($B59,Database!$B$1:$IX$10144,5,FALSE)))</f>
        <v>2009</v>
      </c>
      <c r="G59" s="1" t="str">
        <f>IF($B59="","",HYPERLINK(IF(LEN(VLOOKUP($B59,Database!$B$1:$IX$10144,6,FALSE))=0,"",VLOOKUP($B59,Database!$B$1:$IX$10144,6,FALSE))))</f>
        <v>http://dx.doi.org/10.1007/s00406-009-0045-x</v>
      </c>
      <c r="H59" s="22">
        <f>IF($B59="","",IF(LEN(VLOOKUP($B59,Database!$B$1:$IX$10144,7,FALSE))=0,"",VLOOKUP($B59,Database!$B$1:$IX$10144,7,FALSE)))</f>
        <v>20</v>
      </c>
      <c r="I59" s="22">
        <f>IF($B59="","",IF(LEN(VLOOKUP($B59,Database!$B$1:$IX$10144,8,FALSE))=0,"",VLOOKUP($B59,Database!$B$1:$IX$10144,8,FALSE)))</f>
        <v>15</v>
      </c>
      <c r="J59" t="s">
        <v>2378</v>
      </c>
      <c r="L59">
        <v>2.85</v>
      </c>
      <c r="M59">
        <v>0.33</v>
      </c>
      <c r="N59">
        <v>3.52</v>
      </c>
      <c r="O59">
        <v>0.33</v>
      </c>
      <c r="P59">
        <v>2.72</v>
      </c>
      <c r="Q59">
        <v>0.32</v>
      </c>
      <c r="R59">
        <v>3.4</v>
      </c>
      <c r="S59">
        <v>0.25</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32</v>
      </c>
      <c r="AC59" s="22">
        <f>IF(OR($B59="",AC$22=""),"",IF(LEN(VLOOKUP($B59,Database!$B$1:$IX$10144,AC$22,FALSE))=0,"",VLOOKUP($B59,Database!$B$1:$IX$10144,AC$22,FALSE)))</f>
        <v>8.52</v>
      </c>
      <c r="AD59" s="22">
        <f>IF(OR($B59="",AD$22=""),"",IF(LEN(VLOOKUP($B59,Database!$B$1:$IX$10144,AD$22,FALSE))=0,"",VLOOKUP($B59,Database!$B$1:$IX$10144,AD$22,FALSE)))</f>
        <v>29.3</v>
      </c>
      <c r="AE59" s="22">
        <f>IF(OR($B59="",AE$22=""),"",IF(LEN(VLOOKUP($B59,Database!$B$1:$IX$10144,AE$22,FALSE))=0,"",VLOOKUP($B59,Database!$B$1:$IX$10144,AE$22,FALSE)))</f>
        <v>5.8</v>
      </c>
      <c r="AF59" s="22">
        <f>IF(OR($B59="",AF$22=""),"",IF(LEN(VLOOKUP($B59,Database!$B$1:$IX$10144,AF$22,FALSE))=0,"",VLOOKUP($B59,Database!$B$1:$IX$10144,AF$22,FALSE)))</f>
        <v>20</v>
      </c>
      <c r="AG59" s="22">
        <f>IF(OR($B59="",AG$22=""),"",IF(LEN(VLOOKUP($B59,Database!$B$1:$IX$10144,AG$22,FALSE))=0,"",VLOOKUP($B59,Database!$B$1:$IX$10144,AG$22,FALSE)))</f>
        <v>15</v>
      </c>
      <c r="AH59" s="22">
        <f>IF(OR($B59="",AH$22=""),"",IF(LEN(VLOOKUP($B59,Database!$B$1:$IX$10144,AH$22,FALSE))=0,"",VLOOKUP($B59,Database!$B$1:$IX$10144,AH$22,FALSE)))</f>
        <v>3</v>
      </c>
      <c r="AI59" s="22">
        <f>IF(OR($B59="",AI$22=""),"",IF(LEN(VLOOKUP($B59,Database!$B$1:$IX$10144,AI$22,FALSE))=0,"",VLOOKUP($B59,Database!$B$1:$IX$10144,AI$22,FALSE)))</f>
        <v>1</v>
      </c>
      <c r="AJ59" s="22" t="str">
        <f>IF(OR($B59="",AJ$22=""),"",IF(LEN(VLOOKUP($B59,Database!$B$1:$IX$10144,AJ$22,FALSE))=0,"",VLOOKUP($B59,Database!$B$1:$IX$10144,AJ$22,FALSE)))</f>
        <v/>
      </c>
      <c r="AK59" s="22" t="str">
        <f>IF(OR($B59="",AK$22=""),"",IF(LEN(VLOOKUP($B59,Database!$B$1:$IX$10144,AK$22,FALSE))=0,"",VLOOKUP($B59,Database!$B$1:$IX$10144,AK$22,FALSE)))</f>
        <v>ns</v>
      </c>
      <c r="AL59" s="22">
        <f>IF(OR($B59="",AL$22=""),"",IF(LEN(VLOOKUP($B59,Database!$B$1:$IX$10144,AL$22,FALSE))=0,"",VLOOKUP($B59,Database!$B$1:$IX$10144,AL$22,FALSE)))</f>
        <v>23.1</v>
      </c>
      <c r="AM59" s="22">
        <f>IF(OR($B59="",AM$22=""),"",IF(LEN(VLOOKUP($B59,Database!$B$1:$IX$10144,AM$22,FALSE))=0,"",VLOOKUP($B59,Database!$B$1:$IX$10144,AM$22,FALSE)))</f>
        <v>0</v>
      </c>
      <c r="AN59" s="22">
        <f>IF(OR($B59="",AN$22=""),"",IF(LEN(VLOOKUP($B59,Database!$B$1:$IX$10144,AN$22,FALSE))=0,"",VLOOKUP($B59,Database!$B$1:$IX$10144,AN$22,FALSE)))</f>
        <v>0</v>
      </c>
      <c r="AO59" s="22">
        <f>IF(OR($B59="",AO$22=""),"",IF(LEN(VLOOKUP($B59,Database!$B$1:$IX$10144,AO$22,FALSE))=0,"",VLOOKUP($B59,Database!$B$1:$IX$10144,AO$22,FALSE)))</f>
        <v>0</v>
      </c>
      <c r="AP59" s="22">
        <f>IF(OR($B59="",AP$22=""),"",IF(LEN(VLOOKUP($B59,Database!$B$1:$IX$10144,AP$22,FALSE))=0,"",VLOOKUP($B59,Database!$B$1:$IX$10144,AP$22,FALSE)))</f>
        <v>100</v>
      </c>
      <c r="AQ59" s="22" t="str">
        <f>IF(OR($B59="",AQ$22=""),"",IF(LEN(VLOOKUP($B59,Database!$B$1:$IX$10144,AQ$22,FALSE))=0,"",VLOOKUP($B59,Database!$B$1:$IX$10144,AQ$22,FALSE)))</f>
        <v>Kaymak SU, Demir B, Sentürk S, Tatar I, Aldur MM, Uluğ B.</v>
      </c>
      <c r="AR59" s="13"/>
      <c r="AX59" s="13"/>
      <c r="AY59" s="13"/>
      <c r="AZ59" s="13"/>
      <c r="BA59" s="13"/>
      <c r="BC59" s="23"/>
      <c r="BF59" s="136"/>
      <c r="BG59" s="136"/>
      <c r="BH59" s="136"/>
      <c r="BI59" s="136"/>
    </row>
    <row r="60" spans="1:61">
      <c r="B60">
        <v>19800203</v>
      </c>
      <c r="C60" s="1" t="str">
        <f>IF($B60="","",HYPERLINK(IF(LEN(VLOOKUP($B60,Database!$B$1:$IX$10144,2,FALSE))=0,"",VLOOKUP($B60,Database!$B$1:$IX$10144,2,FALSE))))</f>
        <v/>
      </c>
      <c r="D60" s="1" t="str">
        <f t="shared" ref="D60:D66" si="2">IF($B60="","",HYPERLINK(CONCATENATE("http://www.ncbi.nlm.nih.gov/pubmed/",B60)))</f>
        <v>http://www.ncbi.nlm.nih.gov/pubmed/19800203</v>
      </c>
      <c r="E60" s="22" t="str">
        <f>IF($B60="","",IF(LEN(VLOOKUP($B60,Database!$B$1:$IX$10144,4,FALSE))=0,"",VLOOKUP($B60,Database!$B$1:$IX$10144,4,FALSE)))</f>
        <v>Kronmüller KT</v>
      </c>
      <c r="F60" s="22">
        <f>IF($B60="","",IF(LEN(VLOOKUP($B60,Database!$B$1:$IX$10144,5,FALSE))=0,"",VLOOKUP($B60,Database!$B$1:$IX$10144,5,FALSE)))</f>
        <v>2009</v>
      </c>
      <c r="G60" s="1" t="str">
        <f>IF($B60="","",HYPERLINK(IF(LEN(VLOOKUP($B60,Database!$B$1:$IX$10144,6,FALSE))=0,"",VLOOKUP($B60,Database!$B$1:$IX$10144,6,FALSE))))</f>
        <v>http://dx.doi.org/10.1016/j.pscychresns.2008.08.001</v>
      </c>
      <c r="H60" s="83">
        <v>13</v>
      </c>
      <c r="I60" s="83">
        <v>5.5</v>
      </c>
      <c r="J60" t="s">
        <v>2383</v>
      </c>
      <c r="K60" t="s">
        <v>2379</v>
      </c>
      <c r="L60">
        <v>2.81</v>
      </c>
      <c r="M60">
        <v>0.36</v>
      </c>
      <c r="N60">
        <v>3.19</v>
      </c>
      <c r="O60">
        <v>0.25</v>
      </c>
      <c r="P60">
        <v>3</v>
      </c>
      <c r="Q60">
        <v>0.56999999999999995</v>
      </c>
      <c r="R60">
        <v>3.3</v>
      </c>
      <c r="S60">
        <v>0.28999999999999998</v>
      </c>
      <c r="T60">
        <v>5.81</v>
      </c>
      <c r="U60">
        <v>0.9</v>
      </c>
      <c r="V60">
        <v>6.49</v>
      </c>
      <c r="W60">
        <v>0.49</v>
      </c>
      <c r="Y60" s="22" t="str">
        <f>IF(OR($B60="",Y$22=""),"",IF(LEN(VLOOKUP($B60,Database!$B$1:$IX$10144,Y$22,FALSE))=0,"",VLOOKUP($B60,Database!$B$1:$IX$10144,Y$22,FALSE)))</f>
        <v>DSM-IV</v>
      </c>
      <c r="Z60" s="22" t="str">
        <f>IF(OR($B60="",Z$22=""),"",IF(LEN(VLOOKUP($B60,Database!$B$1:$IX$10144,Z$22,FALSE))=0,"",VLOOKUP($B60,Database!$B$1:$IX$10144,Z$22,FALSE)))</f>
        <v>MRI</v>
      </c>
      <c r="AA60" s="214" t="s">
        <v>2451</v>
      </c>
      <c r="AB60" s="83">
        <v>38.08</v>
      </c>
      <c r="AC60" s="83">
        <v>11.88</v>
      </c>
      <c r="AD60" s="83">
        <v>42</v>
      </c>
      <c r="AE60" s="83">
        <v>11.28</v>
      </c>
      <c r="AF60" s="83">
        <v>0</v>
      </c>
      <c r="AG60" s="22">
        <f>IF(OR($B60="",AG$22=""),"",IF(LEN(VLOOKUP($B60,Database!$B$1:$IX$10144,AG$22,FALSE))=0,"",VLOOKUP($B60,Database!$B$1:$IX$10144,AG$22,FALSE)))</f>
        <v>19</v>
      </c>
      <c r="AH60" s="22">
        <f>IF(OR($B60="",AH$22=""),"",IF(LEN(VLOOKUP($B60,Database!$B$1:$IX$10144,AH$22,FALSE))=0,"",VLOOKUP($B60,Database!$B$1:$IX$10144,AH$22,FALSE)))</f>
        <v>1.5</v>
      </c>
      <c r="AI60" s="22">
        <f>IF(OR($B60="",AI$22=""),"",IF(LEN(VLOOKUP($B60,Database!$B$1:$IX$10144,AI$22,FALSE))=0,"",VLOOKUP($B60,Database!$B$1:$IX$10144,AI$22,FALSE)))</f>
        <v>1.5</v>
      </c>
      <c r="AJ60" s="22" t="str">
        <f>IF(OR($B60="",AJ$22=""),"",IF(LEN(VLOOKUP($B60,Database!$B$1:$IX$10144,AJ$22,FALSE))=0,"",VLOOKUP($B60,Database!$B$1:$IX$10144,AJ$22,FALSE)))</f>
        <v/>
      </c>
      <c r="AK60" s="83">
        <v>38.880000000000003</v>
      </c>
      <c r="AL60" s="83">
        <v>23</v>
      </c>
      <c r="AM60" s="22">
        <f>IF(OR($B60="",AM$22=""),"",IF(LEN(VLOOKUP($B60,Database!$B$1:$IX$10144,AM$22,FALSE))=0,"",VLOOKUP($B60,Database!$B$1:$IX$10144,AM$22,FALSE)))</f>
        <v>100</v>
      </c>
      <c r="AN60" s="22" t="str">
        <f>IF(OR($B60="",AN$22=""),"",IF(LEN(VLOOKUP($B60,Database!$B$1:$IX$10144,AN$22,FALSE))=0,"",VLOOKUP($B60,Database!$B$1:$IX$10144,AN$22,FALSE)))</f>
        <v>ns</v>
      </c>
      <c r="AO60" s="22" t="str">
        <f>IF(OR($B60="",AO$22=""),"",IF(LEN(VLOOKUP($B60,Database!$B$1:$IX$10144,AO$22,FALSE))=0,"",VLOOKUP($B60,Database!$B$1:$IX$10144,AO$22,FALSE)))</f>
        <v>ns</v>
      </c>
      <c r="AP60" s="22">
        <f>IF(OR($B60="",AP$22=""),"",IF(LEN(VLOOKUP($B60,Database!$B$1:$IX$10144,AP$22,FALSE))=0,"",VLOOKUP($B60,Database!$B$1:$IX$10144,AP$22,FALSE)))</f>
        <v>0</v>
      </c>
      <c r="AQ60" s="22" t="str">
        <f>IF(OR($B60="",AQ$22=""),"",IF(LEN(VLOOKUP($B60,Database!$B$1:$IX$10144,AQ$22,FALSE))=0,"",VLOOKUP($B60,Database!$B$1:$IX$10144,AQ$22,FALSE)))</f>
        <v>Kronmüller KT, Schröder J, Köhler S, Götz B, Victor D, Unger J, Giesel F, Magnotta V, Mundt C, Essig M, Pantel J.</v>
      </c>
      <c r="AR60" s="13"/>
      <c r="AU60" s="13"/>
      <c r="AX60" s="13"/>
      <c r="AY60" s="13"/>
      <c r="AZ60" s="13"/>
      <c r="BA60" s="13"/>
      <c r="BC60" s="23"/>
      <c r="BF60" s="136"/>
      <c r="BG60" s="136"/>
      <c r="BH60" s="136"/>
      <c r="BI60" s="136"/>
    </row>
    <row r="61" spans="1:61">
      <c r="B61">
        <v>19800203</v>
      </c>
      <c r="C61" s="1" t="str">
        <f>IF($B61="","",HYPERLINK(IF(LEN(VLOOKUP($B61,Database!$B$1:$IX$10144,2,FALSE))=0,"",VLOOKUP($B61,Database!$B$1:$IX$10144,2,FALSE))))</f>
        <v/>
      </c>
      <c r="D61" s="1" t="str">
        <f t="shared" si="2"/>
        <v>http://www.ncbi.nlm.nih.gov/pubmed/19800203</v>
      </c>
      <c r="E61" s="22" t="str">
        <f>IF($B61="","",IF(LEN(VLOOKUP($B61,Database!$B$1:$IX$10144,4,FALSE))=0,"",VLOOKUP($B61,Database!$B$1:$IX$10144,4,FALSE)))</f>
        <v>Kronmüller KT</v>
      </c>
      <c r="F61" s="22">
        <f>IF($B61="","",IF(LEN(VLOOKUP($B61,Database!$B$1:$IX$10144,5,FALSE))=0,"",VLOOKUP($B61,Database!$B$1:$IX$10144,5,FALSE)))</f>
        <v>2009</v>
      </c>
      <c r="G61" s="1" t="str">
        <f>IF($B61="","",HYPERLINK(IF(LEN(VLOOKUP($B61,Database!$B$1:$IX$10144,6,FALSE))=0,"",VLOOKUP($B61,Database!$B$1:$IX$10144,6,FALSE))))</f>
        <v>http://dx.doi.org/10.1016/j.pscychresns.2008.08.001</v>
      </c>
      <c r="H61" s="83">
        <v>13</v>
      </c>
      <c r="I61" s="83">
        <v>9.5</v>
      </c>
      <c r="J61" t="s">
        <v>2383</v>
      </c>
      <c r="K61" t="s">
        <v>2380</v>
      </c>
      <c r="L61">
        <v>2.71</v>
      </c>
      <c r="M61">
        <v>0.26</v>
      </c>
      <c r="N61">
        <v>2.72</v>
      </c>
      <c r="O61">
        <v>0.3</v>
      </c>
      <c r="P61">
        <v>2.82</v>
      </c>
      <c r="Q61">
        <v>0.36</v>
      </c>
      <c r="R61">
        <v>2.79</v>
      </c>
      <c r="S61">
        <v>0.41</v>
      </c>
      <c r="T61">
        <v>5.52</v>
      </c>
      <c r="U61">
        <v>0.56999999999999995</v>
      </c>
      <c r="V61">
        <v>5.51</v>
      </c>
      <c r="W61">
        <v>0.66</v>
      </c>
      <c r="Y61" s="22" t="str">
        <f>IF(OR($B61="",Y$22=""),"",IF(LEN(VLOOKUP($B61,Database!$B$1:$IX$10144,Y$22,FALSE))=0,"",VLOOKUP($B61,Database!$B$1:$IX$10144,Y$22,FALSE)))</f>
        <v>DSM-IV</v>
      </c>
      <c r="Z61" s="22" t="str">
        <f>IF(OR($B61="",Z$22=""),"",IF(LEN(VLOOKUP($B61,Database!$B$1:$IX$10144,Z$22,FALSE))=0,"",VLOOKUP($B61,Database!$B$1:$IX$10144,Z$22,FALSE)))</f>
        <v>MRI</v>
      </c>
      <c r="AA61" s="214" t="s">
        <v>2452</v>
      </c>
      <c r="AB61" s="83">
        <v>41.46</v>
      </c>
      <c r="AC61" s="83">
        <v>16.64</v>
      </c>
      <c r="AD61" s="83">
        <v>42.68</v>
      </c>
      <c r="AE61" s="83">
        <v>13.98</v>
      </c>
      <c r="AF61" s="83">
        <v>13</v>
      </c>
      <c r="AG61" s="22">
        <f>IF(OR($B61="",AG$22=""),"",IF(LEN(VLOOKUP($B61,Database!$B$1:$IX$10144,AG$22,FALSE))=0,"",VLOOKUP($B61,Database!$B$1:$IX$10144,AG$22,FALSE)))</f>
        <v>19</v>
      </c>
      <c r="AH61" s="22">
        <f>IF(OR($B61="",AH$22=""),"",IF(LEN(VLOOKUP($B61,Database!$B$1:$IX$10144,AH$22,FALSE))=0,"",VLOOKUP($B61,Database!$B$1:$IX$10144,AH$22,FALSE)))</f>
        <v>1.5</v>
      </c>
      <c r="AI61" s="22">
        <f>IF(OR($B61="",AI$22=""),"",IF(LEN(VLOOKUP($B61,Database!$B$1:$IX$10144,AI$22,FALSE))=0,"",VLOOKUP($B61,Database!$B$1:$IX$10144,AI$22,FALSE)))</f>
        <v>1.5</v>
      </c>
      <c r="AJ61" s="22" t="str">
        <f>IF(OR($B61="",AJ$22=""),"",IF(LEN(VLOOKUP($B61,Database!$B$1:$IX$10144,AJ$22,FALSE))=0,"",VLOOKUP($B61,Database!$B$1:$IX$10144,AJ$22,FALSE)))</f>
        <v/>
      </c>
      <c r="AK61" s="83">
        <v>38.880000000000003</v>
      </c>
      <c r="AL61" s="83">
        <v>25.62</v>
      </c>
      <c r="AM61" s="22">
        <f>IF(OR($B61="",AM$22=""),"",IF(LEN(VLOOKUP($B61,Database!$B$1:$IX$10144,AM$22,FALSE))=0,"",VLOOKUP($B61,Database!$B$1:$IX$10144,AM$22,FALSE)))</f>
        <v>100</v>
      </c>
      <c r="AN61" s="22" t="str">
        <f>IF(OR($B61="",AN$22=""),"",IF(LEN(VLOOKUP($B61,Database!$B$1:$IX$10144,AN$22,FALSE))=0,"",VLOOKUP($B61,Database!$B$1:$IX$10144,AN$22,FALSE)))</f>
        <v>ns</v>
      </c>
      <c r="AO61" s="22" t="str">
        <f>IF(OR($B61="",AO$22=""),"",IF(LEN(VLOOKUP($B61,Database!$B$1:$IX$10144,AO$22,FALSE))=0,"",VLOOKUP($B61,Database!$B$1:$IX$10144,AO$22,FALSE)))</f>
        <v>ns</v>
      </c>
      <c r="AP61" s="22">
        <f>IF(OR($B61="",AP$22=""),"",IF(LEN(VLOOKUP($B61,Database!$B$1:$IX$10144,AP$22,FALSE))=0,"",VLOOKUP($B61,Database!$B$1:$IX$10144,AP$22,FALSE)))</f>
        <v>0</v>
      </c>
      <c r="AQ61" s="22" t="str">
        <f>IF(OR($B61="",AQ$22=""),"",IF(LEN(VLOOKUP($B61,Database!$B$1:$IX$10144,AQ$22,FALSE))=0,"",VLOOKUP($B61,Database!$B$1:$IX$10144,AQ$22,FALSE)))</f>
        <v>Kronmüller KT, Schröder J, Köhler S, Götz B, Victor D, Unger J, Giesel F, Magnotta V, Mundt C, Essig M, Pantel J.</v>
      </c>
      <c r="AR61" s="13"/>
      <c r="AU61" s="13"/>
      <c r="AX61" s="13"/>
      <c r="AY61" s="13"/>
      <c r="AZ61" s="13"/>
      <c r="BA61" s="13"/>
      <c r="BC61" s="23"/>
      <c r="BF61" s="136"/>
      <c r="BG61" s="136"/>
      <c r="BH61" s="136"/>
      <c r="BI61" s="136"/>
    </row>
    <row r="62" spans="1:61">
      <c r="B62">
        <v>19800203</v>
      </c>
      <c r="C62" s="1" t="str">
        <f>IF($B62="","",HYPERLINK(IF(LEN(VLOOKUP($B62,Database!$B$1:$IX$10144,2,FALSE))=0,"",VLOOKUP($B62,Database!$B$1:$IX$10144,2,FALSE))))</f>
        <v/>
      </c>
      <c r="D62" s="1" t="str">
        <f t="shared" si="2"/>
        <v>http://www.ncbi.nlm.nih.gov/pubmed/19800203</v>
      </c>
      <c r="E62" s="22" t="str">
        <f>IF($B62="","",IF(LEN(VLOOKUP($B62,Database!$B$1:$IX$10144,4,FALSE))=0,"",VLOOKUP($B62,Database!$B$1:$IX$10144,4,FALSE)))</f>
        <v>Kronmüller KT</v>
      </c>
      <c r="F62" s="22">
        <f>IF($B62="","",IF(LEN(VLOOKUP($B62,Database!$B$1:$IX$10144,5,FALSE))=0,"",VLOOKUP($B62,Database!$B$1:$IX$10144,5,FALSE)))</f>
        <v>2009</v>
      </c>
      <c r="G62" s="1" t="str">
        <f>IF($B62="","",HYPERLINK(IF(LEN(VLOOKUP($B62,Database!$B$1:$IX$10144,6,FALSE))=0,"",VLOOKUP($B62,Database!$B$1:$IX$10144,6,FALSE))))</f>
        <v>http://dx.doi.org/10.1016/j.pscychresns.2008.08.001</v>
      </c>
      <c r="H62" s="83">
        <v>11</v>
      </c>
      <c r="I62" s="83">
        <v>5.5</v>
      </c>
      <c r="J62" t="s">
        <v>2383</v>
      </c>
      <c r="K62" t="s">
        <v>2381</v>
      </c>
      <c r="L62">
        <v>3.1</v>
      </c>
      <c r="M62">
        <v>0.39</v>
      </c>
      <c r="N62">
        <v>3.19</v>
      </c>
      <c r="O62">
        <v>0.25</v>
      </c>
      <c r="P62">
        <v>2.97</v>
      </c>
      <c r="Q62">
        <v>0.47</v>
      </c>
      <c r="R62">
        <v>3.3</v>
      </c>
      <c r="S62">
        <v>0.28999999999999998</v>
      </c>
      <c r="T62">
        <v>6.07</v>
      </c>
      <c r="U62">
        <v>0.85</v>
      </c>
      <c r="V62">
        <v>6.49</v>
      </c>
      <c r="W62">
        <v>0.49</v>
      </c>
      <c r="Y62" s="22" t="str">
        <f>IF(OR($B62="",Y$22=""),"",IF(LEN(VLOOKUP($B62,Database!$B$1:$IX$10144,Y$22,FALSE))=0,"",VLOOKUP($B62,Database!$B$1:$IX$10144,Y$22,FALSE)))</f>
        <v>DSM-IV</v>
      </c>
      <c r="Z62" s="22" t="str">
        <f>IF(OR($B62="",Z$22=""),"",IF(LEN(VLOOKUP($B62,Database!$B$1:$IX$10144,Z$22,FALSE))=0,"",VLOOKUP($B62,Database!$B$1:$IX$10144,Z$22,FALSE)))</f>
        <v>MRI</v>
      </c>
      <c r="AA62" s="214" t="s">
        <v>2453</v>
      </c>
      <c r="AB62" s="83">
        <v>48.27</v>
      </c>
      <c r="AC62" s="83">
        <v>8.73</v>
      </c>
      <c r="AD62" s="83">
        <v>42</v>
      </c>
      <c r="AE62" s="83">
        <v>11.28</v>
      </c>
      <c r="AF62" s="83">
        <v>0</v>
      </c>
      <c r="AG62" s="22">
        <f>IF(OR($B62="",AG$22=""),"",IF(LEN(VLOOKUP($B62,Database!$B$1:$IX$10144,AG$22,FALSE))=0,"",VLOOKUP($B62,Database!$B$1:$IX$10144,AG$22,FALSE)))</f>
        <v>19</v>
      </c>
      <c r="AH62" s="22">
        <f>IF(OR($B62="",AH$22=""),"",IF(LEN(VLOOKUP($B62,Database!$B$1:$IX$10144,AH$22,FALSE))=0,"",VLOOKUP($B62,Database!$B$1:$IX$10144,AH$22,FALSE)))</f>
        <v>1.5</v>
      </c>
      <c r="AI62" s="22">
        <f>IF(OR($B62="",AI$22=""),"",IF(LEN(VLOOKUP($B62,Database!$B$1:$IX$10144,AI$22,FALSE))=0,"",VLOOKUP($B62,Database!$B$1:$IX$10144,AI$22,FALSE)))</f>
        <v>1.5</v>
      </c>
      <c r="AJ62" s="22" t="str">
        <f>IF(OR($B62="",AJ$22=""),"",IF(LEN(VLOOKUP($B62,Database!$B$1:$IX$10144,AJ$22,FALSE))=0,"",VLOOKUP($B62,Database!$B$1:$IX$10144,AJ$22,FALSE)))</f>
        <v/>
      </c>
      <c r="AK62" s="83">
        <v>38.26</v>
      </c>
      <c r="AL62" s="83">
        <v>18.72</v>
      </c>
      <c r="AM62" s="22">
        <f>IF(OR($B62="",AM$22=""),"",IF(LEN(VLOOKUP($B62,Database!$B$1:$IX$10144,AM$22,FALSE))=0,"",VLOOKUP($B62,Database!$B$1:$IX$10144,AM$22,FALSE)))</f>
        <v>100</v>
      </c>
      <c r="AN62" s="22" t="str">
        <f>IF(OR($B62="",AN$22=""),"",IF(LEN(VLOOKUP($B62,Database!$B$1:$IX$10144,AN$22,FALSE))=0,"",VLOOKUP($B62,Database!$B$1:$IX$10144,AN$22,FALSE)))</f>
        <v>ns</v>
      </c>
      <c r="AO62" s="22" t="str">
        <f>IF(OR($B62="",AO$22=""),"",IF(LEN(VLOOKUP($B62,Database!$B$1:$IX$10144,AO$22,FALSE))=0,"",VLOOKUP($B62,Database!$B$1:$IX$10144,AO$22,FALSE)))</f>
        <v>ns</v>
      </c>
      <c r="AP62" s="22">
        <f>IF(OR($B62="",AP$22=""),"",IF(LEN(VLOOKUP($B62,Database!$B$1:$IX$10144,AP$22,FALSE))=0,"",VLOOKUP($B62,Database!$B$1:$IX$10144,AP$22,FALSE)))</f>
        <v>0</v>
      </c>
      <c r="AQ62" s="22" t="str">
        <f>IF(OR($B62="",AQ$22=""),"",IF(LEN(VLOOKUP($B62,Database!$B$1:$IX$10144,AQ$22,FALSE))=0,"",VLOOKUP($B62,Database!$B$1:$IX$10144,AQ$22,FALSE)))</f>
        <v>Kronmüller KT, Schröder J, Köhler S, Götz B, Victor D, Unger J, Giesel F, Magnotta V, Mundt C, Essig M, Pantel J.</v>
      </c>
      <c r="AR62" s="13"/>
      <c r="AU62" s="13"/>
      <c r="AX62" s="13"/>
      <c r="AY62" s="13"/>
      <c r="AZ62" s="13"/>
      <c r="BA62" s="13"/>
      <c r="BC62" s="23"/>
      <c r="BF62" s="136"/>
      <c r="BG62" s="136"/>
      <c r="BH62" s="136"/>
      <c r="BI62" s="136"/>
    </row>
    <row r="63" spans="1:61">
      <c r="B63">
        <v>19800203</v>
      </c>
      <c r="C63" s="1" t="str">
        <f>IF($B63="","",HYPERLINK(IF(LEN(VLOOKUP($B63,Database!$B$1:$IX$10144,2,FALSE))=0,"",VLOOKUP($B63,Database!$B$1:$IX$10144,2,FALSE))))</f>
        <v/>
      </c>
      <c r="D63" s="1" t="str">
        <f t="shared" si="2"/>
        <v>http://www.ncbi.nlm.nih.gov/pubmed/19800203</v>
      </c>
      <c r="E63" s="22" t="str">
        <f>IF($B63="","",IF(LEN(VLOOKUP($B63,Database!$B$1:$IX$10144,4,FALSE))=0,"",VLOOKUP($B63,Database!$B$1:$IX$10144,4,FALSE)))</f>
        <v>Kronmüller KT</v>
      </c>
      <c r="F63" s="22">
        <f>IF($B63="","",IF(LEN(VLOOKUP($B63,Database!$B$1:$IX$10144,5,FALSE))=0,"",VLOOKUP($B63,Database!$B$1:$IX$10144,5,FALSE)))</f>
        <v>2009</v>
      </c>
      <c r="G63" s="1" t="str">
        <f>IF($B63="","",HYPERLINK(IF(LEN(VLOOKUP($B63,Database!$B$1:$IX$10144,6,FALSE))=0,"",VLOOKUP($B63,Database!$B$1:$IX$10144,6,FALSE))))</f>
        <v>http://dx.doi.org/10.1016/j.pscychresns.2008.08.001</v>
      </c>
      <c r="H63" s="83">
        <v>20</v>
      </c>
      <c r="I63" s="83">
        <v>9.5</v>
      </c>
      <c r="J63" t="s">
        <v>2383</v>
      </c>
      <c r="K63" t="s">
        <v>2382</v>
      </c>
      <c r="L63">
        <v>2.75</v>
      </c>
      <c r="M63">
        <v>0.41</v>
      </c>
      <c r="N63">
        <v>2.72</v>
      </c>
      <c r="O63">
        <v>0.3</v>
      </c>
      <c r="P63">
        <v>2.83</v>
      </c>
      <c r="Q63">
        <v>0.35</v>
      </c>
      <c r="R63">
        <v>2.79</v>
      </c>
      <c r="S63">
        <v>0.41</v>
      </c>
      <c r="T63">
        <v>5.59</v>
      </c>
      <c r="U63">
        <v>0.73</v>
      </c>
      <c r="V63">
        <v>5.51</v>
      </c>
      <c r="W63">
        <v>0.66</v>
      </c>
      <c r="Y63" s="22" t="str">
        <f>IF(OR($B63="",Y$22=""),"",IF(LEN(VLOOKUP($B63,Database!$B$1:$IX$10144,Y$22,FALSE))=0,"",VLOOKUP($B63,Database!$B$1:$IX$10144,Y$22,FALSE)))</f>
        <v>DSM-IV</v>
      </c>
      <c r="Z63" s="22" t="str">
        <f>IF(OR($B63="",Z$22=""),"",IF(LEN(VLOOKUP($B63,Database!$B$1:$IX$10144,Z$22,FALSE))=0,"",VLOOKUP($B63,Database!$B$1:$IX$10144,Z$22,FALSE)))</f>
        <v>MRI</v>
      </c>
      <c r="AA63" s="214" t="s">
        <v>2454</v>
      </c>
      <c r="AB63" s="83">
        <v>45.85</v>
      </c>
      <c r="AC63" s="83">
        <v>11.78</v>
      </c>
      <c r="AD63" s="83">
        <v>42.68</v>
      </c>
      <c r="AE63" s="83">
        <v>13.98</v>
      </c>
      <c r="AF63" s="83">
        <v>20</v>
      </c>
      <c r="AG63" s="22">
        <f>IF(OR($B63="",AG$22=""),"",IF(LEN(VLOOKUP($B63,Database!$B$1:$IX$10144,AG$22,FALSE))=0,"",VLOOKUP($B63,Database!$B$1:$IX$10144,AG$22,FALSE)))</f>
        <v>19</v>
      </c>
      <c r="AH63" s="22">
        <f>IF(OR($B63="",AH$22=""),"",IF(LEN(VLOOKUP($B63,Database!$B$1:$IX$10144,AH$22,FALSE))=0,"",VLOOKUP($B63,Database!$B$1:$IX$10144,AH$22,FALSE)))</f>
        <v>1.5</v>
      </c>
      <c r="AI63" s="22">
        <f>IF(OR($B63="",AI$22=""),"",IF(LEN(VLOOKUP($B63,Database!$B$1:$IX$10144,AI$22,FALSE))=0,"",VLOOKUP($B63,Database!$B$1:$IX$10144,AI$22,FALSE)))</f>
        <v>1.5</v>
      </c>
      <c r="AJ63" s="22" t="str">
        <f>IF(OR($B63="",AJ$22=""),"",IF(LEN(VLOOKUP($B63,Database!$B$1:$IX$10144,AJ$22,FALSE))=0,"",VLOOKUP($B63,Database!$B$1:$IX$10144,AJ$22,FALSE)))</f>
        <v/>
      </c>
      <c r="AK63" s="83">
        <v>38.26</v>
      </c>
      <c r="AL63" s="83">
        <v>22.9</v>
      </c>
      <c r="AM63" s="22">
        <f>IF(OR($B63="",AM$22=""),"",IF(LEN(VLOOKUP($B63,Database!$B$1:$IX$10144,AM$22,FALSE))=0,"",VLOOKUP($B63,Database!$B$1:$IX$10144,AM$22,FALSE)))</f>
        <v>100</v>
      </c>
      <c r="AN63" s="22" t="str">
        <f>IF(OR($B63="",AN$22=""),"",IF(LEN(VLOOKUP($B63,Database!$B$1:$IX$10144,AN$22,FALSE))=0,"",VLOOKUP($B63,Database!$B$1:$IX$10144,AN$22,FALSE)))</f>
        <v>ns</v>
      </c>
      <c r="AO63" s="22" t="str">
        <f>IF(OR($B63="",AO$22=""),"",IF(LEN(VLOOKUP($B63,Database!$B$1:$IX$10144,AO$22,FALSE))=0,"",VLOOKUP($B63,Database!$B$1:$IX$10144,AO$22,FALSE)))</f>
        <v>ns</v>
      </c>
      <c r="AP63" s="22">
        <f>IF(OR($B63="",AP$22=""),"",IF(LEN(VLOOKUP($B63,Database!$B$1:$IX$10144,AP$22,FALSE))=0,"",VLOOKUP($B63,Database!$B$1:$IX$10144,AP$22,FALSE)))</f>
        <v>0</v>
      </c>
      <c r="AQ63" s="22" t="str">
        <f>IF(OR($B63="",AQ$22=""),"",IF(LEN(VLOOKUP($B63,Database!$B$1:$IX$10144,AQ$22,FALSE))=0,"",VLOOKUP($B63,Database!$B$1:$IX$10144,AQ$22,FALSE)))</f>
        <v>Kronmüller KT, Schröder J, Köhler S, Götz B, Victor D, Unger J, Giesel F, Magnotta V, Mundt C, Essig M, Pantel J.</v>
      </c>
      <c r="AR63" s="13"/>
      <c r="AU63" s="13"/>
      <c r="AX63" s="13"/>
      <c r="AY63" s="13"/>
      <c r="AZ63" s="13"/>
      <c r="BA63" s="13"/>
      <c r="BC63" s="23"/>
      <c r="BF63" s="136"/>
      <c r="BG63" s="136"/>
      <c r="BH63" s="136"/>
      <c r="BI63" s="136"/>
    </row>
    <row r="64" spans="1:61">
      <c r="B64">
        <v>20018381</v>
      </c>
      <c r="C64" s="1" t="str">
        <f>IF($B64="","",HYPERLINK(IF(LEN(VLOOKUP($B64,Database!$B$1:$IX$10144,2,FALSE))=0,"",VLOOKUP($B64,Database!$B$1:$IX$10144,2,FALSE))))</f>
        <v/>
      </c>
      <c r="D64" s="1" t="str">
        <f t="shared" si="2"/>
        <v>http://www.ncbi.nlm.nih.gov/pubmed/20018381</v>
      </c>
      <c r="E64" s="22" t="str">
        <f>IF($B64="","",IF(LEN(VLOOKUP($B64,Database!$B$1:$IX$10144,4,FALSE))=0,"",VLOOKUP($B64,Database!$B$1:$IX$10144,4,FALSE)))</f>
        <v>Weber K</v>
      </c>
      <c r="F64" s="22">
        <f>IF($B64="","",IF(LEN(VLOOKUP($B64,Database!$B$1:$IX$10144,5,FALSE))=0,"",VLOOKUP($B64,Database!$B$1:$IX$10144,5,FALSE)))</f>
        <v>2009</v>
      </c>
      <c r="G64" s="1" t="str">
        <f>IF($B64="","",HYPERLINK(IF(LEN(VLOOKUP($B64,Database!$B$1:$IX$10144,6,FALSE))=0,"",VLOOKUP($B64,Database!$B$1:$IX$10144,6,FALSE))))</f>
        <v>http://dx.doi.org/10.1016/j.jad.2009.11.016</v>
      </c>
      <c r="H64" s="22">
        <f>IF($B64="","",IF(LEN(VLOOKUP($B64,Database!$B$1:$IX$10144,7,FALSE))=0,"",VLOOKUP($B64,Database!$B$1:$IX$10144,7,FALSE)))</f>
        <v>38</v>
      </c>
      <c r="I64" s="22">
        <f>IF($B64="","",IF(LEN(VLOOKUP($B64,Database!$B$1:$IX$10144,8,FALSE))=0,"",VLOOKUP($B64,Database!$B$1:$IX$10144,8,FALSE)))</f>
        <v>62</v>
      </c>
      <c r="J64" t="s">
        <v>2389</v>
      </c>
      <c r="L64">
        <v>1.74</v>
      </c>
      <c r="M64">
        <v>0.23</v>
      </c>
      <c r="N64">
        <v>1.76</v>
      </c>
      <c r="O64">
        <v>0.26</v>
      </c>
      <c r="P64">
        <v>1.83</v>
      </c>
      <c r="Q64">
        <v>0.23</v>
      </c>
      <c r="R64">
        <v>1.87</v>
      </c>
      <c r="S64">
        <v>0.27</v>
      </c>
      <c r="T64">
        <v>3.58</v>
      </c>
      <c r="U64">
        <v>0.45</v>
      </c>
      <c r="V64">
        <v>3.63</v>
      </c>
      <c r="W64">
        <v>0.52</v>
      </c>
      <c r="Y64" s="22" t="str">
        <f>IF(OR($B64="",Y$22=""),"",IF(LEN(VLOOKUP($B64,Database!$B$1:$IX$10144,Y$22,FALSE))=0,"",VLOOKUP($B64,Database!$B$1:$IX$10144,Y$22,FALSE)))</f>
        <v>DSM-IV</v>
      </c>
      <c r="Z64" s="22" t="str">
        <f>IF(OR($B64="",Z$22=""),"",IF(LEN(VLOOKUP($B64,Database!$B$1:$IX$10144,Z$22,FALSE))=0,"",VLOOKUP($B64,Database!$B$1:$IX$10144,Z$22,FALSE)))</f>
        <v>MRI</v>
      </c>
      <c r="AA64" s="22" t="str">
        <f>IF(OR($B64="",AA$22=""),"",IF(LEN(VLOOKUP($B64,Database!$B$1:$IX$10144,AA$22,FALSE))=0,"",VLOOKUP($B64,Database!$B$1:$IX$10144,AA$22,FALSE)))</f>
        <v/>
      </c>
      <c r="AB64" s="22">
        <f>IF(OR($B64="",AB$22=""),"",IF(LEN(VLOOKUP($B64,Database!$B$1:$IX$10144,AB$22,FALSE))=0,"",VLOOKUP($B64,Database!$B$1:$IX$10144,AB$22,FALSE)))</f>
        <v>66.11</v>
      </c>
      <c r="AC64" s="22">
        <f>IF(OR($B64="",AC$22=""),"",IF(LEN(VLOOKUP($B64,Database!$B$1:$IX$10144,AC$22,FALSE))=0,"",VLOOKUP($B64,Database!$B$1:$IX$10144,AC$22,FALSE)))</f>
        <v>6.22</v>
      </c>
      <c r="AD64" s="22">
        <f>IF(OR($B64="",AD$22=""),"",IF(LEN(VLOOKUP($B64,Database!$B$1:$IX$10144,AD$22,FALSE))=0,"",VLOOKUP($B64,Database!$B$1:$IX$10144,AD$22,FALSE)))</f>
        <v>71.099999999999994</v>
      </c>
      <c r="AE64" s="22">
        <f>IF(OR($B64="",AE$22=""),"",IF(LEN(VLOOKUP($B64,Database!$B$1:$IX$10144,AE$22,FALSE))=0,"",VLOOKUP($B64,Database!$B$1:$IX$10144,AE$22,FALSE)))</f>
        <v>7.26</v>
      </c>
      <c r="AF64" s="22">
        <f>IF(OR($B64="",AF$22=""),"",IF(LEN(VLOOKUP($B64,Database!$B$1:$IX$10144,AF$22,FALSE))=0,"",VLOOKUP($B64,Database!$B$1:$IX$10144,AF$22,FALSE)))</f>
        <v>31</v>
      </c>
      <c r="AG64" s="22">
        <f>IF(OR($B64="",AG$22=""),"",IF(LEN(VLOOKUP($B64,Database!$B$1:$IX$10144,AG$22,FALSE))=0,"",VLOOKUP($B64,Database!$B$1:$IX$10144,AG$22,FALSE)))</f>
        <v>48</v>
      </c>
      <c r="AH64" s="22">
        <f>IF(OR($B64="",AH$22=""),"",IF(LEN(VLOOKUP($B64,Database!$B$1:$IX$10144,AH$22,FALSE))=0,"",VLOOKUP($B64,Database!$B$1:$IX$10144,AH$22,FALSE)))</f>
        <v>3</v>
      </c>
      <c r="AI64" s="22">
        <f>IF(OR($B64="",AI$22=""),"",IF(LEN(VLOOKUP($B64,Database!$B$1:$IX$10144,AI$22,FALSE))=0,"",VLOOKUP($B64,Database!$B$1:$IX$10144,AI$22,FALSE)))</f>
        <v>0.9</v>
      </c>
      <c r="AJ64" s="22" t="str">
        <f>IF(OR($B64="",AJ$22=""),"",IF(LEN(VLOOKUP($B64,Database!$B$1:$IX$10144,AJ$22,FALSE))=0,"",VLOOKUP($B64,Database!$B$1:$IX$10144,AJ$22,FALSE)))</f>
        <v/>
      </c>
      <c r="AK64" s="22">
        <f>IF(OR($B64="",AK$22=""),"",IF(LEN(VLOOKUP($B64,Database!$B$1:$IX$10144,AK$22,FALSE))=0,"",VLOOKUP($B64,Database!$B$1:$IX$10144,AK$22,FALSE)))</f>
        <v>37.76</v>
      </c>
      <c r="AL64" s="22" t="str">
        <f>IF(OR($B64="",AL$22=""),"",IF(LEN(VLOOKUP($B64,Database!$B$1:$IX$10144,AL$22,FALSE))=0,"",VLOOKUP($B64,Database!$B$1:$IX$10144,AL$22,FALSE)))</f>
        <v>ns</v>
      </c>
      <c r="AM64" s="22">
        <f>IF(OR($B64="",AM$22=""),"",IF(LEN(VLOOKUP($B64,Database!$B$1:$IX$10144,AM$22,FALSE))=0,"",VLOOKUP($B64,Database!$B$1:$IX$10144,AM$22,FALSE)))</f>
        <v>47.368421052631575</v>
      </c>
      <c r="AN64" s="22" t="str">
        <f>IF(OR($B64="",AN$22=""),"",IF(LEN(VLOOKUP($B64,Database!$B$1:$IX$10144,AN$22,FALSE))=0,"",VLOOKUP($B64,Database!$B$1:$IX$10144,AN$22,FALSE)))</f>
        <v>ns</v>
      </c>
      <c r="AO64" s="22" t="str">
        <f>IF(OR($B64="",AO$22=""),"",IF(LEN(VLOOKUP($B64,Database!$B$1:$IX$10144,AO$22,FALSE))=0,"",VLOOKUP($B64,Database!$B$1:$IX$10144,AO$22,FALSE)))</f>
        <v>ns</v>
      </c>
      <c r="AP64" s="22" t="str">
        <f>IF(OR($B64="",AP$22=""),"",IF(LEN(VLOOKUP($B64,Database!$B$1:$IX$10144,AP$22,FALSE))=0,"",VLOOKUP($B64,Database!$B$1:$IX$10144,AP$22,FALSE)))</f>
        <v>ns</v>
      </c>
      <c r="AQ64" s="22" t="str">
        <f>IF(OR($B64="",AQ$22=""),"",IF(LEN(VLOOKUP($B64,Database!$B$1:$IX$10144,AQ$22,FALSE))=0,"",VLOOKUP($B64,Database!$B$1:$IX$10144,AQ$22,FALSE)))</f>
        <v>Weber K, Giannakopoulos P, Delaloye C, de Bilbao F, Moy G, Moussa A, Rubio MM, Ebbing K, Meuli R, Lazeyras F, Meiler-Mititelu C, Herrmann FR, Gold G, Canuto A.</v>
      </c>
      <c r="AR64" s="13"/>
      <c r="AX64" s="13"/>
      <c r="AY64" s="13"/>
      <c r="AZ64" s="13"/>
      <c r="BA64" s="13"/>
      <c r="BC64" s="23"/>
      <c r="BF64" s="136"/>
      <c r="BG64" s="136"/>
      <c r="BH64" s="136"/>
      <c r="BI64" s="136"/>
    </row>
    <row r="65" spans="1:43">
      <c r="C65" s="1" t="str">
        <f>IF($B65="","",HYPERLINK(IF(LEN(VLOOKUP($B65,Database!$B$1:$IX$10144,2,FALSE))=0,"",VLOOKUP($B65,Database!$B$1:$IX$10144,2,FALSE))))</f>
        <v/>
      </c>
      <c r="D65" s="1" t="str">
        <f t="shared" si="2"/>
        <v/>
      </c>
      <c r="E65" s="22" t="str">
        <f>IF($B65="","",IF(LEN(VLOOKUP($B65,Database!$B$1:$IX$10144,4,FALSE))=0,"",VLOOKUP($B65,Database!$B$1:$IX$10144,4,FALSE)))</f>
        <v/>
      </c>
      <c r="F65" s="22" t="str">
        <f>IF($B65="","",IF(LEN(VLOOKUP($B65,Database!$B$1:$IX$10144,5,FALSE))=0,"",VLOOKUP($B65,Database!$B$1:$IX$10144,5,FALSE)))</f>
        <v/>
      </c>
      <c r="G65" s="1" t="str">
        <f>IF($B65="","",HYPERLINK(IF(LEN(VLOOKUP($B65,Database!$B$1:$IX$10144,6,FALSE))=0,"",VLOOKUP($B65,Database!$B$1:$IX$10144,6,FALSE))))</f>
        <v/>
      </c>
      <c r="H65" s="22" t="str">
        <f>IF($B65="","",IF(LEN(VLOOKUP($B65,Database!$B$1:$IX$10144,7,FALSE))=0,"",VLOOKUP($B65,Database!$B$1:$IX$10144,7,FALSE)))</f>
        <v/>
      </c>
      <c r="I65" s="22" t="str">
        <f>IF($B65="","",IF(LEN(VLOOKUP($B65,Database!$B$1:$IX$10144,8,FALSE))=0,"",VLOOKUP($B65,Database!$B$1:$IX$10144,8,FALSE)))</f>
        <v/>
      </c>
      <c r="Y65" s="22" t="str">
        <f>IF(OR($B65="",Y$22=""),"",IF(LEN(VLOOKUP($B65,Database!$B$1:$IX$10144,Y$22,FALSE))=0,"",VLOOKUP($B65,Database!$B$1:$IX$10144,Y$22,FALSE)))</f>
        <v/>
      </c>
      <c r="Z65" s="22" t="str">
        <f>IF(OR($B65="",Z$22=""),"",IF(LEN(VLOOKUP($B65,Database!$B$1:$IX$10144,Z$22,FALSE))=0,"",VLOOKUP($B65,Database!$B$1:$IX$10144,Z$22,FALSE)))</f>
        <v/>
      </c>
      <c r="AA65" s="22" t="str">
        <f>IF(OR($B65="",AA$22=""),"",IF(LEN(VLOOKUP($B65,Database!$B$1:$IX$10144,AA$22,FALSE))=0,"",VLOOKUP($B65,Database!$B$1:$IX$10144,AA$22,FALSE)))</f>
        <v/>
      </c>
      <c r="AB65" s="22" t="str">
        <f>IF(OR($B65="",AB$22=""),"",IF(LEN(VLOOKUP($B65,Database!$B$1:$IX$10144,AB$22,FALSE))=0,"",VLOOKUP($B65,Database!$B$1:$IX$10144,AB$22,FALSE)))</f>
        <v/>
      </c>
      <c r="AC65" s="22" t="str">
        <f>IF(OR($B65="",AC$22=""),"",IF(LEN(VLOOKUP($B65,Database!$B$1:$IX$10144,AC$22,FALSE))=0,"",VLOOKUP($B65,Database!$B$1:$IX$10144,AC$22,FALSE)))</f>
        <v/>
      </c>
      <c r="AD65" s="22" t="str">
        <f>IF(OR($B65="",AD$22=""),"",IF(LEN(VLOOKUP($B65,Database!$B$1:$IX$10144,AD$22,FALSE))=0,"",VLOOKUP($B65,Database!$B$1:$IX$10144,AD$22,FALSE)))</f>
        <v/>
      </c>
      <c r="AE65" s="22" t="str">
        <f>IF(OR($B65="",AE$22=""),"",IF(LEN(VLOOKUP($B65,Database!$B$1:$IX$10144,AE$22,FALSE))=0,"",VLOOKUP($B65,Database!$B$1:$IX$10144,AE$22,FALSE)))</f>
        <v/>
      </c>
      <c r="AF65" s="22" t="str">
        <f>IF(OR($B65="",AF$22=""),"",IF(LEN(VLOOKUP($B65,Database!$B$1:$IX$10144,AF$22,FALSE))=0,"",VLOOKUP($B65,Database!$B$1:$IX$10144,AF$22,FALSE)))</f>
        <v/>
      </c>
      <c r="AG65" s="22" t="str">
        <f>IF(OR($B65="",AG$22=""),"",IF(LEN(VLOOKUP($B65,Database!$B$1:$IX$10144,AG$22,FALSE))=0,"",VLOOKUP($B65,Database!$B$1:$IX$10144,AG$22,FALSE)))</f>
        <v/>
      </c>
      <c r="AH65" s="22" t="str">
        <f>IF(OR($B65="",AH$22=""),"",IF(LEN(VLOOKUP($B65,Database!$B$1:$IX$10144,AH$22,FALSE))=0,"",VLOOKUP($B65,Database!$B$1:$IX$10144,AH$22,FALSE)))</f>
        <v/>
      </c>
      <c r="AI65" s="22" t="str">
        <f>IF(OR($B65="",AI$22=""),"",IF(LEN(VLOOKUP($B65,Database!$B$1:$IX$10144,AI$22,FALSE))=0,"",VLOOKUP($B65,Database!$B$1:$IX$10144,AI$22,FALSE)))</f>
        <v/>
      </c>
      <c r="AJ65" s="22"/>
      <c r="AK65" s="22" t="str">
        <f>IF(OR($B65="",AK$22=""),"",IF(LEN(VLOOKUP($B65,Database!$B$1:$IX$10144,AK$22,FALSE))=0,"",VLOOKUP($B65,Database!$B$1:$IX$10144,AK$22,FALSE)))</f>
        <v/>
      </c>
      <c r="AL65" s="22" t="str">
        <f>IF(OR($B65="",AL$22=""),"",IF(LEN(VLOOKUP($B65,Database!$B$1:$IX$10144,AL$22,FALSE))=0,"",VLOOKUP($B65,Database!$B$1:$IX$10144,AL$22,FALSE)))</f>
        <v/>
      </c>
      <c r="AM65" s="22" t="str">
        <f>IF(OR($B65="",AM$22=""),"",IF(LEN(VLOOKUP($B65,Database!$B$1:$IX$10144,AM$22,FALSE))=0,"",VLOOKUP($B65,Database!$B$1:$IX$10144,AM$22,FALSE)))</f>
        <v/>
      </c>
      <c r="AN65" s="22" t="str">
        <f>IF(OR($B65="",AN$22=""),"",IF(LEN(VLOOKUP($B65,Database!$B$1:$IX$10144,AN$22,FALSE))=0,"",VLOOKUP($B65,Database!$B$1:$IX$10144,AN$22,FALSE)))</f>
        <v/>
      </c>
      <c r="AO65" s="22" t="str">
        <f>IF(OR($B65="",AO$22=""),"",IF(LEN(VLOOKUP($B65,Database!$B$1:$IX$10144,AO$22,FALSE))=0,"",VLOOKUP($B65,Database!$B$1:$IX$10144,AO$22,FALSE)))</f>
        <v/>
      </c>
      <c r="AP65" s="22" t="str">
        <f>IF(OR($B65="",AP$22=""),"",IF(LEN(VLOOKUP($B65,Database!$B$1:$IX$10144,AP$22,FALSE))=0,"",VLOOKUP($B65,Database!$B$1:$IX$10144,AP$22,FALSE)))</f>
        <v/>
      </c>
      <c r="AQ65" s="22" t="str">
        <f>IF(OR($B65="",AQ$22=""),"",IF(LEN(VLOOKUP($B65,Database!$B$1:$IX$10144,AQ$22,FALSE))=0,"",VLOOKUP($B65,Database!$B$1:$IX$10144,AQ$22,FALSE)))</f>
        <v/>
      </c>
    </row>
    <row r="66" spans="1:43">
      <c r="C66" s="1" t="str">
        <f>IF($B66="","",HYPERLINK(IF(LEN(VLOOKUP($B66,Database!$B$1:$IX$10144,2,FALSE))=0,"",VLOOKUP($B66,Database!$B$1:$IX$10144,2,FALSE))))</f>
        <v/>
      </c>
      <c r="D66" s="1" t="str">
        <f t="shared" si="2"/>
        <v/>
      </c>
      <c r="E66" s="22" t="str">
        <f>IF($B66="","",IF(LEN(VLOOKUP($B66,Database!$B$1:$IX$10144,4,FALSE))=0,"",VLOOKUP($B66,Database!$B$1:$IX$10144,4,FALSE)))</f>
        <v/>
      </c>
      <c r="F66" s="22" t="str">
        <f>IF($B66="","",IF(LEN(VLOOKUP($B66,Database!$B$1:$IX$10144,5,FALSE))=0,"",VLOOKUP($B66,Database!$B$1:$IX$10144,5,FALSE)))</f>
        <v/>
      </c>
      <c r="G66" s="1" t="str">
        <f>IF($B66="","",HYPERLINK(IF(LEN(VLOOKUP($B66,Database!$B$1:$IX$10144,6,FALSE))=0,"",VLOOKUP($B66,Database!$B$1:$IX$10144,6,FALSE))))</f>
        <v/>
      </c>
      <c r="H66" s="22" t="str">
        <f>IF($B66="","",IF(LEN(VLOOKUP($B66,Database!$B$1:$IX$10144,7,FALSE))=0,"",VLOOKUP($B66,Database!$B$1:$IX$10144,7,FALSE)))</f>
        <v/>
      </c>
      <c r="I66" s="22" t="str">
        <f>IF($B66="","",IF(LEN(VLOOKUP($B66,Database!$B$1:$IX$10144,8,FALSE))=0,"",VLOOKUP($B66,Database!$B$1:$IX$10144,8,FALSE)))</f>
        <v/>
      </c>
      <c r="Y66" s="22" t="str">
        <f>IF(OR($B66="",Y$22=""),"",IF(LEN(VLOOKUP($B66,Database!$B$1:$IX$10144,Y$22,FALSE))=0,"",VLOOKUP($B66,Database!$B$1:$IX$10144,Y$22,FALSE)))</f>
        <v/>
      </c>
      <c r="Z66" s="22" t="str">
        <f>IF(OR($B66="",Z$22=""),"",IF(LEN(VLOOKUP($B66,Database!$B$1:$IX$10144,Z$22,FALSE))=0,"",VLOOKUP($B66,Database!$B$1:$IX$10144,Z$22,FALSE)))</f>
        <v/>
      </c>
      <c r="AA66" s="22" t="str">
        <f>IF(OR($B66="",AA$22=""),"",IF(LEN(VLOOKUP($B66,Database!$B$1:$IX$10144,AA$22,FALSE))=0,"",VLOOKUP($B66,Database!$B$1:$IX$10144,AA$22,FALSE)))</f>
        <v/>
      </c>
      <c r="AB66" s="22" t="str">
        <f>IF(OR($B66="",AB$22=""),"",IF(LEN(VLOOKUP($B66,Database!$B$1:$IX$10144,AB$22,FALSE))=0,"",VLOOKUP($B66,Database!$B$1:$IX$10144,AB$22,FALSE)))</f>
        <v/>
      </c>
      <c r="AC66" s="22" t="str">
        <f>IF(OR($B66="",AC$22=""),"",IF(LEN(VLOOKUP($B66,Database!$B$1:$IX$10144,AC$22,FALSE))=0,"",VLOOKUP($B66,Database!$B$1:$IX$10144,AC$22,FALSE)))</f>
        <v/>
      </c>
      <c r="AD66" s="22" t="str">
        <f>IF(OR($B66="",AD$22=""),"",IF(LEN(VLOOKUP($B66,Database!$B$1:$IX$10144,AD$22,FALSE))=0,"",VLOOKUP($B66,Database!$B$1:$IX$10144,AD$22,FALSE)))</f>
        <v/>
      </c>
      <c r="AE66" s="22" t="str">
        <f>IF(OR($B66="",AE$22=""),"",IF(LEN(VLOOKUP($B66,Database!$B$1:$IX$10144,AE$22,FALSE))=0,"",VLOOKUP($B66,Database!$B$1:$IX$10144,AE$22,FALSE)))</f>
        <v/>
      </c>
      <c r="AF66" s="22" t="str">
        <f>IF(OR($B66="",AF$22=""),"",IF(LEN(VLOOKUP($B66,Database!$B$1:$IX$10144,AF$22,FALSE))=0,"",VLOOKUP($B66,Database!$B$1:$IX$10144,AF$22,FALSE)))</f>
        <v/>
      </c>
      <c r="AG66" s="22" t="str">
        <f>IF(OR($B66="",AG$22=""),"",IF(LEN(VLOOKUP($B66,Database!$B$1:$IX$10144,AG$22,FALSE))=0,"",VLOOKUP($B66,Database!$B$1:$IX$10144,AG$22,FALSE)))</f>
        <v/>
      </c>
      <c r="AH66" s="22" t="str">
        <f>IF(OR($B66="",AH$22=""),"",IF(LEN(VLOOKUP($B66,Database!$B$1:$IX$10144,AH$22,FALSE))=0,"",VLOOKUP($B66,Database!$B$1:$IX$10144,AH$22,FALSE)))</f>
        <v/>
      </c>
      <c r="AI66" s="22" t="str">
        <f>IF(OR($B66="",AI$22=""),"",IF(LEN(VLOOKUP($B66,Database!$B$1:$IX$10144,AI$22,FALSE))=0,"",VLOOKUP($B66,Database!$B$1:$IX$10144,AI$22,FALSE)))</f>
        <v/>
      </c>
      <c r="AJ66" s="22" t="str">
        <f>IF(OR($B66="",AJ$22=""),"",IF(LEN(VLOOKUP($B66,Database!$B$1:$IX$10144,AJ$22,FALSE))=0,"",VLOOKUP($B66,Database!$B$1:$IX$10144,AJ$22,FALSE)))</f>
        <v/>
      </c>
      <c r="AK66" s="22" t="str">
        <f>IF(OR($B66="",AK$22=""),"",IF(LEN(VLOOKUP($B66,Database!$B$1:$IX$10144,AK$22,FALSE))=0,"",VLOOKUP($B66,Database!$B$1:$IX$10144,AK$22,FALSE)))</f>
        <v/>
      </c>
      <c r="AL66" s="22" t="str">
        <f>IF(OR($B66="",AL$22=""),"",IF(LEN(VLOOKUP($B66,Database!$B$1:$IX$10144,AL$22,FALSE))=0,"",VLOOKUP($B66,Database!$B$1:$IX$10144,AL$22,FALSE)))</f>
        <v/>
      </c>
      <c r="AM66" s="22" t="str">
        <f>IF(OR($B66="",AM$22=""),"",IF(LEN(VLOOKUP($B66,Database!$B$1:$IX$10144,AM$22,FALSE))=0,"",VLOOKUP($B66,Database!$B$1:$IX$10144,AM$22,FALSE)))</f>
        <v/>
      </c>
      <c r="AN66" s="22" t="str">
        <f>IF(OR($B66="",AN$22=""),"",IF(LEN(VLOOKUP($B66,Database!$B$1:$IX$10144,AN$22,FALSE))=0,"",VLOOKUP($B66,Database!$B$1:$IX$10144,AN$22,FALSE)))</f>
        <v/>
      </c>
      <c r="AO66" s="22" t="str">
        <f>IF(OR($B66="",AO$22=""),"",IF(LEN(VLOOKUP($B66,Database!$B$1:$IX$10144,AO$22,FALSE))=0,"",VLOOKUP($B66,Database!$B$1:$IX$10144,AO$22,FALSE)))</f>
        <v/>
      </c>
      <c r="AP66" s="22" t="str">
        <f>IF(OR($B66="",AP$22=""),"",IF(LEN(VLOOKUP($B66,Database!$B$1:$IX$10144,AP$22,FALSE))=0,"",VLOOKUP($B66,Database!$B$1:$IX$10144,AP$22,FALSE)))</f>
        <v/>
      </c>
      <c r="AQ66" s="22" t="str">
        <f>IF(OR($B66="",AQ$22=""),"",IF(LEN(VLOOKUP($B66,Database!$B$1:$IX$10144,AQ$22,FALSE))=0,"",VLOOKUP($B66,Database!$B$1:$IX$10144,AQ$22,FALSE)))</f>
        <v/>
      </c>
    </row>
    <row r="67" spans="1:43">
      <c r="C67" s="1"/>
      <c r="D67" s="1"/>
      <c r="E67" s="22"/>
      <c r="F67" s="22"/>
      <c r="G67" s="1"/>
      <c r="H67" s="83"/>
      <c r="I67" s="22"/>
      <c r="Y67" s="22"/>
      <c r="Z67" s="22"/>
      <c r="AA67" s="22"/>
      <c r="AB67" s="22"/>
      <c r="AC67" s="22"/>
      <c r="AD67" s="22"/>
      <c r="AE67" s="22"/>
      <c r="AF67" s="22"/>
      <c r="AG67" s="22"/>
      <c r="AH67" s="22"/>
      <c r="AI67" s="22"/>
      <c r="AJ67" s="22"/>
      <c r="AK67" s="22"/>
      <c r="AL67" s="22"/>
      <c r="AM67" s="22"/>
      <c r="AN67" s="22"/>
      <c r="AO67" s="22"/>
      <c r="AP67" s="22"/>
      <c r="AQ67" s="22"/>
    </row>
    <row r="68" spans="1:43">
      <c r="A68" s="4" t="s">
        <v>1510</v>
      </c>
      <c r="C68" s="1" t="str">
        <f>IF($B68="","",HYPERLINK(IF(LEN(VLOOKUP($B68,Database!$B$1:$IX$10144,2,FALSE))=0,"",VLOOKUP($B68,Database!$B$1:$IX$10144,2,FALSE))))</f>
        <v/>
      </c>
      <c r="D68" s="1" t="str">
        <f t="shared" si="0"/>
        <v/>
      </c>
      <c r="E68" s="22" t="str">
        <f>IF($B68="","",IF(LEN(VLOOKUP($B68,Database!$B$1:$IX$10144,4,FALSE))=0,"",VLOOKUP($B68,Database!$B$1:$IX$10144,4,FALSE)))</f>
        <v/>
      </c>
      <c r="F68" s="22" t="str">
        <f>IF($B68="","",IF(LEN(VLOOKUP($B68,Database!$B$1:$IX$10144,5,FALSE))=0,"",VLOOKUP($B68,Database!$B$1:$IX$10144,5,FALSE)))</f>
        <v/>
      </c>
      <c r="G68" s="1" t="str">
        <f>IF($B68="","",HYPERLINK(IF(LEN(VLOOKUP($B68,Database!$B$1:$IX$10144,6,FALSE))=0,"",VLOOKUP($B68,Database!$B$1:$IX$10144,6,FALSE))))</f>
        <v/>
      </c>
      <c r="H68" s="22" t="str">
        <f>IF($B68="","",IF(LEN(VLOOKUP($B68,Database!$B$1:$IX$10144,7,FALSE))=0,"",VLOOKUP($B68,Database!$B$1:$IX$10144,7,FALSE)))</f>
        <v/>
      </c>
      <c r="I68" s="22" t="str">
        <f>IF($B68="","",IF(LEN(VLOOKUP($B68,Database!$B$1:$IX$10144,8,FALSE))=0,"",VLOOKUP($B68,Database!$B$1:$IX$10144,8,FALSE)))</f>
        <v/>
      </c>
      <c r="Y68" s="22" t="str">
        <f>IF(OR($B68="",Y$22=""),"",IF(LEN(VLOOKUP($B68,Database!$B$1:$IX$10144,Y$22,FALSE))=0,"",VLOOKUP($B68,Database!$B$1:$IX$10144,Y$22,FALSE)))</f>
        <v/>
      </c>
      <c r="Z68" s="22" t="str">
        <f>IF(OR($B68="",Z$22=""),"",IF(LEN(VLOOKUP($B68,Database!$B$1:$IX$10144,Z$22,FALSE))=0,"",VLOOKUP($B68,Database!$B$1:$IX$10144,Z$22,FALSE)))</f>
        <v/>
      </c>
      <c r="AA68" s="22" t="str">
        <f>IF(OR($B68="",AA$22=""),"",IF(LEN(VLOOKUP($B68,Database!$B$1:$IX$10144,AA$22,FALSE))=0,"",VLOOKUP($B68,Database!$B$1:$IX$10144,AA$22,FALSE)))</f>
        <v/>
      </c>
      <c r="AB68" s="22" t="str">
        <f>IF(OR($B68="",AB$22=""),"",IF(LEN(VLOOKUP($B68,Database!$B$1:$IX$10144,AB$22,FALSE))=0,"",VLOOKUP($B68,Database!$B$1:$IX$10144,AB$22,FALSE)))</f>
        <v/>
      </c>
      <c r="AC68" s="22" t="str">
        <f>IF(OR($B68="",AC$22=""),"",IF(LEN(VLOOKUP($B68,Database!$B$1:$IX$10144,AC$22,FALSE))=0,"",VLOOKUP($B68,Database!$B$1:$IX$10144,AC$22,FALSE)))</f>
        <v/>
      </c>
      <c r="AD68" s="22" t="str">
        <f>IF(OR($B68="",AD$22=""),"",IF(LEN(VLOOKUP($B68,Database!$B$1:$IX$10144,AD$22,FALSE))=0,"",VLOOKUP($B68,Database!$B$1:$IX$10144,AD$22,FALSE)))</f>
        <v/>
      </c>
      <c r="AE68" s="22" t="str">
        <f>IF(OR($B68="",AE$22=""),"",IF(LEN(VLOOKUP($B68,Database!$B$1:$IX$10144,AE$22,FALSE))=0,"",VLOOKUP($B68,Database!$B$1:$IX$10144,AE$22,FALSE)))</f>
        <v/>
      </c>
      <c r="AF68" s="22" t="str">
        <f>IF(OR($B68="",AF$22=""),"",IF(LEN(VLOOKUP($B68,Database!$B$1:$IX$10144,AF$22,FALSE))=0,"",VLOOKUP($B68,Database!$B$1:$IX$10144,AF$22,FALSE)))</f>
        <v/>
      </c>
      <c r="AG68" s="22" t="str">
        <f>IF(OR($B68="",AG$22=""),"",IF(LEN(VLOOKUP($B68,Database!$B$1:$IX$10144,AG$22,FALSE))=0,"",VLOOKUP($B68,Database!$B$1:$IX$10144,AG$22,FALSE)))</f>
        <v/>
      </c>
      <c r="AH68" s="22" t="str">
        <f>IF(OR($B68="",AH$22=""),"",IF(LEN(VLOOKUP($B68,Database!$B$1:$IX$10144,AH$22,FALSE))=0,"",VLOOKUP($B68,Database!$B$1:$IX$10144,AH$22,FALSE)))</f>
        <v/>
      </c>
      <c r="AI68" s="22" t="str">
        <f>IF(OR($B68="",AI$22=""),"",IF(LEN(VLOOKUP($B68,Database!$B$1:$IX$10144,AI$22,FALSE))=0,"",VLOOKUP($B68,Database!$B$1:$IX$10144,AI$22,FALSE)))</f>
        <v/>
      </c>
      <c r="AJ68" s="22" t="str">
        <f>IF(OR($B68="",AJ$22=""),"",IF(LEN(VLOOKUP($B68,Database!$B$1:$IX$10144,AJ$22,FALSE))=0,"",VLOOKUP($B68,Database!$B$1:$IX$10144,AJ$22,FALSE)))</f>
        <v/>
      </c>
      <c r="AK68" s="22" t="str">
        <f>IF(OR($B68="",AK$22=""),"",IF(LEN(VLOOKUP($B68,Database!$B$1:$IX$10144,AK$22,FALSE))=0,"",VLOOKUP($B68,Database!$B$1:$IX$10144,AK$22,FALSE)))</f>
        <v/>
      </c>
      <c r="AL68" s="22" t="str">
        <f>IF(OR($B68="",AL$22=""),"",IF(LEN(VLOOKUP($B68,Database!$B$1:$IX$10144,AL$22,FALSE))=0,"",VLOOKUP($B68,Database!$B$1:$IX$10144,AL$22,FALSE)))</f>
        <v/>
      </c>
      <c r="AM68" s="22" t="str">
        <f>IF(OR($B68="",AM$22=""),"",IF(LEN(VLOOKUP($B68,Database!$B$1:$IX$10144,AM$22,FALSE))=0,"",VLOOKUP($B68,Database!$B$1:$IX$10144,AM$22,FALSE)))</f>
        <v/>
      </c>
      <c r="AN68" s="22" t="str">
        <f>IF(OR($B68="",AN$22=""),"",IF(LEN(VLOOKUP($B68,Database!$B$1:$IX$10144,AN$22,FALSE))=0,"",VLOOKUP($B68,Database!$B$1:$IX$10144,AN$22,FALSE)))</f>
        <v/>
      </c>
      <c r="AO68" s="22" t="str">
        <f>IF(OR($B68="",AO$22=""),"",IF(LEN(VLOOKUP($B68,Database!$B$1:$IX$10144,AO$22,FALSE))=0,"",VLOOKUP($B68,Database!$B$1:$IX$10144,AO$22,FALSE)))</f>
        <v/>
      </c>
      <c r="AP68" s="22" t="str">
        <f>IF(OR($B68="",AP$22=""),"",IF(LEN(VLOOKUP($B68,Database!$B$1:$IX$10144,AP$22,FALSE))=0,"",VLOOKUP($B68,Database!$B$1:$IX$10144,AP$22,FALSE)))</f>
        <v/>
      </c>
      <c r="AQ68" s="22" t="str">
        <f>IF(OR($B68="",AQ$22=""),"",IF(LEN(VLOOKUP($B68,Database!$B$1:$IX$10144,AQ$22,FALSE))=0,"",VLOOKUP($B68,Database!$B$1:$IX$10144,AQ$22,FALSE)))</f>
        <v/>
      </c>
    </row>
    <row r="69" spans="1:43">
      <c r="A69" s="10" t="s">
        <v>418</v>
      </c>
      <c r="B69">
        <v>8632988</v>
      </c>
      <c r="C69" s="1" t="str">
        <f>IF($B69="","",HYPERLINK(IF(LEN(VLOOKUP($B69,Database!$B$1:$IX$10144,2,FALSE))=0,"",VLOOKUP($B69,Database!$B$1:$IX$10144,2,FALSE))))</f>
        <v/>
      </c>
      <c r="D69" s="1" t="str">
        <f t="shared" ref="D69:D84" si="3">IF($B69="","",HYPERLINK(CONCATENATE("http://www.ncbi.nlm.nih.gov/pubmed/",B69)))</f>
        <v>http://www.ncbi.nlm.nih.gov/pubmed/8632988</v>
      </c>
      <c r="E69" s="22" t="str">
        <f>IF($B69="","",IF(LEN(VLOOKUP($B69,Database!$B$1:$IX$10144,4,FALSE))=0,"",VLOOKUP($B69,Database!$B$1:$IX$10144,4,FALSE)))</f>
        <v>Sheline YI</v>
      </c>
      <c r="F69" s="22">
        <f>IF($B69="","",IF(LEN(VLOOKUP($B69,Database!$B$1:$IX$10144,5,FALSE))=0,"",VLOOKUP($B69,Database!$B$1:$IX$10144,5,FALSE)))</f>
        <v>1996</v>
      </c>
      <c r="G69" s="1" t="str">
        <f>IF($B69="","",HYPERLINK(IF(LEN(VLOOKUP($B69,Database!$B$1:$IX$10144,6,FALSE))=0,"",VLOOKUP($B69,Database!$B$1:$IX$10144,6,FALSE))))</f>
        <v>http://www.pnas.org/content/93/9/3908</v>
      </c>
      <c r="H69" s="22">
        <f>IF($B69="","",IF(LEN(VLOOKUP($B69,Database!$B$1:$IX$10144,7,FALSE))=0,"",VLOOKUP($B69,Database!$B$1:$IX$10144,7,FALSE)))</f>
        <v>10</v>
      </c>
      <c r="I69" s="22">
        <f>IF($B69="","",IF(LEN(VLOOKUP($B69,Database!$B$1:$IX$10144,8,FALSE))=0,"",VLOOKUP($B69,Database!$B$1:$IX$10144,8,FALSE)))</f>
        <v>10</v>
      </c>
      <c r="J69" t="s">
        <v>939</v>
      </c>
      <c r="L69">
        <v>2159</v>
      </c>
      <c r="M69">
        <v>301</v>
      </c>
      <c r="N69">
        <v>2544</v>
      </c>
      <c r="O69">
        <v>333</v>
      </c>
      <c r="P69">
        <v>2283</v>
      </c>
      <c r="Q69">
        <v>324</v>
      </c>
      <c r="R69">
        <v>2577</v>
      </c>
      <c r="S69">
        <v>259</v>
      </c>
      <c r="Y69" s="22" t="str">
        <f>IF(OR($B69="",Y$22=""),"",IF(LEN(VLOOKUP($B69,Database!$B$1:$IX$10144,Y$22,FALSE))=0,"",VLOOKUP($B69,Database!$B$1:$IX$10144,Y$22,FALSE)))</f>
        <v>DSM-IV</v>
      </c>
      <c r="Z69" s="22" t="str">
        <f>IF(OR($B69="",Z$22=""),"",IF(LEN(VLOOKUP($B69,Database!$B$1:$IX$10144,Z$22,FALSE))=0,"",VLOOKUP($B69,Database!$B$1:$IX$10144,Z$22,FALSE)))</f>
        <v>MRI</v>
      </c>
      <c r="AA69" s="22" t="str">
        <f>IF(OR($B69="",AA$22=""),"",IF(LEN(VLOOKUP($B69,Database!$B$1:$IX$10144,AA$22,FALSE))=0,"",VLOOKUP($B69,Database!$B$1:$IX$10144,AA$22,FALSE)))</f>
        <v/>
      </c>
      <c r="AB69" s="22">
        <f>IF(OR($B69="",AB$22=""),"",IF(LEN(VLOOKUP($B69,Database!$B$1:$IX$10144,AB$22,FALSE))=0,"",VLOOKUP($B69,Database!$B$1:$IX$10144,AB$22,FALSE)))</f>
        <v>68.5</v>
      </c>
      <c r="AC69" s="22">
        <f>IF(OR($B69="",AC$22=""),"",IF(LEN(VLOOKUP($B69,Database!$B$1:$IX$10144,AC$22,FALSE))=0,"",VLOOKUP($B69,Database!$B$1:$IX$10144,AC$22,FALSE)))</f>
        <v>10.4</v>
      </c>
      <c r="AD69" s="22">
        <f>IF(OR($B69="",AD$22=""),"",IF(LEN(VLOOKUP($B69,Database!$B$1:$IX$10144,AD$22,FALSE))=0,"",VLOOKUP($B69,Database!$B$1:$IX$10144,AD$22,FALSE)))</f>
        <v>68</v>
      </c>
      <c r="AE69" s="22">
        <f>IF(OR($B69="",AE$22=""),"",IF(LEN(VLOOKUP($B69,Database!$B$1:$IX$10144,AE$22,FALSE))=0,"",VLOOKUP($B69,Database!$B$1:$IX$10144,AE$22,FALSE)))</f>
        <v>9.5</v>
      </c>
      <c r="AF69" s="22">
        <f>IF(OR($B69="",AF$22=""),"",IF(LEN(VLOOKUP($B69,Database!$B$1:$IX$10144,AF$22,FALSE))=0,"",VLOOKUP($B69,Database!$B$1:$IX$10144,AF$22,FALSE)))</f>
        <v>10</v>
      </c>
      <c r="AG69" s="22">
        <f>IF(OR($B69="",AG$22=""),"",IF(LEN(VLOOKUP($B69,Database!$B$1:$IX$10144,AG$22,FALSE))=0,"",VLOOKUP($B69,Database!$B$1:$IX$10144,AG$22,FALSE)))</f>
        <v>10</v>
      </c>
      <c r="AH69" s="22"/>
      <c r="AI69" s="22"/>
      <c r="AJ69" s="22" t="str">
        <f>IF(OR($B69="",AJ$22=""),"",IF(LEN(VLOOKUP($B69,Database!$B$1:$IX$10144,AJ$22,FALSE))=0,"",VLOOKUP($B69,Database!$B$1:$IX$10144,AJ$22,FALSE)))</f>
        <v/>
      </c>
      <c r="AK69" s="22" t="str">
        <f>IF(OR($B69="",AK$22=""),"",IF(LEN(VLOOKUP($B69,Database!$B$1:$IX$10144,AK$22,FALSE))=0,"",VLOOKUP($B69,Database!$B$1:$IX$10144,AK$22,FALSE)))</f>
        <v>ns</v>
      </c>
      <c r="AL69" s="22" t="str">
        <f>IF(OR($B69="",AL$22=""),"",IF(LEN(VLOOKUP($B69,Database!$B$1:$IX$10144,AL$22,FALSE))=0,"",VLOOKUP($B69,Database!$B$1:$IX$10144,AL$22,FALSE)))</f>
        <v>ns</v>
      </c>
      <c r="AM69" s="22">
        <f>IF(OR($B69="",AM$22=""),"",IF(LEN(VLOOKUP($B69,Database!$B$1:$IX$10144,AM$22,FALSE))=0,"",VLOOKUP($B69,Database!$B$1:$IX$10144,AM$22,FALSE)))</f>
        <v>80</v>
      </c>
      <c r="AN69" s="22" t="str">
        <f>IF(OR($B69="",AN$22=""),"",IF(LEN(VLOOKUP($B69,Database!$B$1:$IX$10144,AN$22,FALSE))=0,"",VLOOKUP($B69,Database!$B$1:$IX$10144,AN$22,FALSE)))</f>
        <v/>
      </c>
      <c r="AO69" s="22" t="str">
        <f>IF(OR($B69="",AO$22=""),"",IF(LEN(VLOOKUP($B69,Database!$B$1:$IX$10144,AO$22,FALSE))=0,"",VLOOKUP($B69,Database!$B$1:$IX$10144,AO$22,FALSE)))</f>
        <v/>
      </c>
      <c r="AP69" s="22" t="str">
        <f>IF(OR($B69="",AP$22=""),"",IF(LEN(VLOOKUP($B69,Database!$B$1:$IX$10144,AP$22,FALSE))=0,"",VLOOKUP($B69,Database!$B$1:$IX$10144,AP$22,FALSE)))</f>
        <v/>
      </c>
      <c r="AQ69" s="22" t="str">
        <f>IF(OR($B69="",AQ$22=""),"",IF(LEN(VLOOKUP($B69,Database!$B$1:$IX$10144,AQ$22,FALSE))=0,"",VLOOKUP($B69,Database!$B$1:$IX$10144,AQ$22,FALSE)))</f>
        <v>Sheline YI, Wang PW, Gado MH, Csernansky JG, Vannier MW.</v>
      </c>
    </row>
    <row r="70" spans="1:43">
      <c r="A70" s="10" t="s">
        <v>418</v>
      </c>
      <c r="B70">
        <v>10366636</v>
      </c>
      <c r="C70" s="1" t="str">
        <f>IF($B70="","",HYPERLINK(IF(LEN(VLOOKUP($B70,Database!$B$1:$IX$10144,2,FALSE))=0,"",VLOOKUP($B70,Database!$B$1:$IX$10144,2,FALSE))))</f>
        <v/>
      </c>
      <c r="D70" s="1" t="str">
        <f t="shared" si="3"/>
        <v>http://www.ncbi.nlm.nih.gov/pubmed/10366636</v>
      </c>
      <c r="E70" s="22" t="str">
        <f>IF($B70="","",IF(LEN(VLOOKUP($B70,Database!$B$1:$IX$10144,4,FALSE))=0,"",VLOOKUP($B70,Database!$B$1:$IX$10144,4,FALSE)))</f>
        <v>Sheline YI</v>
      </c>
      <c r="F70" s="22">
        <f>IF($B70="","",IF(LEN(VLOOKUP($B70,Database!$B$1:$IX$10144,5,FALSE))=0,"",VLOOKUP($B70,Database!$B$1:$IX$10144,5,FALSE)))</f>
        <v>1999</v>
      </c>
      <c r="G70" s="1" t="str">
        <f>IF($B70="","",HYPERLINK(IF(LEN(VLOOKUP($B70,Database!$B$1:$IX$10144,6,FALSE))=0,"",VLOOKUP($B70,Database!$B$1:$IX$10144,6,FALSE))))</f>
        <v>http://ajp.psychiatryonline.org/cgi/reprint/156/12/1989</v>
      </c>
      <c r="H70" s="22">
        <f>IF($B70="","",IF(LEN(VLOOKUP($B70,Database!$B$1:$IX$10144,7,FALSE))=0,"",VLOOKUP($B70,Database!$B$1:$IX$10144,7,FALSE)))</f>
        <v>24</v>
      </c>
      <c r="I70" s="22">
        <f>IF($B70="","",IF(LEN(VLOOKUP($B70,Database!$B$1:$IX$10144,8,FALSE))=0,"",VLOOKUP($B70,Database!$B$1:$IX$10144,8,FALSE)))</f>
        <v>24</v>
      </c>
      <c r="J70" t="s">
        <v>939</v>
      </c>
      <c r="L70">
        <v>2230</v>
      </c>
      <c r="M70">
        <v>323</v>
      </c>
      <c r="N70">
        <v>2482</v>
      </c>
      <c r="O70">
        <v>305</v>
      </c>
      <c r="P70">
        <v>2264</v>
      </c>
      <c r="Q70">
        <v>320</v>
      </c>
      <c r="R70">
        <v>2468</v>
      </c>
      <c r="S70">
        <v>309</v>
      </c>
      <c r="T70">
        <v>4496</v>
      </c>
      <c r="U70">
        <v>602</v>
      </c>
      <c r="V70">
        <v>4951</v>
      </c>
      <c r="W70">
        <v>601</v>
      </c>
      <c r="Y70" s="22" t="str">
        <f>IF(OR($B70="",Y$22=""),"",IF(LEN(VLOOKUP($B70,Database!$B$1:$IX$10144,Y$22,FALSE))=0,"",VLOOKUP($B70,Database!$B$1:$IX$10144,Y$22,FALSE)))</f>
        <v>DSM-IV</v>
      </c>
      <c r="Z70" s="22" t="str">
        <f>IF(OR($B70="",Z$22=""),"",IF(LEN(VLOOKUP($B70,Database!$B$1:$IX$10144,Z$22,FALSE))=0,"",VLOOKUP($B70,Database!$B$1:$IX$10144,Z$22,FALSE)))</f>
        <v>MRI</v>
      </c>
      <c r="AA70" s="22" t="str">
        <f>IF(OR($B70="",AA$22=""),"",IF(LEN(VLOOKUP($B70,Database!$B$1:$IX$10144,AA$22,FALSE))=0,"",VLOOKUP($B70,Database!$B$1:$IX$10144,AA$22,FALSE)))</f>
        <v/>
      </c>
      <c r="AB70" s="22"/>
      <c r="AC70" s="22"/>
      <c r="AD70" s="22">
        <f>IF(OR($B70="",AD$22=""),"",IF(LEN(VLOOKUP($B70,Database!$B$1:$IX$10144,AD$22,FALSE))=0,"",VLOOKUP($B70,Database!$B$1:$IX$10144,AD$22,FALSE)))</f>
        <v>52.8</v>
      </c>
      <c r="AE70" s="22">
        <f>IF(OR($B70="",AE$22=""),"",IF(LEN(VLOOKUP($B70,Database!$B$1:$IX$10144,AE$22,FALSE))=0,"",VLOOKUP($B70,Database!$B$1:$IX$10144,AE$22,FALSE)))</f>
        <v>17.8</v>
      </c>
      <c r="AF70" s="22">
        <f>IF(OR($B70="",AF$22=""),"",IF(LEN(VLOOKUP($B70,Database!$B$1:$IX$10144,AF$22,FALSE))=0,"",VLOOKUP($B70,Database!$B$1:$IX$10144,AF$22,FALSE)))</f>
        <v>24</v>
      </c>
      <c r="AG70" s="22">
        <f>IF(OR($B70="",AG$22=""),"",IF(LEN(VLOOKUP($B70,Database!$B$1:$IX$10144,AG$22,FALSE))=0,"",VLOOKUP($B70,Database!$B$1:$IX$10144,AG$22,FALSE)))</f>
        <v>24</v>
      </c>
      <c r="AH70" s="22"/>
      <c r="AI70" s="22"/>
      <c r="AJ70" s="22" t="str">
        <f>IF(OR($B70="",AJ$22=""),"",IF(LEN(VLOOKUP($B70,Database!$B$1:$IX$10144,AJ$22,FALSE))=0,"",VLOOKUP($B70,Database!$B$1:$IX$10144,AJ$22,FALSE)))</f>
        <v/>
      </c>
      <c r="AK70" s="22" t="str">
        <f>IF(OR($B70="",AK$22=""),"",IF(LEN(VLOOKUP($B70,Database!$B$1:$IX$10144,AK$22,FALSE))=0,"",VLOOKUP($B70,Database!$B$1:$IX$10144,AK$22,FALSE)))</f>
        <v>ns</v>
      </c>
      <c r="AL70" s="22" t="str">
        <f>IF(OR($B70="",AL$22=""),"",IF(LEN(VLOOKUP($B70,Database!$B$1:$IX$10144,AL$22,FALSE))=0,"",VLOOKUP($B70,Database!$B$1:$IX$10144,AL$22,FALSE)))</f>
        <v>ns</v>
      </c>
      <c r="AM70" s="22">
        <f>IF(OR($B70="",AM$22=""),"",IF(LEN(VLOOKUP($B70,Database!$B$1:$IX$10144,AM$22,FALSE))=0,"",VLOOKUP($B70,Database!$B$1:$IX$10144,AM$22,FALSE)))</f>
        <v>66.666666666666657</v>
      </c>
      <c r="AN70" s="22" t="str">
        <f>IF(OR($B70="",AN$22=""),"",IF(LEN(VLOOKUP($B70,Database!$B$1:$IX$10144,AN$22,FALSE))=0,"",VLOOKUP($B70,Database!$B$1:$IX$10144,AN$22,FALSE)))</f>
        <v>ns</v>
      </c>
      <c r="AO70" s="22" t="str">
        <f>IF(OR($B70="",AO$22=""),"",IF(LEN(VLOOKUP($B70,Database!$B$1:$IX$10144,AO$22,FALSE))=0,"",VLOOKUP($B70,Database!$B$1:$IX$10144,AO$22,FALSE)))</f>
        <v>ns</v>
      </c>
      <c r="AP70" s="22" t="str">
        <f>IF(OR($B70="",AP$22=""),"",IF(LEN(VLOOKUP($B70,Database!$B$1:$IX$10144,AP$22,FALSE))=0,"",VLOOKUP($B70,Database!$B$1:$IX$10144,AP$22,FALSE)))</f>
        <v>ns</v>
      </c>
      <c r="AQ70" s="22" t="str">
        <f>IF(OR($B70="",AQ$22=""),"",IF(LEN(VLOOKUP($B70,Database!$B$1:$IX$10144,AQ$22,FALSE))=0,"",VLOOKUP($B70,Database!$B$1:$IX$10144,AQ$22,FALSE)))</f>
        <v>Sheline YI, Sanghavi M, Mintun MA, Gado MH.</v>
      </c>
    </row>
    <row r="71" spans="1:43">
      <c r="A71" s="10" t="s">
        <v>1188</v>
      </c>
      <c r="B71">
        <v>10960161</v>
      </c>
      <c r="C71" s="1" t="str">
        <f>IF($B71="","",HYPERLINK(IF(LEN(VLOOKUP($B71,Database!$B$1:$IX$10144,2,FALSE))=0,"",VLOOKUP($B71,Database!$B$1:$IX$10144,2,FALSE))))</f>
        <v/>
      </c>
      <c r="D71" s="1" t="str">
        <f t="shared" si="3"/>
        <v>http://www.ncbi.nlm.nih.gov/pubmed/10960161</v>
      </c>
      <c r="E71" s="22" t="str">
        <f>IF($B71="","",IF(LEN(VLOOKUP($B71,Database!$B$1:$IX$10144,4,FALSE))=0,"",VLOOKUP($B71,Database!$B$1:$IX$10144,4,FALSE)))</f>
        <v>Steffens DC</v>
      </c>
      <c r="F71" s="22">
        <f>IF($B71="","",IF(LEN(VLOOKUP($B71,Database!$B$1:$IX$10144,5,FALSE))=0,"",VLOOKUP($B71,Database!$B$1:$IX$10144,5,FALSE)))</f>
        <v>2000</v>
      </c>
      <c r="G71" s="1" t="str">
        <f>IF($B71="","",HYPERLINK(IF(LEN(VLOOKUP($B71,Database!$B$1:$IX$10144,6,FALSE))=0,"",VLOOKUP($B71,Database!$B$1:$IX$10144,6,FALSE))))</f>
        <v>http://dx.doi.org/10.1016/S0006-3223(00)00829-5</v>
      </c>
      <c r="H71" s="22">
        <f>IF($B71="","",IF(LEN(VLOOKUP($B71,Database!$B$1:$IX$10144,7,FALSE))=0,"",VLOOKUP($B71,Database!$B$1:$IX$10144,7,FALSE)))</f>
        <v>66</v>
      </c>
      <c r="I71" s="22">
        <f>IF($B71="","",IF(LEN(VLOOKUP($B71,Database!$B$1:$IX$10144,8,FALSE))=0,"",VLOOKUP($B71,Database!$B$1:$IX$10144,8,FALSE)))</f>
        <v>18</v>
      </c>
      <c r="J71" t="s">
        <v>1045</v>
      </c>
      <c r="L71">
        <v>2.92</v>
      </c>
      <c r="M71">
        <v>0.36</v>
      </c>
      <c r="N71">
        <v>3.17</v>
      </c>
      <c r="O71">
        <v>0.44</v>
      </c>
      <c r="P71">
        <v>2.98</v>
      </c>
      <c r="Q71">
        <v>0.39</v>
      </c>
      <c r="R71">
        <v>3.3</v>
      </c>
      <c r="S71">
        <v>0.44</v>
      </c>
      <c r="Y71" s="22" t="str">
        <f>IF(OR($B71="",Y$22=""),"",IF(LEN(VLOOKUP($B71,Database!$B$1:$IX$10144,Y$22,FALSE))=0,"",VLOOKUP($B71,Database!$B$1:$IX$10144,Y$22,FALSE)))</f>
        <v>DSM-IV</v>
      </c>
      <c r="Z71" s="22" t="str">
        <f>IF(OR($B71="",Z$22=""),"",IF(LEN(VLOOKUP($B71,Database!$B$1:$IX$10144,Z$22,FALSE))=0,"",VLOOKUP($B71,Database!$B$1:$IX$10144,Z$22,FALSE)))</f>
        <v>MRI</v>
      </c>
      <c r="AA71" s="22" t="str">
        <f>IF(OR($B71="",AA$22=""),"",IF(LEN(VLOOKUP($B71,Database!$B$1:$IX$10144,AA$22,FALSE))=0,"",VLOOKUP($B71,Database!$B$1:$IX$10144,AA$22,FALSE)))</f>
        <v/>
      </c>
      <c r="AB71" s="22">
        <f>IF(OR($B71="",AB$22=""),"",IF(LEN(VLOOKUP($B71,Database!$B$1:$IX$10144,AB$22,FALSE))=0,"",VLOOKUP($B71,Database!$B$1:$IX$10144,AB$22,FALSE)))</f>
        <v>71.739999999999995</v>
      </c>
      <c r="AC71" s="22">
        <f>IF(OR($B71="",AC$22=""),"",IF(LEN(VLOOKUP($B71,Database!$B$1:$IX$10144,AC$22,FALSE))=0,"",VLOOKUP($B71,Database!$B$1:$IX$10144,AC$22,FALSE)))</f>
        <v>8.42</v>
      </c>
      <c r="AD71" s="22">
        <f>IF(OR($B71="",AD$22=""),"",IF(LEN(VLOOKUP($B71,Database!$B$1:$IX$10144,AD$22,FALSE))=0,"",VLOOKUP($B71,Database!$B$1:$IX$10144,AD$22,FALSE)))</f>
        <v>67.11</v>
      </c>
      <c r="AE71" s="22">
        <f>IF(OR($B71="",AE$22=""),"",IF(LEN(VLOOKUP($B71,Database!$B$1:$IX$10144,AE$22,FALSE))=0,"",VLOOKUP($B71,Database!$B$1:$IX$10144,AE$22,FALSE)))</f>
        <v>5.04</v>
      </c>
      <c r="AF71" s="22">
        <f>IF(OR($B71="",AF$22=""),"",IF(LEN(VLOOKUP($B71,Database!$B$1:$IX$10144,AF$22,FALSE))=0,"",VLOOKUP($B71,Database!$B$1:$IX$10144,AF$22,FALSE)))</f>
        <v>51</v>
      </c>
      <c r="AG71" s="22">
        <f>IF(OR($B71="",AG$22=""),"",IF(LEN(VLOOKUP($B71,Database!$B$1:$IX$10144,AG$22,FALSE))=0,"",VLOOKUP($B71,Database!$B$1:$IX$10144,AG$22,FALSE)))</f>
        <v>9</v>
      </c>
      <c r="AH71" s="22"/>
      <c r="AI71" s="22"/>
      <c r="AJ71" s="22" t="str">
        <f>IF(OR($B71="",AJ$22=""),"",IF(LEN(VLOOKUP($B71,Database!$B$1:$IX$10144,AJ$22,FALSE))=0,"",VLOOKUP($B71,Database!$B$1:$IX$10144,AJ$22,FALSE)))</f>
        <v/>
      </c>
      <c r="AK71" s="22" t="str">
        <f>IF(OR($B71="",AK$22=""),"",IF(LEN(VLOOKUP($B71,Database!$B$1:$IX$10144,AK$22,FALSE))=0,"",VLOOKUP($B71,Database!$B$1:$IX$10144,AK$22,FALSE)))</f>
        <v>ns</v>
      </c>
      <c r="AL71" s="22" t="str">
        <f>IF(OR($B71="",AL$22=""),"",IF(LEN(VLOOKUP($B71,Database!$B$1:$IX$10144,AL$22,FALSE))=0,"",VLOOKUP($B71,Database!$B$1:$IX$10144,AL$22,FALSE)))</f>
        <v>ns</v>
      </c>
      <c r="AM71" s="22" t="str">
        <f>IF(OR($B71="",AM$22=""),"",IF(LEN(VLOOKUP($B71,Database!$B$1:$IX$10144,AM$22,FALSE))=0,"",VLOOKUP($B71,Database!$B$1:$IX$10144,AM$22,FALSE)))</f>
        <v>ns</v>
      </c>
      <c r="AN71" s="22" t="str">
        <f>IF(OR($B71="",AN$22=""),"",IF(LEN(VLOOKUP($B71,Database!$B$1:$IX$10144,AN$22,FALSE))=0,"",VLOOKUP($B71,Database!$B$1:$IX$10144,AN$22,FALSE)))</f>
        <v>ns</v>
      </c>
      <c r="AO71" s="22" t="str">
        <f>IF(OR($B71="",AO$22=""),"",IF(LEN(VLOOKUP($B71,Database!$B$1:$IX$10144,AO$22,FALSE))=0,"",VLOOKUP($B71,Database!$B$1:$IX$10144,AO$22,FALSE)))</f>
        <v>ns</v>
      </c>
      <c r="AP71" s="22" t="str">
        <f>IF(OR($B71="",AP$22=""),"",IF(LEN(VLOOKUP($B71,Database!$B$1:$IX$10144,AP$22,FALSE))=0,"",VLOOKUP($B71,Database!$B$1:$IX$10144,AP$22,FALSE)))</f>
        <v>ns</v>
      </c>
      <c r="AQ71" s="22" t="str">
        <f>IF(OR($B71="",AQ$22=""),"",IF(LEN(VLOOKUP($B71,Database!$B$1:$IX$10144,AQ$22,FALSE))=0,"",VLOOKUP($B71,Database!$B$1:$IX$10144,AQ$22,FALSE)))</f>
        <v>Steffens DC, Byrum CE, McQuoid DR, Greenberg DL, Payne ME, Blitchington TF, MacFall JR, Krishnan KR.</v>
      </c>
    </row>
    <row r="72" spans="1:43">
      <c r="A72" s="10" t="s">
        <v>2335</v>
      </c>
      <c r="B72">
        <v>12091188</v>
      </c>
      <c r="C72" s="1" t="str">
        <f>IF($B72="","",HYPERLINK(IF(LEN(VLOOKUP($B72,Database!$B$1:$IX$10144,2,FALSE))=0,"",VLOOKUP($B72,Database!$B$1:$IX$10144,2,FALSE))))</f>
        <v/>
      </c>
      <c r="D72" s="1" t="str">
        <f t="shared" si="3"/>
        <v>http://www.ncbi.nlm.nih.gov/pubmed/12091188</v>
      </c>
      <c r="E72" s="22" t="str">
        <f>IF($B72="","",IF(LEN(VLOOKUP($B72,Database!$B$1:$IX$10144,4,FALSE))=0,"",VLOOKUP($B72,Database!$B$1:$IX$10144,4,FALSE)))</f>
        <v>Frodl T (B)</v>
      </c>
      <c r="F72" s="22">
        <f>IF($B72="","",IF(LEN(VLOOKUP($B72,Database!$B$1:$IX$10144,5,FALSE))=0,"",VLOOKUP($B72,Database!$B$1:$IX$10144,5,FALSE)))</f>
        <v>2002</v>
      </c>
      <c r="G72" s="1" t="str">
        <f>IF($B72="","",HYPERLINK(IF(LEN(VLOOKUP($B72,Database!$B$1:$IX$10144,6,FALSE))=0,"",VLOOKUP($B72,Database!$B$1:$IX$10144,6,FALSE))))</f>
        <v>http://ajp.psychiatryonline.org/cgi/reprint/159/7/1112</v>
      </c>
      <c r="H72" s="22">
        <f>IF($B72="","",IF(LEN(VLOOKUP($B72,Database!$B$1:$IX$10144,7,FALSE))=0,"",VLOOKUP($B72,Database!$B$1:$IX$10144,7,FALSE)))</f>
        <v>30</v>
      </c>
      <c r="I72" s="22">
        <f>IF($B72="","",IF(LEN(VLOOKUP($B72,Database!$B$1:$IX$10144,8,FALSE))=0,"",VLOOKUP($B72,Database!$B$1:$IX$10144,8,FALSE)))</f>
        <v>30</v>
      </c>
      <c r="J72" t="s">
        <v>869</v>
      </c>
      <c r="L72">
        <v>3681</v>
      </c>
      <c r="M72">
        <v>393</v>
      </c>
      <c r="N72">
        <v>3772</v>
      </c>
      <c r="O72">
        <v>397</v>
      </c>
      <c r="P72">
        <v>3847</v>
      </c>
      <c r="Q72">
        <v>400</v>
      </c>
      <c r="R72">
        <v>3763</v>
      </c>
      <c r="S72">
        <v>411</v>
      </c>
      <c r="Y72" s="22" t="str">
        <f>IF(OR($B72="",Y$22=""),"",IF(LEN(VLOOKUP($B72,Database!$B$1:$IX$10144,Y$22,FALSE))=0,"",VLOOKUP($B72,Database!$B$1:$IX$10144,Y$22,FALSE)))</f>
        <v>DSM-IV</v>
      </c>
      <c r="Z72" s="22" t="str">
        <f>IF(OR($B72="",Z$22=""),"",IF(LEN(VLOOKUP($B72,Database!$B$1:$IX$10144,Z$22,FALSE))=0,"",VLOOKUP($B72,Database!$B$1:$IX$10144,Z$22,FALSE)))</f>
        <v>MRI</v>
      </c>
      <c r="AA72" s="22" t="str">
        <f>IF(OR($B72="",AA$22=""),"",IF(LEN(VLOOKUP($B72,Database!$B$1:$IX$10144,AA$22,FALSE))=0,"",VLOOKUP($B72,Database!$B$1:$IX$10144,AA$22,FALSE)))</f>
        <v/>
      </c>
      <c r="AB72" s="22">
        <f>IF(OR($B72="",AB$22=""),"",IF(LEN(VLOOKUP($B72,Database!$B$1:$IX$10144,AB$22,FALSE))=0,"",VLOOKUP($B72,Database!$B$1:$IX$10144,AB$22,FALSE)))</f>
        <v>40.299999999999997</v>
      </c>
      <c r="AC72" s="22">
        <f>IF(OR($B72="",AC$22=""),"",IF(LEN(VLOOKUP($B72,Database!$B$1:$IX$10144,AC$22,FALSE))=0,"",VLOOKUP($B72,Database!$B$1:$IX$10144,AC$22,FALSE)))</f>
        <v>12.6</v>
      </c>
      <c r="AD72" s="22">
        <f>IF(OR($B72="",AD$22=""),"",IF(LEN(VLOOKUP($B72,Database!$B$1:$IX$10144,AD$22,FALSE))=0,"",VLOOKUP($B72,Database!$B$1:$IX$10144,AD$22,FALSE)))</f>
        <v>40.6</v>
      </c>
      <c r="AE72" s="22">
        <f>IF(OR($B72="",AE$22=""),"",IF(LEN(VLOOKUP($B72,Database!$B$1:$IX$10144,AE$22,FALSE))=0,"",VLOOKUP($B72,Database!$B$1:$IX$10144,AE$22,FALSE)))</f>
        <v>12.5</v>
      </c>
      <c r="AF72" s="22">
        <f>IF(OR($B72="",AF$22=""),"",IF(LEN(VLOOKUP($B72,Database!$B$1:$IX$10144,AF$22,FALSE))=0,"",VLOOKUP($B72,Database!$B$1:$IX$10144,AF$22,FALSE)))</f>
        <v>17</v>
      </c>
      <c r="AG72" s="22">
        <f>IF(OR($B72="",AG$22=""),"",IF(LEN(VLOOKUP($B72,Database!$B$1:$IX$10144,AG$22,FALSE))=0,"",VLOOKUP($B72,Database!$B$1:$IX$10144,AG$22,FALSE)))</f>
        <v>17</v>
      </c>
      <c r="AH72" s="22"/>
      <c r="AI72" s="22"/>
      <c r="AJ72" s="22" t="str">
        <f>IF(OR($B72="",AJ$22=""),"",IF(LEN(VLOOKUP($B72,Database!$B$1:$IX$10144,AJ$22,FALSE))=0,"",VLOOKUP($B72,Database!$B$1:$IX$10144,AJ$22,FALSE)))</f>
        <v/>
      </c>
      <c r="AK72" s="22">
        <f>IF(OR($B72="",AK$22=""),"",IF(LEN(VLOOKUP($B72,Database!$B$1:$IX$10144,AK$22,FALSE))=0,"",VLOOKUP($B72,Database!$B$1:$IX$10144,AK$22,FALSE)))</f>
        <v>40</v>
      </c>
      <c r="AL72" s="22">
        <f>IF(OR($B72="",AL$22=""),"",IF(LEN(VLOOKUP($B72,Database!$B$1:$IX$10144,AL$22,FALSE))=0,"",VLOOKUP($B72,Database!$B$1:$IX$10144,AL$22,FALSE)))</f>
        <v>24.8</v>
      </c>
      <c r="AM72" s="22" t="str">
        <f>IF(OR($B72="",AM$22=""),"",IF(LEN(VLOOKUP($B72,Database!$B$1:$IX$10144,AM$22,FALSE))=0,"",VLOOKUP($B72,Database!$B$1:$IX$10144,AM$22,FALSE)))</f>
        <v>ns</v>
      </c>
      <c r="AN72" s="22" t="str">
        <f>IF(OR($B72="",AN$22=""),"",IF(LEN(VLOOKUP($B72,Database!$B$1:$IX$10144,AN$22,FALSE))=0,"",VLOOKUP($B72,Database!$B$1:$IX$10144,AN$22,FALSE)))</f>
        <v>ns</v>
      </c>
      <c r="AO72" s="22" t="str">
        <f>IF(OR($B72="",AO$22=""),"",IF(LEN(VLOOKUP($B72,Database!$B$1:$IX$10144,AO$22,FALSE))=0,"",VLOOKUP($B72,Database!$B$1:$IX$10144,AO$22,FALSE)))</f>
        <v>ns</v>
      </c>
      <c r="AP72" s="22" t="str">
        <f>IF(OR($B72="",AP$22=""),"",IF(LEN(VLOOKUP($B72,Database!$B$1:$IX$10144,AP$22,FALSE))=0,"",VLOOKUP($B72,Database!$B$1:$IX$10144,AP$22,FALSE)))</f>
        <v>ns</v>
      </c>
      <c r="AQ72" s="22" t="str">
        <f>IF(OR($B72="",AQ$22=""),"",IF(LEN(VLOOKUP($B72,Database!$B$1:$IX$10144,AQ$22,FALSE))=0,"",VLOOKUP($B72,Database!$B$1:$IX$10144,AQ$22,FALSE)))</f>
        <v>Frodl T, Meisenzahl EM, Zetzsche T, Born C, Groll C, Jager M, Leinsinger G, Bottlender R, Hahn K, Moller HJ.</v>
      </c>
    </row>
    <row r="73" spans="1:43">
      <c r="A73" s="10" t="s">
        <v>2335</v>
      </c>
      <c r="B73">
        <v>15119911</v>
      </c>
      <c r="C73" s="1" t="str">
        <f>IF($B73="","",HYPERLINK(IF(LEN(VLOOKUP($B73,Database!$B$1:$IX$10144,2,FALSE))=0,"",VLOOKUP($B73,Database!$B$1:$IX$10144,2,FALSE))))</f>
        <v/>
      </c>
      <c r="D73" s="1" t="str">
        <f t="shared" si="3"/>
        <v>http://www.ncbi.nlm.nih.gov/pubmed/15119911</v>
      </c>
      <c r="E73" s="22" t="str">
        <f>IF($B73="","",IF(LEN(VLOOKUP($B73,Database!$B$1:$IX$10144,4,FALSE))=0,"",VLOOKUP($B73,Database!$B$1:$IX$10144,4,FALSE)))</f>
        <v>Frodl T (B)</v>
      </c>
      <c r="F73" s="22">
        <f>IF($B73="","",IF(LEN(VLOOKUP($B73,Database!$B$1:$IX$10144,5,FALSE))=0,"",VLOOKUP($B73,Database!$B$1:$IX$10144,5,FALSE)))</f>
        <v>2004</v>
      </c>
      <c r="G73" s="1" t="str">
        <f>IF($B73="","",HYPERLINK(IF(LEN(VLOOKUP($B73,Database!$B$1:$IX$10144,6,FALSE))=0,"",VLOOKUP($B73,Database!$B$1:$IX$10144,6,FALSE))))</f>
        <v>http://www.psychiatrist.com/abstracts/abstracts.asp?abstract=200404/040405.htm</v>
      </c>
      <c r="H73" s="22">
        <f>IF($B73="","",IF(LEN(VLOOKUP($B73,Database!$B$1:$IX$10144,7,FALSE))=0,"",VLOOKUP($B73,Database!$B$1:$IX$10144,7,FALSE)))</f>
        <v>30</v>
      </c>
      <c r="I73" s="22">
        <f>IF($B73="","",IF(LEN(VLOOKUP($B73,Database!$B$1:$IX$10144,8,FALSE))=0,"",VLOOKUP($B73,Database!$B$1:$IX$10144,8,FALSE)))</f>
        <v>30</v>
      </c>
      <c r="J73" t="s">
        <v>1381</v>
      </c>
      <c r="L73">
        <v>3.7</v>
      </c>
      <c r="M73">
        <v>0.33</v>
      </c>
      <c r="N73">
        <v>3.82</v>
      </c>
      <c r="O73">
        <v>0.34</v>
      </c>
      <c r="P73">
        <v>3.8</v>
      </c>
      <c r="Q73">
        <v>0.31</v>
      </c>
      <c r="R73">
        <v>3.93</v>
      </c>
      <c r="S73">
        <v>0.35</v>
      </c>
      <c r="Y73" s="22" t="str">
        <f>IF(OR($B73="",Y$22=""),"",IF(LEN(VLOOKUP($B73,Database!$B$1:$IX$10144,Y$22,FALSE))=0,"",VLOOKUP($B73,Database!$B$1:$IX$10144,Y$22,FALSE)))</f>
        <v>DSM-IV</v>
      </c>
      <c r="Z73" s="22" t="str">
        <f>IF(OR($B73="",Z$22=""),"",IF(LEN(VLOOKUP($B73,Database!$B$1:$IX$10144,Z$22,FALSE))=0,"",VLOOKUP($B73,Database!$B$1:$IX$10144,Z$22,FALSE)))</f>
        <v>MRI</v>
      </c>
      <c r="AA73" s="22" t="str">
        <f>IF(OR($B73="",AA$22=""),"",IF(LEN(VLOOKUP($B73,Database!$B$1:$IX$10144,AA$22,FALSE))=0,"",VLOOKUP($B73,Database!$B$1:$IX$10144,AA$22,FALSE)))</f>
        <v/>
      </c>
      <c r="AB73" s="22">
        <f>IF(OR($B73="",AB$22=""),"",IF(LEN(VLOOKUP($B73,Database!$B$1:$IX$10144,AB$22,FALSE))=0,"",VLOOKUP($B73,Database!$B$1:$IX$10144,AB$22,FALSE)))</f>
        <v>48.4</v>
      </c>
      <c r="AC73" s="22">
        <f>IF(OR($B73="",AC$22=""),"",IF(LEN(VLOOKUP($B73,Database!$B$1:$IX$10144,AC$22,FALSE))=0,"",VLOOKUP($B73,Database!$B$1:$IX$10144,AC$22,FALSE)))</f>
        <v>13.4</v>
      </c>
      <c r="AD73" s="22">
        <f>IF(OR($B73="",AD$22=""),"",IF(LEN(VLOOKUP($B73,Database!$B$1:$IX$10144,AD$22,FALSE))=0,"",VLOOKUP($B73,Database!$B$1:$IX$10144,AD$22,FALSE)))</f>
        <v>45.7</v>
      </c>
      <c r="AE73" s="22">
        <f>IF(OR($B73="",AE$22=""),"",IF(LEN(VLOOKUP($B73,Database!$B$1:$IX$10144,AE$22,FALSE))=0,"",VLOOKUP($B73,Database!$B$1:$IX$10144,AE$22,FALSE)))</f>
        <v>12.9</v>
      </c>
      <c r="AF73" s="22">
        <f>IF(OR($B73="",AF$22=""),"",IF(LEN(VLOOKUP($B73,Database!$B$1:$IX$10144,AF$22,FALSE))=0,"",VLOOKUP($B73,Database!$B$1:$IX$10144,AF$22,FALSE)))</f>
        <v>18</v>
      </c>
      <c r="AG73" s="22">
        <f>IF(OR($B73="",AG$22=""),"",IF(LEN(VLOOKUP($B73,Database!$B$1:$IX$10144,AG$22,FALSE))=0,"",VLOOKUP($B73,Database!$B$1:$IX$10144,AG$22,FALSE)))</f>
        <v>18</v>
      </c>
      <c r="AH73" s="22"/>
      <c r="AI73" s="22"/>
      <c r="AJ73" s="22" t="str">
        <f>IF(OR($B73="",AJ$22=""),"",IF(LEN(VLOOKUP($B73,Database!$B$1:$IX$10144,AJ$22,FALSE))=0,"",VLOOKUP($B73,Database!$B$1:$IX$10144,AJ$22,FALSE)))</f>
        <v/>
      </c>
      <c r="AK73" s="22">
        <f>IF(OR($B73="",AK$22=""),"",IF(LEN(VLOOKUP($B73,Database!$B$1:$IX$10144,AK$22,FALSE))=0,"",VLOOKUP($B73,Database!$B$1:$IX$10144,AK$22,FALSE)))</f>
        <v>39.299999999999997</v>
      </c>
      <c r="AL73" s="22">
        <f>IF(OR($B73="",AL$22=""),"",IF(LEN(VLOOKUP($B73,Database!$B$1:$IX$10144,AL$22,FALSE))=0,"",VLOOKUP($B73,Database!$B$1:$IX$10144,AL$22,FALSE)))</f>
        <v>23.7</v>
      </c>
      <c r="AM73" s="22" t="str">
        <f>IF(OR($B73="",AM$22=""),"",IF(LEN(VLOOKUP($B73,Database!$B$1:$IX$10144,AM$22,FALSE))=0,"",VLOOKUP($B73,Database!$B$1:$IX$10144,AM$22,FALSE)))</f>
        <v>ns</v>
      </c>
      <c r="AN73" s="22">
        <f>IF(OR($B73="",AN$22=""),"",IF(LEN(VLOOKUP($B73,Database!$B$1:$IX$10144,AN$22,FALSE))=0,"",VLOOKUP($B73,Database!$B$1:$IX$10144,AN$22,FALSE)))</f>
        <v>23.333333333333332</v>
      </c>
      <c r="AO73" s="22" t="str">
        <f>IF(OR($B73="",AO$22=""),"",IF(LEN(VLOOKUP($B73,Database!$B$1:$IX$10144,AO$22,FALSE))=0,"",VLOOKUP($B73,Database!$B$1:$IX$10144,AO$22,FALSE)))</f>
        <v>ns</v>
      </c>
      <c r="AP73" s="22">
        <f>IF(OR($B73="",AP$22=""),"",IF(LEN(VLOOKUP($B73,Database!$B$1:$IX$10144,AP$22,FALSE))=0,"",VLOOKUP($B73,Database!$B$1:$IX$10144,AP$22,FALSE)))</f>
        <v>6.666666666666667</v>
      </c>
      <c r="AQ73" s="22" t="str">
        <f>IF(OR($B73="",AQ$22=""),"",IF(LEN(VLOOKUP($B73,Database!$B$1:$IX$10144,AQ$22,FALSE))=0,"",VLOOKUP($B73,Database!$B$1:$IX$10144,AQ$22,FALSE)))</f>
        <v>Frodl T, Meisenzahl EM, Zetzsche T, Hohne T, Banac S, Schorr C, Jager M, Leinsinger G, Bottlender R, Reiser M, Moller HJ.</v>
      </c>
    </row>
    <row r="74" spans="1:43">
      <c r="A74" s="10" t="s">
        <v>1913</v>
      </c>
      <c r="B74">
        <v>15738499</v>
      </c>
      <c r="C74" s="1" t="str">
        <f>IF($B74="","",HYPERLINK(IF(LEN(VLOOKUP($B74,Database!$B$1:$IX$10144,2,FALSE))=0,"",VLOOKUP($B74,Database!$B$1:$IX$10144,2,FALSE))))</f>
        <v/>
      </c>
      <c r="D74" s="1" t="str">
        <f t="shared" si="3"/>
        <v>http://www.ncbi.nlm.nih.gov/pubmed/15738499</v>
      </c>
      <c r="E74" s="22" t="str">
        <f>IF($B74="","",IF(LEN(VLOOKUP($B74,Database!$B$1:$IX$10144,4,FALSE))=0,"",VLOOKUP($B74,Database!$B$1:$IX$10144,4,FALSE)))</f>
        <v>Hickie I (A)</v>
      </c>
      <c r="F74" s="22">
        <f>IF($B74="","",IF(LEN(VLOOKUP($B74,Database!$B$1:$IX$10144,5,FALSE))=0,"",VLOOKUP($B74,Database!$B$1:$IX$10144,5,FALSE)))</f>
        <v>2005</v>
      </c>
      <c r="G74" s="1" t="str">
        <f>IF($B74="","",HYPERLINK(IF(LEN(VLOOKUP($B74,Database!$B$1:$IX$10144,6,FALSE))=0,"",VLOOKUP($B74,Database!$B$1:$IX$10144,6,FALSE))))</f>
        <v>http://bjp.rcpsych.org/cgi/content/full/186/3/197</v>
      </c>
      <c r="H74" s="22">
        <f>IF($B74="","",IF(LEN(VLOOKUP($B74,Database!$B$1:$IX$10144,7,FALSE))=0,"",VLOOKUP($B74,Database!$B$1:$IX$10144,7,FALSE)))</f>
        <v>51</v>
      </c>
      <c r="I74" s="22">
        <f>IF($B74="","",IF(LEN(VLOOKUP($B74,Database!$B$1:$IX$10144,8,FALSE))=0,"",VLOOKUP($B74,Database!$B$1:$IX$10144,8,FALSE)))</f>
        <v>20</v>
      </c>
      <c r="J74" t="s">
        <v>1054</v>
      </c>
      <c r="L74">
        <v>2.9</v>
      </c>
      <c r="M74">
        <v>0.4</v>
      </c>
      <c r="N74">
        <v>3.3</v>
      </c>
      <c r="O74">
        <v>0.5</v>
      </c>
      <c r="P74">
        <v>3</v>
      </c>
      <c r="Q74">
        <v>0.4</v>
      </c>
      <c r="R74">
        <v>3.3</v>
      </c>
      <c r="S74">
        <v>0.6</v>
      </c>
      <c r="T74">
        <v>5.9</v>
      </c>
      <c r="U74">
        <v>0.7</v>
      </c>
      <c r="V74">
        <v>6.6</v>
      </c>
      <c r="W74">
        <v>1.1000000000000001</v>
      </c>
      <c r="Y74" s="22" t="str">
        <f>IF(OR($B74="",Y$22=""),"",IF(LEN(VLOOKUP($B74,Database!$B$1:$IX$10144,Y$22,FALSE))=0,"",VLOOKUP($B74,Database!$B$1:$IX$10144,Y$22,FALSE)))</f>
        <v>DSM-IV</v>
      </c>
      <c r="Z74" s="22" t="str">
        <f>IF(OR($B74="",Z$22=""),"",IF(LEN(VLOOKUP($B74,Database!$B$1:$IX$10144,Z$22,FALSE))=0,"",VLOOKUP($B74,Database!$B$1:$IX$10144,Z$22,FALSE)))</f>
        <v>MRI</v>
      </c>
      <c r="AA74" s="22" t="str">
        <f>IF(OR($B74="",AA$22=""),"",IF(LEN(VLOOKUP($B74,Database!$B$1:$IX$10144,AA$22,FALSE))=0,"",VLOOKUP($B74,Database!$B$1:$IX$10144,AA$22,FALSE)))</f>
        <v/>
      </c>
      <c r="AB74" s="22">
        <f>IF(OR($B74="",AB$22=""),"",IF(LEN(VLOOKUP($B74,Database!$B$1:$IX$10144,AB$22,FALSE))=0,"",VLOOKUP($B74,Database!$B$1:$IX$10144,AB$22,FALSE)))</f>
        <v>53.5</v>
      </c>
      <c r="AC74" s="22">
        <f>IF(OR($B74="",AC$22=""),"",IF(LEN(VLOOKUP($B74,Database!$B$1:$IX$10144,AC$22,FALSE))=0,"",VLOOKUP($B74,Database!$B$1:$IX$10144,AC$22,FALSE)))</f>
        <v>13.5</v>
      </c>
      <c r="AD74" s="22">
        <f>IF(OR($B74="",AD$22=""),"",IF(LEN(VLOOKUP($B74,Database!$B$1:$IX$10144,AD$22,FALSE))=0,"",VLOOKUP($B74,Database!$B$1:$IX$10144,AD$22,FALSE)))</f>
        <v>55.8</v>
      </c>
      <c r="AE74" s="22">
        <f>IF(OR($B74="",AE$22=""),"",IF(LEN(VLOOKUP($B74,Database!$B$1:$IX$10144,AE$22,FALSE))=0,"",VLOOKUP($B74,Database!$B$1:$IX$10144,AE$22,FALSE)))</f>
        <v>10</v>
      </c>
      <c r="AF74" s="22">
        <f>IF(OR($B74="",AF$22=""),"",IF(LEN(VLOOKUP($B74,Database!$B$1:$IX$10144,AF$22,FALSE))=0,"",VLOOKUP($B74,Database!$B$1:$IX$10144,AF$22,FALSE)))</f>
        <v>44</v>
      </c>
      <c r="AG74" s="22">
        <f>IF(OR($B74="",AG$22=""),"",IF(LEN(VLOOKUP($B74,Database!$B$1:$IX$10144,AG$22,FALSE))=0,"",VLOOKUP($B74,Database!$B$1:$IX$10144,AG$22,FALSE)))</f>
        <v>11</v>
      </c>
      <c r="AH74" s="22">
        <f>IF(OR($B74="",AH$22=""),"",IF(LEN(VLOOKUP($B74,Database!$B$1:$IX$10144,AH$22,FALSE))=0,"",VLOOKUP($B74,Database!$B$1:$IX$10144,AH$22,FALSE)))</f>
        <v>1.5</v>
      </c>
      <c r="AI74" s="22">
        <f>IF(OR($B74="",AI$22=""),"",IF(LEN(VLOOKUP($B74,Database!$B$1:$IX$10144,AI$22,FALSE))=0,"",VLOOKUP($B74,Database!$B$1:$IX$10144,AI$22,FALSE)))</f>
        <v>1.5</v>
      </c>
      <c r="AJ74" s="22" t="str">
        <f>IF(OR($B74="",AJ$22=""),"",IF(LEN(VLOOKUP($B74,Database!$B$1:$IX$10144,AJ$22,FALSE))=0,"",VLOOKUP($B74,Database!$B$1:$IX$10144,AJ$22,FALSE)))</f>
        <v/>
      </c>
      <c r="AK74" s="22">
        <f>IF(OR($B74="",AK$22=""),"",IF(LEN(VLOOKUP($B74,Database!$B$1:$IX$10144,AK$22,FALSE))=0,"",VLOOKUP($B74,Database!$B$1:$IX$10144,AK$22,FALSE)))</f>
        <v>38.4</v>
      </c>
      <c r="AL74" s="22">
        <f>IF(OR($B74="",AL$22=""),"",IF(LEN(VLOOKUP($B74,Database!$B$1:$IX$10144,AL$22,FALSE))=0,"",VLOOKUP($B74,Database!$B$1:$IX$10144,AL$22,FALSE)))</f>
        <v>24.9</v>
      </c>
      <c r="AM74" s="22" t="str">
        <f>IF(OR($B74="",AM$22=""),"",IF(LEN(VLOOKUP($B74,Database!$B$1:$IX$10144,AM$22,FALSE))=0,"",VLOOKUP($B74,Database!$B$1:$IX$10144,AM$22,FALSE)))</f>
        <v>ns</v>
      </c>
      <c r="AN74" s="22" t="str">
        <f>IF(OR($B74="",AN$22=""),"",IF(LEN(VLOOKUP($B74,Database!$B$1:$IX$10144,AN$22,FALSE))=0,"",VLOOKUP($B74,Database!$B$1:$IX$10144,AN$22,FALSE)))</f>
        <v>ns</v>
      </c>
      <c r="AO74" s="22" t="str">
        <f>IF(OR($B74="",AO$22=""),"",IF(LEN(VLOOKUP($B74,Database!$B$1:$IX$10144,AO$22,FALSE))=0,"",VLOOKUP($B74,Database!$B$1:$IX$10144,AO$22,FALSE)))</f>
        <v>ns</v>
      </c>
      <c r="AP74" s="22" t="str">
        <f>IF(OR($B74="",AP$22=""),"",IF(LEN(VLOOKUP($B74,Database!$B$1:$IX$10144,AP$22,FALSE))=0,"",VLOOKUP($B74,Database!$B$1:$IX$10144,AP$22,FALSE)))</f>
        <v>ns</v>
      </c>
      <c r="AQ74" s="22" t="str">
        <f>IF(OR($B74="",AQ$22=""),"",IF(LEN(VLOOKUP($B74,Database!$B$1:$IX$10144,AQ$22,FALSE))=0,"",VLOOKUP($B74,Database!$B$1:$IX$10144,AQ$22,FALSE)))</f>
        <v>Hickie I, Naismith S, Ward PB, Turner K, Scott E, Mitchell P, Wilhelm K, Parker G.</v>
      </c>
    </row>
    <row r="75" spans="1:43">
      <c r="A75" s="10" t="s">
        <v>2335</v>
      </c>
      <c r="B75">
        <v>16951734</v>
      </c>
      <c r="C75" s="1" t="str">
        <f>IF($B75="","",HYPERLINK(IF(LEN(VLOOKUP($B75,Database!$B$1:$IX$10144,2,FALSE))=0,"",VLOOKUP($B75,Database!$B$1:$IX$10144,2,FALSE))))</f>
        <v/>
      </c>
      <c r="D75" s="1" t="str">
        <f t="shared" si="3"/>
        <v>http://www.ncbi.nlm.nih.gov/pubmed/16951734</v>
      </c>
      <c r="E75" s="22" t="str">
        <f>IF($B75="","",IF(LEN(VLOOKUP($B75,Database!$B$1:$IX$10144,4,FALSE))=0,"",VLOOKUP($B75,Database!$B$1:$IX$10144,4,FALSE)))</f>
        <v>Frodl T</v>
      </c>
      <c r="F75" s="22">
        <f>IF($B75="","",IF(LEN(VLOOKUP($B75,Database!$B$1:$IX$10144,5,FALSE))=0,"",VLOOKUP($B75,Database!$B$1:$IX$10144,5,FALSE)))</f>
        <v>2006</v>
      </c>
      <c r="G75" s="1" t="str">
        <f>IF($B75="","",HYPERLINK(IF(LEN(VLOOKUP($B75,Database!$B$1:$IX$10144,6,FALSE))=0,"",VLOOKUP($B75,Database!$B$1:$IX$10144,6,FALSE))))</f>
        <v>http://www.cma.ca/multimedia/staticContent/HTML/N0/l2/jpn/vol-31/issue-5/pdf/pg316.pdf</v>
      </c>
      <c r="H75" s="22">
        <f>IF($B75="","",IF(LEN(VLOOKUP($B75,Database!$B$1:$IX$10144,7,FALSE))=0,"",VLOOKUP($B75,Database!$B$1:$IX$10144,7,FALSE)))</f>
        <v>34</v>
      </c>
      <c r="I75" s="22">
        <f>IF($B75="","",IF(LEN(VLOOKUP($B75,Database!$B$1:$IX$10144,8,FALSE))=0,"",VLOOKUP($B75,Database!$B$1:$IX$10144,8,FALSE)))</f>
        <v>34</v>
      </c>
      <c r="J75" t="s">
        <v>878</v>
      </c>
      <c r="L75">
        <v>2.79</v>
      </c>
      <c r="M75">
        <v>0.31</v>
      </c>
      <c r="N75">
        <v>3.06</v>
      </c>
      <c r="O75">
        <v>0.3</v>
      </c>
      <c r="P75">
        <v>2.92</v>
      </c>
      <c r="Q75">
        <v>0.28999999999999998</v>
      </c>
      <c r="R75">
        <v>3.14</v>
      </c>
      <c r="S75">
        <v>0.3</v>
      </c>
      <c r="Y75" s="22" t="str">
        <f>IF(OR($B75="",Y$22=""),"",IF(LEN(VLOOKUP($B75,Database!$B$1:$IX$10144,Y$22,FALSE))=0,"",VLOOKUP($B75,Database!$B$1:$IX$10144,Y$22,FALSE)))</f>
        <v>DSM-IV</v>
      </c>
      <c r="Z75" s="22" t="str">
        <f>IF(OR($B75="",Z$22=""),"",IF(LEN(VLOOKUP($B75,Database!$B$1:$IX$10144,Z$22,FALSE))=0,"",VLOOKUP($B75,Database!$B$1:$IX$10144,Z$22,FALSE)))</f>
        <v>MRI</v>
      </c>
      <c r="AA75" s="22" t="str">
        <f>IF(OR($B75="",AA$22=""),"",IF(LEN(VLOOKUP($B75,Database!$B$1:$IX$10144,AA$22,FALSE))=0,"",VLOOKUP($B75,Database!$B$1:$IX$10144,AA$22,FALSE)))</f>
        <v/>
      </c>
      <c r="AB75" s="22">
        <f>IF(OR($B75="",AB$22=""),"",IF(LEN(VLOOKUP($B75,Database!$B$1:$IX$10144,AB$22,FALSE))=0,"",VLOOKUP($B75,Database!$B$1:$IX$10144,AB$22,FALSE)))</f>
        <v>45.5</v>
      </c>
      <c r="AC75" s="22">
        <f>IF(OR($B75="",AC$22=""),"",IF(LEN(VLOOKUP($B75,Database!$B$1:$IX$10144,AC$22,FALSE))=0,"",VLOOKUP($B75,Database!$B$1:$IX$10144,AC$22,FALSE)))</f>
        <v>11.9</v>
      </c>
      <c r="AD75" s="22">
        <f>IF(OR($B75="",AD$22=""),"",IF(LEN(VLOOKUP($B75,Database!$B$1:$IX$10144,AD$22,FALSE))=0,"",VLOOKUP($B75,Database!$B$1:$IX$10144,AD$22,FALSE)))</f>
        <v>43.6</v>
      </c>
      <c r="AE75" s="22">
        <f>IF(OR($B75="",AE$22=""),"",IF(LEN(VLOOKUP($B75,Database!$B$1:$IX$10144,AE$22,FALSE))=0,"",VLOOKUP($B75,Database!$B$1:$IX$10144,AE$22,FALSE)))</f>
        <v>13.2</v>
      </c>
      <c r="AF75" s="22">
        <f>IF(OR($B75="",AF$22=""),"",IF(LEN(VLOOKUP($B75,Database!$B$1:$IX$10144,AF$22,FALSE))=0,"",VLOOKUP($B75,Database!$B$1:$IX$10144,AF$22,FALSE)))</f>
        <v>15</v>
      </c>
      <c r="AG75" s="22">
        <f>IF(OR($B75="",AG$22=""),"",IF(LEN(VLOOKUP($B75,Database!$B$1:$IX$10144,AG$22,FALSE))=0,"",VLOOKUP($B75,Database!$B$1:$IX$10144,AG$22,FALSE)))</f>
        <v>15</v>
      </c>
      <c r="AH75" s="22"/>
      <c r="AI75" s="22"/>
      <c r="AJ75" s="22" t="str">
        <f>IF(OR($B75="",AJ$22=""),"",IF(LEN(VLOOKUP($B75,Database!$B$1:$IX$10144,AJ$22,FALSE))=0,"",VLOOKUP($B75,Database!$B$1:$IX$10144,AJ$22,FALSE)))</f>
        <v/>
      </c>
      <c r="AK75" s="22">
        <f>IF(OR($B75="",AK$22=""),"",IF(LEN(VLOOKUP($B75,Database!$B$1:$IX$10144,AK$22,FALSE))=0,"",VLOOKUP($B75,Database!$B$1:$IX$10144,AK$22,FALSE)))</f>
        <v>38.799999999999997</v>
      </c>
      <c r="AL75" s="22">
        <f>IF(OR($B75="",AL$22=""),"",IF(LEN(VLOOKUP($B75,Database!$B$1:$IX$10144,AL$22,FALSE))=0,"",VLOOKUP($B75,Database!$B$1:$IX$10144,AL$22,FALSE)))</f>
        <v>24.8</v>
      </c>
      <c r="AM75" s="22">
        <f>IF(OR($B75="",AM$22=""),"",IF(LEN(VLOOKUP($B75,Database!$B$1:$IX$10144,AM$22,FALSE))=0,"",VLOOKUP($B75,Database!$B$1:$IX$10144,AM$22,FALSE)))</f>
        <v>91.17647058823529</v>
      </c>
      <c r="AN75" s="22" t="str">
        <f>IF(OR($B75="",AN$22=""),"",IF(LEN(VLOOKUP($B75,Database!$B$1:$IX$10144,AN$22,FALSE))=0,"",VLOOKUP($B75,Database!$B$1:$IX$10144,AN$22,FALSE)))</f>
        <v>ns</v>
      </c>
      <c r="AO75" s="22">
        <f>IF(OR($B75="",AO$22=""),"",IF(LEN(VLOOKUP($B75,Database!$B$1:$IX$10144,AO$22,FALSE))=0,"",VLOOKUP($B75,Database!$B$1:$IX$10144,AO$22,FALSE)))</f>
        <v>11.76470588235294</v>
      </c>
      <c r="AP75" s="22">
        <f>IF(OR($B75="",AP$22=""),"",IF(LEN(VLOOKUP($B75,Database!$B$1:$IX$10144,AP$22,FALSE))=0,"",VLOOKUP($B75,Database!$B$1:$IX$10144,AP$22,FALSE)))</f>
        <v>8.8235294117647065</v>
      </c>
      <c r="AQ75" s="22" t="str">
        <f>IF(OR($B75="",AQ$22=""),"",IF(LEN(VLOOKUP($B75,Database!$B$1:$IX$10144,AQ$22,FALSE))=0,"",VLOOKUP($B75,Database!$B$1:$IX$10144,AQ$22,FALSE)))</f>
        <v>Frodl T, Schaub A, Banac S, Charypar M, Jager M, Kummler P, Bottlender R, Zetzsche T, Born C, Leinsinger G, Reiser M, Moller HJ, Meisenzahl EM.</v>
      </c>
    </row>
    <row r="76" spans="1:43">
      <c r="A76" s="10" t="s">
        <v>2336</v>
      </c>
      <c r="B76">
        <v>17389903</v>
      </c>
      <c r="C76" s="1" t="str">
        <f>IF($B76="","",HYPERLINK(IF(LEN(VLOOKUP($B76,Database!$B$1:$IX$10144,2,FALSE))=0,"",VLOOKUP($B76,Database!$B$1:$IX$10144,2,FALSE))))</f>
        <v/>
      </c>
      <c r="D76" s="1" t="str">
        <f t="shared" si="3"/>
        <v>http://www.ncbi.nlm.nih.gov/pubmed/17389903</v>
      </c>
      <c r="E76" s="22" t="str">
        <f>IF($B76="","",IF(LEN(VLOOKUP($B76,Database!$B$1:$IX$10144,4,FALSE))=0,"",VLOOKUP($B76,Database!$B$1:$IX$10144,4,FALSE)))</f>
        <v>Monkul ES</v>
      </c>
      <c r="F76" s="22">
        <f>IF($B76="","",IF(LEN(VLOOKUP($B76,Database!$B$1:$IX$10144,5,FALSE))=0,"",VLOOKUP($B76,Database!$B$1:$IX$10144,5,FALSE)))</f>
        <v>2007</v>
      </c>
      <c r="G76" s="1" t="str">
        <f>IF($B76="","",HYPERLINK(IF(LEN(VLOOKUP($B76,Database!$B$1:$IX$10144,6,FALSE))=0,"",VLOOKUP($B76,Database!$B$1:$IX$10144,6,FALSE))))</f>
        <v>http://www.nature.com/mp/journal/v12/n4/pdf/4001919a.pdf</v>
      </c>
      <c r="H76" s="83">
        <v>7</v>
      </c>
      <c r="I76" s="83">
        <v>8.5</v>
      </c>
      <c r="J76" t="s">
        <v>1378</v>
      </c>
      <c r="K76" t="s">
        <v>988</v>
      </c>
      <c r="L76">
        <v>3.44</v>
      </c>
      <c r="M76">
        <v>0.7</v>
      </c>
      <c r="N76">
        <v>3.32</v>
      </c>
      <c r="O76">
        <v>0.27</v>
      </c>
      <c r="P76">
        <v>3.35</v>
      </c>
      <c r="Q76">
        <v>0.49</v>
      </c>
      <c r="R76">
        <v>3.29</v>
      </c>
      <c r="S76">
        <v>0.34</v>
      </c>
      <c r="Y76" s="22" t="str">
        <f>IF(OR($B76="",Y$22=""),"",IF(LEN(VLOOKUP($B76,Database!$B$1:$IX$10144,Y$22,FALSE))=0,"",VLOOKUP($B76,Database!$B$1:$IX$10144,Y$22,FALSE)))</f>
        <v>DSM-IV</v>
      </c>
      <c r="Z76" s="22" t="str">
        <f>IF(OR($B76="",Z$22=""),"",IF(LEN(VLOOKUP($B76,Database!$B$1:$IX$10144,Z$22,FALSE))=0,"",VLOOKUP($B76,Database!$B$1:$IX$10144,Z$22,FALSE)))</f>
        <v>MRI</v>
      </c>
      <c r="AA76" s="22" t="str">
        <f>IF(OR($B76="",AA$22=""),"",IF(LEN(VLOOKUP($B76,Database!$B$1:$IX$10144,AA$22,FALSE))=0,"",VLOOKUP($B76,Database!$B$1:$IX$10144,AA$22,FALSE)))</f>
        <v/>
      </c>
      <c r="AB76" s="22" t="str">
        <f>IF(OR($B76="",AB$22=""),"",IF(LEN(VLOOKUP($B76,Database!$B$1:$IX$10144,AB$22,FALSE))=0,"",VLOOKUP($B76,Database!$B$1:$IX$10144,AB$22,FALSE)))</f>
        <v/>
      </c>
      <c r="AC76" s="22" t="str">
        <f>IF(OR($B76="",AC$22=""),"",IF(LEN(VLOOKUP($B76,Database!$B$1:$IX$10144,AC$22,FALSE))=0,"",VLOOKUP($B76,Database!$B$1:$IX$10144,AC$22,FALSE)))</f>
        <v/>
      </c>
      <c r="AD76" s="22">
        <f>IF(OR($B76="",AD$22=""),"",IF(LEN(VLOOKUP($B76,Database!$B$1:$IX$10144,AD$22,FALSE))=0,"",VLOOKUP($B76,Database!$B$1:$IX$10144,AD$22,FALSE)))</f>
        <v>31.3</v>
      </c>
      <c r="AE76" s="22">
        <f>IF(OR($B76="",AE$22=""),"",IF(LEN(VLOOKUP($B76,Database!$B$1:$IX$10144,AE$22,FALSE))=0,"",VLOOKUP($B76,Database!$B$1:$IX$10144,AE$22,FALSE)))</f>
        <v>8.3000000000000007</v>
      </c>
      <c r="AF76" s="22">
        <f>IF(OR($B76="",AF$22=""),"",IF(LEN(VLOOKUP($B76,Database!$B$1:$IX$10144,AF$22,FALSE))=0,"",VLOOKUP($B76,Database!$B$1:$IX$10144,AF$22,FALSE)))</f>
        <v>17</v>
      </c>
      <c r="AG76" s="22">
        <f>IF(OR($B76="",AG$22=""),"",IF(LEN(VLOOKUP($B76,Database!$B$1:$IX$10144,AG$22,FALSE))=0,"",VLOOKUP($B76,Database!$B$1:$IX$10144,AG$22,FALSE)))</f>
        <v>17</v>
      </c>
      <c r="AH76" s="22">
        <f>IF(OR($B76="",AH$22=""),"",IF(LEN(VLOOKUP($B76,Database!$B$1:$IX$10144,AH$22,FALSE))=0,"",VLOOKUP($B76,Database!$B$1:$IX$10144,AH$22,FALSE)))</f>
        <v>1.5</v>
      </c>
      <c r="AI76" s="22">
        <f>IF(OR($B76="",AI$22=""),"",IF(LEN(VLOOKUP($B76,Database!$B$1:$IX$10144,AI$22,FALSE))=0,"",VLOOKUP($B76,Database!$B$1:$IX$10144,AI$22,FALSE)))</f>
        <v>1.5</v>
      </c>
      <c r="AJ76" s="22" t="str">
        <f>IF(OR($B76="",AJ$22=""),"",IF(LEN(VLOOKUP($B76,Database!$B$1:$IX$10144,AJ$22,FALSE))=0,"",VLOOKUP($B76,Database!$B$1:$IX$10144,AJ$22,FALSE)))</f>
        <v/>
      </c>
      <c r="AK76" s="22" t="str">
        <f>IF(OR($B76="",AK$22=""),"",IF(LEN(VLOOKUP($B76,Database!$B$1:$IX$10144,AK$22,FALSE))=0,"",VLOOKUP($B76,Database!$B$1:$IX$10144,AK$22,FALSE)))</f>
        <v>split depending on group (suicidal=16, nonsuicidal=26.9)</v>
      </c>
      <c r="AL76" s="22" t="str">
        <f>IF(OR($B76="",AL$22=""),"",IF(LEN(VLOOKUP($B76,Database!$B$1:$IX$10144,AL$22,FALSE))=0,"",VLOOKUP($B76,Database!$B$1:$IX$10144,AL$22,FALSE)))</f>
        <v>split depending on group (suicidal =13.7, non-suicidal = 10.9)</v>
      </c>
      <c r="AM76" s="22">
        <f>IF(OR($B76="",AM$22=""),"",IF(LEN(VLOOKUP($B76,Database!$B$1:$IX$10144,AM$22,FALSE))=0,"",VLOOKUP($B76,Database!$B$1:$IX$10144,AM$22,FALSE)))</f>
        <v>0</v>
      </c>
      <c r="AN76" s="22">
        <f>IF(OR($B76="",AN$22=""),"",IF(LEN(VLOOKUP($B76,Database!$B$1:$IX$10144,AN$22,FALSE))=0,"",VLOOKUP($B76,Database!$B$1:$IX$10144,AN$22,FALSE)))</f>
        <v>0</v>
      </c>
      <c r="AO76" s="22">
        <f>IF(OR($B76="",AO$22=""),"",IF(LEN(VLOOKUP($B76,Database!$B$1:$IX$10144,AO$22,FALSE))=0,"",VLOOKUP($B76,Database!$B$1:$IX$10144,AO$22,FALSE)))</f>
        <v>0</v>
      </c>
      <c r="AP76" s="22">
        <f>IF(OR($B76="",AP$22=""),"",IF(LEN(VLOOKUP($B76,Database!$B$1:$IX$10144,AP$22,FALSE))=0,"",VLOOKUP($B76,Database!$B$1:$IX$10144,AP$22,FALSE)))</f>
        <v>100</v>
      </c>
      <c r="AQ76" s="22" t="str">
        <f>IF(OR($B76="",AQ$22=""),"",IF(LEN(VLOOKUP($B76,Database!$B$1:$IX$10144,AQ$22,FALSE))=0,"",VLOOKUP($B76,Database!$B$1:$IX$10144,AQ$22,FALSE)))</f>
        <v>Monkul ES, Hatch JP, Nicoletti MA, Spence S, Brambilla P, Lacerda AL, Sassi RB, Mallinger AG, Keshavan MS, Soares JC.</v>
      </c>
    </row>
    <row r="77" spans="1:43">
      <c r="A77" s="10" t="s">
        <v>2336</v>
      </c>
      <c r="B77">
        <v>17389903</v>
      </c>
      <c r="C77" s="1" t="str">
        <f>IF($B77="","",HYPERLINK(IF(LEN(VLOOKUP($B77,Database!$B$1:$IX$10144,2,FALSE))=0,"",VLOOKUP($B77,Database!$B$1:$IX$10144,2,FALSE))))</f>
        <v/>
      </c>
      <c r="D77" s="1" t="str">
        <f t="shared" si="3"/>
        <v>http://www.ncbi.nlm.nih.gov/pubmed/17389903</v>
      </c>
      <c r="E77" s="22" t="str">
        <f>IF($B77="","",IF(LEN(VLOOKUP($B77,Database!$B$1:$IX$10144,4,FALSE))=0,"",VLOOKUP($B77,Database!$B$1:$IX$10144,4,FALSE)))</f>
        <v>Monkul ES</v>
      </c>
      <c r="F77" s="22">
        <f>IF($B77="","",IF(LEN(VLOOKUP($B77,Database!$B$1:$IX$10144,5,FALSE))=0,"",VLOOKUP($B77,Database!$B$1:$IX$10144,5,FALSE)))</f>
        <v>2007</v>
      </c>
      <c r="G77" s="1" t="str">
        <f>IF($B77="","",HYPERLINK(IF(LEN(VLOOKUP($B77,Database!$B$1:$IX$10144,6,FALSE))=0,"",VLOOKUP($B77,Database!$B$1:$IX$10144,6,FALSE))))</f>
        <v>http://www.nature.com/mp/journal/v12/n4/pdf/4001919a.pdf</v>
      </c>
      <c r="H77" s="83">
        <v>10</v>
      </c>
      <c r="I77" s="83">
        <v>8.5</v>
      </c>
      <c r="J77" t="s">
        <v>1378</v>
      </c>
      <c r="K77" t="s">
        <v>989</v>
      </c>
      <c r="L77">
        <v>3.38</v>
      </c>
      <c r="M77">
        <v>0.43</v>
      </c>
      <c r="N77">
        <v>3.32</v>
      </c>
      <c r="O77">
        <v>0.27</v>
      </c>
      <c r="P77">
        <v>3.47</v>
      </c>
      <c r="Q77">
        <v>0.42</v>
      </c>
      <c r="R77">
        <v>3.29</v>
      </c>
      <c r="S77">
        <v>0.34</v>
      </c>
      <c r="Y77" s="22" t="str">
        <f>IF(OR($B77="",Y$22=""),"",IF(LEN(VLOOKUP($B77,Database!$B$1:$IX$10144,Y$22,FALSE))=0,"",VLOOKUP($B77,Database!$B$1:$IX$10144,Y$22,FALSE)))</f>
        <v>DSM-IV</v>
      </c>
      <c r="Z77" s="22" t="str">
        <f>IF(OR($B77="",Z$22=""),"",IF(LEN(VLOOKUP($B77,Database!$B$1:$IX$10144,Z$22,FALSE))=0,"",VLOOKUP($B77,Database!$B$1:$IX$10144,Z$22,FALSE)))</f>
        <v>MRI</v>
      </c>
      <c r="AA77" s="22" t="str">
        <f>IF(OR($B77="",AA$22=""),"",IF(LEN(VLOOKUP($B77,Database!$B$1:$IX$10144,AA$22,FALSE))=0,"",VLOOKUP($B77,Database!$B$1:$IX$10144,AA$22,FALSE)))</f>
        <v/>
      </c>
      <c r="AB77" s="22" t="str">
        <f>IF(OR($B77="",AB$22=""),"",IF(LEN(VLOOKUP($B77,Database!$B$1:$IX$10144,AB$22,FALSE))=0,"",VLOOKUP($B77,Database!$B$1:$IX$10144,AB$22,FALSE)))</f>
        <v/>
      </c>
      <c r="AC77" s="22" t="str">
        <f>IF(OR($B77="",AC$22=""),"",IF(LEN(VLOOKUP($B77,Database!$B$1:$IX$10144,AC$22,FALSE))=0,"",VLOOKUP($B77,Database!$B$1:$IX$10144,AC$22,FALSE)))</f>
        <v/>
      </c>
      <c r="AD77" s="22">
        <f>IF(OR($B77="",AD$22=""),"",IF(LEN(VLOOKUP($B77,Database!$B$1:$IX$10144,AD$22,FALSE))=0,"",VLOOKUP($B77,Database!$B$1:$IX$10144,AD$22,FALSE)))</f>
        <v>31.3</v>
      </c>
      <c r="AE77" s="22">
        <f>IF(OR($B77="",AE$22=""),"",IF(LEN(VLOOKUP($B77,Database!$B$1:$IX$10144,AE$22,FALSE))=0,"",VLOOKUP($B77,Database!$B$1:$IX$10144,AE$22,FALSE)))</f>
        <v>8.3000000000000007</v>
      </c>
      <c r="AF77" s="22">
        <f>IF(OR($B77="",AF$22=""),"",IF(LEN(VLOOKUP($B77,Database!$B$1:$IX$10144,AF$22,FALSE))=0,"",VLOOKUP($B77,Database!$B$1:$IX$10144,AF$22,FALSE)))</f>
        <v>17</v>
      </c>
      <c r="AG77" s="22">
        <f>IF(OR($B77="",AG$22=""),"",IF(LEN(VLOOKUP($B77,Database!$B$1:$IX$10144,AG$22,FALSE))=0,"",VLOOKUP($B77,Database!$B$1:$IX$10144,AG$22,FALSE)))</f>
        <v>17</v>
      </c>
      <c r="AH77" s="22">
        <f>IF(OR($B77="",AH$22=""),"",IF(LEN(VLOOKUP($B77,Database!$B$1:$IX$10144,AH$22,FALSE))=0,"",VLOOKUP($B77,Database!$B$1:$IX$10144,AH$22,FALSE)))</f>
        <v>1.5</v>
      </c>
      <c r="AI77" s="22">
        <f>IF(OR($B77="",AI$22=""),"",IF(LEN(VLOOKUP($B77,Database!$B$1:$IX$10144,AI$22,FALSE))=0,"",VLOOKUP($B77,Database!$B$1:$IX$10144,AI$22,FALSE)))</f>
        <v>1.5</v>
      </c>
      <c r="AJ77" s="22" t="str">
        <f>IF(OR($B77="",AJ$22=""),"",IF(LEN(VLOOKUP($B77,Database!$B$1:$IX$10144,AJ$22,FALSE))=0,"",VLOOKUP($B77,Database!$B$1:$IX$10144,AJ$22,FALSE)))</f>
        <v/>
      </c>
      <c r="AK77" s="22" t="str">
        <f>IF(OR($B77="",AK$22=""),"",IF(LEN(VLOOKUP($B77,Database!$B$1:$IX$10144,AK$22,FALSE))=0,"",VLOOKUP($B77,Database!$B$1:$IX$10144,AK$22,FALSE)))</f>
        <v>split depending on group (suicidal=16, nonsuicidal=26.9)</v>
      </c>
      <c r="AL77" s="22" t="str">
        <f>IF(OR($B77="",AL$22=""),"",IF(LEN(VLOOKUP($B77,Database!$B$1:$IX$10144,AL$22,FALSE))=0,"",VLOOKUP($B77,Database!$B$1:$IX$10144,AL$22,FALSE)))</f>
        <v>split depending on group (suicidal =13.7, non-suicidal = 10.9)</v>
      </c>
      <c r="AM77" s="22">
        <f>IF(OR($B77="",AM$22=""),"",IF(LEN(VLOOKUP($B77,Database!$B$1:$IX$10144,AM$22,FALSE))=0,"",VLOOKUP($B77,Database!$B$1:$IX$10144,AM$22,FALSE)))</f>
        <v>0</v>
      </c>
      <c r="AN77" s="22">
        <f>IF(OR($B77="",AN$22=""),"",IF(LEN(VLOOKUP($B77,Database!$B$1:$IX$10144,AN$22,FALSE))=0,"",VLOOKUP($B77,Database!$B$1:$IX$10144,AN$22,FALSE)))</f>
        <v>0</v>
      </c>
      <c r="AO77" s="22">
        <f>IF(OR($B77="",AO$22=""),"",IF(LEN(VLOOKUP($B77,Database!$B$1:$IX$10144,AO$22,FALSE))=0,"",VLOOKUP($B77,Database!$B$1:$IX$10144,AO$22,FALSE)))</f>
        <v>0</v>
      </c>
      <c r="AP77" s="22">
        <f>IF(OR($B77="",AP$22=""),"",IF(LEN(VLOOKUP($B77,Database!$B$1:$IX$10144,AP$22,FALSE))=0,"",VLOOKUP($B77,Database!$B$1:$IX$10144,AP$22,FALSE)))</f>
        <v>100</v>
      </c>
      <c r="AQ77" s="22" t="str">
        <f>IF(OR($B77="",AQ$22=""),"",IF(LEN(VLOOKUP($B77,Database!$B$1:$IX$10144,AQ$22,FALSE))=0,"",VLOOKUP($B77,Database!$B$1:$IX$10144,AQ$22,FALSE)))</f>
        <v>Monkul ES, Hatch JP, Nicoletti MA, Spence S, Brambilla P, Lacerda AL, Sassi RB, Mallinger AG, Keshavan MS, Soares JC.</v>
      </c>
    </row>
    <row r="78" spans="1:43">
      <c r="A78" s="10" t="s">
        <v>2335</v>
      </c>
      <c r="B78">
        <v>18787661</v>
      </c>
      <c r="C78" s="1" t="str">
        <f>IF($B78="","",HYPERLINK(IF(LEN(VLOOKUP($B78,Database!$B$1:$IX$10144,2,FALSE))=0,"",VLOOKUP($B78,Database!$B$1:$IX$10144,2,FALSE))))</f>
        <v/>
      </c>
      <c r="D78" s="1" t="str">
        <f t="shared" si="3"/>
        <v>http://www.ncbi.nlm.nih.gov/pubmed/18787661</v>
      </c>
      <c r="E78" s="22" t="str">
        <f>IF($B78="","",IF(LEN(VLOOKUP($B78,Database!$B$1:$IX$10144,4,FALSE))=0,"",VLOOKUP($B78,Database!$B$1:$IX$10144,4,FALSE)))</f>
        <v>Frodl T (C)</v>
      </c>
      <c r="F78" s="22">
        <f>IF($B78="","",IF(LEN(VLOOKUP($B78,Database!$B$1:$IX$10144,5,FALSE))=0,"",VLOOKUP($B78,Database!$B$1:$IX$10144,5,FALSE)))</f>
        <v>2008</v>
      </c>
      <c r="G78" s="1" t="str">
        <f>IF($B78="","",HYPERLINK(IF(LEN(VLOOKUP($B78,Database!$B$1:$IX$10144,6,FALSE))=0,"",VLOOKUP($B78,Database!$B$1:$IX$10144,6,FALSE))))</f>
        <v>http://www.cma.ca/multimedia/staticContent/HTML/N0/l2/jpn/vol-33/issue-5/pdf/pg423.pdf</v>
      </c>
      <c r="H78" s="22">
        <f>IF($B78="","",IF(LEN(VLOOKUP($B78,Database!$B$1:$IX$10144,7,FALSE))=0,"",VLOOKUP($B78,Database!$B$1:$IX$10144,7,FALSE)))</f>
        <v>30</v>
      </c>
      <c r="I78" s="22">
        <f>IF($B78="","",IF(LEN(VLOOKUP($B78,Database!$B$1:$IX$10144,8,FALSE))=0,"",VLOOKUP($B78,Database!$B$1:$IX$10144,8,FALSE)))</f>
        <v>30</v>
      </c>
      <c r="J78" t="s">
        <v>652</v>
      </c>
      <c r="L78">
        <v>3.71</v>
      </c>
      <c r="M78">
        <v>0.34</v>
      </c>
      <c r="N78">
        <v>3.72</v>
      </c>
      <c r="O78">
        <v>0.37</v>
      </c>
      <c r="P78">
        <v>3.85</v>
      </c>
      <c r="Q78">
        <v>0.34</v>
      </c>
      <c r="R78">
        <v>3.82</v>
      </c>
      <c r="S78">
        <v>0.47</v>
      </c>
      <c r="Y78" s="22" t="str">
        <f>IF(OR($B78="",Y$22=""),"",IF(LEN(VLOOKUP($B78,Database!$B$1:$IX$10144,Y$22,FALSE))=0,"",VLOOKUP($B78,Database!$B$1:$IX$10144,Y$22,FALSE)))</f>
        <v>DSM-IV</v>
      </c>
      <c r="Z78" s="22" t="str">
        <f>IF(OR($B78="",Z$22=""),"",IF(LEN(VLOOKUP($B78,Database!$B$1:$IX$10144,Z$22,FALSE))=0,"",VLOOKUP($B78,Database!$B$1:$IX$10144,Z$22,FALSE)))</f>
        <v>MRI</v>
      </c>
      <c r="AA78" s="22" t="str">
        <f>IF(OR($B78="",AA$22=""),"",IF(LEN(VLOOKUP($B78,Database!$B$1:$IX$10144,AA$22,FALSE))=0,"",VLOOKUP($B78,Database!$B$1:$IX$10144,AA$22,FALSE)))</f>
        <v/>
      </c>
      <c r="AB78" s="22">
        <f>IF(OR($B78="",AB$22=""),"",IF(LEN(VLOOKUP($B78,Database!$B$1:$IX$10144,AB$22,FALSE))=0,"",VLOOKUP($B78,Database!$B$1:$IX$10144,AB$22,FALSE)))</f>
        <v>45</v>
      </c>
      <c r="AC78" s="22">
        <f>IF(OR($B78="",AC$22=""),"",IF(LEN(VLOOKUP($B78,Database!$B$1:$IX$10144,AC$22,FALSE))=0,"",VLOOKUP($B78,Database!$B$1:$IX$10144,AC$22,FALSE)))</f>
        <v>11.1</v>
      </c>
      <c r="AD78" s="22">
        <f>IF(OR($B78="",AD$22=""),"",IF(LEN(VLOOKUP($B78,Database!$B$1:$IX$10144,AD$22,FALSE))=0,"",VLOOKUP($B78,Database!$B$1:$IX$10144,AD$22,FALSE)))</f>
        <v>43.6</v>
      </c>
      <c r="AE78" s="22">
        <f>IF(OR($B78="",AE$22=""),"",IF(LEN(VLOOKUP($B78,Database!$B$1:$IX$10144,AE$22,FALSE))=0,"",VLOOKUP($B78,Database!$B$1:$IX$10144,AE$22,FALSE)))</f>
        <v>13.1</v>
      </c>
      <c r="AF78" s="22">
        <f>IF(OR($B78="",AF$22=""),"",IF(LEN(VLOOKUP($B78,Database!$B$1:$IX$10144,AF$22,FALSE))=0,"",VLOOKUP($B78,Database!$B$1:$IX$10144,AF$22,FALSE)))</f>
        <v>19</v>
      </c>
      <c r="AG78" s="22">
        <f>IF(OR($B78="",AG$22=""),"",IF(LEN(VLOOKUP($B78,Database!$B$1:$IX$10144,AG$22,FALSE))=0,"",VLOOKUP($B78,Database!$B$1:$IX$10144,AG$22,FALSE)))</f>
        <v>19</v>
      </c>
      <c r="AH78" s="22"/>
      <c r="AI78" s="22"/>
      <c r="AJ78" s="22" t="str">
        <f>IF(OR($B78="",AJ$22=""),"",IF(LEN(VLOOKUP($B78,Database!$B$1:$IX$10144,AJ$22,FALSE))=0,"",VLOOKUP($B78,Database!$B$1:$IX$10144,AJ$22,FALSE)))</f>
        <v/>
      </c>
      <c r="AK78" s="22">
        <f>IF(OR($B78="",AK$22=""),"",IF(LEN(VLOOKUP($B78,Database!$B$1:$IX$10144,AK$22,FALSE))=0,"",VLOOKUP($B78,Database!$B$1:$IX$10144,AK$22,FALSE)))</f>
        <v>39.299999999999997</v>
      </c>
      <c r="AL78" s="22">
        <f>IF(OR($B78="",AL$22=""),"",IF(LEN(VLOOKUP($B78,Database!$B$1:$IX$10144,AL$22,FALSE))=0,"",VLOOKUP($B78,Database!$B$1:$IX$10144,AL$22,FALSE)))</f>
        <v>24</v>
      </c>
      <c r="AM78" s="22">
        <f>IF(OR($B78="",AM$22=""),"",IF(LEN(VLOOKUP($B78,Database!$B$1:$IX$10144,AM$22,FALSE))=0,"",VLOOKUP($B78,Database!$B$1:$IX$10144,AM$22,FALSE)))</f>
        <v>96.666666666666671</v>
      </c>
      <c r="AN78" s="22" t="str">
        <f>IF(OR($B78="",AN$22=""),"",IF(LEN(VLOOKUP($B78,Database!$B$1:$IX$10144,AN$22,FALSE))=0,"",VLOOKUP($B78,Database!$B$1:$IX$10144,AN$22,FALSE)))</f>
        <v>ns</v>
      </c>
      <c r="AO78" s="22" t="str">
        <f>IF(OR($B78="",AO$22=""),"",IF(LEN(VLOOKUP($B78,Database!$B$1:$IX$10144,AO$22,FALSE))=0,"",VLOOKUP($B78,Database!$B$1:$IX$10144,AO$22,FALSE)))</f>
        <v>ns</v>
      </c>
      <c r="AP78" s="22" t="str">
        <f>IF(OR($B78="",AP$22=""),"",IF(LEN(VLOOKUP($B78,Database!$B$1:$IX$10144,AP$22,FALSE))=0,"",VLOOKUP($B78,Database!$B$1:$IX$10144,AP$22,FALSE)))</f>
        <v>ns</v>
      </c>
      <c r="AQ78" s="22" t="str">
        <f>IF(OR($B78="",AQ$22=""),"",IF(LEN(VLOOKUP($B78,Database!$B$1:$IX$10144,AQ$22,FALSE))=0,"",VLOOKUP($B78,Database!$B$1:$IX$10144,AQ$22,FALSE)))</f>
        <v>Frodl T, Jäger M, Smajstrlova I, Born C, Bottlender R, Palladino T, Reiser M, Möller HJ, Meisenzahl EM.</v>
      </c>
    </row>
    <row r="79" spans="1:43">
      <c r="A79" s="10" t="s">
        <v>1188</v>
      </c>
      <c r="B79">
        <v>18508244</v>
      </c>
      <c r="C79" s="1" t="str">
        <f>IF($B79="","",HYPERLINK(IF(LEN(VLOOKUP($B79,Database!$B$1:$IX$10144,2,FALSE))=0,"",VLOOKUP($B79,Database!$B$1:$IX$10144,2,FALSE))))</f>
        <v/>
      </c>
      <c r="D79" s="1" t="str">
        <f t="shared" si="3"/>
        <v>http://www.ncbi.nlm.nih.gov/pubmed/18508244</v>
      </c>
      <c r="E79" s="22" t="str">
        <f>IF($B79="","",IF(LEN(VLOOKUP($B79,Database!$B$1:$IX$10144,4,FALSE))=0,"",VLOOKUP($B79,Database!$B$1:$IX$10144,4,FALSE)))</f>
        <v>Greenberg DL</v>
      </c>
      <c r="F79" s="22">
        <f>IF($B79="","",IF(LEN(VLOOKUP($B79,Database!$B$1:$IX$10144,5,FALSE))=0,"",VLOOKUP($B79,Database!$B$1:$IX$10144,5,FALSE)))</f>
        <v>2008</v>
      </c>
      <c r="G79" s="1" t="str">
        <f>IF($B79="","",HYPERLINK(IF(LEN(VLOOKUP($B79,Database!$B$1:$IX$10144,6,FALSE))=0,"",VLOOKUP($B79,Database!$B$1:$IX$10144,6,FALSE))))</f>
        <v>http://dx.doi.org/10.1016/j.pscychresns.2007.12.009</v>
      </c>
      <c r="H79" s="83">
        <v>56</v>
      </c>
      <c r="I79" s="83">
        <v>41.5</v>
      </c>
      <c r="J79" t="s">
        <v>609</v>
      </c>
      <c r="K79" t="s">
        <v>607</v>
      </c>
      <c r="L79">
        <v>2.91</v>
      </c>
      <c r="M79">
        <v>0.45</v>
      </c>
      <c r="N79">
        <v>2.95</v>
      </c>
      <c r="O79">
        <v>0.45</v>
      </c>
      <c r="P79">
        <v>3.13</v>
      </c>
      <c r="Q79">
        <v>0.36</v>
      </c>
      <c r="R79">
        <v>3.13</v>
      </c>
      <c r="S79">
        <v>0.44</v>
      </c>
      <c r="Y79" s="22" t="str">
        <f>IF(OR($B79="",Y$22=""),"",IF(LEN(VLOOKUP($B79,Database!$B$1:$IX$10144,Y$22,FALSE))=0,"",VLOOKUP($B79,Database!$B$1:$IX$10144,Y$22,FALSE)))</f>
        <v>DSM-IV</v>
      </c>
      <c r="Z79" s="22" t="str">
        <f>IF(OR($B79="",Z$22=""),"",IF(LEN(VLOOKUP($B79,Database!$B$1:$IX$10144,Z$22,FALSE))=0,"",VLOOKUP($B79,Database!$B$1:$IX$10144,Z$22,FALSE)))</f>
        <v>MRI</v>
      </c>
      <c r="AA79" s="83" t="s">
        <v>751</v>
      </c>
      <c r="AB79" s="83">
        <v>71</v>
      </c>
      <c r="AC79" s="83">
        <v>7</v>
      </c>
      <c r="AD79" s="22">
        <f>IF(OR($B79="",AD$22=""),"",IF(LEN(VLOOKUP($B79,Database!$B$1:$IX$10144,AD$22,FALSE))=0,"",VLOOKUP($B79,Database!$B$1:$IX$10144,AD$22,FALSE)))</f>
        <v>69</v>
      </c>
      <c r="AE79" s="22">
        <f>IF(OR($B79="",AE$22=""),"",IF(LEN(VLOOKUP($B79,Database!$B$1:$IX$10144,AE$22,FALSE))=0,"",VLOOKUP($B79,Database!$B$1:$IX$10144,AE$22,FALSE)))</f>
        <v>7</v>
      </c>
      <c r="AF79" s="83">
        <v>37</v>
      </c>
      <c r="AG79" s="83">
        <v>31.5</v>
      </c>
      <c r="AH79" s="22"/>
      <c r="AI79" s="22"/>
      <c r="AJ79" s="22" t="str">
        <f>IF(OR($B79="",AJ$22=""),"",IF(LEN(VLOOKUP($B79,Database!$B$1:$IX$10144,AJ$22,FALSE))=0,"",VLOOKUP($B79,Database!$B$1:$IX$10144,AJ$22,FALSE)))</f>
        <v/>
      </c>
      <c r="AK79" s="83">
        <v>49</v>
      </c>
      <c r="AL79" s="83">
        <v>21</v>
      </c>
      <c r="AM79" s="22" t="str">
        <f>IF(OR($B79="",AM$22=""),"",IF(LEN(VLOOKUP($B79,Database!$B$1:$IX$10144,AM$22,FALSE))=0,"",VLOOKUP($B79,Database!$B$1:$IX$10144,AM$22,FALSE)))</f>
        <v>ns</v>
      </c>
      <c r="AN79" s="22" t="str">
        <f>IF(OR($B79="",AN$22=""),"",IF(LEN(VLOOKUP($B79,Database!$B$1:$IX$10144,AN$22,FALSE))=0,"",VLOOKUP($B79,Database!$B$1:$IX$10144,AN$22,FALSE)))</f>
        <v>ns</v>
      </c>
      <c r="AO79" s="22" t="str">
        <f>IF(OR($B79="",AO$22=""),"",IF(LEN(VLOOKUP($B79,Database!$B$1:$IX$10144,AO$22,FALSE))=0,"",VLOOKUP($B79,Database!$B$1:$IX$10144,AO$22,FALSE)))</f>
        <v>ns</v>
      </c>
      <c r="AP79" s="22" t="str">
        <f>IF(OR($B79="",AP$22=""),"",IF(LEN(VLOOKUP($B79,Database!$B$1:$IX$10144,AP$22,FALSE))=0,"",VLOOKUP($B79,Database!$B$1:$IX$10144,AP$22,FALSE)))</f>
        <v>ns</v>
      </c>
      <c r="AQ79" s="22" t="str">
        <f>IF(OR($B79="",AQ$22=""),"",IF(LEN(VLOOKUP($B79,Database!$B$1:$IX$10144,AQ$22,FALSE))=0,"",VLOOKUP($B79,Database!$B$1:$IX$10144,AQ$22,FALSE)))</f>
        <v>Greenberg DL, Payne ME, MacFall JR, Steffens DC, Krishnan RR.</v>
      </c>
    </row>
    <row r="80" spans="1:43">
      <c r="A80" s="10" t="s">
        <v>1188</v>
      </c>
      <c r="B80">
        <v>18508244</v>
      </c>
      <c r="C80" s="1" t="str">
        <f>IF($B80="","",HYPERLINK(IF(LEN(VLOOKUP($B80,Database!$B$1:$IX$10144,2,FALSE))=0,"",VLOOKUP($B80,Database!$B$1:$IX$10144,2,FALSE))))</f>
        <v/>
      </c>
      <c r="D80" s="1" t="str">
        <f t="shared" si="3"/>
        <v>http://www.ncbi.nlm.nih.gov/pubmed/18508244</v>
      </c>
      <c r="E80" s="22" t="str">
        <f>IF($B80="","",IF(LEN(VLOOKUP($B80,Database!$B$1:$IX$10144,4,FALSE))=0,"",VLOOKUP($B80,Database!$B$1:$IX$10144,4,FALSE)))</f>
        <v>Greenberg DL</v>
      </c>
      <c r="F80" s="22">
        <f>IF($B80="","",IF(LEN(VLOOKUP($B80,Database!$B$1:$IX$10144,5,FALSE))=0,"",VLOOKUP($B80,Database!$B$1:$IX$10144,5,FALSE)))</f>
        <v>2008</v>
      </c>
      <c r="G80" s="1" t="str">
        <f>IF($B80="","",HYPERLINK(IF(LEN(VLOOKUP($B80,Database!$B$1:$IX$10144,6,FALSE))=0,"",VLOOKUP($B80,Database!$B$1:$IX$10144,6,FALSE))))</f>
        <v>http://dx.doi.org/10.1016/j.pscychresns.2007.12.009</v>
      </c>
      <c r="H80" s="83">
        <v>68</v>
      </c>
      <c r="I80" s="83">
        <v>41.5</v>
      </c>
      <c r="J80" t="s">
        <v>609</v>
      </c>
      <c r="K80" t="s">
        <v>608</v>
      </c>
      <c r="L80">
        <v>2.99</v>
      </c>
      <c r="M80">
        <v>0.48</v>
      </c>
      <c r="N80">
        <v>2.95</v>
      </c>
      <c r="O80">
        <v>0.45</v>
      </c>
      <c r="P80">
        <v>3.07</v>
      </c>
      <c r="Q80">
        <v>0.46</v>
      </c>
      <c r="R80">
        <v>3.13</v>
      </c>
      <c r="S80">
        <v>0.44</v>
      </c>
      <c r="Y80" s="22" t="str">
        <f>IF(OR($B80="",Y$22=""),"",IF(LEN(VLOOKUP($B80,Database!$B$1:$IX$10144,Y$22,FALSE))=0,"",VLOOKUP($B80,Database!$B$1:$IX$10144,Y$22,FALSE)))</f>
        <v>DSM-IV</v>
      </c>
      <c r="Z80" s="22" t="str">
        <f>IF(OR($B80="",Z$22=""),"",IF(LEN(VLOOKUP($B80,Database!$B$1:$IX$10144,Z$22,FALSE))=0,"",VLOOKUP($B80,Database!$B$1:$IX$10144,Z$22,FALSE)))</f>
        <v>MRI</v>
      </c>
      <c r="AA80" s="83" t="s">
        <v>752</v>
      </c>
      <c r="AB80" s="83">
        <v>70</v>
      </c>
      <c r="AC80" s="83">
        <v>8</v>
      </c>
      <c r="AD80" s="22">
        <f>IF(OR($B80="",AD$22=""),"",IF(LEN(VLOOKUP($B80,Database!$B$1:$IX$10144,AD$22,FALSE))=0,"",VLOOKUP($B80,Database!$B$1:$IX$10144,AD$22,FALSE)))</f>
        <v>69</v>
      </c>
      <c r="AE80" s="22">
        <f>IF(OR($B80="",AE$22=""),"",IF(LEN(VLOOKUP($B80,Database!$B$1:$IX$10144,AE$22,FALSE))=0,"",VLOOKUP($B80,Database!$B$1:$IX$10144,AE$22,FALSE)))</f>
        <v>7</v>
      </c>
      <c r="AF80" s="83">
        <v>48</v>
      </c>
      <c r="AG80" s="83">
        <v>31.5</v>
      </c>
      <c r="AH80" s="22"/>
      <c r="AI80" s="22"/>
      <c r="AJ80" s="22" t="str">
        <f>IF(OR($B80="",AJ$22=""),"",IF(LEN(VLOOKUP($B80,Database!$B$1:$IX$10144,AJ$22,FALSE))=0,"",VLOOKUP($B80,Database!$B$1:$IX$10144,AJ$22,FALSE)))</f>
        <v/>
      </c>
      <c r="AK80" s="83">
        <v>40</v>
      </c>
      <c r="AL80" s="83">
        <v>21</v>
      </c>
      <c r="AM80" s="22" t="str">
        <f>IF(OR($B80="",AM$22=""),"",IF(LEN(VLOOKUP($B80,Database!$B$1:$IX$10144,AM$22,FALSE))=0,"",VLOOKUP($B80,Database!$B$1:$IX$10144,AM$22,FALSE)))</f>
        <v>ns</v>
      </c>
      <c r="AN80" s="22" t="str">
        <f>IF(OR($B80="",AN$22=""),"",IF(LEN(VLOOKUP($B80,Database!$B$1:$IX$10144,AN$22,FALSE))=0,"",VLOOKUP($B80,Database!$B$1:$IX$10144,AN$22,FALSE)))</f>
        <v>ns</v>
      </c>
      <c r="AO80" s="22" t="str">
        <f>IF(OR($B80="",AO$22=""),"",IF(LEN(VLOOKUP($B80,Database!$B$1:$IX$10144,AO$22,FALSE))=0,"",VLOOKUP($B80,Database!$B$1:$IX$10144,AO$22,FALSE)))</f>
        <v>ns</v>
      </c>
      <c r="AP80" s="22" t="str">
        <f>IF(OR($B80="",AP$22=""),"",IF(LEN(VLOOKUP($B80,Database!$B$1:$IX$10144,AP$22,FALSE))=0,"",VLOOKUP($B80,Database!$B$1:$IX$10144,AP$22,FALSE)))</f>
        <v>ns</v>
      </c>
      <c r="AQ80" s="22" t="str">
        <f>IF(OR($B80="",AQ$22=""),"",IF(LEN(VLOOKUP($B80,Database!$B$1:$IX$10144,AQ$22,FALSE))=0,"",VLOOKUP($B80,Database!$B$1:$IX$10144,AQ$22,FALSE)))</f>
        <v>Greenberg DL, Payne ME, MacFall JR, Steffens DC, Krishnan RR.</v>
      </c>
    </row>
    <row r="81" spans="1:52">
      <c r="A81" s="10" t="s">
        <v>1912</v>
      </c>
      <c r="B81">
        <v>18515903</v>
      </c>
      <c r="C81" s="1" t="str">
        <f>IF($B81="","",HYPERLINK(IF(LEN(VLOOKUP($B81,Database!$B$1:$IX$10144,2,FALSE))=0,"",VLOOKUP($B81,Database!$B$1:$IX$10144,2,FALSE))))</f>
        <v/>
      </c>
      <c r="D81" s="1" t="str">
        <f t="shared" si="3"/>
        <v>http://www.ncbi.nlm.nih.gov/pubmed/18515903</v>
      </c>
      <c r="E81" s="22" t="str">
        <f>IF($B81="","",IF(LEN(VLOOKUP($B81,Database!$B$1:$IX$10144,4,FALSE))=0,"",VLOOKUP($B81,Database!$B$1:$IX$10144,4,FALSE)))</f>
        <v>Kronmüller KT</v>
      </c>
      <c r="F81" s="22">
        <f>IF($B81="","",IF(LEN(VLOOKUP($B81,Database!$B$1:$IX$10144,5,FALSE))=0,"",VLOOKUP($B81,Database!$B$1:$IX$10144,5,FALSE)))</f>
        <v>2008</v>
      </c>
      <c r="G81" s="1" t="str">
        <f>IF($B81="","",HYPERLINK(IF(LEN(VLOOKUP($B81,Database!$B$1:$IX$10144,6,FALSE))=0,"",VLOOKUP($B81,Database!$B$1:$IX$10144,6,FALSE))))</f>
        <v>http://bjp.rcpsych.org/cgi/content/full/192/6/472</v>
      </c>
      <c r="H81" s="22">
        <f>IF($B81="","",IF(LEN(VLOOKUP($B81,Database!$B$1:$IX$10144,7,FALSE))=0,"",VLOOKUP($B81,Database!$B$1:$IX$10144,7,FALSE)))</f>
        <v>49</v>
      </c>
      <c r="I81" s="22">
        <f>IF($B81="","",IF(LEN(VLOOKUP($B81,Database!$B$1:$IX$10144,8,FALSE))=0,"",VLOOKUP($B81,Database!$B$1:$IX$10144,8,FALSE)))</f>
        <v>30</v>
      </c>
      <c r="Y81" s="22" t="str">
        <f>IF(OR($B81="",Y$22=""),"",IF(LEN(VLOOKUP($B81,Database!$B$1:$IX$10144,Y$22,FALSE))=0,"",VLOOKUP($B81,Database!$B$1:$IX$10144,Y$22,FALSE)))</f>
        <v>DSM-IV</v>
      </c>
      <c r="Z81" s="22" t="str">
        <f>IF(OR($B81="",Z$22=""),"",IF(LEN(VLOOKUP($B81,Database!$B$1:$IX$10144,Z$22,FALSE))=0,"",VLOOKUP($B81,Database!$B$1:$IX$10144,Z$22,FALSE)))</f>
        <v>MRI</v>
      </c>
      <c r="AA81" s="22" t="str">
        <f>IF(OR($B81="",AA$22=""),"",IF(LEN(VLOOKUP($B81,Database!$B$1:$IX$10144,AA$22,FALSE))=0,"",VLOOKUP($B81,Database!$B$1:$IX$10144,AA$22,FALSE)))</f>
        <v/>
      </c>
      <c r="AB81" s="22" t="str">
        <f>IF(OR($B81="",AB$22=""),"",IF(LEN(VLOOKUP($B81,Database!$B$1:$IX$10144,AB$22,FALSE))=0,"",VLOOKUP($B81,Database!$B$1:$IX$10144,AB$22,FALSE)))</f>
        <v/>
      </c>
      <c r="AC81" s="22" t="str">
        <f>IF(OR($B81="",AC$22=""),"",IF(LEN(VLOOKUP($B81,Database!$B$1:$IX$10144,AC$22,FALSE))=0,"",VLOOKUP($B81,Database!$B$1:$IX$10144,AC$22,FALSE)))</f>
        <v/>
      </c>
      <c r="AD81" s="22" t="str">
        <f>IF(OR($B81="",AD$22=""),"",IF(LEN(VLOOKUP($B81,Database!$B$1:$IX$10144,AD$22,FALSE))=0,"",VLOOKUP($B81,Database!$B$1:$IX$10144,AD$22,FALSE)))</f>
        <v/>
      </c>
      <c r="AE81" s="22" t="str">
        <f>IF(OR($B81="",AE$22=""),"",IF(LEN(VLOOKUP($B81,Database!$B$1:$IX$10144,AE$22,FALSE))=0,"",VLOOKUP($B81,Database!$B$1:$IX$10144,AE$22,FALSE)))</f>
        <v/>
      </c>
      <c r="AF81" s="22" t="str">
        <f>IF(OR($B81="",AF$22=""),"",IF(LEN(VLOOKUP($B81,Database!$B$1:$IX$10144,AF$22,FALSE))=0,"",VLOOKUP($B81,Database!$B$1:$IX$10144,AF$22,FALSE)))</f>
        <v/>
      </c>
      <c r="AG81" s="22" t="str">
        <f>IF(OR($B81="",AG$22=""),"",IF(LEN(VLOOKUP($B81,Database!$B$1:$IX$10144,AG$22,FALSE))=0,"",VLOOKUP($B81,Database!$B$1:$IX$10144,AG$22,FALSE)))</f>
        <v/>
      </c>
      <c r="AH81" s="22">
        <f>IF(OR($B81="",AH$22=""),"",IF(LEN(VLOOKUP($B81,Database!$B$1:$IX$10144,AH$22,FALSE))=0,"",VLOOKUP($B81,Database!$B$1:$IX$10144,AH$22,FALSE)))</f>
        <v>1.5</v>
      </c>
      <c r="AI81" s="22" t="str">
        <f>IF(OR($B81="",AI$22=""),"",IF(LEN(VLOOKUP($B81,Database!$B$1:$IX$10144,AI$22,FALSE))=0,"",VLOOKUP($B81,Database!$B$1:$IX$10144,AI$22,FALSE)))</f>
        <v>ns</v>
      </c>
      <c r="AJ81" s="22" t="str">
        <f>IF(OR($B81="",AJ$22=""),"",IF(LEN(VLOOKUP($B81,Database!$B$1:$IX$10144,AJ$22,FALSE))=0,"",VLOOKUP($B81,Database!$B$1:$IX$10144,AJ$22,FALSE)))</f>
        <v/>
      </c>
      <c r="AK81" s="22" t="str">
        <f>IF(OR($B81="",AK$22=""),"",IF(LEN(VLOOKUP($B81,Database!$B$1:$IX$10144,AK$22,FALSE))=0,"",VLOOKUP($B81,Database!$B$1:$IX$10144,AK$22,FALSE)))</f>
        <v>ns</v>
      </c>
      <c r="AL81" s="22">
        <f>IF(OR($B81="",AL$22=""),"",IF(LEN(VLOOKUP($B81,Database!$B$1:$IX$10144,AL$22,FALSE))=0,"",VLOOKUP($B81,Database!$B$1:$IX$10144,AL$22,FALSE)))</f>
        <v>22.74</v>
      </c>
      <c r="AM81" s="22" t="str">
        <f>IF(OR($B81="",AM$22=""),"",IF(LEN(VLOOKUP($B81,Database!$B$1:$IX$10144,AM$22,FALSE))=0,"",VLOOKUP($B81,Database!$B$1:$IX$10144,AM$22,FALSE)))</f>
        <v>ns</v>
      </c>
      <c r="AN81" s="22" t="str">
        <f>IF(OR($B81="",AN$22=""),"",IF(LEN(VLOOKUP($B81,Database!$B$1:$IX$10144,AN$22,FALSE))=0,"",VLOOKUP($B81,Database!$B$1:$IX$10144,AN$22,FALSE)))</f>
        <v>ns</v>
      </c>
      <c r="AO81" s="22" t="str">
        <f>IF(OR($B81="",AO$22=""),"",IF(LEN(VLOOKUP($B81,Database!$B$1:$IX$10144,AO$22,FALSE))=0,"",VLOOKUP($B81,Database!$B$1:$IX$10144,AO$22,FALSE)))</f>
        <v>ns</v>
      </c>
      <c r="AP81" s="22" t="str">
        <f>IF(OR($B81="",AP$22=""),"",IF(LEN(VLOOKUP($B81,Database!$B$1:$IX$10144,AP$22,FALSE))=0,"",VLOOKUP($B81,Database!$B$1:$IX$10144,AP$22,FALSE)))</f>
        <v>ns</v>
      </c>
      <c r="AQ81" s="22" t="str">
        <f>IF(OR($B81="",AQ$22=""),"",IF(LEN(VLOOKUP($B81,Database!$B$1:$IX$10144,AQ$22,FALSE))=0,"",VLOOKUP($B81,Database!$B$1:$IX$10144,AQ$22,FALSE)))</f>
        <v>Kronmüller KT, Pantel J, Köhler S, Victor D, Giesel F, Magnotta VA, Mundt C, Essig M, Schröder J.</v>
      </c>
    </row>
    <row r="82" spans="1:52">
      <c r="A82" s="10" t="s">
        <v>2210</v>
      </c>
      <c r="B82">
        <v>18068956</v>
      </c>
      <c r="C82" s="1" t="str">
        <f>IF($B82="","",HYPERLINK(IF(LEN(VLOOKUP($B82,Database!$B$1:$IX$10144,2,FALSE))=0,"",VLOOKUP($B82,Database!$B$1:$IX$10144,2,FALSE))))</f>
        <v/>
      </c>
      <c r="D82" s="1" t="str">
        <f t="shared" si="3"/>
        <v>http://www.ncbi.nlm.nih.gov/pubmed/18068956</v>
      </c>
      <c r="E82" s="22" t="str">
        <f>IF($B82="","",IF(LEN(VLOOKUP($B82,Database!$B$1:$IX$10144,4,FALSE))=0,"",VLOOKUP($B82,Database!$B$1:$IX$10144,4,FALSE)))</f>
        <v>Lenze SN</v>
      </c>
      <c r="F82" s="22">
        <f>IF($B82="","",IF(LEN(VLOOKUP($B82,Database!$B$1:$IX$10144,5,FALSE))=0,"",VLOOKUP($B82,Database!$B$1:$IX$10144,5,FALSE)))</f>
        <v>2008</v>
      </c>
      <c r="G82" s="1" t="str">
        <f>IF($B82="","",HYPERLINK(IF(LEN(VLOOKUP($B82,Database!$B$1:$IX$10144,6,FALSE))=0,"",VLOOKUP($B82,Database!$B$1:$IX$10144,6,FALSE))))</f>
        <v>http://dx.doi.org/10.1016/j.pscychresns.2007.04.004</v>
      </c>
      <c r="H82" s="22">
        <f>IF($B82="","",IF(LEN(VLOOKUP($B82,Database!$B$1:$IX$10144,7,FALSE))=0,"",VLOOKUP($B82,Database!$B$1:$IX$10144,7,FALSE)))</f>
        <v>31</v>
      </c>
      <c r="I82" s="22">
        <f>IF($B82="","",IF(LEN(VLOOKUP($B82,Database!$B$1:$IX$10144,8,FALSE))=0,"",VLOOKUP($B82,Database!$B$1:$IX$10144,8,FALSE)))</f>
        <v>24</v>
      </c>
      <c r="J82" t="s">
        <v>1002</v>
      </c>
      <c r="Y82" s="22" t="str">
        <f>IF(OR($B82="",Y$22=""),"",IF(LEN(VLOOKUP($B82,Database!$B$1:$IX$10144,Y$22,FALSE))=0,"",VLOOKUP($B82,Database!$B$1:$IX$10144,Y$22,FALSE)))</f>
        <v>DSM-IV</v>
      </c>
      <c r="Z82" s="22" t="str">
        <f>IF(OR($B82="",Z$22=""),"",IF(LEN(VLOOKUP($B82,Database!$B$1:$IX$10144,Z$22,FALSE))=0,"",VLOOKUP($B82,Database!$B$1:$IX$10144,Z$22,FALSE)))</f>
        <v>MRI</v>
      </c>
      <c r="AA82" s="22" t="str">
        <f>IF(OR($B82="",AA$22=""),"",IF(LEN(VLOOKUP($B82,Database!$B$1:$IX$10144,AA$22,FALSE))=0,"",VLOOKUP($B82,Database!$B$1:$IX$10144,AA$22,FALSE)))</f>
        <v/>
      </c>
      <c r="AB82" s="22">
        <f>IF(OR($B82="",AB$22=""),"",IF(LEN(VLOOKUP($B82,Database!$B$1:$IX$10144,AB$22,FALSE))=0,"",VLOOKUP($B82,Database!$B$1:$IX$10144,AB$22,FALSE)))</f>
        <v>50</v>
      </c>
      <c r="AC82" s="22">
        <f>IF(OR($B82="",AC$22=""),"",IF(LEN(VLOOKUP($B82,Database!$B$1:$IX$10144,AC$22,FALSE))=0,"",VLOOKUP($B82,Database!$B$1:$IX$10144,AC$22,FALSE)))</f>
        <v>15</v>
      </c>
      <c r="AD82" s="22">
        <f>IF(OR($B82="",AD$22=""),"",IF(LEN(VLOOKUP($B82,Database!$B$1:$IX$10144,AD$22,FALSE))=0,"",VLOOKUP($B82,Database!$B$1:$IX$10144,AD$22,FALSE)))</f>
        <v>46</v>
      </c>
      <c r="AE82" s="22">
        <f>IF(OR($B82="",AE$22=""),"",IF(LEN(VLOOKUP($B82,Database!$B$1:$IX$10144,AE$22,FALSE))=0,"",VLOOKUP($B82,Database!$B$1:$IX$10144,AE$22,FALSE)))</f>
        <v>14</v>
      </c>
      <c r="AF82" s="22">
        <f>IF(OR($B82="",AF$22=""),"",IF(LEN(VLOOKUP($B82,Database!$B$1:$IX$10144,AF$22,FALSE))=0,"",VLOOKUP($B82,Database!$B$1:$IX$10144,AF$22,FALSE)))</f>
        <v>31</v>
      </c>
      <c r="AG82" s="22">
        <f>IF(OR($B82="",AG$22=""),"",IF(LEN(VLOOKUP($B82,Database!$B$1:$IX$10144,AG$22,FALSE))=0,"",VLOOKUP($B82,Database!$B$1:$IX$10144,AG$22,FALSE)))</f>
        <v>24</v>
      </c>
      <c r="AH82" s="22">
        <f>IF(OR($B82="",AH$22=""),"",IF(LEN(VLOOKUP($B82,Database!$B$1:$IX$10144,AH$22,FALSE))=0,"",VLOOKUP($B82,Database!$B$1:$IX$10144,AH$22,FALSE)))</f>
        <v>1.5</v>
      </c>
      <c r="AI82" s="22">
        <f>IF(OR($B82="",AI$22=""),"",IF(LEN(VLOOKUP($B82,Database!$B$1:$IX$10144,AI$22,FALSE))=0,"",VLOOKUP($B82,Database!$B$1:$IX$10144,AI$22,FALSE)))</f>
        <v>1.25</v>
      </c>
      <c r="AJ82" s="22" t="str">
        <f>IF(OR($B82="",AJ$22=""),"",IF(LEN(VLOOKUP($B82,Database!$B$1:$IX$10144,AJ$22,FALSE))=0,"",VLOOKUP($B82,Database!$B$1:$IX$10144,AJ$22,FALSE)))</f>
        <v/>
      </c>
      <c r="AK82" s="22">
        <f>IF(OR($B82="",AK$22=""),"",IF(LEN(VLOOKUP($B82,Database!$B$1:$IX$10144,AK$22,FALSE))=0,"",VLOOKUP($B82,Database!$B$1:$IX$10144,AK$22,FALSE)))</f>
        <v>29</v>
      </c>
      <c r="AL82" s="22">
        <f>IF(OR($B82="",AL$22=""),"",IF(LEN(VLOOKUP($B82,Database!$B$1:$IX$10144,AL$22,FALSE))=0,"",VLOOKUP($B82,Database!$B$1:$IX$10144,AL$22,FALSE)))</f>
        <v>7</v>
      </c>
      <c r="AM82" s="22">
        <f>IF(OR($B82="",AM$22=""),"",IF(LEN(VLOOKUP($B82,Database!$B$1:$IX$10144,AM$22,FALSE))=0,"",VLOOKUP($B82,Database!$B$1:$IX$10144,AM$22,FALSE)))</f>
        <v>77.41935483870968</v>
      </c>
      <c r="AN82" s="22" t="str">
        <f>IF(OR($B82="",AN$22=""),"",IF(LEN(VLOOKUP($B82,Database!$B$1:$IX$10144,AN$22,FALSE))=0,"",VLOOKUP($B82,Database!$B$1:$IX$10144,AN$22,FALSE)))</f>
        <v>ns</v>
      </c>
      <c r="AO82" s="22" t="str">
        <f>IF(OR($B82="",AO$22=""),"",IF(LEN(VLOOKUP($B82,Database!$B$1:$IX$10144,AO$22,FALSE))=0,"",VLOOKUP($B82,Database!$B$1:$IX$10144,AO$22,FALSE)))</f>
        <v>ns</v>
      </c>
      <c r="AP82" s="22" t="str">
        <f>IF(OR($B82="",AP$22=""),"",IF(LEN(VLOOKUP($B82,Database!$B$1:$IX$10144,AP$22,FALSE))=0,"",VLOOKUP($B82,Database!$B$1:$IX$10144,AP$22,FALSE)))</f>
        <v>ns</v>
      </c>
      <c r="AQ82" s="22" t="str">
        <f>IF(OR($B82="",AQ$22=""),"",IF(LEN(VLOOKUP($B82,Database!$B$1:$IX$10144,AQ$22,FALSE))=0,"",VLOOKUP($B82,Database!$B$1:$IX$10144,AQ$22,FALSE)))</f>
        <v>Lenze SN, Xiong C, Sheline YI.</v>
      </c>
    </row>
    <row r="83" spans="1:52">
      <c r="A83" s="10" t="s">
        <v>1188</v>
      </c>
      <c r="B83">
        <v>18350172</v>
      </c>
      <c r="C83" s="1" t="str">
        <f>IF($B83="","",HYPERLINK(IF(LEN(VLOOKUP($B83,Database!$B$1:$IX$10144,2,FALSE))=0,"",VLOOKUP($B83,Database!$B$1:$IX$10144,2,FALSE))))</f>
        <v/>
      </c>
      <c r="D83" s="1" t="str">
        <f t="shared" si="3"/>
        <v>http://www.ncbi.nlm.nih.gov/pubmed/18350172</v>
      </c>
      <c r="E83" s="22" t="str">
        <f>IF($B83="","",IF(LEN(VLOOKUP($B83,Database!$B$1:$IX$10144,4,FALSE))=0,"",VLOOKUP($B83,Database!$B$1:$IX$10144,4,FALSE)))</f>
        <v>Zhao Z</v>
      </c>
      <c r="F83" s="22">
        <f>IF($B83="","",IF(LEN(VLOOKUP($B83,Database!$B$1:$IX$10144,5,FALSE))=0,"",VLOOKUP($B83,Database!$B$1:$IX$10144,5,FALSE)))</f>
        <v>2008</v>
      </c>
      <c r="G83" s="1" t="str">
        <f>IF($B83="","",HYPERLINK(IF(LEN(VLOOKUP($B83,Database!$B$1:$IX$10144,6,FALSE))=0,"",VLOOKUP($B83,Database!$B$1:$IX$10144,6,FALSE))))</f>
        <v>http://www.plosone.org/article/info:doi/10.1371/journal.pone.0001837</v>
      </c>
      <c r="H83" s="22">
        <f>IF($B83="","",IF(LEN(VLOOKUP($B83,Database!$B$1:$IX$10144,7,FALSE))=0,"",VLOOKUP($B83,Database!$B$1:$IX$10144,7,FALSE)))</f>
        <v>61</v>
      </c>
      <c r="I83" s="22">
        <f>IF($B83="","",IF(LEN(VLOOKUP($B83,Database!$B$1:$IX$10144,8,FALSE))=0,"",VLOOKUP($B83,Database!$B$1:$IX$10144,8,FALSE)))</f>
        <v>43</v>
      </c>
      <c r="J83" t="s">
        <v>1614</v>
      </c>
      <c r="L83">
        <v>3.42</v>
      </c>
      <c r="M83">
        <v>0.54</v>
      </c>
      <c r="N83">
        <v>3.55</v>
      </c>
      <c r="O83">
        <v>0.48</v>
      </c>
      <c r="P83">
        <v>3.65</v>
      </c>
      <c r="Q83">
        <v>0.55000000000000004</v>
      </c>
      <c r="R83">
        <v>3.66</v>
      </c>
      <c r="S83">
        <v>0.56999999999999995</v>
      </c>
      <c r="Y83" s="22" t="str">
        <f>IF(OR($B83="",Y$22=""),"",IF(LEN(VLOOKUP($B83,Database!$B$1:$IX$10144,Y$22,FALSE))=0,"",VLOOKUP($B83,Database!$B$1:$IX$10144,Y$22,FALSE)))</f>
        <v>DSM-IV</v>
      </c>
      <c r="Z83" s="22" t="str">
        <f>IF(OR($B83="",Z$22=""),"",IF(LEN(VLOOKUP($B83,Database!$B$1:$IX$10144,Z$22,FALSE))=0,"",VLOOKUP($B83,Database!$B$1:$IX$10144,Z$22,FALSE)))</f>
        <v>MRI</v>
      </c>
      <c r="AA83" s="22" t="str">
        <f>IF(OR($B83="",AA$22=""),"",IF(LEN(VLOOKUP($B83,Database!$B$1:$IX$10144,AA$22,FALSE))=0,"",VLOOKUP($B83,Database!$B$1:$IX$10144,AA$22,FALSE)))</f>
        <v/>
      </c>
      <c r="AB83" s="22">
        <f>IF(OR($B83="",AB$22=""),"",IF(LEN(VLOOKUP($B83,Database!$B$1:$IX$10144,AB$22,FALSE))=0,"",VLOOKUP($B83,Database!$B$1:$IX$10144,AB$22,FALSE)))</f>
        <v>65.900000000000006</v>
      </c>
      <c r="AC83" s="22">
        <f>IF(OR($B83="",AC$22=""),"",IF(LEN(VLOOKUP($B83,Database!$B$1:$IX$10144,AC$22,FALSE))=0,"",VLOOKUP($B83,Database!$B$1:$IX$10144,AC$22,FALSE)))</f>
        <v>5.5</v>
      </c>
      <c r="AD83" s="22">
        <f>IF(OR($B83="",AD$22=""),"",IF(LEN(VLOOKUP($B83,Database!$B$1:$IX$10144,AD$22,FALSE))=0,"",VLOOKUP($B83,Database!$B$1:$IX$10144,AD$22,FALSE)))</f>
        <v>69</v>
      </c>
      <c r="AE83" s="22">
        <f>IF(OR($B83="",AE$22=""),"",IF(LEN(VLOOKUP($B83,Database!$B$1:$IX$10144,AE$22,FALSE))=0,"",VLOOKUP($B83,Database!$B$1:$IX$10144,AE$22,FALSE)))</f>
        <v>5.5</v>
      </c>
      <c r="AF83" s="22">
        <f>IF(OR($B83="",AF$22=""),"",IF(LEN(VLOOKUP($B83,Database!$B$1:$IX$10144,AF$22,FALSE))=0,"",VLOOKUP($B83,Database!$B$1:$IX$10144,AF$22,FALSE)))</f>
        <v>37</v>
      </c>
      <c r="AG83" s="22">
        <f>IF(OR($B83="",AG$22=""),"",IF(LEN(VLOOKUP($B83,Database!$B$1:$IX$10144,AG$22,FALSE))=0,"",VLOOKUP($B83,Database!$B$1:$IX$10144,AG$22,FALSE)))</f>
        <v>29</v>
      </c>
      <c r="AH83" s="22"/>
      <c r="AI83" s="22"/>
      <c r="AJ83" s="22" t="str">
        <f>IF(OR($B83="",AJ$22=""),"",IF(LEN(VLOOKUP($B83,Database!$B$1:$IX$10144,AJ$22,FALSE))=0,"",VLOOKUP($B83,Database!$B$1:$IX$10144,AJ$22,FALSE)))</f>
        <v/>
      </c>
      <c r="AK83" s="22">
        <f>IF(OR($B83="",AK$22=""),"",IF(LEN(VLOOKUP($B83,Database!$B$1:$IX$10144,AK$22,FALSE))=0,"",VLOOKUP($B83,Database!$B$1:$IX$10144,AK$22,FALSE)))</f>
        <v>39.299999999999997</v>
      </c>
      <c r="AL83" s="22" t="str">
        <f>IF(OR($B83="",AL$22=""),"",IF(LEN(VLOOKUP($B83,Database!$B$1:$IX$10144,AL$22,FALSE))=0,"",VLOOKUP($B83,Database!$B$1:$IX$10144,AL$22,FALSE)))</f>
        <v>ns</v>
      </c>
      <c r="AM83" s="22">
        <f>IF(OR($B83="",AM$22=""),"",IF(LEN(VLOOKUP($B83,Database!$B$1:$IX$10144,AM$22,FALSE))=0,"",VLOOKUP($B83,Database!$B$1:$IX$10144,AM$22,FALSE)))</f>
        <v>88.52459016393442</v>
      </c>
      <c r="AN83" s="22" t="str">
        <f>IF(OR($B83="",AN$22=""),"",IF(LEN(VLOOKUP($B83,Database!$B$1:$IX$10144,AN$22,FALSE))=0,"",VLOOKUP($B83,Database!$B$1:$IX$10144,AN$22,FALSE)))</f>
        <v>ns</v>
      </c>
      <c r="AO83" s="22" t="str">
        <f>IF(OR($B83="",AO$22=""),"",IF(LEN(VLOOKUP($B83,Database!$B$1:$IX$10144,AO$22,FALSE))=0,"",VLOOKUP($B83,Database!$B$1:$IX$10144,AO$22,FALSE)))</f>
        <v>ns</v>
      </c>
      <c r="AP83" s="22" t="str">
        <f>IF(OR($B83="",AP$22=""),"",IF(LEN(VLOOKUP($B83,Database!$B$1:$IX$10144,AP$22,FALSE))=0,"",VLOOKUP($B83,Database!$B$1:$IX$10144,AP$22,FALSE)))</f>
        <v>ns</v>
      </c>
      <c r="AQ83" s="22" t="str">
        <f>IF(OR($B83="",AQ$22=""),"",IF(LEN(VLOOKUP($B83,Database!$B$1:$IX$10144,AQ$22,FALSE))=0,"",VLOOKUP($B83,Database!$B$1:$IX$10144,AQ$22,FALSE)))</f>
        <v>Zhao Z, Taylor WD, Styner M, Steffens DC, Krishnan KR, MacFall JR.</v>
      </c>
    </row>
    <row r="84" spans="1:52">
      <c r="A84" s="10" t="s">
        <v>1188</v>
      </c>
      <c r="B84">
        <v>19010425</v>
      </c>
      <c r="C84" s="1" t="str">
        <f>IF($B84="","",HYPERLINK(IF(LEN(VLOOKUP($B84,Database!$B$1:$IX$10144,2,FALSE))=0,"",VLOOKUP($B84,Database!$B$1:$IX$10144,2,FALSE))))</f>
        <v/>
      </c>
      <c r="D84" s="1" t="str">
        <f t="shared" si="3"/>
        <v>http://www.ncbi.nlm.nih.gov/pubmed/19010425</v>
      </c>
      <c r="E84" s="22" t="str">
        <f>IF($B84="","",IF(LEN(VLOOKUP($B84,Database!$B$1:$IX$10144,4,FALSE))=0,"",VLOOKUP($B84,Database!$B$1:$IX$10144,4,FALSE)))</f>
        <v>Qiu A</v>
      </c>
      <c r="F84" s="22">
        <f>IF($B84="","",IF(LEN(VLOOKUP($B84,Database!$B$1:$IX$10144,5,FALSE))=0,"",VLOOKUP($B84,Database!$B$1:$IX$10144,5,FALSE)))</f>
        <v>2009</v>
      </c>
      <c r="G84" s="1" t="str">
        <f>IF($B84="","",HYPERLINK(IF(LEN(VLOOKUP($B84,Database!$B$1:$IX$10144,6,FALSE))=0,"",VLOOKUP($B84,Database!$B$1:$IX$10144,6,FALSE))))</f>
        <v>http://dx.doi.org/10.1016/j.neuroimage.2008.10.010</v>
      </c>
      <c r="H84" s="83">
        <v>38</v>
      </c>
      <c r="I84" s="22">
        <f>IF($B84="","",IF(LEN(VLOOKUP($B84,Database!$B$1:$IX$10144,8,FALSE))=0,"",VLOOKUP($B84,Database!$B$1:$IX$10144,8,FALSE)))</f>
        <v>31</v>
      </c>
      <c r="J84" t="s">
        <v>887</v>
      </c>
      <c r="K84" t="s">
        <v>644</v>
      </c>
      <c r="L84">
        <v>3381.6</v>
      </c>
      <c r="M84">
        <v>414.9</v>
      </c>
      <c r="N84">
        <v>3520.2</v>
      </c>
      <c r="O84">
        <v>481.1</v>
      </c>
      <c r="P84">
        <v>3620.4</v>
      </c>
      <c r="Q84">
        <v>451.1</v>
      </c>
      <c r="R84">
        <v>3607.9</v>
      </c>
      <c r="S84">
        <v>542</v>
      </c>
      <c r="Y84" s="22" t="str">
        <f>IF(OR($B84="",Y$22=""),"",IF(LEN(VLOOKUP($B84,Database!$B$1:$IX$10144,Y$22,FALSE))=0,"",VLOOKUP($B84,Database!$B$1:$IX$10144,Y$22,FALSE)))</f>
        <v>DSM-IV</v>
      </c>
      <c r="Z84" s="22" t="str">
        <f>IF(OR($B84="",Z$22=""),"",IF(LEN(VLOOKUP($B84,Database!$B$1:$IX$10144,Z$22,FALSE))=0,"",VLOOKUP($B84,Database!$B$1:$IX$10144,Z$22,FALSE)))</f>
        <v>MRI</v>
      </c>
      <c r="AA84" s="22" t="str">
        <f>IF(OR($B84="",AA$22=""),"",IF(LEN(VLOOKUP($B84,Database!$B$1:$IX$10144,AA$22,FALSE))=0,"",VLOOKUP($B84,Database!$B$1:$IX$10144,AA$22,FALSE)))</f>
        <v/>
      </c>
      <c r="AB84" s="22" t="str">
        <f>IF(OR($B84="",AB$22=""),"",IF(LEN(VLOOKUP($B84,Database!$B$1:$IX$10144,AB$22,FALSE))=0,"",VLOOKUP($B84,Database!$B$1:$IX$10144,AB$22,FALSE)))</f>
        <v/>
      </c>
      <c r="AC84" s="22" t="str">
        <f>IF(OR($B84="",AC$22=""),"",IF(LEN(VLOOKUP($B84,Database!$B$1:$IX$10144,AC$22,FALSE))=0,"",VLOOKUP($B84,Database!$B$1:$IX$10144,AC$22,FALSE)))</f>
        <v/>
      </c>
      <c r="AD84" s="22">
        <f>IF(OR($B84="",AD$22=""),"",IF(LEN(VLOOKUP($B84,Database!$B$1:$IX$10144,AD$22,FALSE))=0,"",VLOOKUP($B84,Database!$B$1:$IX$10144,AD$22,FALSE)))</f>
        <v>68.900000000000006</v>
      </c>
      <c r="AE84" s="22">
        <f>IF(OR($B84="",AE$22=""),"",IF(LEN(VLOOKUP($B84,Database!$B$1:$IX$10144,AE$22,FALSE))=0,"",VLOOKUP($B84,Database!$B$1:$IX$10144,AE$22,FALSE)))</f>
        <v>5.9</v>
      </c>
      <c r="AF84" s="22">
        <f>IF(OR($B84="",AF$22=""),"",IF(LEN(VLOOKUP($B84,Database!$B$1:$IX$10144,AF$22,FALSE))=0,"",VLOOKUP($B84,Database!$B$1:$IX$10144,AF$22,FALSE)))</f>
        <v>34</v>
      </c>
      <c r="AG84" s="22">
        <f>IF(OR($B84="",AG$22=""),"",IF(LEN(VLOOKUP($B84,Database!$B$1:$IX$10144,AG$22,FALSE))=0,"",VLOOKUP($B84,Database!$B$1:$IX$10144,AG$22,FALSE)))</f>
        <v>21</v>
      </c>
      <c r="AH84" s="22"/>
      <c r="AI84" s="22"/>
      <c r="AJ84" s="22" t="str">
        <f>IF(OR($B84="",AJ$22=""),"",IF(LEN(VLOOKUP($B84,Database!$B$1:$IX$10144,AJ$22,FALSE))=0,"",VLOOKUP($B84,Database!$B$1:$IX$10144,AJ$22,FALSE)))</f>
        <v/>
      </c>
      <c r="AK84" s="22" t="str">
        <f>IF(OR($B84="",AK$22=""),"",IF(LEN(VLOOKUP($B84,Database!$B$1:$IX$10144,AK$22,FALSE))=0,"",VLOOKUP($B84,Database!$B$1:$IX$10144,AK$22,FALSE)))</f>
        <v>ns</v>
      </c>
      <c r="AL84" s="22" t="str">
        <f>IF(OR($B84="",AL$22=""),"",IF(LEN(VLOOKUP($B84,Database!$B$1:$IX$10144,AL$22,FALSE))=0,"",VLOOKUP($B84,Database!$B$1:$IX$10144,AL$22,FALSE)))</f>
        <v>ns</v>
      </c>
      <c r="AM84" s="22">
        <f>IF(OR($B84="",AM$22=""),"",IF(LEN(VLOOKUP($B84,Database!$B$1:$IX$10144,AM$22,FALSE))=0,"",VLOOKUP($B84,Database!$B$1:$IX$10144,AM$22,FALSE)))</f>
        <v>90.384615384615387</v>
      </c>
      <c r="AN84" s="22" t="str">
        <f>IF(OR($B84="",AN$22=""),"",IF(LEN(VLOOKUP($B84,Database!$B$1:$IX$10144,AN$22,FALSE))=0,"",VLOOKUP($B84,Database!$B$1:$IX$10144,AN$22,FALSE)))</f>
        <v>ns</v>
      </c>
      <c r="AO84" s="22" t="str">
        <f>IF(OR($B84="",AO$22=""),"",IF(LEN(VLOOKUP($B84,Database!$B$1:$IX$10144,AO$22,FALSE))=0,"",VLOOKUP($B84,Database!$B$1:$IX$10144,AO$22,FALSE)))</f>
        <v>ns</v>
      </c>
      <c r="AP84" s="22" t="str">
        <f>IF(OR($B84="",AP$22=""),"",IF(LEN(VLOOKUP($B84,Database!$B$1:$IX$10144,AP$22,FALSE))=0,"",VLOOKUP($B84,Database!$B$1:$IX$10144,AP$22,FALSE)))</f>
        <v>ns</v>
      </c>
      <c r="AQ84" s="22" t="str">
        <f>IF(OR($B84="",AQ$22=""),"",IF(LEN(VLOOKUP($B84,Database!$B$1:$IX$10144,AQ$22,FALSE))=0,"",VLOOKUP($B84,Database!$B$1:$IX$10144,AQ$22,FALSE)))</f>
        <v>Qiu A, Taylor WD, Zhao Z, MacFall JR, Miller MI, Key CR, Payne ME, Steffens DC, Krishnan KR.</v>
      </c>
    </row>
    <row r="85" spans="1:52">
      <c r="I85" s="22" t="str">
        <f>IF($B85="","",IF(LEN(VLOOKUP($B85,Database!$B$1:$IX$10144,8,FALSE))=0,"",VLOOKUP($B85,Database!$B$1:$IX$10144,8,FALSE)))</f>
        <v/>
      </c>
      <c r="AF85" t="s">
        <v>602</v>
      </c>
      <c r="AJ85" t="s">
        <v>329</v>
      </c>
      <c r="AN85" t="s">
        <v>330</v>
      </c>
    </row>
    <row r="86" spans="1:52" ht="45" customHeight="1">
      <c r="E86" s="60" t="s">
        <v>617</v>
      </c>
      <c r="F86" s="60" t="s">
        <v>740</v>
      </c>
      <c r="G86" s="60" t="s">
        <v>244</v>
      </c>
      <c r="H86" s="60" t="s">
        <v>245</v>
      </c>
      <c r="I86" s="60" t="s">
        <v>246</v>
      </c>
      <c r="J86" s="60" t="s">
        <v>593</v>
      </c>
      <c r="K86" s="60" t="s">
        <v>1039</v>
      </c>
      <c r="L86" s="60" t="s">
        <v>594</v>
      </c>
      <c r="M86" s="60" t="s">
        <v>1299</v>
      </c>
      <c r="N86" s="61" t="s">
        <v>595</v>
      </c>
      <c r="O86" s="61" t="s">
        <v>596</v>
      </c>
      <c r="P86" s="61" t="s">
        <v>597</v>
      </c>
      <c r="Q86" s="61" t="s">
        <v>598</v>
      </c>
      <c r="R86" s="61" t="s">
        <v>599</v>
      </c>
      <c r="S86" s="61" t="s">
        <v>600</v>
      </c>
      <c r="T86" s="61" t="s">
        <v>601</v>
      </c>
      <c r="U86" s="61" t="s">
        <v>484</v>
      </c>
      <c r="V86" s="61" t="s">
        <v>485</v>
      </c>
      <c r="W86" s="61" t="s">
        <v>486</v>
      </c>
      <c r="AF86" s="61" t="s">
        <v>1517</v>
      </c>
      <c r="AG86" s="62" t="s">
        <v>834</v>
      </c>
      <c r="AH86" s="62" t="s">
        <v>835</v>
      </c>
      <c r="AJ86" s="61" t="s">
        <v>836</v>
      </c>
      <c r="AK86" s="61" t="s">
        <v>837</v>
      </c>
      <c r="AL86" s="61" t="s">
        <v>487</v>
      </c>
      <c r="AN86" s="2" t="s">
        <v>488</v>
      </c>
      <c r="AO86" s="2" t="s">
        <v>489</v>
      </c>
      <c r="AP86" s="2" t="s">
        <v>490</v>
      </c>
      <c r="AQ86" s="2" t="s">
        <v>491</v>
      </c>
      <c r="AR86" s="2" t="s">
        <v>492</v>
      </c>
      <c r="AS86" s="2" t="s">
        <v>493</v>
      </c>
      <c r="AT86" s="2" t="s">
        <v>494</v>
      </c>
      <c r="AU86" s="2" t="s">
        <v>495</v>
      </c>
      <c r="AV86" s="2" t="s">
        <v>496</v>
      </c>
      <c r="AW86" s="2" t="s">
        <v>497</v>
      </c>
      <c r="AX86" s="2" t="s">
        <v>498</v>
      </c>
      <c r="AY86" s="2" t="s">
        <v>499</v>
      </c>
      <c r="AZ86" s="2"/>
    </row>
    <row r="87" spans="1:52">
      <c r="E87" t="str">
        <f t="shared" ref="E87:F96" si="4">E24</f>
        <v>Ashtari M</v>
      </c>
      <c r="F87">
        <f t="shared" si="4"/>
        <v>1999</v>
      </c>
      <c r="G87">
        <v>41</v>
      </c>
      <c r="H87">
        <f t="shared" ref="H87:I96" si="5">H24</f>
        <v>40</v>
      </c>
      <c r="I87">
        <f t="shared" si="5"/>
        <v>46</v>
      </c>
      <c r="J87">
        <f t="shared" ref="J87:M88" si="6">IF($D$4="Total",T24,IF($D$4="Left",L24,IF($D$4="Right",P24,"error")))</f>
        <v>1742</v>
      </c>
      <c r="K87">
        <f t="shared" si="6"/>
        <v>345</v>
      </c>
      <c r="L87">
        <f t="shared" si="6"/>
        <v>1843</v>
      </c>
      <c r="M87">
        <f t="shared" si="6"/>
        <v>337</v>
      </c>
      <c r="N87">
        <f t="shared" ref="N87:N115" si="7">IF($D$3=1,SQRT((((I87-1)*(M87)^2)+((H87-1)*(K87)^2))/(H87+I87-2)),M87)</f>
        <v>340.73764520102981</v>
      </c>
      <c r="O87" s="59">
        <f t="shared" ref="O87:O115" si="8">IF($D$6=1,LN(J87/L87),IF($D$5=1,(1-3/(4*(H87+I87)-9))*((J87-L87)/N87),(J87-L87)/N87))</f>
        <v>-0.2937612670563739</v>
      </c>
      <c r="P87" s="63">
        <f t="shared" ref="P87:P115" si="9">IF($D$6=1,(K87^2)/(H87*J87^2)+(M87^2)/(I87*L87^2),(IF($D$5=1,((H87+I87)/(H87*I87))+(O87*O87)/(2*(H87+I87-3.94)),((H87+I87)/(H87*I87))+((O87^2)/(2*(H87+I87-2))))))</f>
        <v>4.7264938879960319E-2</v>
      </c>
      <c r="Q87" s="59">
        <f t="shared" ref="Q87:Q127" si="10">$R$144*SQRT(P87)</f>
        <v>0.42611382188478181</v>
      </c>
      <c r="R87" s="59">
        <f t="shared" ref="R87:R115" si="11">1/P87</f>
        <v>21.157331918691767</v>
      </c>
      <c r="S87" s="59">
        <f t="shared" ref="S87:S115" si="12">O87*R87</f>
        <v>-6.2152046319671559</v>
      </c>
      <c r="T87" s="59">
        <f t="shared" ref="T87:T115" si="13">R87*(O87^2)</f>
        <v>1.8257863877013156</v>
      </c>
      <c r="U87" s="23">
        <f t="shared" ref="U87:U115" si="14">R87^2</f>
        <v>447.63269391769347</v>
      </c>
      <c r="V87" s="59">
        <f t="shared" ref="V87:V127" si="15">1/((1/R87)+$I$141)</f>
        <v>5.039220791047792</v>
      </c>
      <c r="W87" s="59">
        <f t="shared" ref="W87:W115" si="16">V87*O87</f>
        <v>-1.4803278845550221</v>
      </c>
      <c r="AF87" s="59">
        <f t="shared" ref="AF87:AF115" si="17">IF($D$6=1,100*((EXP(O87))-1),O87)</f>
        <v>-0.2937612670563739</v>
      </c>
      <c r="AG87" s="59">
        <f t="shared" ref="AG87:AG115" si="18">IF($D$6=1,100*(EXP(O87+Q87)-EXP(O87)),Q87)</f>
        <v>0.42611382188478181</v>
      </c>
      <c r="AH87" s="59">
        <f t="shared" ref="AH87:AH115" si="19">IF($D$6=1,100*(EXP(O87)-EXP(O87-Q87)),Q87)</f>
        <v>0.42611382188478181</v>
      </c>
      <c r="AJ87">
        <f t="shared" ref="AJ87:AJ115" si="20">SQRT(P87)</f>
        <v>0.21740501116570501</v>
      </c>
      <c r="AK87">
        <f t="shared" ref="AK87:AK127" si="21">1/AJ87</f>
        <v>4.5997099820197107</v>
      </c>
      <c r="AL87">
        <f t="shared" ref="AL87:AL115" si="22">O87/AJ87</f>
        <v>-1.351216632409961</v>
      </c>
      <c r="AN87" s="2" t="str">
        <f t="shared" ref="AN87:AN115" si="23">E87</f>
        <v>Ashtari M</v>
      </c>
      <c r="AO87" s="2">
        <f t="shared" ref="AO87:AO115" si="24">F87</f>
        <v>1999</v>
      </c>
      <c r="AP87" s="2" t="str">
        <f t="shared" ref="AP87:AP115" si="25">CONCATENATE(AN87," ",AO87)</f>
        <v>Ashtari M 1999</v>
      </c>
      <c r="AQ87" s="2">
        <f t="shared" ref="AQ87:AQ115" si="26">INT(H87)</f>
        <v>40</v>
      </c>
      <c r="AR87" s="2">
        <f t="shared" ref="AR87:AR115" si="27">J87</f>
        <v>1742</v>
      </c>
      <c r="AS87" s="2">
        <f t="shared" ref="AS87:AS115" si="28">K87</f>
        <v>345</v>
      </c>
      <c r="AT87" s="2">
        <f t="shared" ref="AT87:AT115" si="29">INT(I87)</f>
        <v>46</v>
      </c>
      <c r="AU87" s="2">
        <f t="shared" ref="AU87:AU115" si="30">L87</f>
        <v>1843</v>
      </c>
      <c r="AV87" s="2">
        <f t="shared" ref="AV87:AV115" si="31">M87</f>
        <v>337</v>
      </c>
      <c r="AW87" s="206">
        <f t="shared" ref="AW87:AW115" si="32">O87</f>
        <v>-0.2937612670563739</v>
      </c>
      <c r="AX87" s="2">
        <f t="shared" ref="AX87:AX115" si="33">SQRT(P87)</f>
        <v>0.21740501116570501</v>
      </c>
      <c r="AY87" s="2" t="str">
        <f>$F$4</f>
        <v>Right</v>
      </c>
      <c r="AZ87" s="2"/>
    </row>
    <row r="88" spans="1:52">
      <c r="E88" t="str">
        <f t="shared" si="4"/>
        <v>Bremner JD</v>
      </c>
      <c r="F88">
        <f t="shared" si="4"/>
        <v>2000</v>
      </c>
      <c r="G88">
        <v>40</v>
      </c>
      <c r="H88">
        <f t="shared" si="5"/>
        <v>16</v>
      </c>
      <c r="I88">
        <f t="shared" si="5"/>
        <v>16</v>
      </c>
      <c r="J88">
        <f t="shared" si="6"/>
        <v>982</v>
      </c>
      <c r="K88">
        <f t="shared" si="6"/>
        <v>269</v>
      </c>
      <c r="L88">
        <f t="shared" si="6"/>
        <v>1113</v>
      </c>
      <c r="M88">
        <f t="shared" si="6"/>
        <v>194</v>
      </c>
      <c r="N88">
        <f t="shared" si="7"/>
        <v>234.51758995862122</v>
      </c>
      <c r="O88" s="59">
        <f t="shared" si="8"/>
        <v>-0.54451130516106638</v>
      </c>
      <c r="P88" s="63">
        <f t="shared" si="9"/>
        <v>0.1302831889067749</v>
      </c>
      <c r="Q88" s="59">
        <f t="shared" si="10"/>
        <v>0.70745734748058586</v>
      </c>
      <c r="R88" s="59">
        <f t="shared" si="11"/>
        <v>7.6755873754023431</v>
      </c>
      <c r="S88" s="59">
        <f t="shared" si="12"/>
        <v>-4.1794440996581335</v>
      </c>
      <c r="T88" s="59">
        <f t="shared" si="13"/>
        <v>2.2757545615525685</v>
      </c>
      <c r="U88" s="23">
        <f t="shared" si="14"/>
        <v>58.914641557435829</v>
      </c>
      <c r="V88" s="59">
        <f t="shared" si="15"/>
        <v>3.5528821615080881</v>
      </c>
      <c r="W88" s="59">
        <f t="shared" si="16"/>
        <v>-1.9345845028462396</v>
      </c>
      <c r="AF88" s="59">
        <f t="shared" si="17"/>
        <v>-0.54451130516106638</v>
      </c>
      <c r="AG88" s="59">
        <f t="shared" si="18"/>
        <v>0.70745734748058586</v>
      </c>
      <c r="AH88" s="59">
        <f t="shared" si="19"/>
        <v>0.70745734748058586</v>
      </c>
      <c r="AJ88">
        <f t="shared" si="20"/>
        <v>0.36094762626560506</v>
      </c>
      <c r="AK88">
        <f t="shared" si="21"/>
        <v>2.7704850433457211</v>
      </c>
      <c r="AL88">
        <f t="shared" si="22"/>
        <v>-1.5085604268813921</v>
      </c>
      <c r="AN88" s="2" t="str">
        <f t="shared" si="23"/>
        <v>Bremner JD</v>
      </c>
      <c r="AO88" s="2">
        <f t="shared" si="24"/>
        <v>2000</v>
      </c>
      <c r="AP88" s="2" t="str">
        <f t="shared" si="25"/>
        <v>Bremner JD 2000</v>
      </c>
      <c r="AQ88" s="2">
        <f t="shared" si="26"/>
        <v>16</v>
      </c>
      <c r="AR88" s="2">
        <f t="shared" si="27"/>
        <v>982</v>
      </c>
      <c r="AS88" s="2">
        <f t="shared" si="28"/>
        <v>269</v>
      </c>
      <c r="AT88" s="2">
        <f t="shared" si="29"/>
        <v>16</v>
      </c>
      <c r="AU88" s="2">
        <f t="shared" si="30"/>
        <v>1113</v>
      </c>
      <c r="AV88" s="2">
        <f t="shared" si="31"/>
        <v>194</v>
      </c>
      <c r="AW88" s="206">
        <f t="shared" si="32"/>
        <v>-0.54451130516106638</v>
      </c>
      <c r="AX88" s="2">
        <f t="shared" si="33"/>
        <v>0.36094762626560506</v>
      </c>
      <c r="AY88" s="2" t="str">
        <f>$F$5</f>
        <v>H Correction</v>
      </c>
      <c r="AZ88" s="2"/>
    </row>
    <row r="89" spans="1:52">
      <c r="E89" t="str">
        <f t="shared" si="4"/>
        <v>Vakili K</v>
      </c>
      <c r="F89">
        <f t="shared" si="4"/>
        <v>2000</v>
      </c>
      <c r="G89">
        <v>39</v>
      </c>
      <c r="H89">
        <f t="shared" si="5"/>
        <v>38</v>
      </c>
      <c r="I89">
        <f t="shared" si="5"/>
        <v>20</v>
      </c>
      <c r="J89">
        <f t="shared" ref="J89:M96" si="34">IF($D$4="Total",T26,IF($D$4="Left",L26,IF($D$4="Right",P26,"error")))</f>
        <v>2.61</v>
      </c>
      <c r="K89">
        <f t="shared" si="34"/>
        <v>0.57999999999999996</v>
      </c>
      <c r="L89">
        <f t="shared" si="34"/>
        <v>2.6</v>
      </c>
      <c r="M89">
        <f t="shared" si="34"/>
        <v>0.51</v>
      </c>
      <c r="N89">
        <f t="shared" si="7"/>
        <v>0.55723648480694443</v>
      </c>
      <c r="O89" s="59">
        <f t="shared" si="8"/>
        <v>1.7704280177267353E-2</v>
      </c>
      <c r="P89" s="63">
        <f t="shared" si="9"/>
        <v>7.6318688489006026E-2</v>
      </c>
      <c r="Q89" s="59">
        <f t="shared" si="10"/>
        <v>0.54146641049964073</v>
      </c>
      <c r="R89" s="59">
        <f t="shared" si="11"/>
        <v>13.102950532804996</v>
      </c>
      <c r="S89" s="59">
        <f t="shared" si="12"/>
        <v>0.2319783073816542</v>
      </c>
      <c r="T89" s="59">
        <f t="shared" si="13"/>
        <v>4.1070089489330533E-3</v>
      </c>
      <c r="U89" s="23">
        <f t="shared" si="14"/>
        <v>171.68731266513473</v>
      </c>
      <c r="V89" s="59">
        <f t="shared" si="15"/>
        <v>4.3956598804142546</v>
      </c>
      <c r="W89" s="59">
        <f t="shared" si="16"/>
        <v>7.7821994086827467E-2</v>
      </c>
      <c r="AF89" s="59">
        <f t="shared" si="17"/>
        <v>1.7704280177267353E-2</v>
      </c>
      <c r="AG89" s="59">
        <f t="shared" si="18"/>
        <v>0.54146641049964073</v>
      </c>
      <c r="AH89" s="59">
        <f t="shared" si="19"/>
        <v>0.54146641049964073</v>
      </c>
      <c r="AJ89">
        <f t="shared" si="20"/>
        <v>0.27625837270389836</v>
      </c>
      <c r="AK89">
        <f t="shared" si="21"/>
        <v>3.6197997918123868</v>
      </c>
      <c r="AL89">
        <f t="shared" si="22"/>
        <v>6.4085949699860534E-2</v>
      </c>
      <c r="AN89" s="2" t="str">
        <f t="shared" si="23"/>
        <v>Vakili K</v>
      </c>
      <c r="AO89" s="2">
        <f t="shared" si="24"/>
        <v>2000</v>
      </c>
      <c r="AP89" s="2" t="str">
        <f t="shared" si="25"/>
        <v>Vakili K 2000</v>
      </c>
      <c r="AQ89" s="2">
        <f t="shared" si="26"/>
        <v>38</v>
      </c>
      <c r="AR89" s="2">
        <f t="shared" si="27"/>
        <v>2.61</v>
      </c>
      <c r="AS89" s="2">
        <f t="shared" si="28"/>
        <v>0.57999999999999996</v>
      </c>
      <c r="AT89" s="2">
        <f t="shared" si="29"/>
        <v>20</v>
      </c>
      <c r="AU89" s="2">
        <f t="shared" si="30"/>
        <v>2.6</v>
      </c>
      <c r="AV89" s="2">
        <f t="shared" si="31"/>
        <v>0.51</v>
      </c>
      <c r="AW89" s="206">
        <f t="shared" si="32"/>
        <v>1.7704280177267353E-2</v>
      </c>
      <c r="AX89" s="2">
        <f t="shared" si="33"/>
        <v>0.27625837270389836</v>
      </c>
      <c r="AY89" s="2"/>
      <c r="AZ89" s="2"/>
    </row>
    <row r="90" spans="1:52">
      <c r="E90" t="str">
        <f t="shared" si="4"/>
        <v>Rusch BD</v>
      </c>
      <c r="F90">
        <f t="shared" si="4"/>
        <v>2001</v>
      </c>
      <c r="G90">
        <v>38</v>
      </c>
      <c r="H90">
        <f t="shared" si="5"/>
        <v>25</v>
      </c>
      <c r="I90">
        <f t="shared" si="5"/>
        <v>15</v>
      </c>
      <c r="J90">
        <f t="shared" si="34"/>
        <v>2.29</v>
      </c>
      <c r="K90">
        <f t="shared" si="34"/>
        <v>0.3</v>
      </c>
      <c r="L90">
        <f t="shared" si="34"/>
        <v>2.2000000000000002</v>
      </c>
      <c r="M90">
        <f t="shared" si="34"/>
        <v>0.24</v>
      </c>
      <c r="N90">
        <f t="shared" si="7"/>
        <v>0.2793978487654063</v>
      </c>
      <c r="O90" s="59">
        <f t="shared" si="8"/>
        <v>0.31572154517147866</v>
      </c>
      <c r="P90" s="63">
        <f t="shared" si="9"/>
        <v>0.10804880884755222</v>
      </c>
      <c r="Q90" s="59">
        <f t="shared" si="10"/>
        <v>0.64426726136655166</v>
      </c>
      <c r="R90" s="59">
        <f t="shared" si="11"/>
        <v>9.2550765775763058</v>
      </c>
      <c r="S90" s="59">
        <f t="shared" si="12"/>
        <v>2.9220270777527517</v>
      </c>
      <c r="T90" s="59">
        <f t="shared" si="13"/>
        <v>0.92254690402099915</v>
      </c>
      <c r="U90" s="23">
        <f t="shared" si="14"/>
        <v>85.656442456801543</v>
      </c>
      <c r="V90" s="59">
        <f t="shared" si="15"/>
        <v>3.8576191545440706</v>
      </c>
      <c r="W90" s="59">
        <f t="shared" si="16"/>
        <v>1.2179334801557471</v>
      </c>
      <c r="AF90" s="59">
        <f t="shared" si="17"/>
        <v>0.31572154517147866</v>
      </c>
      <c r="AG90" s="59">
        <f t="shared" si="18"/>
        <v>0.64426726136655166</v>
      </c>
      <c r="AH90" s="59">
        <f t="shared" si="19"/>
        <v>0.64426726136655166</v>
      </c>
      <c r="AJ90">
        <f t="shared" si="20"/>
        <v>0.32870778641150594</v>
      </c>
      <c r="AK90">
        <f t="shared" si="21"/>
        <v>3.0422157348840839</v>
      </c>
      <c r="AL90">
        <f t="shared" si="22"/>
        <v>0.96049305256258843</v>
      </c>
      <c r="AN90" s="2" t="str">
        <f t="shared" si="23"/>
        <v>Rusch BD</v>
      </c>
      <c r="AO90" s="2">
        <f t="shared" si="24"/>
        <v>2001</v>
      </c>
      <c r="AP90" s="2" t="str">
        <f t="shared" si="25"/>
        <v>Rusch BD 2001</v>
      </c>
      <c r="AQ90" s="2">
        <f t="shared" si="26"/>
        <v>25</v>
      </c>
      <c r="AR90" s="2">
        <f t="shared" si="27"/>
        <v>2.29</v>
      </c>
      <c r="AS90" s="2">
        <f t="shared" si="28"/>
        <v>0.3</v>
      </c>
      <c r="AT90" s="2">
        <f t="shared" si="29"/>
        <v>15</v>
      </c>
      <c r="AU90" s="2">
        <f t="shared" si="30"/>
        <v>2.2000000000000002</v>
      </c>
      <c r="AV90" s="2">
        <f t="shared" si="31"/>
        <v>0.24</v>
      </c>
      <c r="AW90" s="206">
        <f t="shared" si="32"/>
        <v>0.31572154517147866</v>
      </c>
      <c r="AX90" s="2">
        <f t="shared" si="33"/>
        <v>0.32870778641150594</v>
      </c>
      <c r="AY90" s="2"/>
      <c r="AZ90" s="2"/>
    </row>
    <row r="91" spans="1:52">
      <c r="E91" t="str">
        <f t="shared" si="4"/>
        <v>MacMillan S</v>
      </c>
      <c r="F91">
        <f t="shared" si="4"/>
        <v>2003</v>
      </c>
      <c r="G91">
        <v>37</v>
      </c>
      <c r="H91">
        <f t="shared" si="5"/>
        <v>23</v>
      </c>
      <c r="I91">
        <f t="shared" si="5"/>
        <v>23</v>
      </c>
      <c r="J91">
        <f t="shared" si="34"/>
        <v>3.17</v>
      </c>
      <c r="K91">
        <f t="shared" si="34"/>
        <v>0.52</v>
      </c>
      <c r="L91">
        <f t="shared" si="34"/>
        <v>3.26</v>
      </c>
      <c r="M91">
        <f t="shared" si="34"/>
        <v>0.4</v>
      </c>
      <c r="N91">
        <f t="shared" si="7"/>
        <v>0.46389654018972809</v>
      </c>
      <c r="O91" s="59">
        <f t="shared" si="8"/>
        <v>-0.19068291136848059</v>
      </c>
      <c r="P91" s="63">
        <f t="shared" si="9"/>
        <v>8.7388761072082877E-2</v>
      </c>
      <c r="Q91" s="59">
        <f t="shared" si="10"/>
        <v>0.57940716645077284</v>
      </c>
      <c r="R91" s="59">
        <f t="shared" si="11"/>
        <v>11.443119089137184</v>
      </c>
      <c r="S91" s="59">
        <f t="shared" si="12"/>
        <v>-2.1820072630529141</v>
      </c>
      <c r="T91" s="59">
        <f t="shared" si="13"/>
        <v>0.41607149754609973</v>
      </c>
      <c r="U91" s="23">
        <f t="shared" si="14"/>
        <v>130.94497448817583</v>
      </c>
      <c r="V91" s="59">
        <f t="shared" si="15"/>
        <v>4.1916910459044301</v>
      </c>
      <c r="W91" s="59">
        <f t="shared" si="16"/>
        <v>-0.79928385219024811</v>
      </c>
      <c r="AF91" s="59">
        <f t="shared" si="17"/>
        <v>-0.19068291136848059</v>
      </c>
      <c r="AG91" s="59">
        <f t="shared" si="18"/>
        <v>0.57940716645077284</v>
      </c>
      <c r="AH91" s="59">
        <f t="shared" si="19"/>
        <v>0.57940716645077284</v>
      </c>
      <c r="AJ91">
        <f t="shared" si="20"/>
        <v>0.29561590125039433</v>
      </c>
      <c r="AK91">
        <f t="shared" si="21"/>
        <v>3.3827679626508793</v>
      </c>
      <c r="AL91">
        <f t="shared" si="22"/>
        <v>-0.64503604360229327</v>
      </c>
      <c r="AN91" s="2" t="str">
        <f t="shared" si="23"/>
        <v>MacMillan S</v>
      </c>
      <c r="AO91" s="2">
        <f t="shared" si="24"/>
        <v>2003</v>
      </c>
      <c r="AP91" s="2" t="str">
        <f t="shared" si="25"/>
        <v>MacMillan S 2003</v>
      </c>
      <c r="AQ91" s="2">
        <f t="shared" si="26"/>
        <v>23</v>
      </c>
      <c r="AR91" s="2">
        <f t="shared" si="27"/>
        <v>3.17</v>
      </c>
      <c r="AS91" s="2">
        <f t="shared" si="28"/>
        <v>0.52</v>
      </c>
      <c r="AT91" s="2">
        <f t="shared" si="29"/>
        <v>23</v>
      </c>
      <c r="AU91" s="2">
        <f t="shared" si="30"/>
        <v>3.26</v>
      </c>
      <c r="AV91" s="2">
        <f t="shared" si="31"/>
        <v>0.4</v>
      </c>
      <c r="AW91" s="206">
        <f t="shared" si="32"/>
        <v>-0.19068291136848059</v>
      </c>
      <c r="AX91" s="2">
        <f t="shared" si="33"/>
        <v>0.29561590125039433</v>
      </c>
      <c r="AY91" s="2"/>
      <c r="AZ91" s="2"/>
    </row>
    <row r="92" spans="1:52">
      <c r="E92" t="str">
        <f t="shared" si="4"/>
        <v>MacQueen GM</v>
      </c>
      <c r="F92">
        <f t="shared" si="4"/>
        <v>2003</v>
      </c>
      <c r="G92">
        <v>36</v>
      </c>
      <c r="H92">
        <f t="shared" si="5"/>
        <v>20</v>
      </c>
      <c r="I92">
        <f t="shared" si="5"/>
        <v>20</v>
      </c>
      <c r="J92">
        <f t="shared" si="34"/>
        <v>2793</v>
      </c>
      <c r="K92">
        <f t="shared" si="34"/>
        <v>303.8</v>
      </c>
      <c r="L92">
        <f t="shared" si="34"/>
        <v>2784</v>
      </c>
      <c r="M92">
        <f t="shared" si="34"/>
        <v>342.2</v>
      </c>
      <c r="N92">
        <f t="shared" si="7"/>
        <v>323.57014695425784</v>
      </c>
      <c r="O92" s="59">
        <f t="shared" si="8"/>
        <v>2.72620701755504E-2</v>
      </c>
      <c r="P92" s="63">
        <f t="shared" si="9"/>
        <v>0.10001030533097971</v>
      </c>
      <c r="Q92" s="59">
        <f t="shared" si="10"/>
        <v>0.61983835712183188</v>
      </c>
      <c r="R92" s="59">
        <f t="shared" si="11"/>
        <v>9.9989695730909318</v>
      </c>
      <c r="S92" s="59">
        <f t="shared" si="12"/>
        <v>0.27259261018479819</v>
      </c>
      <c r="T92" s="59">
        <f t="shared" si="13"/>
        <v>7.4314388681944229E-3</v>
      </c>
      <c r="U92" s="23">
        <f t="shared" si="14"/>
        <v>99.97939252359825</v>
      </c>
      <c r="V92" s="59">
        <f t="shared" si="15"/>
        <v>3.9810700882856755</v>
      </c>
      <c r="W92" s="59">
        <f t="shared" si="16"/>
        <v>0.10853221212062872</v>
      </c>
      <c r="AF92" s="59">
        <f t="shared" si="17"/>
        <v>2.72620701755504E-2</v>
      </c>
      <c r="AG92" s="59">
        <f t="shared" si="18"/>
        <v>0.61983835712183188</v>
      </c>
      <c r="AH92" s="59">
        <f t="shared" si="19"/>
        <v>0.61983835712183188</v>
      </c>
      <c r="AJ92">
        <f t="shared" si="20"/>
        <v>0.3162440597560367</v>
      </c>
      <c r="AK92">
        <f t="shared" si="21"/>
        <v>3.1621147311713615</v>
      </c>
      <c r="AL92">
        <f t="shared" si="22"/>
        <v>8.6205793704335343E-2</v>
      </c>
      <c r="AN92" s="2" t="str">
        <f t="shared" si="23"/>
        <v>MacQueen GM</v>
      </c>
      <c r="AO92" s="2">
        <f t="shared" si="24"/>
        <v>2003</v>
      </c>
      <c r="AP92" s="2" t="str">
        <f t="shared" si="25"/>
        <v>MacQueen GM 2003</v>
      </c>
      <c r="AQ92" s="2">
        <f t="shared" si="26"/>
        <v>20</v>
      </c>
      <c r="AR92" s="2">
        <f t="shared" si="27"/>
        <v>2793</v>
      </c>
      <c r="AS92" s="2">
        <f t="shared" si="28"/>
        <v>303.8</v>
      </c>
      <c r="AT92" s="2">
        <f t="shared" si="29"/>
        <v>20</v>
      </c>
      <c r="AU92" s="2">
        <f t="shared" si="30"/>
        <v>2784</v>
      </c>
      <c r="AV92" s="2">
        <f t="shared" si="31"/>
        <v>342.2</v>
      </c>
      <c r="AW92" s="206">
        <f t="shared" si="32"/>
        <v>2.72620701755504E-2</v>
      </c>
      <c r="AX92" s="2">
        <f t="shared" si="33"/>
        <v>0.3162440597560367</v>
      </c>
      <c r="AY92" s="2"/>
      <c r="AZ92" s="2"/>
    </row>
    <row r="93" spans="1:52">
      <c r="E93" t="str">
        <f t="shared" si="4"/>
        <v>MacQueen GM</v>
      </c>
      <c r="F93">
        <f t="shared" si="4"/>
        <v>2003</v>
      </c>
      <c r="G93">
        <v>35</v>
      </c>
      <c r="H93">
        <f t="shared" si="5"/>
        <v>17</v>
      </c>
      <c r="I93">
        <f t="shared" si="5"/>
        <v>17</v>
      </c>
      <c r="J93">
        <f t="shared" si="34"/>
        <v>2392</v>
      </c>
      <c r="K93">
        <f t="shared" si="34"/>
        <v>256.7</v>
      </c>
      <c r="L93">
        <f t="shared" si="34"/>
        <v>2692</v>
      </c>
      <c r="M93">
        <f t="shared" si="34"/>
        <v>190.1</v>
      </c>
      <c r="N93">
        <f t="shared" si="7"/>
        <v>225.8682137884833</v>
      </c>
      <c r="O93" s="59">
        <f t="shared" si="8"/>
        <v>-1.2968331440433383</v>
      </c>
      <c r="P93" s="63">
        <f t="shared" si="9"/>
        <v>0.14562071490285958</v>
      </c>
      <c r="Q93" s="59">
        <f t="shared" si="10"/>
        <v>0.74794153405919728</v>
      </c>
      <c r="R93" s="59">
        <f t="shared" si="11"/>
        <v>6.8671548595752903</v>
      </c>
      <c r="S93" s="59">
        <f t="shared" si="12"/>
        <v>-8.905554027175512</v>
      </c>
      <c r="T93" s="59">
        <f t="shared" si="13"/>
        <v>11.549017628509834</v>
      </c>
      <c r="U93" s="23">
        <f t="shared" si="14"/>
        <v>47.157815865388521</v>
      </c>
      <c r="V93" s="59">
        <f t="shared" si="15"/>
        <v>3.3692818323346101</v>
      </c>
      <c r="W93" s="59">
        <f t="shared" si="16"/>
        <v>-4.3693963517945917</v>
      </c>
      <c r="AF93" s="59">
        <f t="shared" si="17"/>
        <v>-1.2968331440433383</v>
      </c>
      <c r="AG93" s="59">
        <f t="shared" si="18"/>
        <v>0.74794153405919728</v>
      </c>
      <c r="AH93" s="59">
        <f t="shared" si="19"/>
        <v>0.74794153405919728</v>
      </c>
      <c r="AJ93">
        <f t="shared" si="20"/>
        <v>0.38160282349959046</v>
      </c>
      <c r="AK93">
        <f t="shared" si="21"/>
        <v>2.6205256838228639</v>
      </c>
      <c r="AL93">
        <f t="shared" si="22"/>
        <v>-3.3983845615983239</v>
      </c>
      <c r="AN93" s="2" t="str">
        <f t="shared" si="23"/>
        <v>MacQueen GM</v>
      </c>
      <c r="AO93" s="2">
        <f t="shared" si="24"/>
        <v>2003</v>
      </c>
      <c r="AP93" s="2" t="str">
        <f t="shared" si="25"/>
        <v>MacQueen GM 2003</v>
      </c>
      <c r="AQ93" s="2">
        <f t="shared" si="26"/>
        <v>17</v>
      </c>
      <c r="AR93" s="2">
        <f t="shared" si="27"/>
        <v>2392</v>
      </c>
      <c r="AS93" s="2">
        <f t="shared" si="28"/>
        <v>256.7</v>
      </c>
      <c r="AT93" s="2">
        <f t="shared" si="29"/>
        <v>17</v>
      </c>
      <c r="AU93" s="2">
        <f t="shared" si="30"/>
        <v>2692</v>
      </c>
      <c r="AV93" s="2">
        <f t="shared" si="31"/>
        <v>190.1</v>
      </c>
      <c r="AW93" s="206">
        <f t="shared" si="32"/>
        <v>-1.2968331440433383</v>
      </c>
      <c r="AX93" s="2">
        <f t="shared" si="33"/>
        <v>0.38160282349959046</v>
      </c>
      <c r="AY93" s="2"/>
      <c r="AZ93" s="2"/>
    </row>
    <row r="94" spans="1:52">
      <c r="E94" t="str">
        <f t="shared" si="4"/>
        <v>Posener JA</v>
      </c>
      <c r="F94">
        <f t="shared" si="4"/>
        <v>2003</v>
      </c>
      <c r="G94">
        <v>34</v>
      </c>
      <c r="H94">
        <f t="shared" si="5"/>
        <v>27</v>
      </c>
      <c r="I94">
        <f t="shared" si="5"/>
        <v>42</v>
      </c>
      <c r="J94">
        <f t="shared" si="34"/>
        <v>2948.4</v>
      </c>
      <c r="K94">
        <f t="shared" si="34"/>
        <v>446.7</v>
      </c>
      <c r="L94">
        <f t="shared" si="34"/>
        <v>2993.9</v>
      </c>
      <c r="M94">
        <f t="shared" si="34"/>
        <v>414.2</v>
      </c>
      <c r="N94">
        <f t="shared" si="7"/>
        <v>427.10567709055925</v>
      </c>
      <c r="O94" s="59">
        <f t="shared" si="8"/>
        <v>-0.10533403431068149</v>
      </c>
      <c r="P94" s="63">
        <f t="shared" si="9"/>
        <v>6.0931830280807411E-2</v>
      </c>
      <c r="Q94" s="59">
        <f t="shared" si="10"/>
        <v>0.48381372366516201</v>
      </c>
      <c r="R94" s="59">
        <f t="shared" si="11"/>
        <v>16.411783387950923</v>
      </c>
      <c r="S94" s="59">
        <f t="shared" si="12"/>
        <v>-1.728719354485895</v>
      </c>
      <c r="T94" s="59">
        <f t="shared" si="13"/>
        <v>0.18209298379895641</v>
      </c>
      <c r="U94" s="23">
        <f t="shared" si="14"/>
        <v>269.34663397302188</v>
      </c>
      <c r="V94" s="59">
        <f t="shared" si="15"/>
        <v>4.7145289067278204</v>
      </c>
      <c r="W94" s="59">
        <f t="shared" si="16"/>
        <v>-0.49660034961996791</v>
      </c>
      <c r="AF94" s="59">
        <f t="shared" si="17"/>
        <v>-0.10533403431068149</v>
      </c>
      <c r="AG94" s="59">
        <f t="shared" si="18"/>
        <v>0.48381372366516201</v>
      </c>
      <c r="AH94" s="59">
        <f t="shared" si="19"/>
        <v>0.48381372366516201</v>
      </c>
      <c r="AJ94">
        <f t="shared" si="20"/>
        <v>0.24684373656385816</v>
      </c>
      <c r="AK94">
        <f t="shared" si="21"/>
        <v>4.0511459351584609</v>
      </c>
      <c r="AL94">
        <f t="shared" si="22"/>
        <v>-0.42672354493155917</v>
      </c>
      <c r="AN94" s="2" t="str">
        <f t="shared" si="23"/>
        <v>Posener JA</v>
      </c>
      <c r="AO94" s="2">
        <f t="shared" si="24"/>
        <v>2003</v>
      </c>
      <c r="AP94" s="2" t="str">
        <f t="shared" si="25"/>
        <v>Posener JA 2003</v>
      </c>
      <c r="AQ94" s="2">
        <f t="shared" si="26"/>
        <v>27</v>
      </c>
      <c r="AR94" s="2">
        <f t="shared" si="27"/>
        <v>2948.4</v>
      </c>
      <c r="AS94" s="2">
        <f t="shared" si="28"/>
        <v>446.7</v>
      </c>
      <c r="AT94" s="2">
        <f t="shared" si="29"/>
        <v>42</v>
      </c>
      <c r="AU94" s="2">
        <f t="shared" si="30"/>
        <v>2993.9</v>
      </c>
      <c r="AV94" s="2">
        <f t="shared" si="31"/>
        <v>414.2</v>
      </c>
      <c r="AW94" s="206">
        <f t="shared" si="32"/>
        <v>-0.10533403431068149</v>
      </c>
      <c r="AX94" s="2">
        <f t="shared" si="33"/>
        <v>0.24684373656385816</v>
      </c>
      <c r="AY94" s="2"/>
      <c r="AZ94" s="2"/>
    </row>
    <row r="95" spans="1:52">
      <c r="E95" t="str">
        <f t="shared" si="4"/>
        <v>Sheline YI</v>
      </c>
      <c r="F95">
        <f t="shared" si="4"/>
        <v>2003</v>
      </c>
      <c r="G95">
        <v>33</v>
      </c>
      <c r="H95">
        <f t="shared" si="5"/>
        <v>38</v>
      </c>
      <c r="I95">
        <f t="shared" si="5"/>
        <v>38</v>
      </c>
      <c r="J95">
        <f t="shared" si="34"/>
        <v>2203</v>
      </c>
      <c r="K95">
        <f t="shared" si="34"/>
        <v>315</v>
      </c>
      <c r="L95">
        <f t="shared" si="34"/>
        <v>2429</v>
      </c>
      <c r="M95">
        <f t="shared" si="34"/>
        <v>326</v>
      </c>
      <c r="N95">
        <f t="shared" si="7"/>
        <v>320.54718841381219</v>
      </c>
      <c r="O95" s="59">
        <f t="shared" si="8"/>
        <v>-0.6978744565572832</v>
      </c>
      <c r="P95" s="63">
        <f t="shared" si="9"/>
        <v>5.6010906987301275E-2</v>
      </c>
      <c r="Q95" s="59">
        <f t="shared" si="10"/>
        <v>0.46386582142082489</v>
      </c>
      <c r="R95" s="59">
        <f t="shared" si="11"/>
        <v>17.853665541011839</v>
      </c>
      <c r="S95" s="59">
        <f t="shared" si="12"/>
        <v>-12.459617136989131</v>
      </c>
      <c r="T95" s="59">
        <f t="shared" si="13"/>
        <v>8.6952485383881015</v>
      </c>
      <c r="U95" s="23">
        <f t="shared" si="14"/>
        <v>318.75337325031359</v>
      </c>
      <c r="V95" s="59">
        <f t="shared" si="15"/>
        <v>4.8265029800470893</v>
      </c>
      <c r="W95" s="59">
        <f t="shared" si="16"/>
        <v>-3.3682931442724704</v>
      </c>
      <c r="AF95" s="59">
        <f t="shared" si="17"/>
        <v>-0.6978744565572832</v>
      </c>
      <c r="AG95" s="59">
        <f t="shared" si="18"/>
        <v>0.46386582142082489</v>
      </c>
      <c r="AH95" s="59">
        <f t="shared" si="19"/>
        <v>0.46386582142082489</v>
      </c>
      <c r="AJ95">
        <f t="shared" si="20"/>
        <v>0.2366662354187882</v>
      </c>
      <c r="AK95">
        <f t="shared" si="21"/>
        <v>4.2253598120174143</v>
      </c>
      <c r="AL95">
        <f t="shared" si="22"/>
        <v>-2.948770682570637</v>
      </c>
      <c r="AN95" s="2" t="str">
        <f t="shared" si="23"/>
        <v>Sheline YI</v>
      </c>
      <c r="AO95" s="2">
        <f t="shared" si="24"/>
        <v>2003</v>
      </c>
      <c r="AP95" s="2" t="str">
        <f t="shared" si="25"/>
        <v>Sheline YI 2003</v>
      </c>
      <c r="AQ95" s="2">
        <f t="shared" si="26"/>
        <v>38</v>
      </c>
      <c r="AR95" s="2">
        <f t="shared" si="27"/>
        <v>2203</v>
      </c>
      <c r="AS95" s="2">
        <f t="shared" si="28"/>
        <v>315</v>
      </c>
      <c r="AT95" s="2">
        <f t="shared" si="29"/>
        <v>38</v>
      </c>
      <c r="AU95" s="2">
        <f t="shared" si="30"/>
        <v>2429</v>
      </c>
      <c r="AV95" s="2">
        <f t="shared" si="31"/>
        <v>326</v>
      </c>
      <c r="AW95" s="206">
        <f t="shared" si="32"/>
        <v>-0.6978744565572832</v>
      </c>
      <c r="AX95" s="2">
        <f t="shared" si="33"/>
        <v>0.2366662354187882</v>
      </c>
      <c r="AY95" s="2"/>
      <c r="AZ95" s="2"/>
    </row>
    <row r="96" spans="1:52">
      <c r="E96" t="str">
        <f t="shared" si="4"/>
        <v>Caetano SC</v>
      </c>
      <c r="F96">
        <f t="shared" si="4"/>
        <v>2004</v>
      </c>
      <c r="G96">
        <v>32</v>
      </c>
      <c r="H96">
        <f t="shared" si="5"/>
        <v>31</v>
      </c>
      <c r="I96">
        <f t="shared" si="5"/>
        <v>31</v>
      </c>
      <c r="J96">
        <f t="shared" si="34"/>
        <v>3.22</v>
      </c>
      <c r="K96">
        <f t="shared" si="34"/>
        <v>0.39</v>
      </c>
      <c r="L96">
        <f t="shared" si="34"/>
        <v>3.32</v>
      </c>
      <c r="M96">
        <f t="shared" si="34"/>
        <v>0.43</v>
      </c>
      <c r="N96">
        <f t="shared" si="7"/>
        <v>0.41048751503547581</v>
      </c>
      <c r="O96" s="59">
        <f t="shared" si="8"/>
        <v>-0.24055486770637288</v>
      </c>
      <c r="P96" s="63">
        <f t="shared" si="9"/>
        <v>6.5014463895995842E-2</v>
      </c>
      <c r="Q96" s="59">
        <f t="shared" si="10"/>
        <v>0.49975950666581381</v>
      </c>
      <c r="R96" s="59">
        <f t="shared" si="11"/>
        <v>15.381192738891272</v>
      </c>
      <c r="S96" s="59">
        <f t="shared" si="12"/>
        <v>-3.7000207844702131</v>
      </c>
      <c r="T96" s="59">
        <f t="shared" si="13"/>
        <v>0.89005801031906218</v>
      </c>
      <c r="U96" s="23">
        <f t="shared" si="14"/>
        <v>236.58109007092159</v>
      </c>
      <c r="V96" s="59">
        <f t="shared" si="15"/>
        <v>4.6254987218334529</v>
      </c>
      <c r="W96" s="59">
        <f t="shared" si="16"/>
        <v>-1.1126862331066432</v>
      </c>
      <c r="AF96" s="59">
        <f t="shared" si="17"/>
        <v>-0.24055486770637288</v>
      </c>
      <c r="AG96" s="59">
        <f t="shared" si="18"/>
        <v>0.49975950666581381</v>
      </c>
      <c r="AH96" s="59">
        <f t="shared" si="19"/>
        <v>0.49975950666581381</v>
      </c>
      <c r="AJ96">
        <f t="shared" si="20"/>
        <v>0.25497934013561929</v>
      </c>
      <c r="AK96">
        <f t="shared" si="21"/>
        <v>3.9218863750612756</v>
      </c>
      <c r="AL96">
        <f t="shared" si="22"/>
        <v>-0.94342885811229149</v>
      </c>
      <c r="AN96" s="2" t="str">
        <f t="shared" si="23"/>
        <v>Caetano SC</v>
      </c>
      <c r="AO96" s="2">
        <f t="shared" si="24"/>
        <v>2004</v>
      </c>
      <c r="AP96" s="2" t="str">
        <f t="shared" si="25"/>
        <v>Caetano SC 2004</v>
      </c>
      <c r="AQ96" s="2">
        <f t="shared" si="26"/>
        <v>31</v>
      </c>
      <c r="AR96" s="2">
        <f t="shared" si="27"/>
        <v>3.22</v>
      </c>
      <c r="AS96" s="2">
        <f t="shared" si="28"/>
        <v>0.39</v>
      </c>
      <c r="AT96" s="2">
        <f t="shared" si="29"/>
        <v>31</v>
      </c>
      <c r="AU96" s="2">
        <f t="shared" si="30"/>
        <v>3.32</v>
      </c>
      <c r="AV96" s="2">
        <f t="shared" si="31"/>
        <v>0.43</v>
      </c>
      <c r="AW96" s="206">
        <f t="shared" si="32"/>
        <v>-0.24055486770637288</v>
      </c>
      <c r="AX96" s="2">
        <f t="shared" si="33"/>
        <v>0.25497934013561929</v>
      </c>
      <c r="AY96" s="2"/>
      <c r="AZ96" s="2"/>
    </row>
    <row r="97" spans="5:52">
      <c r="E97" t="str">
        <f t="shared" ref="E97:F102" si="35">E34</f>
        <v>Janssen J</v>
      </c>
      <c r="F97">
        <f t="shared" si="35"/>
        <v>2004</v>
      </c>
      <c r="G97">
        <v>31</v>
      </c>
      <c r="H97">
        <f t="shared" ref="H97:I102" si="36">H34</f>
        <v>28</v>
      </c>
      <c r="I97">
        <f t="shared" si="36"/>
        <v>41</v>
      </c>
      <c r="J97">
        <f t="shared" ref="J97:J102" si="37">IF($D$4="Total",T34,IF($D$4="Left",L34,IF($D$4="Right",P34,"error")))</f>
        <v>2.84</v>
      </c>
      <c r="K97">
        <f t="shared" ref="K97:K102" si="38">IF($D$4="Total",U34,IF($D$4="Left",M34,IF($D$4="Right",Q34,"error")))</f>
        <v>0.39</v>
      </c>
      <c r="L97">
        <f t="shared" ref="L97:L102" si="39">IF($D$4="Total",V34,IF($D$4="Left",N34,IF($D$4="Right",R34,"error")))</f>
        <v>3.12</v>
      </c>
      <c r="M97">
        <f t="shared" ref="M97:M102" si="40">IF($D$4="Total",W34,IF($D$4="Left",O34,IF($D$4="Right",S34,"error")))</f>
        <v>0.45</v>
      </c>
      <c r="N97">
        <f t="shared" si="7"/>
        <v>0.42683668099028926</v>
      </c>
      <c r="O97" s="59">
        <f t="shared" si="8"/>
        <v>-0.64861794900557868</v>
      </c>
      <c r="P97" s="63">
        <f t="shared" si="9"/>
        <v>6.3337739298343271E-2</v>
      </c>
      <c r="Q97" s="59">
        <f t="shared" si="10"/>
        <v>0.49327300685169817</v>
      </c>
      <c r="R97" s="59">
        <f t="shared" si="11"/>
        <v>15.788375320591165</v>
      </c>
      <c r="S97" s="59">
        <f t="shared" si="12"/>
        <v>-10.240623618572137</v>
      </c>
      <c r="T97" s="59">
        <f t="shared" si="13"/>
        <v>6.6422522880163468</v>
      </c>
      <c r="U97" s="23">
        <f t="shared" si="14"/>
        <v>249.27279526385215</v>
      </c>
      <c r="V97" s="59">
        <f t="shared" si="15"/>
        <v>4.6616530460139511</v>
      </c>
      <c r="W97" s="59">
        <f t="shared" si="16"/>
        <v>-3.0236318376811773</v>
      </c>
      <c r="AF97" s="59">
        <f t="shared" si="17"/>
        <v>-0.64861794900557868</v>
      </c>
      <c r="AG97" s="59">
        <f t="shared" si="18"/>
        <v>0.49327300685169817</v>
      </c>
      <c r="AH97" s="59">
        <f t="shared" si="19"/>
        <v>0.49327300685169817</v>
      </c>
      <c r="AJ97">
        <f t="shared" si="20"/>
        <v>0.25166990145494805</v>
      </c>
      <c r="AK97">
        <f t="shared" si="21"/>
        <v>3.9734588610669124</v>
      </c>
      <c r="AL97">
        <f t="shared" si="22"/>
        <v>-2.5772567369232635</v>
      </c>
      <c r="AN97" s="2" t="str">
        <f t="shared" si="23"/>
        <v>Janssen J</v>
      </c>
      <c r="AO97" s="2">
        <f t="shared" si="24"/>
        <v>2004</v>
      </c>
      <c r="AP97" s="2" t="str">
        <f t="shared" si="25"/>
        <v>Janssen J 2004</v>
      </c>
      <c r="AQ97" s="2">
        <f t="shared" si="26"/>
        <v>28</v>
      </c>
      <c r="AR97" s="2">
        <f t="shared" si="27"/>
        <v>2.84</v>
      </c>
      <c r="AS97" s="2">
        <f t="shared" si="28"/>
        <v>0.39</v>
      </c>
      <c r="AT97" s="2">
        <f t="shared" si="29"/>
        <v>41</v>
      </c>
      <c r="AU97" s="2">
        <f t="shared" si="30"/>
        <v>3.12</v>
      </c>
      <c r="AV97" s="2">
        <f t="shared" si="31"/>
        <v>0.45</v>
      </c>
      <c r="AW97" s="206">
        <f t="shared" si="32"/>
        <v>-0.64861794900557868</v>
      </c>
      <c r="AX97" s="2">
        <f t="shared" si="33"/>
        <v>0.25166990145494805</v>
      </c>
      <c r="AY97" s="2"/>
      <c r="AZ97" s="2"/>
    </row>
    <row r="98" spans="5:52">
      <c r="E98" t="str">
        <f t="shared" si="35"/>
        <v>Lange C</v>
      </c>
      <c r="F98">
        <f t="shared" si="35"/>
        <v>2004</v>
      </c>
      <c r="G98">
        <v>30</v>
      </c>
      <c r="H98">
        <f t="shared" si="36"/>
        <v>17</v>
      </c>
      <c r="I98">
        <f t="shared" si="36"/>
        <v>17</v>
      </c>
      <c r="J98">
        <f t="shared" si="37"/>
        <v>2.67</v>
      </c>
      <c r="K98">
        <f t="shared" si="38"/>
        <v>0.5</v>
      </c>
      <c r="L98">
        <f t="shared" si="39"/>
        <v>3.19</v>
      </c>
      <c r="M98">
        <f t="shared" si="40"/>
        <v>0.37</v>
      </c>
      <c r="N98">
        <f>IF($D$3=1,SQRT((((I98-1)*(M98)^2)+((H98-1)*(K98)^2))/(H98+I98-2)),M98)</f>
        <v>0.43982951242498497</v>
      </c>
      <c r="O98" s="59">
        <f>IF($D$6=1,LN(J98/L98),IF($D$5=1,(1-3/(4*(H98+I98)-9))*((J98-L98)/N98),(J98-L98)/N98))</f>
        <v>-1.1543484943377109</v>
      </c>
      <c r="P98" s="63">
        <f>IF($D$6=1,(K98^2)/(H98*J98^2)+(M98^2)/(I98*L98^2),(IF($D$5=1,((H98+I98)/(H98*I98))+(O98*O98)/(2*(H98+I98-3.94)),((H98+I98)/(H98*I98))+((O98^2)/(2*(H98+I98-2))))))</f>
        <v>0.13981140423902741</v>
      </c>
      <c r="Q98" s="59">
        <f t="shared" si="10"/>
        <v>0.7328707188342618</v>
      </c>
      <c r="R98" s="59">
        <f>1/P98</f>
        <v>7.1524923552756707</v>
      </c>
      <c r="S98" s="59">
        <f>O98*R98</f>
        <v>-8.2564687810744584</v>
      </c>
      <c r="T98" s="59">
        <f>R98*(O98^2)</f>
        <v>9.5308423059796166</v>
      </c>
      <c r="U98" s="23">
        <f>R98^2</f>
        <v>51.15814689227691</v>
      </c>
      <c r="V98" s="59">
        <f t="shared" si="15"/>
        <v>3.4365460522888709</v>
      </c>
      <c r="W98" s="59">
        <f>V98*O98</f>
        <v>-3.9669717611818625</v>
      </c>
      <c r="AF98" s="59">
        <f>IF($D$6=1,100*((EXP(O98))-1),O98)</f>
        <v>-1.1543484943377109</v>
      </c>
      <c r="AG98" s="59">
        <f>IF($D$6=1,100*(EXP(O98+Q98)-EXP(O98)),Q98)</f>
        <v>0.7328707188342618</v>
      </c>
      <c r="AH98" s="59">
        <f>IF($D$6=1,100*(EXP(O98)-EXP(O98-Q98)),Q98)</f>
        <v>0.7328707188342618</v>
      </c>
      <c r="AJ98">
        <f>SQRT(P98)</f>
        <v>0.37391363205829686</v>
      </c>
      <c r="AK98">
        <f t="shared" si="21"/>
        <v>2.6744143948303281</v>
      </c>
      <c r="AL98">
        <f>O98/AJ98</f>
        <v>-3.0872062299074896</v>
      </c>
      <c r="AN98" s="2" t="str">
        <f>E98</f>
        <v>Lange C</v>
      </c>
      <c r="AO98" s="2">
        <f>F98</f>
        <v>2004</v>
      </c>
      <c r="AP98" s="2" t="str">
        <f>CONCATENATE(AN98," ",AO98)</f>
        <v>Lange C 2004</v>
      </c>
      <c r="AQ98" s="2">
        <f>INT(H98)</f>
        <v>17</v>
      </c>
      <c r="AR98" s="2">
        <f>J98</f>
        <v>2.67</v>
      </c>
      <c r="AS98" s="2">
        <f>K98</f>
        <v>0.5</v>
      </c>
      <c r="AT98" s="2">
        <f>INT(I98)</f>
        <v>17</v>
      </c>
      <c r="AU98" s="2">
        <f>L98</f>
        <v>3.19</v>
      </c>
      <c r="AV98" s="2">
        <f>M98</f>
        <v>0.37</v>
      </c>
      <c r="AW98" s="206">
        <f>O98</f>
        <v>-1.1543484943377109</v>
      </c>
      <c r="AX98" s="2">
        <f>SQRT(P98)</f>
        <v>0.37391363205829686</v>
      </c>
      <c r="AY98" s="2"/>
      <c r="AZ98" s="2"/>
    </row>
    <row r="99" spans="5:52">
      <c r="E99" t="str">
        <f t="shared" si="35"/>
        <v>Lloyd AJ</v>
      </c>
      <c r="F99">
        <f t="shared" si="35"/>
        <v>2004</v>
      </c>
      <c r="G99">
        <v>29</v>
      </c>
      <c r="H99">
        <f t="shared" si="36"/>
        <v>51</v>
      </c>
      <c r="I99">
        <f t="shared" si="36"/>
        <v>39</v>
      </c>
      <c r="J99">
        <f t="shared" si="37"/>
        <v>2.8</v>
      </c>
      <c r="K99">
        <f t="shared" si="38"/>
        <v>0.5</v>
      </c>
      <c r="L99">
        <f t="shared" si="39"/>
        <v>3</v>
      </c>
      <c r="M99">
        <f t="shared" si="40"/>
        <v>0.4</v>
      </c>
      <c r="N99">
        <f t="shared" si="7"/>
        <v>0.45949577107560374</v>
      </c>
      <c r="O99" s="59">
        <f t="shared" si="8"/>
        <v>-0.43153955002987932</v>
      </c>
      <c r="P99" s="63">
        <f t="shared" si="9"/>
        <v>4.6330825455250045E-2</v>
      </c>
      <c r="Q99" s="59">
        <f t="shared" si="10"/>
        <v>0.4218820914294521</v>
      </c>
      <c r="R99" s="59">
        <f t="shared" si="11"/>
        <v>21.58390208190611</v>
      </c>
      <c r="S99" s="59">
        <f t="shared" si="12"/>
        <v>-9.3143073923147384</v>
      </c>
      <c r="T99" s="59">
        <f t="shared" si="13"/>
        <v>4.0194920209194809</v>
      </c>
      <c r="U99" s="23">
        <f t="shared" si="14"/>
        <v>465.86482908131092</v>
      </c>
      <c r="V99" s="59">
        <f t="shared" si="15"/>
        <v>5.063053616224102</v>
      </c>
      <c r="W99" s="59">
        <f t="shared" si="16"/>
        <v>-2.1849078793225023</v>
      </c>
      <c r="AF99" s="59">
        <f t="shared" si="17"/>
        <v>-0.43153955002987932</v>
      </c>
      <c r="AG99" s="59">
        <f t="shared" si="18"/>
        <v>0.4218820914294521</v>
      </c>
      <c r="AH99" s="59">
        <f t="shared" si="19"/>
        <v>0.4218820914294521</v>
      </c>
      <c r="AJ99">
        <f t="shared" si="20"/>
        <v>0.21524596501502657</v>
      </c>
      <c r="AK99">
        <f t="shared" si="21"/>
        <v>4.6458478324097214</v>
      </c>
      <c r="AL99">
        <f t="shared" si="22"/>
        <v>-2.0048670831053816</v>
      </c>
      <c r="AN99" s="2" t="str">
        <f t="shared" si="23"/>
        <v>Lloyd AJ</v>
      </c>
      <c r="AO99" s="2">
        <f t="shared" si="24"/>
        <v>2004</v>
      </c>
      <c r="AP99" s="2" t="str">
        <f t="shared" si="25"/>
        <v>Lloyd AJ 2004</v>
      </c>
      <c r="AQ99" s="2">
        <f t="shared" si="26"/>
        <v>51</v>
      </c>
      <c r="AR99" s="2">
        <f t="shared" si="27"/>
        <v>2.8</v>
      </c>
      <c r="AS99" s="2">
        <f t="shared" si="28"/>
        <v>0.5</v>
      </c>
      <c r="AT99" s="2">
        <f t="shared" si="29"/>
        <v>39</v>
      </c>
      <c r="AU99" s="2">
        <f t="shared" si="30"/>
        <v>3</v>
      </c>
      <c r="AV99" s="2">
        <f t="shared" si="31"/>
        <v>0.4</v>
      </c>
      <c r="AW99" s="206">
        <f t="shared" si="32"/>
        <v>-0.43153955002987932</v>
      </c>
      <c r="AX99" s="2">
        <f t="shared" si="33"/>
        <v>0.21524596501502657</v>
      </c>
      <c r="AY99" s="2"/>
      <c r="AZ99" s="2"/>
    </row>
    <row r="100" spans="5:52">
      <c r="E100" t="str">
        <f t="shared" si="35"/>
        <v>MacMaster FP (A)</v>
      </c>
      <c r="F100">
        <f t="shared" si="35"/>
        <v>2004</v>
      </c>
      <c r="G100">
        <v>28</v>
      </c>
      <c r="H100">
        <f t="shared" si="36"/>
        <v>17</v>
      </c>
      <c r="I100">
        <f t="shared" si="36"/>
        <v>17</v>
      </c>
      <c r="J100">
        <f t="shared" si="37"/>
        <v>2.54</v>
      </c>
      <c r="K100">
        <f t="shared" si="38"/>
        <v>0.495</v>
      </c>
      <c r="L100">
        <f t="shared" si="39"/>
        <v>2.88</v>
      </c>
      <c r="M100">
        <f t="shared" si="40"/>
        <v>0.45400000000000001</v>
      </c>
      <c r="N100">
        <f t="shared" si="7"/>
        <v>0.47494262811417548</v>
      </c>
      <c r="O100" s="59">
        <f t="shared" si="8"/>
        <v>-0.69896548401042458</v>
      </c>
      <c r="P100" s="63">
        <f t="shared" si="9"/>
        <v>0.12577335203440643</v>
      </c>
      <c r="Q100" s="59">
        <f t="shared" si="10"/>
        <v>0.69510496270374578</v>
      </c>
      <c r="R100" s="59">
        <f t="shared" si="11"/>
        <v>7.9508098005246852</v>
      </c>
      <c r="S100" s="59">
        <f t="shared" si="12"/>
        <v>-5.5573416204985637</v>
      </c>
      <c r="T100" s="59">
        <f t="shared" si="13"/>
        <v>3.8843899755830558</v>
      </c>
      <c r="U100" s="23">
        <f t="shared" si="14"/>
        <v>63.215376484119382</v>
      </c>
      <c r="V100" s="59">
        <f t="shared" si="15"/>
        <v>3.6107367031431483</v>
      </c>
      <c r="W100" s="59">
        <f t="shared" si="16"/>
        <v>-2.5237803273466555</v>
      </c>
      <c r="AF100" s="59">
        <f t="shared" si="17"/>
        <v>-0.69896548401042458</v>
      </c>
      <c r="AG100" s="59">
        <f t="shared" si="18"/>
        <v>0.69510496270374578</v>
      </c>
      <c r="AH100" s="59">
        <f t="shared" si="19"/>
        <v>0.69510496270374578</v>
      </c>
      <c r="AJ100">
        <f t="shared" si="20"/>
        <v>0.35464538913456417</v>
      </c>
      <c r="AK100">
        <f t="shared" si="21"/>
        <v>2.8197180356419831</v>
      </c>
      <c r="AL100">
        <f t="shared" si="22"/>
        <v>-1.9708855815554223</v>
      </c>
      <c r="AN100" s="2" t="str">
        <f t="shared" si="23"/>
        <v>MacMaster FP (A)</v>
      </c>
      <c r="AO100" s="2">
        <f t="shared" si="24"/>
        <v>2004</v>
      </c>
      <c r="AP100" s="2" t="str">
        <f t="shared" si="25"/>
        <v>MacMaster FP (A) 2004</v>
      </c>
      <c r="AQ100" s="2">
        <f t="shared" si="26"/>
        <v>17</v>
      </c>
      <c r="AR100" s="2">
        <f t="shared" si="27"/>
        <v>2.54</v>
      </c>
      <c r="AS100" s="2">
        <f t="shared" si="28"/>
        <v>0.495</v>
      </c>
      <c r="AT100" s="2">
        <f t="shared" si="29"/>
        <v>17</v>
      </c>
      <c r="AU100" s="2">
        <f t="shared" si="30"/>
        <v>2.88</v>
      </c>
      <c r="AV100" s="2">
        <f t="shared" si="31"/>
        <v>0.45400000000000001</v>
      </c>
      <c r="AW100" s="206">
        <f t="shared" si="32"/>
        <v>-0.69896548401042458</v>
      </c>
      <c r="AX100" s="2">
        <f t="shared" si="33"/>
        <v>0.35464538913456417</v>
      </c>
      <c r="AY100" s="2"/>
      <c r="AZ100" s="2"/>
    </row>
    <row r="101" spans="5:52">
      <c r="E101" t="str">
        <f t="shared" si="35"/>
        <v>Vythilingam M</v>
      </c>
      <c r="F101">
        <f t="shared" si="35"/>
        <v>2004</v>
      </c>
      <c r="G101">
        <v>27</v>
      </c>
      <c r="H101">
        <f t="shared" si="36"/>
        <v>38</v>
      </c>
      <c r="I101">
        <f t="shared" si="36"/>
        <v>33</v>
      </c>
      <c r="J101">
        <f t="shared" si="37"/>
        <v>3132</v>
      </c>
      <c r="K101">
        <f t="shared" si="38"/>
        <v>417</v>
      </c>
      <c r="L101">
        <f t="shared" si="39"/>
        <v>3235</v>
      </c>
      <c r="M101">
        <f t="shared" si="40"/>
        <v>407</v>
      </c>
      <c r="N101">
        <f t="shared" si="7"/>
        <v>412.39247171188481</v>
      </c>
      <c r="O101" s="59">
        <f t="shared" si="8"/>
        <v>-0.24703739913937825</v>
      </c>
      <c r="P101" s="63">
        <f t="shared" si="9"/>
        <v>5.7073841224474342E-2</v>
      </c>
      <c r="Q101" s="59">
        <f t="shared" si="10"/>
        <v>0.46824658936071345</v>
      </c>
      <c r="R101" s="59">
        <f t="shared" si="11"/>
        <v>17.521161683632766</v>
      </c>
      <c r="S101" s="59">
        <f t="shared" si="12"/>
        <v>-4.3283822122251685</v>
      </c>
      <c r="T101" s="59">
        <f t="shared" si="13"/>
        <v>1.0692722841892539</v>
      </c>
      <c r="U101" s="23">
        <f t="shared" si="14"/>
        <v>306.991106744001</v>
      </c>
      <c r="V101" s="59">
        <f t="shared" si="15"/>
        <v>4.8018681705911934</v>
      </c>
      <c r="W101" s="59">
        <f t="shared" si="16"/>
        <v>-1.1862410238730128</v>
      </c>
      <c r="AF101" s="59">
        <f t="shared" si="17"/>
        <v>-0.24703739913937825</v>
      </c>
      <c r="AG101" s="59">
        <f t="shared" si="18"/>
        <v>0.46824658936071345</v>
      </c>
      <c r="AH101" s="59">
        <f t="shared" si="19"/>
        <v>0.46824658936071345</v>
      </c>
      <c r="AJ101">
        <f t="shared" si="20"/>
        <v>0.23890132110240483</v>
      </c>
      <c r="AK101">
        <f t="shared" si="21"/>
        <v>4.1858286734687038</v>
      </c>
      <c r="AL101">
        <f t="shared" si="22"/>
        <v>-1.0340562287367423</v>
      </c>
      <c r="AN101" s="2" t="str">
        <f t="shared" si="23"/>
        <v>Vythilingam M</v>
      </c>
      <c r="AO101" s="2">
        <f t="shared" si="24"/>
        <v>2004</v>
      </c>
      <c r="AP101" s="2" t="str">
        <f t="shared" si="25"/>
        <v>Vythilingam M 2004</v>
      </c>
      <c r="AQ101" s="2">
        <f t="shared" si="26"/>
        <v>38</v>
      </c>
      <c r="AR101" s="2">
        <f t="shared" si="27"/>
        <v>3132</v>
      </c>
      <c r="AS101" s="2">
        <f t="shared" si="28"/>
        <v>417</v>
      </c>
      <c r="AT101" s="2">
        <f t="shared" si="29"/>
        <v>33</v>
      </c>
      <c r="AU101" s="2">
        <f t="shared" si="30"/>
        <v>3235</v>
      </c>
      <c r="AV101" s="2">
        <f t="shared" si="31"/>
        <v>407</v>
      </c>
      <c r="AW101" s="206">
        <f t="shared" si="32"/>
        <v>-0.24703739913937825</v>
      </c>
      <c r="AX101" s="2">
        <f t="shared" si="33"/>
        <v>0.23890132110240483</v>
      </c>
      <c r="AY101" s="2"/>
      <c r="AZ101" s="2"/>
    </row>
    <row r="102" spans="5:52">
      <c r="E102" t="str">
        <f t="shared" si="35"/>
        <v>Xia J</v>
      </c>
      <c r="F102">
        <f t="shared" si="35"/>
        <v>2004</v>
      </c>
      <c r="G102">
        <v>26</v>
      </c>
      <c r="H102">
        <f t="shared" si="36"/>
        <v>22</v>
      </c>
      <c r="I102">
        <f t="shared" si="36"/>
        <v>13</v>
      </c>
      <c r="J102">
        <f t="shared" si="37"/>
        <v>3487.27</v>
      </c>
      <c r="K102">
        <f t="shared" si="38"/>
        <v>62.96</v>
      </c>
      <c r="L102">
        <f t="shared" si="39"/>
        <v>3710.31</v>
      </c>
      <c r="M102">
        <f t="shared" si="40"/>
        <v>36.67</v>
      </c>
      <c r="N102">
        <f>IF($D$3=1,SQRT((((I102-1)*(M102)^2)+((H102-1)*(K102)^2))/(H102+I102-2)),M102)</f>
        <v>54.877124560239125</v>
      </c>
      <c r="O102" s="59">
        <f>IF($D$6=1,LN(J102/L102),IF($D$5=1,(1-3/(4*(H102+I102)-9))*((J102-L102)/N102),(J102-L102)/N102))</f>
        <v>-3.9712761097974765</v>
      </c>
      <c r="P102" s="63">
        <f>IF($D$6=1,(K102^2)/(H102*J102^2)+(M102^2)/(I102*L102^2),(IF($D$5=1,((H102+I102)/(H102*I102))+(O102*O102)/(2*(H102+I102-3.94)),((H102+I102)/(H102*I102))+((O102^2)/(2*(H102+I102-2))))))</f>
        <v>0.37625775663789573</v>
      </c>
      <c r="Q102" s="59">
        <f t="shared" si="10"/>
        <v>1.2022611188507015</v>
      </c>
      <c r="R102" s="59">
        <f>1/P102</f>
        <v>2.6577525176773524</v>
      </c>
      <c r="S102" s="59">
        <f>O102*R102</f>
        <v>-10.554669079206166</v>
      </c>
      <c r="T102" s="59">
        <f>R102*(O102^2)</f>
        <v>41.915505161069575</v>
      </c>
      <c r="U102" s="23">
        <f>R102^2</f>
        <v>7.0636484452203057</v>
      </c>
      <c r="V102" s="59">
        <f t="shared" si="15"/>
        <v>1.8959639225311442</v>
      </c>
      <c r="W102" s="59">
        <f>V102*O102</f>
        <v>-7.5293962305858466</v>
      </c>
      <c r="AF102" s="59">
        <f>IF($D$6=1,100*((EXP(O102))-1),O102)</f>
        <v>-3.9712761097974765</v>
      </c>
      <c r="AG102" s="59">
        <f>IF($D$6=1,100*(EXP(O102+Q102)-EXP(O102)),Q102)</f>
        <v>1.2022611188507015</v>
      </c>
      <c r="AH102" s="59">
        <f>IF($D$6=1,100*(EXP(O102)-EXP(O102-Q102)),Q102)</f>
        <v>1.2022611188507015</v>
      </c>
      <c r="AJ102">
        <f>SQRT(P102)</f>
        <v>0.61339853002586808</v>
      </c>
      <c r="AK102">
        <f t="shared" si="21"/>
        <v>1.6302614875158379</v>
      </c>
      <c r="AL102">
        <f>O102/AJ102</f>
        <v>-6.4742184980945439</v>
      </c>
      <c r="AN102" s="2" t="str">
        <f>E102</f>
        <v>Xia J</v>
      </c>
      <c r="AO102" s="2">
        <f>F102</f>
        <v>2004</v>
      </c>
      <c r="AP102" s="2" t="str">
        <f>CONCATENATE(AN102," ",AO102)</f>
        <v>Xia J 2004</v>
      </c>
      <c r="AQ102" s="2">
        <f>INT(H102)</f>
        <v>22</v>
      </c>
      <c r="AR102" s="2">
        <f>J102</f>
        <v>3487.27</v>
      </c>
      <c r="AS102" s="2">
        <f>K102</f>
        <v>62.96</v>
      </c>
      <c r="AT102" s="2">
        <f>INT(I102)</f>
        <v>13</v>
      </c>
      <c r="AU102" s="2">
        <f>L102</f>
        <v>3710.31</v>
      </c>
      <c r="AV102" s="2">
        <f>M102</f>
        <v>36.67</v>
      </c>
      <c r="AW102" s="206">
        <f>O102</f>
        <v>-3.9712761097974765</v>
      </c>
      <c r="AX102" s="2">
        <f>SQRT(P102)</f>
        <v>0.61339853002586808</v>
      </c>
      <c r="AY102" s="2"/>
      <c r="AZ102" s="2"/>
    </row>
    <row r="103" spans="5:52">
      <c r="E103" t="str">
        <f>E40</f>
        <v>Rosso IM</v>
      </c>
      <c r="F103">
        <f>F40</f>
        <v>2005</v>
      </c>
      <c r="G103">
        <v>25</v>
      </c>
      <c r="H103">
        <f>H40</f>
        <v>20</v>
      </c>
      <c r="I103">
        <f>I40</f>
        <v>24</v>
      </c>
      <c r="J103">
        <f t="shared" ref="J103:M104" si="41">IF($D$4="Total",T40,IF($D$4="Left",L40,IF($D$4="Right",P40,"error")))</f>
        <v>6.39</v>
      </c>
      <c r="K103">
        <f t="shared" si="41"/>
        <v>0.71599999999999997</v>
      </c>
      <c r="L103">
        <f t="shared" si="41"/>
        <v>6.19</v>
      </c>
      <c r="M103">
        <f t="shared" si="41"/>
        <v>0.78400000000000003</v>
      </c>
      <c r="N103">
        <f t="shared" si="7"/>
        <v>0.75399810534055256</v>
      </c>
      <c r="O103" s="59">
        <f t="shared" si="8"/>
        <v>0.26048763814868214</v>
      </c>
      <c r="P103" s="63">
        <f t="shared" si="9"/>
        <v>9.2513568933619714E-2</v>
      </c>
      <c r="Q103" s="59">
        <f t="shared" si="10"/>
        <v>0.59615444845727139</v>
      </c>
      <c r="R103" s="59">
        <f t="shared" si="11"/>
        <v>10.809225192874349</v>
      </c>
      <c r="S103" s="59">
        <f t="shared" si="12"/>
        <v>2.8156695407090724</v>
      </c>
      <c r="T103" s="59">
        <f t="shared" si="13"/>
        <v>0.73344710846649086</v>
      </c>
      <c r="U103" s="23">
        <f t="shared" si="14"/>
        <v>116.83934927026951</v>
      </c>
      <c r="V103" s="59">
        <f t="shared" si="15"/>
        <v>4.1035403866711171</v>
      </c>
      <c r="W103" s="59">
        <f t="shared" si="16"/>
        <v>1.0689215433716892</v>
      </c>
      <c r="AF103" s="59">
        <f t="shared" si="17"/>
        <v>0.26048763814868214</v>
      </c>
      <c r="AG103" s="59">
        <f t="shared" si="18"/>
        <v>0.59615444845727139</v>
      </c>
      <c r="AH103" s="59">
        <f t="shared" si="19"/>
        <v>0.59615444845727139</v>
      </c>
      <c r="AJ103">
        <f t="shared" si="20"/>
        <v>0.30416043288636296</v>
      </c>
      <c r="AK103">
        <f t="shared" si="21"/>
        <v>3.2877386138308426</v>
      </c>
      <c r="AL103">
        <f t="shared" si="22"/>
        <v>0.85641526636701837</v>
      </c>
      <c r="AN103" s="2" t="str">
        <f t="shared" si="23"/>
        <v>Rosso IM</v>
      </c>
      <c r="AO103" s="2">
        <f t="shared" si="24"/>
        <v>2005</v>
      </c>
      <c r="AP103" s="2" t="str">
        <f t="shared" si="25"/>
        <v>Rosso IM 2005</v>
      </c>
      <c r="AQ103" s="2">
        <f t="shared" si="26"/>
        <v>20</v>
      </c>
      <c r="AR103" s="2">
        <f t="shared" si="27"/>
        <v>6.39</v>
      </c>
      <c r="AS103" s="2">
        <f t="shared" si="28"/>
        <v>0.71599999999999997</v>
      </c>
      <c r="AT103" s="2">
        <f t="shared" si="29"/>
        <v>24</v>
      </c>
      <c r="AU103" s="2">
        <f t="shared" si="30"/>
        <v>6.19</v>
      </c>
      <c r="AV103" s="2">
        <f t="shared" si="31"/>
        <v>0.78400000000000003</v>
      </c>
      <c r="AW103" s="206">
        <f t="shared" si="32"/>
        <v>0.26048763814868214</v>
      </c>
      <c r="AX103" s="2">
        <f t="shared" si="33"/>
        <v>0.30416043288636296</v>
      </c>
      <c r="AY103" s="2"/>
      <c r="AZ103" s="2"/>
    </row>
    <row r="104" spans="5:52">
      <c r="E104" t="str">
        <f>E41</f>
        <v>Taylor WD (B)</v>
      </c>
      <c r="F104">
        <f>F41</f>
        <v>2005</v>
      </c>
      <c r="G104">
        <v>24</v>
      </c>
      <c r="H104">
        <f>H41</f>
        <v>135</v>
      </c>
      <c r="I104">
        <f>I41</f>
        <v>83</v>
      </c>
      <c r="J104">
        <f t="shared" si="41"/>
        <v>3.09</v>
      </c>
      <c r="K104">
        <f t="shared" si="41"/>
        <v>0.42</v>
      </c>
      <c r="L104">
        <f t="shared" si="41"/>
        <v>3.12</v>
      </c>
      <c r="M104">
        <f t="shared" si="41"/>
        <v>0.44</v>
      </c>
      <c r="N104">
        <f t="shared" si="7"/>
        <v>0.42770273512058538</v>
      </c>
      <c r="O104" s="59">
        <f t="shared" si="8"/>
        <v>-6.9898343348051631E-2</v>
      </c>
      <c r="P104" s="63">
        <f t="shared" si="9"/>
        <v>1.94670123489178E-2</v>
      </c>
      <c r="Q104" s="59">
        <f t="shared" si="10"/>
        <v>0.2734675019807703</v>
      </c>
      <c r="R104" s="59">
        <f t="shared" si="11"/>
        <v>51.368950821854874</v>
      </c>
      <c r="S104" s="59">
        <f t="shared" si="12"/>
        <v>-3.5906045619751912</v>
      </c>
      <c r="T104" s="59">
        <f t="shared" si="13"/>
        <v>0.25097731050002248</v>
      </c>
      <c r="U104" s="23">
        <f t="shared" si="14"/>
        <v>2638.7691085381443</v>
      </c>
      <c r="V104" s="59">
        <f t="shared" si="15"/>
        <v>5.8601034310989171</v>
      </c>
      <c r="W104" s="59">
        <f t="shared" si="16"/>
        <v>-0.40961152168204751</v>
      </c>
      <c r="AF104" s="59">
        <f t="shared" si="17"/>
        <v>-6.9898343348051631E-2</v>
      </c>
      <c r="AG104" s="59">
        <f t="shared" si="18"/>
        <v>0.2734675019807703</v>
      </c>
      <c r="AH104" s="59">
        <f t="shared" si="19"/>
        <v>0.2734675019807703</v>
      </c>
      <c r="AJ104">
        <f t="shared" si="20"/>
        <v>0.13952423570447464</v>
      </c>
      <c r="AK104">
        <f t="shared" si="21"/>
        <v>7.1672136023600475</v>
      </c>
      <c r="AL104">
        <f t="shared" si="22"/>
        <v>-0.50097635722658851</v>
      </c>
      <c r="AN104" s="2" t="str">
        <f t="shared" si="23"/>
        <v>Taylor WD (B)</v>
      </c>
      <c r="AO104" s="2">
        <f t="shared" si="24"/>
        <v>2005</v>
      </c>
      <c r="AP104" s="2" t="str">
        <f t="shared" si="25"/>
        <v>Taylor WD (B) 2005</v>
      </c>
      <c r="AQ104" s="2">
        <f t="shared" si="26"/>
        <v>135</v>
      </c>
      <c r="AR104" s="2">
        <f t="shared" si="27"/>
        <v>3.09</v>
      </c>
      <c r="AS104" s="2">
        <f t="shared" si="28"/>
        <v>0.42</v>
      </c>
      <c r="AT104" s="2">
        <f t="shared" si="29"/>
        <v>83</v>
      </c>
      <c r="AU104" s="2">
        <f t="shared" si="30"/>
        <v>3.12</v>
      </c>
      <c r="AV104" s="2">
        <f t="shared" si="31"/>
        <v>0.44</v>
      </c>
      <c r="AW104" s="206">
        <f t="shared" si="32"/>
        <v>-6.9898343348051631E-2</v>
      </c>
      <c r="AX104" s="2">
        <f t="shared" si="33"/>
        <v>0.13952423570447464</v>
      </c>
      <c r="AY104" s="2"/>
      <c r="AZ104" s="2"/>
    </row>
    <row r="105" spans="5:52">
      <c r="E105" t="str">
        <f t="shared" ref="E105:F107" si="42">E42</f>
        <v>Saylam C</v>
      </c>
      <c r="F105">
        <f t="shared" si="42"/>
        <v>2006</v>
      </c>
      <c r="G105">
        <v>23</v>
      </c>
      <c r="H105">
        <f t="shared" ref="H105:I107" si="43">H42</f>
        <v>24</v>
      </c>
      <c r="I105">
        <f t="shared" si="43"/>
        <v>24</v>
      </c>
      <c r="J105">
        <f t="shared" ref="J105:M111" si="44">IF($D$4="Total",T42,IF($D$4="Left",L42,IF($D$4="Right",P42,"error")))</f>
        <v>2696.4</v>
      </c>
      <c r="K105">
        <f t="shared" si="44"/>
        <v>194.4</v>
      </c>
      <c r="L105">
        <f t="shared" si="44"/>
        <v>2806.3</v>
      </c>
      <c r="M105">
        <f t="shared" si="44"/>
        <v>256.8</v>
      </c>
      <c r="N105">
        <f t="shared" si="7"/>
        <v>227.74722830366125</v>
      </c>
      <c r="O105" s="59">
        <f t="shared" si="8"/>
        <v>-0.4746418275247129</v>
      </c>
      <c r="P105" s="63">
        <f t="shared" si="9"/>
        <v>8.5889902380496277E-2</v>
      </c>
      <c r="Q105" s="59">
        <f t="shared" si="10"/>
        <v>0.57441679030553638</v>
      </c>
      <c r="R105" s="59">
        <f t="shared" si="11"/>
        <v>11.64281216166661</v>
      </c>
      <c r="S105" s="59">
        <f t="shared" si="12"/>
        <v>-5.5261656419403931</v>
      </c>
      <c r="T105" s="59">
        <f t="shared" si="13"/>
        <v>2.6229493594948665</v>
      </c>
      <c r="U105" s="23">
        <f t="shared" si="14"/>
        <v>135.55507503185191</v>
      </c>
      <c r="V105" s="59">
        <f t="shared" si="15"/>
        <v>4.2181929081825444</v>
      </c>
      <c r="W105" s="59">
        <f t="shared" si="16"/>
        <v>-2.0021307907915462</v>
      </c>
      <c r="AF105" s="59">
        <f t="shared" si="17"/>
        <v>-0.4746418275247129</v>
      </c>
      <c r="AG105" s="59">
        <f t="shared" si="18"/>
        <v>0.57441679030553638</v>
      </c>
      <c r="AH105" s="59">
        <f t="shared" si="19"/>
        <v>0.57441679030553638</v>
      </c>
      <c r="AJ105">
        <f t="shared" si="20"/>
        <v>0.29306979097221242</v>
      </c>
      <c r="AK105">
        <f t="shared" si="21"/>
        <v>3.4121565265483662</v>
      </c>
      <c r="AL105">
        <f t="shared" si="22"/>
        <v>-1.6195522095612931</v>
      </c>
      <c r="AN105" s="2" t="str">
        <f t="shared" si="23"/>
        <v>Saylam C</v>
      </c>
      <c r="AO105" s="2">
        <f t="shared" si="24"/>
        <v>2006</v>
      </c>
      <c r="AP105" s="2" t="str">
        <f t="shared" si="25"/>
        <v>Saylam C 2006</v>
      </c>
      <c r="AQ105" s="2">
        <f t="shared" si="26"/>
        <v>24</v>
      </c>
      <c r="AR105" s="2">
        <f t="shared" si="27"/>
        <v>2696.4</v>
      </c>
      <c r="AS105" s="2">
        <f t="shared" si="28"/>
        <v>194.4</v>
      </c>
      <c r="AT105" s="2">
        <f t="shared" si="29"/>
        <v>24</v>
      </c>
      <c r="AU105" s="2">
        <f t="shared" si="30"/>
        <v>2806.3</v>
      </c>
      <c r="AV105" s="2">
        <f t="shared" si="31"/>
        <v>256.8</v>
      </c>
      <c r="AW105" s="206">
        <f t="shared" si="32"/>
        <v>-0.4746418275247129</v>
      </c>
      <c r="AX105" s="2">
        <f t="shared" si="33"/>
        <v>0.29306979097221242</v>
      </c>
      <c r="AY105" s="2"/>
      <c r="AZ105" s="2"/>
    </row>
    <row r="106" spans="5:52">
      <c r="E106" t="str">
        <f t="shared" si="42"/>
        <v>Weniger G</v>
      </c>
      <c r="F106">
        <f t="shared" si="42"/>
        <v>2006</v>
      </c>
      <c r="G106">
        <v>22</v>
      </c>
      <c r="H106">
        <f t="shared" si="43"/>
        <v>21</v>
      </c>
      <c r="I106">
        <f t="shared" si="43"/>
        <v>23</v>
      </c>
      <c r="J106">
        <f t="shared" si="44"/>
        <v>2.7</v>
      </c>
      <c r="K106">
        <f t="shared" si="44"/>
        <v>0.5</v>
      </c>
      <c r="L106">
        <f t="shared" si="44"/>
        <v>3.2</v>
      </c>
      <c r="M106">
        <f t="shared" si="44"/>
        <v>0.4</v>
      </c>
      <c r="N106">
        <f t="shared" si="7"/>
        <v>0.45039665058384132</v>
      </c>
      <c r="O106" s="59">
        <f t="shared" si="8"/>
        <v>-1.090190087860019</v>
      </c>
      <c r="P106" s="63">
        <f t="shared" si="9"/>
        <v>0.10593148756584993</v>
      </c>
      <c r="Q106" s="59">
        <f t="shared" si="10"/>
        <v>0.63792350844985257</v>
      </c>
      <c r="R106" s="59">
        <f t="shared" si="11"/>
        <v>9.4400637900829292</v>
      </c>
      <c r="S106" s="59">
        <f t="shared" si="12"/>
        <v>-10.291463972714693</v>
      </c>
      <c r="T106" s="59">
        <f t="shared" si="13"/>
        <v>11.219652012622051</v>
      </c>
      <c r="U106" s="23">
        <f t="shared" si="14"/>
        <v>89.114804360834881</v>
      </c>
      <c r="V106" s="59">
        <f t="shared" si="15"/>
        <v>3.8893869638011638</v>
      </c>
      <c r="W106" s="59">
        <f t="shared" si="16"/>
        <v>-4.2401711157880033</v>
      </c>
      <c r="AF106" s="59">
        <f t="shared" si="17"/>
        <v>-1.090190087860019</v>
      </c>
      <c r="AG106" s="59">
        <f t="shared" si="18"/>
        <v>0.63792350844985257</v>
      </c>
      <c r="AH106" s="59">
        <f t="shared" si="19"/>
        <v>0.63792350844985257</v>
      </c>
      <c r="AJ106">
        <f t="shared" si="20"/>
        <v>0.32547117778053702</v>
      </c>
      <c r="AK106">
        <f t="shared" si="21"/>
        <v>3.0724686800816912</v>
      </c>
      <c r="AL106">
        <f t="shared" si="22"/>
        <v>-3.3495749002854156</v>
      </c>
      <c r="AN106" s="2" t="str">
        <f t="shared" si="23"/>
        <v>Weniger G</v>
      </c>
      <c r="AO106" s="2">
        <f t="shared" si="24"/>
        <v>2006</v>
      </c>
      <c r="AP106" s="2" t="str">
        <f t="shared" si="25"/>
        <v>Weniger G 2006</v>
      </c>
      <c r="AQ106" s="2">
        <f t="shared" si="26"/>
        <v>21</v>
      </c>
      <c r="AR106" s="2">
        <f t="shared" si="27"/>
        <v>2.7</v>
      </c>
      <c r="AS106" s="2">
        <f t="shared" si="28"/>
        <v>0.5</v>
      </c>
      <c r="AT106" s="2">
        <f t="shared" si="29"/>
        <v>23</v>
      </c>
      <c r="AU106" s="2">
        <f t="shared" si="30"/>
        <v>3.2</v>
      </c>
      <c r="AV106" s="2">
        <f t="shared" si="31"/>
        <v>0.4</v>
      </c>
      <c r="AW106" s="206">
        <f t="shared" si="32"/>
        <v>-1.090190087860019</v>
      </c>
      <c r="AX106" s="2">
        <f t="shared" si="33"/>
        <v>0.32547117778053702</v>
      </c>
      <c r="AY106" s="2"/>
      <c r="AZ106" s="2"/>
    </row>
    <row r="107" spans="5:52">
      <c r="E107" t="str">
        <f t="shared" si="42"/>
        <v>Velakoulis D</v>
      </c>
      <c r="F107">
        <f t="shared" si="42"/>
        <v>2006</v>
      </c>
      <c r="G107">
        <v>21</v>
      </c>
      <c r="H107">
        <f t="shared" si="43"/>
        <v>12</v>
      </c>
      <c r="I107">
        <f t="shared" si="43"/>
        <v>87</v>
      </c>
      <c r="J107">
        <f t="shared" si="44"/>
        <v>3092</v>
      </c>
      <c r="K107">
        <f t="shared" si="44"/>
        <v>383</v>
      </c>
      <c r="L107">
        <f t="shared" si="44"/>
        <v>3122</v>
      </c>
      <c r="M107">
        <f t="shared" si="44"/>
        <v>388</v>
      </c>
      <c r="N107">
        <f>IF($D$3=1,SQRT((((I107-1)*(M107)^2)+((H107-1)*(K107)^2))/(H107+I107-2)),M107)</f>
        <v>387.43623352952727</v>
      </c>
      <c r="O107" s="59">
        <f>IF($D$6=1,LN(J107/L107),IF($D$5=1,(1-3/(4*(H107+I107)-9))*((J107-L107)/N107),(J107-L107)/N107))</f>
        <v>-7.6831848145138659E-2</v>
      </c>
      <c r="P107" s="63">
        <f>IF($D$6=1,(K107^2)/(H107*J107^2)+(M107^2)/(I107*L107^2),(IF($D$5=1,((H107+I107)/(H107*I107))+(O107*O107)/(2*(H107+I107-3.94)),((H107+I107)/(H107*I107))+((O107^2)/(2*(H107+I107-2))))))</f>
        <v>9.4858635717150058E-2</v>
      </c>
      <c r="Q107" s="59">
        <f t="shared" si="10"/>
        <v>0.60366293158599993</v>
      </c>
      <c r="R107" s="59">
        <f>1/P107</f>
        <v>10.542002764849</v>
      </c>
      <c r="S107" s="59">
        <f>O107*R107</f>
        <v>-0.80996155557451033</v>
      </c>
      <c r="T107" s="59">
        <f>R107*(O107^2)</f>
        <v>6.2230843241301063E-2</v>
      </c>
      <c r="U107" s="23">
        <f>R107^2</f>
        <v>111.13382229408397</v>
      </c>
      <c r="V107" s="59">
        <f t="shared" si="15"/>
        <v>4.0644280852709187</v>
      </c>
      <c r="W107" s="59">
        <f>V107*O107</f>
        <v>-0.31227752144437193</v>
      </c>
      <c r="AF107" s="59">
        <f>IF($D$6=1,100*((EXP(O107))-1),O107)</f>
        <v>-7.6831848145138659E-2</v>
      </c>
      <c r="AG107" s="59">
        <f>IF($D$6=1,100*(EXP(O107+Q107)-EXP(O107)),Q107)</f>
        <v>0.60366293158599993</v>
      </c>
      <c r="AH107" s="59">
        <f>IF($D$6=1,100*(EXP(O107)-EXP(O107-Q107)),Q107)</f>
        <v>0.60366293158599993</v>
      </c>
      <c r="AJ107">
        <f>SQRT(P107)</f>
        <v>0.3079912916255102</v>
      </c>
      <c r="AK107">
        <f t="shared" si="21"/>
        <v>3.2468450478655426</v>
      </c>
      <c r="AL107">
        <f>O107/AJ107</f>
        <v>-0.24946110566840085</v>
      </c>
      <c r="AN107" s="2" t="str">
        <f>E107</f>
        <v>Velakoulis D</v>
      </c>
      <c r="AO107" s="2">
        <f>F107</f>
        <v>2006</v>
      </c>
      <c r="AP107" s="2" t="str">
        <f>CONCATENATE(AN107," ",AO107)</f>
        <v>Velakoulis D 2006</v>
      </c>
      <c r="AQ107" s="2">
        <f>INT(H107)</f>
        <v>12</v>
      </c>
      <c r="AR107" s="2">
        <f>J107</f>
        <v>3092</v>
      </c>
      <c r="AS107" s="2">
        <f>K107</f>
        <v>383</v>
      </c>
      <c r="AT107" s="2">
        <f>INT(I107)</f>
        <v>87</v>
      </c>
      <c r="AU107" s="2">
        <f>L107</f>
        <v>3122</v>
      </c>
      <c r="AV107" s="2">
        <f>M107</f>
        <v>388</v>
      </c>
      <c r="AW107" s="206">
        <f>O107</f>
        <v>-7.6831848145138659E-2</v>
      </c>
      <c r="AX107" s="2">
        <f>SQRT(P107)</f>
        <v>0.3079912916255102</v>
      </c>
      <c r="AY107" s="2"/>
      <c r="AZ107" s="2"/>
    </row>
    <row r="108" spans="5:52">
      <c r="E108" t="str">
        <f t="shared" ref="E108:F112" si="45">E45</f>
        <v>Caetano SC</v>
      </c>
      <c r="F108">
        <f t="shared" si="45"/>
        <v>2007</v>
      </c>
      <c r="G108">
        <v>20</v>
      </c>
      <c r="H108">
        <f t="shared" ref="H108:I112" si="46">H45</f>
        <v>19</v>
      </c>
      <c r="I108">
        <f t="shared" si="46"/>
        <v>24</v>
      </c>
      <c r="J108">
        <f t="shared" si="44"/>
        <v>1.97</v>
      </c>
      <c r="K108">
        <f t="shared" si="44"/>
        <v>0.19</v>
      </c>
      <c r="L108">
        <f t="shared" si="44"/>
        <v>2.04</v>
      </c>
      <c r="M108">
        <f t="shared" si="44"/>
        <v>0.26</v>
      </c>
      <c r="N108">
        <f t="shared" si="7"/>
        <v>0.23188516922674696</v>
      </c>
      <c r="O108" s="59">
        <f t="shared" si="8"/>
        <v>-0.29631759836494215</v>
      </c>
      <c r="P108" s="63">
        <f t="shared" si="9"/>
        <v>9.5422210272263039E-2</v>
      </c>
      <c r="Q108" s="59">
        <f t="shared" si="10"/>
        <v>0.60545351843219619</v>
      </c>
      <c r="R108" s="59">
        <f t="shared" si="11"/>
        <v>10.479740483339823</v>
      </c>
      <c r="S108" s="59">
        <f t="shared" si="12"/>
        <v>-3.1053315315111143</v>
      </c>
      <c r="T108" s="59">
        <f t="shared" si="13"/>
        <v>0.92016438154430102</v>
      </c>
      <c r="U108" s="23">
        <f t="shared" si="14"/>
        <v>109.82496059815159</v>
      </c>
      <c r="V108" s="59">
        <f t="shared" si="15"/>
        <v>4.0551393496219967</v>
      </c>
      <c r="W108" s="59">
        <f t="shared" si="16"/>
        <v>-1.2016091531151636</v>
      </c>
      <c r="AF108" s="59">
        <f t="shared" si="17"/>
        <v>-0.29631759836494215</v>
      </c>
      <c r="AG108" s="59">
        <f t="shared" si="18"/>
        <v>0.60545351843219619</v>
      </c>
      <c r="AH108" s="59">
        <f t="shared" si="19"/>
        <v>0.60545351843219619</v>
      </c>
      <c r="AJ108">
        <f t="shared" si="20"/>
        <v>0.30890485634295722</v>
      </c>
      <c r="AK108">
        <f t="shared" si="21"/>
        <v>3.2372427285175607</v>
      </c>
      <c r="AL108">
        <f t="shared" si="22"/>
        <v>-0.95925199063869604</v>
      </c>
      <c r="AN108" s="2" t="str">
        <f t="shared" si="23"/>
        <v>Caetano SC</v>
      </c>
      <c r="AO108" s="2">
        <f t="shared" si="24"/>
        <v>2007</v>
      </c>
      <c r="AP108" s="2" t="str">
        <f t="shared" si="25"/>
        <v>Caetano SC 2007</v>
      </c>
      <c r="AQ108" s="2">
        <f t="shared" si="26"/>
        <v>19</v>
      </c>
      <c r="AR108" s="2">
        <f t="shared" si="27"/>
        <v>1.97</v>
      </c>
      <c r="AS108" s="2">
        <f t="shared" si="28"/>
        <v>0.19</v>
      </c>
      <c r="AT108" s="2">
        <f t="shared" si="29"/>
        <v>24</v>
      </c>
      <c r="AU108" s="2">
        <f t="shared" si="30"/>
        <v>2.04</v>
      </c>
      <c r="AV108" s="2">
        <f t="shared" si="31"/>
        <v>0.26</v>
      </c>
      <c r="AW108" s="206">
        <f t="shared" si="32"/>
        <v>-0.29631759836494215</v>
      </c>
      <c r="AX108" s="2">
        <f t="shared" si="33"/>
        <v>0.30890485634295722</v>
      </c>
      <c r="AY108" s="2"/>
      <c r="AZ108" s="2"/>
    </row>
    <row r="109" spans="5:52">
      <c r="E109" t="str">
        <f t="shared" si="45"/>
        <v>Colla M</v>
      </c>
      <c r="F109">
        <f t="shared" si="45"/>
        <v>2007</v>
      </c>
      <c r="G109">
        <v>19</v>
      </c>
      <c r="H109">
        <f t="shared" si="46"/>
        <v>24</v>
      </c>
      <c r="I109">
        <f t="shared" si="46"/>
        <v>14</v>
      </c>
      <c r="J109">
        <f t="shared" si="44"/>
        <v>1.78</v>
      </c>
      <c r="K109">
        <f t="shared" si="44"/>
        <v>0.26</v>
      </c>
      <c r="L109">
        <f t="shared" si="44"/>
        <v>2</v>
      </c>
      <c r="M109">
        <f t="shared" si="44"/>
        <v>0.18</v>
      </c>
      <c r="N109">
        <f t="shared" si="7"/>
        <v>0.23428377854407439</v>
      </c>
      <c r="O109" s="59">
        <f t="shared" si="8"/>
        <v>-0.91933217367030118</v>
      </c>
      <c r="P109" s="63">
        <f t="shared" si="9"/>
        <v>0.12550233800048413</v>
      </c>
      <c r="Q109" s="59">
        <f t="shared" si="10"/>
        <v>0.69435565934372545</v>
      </c>
      <c r="R109" s="59">
        <f t="shared" si="11"/>
        <v>7.9679790506862309</v>
      </c>
      <c r="S109" s="59">
        <f t="shared" si="12"/>
        <v>-7.3252195004267957</v>
      </c>
      <c r="T109" s="59">
        <f t="shared" si="13"/>
        <v>6.7343099659394436</v>
      </c>
      <c r="U109" s="23">
        <f t="shared" si="14"/>
        <v>63.488690152174648</v>
      </c>
      <c r="V109" s="59">
        <f t="shared" si="15"/>
        <v>3.6142734877615514</v>
      </c>
      <c r="W109" s="59">
        <f t="shared" si="16"/>
        <v>-3.3227179017427679</v>
      </c>
      <c r="AF109" s="59">
        <f t="shared" si="17"/>
        <v>-0.91933217367030118</v>
      </c>
      <c r="AG109" s="59">
        <f t="shared" si="18"/>
        <v>0.69435565934372545</v>
      </c>
      <c r="AH109" s="59">
        <f t="shared" si="19"/>
        <v>0.69435565934372545</v>
      </c>
      <c r="AJ109">
        <f t="shared" si="20"/>
        <v>0.35426309150190077</v>
      </c>
      <c r="AK109">
        <f t="shared" si="21"/>
        <v>2.822760891518485</v>
      </c>
      <c r="AL109">
        <f t="shared" si="22"/>
        <v>-2.5950549061512058</v>
      </c>
      <c r="AN109" s="2" t="str">
        <f t="shared" si="23"/>
        <v>Colla M</v>
      </c>
      <c r="AO109" s="2">
        <f t="shared" si="24"/>
        <v>2007</v>
      </c>
      <c r="AP109" s="2" t="str">
        <f t="shared" si="25"/>
        <v>Colla M 2007</v>
      </c>
      <c r="AQ109" s="2">
        <f t="shared" si="26"/>
        <v>24</v>
      </c>
      <c r="AR109" s="2">
        <f t="shared" si="27"/>
        <v>1.78</v>
      </c>
      <c r="AS109" s="2">
        <f t="shared" si="28"/>
        <v>0.26</v>
      </c>
      <c r="AT109" s="2">
        <f t="shared" si="29"/>
        <v>14</v>
      </c>
      <c r="AU109" s="2">
        <f t="shared" si="30"/>
        <v>2</v>
      </c>
      <c r="AV109" s="2">
        <f t="shared" si="31"/>
        <v>0.18</v>
      </c>
      <c r="AW109" s="206">
        <f t="shared" si="32"/>
        <v>-0.91933217367030118</v>
      </c>
      <c r="AX109" s="2">
        <f t="shared" si="33"/>
        <v>0.35426309150190077</v>
      </c>
      <c r="AY109" s="2"/>
      <c r="AZ109" s="2"/>
    </row>
    <row r="110" spans="5:52">
      <c r="E110" t="str">
        <f t="shared" si="45"/>
        <v>Maller JJ</v>
      </c>
      <c r="F110">
        <f t="shared" si="45"/>
        <v>2007</v>
      </c>
      <c r="G110">
        <v>18</v>
      </c>
      <c r="H110">
        <f t="shared" si="46"/>
        <v>22</v>
      </c>
      <c r="I110">
        <f t="shared" si="46"/>
        <v>13</v>
      </c>
      <c r="J110">
        <f t="shared" si="44"/>
        <v>2977.8</v>
      </c>
      <c r="K110">
        <f t="shared" si="44"/>
        <v>276.56</v>
      </c>
      <c r="L110">
        <f t="shared" si="44"/>
        <v>3202.8</v>
      </c>
      <c r="M110">
        <f t="shared" si="44"/>
        <v>487.12</v>
      </c>
      <c r="N110">
        <f t="shared" si="7"/>
        <v>367.36674922529886</v>
      </c>
      <c r="O110" s="59">
        <f t="shared" si="8"/>
        <v>-0.59844100944869871</v>
      </c>
      <c r="P110" s="63">
        <f t="shared" si="9"/>
        <v>0.12814278080952801</v>
      </c>
      <c r="Q110" s="59">
        <f t="shared" si="10"/>
        <v>0.70162191154344855</v>
      </c>
      <c r="R110" s="59">
        <f t="shared" si="11"/>
        <v>7.8037950611232976</v>
      </c>
      <c r="S110" s="59">
        <f t="shared" si="12"/>
        <v>-4.6701109939093959</v>
      </c>
      <c r="T110" s="59">
        <f t="shared" si="13"/>
        <v>2.7947859374326045</v>
      </c>
      <c r="U110" s="23">
        <f t="shared" si="14"/>
        <v>60.899217356012372</v>
      </c>
      <c r="V110" s="59">
        <f t="shared" si="15"/>
        <v>3.5801075106197144</v>
      </c>
      <c r="W110" s="59">
        <f t="shared" si="16"/>
        <v>-2.1424831525901298</v>
      </c>
      <c r="AF110" s="59">
        <f t="shared" si="17"/>
        <v>-0.59844100944869871</v>
      </c>
      <c r="AG110" s="59">
        <f t="shared" si="18"/>
        <v>0.70162191154344855</v>
      </c>
      <c r="AH110" s="59">
        <f t="shared" si="19"/>
        <v>0.70162191154344855</v>
      </c>
      <c r="AJ110">
        <f t="shared" si="20"/>
        <v>0.35797036303237173</v>
      </c>
      <c r="AK110">
        <f t="shared" si="21"/>
        <v>2.7935273510605363</v>
      </c>
      <c r="AL110">
        <f t="shared" si="22"/>
        <v>-1.6717613278912169</v>
      </c>
      <c r="AN110" s="2" t="str">
        <f t="shared" si="23"/>
        <v>Maller JJ</v>
      </c>
      <c r="AO110" s="2">
        <f t="shared" si="24"/>
        <v>2007</v>
      </c>
      <c r="AP110" s="2" t="str">
        <f t="shared" si="25"/>
        <v>Maller JJ 2007</v>
      </c>
      <c r="AQ110" s="2">
        <f t="shared" si="26"/>
        <v>22</v>
      </c>
      <c r="AR110" s="2">
        <f t="shared" si="27"/>
        <v>2977.8</v>
      </c>
      <c r="AS110" s="2">
        <f t="shared" si="28"/>
        <v>276.56</v>
      </c>
      <c r="AT110" s="2">
        <f t="shared" si="29"/>
        <v>13</v>
      </c>
      <c r="AU110" s="2">
        <f t="shared" si="30"/>
        <v>3202.8</v>
      </c>
      <c r="AV110" s="2">
        <f t="shared" si="31"/>
        <v>487.12</v>
      </c>
      <c r="AW110" s="206">
        <f t="shared" si="32"/>
        <v>-0.59844100944869871</v>
      </c>
      <c r="AX110" s="2">
        <f t="shared" si="33"/>
        <v>0.35797036303237173</v>
      </c>
      <c r="AY110" s="2"/>
      <c r="AZ110" s="2"/>
    </row>
    <row r="111" spans="5:52">
      <c r="E111" t="str">
        <f t="shared" si="45"/>
        <v>Maller JJ</v>
      </c>
      <c r="F111">
        <f t="shared" si="45"/>
        <v>2007</v>
      </c>
      <c r="G111">
        <v>17</v>
      </c>
      <c r="H111">
        <f t="shared" si="46"/>
        <v>23</v>
      </c>
      <c r="I111">
        <f t="shared" si="46"/>
        <v>17</v>
      </c>
      <c r="J111">
        <f t="shared" si="44"/>
        <v>2817.3</v>
      </c>
      <c r="K111">
        <f t="shared" si="44"/>
        <v>239.23</v>
      </c>
      <c r="L111">
        <f t="shared" si="44"/>
        <v>2961.03</v>
      </c>
      <c r="M111">
        <f t="shared" si="44"/>
        <v>281.60000000000002</v>
      </c>
      <c r="N111">
        <f t="shared" si="7"/>
        <v>257.91975515652149</v>
      </c>
      <c r="O111" s="59">
        <f t="shared" si="8"/>
        <v>-0.5461948310264233</v>
      </c>
      <c r="P111" s="63">
        <f t="shared" si="9"/>
        <v>0.10643835147711449</v>
      </c>
      <c r="Q111" s="59">
        <f t="shared" si="10"/>
        <v>0.63944786420355093</v>
      </c>
      <c r="R111" s="59">
        <f t="shared" si="11"/>
        <v>9.3951098088456568</v>
      </c>
      <c r="S111" s="59">
        <f t="shared" si="12"/>
        <v>-5.1315604145171454</v>
      </c>
      <c r="T111" s="59">
        <f t="shared" si="13"/>
        <v>2.8028317735090749</v>
      </c>
      <c r="U111" s="23">
        <f t="shared" si="14"/>
        <v>88.268088320267879</v>
      </c>
      <c r="V111" s="59">
        <f t="shared" si="15"/>
        <v>3.8817345515548589</v>
      </c>
      <c r="W111" s="59">
        <f t="shared" si="16"/>
        <v>-2.1201833474759351</v>
      </c>
      <c r="AF111" s="59">
        <f t="shared" si="17"/>
        <v>-0.5461948310264233</v>
      </c>
      <c r="AG111" s="59">
        <f t="shared" si="18"/>
        <v>0.63944786420355093</v>
      </c>
      <c r="AH111" s="59">
        <f t="shared" si="19"/>
        <v>0.63944786420355093</v>
      </c>
      <c r="AJ111">
        <f t="shared" si="20"/>
        <v>0.32624891030793418</v>
      </c>
      <c r="AK111">
        <f t="shared" si="21"/>
        <v>3.0651443373592797</v>
      </c>
      <c r="AL111">
        <f t="shared" si="22"/>
        <v>-1.6741659934155499</v>
      </c>
      <c r="AN111" s="2" t="str">
        <f t="shared" si="23"/>
        <v>Maller JJ</v>
      </c>
      <c r="AO111" s="2">
        <f t="shared" si="24"/>
        <v>2007</v>
      </c>
      <c r="AP111" s="2" t="str">
        <f t="shared" si="25"/>
        <v>Maller JJ 2007</v>
      </c>
      <c r="AQ111" s="2">
        <f t="shared" si="26"/>
        <v>23</v>
      </c>
      <c r="AR111" s="2">
        <f t="shared" si="27"/>
        <v>2817.3</v>
      </c>
      <c r="AS111" s="2">
        <f t="shared" si="28"/>
        <v>239.23</v>
      </c>
      <c r="AT111" s="2">
        <f t="shared" si="29"/>
        <v>17</v>
      </c>
      <c r="AU111" s="2">
        <f t="shared" si="30"/>
        <v>2961.03</v>
      </c>
      <c r="AV111" s="2">
        <f t="shared" si="31"/>
        <v>281.60000000000002</v>
      </c>
      <c r="AW111" s="206">
        <f t="shared" si="32"/>
        <v>-0.5461948310264233</v>
      </c>
      <c r="AX111" s="2">
        <f t="shared" si="33"/>
        <v>0.32624891030793418</v>
      </c>
      <c r="AY111" s="2"/>
      <c r="AZ111" s="2"/>
    </row>
    <row r="112" spans="5:52">
      <c r="E112" t="str">
        <f t="shared" si="45"/>
        <v>Ballmaier M (A)</v>
      </c>
      <c r="F112">
        <f t="shared" si="45"/>
        <v>2008</v>
      </c>
      <c r="G112">
        <v>16</v>
      </c>
      <c r="H112">
        <f t="shared" si="46"/>
        <v>46</v>
      </c>
      <c r="I112">
        <f t="shared" si="46"/>
        <v>34</v>
      </c>
      <c r="J112">
        <f t="shared" ref="J112:J117" si="47">IF($D$4="Total",T49,IF($D$4="Left",L49,IF($D$4="Right",P49,"error")))</f>
        <v>1127.53</v>
      </c>
      <c r="K112">
        <f t="shared" ref="K112:K117" si="48">IF($D$4="Total",U49,IF($D$4="Left",M49,IF($D$4="Right",Q49,"error")))</f>
        <v>231.12</v>
      </c>
      <c r="L112">
        <f t="shared" ref="L112:L117" si="49">IF($D$4="Total",V49,IF($D$4="Left",N49,IF($D$4="Right",R49,"error")))</f>
        <v>1308.45</v>
      </c>
      <c r="M112">
        <f t="shared" ref="M112:M117" si="50">IF($D$4="Total",W49,IF($D$4="Left",O49,IF($D$4="Right",S49,"error")))</f>
        <v>245.62</v>
      </c>
      <c r="N112">
        <f t="shared" si="7"/>
        <v>237.36274125999964</v>
      </c>
      <c r="O112" s="59">
        <f t="shared" si="8"/>
        <v>-0.75485642795354402</v>
      </c>
      <c r="P112" s="63">
        <f t="shared" si="9"/>
        <v>5.4896676279389545E-2</v>
      </c>
      <c r="Q112" s="59">
        <f t="shared" si="10"/>
        <v>0.45922877914488641</v>
      </c>
      <c r="R112" s="59">
        <f t="shared" si="11"/>
        <v>18.216039071484566</v>
      </c>
      <c r="S112" s="59">
        <f t="shared" si="12"/>
        <v>-13.750494184963033</v>
      </c>
      <c r="T112" s="59">
        <f t="shared" si="13"/>
        <v>10.379648923057173</v>
      </c>
      <c r="U112" s="23">
        <f t="shared" si="14"/>
        <v>331.82407945385228</v>
      </c>
      <c r="V112" s="59">
        <f t="shared" si="15"/>
        <v>4.8525994730779018</v>
      </c>
      <c r="W112" s="59">
        <f t="shared" si="16"/>
        <v>-3.6630159045368349</v>
      </c>
      <c r="AF112" s="59">
        <f t="shared" si="17"/>
        <v>-0.75485642795354402</v>
      </c>
      <c r="AG112" s="59">
        <f t="shared" si="18"/>
        <v>0.45922877914488641</v>
      </c>
      <c r="AH112" s="59">
        <f t="shared" si="19"/>
        <v>0.45922877914488641</v>
      </c>
      <c r="AJ112">
        <f t="shared" si="20"/>
        <v>0.23430039752290124</v>
      </c>
      <c r="AK112">
        <f t="shared" si="21"/>
        <v>4.2680251957415347</v>
      </c>
      <c r="AL112">
        <f t="shared" si="22"/>
        <v>-3.2217462536731807</v>
      </c>
      <c r="AN112" s="2" t="str">
        <f t="shared" si="23"/>
        <v>Ballmaier M (A)</v>
      </c>
      <c r="AO112" s="2">
        <f t="shared" si="24"/>
        <v>2008</v>
      </c>
      <c r="AP112" s="2" t="str">
        <f t="shared" si="25"/>
        <v>Ballmaier M (A) 2008</v>
      </c>
      <c r="AQ112" s="2">
        <f t="shared" si="26"/>
        <v>46</v>
      </c>
      <c r="AR112" s="2">
        <f t="shared" si="27"/>
        <v>1127.53</v>
      </c>
      <c r="AS112" s="2">
        <f t="shared" si="28"/>
        <v>231.12</v>
      </c>
      <c r="AT112" s="2">
        <f t="shared" si="29"/>
        <v>34</v>
      </c>
      <c r="AU112" s="2">
        <f t="shared" si="30"/>
        <v>1308.45</v>
      </c>
      <c r="AV112" s="2">
        <f t="shared" si="31"/>
        <v>245.62</v>
      </c>
      <c r="AW112" s="206">
        <f t="shared" si="32"/>
        <v>-0.75485642795354402</v>
      </c>
      <c r="AX112" s="2">
        <f t="shared" si="33"/>
        <v>0.23430039752290124</v>
      </c>
      <c r="AY112" s="2"/>
      <c r="AZ112" s="2"/>
    </row>
    <row r="113" spans="5:52">
      <c r="E113" t="str">
        <f t="shared" ref="E113:F115" si="51">E50</f>
        <v>Keller J</v>
      </c>
      <c r="F113">
        <f t="shared" si="51"/>
        <v>2008</v>
      </c>
      <c r="G113">
        <v>15</v>
      </c>
      <c r="H113">
        <f t="shared" ref="H113:I115" si="52">H50</f>
        <v>23</v>
      </c>
      <c r="I113">
        <f t="shared" si="52"/>
        <v>11</v>
      </c>
      <c r="J113">
        <f t="shared" si="47"/>
        <v>3.98</v>
      </c>
      <c r="K113">
        <f t="shared" si="48"/>
        <v>0.56999999999999995</v>
      </c>
      <c r="L113">
        <f t="shared" si="49"/>
        <v>3.89</v>
      </c>
      <c r="M113">
        <f t="shared" si="50"/>
        <v>0.46</v>
      </c>
      <c r="N113">
        <f t="shared" si="7"/>
        <v>0.53804623407287222</v>
      </c>
      <c r="O113" s="59">
        <f t="shared" si="8"/>
        <v>0.16332056649267399</v>
      </c>
      <c r="P113" s="63">
        <f t="shared" si="9"/>
        <v>0.13483102455709073</v>
      </c>
      <c r="Q113" s="59">
        <f t="shared" si="10"/>
        <v>0.71969914821300129</v>
      </c>
      <c r="R113" s="59">
        <f t="shared" si="11"/>
        <v>7.4166906562115145</v>
      </c>
      <c r="S113" s="59">
        <f t="shared" si="12"/>
        <v>1.2112981194733865</v>
      </c>
      <c r="T113" s="59">
        <f t="shared" si="13"/>
        <v>0.19782989506390417</v>
      </c>
      <c r="U113" s="23">
        <f t="shared" si="14"/>
        <v>55.007300289935188</v>
      </c>
      <c r="V113" s="59">
        <f t="shared" si="15"/>
        <v>3.4963877927349385</v>
      </c>
      <c r="W113" s="59">
        <f t="shared" si="16"/>
        <v>0.57103203498754018</v>
      </c>
      <c r="AF113" s="59">
        <f t="shared" si="17"/>
        <v>0.16332056649267399</v>
      </c>
      <c r="AG113" s="59">
        <f t="shared" si="18"/>
        <v>0.71969914821300129</v>
      </c>
      <c r="AH113" s="59">
        <f t="shared" si="19"/>
        <v>0.71969914821300129</v>
      </c>
      <c r="AJ113">
        <f t="shared" si="20"/>
        <v>0.36719344296581702</v>
      </c>
      <c r="AK113">
        <f t="shared" si="21"/>
        <v>2.7233601774667107</v>
      </c>
      <c r="AL113">
        <f t="shared" si="22"/>
        <v>0.44478072694745235</v>
      </c>
      <c r="AN113" s="2" t="str">
        <f t="shared" si="23"/>
        <v>Keller J</v>
      </c>
      <c r="AO113" s="2">
        <f t="shared" si="24"/>
        <v>2008</v>
      </c>
      <c r="AP113" s="2" t="str">
        <f t="shared" si="25"/>
        <v>Keller J 2008</v>
      </c>
      <c r="AQ113" s="2">
        <f t="shared" si="26"/>
        <v>23</v>
      </c>
      <c r="AR113" s="2">
        <f t="shared" si="27"/>
        <v>3.98</v>
      </c>
      <c r="AS113" s="2">
        <f t="shared" si="28"/>
        <v>0.56999999999999995</v>
      </c>
      <c r="AT113" s="2">
        <f t="shared" si="29"/>
        <v>11</v>
      </c>
      <c r="AU113" s="2">
        <f t="shared" si="30"/>
        <v>3.89</v>
      </c>
      <c r="AV113" s="2">
        <f t="shared" si="31"/>
        <v>0.46</v>
      </c>
      <c r="AW113" s="206">
        <f t="shared" si="32"/>
        <v>0.16332056649267399</v>
      </c>
      <c r="AX113" s="2">
        <f t="shared" si="33"/>
        <v>0.36719344296581702</v>
      </c>
      <c r="AY113" s="2"/>
      <c r="AZ113" s="2"/>
    </row>
    <row r="114" spans="5:52">
      <c r="E114" t="str">
        <f t="shared" si="51"/>
        <v>Keller J</v>
      </c>
      <c r="F114">
        <f t="shared" si="51"/>
        <v>2008</v>
      </c>
      <c r="G114">
        <v>14</v>
      </c>
      <c r="H114">
        <f t="shared" si="52"/>
        <v>19</v>
      </c>
      <c r="I114">
        <f t="shared" si="52"/>
        <v>11</v>
      </c>
      <c r="J114">
        <f t="shared" si="47"/>
        <v>4.09</v>
      </c>
      <c r="K114">
        <f t="shared" si="48"/>
        <v>0.41</v>
      </c>
      <c r="L114">
        <f t="shared" si="49"/>
        <v>3.89</v>
      </c>
      <c r="M114">
        <f t="shared" si="50"/>
        <v>0.46</v>
      </c>
      <c r="N114">
        <f t="shared" si="7"/>
        <v>0.42852737868859009</v>
      </c>
      <c r="O114" s="59">
        <f t="shared" si="8"/>
        <v>0.45410072791639716</v>
      </c>
      <c r="P114" s="63">
        <f t="shared" si="9"/>
        <v>0.14749706799717693</v>
      </c>
      <c r="Q114" s="59">
        <f t="shared" si="10"/>
        <v>0.75274480165455471</v>
      </c>
      <c r="R114" s="59">
        <f t="shared" si="11"/>
        <v>6.7797957856297169</v>
      </c>
      <c r="S114" s="59">
        <f t="shared" si="12"/>
        <v>3.0787102013789762</v>
      </c>
      <c r="T114" s="59">
        <f t="shared" si="13"/>
        <v>1.3980445434898308</v>
      </c>
      <c r="U114" s="23">
        <f t="shared" si="14"/>
        <v>45.965630894842469</v>
      </c>
      <c r="V114" s="59">
        <f t="shared" si="15"/>
        <v>3.3481151741206445</v>
      </c>
      <c r="W114" s="59">
        <f t="shared" si="16"/>
        <v>1.5203815377161196</v>
      </c>
      <c r="AF114" s="59">
        <f t="shared" si="17"/>
        <v>0.45410072791639716</v>
      </c>
      <c r="AG114" s="59">
        <f t="shared" si="18"/>
        <v>0.75274480165455471</v>
      </c>
      <c r="AH114" s="59">
        <f t="shared" si="19"/>
        <v>0.75274480165455471</v>
      </c>
      <c r="AJ114">
        <f t="shared" si="20"/>
        <v>0.38405347023191566</v>
      </c>
      <c r="AK114">
        <f t="shared" si="21"/>
        <v>2.6038040989348099</v>
      </c>
      <c r="AL114">
        <f t="shared" si="22"/>
        <v>1.1823893366779958</v>
      </c>
      <c r="AN114" s="2" t="str">
        <f t="shared" si="23"/>
        <v>Keller J</v>
      </c>
      <c r="AO114" s="2">
        <f t="shared" si="24"/>
        <v>2008</v>
      </c>
      <c r="AP114" s="2" t="str">
        <f t="shared" si="25"/>
        <v>Keller J 2008</v>
      </c>
      <c r="AQ114" s="2">
        <f t="shared" si="26"/>
        <v>19</v>
      </c>
      <c r="AR114" s="2">
        <f t="shared" si="27"/>
        <v>4.09</v>
      </c>
      <c r="AS114" s="2">
        <f t="shared" si="28"/>
        <v>0.41</v>
      </c>
      <c r="AT114" s="2">
        <f t="shared" si="29"/>
        <v>11</v>
      </c>
      <c r="AU114" s="2">
        <f t="shared" si="30"/>
        <v>3.89</v>
      </c>
      <c r="AV114" s="2">
        <f t="shared" si="31"/>
        <v>0.46</v>
      </c>
      <c r="AW114" s="206">
        <f t="shared" si="32"/>
        <v>0.45410072791639716</v>
      </c>
      <c r="AX114" s="2">
        <f t="shared" si="33"/>
        <v>0.38405347023191566</v>
      </c>
      <c r="AY114" s="2"/>
      <c r="AZ114" s="2"/>
    </row>
    <row r="115" spans="5:52">
      <c r="E115" t="str">
        <f t="shared" si="51"/>
        <v>MacMaster FP (B)</v>
      </c>
      <c r="F115">
        <f t="shared" si="51"/>
        <v>2008</v>
      </c>
      <c r="G115">
        <v>13</v>
      </c>
      <c r="H115">
        <f t="shared" si="52"/>
        <v>16</v>
      </c>
      <c r="I115">
        <f t="shared" si="52"/>
        <v>17</v>
      </c>
      <c r="J115">
        <f t="shared" si="47"/>
        <v>2.84</v>
      </c>
      <c r="K115">
        <f t="shared" si="48"/>
        <v>0.46</v>
      </c>
      <c r="L115">
        <f t="shared" si="49"/>
        <v>2.99</v>
      </c>
      <c r="M115">
        <f t="shared" si="50"/>
        <v>0.27</v>
      </c>
      <c r="N115">
        <f t="shared" si="7"/>
        <v>0.3741829809408847</v>
      </c>
      <c r="O115" s="59">
        <f t="shared" si="8"/>
        <v>-0.39109599011333507</v>
      </c>
      <c r="P115" s="63">
        <f t="shared" si="9"/>
        <v>0.12395525813651917</v>
      </c>
      <c r="Q115" s="59">
        <f t="shared" si="10"/>
        <v>0.69006269255572128</v>
      </c>
      <c r="R115" s="59">
        <f t="shared" si="11"/>
        <v>8.067427029990462</v>
      </c>
      <c r="S115" s="59">
        <f t="shared" si="12"/>
        <v>-3.1551383619612019</v>
      </c>
      <c r="T115" s="59">
        <f t="shared" si="13"/>
        <v>1.2339619616157824</v>
      </c>
      <c r="U115" s="23">
        <f t="shared" si="14"/>
        <v>65.083378884220721</v>
      </c>
      <c r="V115" s="59">
        <f t="shared" si="15"/>
        <v>3.6345965880450262</v>
      </c>
      <c r="W115" s="59">
        <f t="shared" si="16"/>
        <v>-1.4214761512640188</v>
      </c>
      <c r="AF115" s="59">
        <f t="shared" si="17"/>
        <v>-0.39109599011333507</v>
      </c>
      <c r="AG115" s="59">
        <f t="shared" si="18"/>
        <v>0.69006269255572128</v>
      </c>
      <c r="AH115" s="59">
        <f t="shared" si="19"/>
        <v>0.69006269255572128</v>
      </c>
      <c r="AJ115">
        <f t="shared" si="20"/>
        <v>0.35207280232434762</v>
      </c>
      <c r="AK115">
        <f t="shared" si="21"/>
        <v>2.8403216419959314</v>
      </c>
      <c r="AL115">
        <f t="shared" si="22"/>
        <v>-1.1108384048167323</v>
      </c>
      <c r="AN115" s="2" t="str">
        <f t="shared" si="23"/>
        <v>MacMaster FP (B)</v>
      </c>
      <c r="AO115" s="2">
        <f t="shared" si="24"/>
        <v>2008</v>
      </c>
      <c r="AP115" s="2" t="str">
        <f t="shared" si="25"/>
        <v>MacMaster FP (B) 2008</v>
      </c>
      <c r="AQ115" s="2">
        <f t="shared" si="26"/>
        <v>16</v>
      </c>
      <c r="AR115" s="2">
        <f t="shared" si="27"/>
        <v>2.84</v>
      </c>
      <c r="AS115" s="2">
        <f t="shared" si="28"/>
        <v>0.46</v>
      </c>
      <c r="AT115" s="2">
        <f t="shared" si="29"/>
        <v>17</v>
      </c>
      <c r="AU115" s="2">
        <f t="shared" si="30"/>
        <v>2.99</v>
      </c>
      <c r="AV115" s="2">
        <f t="shared" si="31"/>
        <v>0.27</v>
      </c>
      <c r="AW115" s="206">
        <f t="shared" si="32"/>
        <v>-0.39109599011333507</v>
      </c>
      <c r="AX115" s="2">
        <f t="shared" si="33"/>
        <v>0.35207280232434762</v>
      </c>
      <c r="AY115" s="2"/>
      <c r="AZ115" s="2"/>
    </row>
    <row r="116" spans="5:52">
      <c r="E116" t="str">
        <f t="shared" ref="E116:F119" si="53">E53</f>
        <v>Tae WS</v>
      </c>
      <c r="F116">
        <f t="shared" si="53"/>
        <v>2008</v>
      </c>
      <c r="G116">
        <v>12</v>
      </c>
      <c r="H116">
        <f t="shared" ref="H116:I119" si="54">H53</f>
        <v>21</v>
      </c>
      <c r="I116">
        <f t="shared" si="54"/>
        <v>20</v>
      </c>
      <c r="J116">
        <f t="shared" si="47"/>
        <v>2658.5</v>
      </c>
      <c r="K116">
        <f t="shared" si="48"/>
        <v>412.31</v>
      </c>
      <c r="L116">
        <f t="shared" si="49"/>
        <v>2871.9</v>
      </c>
      <c r="M116">
        <f t="shared" si="50"/>
        <v>278.20999999999998</v>
      </c>
      <c r="N116">
        <f>IF($D$3=1,SQRT((((I116-1)*(M116)^2)+((H116-1)*(K116)^2))/(H116+I116-2)),M116)</f>
        <v>353.39401994200358</v>
      </c>
      <c r="O116" s="59">
        <f>IF($D$6=1,LN(J116/L116),IF($D$5=1,(1-3/(4*(H116+I116)-9))*((J116-L116)/N116),(J116-L116)/N116))</f>
        <v>-0.59217096388246382</v>
      </c>
      <c r="P116" s="63">
        <f>IF($D$6=1,(K116^2)/(H116*J116^2)+(M116^2)/(I116*L116^2),(IF($D$5=1,((H116+I116)/(H116*I116))+(O116*O116)/(2*(H116+I116-3.94)),((H116+I116)/(H116*I116))+((O116^2)/(2*(H116+I116-2))))))</f>
        <v>0.10235011144076223</v>
      </c>
      <c r="Q116" s="59">
        <f t="shared" si="10"/>
        <v>0.62704719767401251</v>
      </c>
      <c r="R116" s="59">
        <f>1/P116</f>
        <v>9.7703850628318651</v>
      </c>
      <c r="S116" s="59">
        <f>O116*R116</f>
        <v>-5.7857383401599725</v>
      </c>
      <c r="T116" s="59">
        <f>R116*(O116^2)</f>
        <v>3.4261462496642574</v>
      </c>
      <c r="U116" s="23">
        <f>R116^2</f>
        <v>95.460424276008027</v>
      </c>
      <c r="V116" s="59">
        <f t="shared" si="15"/>
        <v>3.9443289320403738</v>
      </c>
      <c r="W116" s="59">
        <f>V116*O116</f>
        <v>-2.3357170655558375</v>
      </c>
      <c r="AF116" s="59">
        <f>IF($D$6=1,100*((EXP(O116))-1),O116)</f>
        <v>-0.59217096388246382</v>
      </c>
      <c r="AG116" s="59">
        <f>IF($D$6=1,100*(EXP(O116+Q116)-EXP(O116)),Q116)</f>
        <v>0.62704719767401251</v>
      </c>
      <c r="AH116" s="59">
        <f>IF($D$6=1,100*(EXP(O116)-EXP(O116-Q116)),Q116)</f>
        <v>0.62704719767401251</v>
      </c>
      <c r="AJ116">
        <f>SQRT(P116)</f>
        <v>0.31992203962959825</v>
      </c>
      <c r="AK116">
        <f t="shared" si="21"/>
        <v>3.1257615172677302</v>
      </c>
      <c r="AL116">
        <f>O116/AJ116</f>
        <v>-1.8509852105471445</v>
      </c>
      <c r="AN116" s="2" t="str">
        <f t="shared" ref="AN116:AO119" si="55">E116</f>
        <v>Tae WS</v>
      </c>
      <c r="AO116" s="2">
        <f t="shared" si="55"/>
        <v>2008</v>
      </c>
      <c r="AP116" s="2" t="str">
        <f>CONCATENATE(AN116," ",AO116)</f>
        <v>Tae WS 2008</v>
      </c>
      <c r="AQ116" s="2">
        <f>INT(H116)</f>
        <v>21</v>
      </c>
      <c r="AR116" s="2">
        <f t="shared" ref="AR116:AS119" si="56">J116</f>
        <v>2658.5</v>
      </c>
      <c r="AS116" s="2">
        <f t="shared" si="56"/>
        <v>412.31</v>
      </c>
      <c r="AT116" s="2">
        <f>INT(I116)</f>
        <v>20</v>
      </c>
      <c r="AU116" s="2">
        <f t="shared" ref="AU116:AV119" si="57">L116</f>
        <v>2871.9</v>
      </c>
      <c r="AV116" s="2">
        <f t="shared" si="57"/>
        <v>278.20999999999998</v>
      </c>
      <c r="AW116" s="206">
        <f>O116</f>
        <v>-0.59217096388246382</v>
      </c>
      <c r="AX116" s="2">
        <f>SQRT(P116)</f>
        <v>0.31992203962959825</v>
      </c>
      <c r="AY116" s="2"/>
      <c r="AZ116" s="2"/>
    </row>
    <row r="117" spans="5:52">
      <c r="E117" t="str">
        <f t="shared" si="53"/>
        <v>Bergouignan L</v>
      </c>
      <c r="F117">
        <f t="shared" si="53"/>
        <v>2009</v>
      </c>
      <c r="G117">
        <v>11</v>
      </c>
      <c r="H117">
        <f t="shared" si="54"/>
        <v>21</v>
      </c>
      <c r="I117">
        <f t="shared" si="54"/>
        <v>21</v>
      </c>
      <c r="J117">
        <f t="shared" si="47"/>
        <v>3.93</v>
      </c>
      <c r="K117">
        <f t="shared" si="48"/>
        <v>0.8</v>
      </c>
      <c r="L117">
        <f t="shared" si="49"/>
        <v>4.5</v>
      </c>
      <c r="M117">
        <f t="shared" si="50"/>
        <v>1.06</v>
      </c>
      <c r="N117">
        <f>IF($D$3=1,SQRT((((I117-1)*(M117)^2)+((H117-1)*(K117)^2))/(H117+I117-2)),M117)</f>
        <v>0.93904206508547861</v>
      </c>
      <c r="O117" s="59">
        <f>IF($D$6=1,LN(J117/L117),IF($D$5=1,(1-3/(4*(H117+I117)-9))*((J117-L117)/N117),(J117-L117)/N117))</f>
        <v>-0.59554870203600629</v>
      </c>
      <c r="P117" s="63">
        <f>IF($D$6=1,(K117^2)/(H117*J117^2)+(M117^2)/(I117*L117^2),(IF($D$5=1,((H117+I117)/(H117*I117))+(O117*O117)/(2*(H117+I117-3.94)),((H117+I117)/(H117*I117))+((O117^2)/(2*(H117+I117-2))))))</f>
        <v>9.9897557357075423E-2</v>
      </c>
      <c r="Q117" s="59">
        <f t="shared" si="10"/>
        <v>0.6194888670048404</v>
      </c>
      <c r="R117" s="59">
        <f>1/P117</f>
        <v>10.010254769549411</v>
      </c>
      <c r="S117" s="59">
        <f>O117*R117</f>
        <v>-5.9615942350548927</v>
      </c>
      <c r="T117" s="59">
        <f>R117*(O117^2)</f>
        <v>3.5504197087522793</v>
      </c>
      <c r="U117" s="23">
        <f>R117^2</f>
        <v>100.20520055128672</v>
      </c>
      <c r="V117" s="59">
        <f t="shared" si="15"/>
        <v>3.9828578242357362</v>
      </c>
      <c r="W117" s="59">
        <f>V117*O117</f>
        <v>-2.3719858076175449</v>
      </c>
      <c r="AF117" s="59">
        <f>IF($D$6=1,100*((EXP(O117))-1),O117)</f>
        <v>-0.59554870203600629</v>
      </c>
      <c r="AG117" s="59">
        <f>IF($D$6=1,100*(EXP(O117+Q117)-EXP(O117)),Q117)</f>
        <v>0.6194888670048404</v>
      </c>
      <c r="AH117" s="59">
        <f>IF($D$6=1,100*(EXP(O117)-EXP(O117-Q117)),Q117)</f>
        <v>0.6194888670048404</v>
      </c>
      <c r="AJ117">
        <f>SQRT(P117)</f>
        <v>0.31606574847185737</v>
      </c>
      <c r="AK117">
        <f t="shared" si="21"/>
        <v>3.1638986661316149</v>
      </c>
      <c r="AL117">
        <f>O117/AJ117</f>
        <v>-1.8842557439881349</v>
      </c>
      <c r="AN117" s="2" t="str">
        <f t="shared" si="55"/>
        <v>Bergouignan L</v>
      </c>
      <c r="AO117" s="2">
        <f t="shared" si="55"/>
        <v>2009</v>
      </c>
      <c r="AP117" s="2" t="str">
        <f>CONCATENATE(AN117," ",AO117)</f>
        <v>Bergouignan L 2009</v>
      </c>
      <c r="AQ117" s="2">
        <f>INT(H117)</f>
        <v>21</v>
      </c>
      <c r="AR117" s="2">
        <f t="shared" si="56"/>
        <v>3.93</v>
      </c>
      <c r="AS117" s="2">
        <f t="shared" si="56"/>
        <v>0.8</v>
      </c>
      <c r="AT117" s="2">
        <f>INT(I117)</f>
        <v>21</v>
      </c>
      <c r="AU117" s="2">
        <f t="shared" si="57"/>
        <v>4.5</v>
      </c>
      <c r="AV117" s="2">
        <f t="shared" si="57"/>
        <v>1.06</v>
      </c>
      <c r="AW117" s="206">
        <f>O117</f>
        <v>-0.59554870203600629</v>
      </c>
      <c r="AX117" s="2">
        <f>SQRT(P117)</f>
        <v>0.31606574847185737</v>
      </c>
      <c r="AY117" s="2"/>
      <c r="AZ117" s="2"/>
    </row>
    <row r="118" spans="5:52">
      <c r="E118" t="str">
        <f t="shared" si="53"/>
        <v>van Eijndhoven P</v>
      </c>
      <c r="F118">
        <f t="shared" si="53"/>
        <v>2009</v>
      </c>
      <c r="G118">
        <v>10</v>
      </c>
      <c r="H118">
        <f t="shared" si="54"/>
        <v>20</v>
      </c>
      <c r="I118">
        <f t="shared" si="54"/>
        <v>10</v>
      </c>
      <c r="J118">
        <f t="shared" ref="J118:M119" si="58">IF($D$4="Total",T55,IF($D$4="Left",L55,IF($D$4="Right",P55,"error")))</f>
        <v>3752</v>
      </c>
      <c r="K118">
        <f t="shared" si="58"/>
        <v>442</v>
      </c>
      <c r="L118">
        <f t="shared" si="58"/>
        <v>3881</v>
      </c>
      <c r="M118">
        <f t="shared" si="58"/>
        <v>429</v>
      </c>
      <c r="N118">
        <f>IF($D$3=1,SQRT((((I118-1)*(M118)^2)+((H118-1)*(K118)^2))/(H118+I118-2)),M118)</f>
        <v>437.86352244245501</v>
      </c>
      <c r="O118" s="59">
        <f>IF($D$6=1,LN(J118/L118),IF($D$5=1,(1-3/(4*(H118+I118)-9))*((J118-L118)/N118),(J118-L118)/N118))</f>
        <v>-0.2866498511074505</v>
      </c>
      <c r="P118" s="63">
        <f>IF($D$6=1,(K118^2)/(H118*J118^2)+(M118^2)/(I118*L118^2),(IF($D$5=1,((H118+I118)/(H118*I118))+(O118*O118)/(2*(H118+I118-3.94)),((H118+I118)/(H118*I118))+((O118^2)/(2*(H118+I118-2))))))</f>
        <v>0.15157651836415817</v>
      </c>
      <c r="Q118" s="59">
        <f t="shared" si="10"/>
        <v>0.76308345084122353</v>
      </c>
      <c r="R118" s="59">
        <f>1/P118</f>
        <v>6.5973279422972961</v>
      </c>
      <c r="S118" s="59">
        <f>O118*R118</f>
        <v>-1.8911230723665426</v>
      </c>
      <c r="T118" s="59">
        <f>R118*(O118^2)</f>
        <v>0.5420901471197338</v>
      </c>
      <c r="U118" s="23">
        <f>R118^2</f>
        <v>43.524735978216675</v>
      </c>
      <c r="V118" s="59">
        <f t="shared" si="15"/>
        <v>3.3030012319549837</v>
      </c>
      <c r="W118" s="59">
        <f>V118*O118</f>
        <v>-0.94680481134762162</v>
      </c>
      <c r="AF118" s="59">
        <f>IF($D$6=1,100*((EXP(O118))-1),O118)</f>
        <v>-0.2866498511074505</v>
      </c>
      <c r="AG118" s="59">
        <f>IF($D$6=1,100*(EXP(O118+Q118)-EXP(O118)),Q118)</f>
        <v>0.76308345084122353</v>
      </c>
      <c r="AH118" s="59">
        <f>IF($D$6=1,100*(EXP(O118)-EXP(O118-Q118)),Q118)</f>
        <v>0.76308345084122353</v>
      </c>
      <c r="AJ118">
        <f>SQRT(P118)</f>
        <v>0.38932829124552221</v>
      </c>
      <c r="AK118">
        <f t="shared" si="21"/>
        <v>2.5685264145609437</v>
      </c>
      <c r="AL118">
        <f>O118/AJ118</f>
        <v>-0.73626771429944815</v>
      </c>
      <c r="AN118" s="2" t="str">
        <f t="shared" si="55"/>
        <v>van Eijndhoven P</v>
      </c>
      <c r="AO118" s="2">
        <f t="shared" si="55"/>
        <v>2009</v>
      </c>
      <c r="AP118" s="2" t="str">
        <f>CONCATENATE(AN118," ",AO118)</f>
        <v>van Eijndhoven P 2009</v>
      </c>
      <c r="AQ118" s="2">
        <f>INT(H118)</f>
        <v>20</v>
      </c>
      <c r="AR118" s="2">
        <f t="shared" si="56"/>
        <v>3752</v>
      </c>
      <c r="AS118" s="2">
        <f t="shared" si="56"/>
        <v>442</v>
      </c>
      <c r="AT118" s="2">
        <f>INT(I118)</f>
        <v>10</v>
      </c>
      <c r="AU118" s="2">
        <f t="shared" si="57"/>
        <v>3881</v>
      </c>
      <c r="AV118" s="2">
        <f t="shared" si="57"/>
        <v>429</v>
      </c>
      <c r="AW118" s="206">
        <f>O118</f>
        <v>-0.2866498511074505</v>
      </c>
      <c r="AX118" s="2">
        <f>SQRT(P118)</f>
        <v>0.38932829124552221</v>
      </c>
      <c r="AY118" s="2"/>
      <c r="AZ118" s="2"/>
    </row>
    <row r="119" spans="5:52">
      <c r="E119" t="str">
        <f t="shared" si="53"/>
        <v>van Eijndhoven P</v>
      </c>
      <c r="F119">
        <f t="shared" si="53"/>
        <v>2009</v>
      </c>
      <c r="G119">
        <v>9</v>
      </c>
      <c r="H119">
        <f t="shared" si="54"/>
        <v>20</v>
      </c>
      <c r="I119">
        <f t="shared" si="54"/>
        <v>10</v>
      </c>
      <c r="J119">
        <f t="shared" si="58"/>
        <v>3815</v>
      </c>
      <c r="K119">
        <f t="shared" si="58"/>
        <v>459</v>
      </c>
      <c r="L119">
        <f t="shared" si="58"/>
        <v>3881</v>
      </c>
      <c r="M119">
        <f t="shared" si="58"/>
        <v>429</v>
      </c>
      <c r="N119">
        <f>IF($D$3=1,SQRT((((I119-1)*(M119)^2)+((H119-1)*(K119)^2))/(H119+I119-2)),M119)</f>
        <v>449.57551407649288</v>
      </c>
      <c r="O119" s="59">
        <f>IF($D$6=1,LN(J119/L119),IF($D$5=1,(1-3/(4*(H119+I119)-9))*((J119-L119)/N119),(J119-L119)/N119))</f>
        <v>-0.14283744155445746</v>
      </c>
      <c r="P119" s="63">
        <f>IF($D$6=1,(K119^2)/(H119*J119^2)+(M119^2)/(I119*L119^2),(IF($D$5=1,((H119+I119)/(H119*I119))+(O119*O119)/(2*(H119+I119-3.94)),((H119+I119)/(H119*I119))+((O119^2)/(2*(H119+I119-2))))))</f>
        <v>0.15039145308345783</v>
      </c>
      <c r="Q119" s="59">
        <f t="shared" si="10"/>
        <v>0.76009460343131729</v>
      </c>
      <c r="R119" s="59">
        <f>1/P119</f>
        <v>6.6493140367828127</v>
      </c>
      <c r="S119" s="59">
        <f>O119*R119</f>
        <v>-0.94977100510619861</v>
      </c>
      <c r="T119" s="59">
        <f>R119*(O119^2)</f>
        <v>0.13566286043197495</v>
      </c>
      <c r="U119" s="23">
        <f>R119^2</f>
        <v>44.213377159756945</v>
      </c>
      <c r="V119" s="59">
        <f t="shared" si="15"/>
        <v>3.3159808833514641</v>
      </c>
      <c r="W119" s="59">
        <f>V119*O119</f>
        <v>-0.47364622562141301</v>
      </c>
      <c r="AF119" s="59">
        <f>IF($D$6=1,100*((EXP(O119))-1),O119)</f>
        <v>-0.14283744155445746</v>
      </c>
      <c r="AG119" s="59">
        <f>IF($D$6=1,100*(EXP(O119+Q119)-EXP(O119)),Q119)</f>
        <v>0.76009460343131729</v>
      </c>
      <c r="AH119" s="59">
        <f>IF($D$6=1,100*(EXP(O119)-EXP(O119-Q119)),Q119)</f>
        <v>0.76009460343131729</v>
      </c>
      <c r="AJ119">
        <f>SQRT(P119)</f>
        <v>0.38780336909761087</v>
      </c>
      <c r="AK119">
        <f t="shared" si="21"/>
        <v>2.5786263856524103</v>
      </c>
      <c r="AL119">
        <f>O119/AJ119</f>
        <v>-0.36832439565140807</v>
      </c>
      <c r="AN119" s="2" t="str">
        <f t="shared" si="55"/>
        <v>van Eijndhoven P</v>
      </c>
      <c r="AO119" s="2">
        <f t="shared" si="55"/>
        <v>2009</v>
      </c>
      <c r="AP119" s="2" t="str">
        <f>CONCATENATE(AN119," ",AO119)</f>
        <v>van Eijndhoven P 2009</v>
      </c>
      <c r="AQ119" s="2">
        <f>INT(H119)</f>
        <v>20</v>
      </c>
      <c r="AR119" s="2">
        <f t="shared" si="56"/>
        <v>3815</v>
      </c>
      <c r="AS119" s="2">
        <f t="shared" si="56"/>
        <v>459</v>
      </c>
      <c r="AT119" s="2">
        <f>INT(I119)</f>
        <v>10</v>
      </c>
      <c r="AU119" s="2">
        <f t="shared" si="57"/>
        <v>3881</v>
      </c>
      <c r="AV119" s="2">
        <f t="shared" si="57"/>
        <v>429</v>
      </c>
      <c r="AW119" s="206">
        <f>O119</f>
        <v>-0.14283744155445746</v>
      </c>
      <c r="AX119" s="2">
        <f>SQRT(P119)</f>
        <v>0.38780336909761087</v>
      </c>
      <c r="AY119" s="2"/>
      <c r="AZ119" s="2"/>
    </row>
    <row r="120" spans="5:52">
      <c r="E120" t="str">
        <f t="shared" ref="E120:F127" si="59">E57</f>
        <v>Meisenzahl EM</v>
      </c>
      <c r="F120">
        <f t="shared" si="59"/>
        <v>2009</v>
      </c>
      <c r="G120">
        <v>8</v>
      </c>
      <c r="H120">
        <f t="shared" ref="H120:I127" si="60">H57</f>
        <v>92</v>
      </c>
      <c r="I120">
        <f t="shared" si="60"/>
        <v>138</v>
      </c>
      <c r="J120">
        <f>IF($D$4="Total",T57,IF($D$4="Left",L57,IF($D$4="Right",P57,"error")))</f>
        <v>3.77</v>
      </c>
      <c r="K120">
        <f>IF($D$4="Total",U57,IF($D$4="Left",M57,IF($D$4="Right",Q57,"error")))</f>
        <v>0.42</v>
      </c>
      <c r="L120">
        <f>IF($D$4="Total",V57,IF($D$4="Left",N57,IF($D$4="Right",R57,"error")))</f>
        <v>3.94</v>
      </c>
      <c r="M120">
        <f>IF($D$4="Total",W57,IF($D$4="Left",O57,IF($D$4="Right",S57,"error")))</f>
        <v>0.41</v>
      </c>
      <c r="N120">
        <f>IF($D$3=1,SQRT((((I120-1)*(M120)^2)+((H120-1)*(K120)^2))/(H120+I120-2)),M120)</f>
        <v>0.41402019189677891</v>
      </c>
      <c r="O120" s="59">
        <f>IF($D$6=1,LN(J120/L120),IF($D$5=1,(1-3/(4*(H120+I120)-9))*((J120-L120)/N120),(J120-L120)/N120))</f>
        <v>-0.40925582603811339</v>
      </c>
      <c r="P120" s="63">
        <f>IF($D$6=1,(K120^2)/(H120*J120^2)+(M120^2)/(I120*L120^2),(IF($D$5=1,((H120+I120)/(H120*I120))+(O120*O120)/(2*(H120+I120-3.94)),((H120+I120)/(H120*I120))+((O120^2)/(2*(H120+I120-2))))))</f>
        <v>1.8486397507942728E-2</v>
      </c>
      <c r="Q120" s="59">
        <f t="shared" si="10"/>
        <v>0.26649079658876174</v>
      </c>
      <c r="R120" s="59">
        <f>1/P120</f>
        <v>54.093827614079352</v>
      </c>
      <c r="S120" s="59">
        <f>O120*R120</f>
        <v>-22.138214103763353</v>
      </c>
      <c r="T120" s="59">
        <f>R120*(O120^2)</f>
        <v>9.0601931000442839</v>
      </c>
      <c r="U120" s="23">
        <f>R120^2</f>
        <v>2926.1421859417337</v>
      </c>
      <c r="V120" s="59">
        <f t="shared" si="15"/>
        <v>5.8939731738416032</v>
      </c>
      <c r="W120" s="59">
        <f>V120*O120</f>
        <v>-2.4121428599070263</v>
      </c>
      <c r="AF120" s="59">
        <f>IF($D$6=1,100*((EXP(O120))-1),O120)</f>
        <v>-0.40925582603811339</v>
      </c>
      <c r="AG120" s="59">
        <f>IF($D$6=1,100*(EXP(O120+Q120)-EXP(O120)),Q120)</f>
        <v>0.26649079658876174</v>
      </c>
      <c r="AH120" s="59">
        <f>IF($D$6=1,100*(EXP(O120)-EXP(O120-Q120)),Q120)</f>
        <v>0.26649079658876174</v>
      </c>
      <c r="AJ120">
        <f>SQRT(P120)</f>
        <v>0.13596469213712334</v>
      </c>
      <c r="AK120">
        <f t="shared" si="21"/>
        <v>7.3548506180669193</v>
      </c>
      <c r="AL120">
        <f>O120/AJ120</f>
        <v>-3.0100154650839057</v>
      </c>
      <c r="AN120" s="2" t="str">
        <f>E120</f>
        <v>Meisenzahl EM</v>
      </c>
      <c r="AO120" s="2">
        <f>F120</f>
        <v>2009</v>
      </c>
      <c r="AP120" s="2" t="str">
        <f>CONCATENATE(AN120," ",AO120)</f>
        <v>Meisenzahl EM 2009</v>
      </c>
      <c r="AQ120" s="2">
        <f>INT(H120)</f>
        <v>92</v>
      </c>
      <c r="AR120" s="2">
        <f>J120</f>
        <v>3.77</v>
      </c>
      <c r="AS120" s="2">
        <f>K120</f>
        <v>0.42</v>
      </c>
      <c r="AT120" s="2">
        <f>INT(I120)</f>
        <v>138</v>
      </c>
      <c r="AU120" s="2">
        <f>L120</f>
        <v>3.94</v>
      </c>
      <c r="AV120" s="2">
        <f>M120</f>
        <v>0.41</v>
      </c>
      <c r="AW120" s="206">
        <f>O120</f>
        <v>-0.40925582603811339</v>
      </c>
      <c r="AX120" s="2">
        <f>SQRT(P120)</f>
        <v>0.13596469213712334</v>
      </c>
      <c r="AY120" s="2"/>
      <c r="AZ120" s="2"/>
    </row>
    <row r="121" spans="5:52">
      <c r="E121" t="str">
        <f t="shared" si="59"/>
        <v>Jessen F</v>
      </c>
      <c r="F121">
        <f t="shared" si="59"/>
        <v>2009</v>
      </c>
      <c r="G121">
        <v>7</v>
      </c>
      <c r="H121">
        <f t="shared" si="60"/>
        <v>79</v>
      </c>
      <c r="I121">
        <f t="shared" si="60"/>
        <v>84</v>
      </c>
      <c r="J121">
        <f t="shared" ref="J121:J127" si="61">IF($D$4="Total",T58,IF($D$4="Left",L58,IF($D$4="Right",P58,"error")))</f>
        <v>2.0499999999999998</v>
      </c>
      <c r="K121">
        <f t="shared" ref="K121:K127" si="62">IF($D$4="Total",U58,IF($D$4="Left",M58,IF($D$4="Right",Q58,"error")))</f>
        <v>0.32</v>
      </c>
      <c r="L121">
        <f t="shared" ref="L121:L127" si="63">IF($D$4="Total",V58,IF($D$4="Left",N58,IF($D$4="Right",R58,"error")))</f>
        <v>2.3199999999999998</v>
      </c>
      <c r="M121">
        <f t="shared" ref="M121:M127" si="64">IF($D$4="Total",W58,IF($D$4="Left",O58,IF($D$4="Right",S58,"error")))</f>
        <v>0.3</v>
      </c>
      <c r="N121">
        <f t="shared" ref="N121:N127" si="65">IF($D$3=1,SQRT((((I121-1)*(M121)^2)+((H121-1)*(K121)^2))/(H121+I121-2)),M121)</f>
        <v>0.30985069536173238</v>
      </c>
      <c r="O121" s="59">
        <f t="shared" ref="O121:O127" si="66">IF($D$6=1,LN(J121/L121),IF($D$5=1,(1-3/(4*(H121+I121)-9))*((J121-L121)/N121),(J121-L121)/N121))</f>
        <v>-0.86732185520530536</v>
      </c>
      <c r="P121" s="63">
        <f t="shared" ref="P121:P127" si="67">IF($D$6=1,(K121^2)/(H121*J121^2)+(M121^2)/(I121*L121^2),(IF($D$5=1,((H121+I121)/(H121*I121))+(O121*O121)/(2*(H121+I121-3.94)),((H121+I121)/(H121*I121))+((O121^2)/(2*(H121+I121-2))))))</f>
        <v>2.6927654660812286E-2</v>
      </c>
      <c r="Q121" s="59">
        <f t="shared" si="10"/>
        <v>0.32162910027697506</v>
      </c>
      <c r="R121" s="59">
        <f t="shared" ref="R121:R127" si="68">1/P121</f>
        <v>37.136542806874907</v>
      </c>
      <c r="S121" s="59">
        <f t="shared" ref="S121:S127" si="69">O121*R121</f>
        <v>-32.209335203169985</v>
      </c>
      <c r="T121" s="59">
        <f t="shared" ref="T121:T127" si="70">R121*(O121^2)</f>
        <v>27.93586036334294</v>
      </c>
      <c r="U121" s="23">
        <f t="shared" ref="U121:U127" si="71">R121^2</f>
        <v>1379.1228116468524</v>
      </c>
      <c r="V121" s="59">
        <f t="shared" si="15"/>
        <v>5.6146310022784371</v>
      </c>
      <c r="W121" s="59">
        <f t="shared" ref="W121:W127" si="72">V121*O121</f>
        <v>-4.8696921771893571</v>
      </c>
      <c r="AF121" s="59">
        <f t="shared" ref="AF121:AF127" si="73">IF($D$6=1,100*((EXP(O121))-1),O121)</f>
        <v>-0.86732185520530536</v>
      </c>
      <c r="AG121" s="59">
        <f t="shared" ref="AG121:AG127" si="74">IF($D$6=1,100*(EXP(O121+Q121)-EXP(O121)),Q121)</f>
        <v>0.32162910027697506</v>
      </c>
      <c r="AH121" s="59">
        <f t="shared" ref="AH121:AH127" si="75">IF($D$6=1,100*(EXP(O121)-EXP(O121-Q121)),Q121)</f>
        <v>0.32162910027697506</v>
      </c>
      <c r="AJ121">
        <f t="shared" ref="AJ121:AJ127" si="76">SQRT(P121)</f>
        <v>0.16409647973315053</v>
      </c>
      <c r="AK121">
        <f t="shared" si="21"/>
        <v>6.0939759440676253</v>
      </c>
      <c r="AL121">
        <f t="shared" ref="AL121:AL127" si="77">O121/AJ121</f>
        <v>-5.2854385213852355</v>
      </c>
      <c r="AN121" s="2" t="str">
        <f t="shared" ref="AN121:AN127" si="78">E121</f>
        <v>Jessen F</v>
      </c>
      <c r="AO121" s="2">
        <f t="shared" ref="AO121:AO127" si="79">F121</f>
        <v>2009</v>
      </c>
      <c r="AP121" s="2" t="str">
        <f t="shared" ref="AP121:AP127" si="80">CONCATENATE(AN121," ",AO121)</f>
        <v>Jessen F 2009</v>
      </c>
      <c r="AQ121" s="2">
        <f t="shared" ref="AQ121:AQ127" si="81">INT(H121)</f>
        <v>79</v>
      </c>
      <c r="AR121" s="2">
        <f t="shared" ref="AR121:AR127" si="82">J121</f>
        <v>2.0499999999999998</v>
      </c>
      <c r="AS121" s="2">
        <f t="shared" ref="AS121:AS127" si="83">K121</f>
        <v>0.32</v>
      </c>
      <c r="AT121" s="2">
        <f t="shared" ref="AT121:AT127" si="84">INT(I121)</f>
        <v>84</v>
      </c>
      <c r="AU121" s="2">
        <f t="shared" ref="AU121:AU127" si="85">L121</f>
        <v>2.3199999999999998</v>
      </c>
      <c r="AV121" s="2">
        <f t="shared" ref="AV121:AV127" si="86">M121</f>
        <v>0.3</v>
      </c>
      <c r="AW121" s="206">
        <f t="shared" ref="AW121:AW127" si="87">O121</f>
        <v>-0.86732185520530536</v>
      </c>
      <c r="AX121" s="2">
        <f t="shared" ref="AX121:AX127" si="88">SQRT(P121)</f>
        <v>0.16409647973315053</v>
      </c>
      <c r="AY121" s="2"/>
      <c r="AZ121" s="2"/>
    </row>
    <row r="122" spans="5:52">
      <c r="E122" t="str">
        <f t="shared" si="59"/>
        <v>Kaymak SU</v>
      </c>
      <c r="F122">
        <f t="shared" si="59"/>
        <v>2009</v>
      </c>
      <c r="G122">
        <v>6</v>
      </c>
      <c r="H122">
        <f t="shared" si="60"/>
        <v>20</v>
      </c>
      <c r="I122">
        <f t="shared" si="60"/>
        <v>15</v>
      </c>
      <c r="J122">
        <f t="shared" si="61"/>
        <v>2.72</v>
      </c>
      <c r="K122">
        <f t="shared" si="62"/>
        <v>0.32</v>
      </c>
      <c r="L122">
        <f t="shared" si="63"/>
        <v>3.4</v>
      </c>
      <c r="M122">
        <f t="shared" si="64"/>
        <v>0.25</v>
      </c>
      <c r="N122">
        <f t="shared" si="65"/>
        <v>0.29235719124510562</v>
      </c>
      <c r="O122" s="59">
        <f t="shared" si="66"/>
        <v>-2.2726565339006464</v>
      </c>
      <c r="P122" s="63">
        <f t="shared" si="67"/>
        <v>0.19981167183539333</v>
      </c>
      <c r="Q122" s="59">
        <f t="shared" si="10"/>
        <v>0.87612585769559781</v>
      </c>
      <c r="R122" s="59">
        <f t="shared" si="68"/>
        <v>5.0047126417310048</v>
      </c>
      <c r="S122" s="59">
        <f t="shared" si="69"/>
        <v>-11.373992885525134</v>
      </c>
      <c r="T122" s="59">
        <f t="shared" si="70"/>
        <v>25.849179247828157</v>
      </c>
      <c r="U122" s="23">
        <f t="shared" si="71"/>
        <v>25.047148626302132</v>
      </c>
      <c r="V122" s="59">
        <f t="shared" si="15"/>
        <v>2.849083112812671</v>
      </c>
      <c r="W122" s="59">
        <f t="shared" si="72"/>
        <v>-6.474987351959709</v>
      </c>
      <c r="AF122" s="59">
        <f t="shared" si="73"/>
        <v>-2.2726565339006464</v>
      </c>
      <c r="AG122" s="59">
        <f t="shared" si="74"/>
        <v>0.87612585769559781</v>
      </c>
      <c r="AH122" s="59">
        <f t="shared" si="75"/>
        <v>0.87612585769559781</v>
      </c>
      <c r="AJ122">
        <f t="shared" si="76"/>
        <v>0.44700298862020299</v>
      </c>
      <c r="AK122">
        <f t="shared" si="21"/>
        <v>2.2371215080390705</v>
      </c>
      <c r="AL122">
        <f t="shared" si="77"/>
        <v>-5.0842088123746612</v>
      </c>
      <c r="AN122" s="2" t="str">
        <f t="shared" si="78"/>
        <v>Kaymak SU</v>
      </c>
      <c r="AO122" s="2">
        <f t="shared" si="79"/>
        <v>2009</v>
      </c>
      <c r="AP122" s="2" t="str">
        <f t="shared" si="80"/>
        <v>Kaymak SU 2009</v>
      </c>
      <c r="AQ122" s="2">
        <f t="shared" si="81"/>
        <v>20</v>
      </c>
      <c r="AR122" s="2">
        <f t="shared" si="82"/>
        <v>2.72</v>
      </c>
      <c r="AS122" s="2">
        <f t="shared" si="83"/>
        <v>0.32</v>
      </c>
      <c r="AT122" s="2">
        <f t="shared" si="84"/>
        <v>15</v>
      </c>
      <c r="AU122" s="2">
        <f t="shared" si="85"/>
        <v>3.4</v>
      </c>
      <c r="AV122" s="2">
        <f t="shared" si="86"/>
        <v>0.25</v>
      </c>
      <c r="AW122" s="206">
        <f t="shared" si="87"/>
        <v>-2.2726565339006464</v>
      </c>
      <c r="AX122" s="2">
        <f t="shared" si="88"/>
        <v>0.44700298862020299</v>
      </c>
      <c r="AY122" s="2"/>
      <c r="AZ122" s="2"/>
    </row>
    <row r="123" spans="5:52">
      <c r="E123" t="str">
        <f t="shared" si="59"/>
        <v>Kronmüller KT</v>
      </c>
      <c r="F123">
        <f t="shared" si="59"/>
        <v>2009</v>
      </c>
      <c r="G123">
        <v>5</v>
      </c>
      <c r="H123">
        <f t="shared" si="60"/>
        <v>13</v>
      </c>
      <c r="I123">
        <f t="shared" si="60"/>
        <v>5.5</v>
      </c>
      <c r="J123">
        <f t="shared" si="61"/>
        <v>3</v>
      </c>
      <c r="K123">
        <f t="shared" si="62"/>
        <v>0.56999999999999995</v>
      </c>
      <c r="L123">
        <f t="shared" si="63"/>
        <v>3.3</v>
      </c>
      <c r="M123">
        <f t="shared" si="64"/>
        <v>0.28999999999999998</v>
      </c>
      <c r="N123">
        <f t="shared" si="65"/>
        <v>0.50914366609756889</v>
      </c>
      <c r="O123" s="59">
        <f t="shared" si="66"/>
        <v>-0.56202966904631857</v>
      </c>
      <c r="P123" s="63">
        <f t="shared" si="67"/>
        <v>0.26958869517286294</v>
      </c>
      <c r="Q123" s="59">
        <f t="shared" si="10"/>
        <v>1.0176698538210072</v>
      </c>
      <c r="R123" s="59">
        <f t="shared" si="68"/>
        <v>3.7093543531519009</v>
      </c>
      <c r="S123" s="59">
        <f t="shared" si="69"/>
        <v>-2.0847671994774841</v>
      </c>
      <c r="T123" s="59">
        <f t="shared" si="70"/>
        <v>1.1717010191609507</v>
      </c>
      <c r="U123" s="23">
        <f t="shared" si="71"/>
        <v>13.759309717246957</v>
      </c>
      <c r="V123" s="59">
        <f t="shared" si="15"/>
        <v>2.3766114716117483</v>
      </c>
      <c r="W123" s="59">
        <f t="shared" si="72"/>
        <v>-1.3357261588416351</v>
      </c>
      <c r="AF123" s="59">
        <f t="shared" si="73"/>
        <v>-0.56202966904631857</v>
      </c>
      <c r="AG123" s="59">
        <f t="shared" si="74"/>
        <v>1.0176698538210072</v>
      </c>
      <c r="AH123" s="59">
        <f t="shared" si="75"/>
        <v>1.0176698538210072</v>
      </c>
      <c r="AJ123">
        <f t="shared" si="76"/>
        <v>0.51921931317398329</v>
      </c>
      <c r="AK123">
        <f t="shared" si="21"/>
        <v>1.9259684195624551</v>
      </c>
      <c r="AL123">
        <f t="shared" si="77"/>
        <v>-1.0824513934403479</v>
      </c>
      <c r="AN123" s="2" t="str">
        <f t="shared" si="78"/>
        <v>Kronmüller KT</v>
      </c>
      <c r="AO123" s="2">
        <f t="shared" si="79"/>
        <v>2009</v>
      </c>
      <c r="AP123" s="2" t="str">
        <f t="shared" si="80"/>
        <v>Kronmüller KT 2009</v>
      </c>
      <c r="AQ123" s="2">
        <f t="shared" si="81"/>
        <v>13</v>
      </c>
      <c r="AR123" s="2">
        <f t="shared" si="82"/>
        <v>3</v>
      </c>
      <c r="AS123" s="2">
        <f t="shared" si="83"/>
        <v>0.56999999999999995</v>
      </c>
      <c r="AT123" s="2">
        <f t="shared" si="84"/>
        <v>5</v>
      </c>
      <c r="AU123" s="2">
        <f t="shared" si="85"/>
        <v>3.3</v>
      </c>
      <c r="AV123" s="2">
        <f t="shared" si="86"/>
        <v>0.28999999999999998</v>
      </c>
      <c r="AW123" s="206">
        <f t="shared" si="87"/>
        <v>-0.56202966904631857</v>
      </c>
      <c r="AX123" s="2">
        <f t="shared" si="88"/>
        <v>0.51921931317398329</v>
      </c>
      <c r="AY123" s="2"/>
      <c r="AZ123" s="2"/>
    </row>
    <row r="124" spans="5:52">
      <c r="E124" t="str">
        <f t="shared" si="59"/>
        <v>Kronmüller KT</v>
      </c>
      <c r="F124">
        <f t="shared" si="59"/>
        <v>2009</v>
      </c>
      <c r="G124">
        <v>4</v>
      </c>
      <c r="H124">
        <f t="shared" si="60"/>
        <v>13</v>
      </c>
      <c r="I124">
        <f t="shared" si="60"/>
        <v>9.5</v>
      </c>
      <c r="J124">
        <f t="shared" si="61"/>
        <v>2.82</v>
      </c>
      <c r="K124">
        <f t="shared" si="62"/>
        <v>0.36</v>
      </c>
      <c r="L124">
        <f t="shared" si="63"/>
        <v>2.79</v>
      </c>
      <c r="M124">
        <f t="shared" si="64"/>
        <v>0.41</v>
      </c>
      <c r="N124">
        <f t="shared" si="65"/>
        <v>0.38152773769956272</v>
      </c>
      <c r="O124" s="59">
        <f t="shared" si="66"/>
        <v>7.5718974098909431E-2</v>
      </c>
      <c r="P124" s="63">
        <f t="shared" si="67"/>
        <v>0.18234068964105168</v>
      </c>
      <c r="Q124" s="59">
        <f t="shared" si="10"/>
        <v>0.83694682825437849</v>
      </c>
      <c r="R124" s="59">
        <f t="shared" si="68"/>
        <v>5.4842394309715425</v>
      </c>
      <c r="S124" s="59">
        <f t="shared" si="69"/>
        <v>0.41526098342595202</v>
      </c>
      <c r="T124" s="59">
        <f t="shared" si="70"/>
        <v>3.144313564831732E-2</v>
      </c>
      <c r="U124" s="23">
        <f t="shared" si="71"/>
        <v>30.07688213622307</v>
      </c>
      <c r="V124" s="59">
        <f t="shared" si="15"/>
        <v>2.998328766003191</v>
      </c>
      <c r="W124" s="59">
        <f t="shared" si="72"/>
        <v>0.22703037817301069</v>
      </c>
      <c r="AF124" s="59">
        <f t="shared" si="73"/>
        <v>7.5718974098909431E-2</v>
      </c>
      <c r="AG124" s="59">
        <f t="shared" si="74"/>
        <v>0.83694682825437849</v>
      </c>
      <c r="AH124" s="59">
        <f t="shared" si="75"/>
        <v>0.83694682825437849</v>
      </c>
      <c r="AJ124">
        <f t="shared" si="76"/>
        <v>0.42701368788488697</v>
      </c>
      <c r="AK124">
        <f t="shared" si="21"/>
        <v>2.3418453046628729</v>
      </c>
      <c r="AL124">
        <f t="shared" si="77"/>
        <v>0.17732212396742073</v>
      </c>
      <c r="AN124" s="2" t="str">
        <f t="shared" si="78"/>
        <v>Kronmüller KT</v>
      </c>
      <c r="AO124" s="2">
        <f t="shared" si="79"/>
        <v>2009</v>
      </c>
      <c r="AP124" s="2" t="str">
        <f t="shared" si="80"/>
        <v>Kronmüller KT 2009</v>
      </c>
      <c r="AQ124" s="2">
        <f t="shared" si="81"/>
        <v>13</v>
      </c>
      <c r="AR124" s="2">
        <f t="shared" si="82"/>
        <v>2.82</v>
      </c>
      <c r="AS124" s="2">
        <f t="shared" si="83"/>
        <v>0.36</v>
      </c>
      <c r="AT124" s="2">
        <f t="shared" si="84"/>
        <v>9</v>
      </c>
      <c r="AU124" s="2">
        <f t="shared" si="85"/>
        <v>2.79</v>
      </c>
      <c r="AV124" s="2">
        <f t="shared" si="86"/>
        <v>0.41</v>
      </c>
      <c r="AW124" s="206">
        <f t="shared" si="87"/>
        <v>7.5718974098909431E-2</v>
      </c>
      <c r="AX124" s="2">
        <f t="shared" si="88"/>
        <v>0.42701368788488697</v>
      </c>
      <c r="AY124" s="2"/>
      <c r="AZ124" s="2"/>
    </row>
    <row r="125" spans="5:52">
      <c r="E125" t="str">
        <f t="shared" si="59"/>
        <v>Kronmüller KT</v>
      </c>
      <c r="F125">
        <f t="shared" si="59"/>
        <v>2009</v>
      </c>
      <c r="G125">
        <v>3</v>
      </c>
      <c r="H125">
        <f t="shared" si="60"/>
        <v>11</v>
      </c>
      <c r="I125">
        <f t="shared" si="60"/>
        <v>5.5</v>
      </c>
      <c r="J125">
        <f t="shared" si="61"/>
        <v>2.97</v>
      </c>
      <c r="K125">
        <f t="shared" si="62"/>
        <v>0.47</v>
      </c>
      <c r="L125">
        <f t="shared" si="63"/>
        <v>3.3</v>
      </c>
      <c r="M125">
        <f t="shared" si="64"/>
        <v>0.28999999999999998</v>
      </c>
      <c r="N125">
        <f t="shared" si="65"/>
        <v>0.42242730449890059</v>
      </c>
      <c r="O125" s="59">
        <f t="shared" si="66"/>
        <v>-0.74008373894822832</v>
      </c>
      <c r="P125" s="63">
        <f t="shared" si="67"/>
        <v>0.29453156972789329</v>
      </c>
      <c r="Q125" s="59">
        <f t="shared" si="10"/>
        <v>1.0637069513106863</v>
      </c>
      <c r="R125" s="59">
        <f t="shared" si="68"/>
        <v>3.395221778513803</v>
      </c>
      <c r="S125" s="59">
        <f t="shared" si="69"/>
        <v>-2.5127484284009487</v>
      </c>
      <c r="T125" s="59">
        <f t="shared" si="70"/>
        <v>1.8596442519272589</v>
      </c>
      <c r="U125" s="23">
        <f t="shared" si="71"/>
        <v>11.527530925294432</v>
      </c>
      <c r="V125" s="59">
        <f t="shared" si="15"/>
        <v>2.2436112685042127</v>
      </c>
      <c r="W125" s="59">
        <f t="shared" si="72"/>
        <v>-1.6604602163409752</v>
      </c>
      <c r="AF125" s="59">
        <f t="shared" si="73"/>
        <v>-0.74008373894822832</v>
      </c>
      <c r="AG125" s="59">
        <f t="shared" si="74"/>
        <v>1.0637069513106863</v>
      </c>
      <c r="AH125" s="59">
        <f t="shared" si="75"/>
        <v>1.0637069513106863</v>
      </c>
      <c r="AJ125">
        <f t="shared" si="76"/>
        <v>0.54270762821973795</v>
      </c>
      <c r="AK125">
        <f t="shared" si="21"/>
        <v>1.8426127586972263</v>
      </c>
      <c r="AL125">
        <f t="shared" si="77"/>
        <v>-1.3636877398903529</v>
      </c>
      <c r="AN125" s="2" t="str">
        <f t="shared" si="78"/>
        <v>Kronmüller KT</v>
      </c>
      <c r="AO125" s="2">
        <f t="shared" si="79"/>
        <v>2009</v>
      </c>
      <c r="AP125" s="2" t="str">
        <f t="shared" si="80"/>
        <v>Kronmüller KT 2009</v>
      </c>
      <c r="AQ125" s="2">
        <f t="shared" si="81"/>
        <v>11</v>
      </c>
      <c r="AR125" s="2">
        <f t="shared" si="82"/>
        <v>2.97</v>
      </c>
      <c r="AS125" s="2">
        <f t="shared" si="83"/>
        <v>0.47</v>
      </c>
      <c r="AT125" s="2">
        <f t="shared" si="84"/>
        <v>5</v>
      </c>
      <c r="AU125" s="2">
        <f t="shared" si="85"/>
        <v>3.3</v>
      </c>
      <c r="AV125" s="2">
        <f t="shared" si="86"/>
        <v>0.28999999999999998</v>
      </c>
      <c r="AW125" s="206">
        <f t="shared" si="87"/>
        <v>-0.74008373894822832</v>
      </c>
      <c r="AX125" s="2">
        <f t="shared" si="88"/>
        <v>0.54270762821973795</v>
      </c>
      <c r="AY125" s="2"/>
      <c r="AZ125" s="2"/>
    </row>
    <row r="126" spans="5:52">
      <c r="E126" t="str">
        <f t="shared" si="59"/>
        <v>Kronmüller KT</v>
      </c>
      <c r="F126">
        <f t="shared" si="59"/>
        <v>2009</v>
      </c>
      <c r="G126">
        <v>2</v>
      </c>
      <c r="H126">
        <f t="shared" si="60"/>
        <v>20</v>
      </c>
      <c r="I126">
        <f t="shared" si="60"/>
        <v>9.5</v>
      </c>
      <c r="J126">
        <f t="shared" si="61"/>
        <v>2.83</v>
      </c>
      <c r="K126">
        <f t="shared" si="62"/>
        <v>0.35</v>
      </c>
      <c r="L126">
        <f t="shared" si="63"/>
        <v>2.79</v>
      </c>
      <c r="M126">
        <f t="shared" si="64"/>
        <v>0.41</v>
      </c>
      <c r="N126">
        <f t="shared" si="65"/>
        <v>0.36958699308085158</v>
      </c>
      <c r="O126" s="59">
        <f t="shared" si="66"/>
        <v>0.1052501394720288</v>
      </c>
      <c r="P126" s="63">
        <f t="shared" si="67"/>
        <v>0.15547985570105299</v>
      </c>
      <c r="Q126" s="59">
        <f t="shared" si="10"/>
        <v>0.7728463066232284</v>
      </c>
      <c r="R126" s="59">
        <f t="shared" si="68"/>
        <v>6.431701364083704</v>
      </c>
      <c r="S126" s="59">
        <f t="shared" si="69"/>
        <v>0.67693746561224766</v>
      </c>
      <c r="T126" s="59">
        <f t="shared" si="70"/>
        <v>7.124776266953077E-2</v>
      </c>
      <c r="U126" s="23">
        <f t="shared" si="71"/>
        <v>41.366782436756175</v>
      </c>
      <c r="V126" s="59">
        <f t="shared" si="15"/>
        <v>3.2609585798596075</v>
      </c>
      <c r="W126" s="59">
        <f t="shared" si="72"/>
        <v>0.34321634534273265</v>
      </c>
      <c r="AF126" s="59">
        <f t="shared" si="73"/>
        <v>0.1052501394720288</v>
      </c>
      <c r="AG126" s="59">
        <f t="shared" si="74"/>
        <v>0.7728463066232284</v>
      </c>
      <c r="AH126" s="59">
        <f t="shared" si="75"/>
        <v>0.7728463066232284</v>
      </c>
      <c r="AJ126">
        <f t="shared" si="76"/>
        <v>0.39430934011389207</v>
      </c>
      <c r="AK126">
        <f t="shared" si="21"/>
        <v>2.5360799206814644</v>
      </c>
      <c r="AL126">
        <f t="shared" si="77"/>
        <v>0.26692276536393589</v>
      </c>
      <c r="AN126" s="2" t="str">
        <f t="shared" si="78"/>
        <v>Kronmüller KT</v>
      </c>
      <c r="AO126" s="2">
        <f t="shared" si="79"/>
        <v>2009</v>
      </c>
      <c r="AP126" s="2" t="str">
        <f t="shared" si="80"/>
        <v>Kronmüller KT 2009</v>
      </c>
      <c r="AQ126" s="2">
        <f t="shared" si="81"/>
        <v>20</v>
      </c>
      <c r="AR126" s="2">
        <f t="shared" si="82"/>
        <v>2.83</v>
      </c>
      <c r="AS126" s="2">
        <f t="shared" si="83"/>
        <v>0.35</v>
      </c>
      <c r="AT126" s="2">
        <f t="shared" si="84"/>
        <v>9</v>
      </c>
      <c r="AU126" s="2">
        <f t="shared" si="85"/>
        <v>2.79</v>
      </c>
      <c r="AV126" s="2">
        <f t="shared" si="86"/>
        <v>0.41</v>
      </c>
      <c r="AW126" s="206">
        <f t="shared" si="87"/>
        <v>0.1052501394720288</v>
      </c>
      <c r="AX126" s="2">
        <f t="shared" si="88"/>
        <v>0.39430934011389207</v>
      </c>
      <c r="AY126" s="2"/>
      <c r="AZ126" s="2"/>
    </row>
    <row r="127" spans="5:52">
      <c r="E127" t="str">
        <f t="shared" si="59"/>
        <v>Weber K</v>
      </c>
      <c r="F127">
        <f t="shared" si="59"/>
        <v>2009</v>
      </c>
      <c r="G127">
        <v>1</v>
      </c>
      <c r="H127">
        <f t="shared" si="60"/>
        <v>38</v>
      </c>
      <c r="I127">
        <f t="shared" si="60"/>
        <v>62</v>
      </c>
      <c r="J127">
        <f t="shared" si="61"/>
        <v>1.83</v>
      </c>
      <c r="K127">
        <f t="shared" si="62"/>
        <v>0.23</v>
      </c>
      <c r="L127">
        <f t="shared" si="63"/>
        <v>1.87</v>
      </c>
      <c r="M127">
        <f t="shared" si="64"/>
        <v>0.27</v>
      </c>
      <c r="N127">
        <f t="shared" si="65"/>
        <v>0.25563446479658553</v>
      </c>
      <c r="O127" s="59">
        <f t="shared" si="66"/>
        <v>-0.15527286064788168</v>
      </c>
      <c r="P127" s="63">
        <f t="shared" si="67"/>
        <v>4.2570314451162508E-2</v>
      </c>
      <c r="Q127" s="59">
        <f t="shared" si="10"/>
        <v>0.40439846685612679</v>
      </c>
      <c r="R127" s="59">
        <f t="shared" si="68"/>
        <v>23.490547647873719</v>
      </c>
      <c r="S127" s="59">
        <f t="shared" si="69"/>
        <v>-3.6474445314707205</v>
      </c>
      <c r="T127" s="59">
        <f t="shared" si="70"/>
        <v>0.56634914645593126</v>
      </c>
      <c r="U127" s="23">
        <f t="shared" si="71"/>
        <v>551.80582879702547</v>
      </c>
      <c r="V127" s="59">
        <f t="shared" si="15"/>
        <v>5.1613235065551937</v>
      </c>
      <c r="W127" s="59">
        <f t="shared" si="72"/>
        <v>-0.80141346559198057</v>
      </c>
      <c r="AF127" s="59">
        <f t="shared" si="73"/>
        <v>-0.15527286064788168</v>
      </c>
      <c r="AG127" s="59">
        <f t="shared" si="74"/>
        <v>0.40439846685612679</v>
      </c>
      <c r="AH127" s="59">
        <f t="shared" si="75"/>
        <v>0.40439846685612679</v>
      </c>
      <c r="AJ127">
        <f t="shared" si="76"/>
        <v>0.20632574839598306</v>
      </c>
      <c r="AK127">
        <f t="shared" si="21"/>
        <v>4.8467048236790449</v>
      </c>
      <c r="AL127">
        <f t="shared" si="77"/>
        <v>-0.75256172268853228</v>
      </c>
      <c r="AN127" s="2" t="str">
        <f t="shared" si="78"/>
        <v>Weber K</v>
      </c>
      <c r="AO127" s="2">
        <f t="shared" si="79"/>
        <v>2009</v>
      </c>
      <c r="AP127" s="2" t="str">
        <f t="shared" si="80"/>
        <v>Weber K 2009</v>
      </c>
      <c r="AQ127" s="2">
        <f t="shared" si="81"/>
        <v>38</v>
      </c>
      <c r="AR127" s="2">
        <f t="shared" si="82"/>
        <v>1.83</v>
      </c>
      <c r="AS127" s="2">
        <f t="shared" si="83"/>
        <v>0.23</v>
      </c>
      <c r="AT127" s="2">
        <f t="shared" si="84"/>
        <v>62</v>
      </c>
      <c r="AU127" s="2">
        <f t="shared" si="85"/>
        <v>1.87</v>
      </c>
      <c r="AV127" s="2">
        <f t="shared" si="86"/>
        <v>0.27</v>
      </c>
      <c r="AW127" s="206">
        <f t="shared" si="87"/>
        <v>-0.15527286064788168</v>
      </c>
      <c r="AX127" s="2">
        <f t="shared" si="88"/>
        <v>0.20632574839598306</v>
      </c>
      <c r="AY127" s="2"/>
      <c r="AZ127" s="2"/>
    </row>
    <row r="128" spans="5:52">
      <c r="U128" s="23"/>
    </row>
    <row r="129" spans="7:34">
      <c r="L129" t="s">
        <v>500</v>
      </c>
      <c r="N129" s="7"/>
      <c r="O129" s="66">
        <f>COUNT(O87:O127)</f>
        <v>41</v>
      </c>
      <c r="Q129" t="s">
        <v>885</v>
      </c>
      <c r="R129" s="59">
        <f t="shared" ref="R129:W129" si="89">SUM(R87:R127)</f>
        <v>543.50438648112095</v>
      </c>
      <c r="S129" s="59">
        <f t="shared" si="89"/>
        <v>-221.90866541976004</v>
      </c>
      <c r="T129" s="59">
        <f t="shared" si="89"/>
        <v>209.38064000443384</v>
      </c>
      <c r="U129" s="23">
        <f t="shared" si="89"/>
        <v>12184.24599731661</v>
      </c>
      <c r="V129" s="59">
        <f t="shared" si="89"/>
        <v>163.56707252905022</v>
      </c>
      <c r="W129" s="59">
        <f t="shared" si="89"/>
        <v>-73.359484552825862</v>
      </c>
    </row>
    <row r="130" spans="7:34">
      <c r="L130" t="s">
        <v>501</v>
      </c>
      <c r="N130" s="7"/>
      <c r="O130" s="2">
        <v>7</v>
      </c>
    </row>
    <row r="131" spans="7:34">
      <c r="N131" s="7"/>
      <c r="O131" s="7"/>
    </row>
    <row r="132" spans="7:34">
      <c r="G132" s="67" t="s">
        <v>502</v>
      </c>
      <c r="H132" s="40"/>
      <c r="I132" s="40">
        <f>S129/R129</f>
        <v>-0.40829231730122978</v>
      </c>
      <c r="J132" s="40"/>
      <c r="K132" s="68" t="s">
        <v>879</v>
      </c>
      <c r="L132" s="40"/>
      <c r="M132" s="42"/>
      <c r="N132" s="7"/>
      <c r="O132" s="69" t="s">
        <v>503</v>
      </c>
      <c r="P132" s="70">
        <f>T129-((S129^2)/R129)</f>
        <v>118.77703677097675</v>
      </c>
      <c r="Q132" s="71" t="s">
        <v>824</v>
      </c>
      <c r="R132" s="28"/>
      <c r="S132" s="29"/>
      <c r="T132" s="30"/>
      <c r="U132" s="31"/>
      <c r="AF132" s="2" t="s">
        <v>1518</v>
      </c>
    </row>
    <row r="133" spans="7:34">
      <c r="G133" s="43" t="s">
        <v>504</v>
      </c>
      <c r="H133" s="31"/>
      <c r="I133" s="31">
        <f>1/R129</f>
        <v>1.8399115533812454E-3</v>
      </c>
      <c r="J133" s="31"/>
      <c r="K133" s="31"/>
      <c r="L133" s="31"/>
      <c r="M133" s="44"/>
      <c r="N133" s="7"/>
      <c r="O133" s="30" t="s">
        <v>505</v>
      </c>
      <c r="P133" s="31">
        <f>CHIDIST(P132,I137-1)</f>
        <v>9.6802283448984344E-10</v>
      </c>
      <c r="Q133" s="31"/>
      <c r="R133" s="31"/>
      <c r="S133" s="34"/>
      <c r="T133" s="30"/>
      <c r="U133" s="31"/>
      <c r="AF133" s="2"/>
    </row>
    <row r="134" spans="7:34">
      <c r="G134" s="72" t="s">
        <v>506</v>
      </c>
      <c r="H134" s="31"/>
      <c r="I134" s="31">
        <f>$R$144*SQRT(I133)</f>
        <v>8.4072612802680233E-2</v>
      </c>
      <c r="J134" s="31"/>
      <c r="K134" s="31" t="s">
        <v>507</v>
      </c>
      <c r="L134" s="31"/>
      <c r="M134" s="44">
        <f>ABS(I132/SQRT(I133))</f>
        <v>9.5185925027525524</v>
      </c>
      <c r="N134" s="7"/>
      <c r="O134" s="35" t="s">
        <v>508</v>
      </c>
      <c r="P134" s="37">
        <f>IF(((P132-(I137-1))/P132)&lt;0,0,100*((P132-(I137-1))/P132))</f>
        <v>66.323456884071703</v>
      </c>
      <c r="Q134" s="36"/>
      <c r="R134" s="36"/>
      <c r="S134" s="38"/>
      <c r="T134" s="30"/>
      <c r="U134" s="31"/>
      <c r="AF134" s="2" t="s">
        <v>1535</v>
      </c>
      <c r="AH134">
        <f>IF($D$6=1,100*((EXP(I132))-1),I132)</f>
        <v>-0.40829231730122978</v>
      </c>
    </row>
    <row r="135" spans="7:34">
      <c r="G135" s="45" t="s">
        <v>509</v>
      </c>
      <c r="H135" s="46"/>
      <c r="I135" s="46">
        <v>-2</v>
      </c>
      <c r="J135" s="46"/>
      <c r="K135" s="46" t="s">
        <v>825</v>
      </c>
      <c r="L135" s="46"/>
      <c r="M135" s="47">
        <f>2*(1-NORMDIST(M134,0,1,1))</f>
        <v>0</v>
      </c>
      <c r="N135" s="7"/>
      <c r="O135" s="7"/>
      <c r="AF135" s="79" t="s">
        <v>834</v>
      </c>
      <c r="AH135">
        <f>IF($D$6=1,100*(EXP(I132+I134)-EXP(I132)),I134)</f>
        <v>8.4072612802680233E-2</v>
      </c>
    </row>
    <row r="136" spans="7:34">
      <c r="G136" s="40"/>
      <c r="H136" s="40"/>
      <c r="I136" s="40"/>
      <c r="J136" s="40"/>
      <c r="K136" s="40"/>
      <c r="L136" s="40"/>
      <c r="M136" s="40"/>
      <c r="N136" s="7"/>
      <c r="O136" s="7"/>
      <c r="AF136" s="79" t="s">
        <v>835</v>
      </c>
      <c r="AH136">
        <f>IF($D$6=1,100*(EXP(I132)-EXP(I132-I134)),I134)</f>
        <v>8.4072612802680233E-2</v>
      </c>
    </row>
    <row r="137" spans="7:34">
      <c r="G137" s="73" t="s">
        <v>1110</v>
      </c>
      <c r="H137" s="74"/>
      <c r="I137" s="74">
        <f>O129</f>
        <v>41</v>
      </c>
      <c r="J137" s="74"/>
      <c r="K137" s="75" t="s">
        <v>1167</v>
      </c>
      <c r="L137" s="74"/>
      <c r="M137" s="76"/>
      <c r="N137" s="77"/>
      <c r="O137" s="101" t="s">
        <v>1513</v>
      </c>
      <c r="P137" s="102"/>
      <c r="Q137" s="103"/>
      <c r="AF137" s="7"/>
    </row>
    <row r="138" spans="7:34">
      <c r="G138" s="77" t="s">
        <v>1531</v>
      </c>
      <c r="H138" s="31"/>
      <c r="I138" s="31">
        <f>R129/I137</f>
        <v>13.256204548320023</v>
      </c>
      <c r="J138" s="31"/>
      <c r="K138" s="31"/>
      <c r="L138" s="31"/>
      <c r="M138" s="78"/>
      <c r="N138" s="77"/>
      <c r="O138" s="104" t="s">
        <v>1514</v>
      </c>
      <c r="P138" s="31"/>
      <c r="Q138" s="105">
        <f>INDEX(LINEST(AL87:AL127,AK87:AK127,TRUE,TRUE),1,2)</f>
        <v>-1.1398776855161927</v>
      </c>
      <c r="AF138" s="2" t="s">
        <v>1687</v>
      </c>
      <c r="AH138">
        <f>IF($D$6=1,100*((EXP(I143))-1),I143)</f>
        <v>-0.44849787563323235</v>
      </c>
    </row>
    <row r="139" spans="7:34">
      <c r="G139" s="77" t="s">
        <v>1532</v>
      </c>
      <c r="H139" s="31"/>
      <c r="I139" s="31">
        <f>(1/(I137-1))*(U129-(I137*I138^2))</f>
        <v>124.48601693034227</v>
      </c>
      <c r="J139" s="31"/>
      <c r="K139" s="31"/>
      <c r="L139" s="31"/>
      <c r="M139" s="78"/>
      <c r="N139" s="77"/>
      <c r="O139" s="104" t="s">
        <v>1516</v>
      </c>
      <c r="P139" s="31"/>
      <c r="Q139" s="105">
        <f>INDEX(LINEST(AL87:AL127,AK87:AK127,TRUE,TRUE),2,2)</f>
        <v>0.78498830071948489</v>
      </c>
      <c r="AF139" s="79" t="s">
        <v>834</v>
      </c>
      <c r="AG139" s="7"/>
      <c r="AH139">
        <f>IF($D$6=1,100*(EXP(I143+I145)-EXP(I143)),I145)</f>
        <v>0.15325269868460392</v>
      </c>
    </row>
    <row r="140" spans="7:34">
      <c r="G140" s="77" t="s">
        <v>1669</v>
      </c>
      <c r="H140" s="31"/>
      <c r="I140" s="31">
        <f>(I137-1)*(I138-(I139/(I137*I138)))</f>
        <v>521.08645150141888</v>
      </c>
      <c r="J140" s="31"/>
      <c r="K140" s="31"/>
      <c r="L140" s="31"/>
      <c r="M140" s="78"/>
      <c r="N140" s="77"/>
      <c r="O140" s="104" t="s">
        <v>1349</v>
      </c>
      <c r="P140" s="31"/>
      <c r="Q140" s="105">
        <f>ABS(Q138/Q139)</f>
        <v>1.4520951260947867</v>
      </c>
      <c r="AF140" s="79" t="s">
        <v>835</v>
      </c>
      <c r="AH140">
        <f>IF($D$6=1,100*(EXP(I143)-EXP(I143-I145)),I145)</f>
        <v>0.15325269868460392</v>
      </c>
    </row>
    <row r="141" spans="7:34">
      <c r="G141" s="77" t="s">
        <v>1685</v>
      </c>
      <c r="H141" s="31"/>
      <c r="I141" s="31">
        <f>IF(P132&gt;(I137-1),(P132-(I137-1))/I140,0)</f>
        <v>0.15117843986155194</v>
      </c>
      <c r="J141" s="31"/>
      <c r="K141" s="31"/>
      <c r="L141" s="31"/>
      <c r="M141" s="78"/>
      <c r="N141" s="77"/>
      <c r="O141" s="106" t="s">
        <v>1515</v>
      </c>
      <c r="P141" s="107"/>
      <c r="Q141" s="108">
        <f>TDIST(Q140,I137-2,2)</f>
        <v>0.15447327730773841</v>
      </c>
    </row>
    <row r="142" spans="7:34">
      <c r="G142" s="77"/>
      <c r="H142" s="31"/>
      <c r="I142" s="31"/>
      <c r="J142" s="31"/>
      <c r="K142" s="31"/>
      <c r="L142" s="31"/>
      <c r="M142" s="78"/>
      <c r="N142" s="77"/>
    </row>
    <row r="143" spans="7:34">
      <c r="G143" s="77" t="s">
        <v>1686</v>
      </c>
      <c r="H143" s="31"/>
      <c r="I143" s="31">
        <f>W129/V129</f>
        <v>-0.44849787563323235</v>
      </c>
      <c r="J143" s="31"/>
      <c r="N143" s="77"/>
    </row>
    <row r="144" spans="7:34">
      <c r="G144" s="77" t="s">
        <v>504</v>
      </c>
      <c r="H144" s="31"/>
      <c r="I144" s="31">
        <f>1/V129</f>
        <v>6.1136999307876937E-3</v>
      </c>
      <c r="J144" s="31"/>
      <c r="N144" s="77"/>
      <c r="O144" t="s">
        <v>805</v>
      </c>
      <c r="R144">
        <v>1.96</v>
      </c>
    </row>
    <row r="145" spans="7:15">
      <c r="G145" s="80" t="s">
        <v>506</v>
      </c>
      <c r="H145" s="31"/>
      <c r="I145" s="31">
        <f>$R$144*SQRT(I144)</f>
        <v>0.15325269868460392</v>
      </c>
      <c r="J145" s="31"/>
      <c r="K145" s="31" t="s">
        <v>507</v>
      </c>
      <c r="L145" s="31"/>
      <c r="M145" s="78">
        <f>ABS(I143/(SQRT(I144)))</f>
        <v>5.7359892764449381</v>
      </c>
      <c r="N145" s="77"/>
    </row>
    <row r="146" spans="7:15">
      <c r="G146" s="81" t="s">
        <v>509</v>
      </c>
      <c r="H146" s="82"/>
      <c r="I146" s="82">
        <v>-3</v>
      </c>
      <c r="J146" s="82"/>
      <c r="K146" s="31" t="s">
        <v>825</v>
      </c>
      <c r="L146" s="31"/>
      <c r="M146" s="78">
        <f>2*(1-NORMDIST(M145,0,1,1))</f>
        <v>9.6944794414355329E-9</v>
      </c>
      <c r="N146" s="77"/>
    </row>
    <row r="147" spans="7:15">
      <c r="G147" s="74"/>
      <c r="H147" s="74"/>
      <c r="I147" s="74"/>
      <c r="J147" s="74"/>
      <c r="K147" s="74"/>
      <c r="L147" s="74"/>
      <c r="M147" s="74"/>
      <c r="N147" s="31"/>
      <c r="O147" s="7"/>
    </row>
  </sheetData>
  <phoneticPr fontId="10" type="noConversion"/>
  <conditionalFormatting sqref="D17 D13 F13">
    <cfRule type="cellIs" dxfId="106" priority="0" stopIfTrue="1" operator="lessThan">
      <formula>0.05</formula>
    </cfRule>
  </conditionalFormatting>
  <conditionalFormatting sqref="D21">
    <cfRule type="cellIs" dxfId="10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7.xml><?xml version="1.0" encoding="utf-8"?>
<worksheet xmlns="http://schemas.openxmlformats.org/spreadsheetml/2006/main" xmlns:r="http://schemas.openxmlformats.org/officeDocument/2006/relationships">
  <sheetPr published="0" codeName="Sheet100" enableFormatConditionsCalculation="0"/>
  <dimension ref="A1:BM16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4" width="5.6640625" customWidth="1"/>
    <col min="45" max="45" width="6.6640625" customWidth="1"/>
    <col min="46" max="46" width="7.33203125" customWidth="1"/>
    <col min="47" max="49" width="5.6640625" customWidth="1"/>
    <col min="50" max="50" width="8" customWidth="1"/>
    <col min="51" max="51" width="9.77734375" customWidth="1"/>
  </cols>
  <sheetData>
    <row r="1" spans="2:30">
      <c r="B1" s="4" t="s">
        <v>349</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I155-O148</f>
        <v>37</v>
      </c>
      <c r="AD7" s="89"/>
    </row>
    <row r="8" spans="2:30">
      <c r="B8" t="s">
        <v>822</v>
      </c>
      <c r="D8">
        <f>SUM(H24:H69)</f>
        <v>1377</v>
      </c>
      <c r="E8" t="s">
        <v>298</v>
      </c>
      <c r="F8">
        <f>Summary!C78</f>
        <v>0.8</v>
      </c>
      <c r="AD8" s="89"/>
    </row>
    <row r="9" spans="2:30">
      <c r="B9" t="s">
        <v>823</v>
      </c>
      <c r="D9">
        <f>SUM(I24:I69)</f>
        <v>1281</v>
      </c>
      <c r="AB9" s="59"/>
      <c r="AD9" s="89"/>
    </row>
    <row r="10" spans="2:30">
      <c r="AB10" s="59"/>
    </row>
    <row r="11" spans="2:30">
      <c r="B11" s="27" t="s">
        <v>516</v>
      </c>
      <c r="C11" s="28"/>
      <c r="D11" s="109">
        <f>P150</f>
        <v>131.41043404488715</v>
      </c>
      <c r="E11" s="110" t="s">
        <v>1513</v>
      </c>
      <c r="F11" s="103"/>
    </row>
    <row r="12" spans="2:30">
      <c r="B12" s="30" t="s">
        <v>826</v>
      </c>
      <c r="C12" s="31"/>
      <c r="D12" s="112">
        <f>P152</f>
        <v>67.278093012528927</v>
      </c>
      <c r="E12" s="31"/>
      <c r="F12" s="105"/>
    </row>
    <row r="13" spans="2:30">
      <c r="B13" s="35" t="s">
        <v>825</v>
      </c>
      <c r="C13" s="36"/>
      <c r="D13" s="113">
        <f>P151</f>
        <v>6.9033564129068567E-11</v>
      </c>
      <c r="E13" s="111" t="s">
        <v>825</v>
      </c>
      <c r="F13" s="115">
        <f>Q159</f>
        <v>0.14204026969492889</v>
      </c>
    </row>
    <row r="15" spans="2:30">
      <c r="B15" s="39" t="s">
        <v>879</v>
      </c>
      <c r="C15" s="40"/>
      <c r="D15" s="41">
        <f>AH152</f>
        <v>-0.42961492401238305</v>
      </c>
      <c r="E15" s="116"/>
    </row>
    <row r="16" spans="2:30">
      <c r="B16" s="43" t="s">
        <v>1165</v>
      </c>
      <c r="C16" s="31"/>
      <c r="D16" s="33">
        <f>AH152-AH154</f>
        <v>-0.5101632992554308</v>
      </c>
      <c r="E16" s="117">
        <f>AH152+AH153</f>
        <v>-0.34906654876933524</v>
      </c>
    </row>
    <row r="17" spans="1:65">
      <c r="B17" s="45" t="s">
        <v>1166</v>
      </c>
      <c r="C17" s="46"/>
      <c r="D17" s="123">
        <f>M153</f>
        <v>0</v>
      </c>
      <c r="E17" s="118"/>
    </row>
    <row r="18" spans="1:65">
      <c r="D18" s="48"/>
      <c r="F18" s="49"/>
    </row>
    <row r="19" spans="1:65">
      <c r="B19" s="50" t="s">
        <v>1167</v>
      </c>
      <c r="C19" s="51"/>
      <c r="D19" s="52">
        <f>AH156</f>
        <v>-0.47022469581966542</v>
      </c>
      <c r="E19" s="120"/>
      <c r="F19" s="33"/>
      <c r="G19" s="31"/>
    </row>
    <row r="20" spans="1:65">
      <c r="B20" s="53" t="s">
        <v>1165</v>
      </c>
      <c r="C20" s="31"/>
      <c r="D20" s="33">
        <f>AH156-AH158</f>
        <v>-0.61848498351529679</v>
      </c>
      <c r="E20" s="121">
        <f>AH156+AH157</f>
        <v>-0.32196440812403404</v>
      </c>
      <c r="F20" s="31"/>
      <c r="G20" s="31"/>
    </row>
    <row r="21" spans="1:65">
      <c r="B21" s="54" t="s">
        <v>1440</v>
      </c>
      <c r="C21" s="55"/>
      <c r="D21" s="114">
        <f>M164</f>
        <v>5.0879633839429061E-10</v>
      </c>
      <c r="E21" s="56"/>
      <c r="F21" s="119"/>
      <c r="G21" s="31"/>
      <c r="L21" s="4" t="s">
        <v>1511</v>
      </c>
      <c r="N21" s="4"/>
      <c r="O21" s="4"/>
      <c r="Q21" s="4" t="str">
        <f>IF(D6=1,F6,CONCATENATE(F6," with ",F5))</f>
        <v>Cohens Effect size with H Correction</v>
      </c>
      <c r="AA21" s="4"/>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53.4"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10405084</v>
      </c>
      <c r="C24" s="1" t="str">
        <f>IF($B24="","",HYPERLINK(IF(LEN(VLOOKUP($B24,Database!$B$1:$IX$10144,2,FALSE))=0,"",VLOOKUP($B24,Database!$B$1:$IX$10144,2,FALSE))))</f>
        <v/>
      </c>
      <c r="D24" s="1" t="str">
        <f t="shared" ref="D24:D32" si="0">IF($B24="","",HYPERLINK(CONCATENATE("http://www.ncbi.nlm.nih.gov/pubmed/",B24)))</f>
        <v>http://www.ncbi.nlm.nih.gov/pubmed/10405084</v>
      </c>
      <c r="E24" s="22" t="str">
        <f>IF($B24="","",IF(LEN(VLOOKUP($B24,Database!$B$1:$IX$10144,4,FALSE))=0,"",VLOOKUP($B24,Database!$B$1:$IX$10144,4,FALSE)))</f>
        <v>Ashtari M</v>
      </c>
      <c r="F24" s="22">
        <f>IF($B24="","",IF(LEN(VLOOKUP($B24,Database!$B$1:$IX$10144,5,FALSE))=0,"",VLOOKUP($B24,Database!$B$1:$IX$10144,5,FALSE)))</f>
        <v>1999</v>
      </c>
      <c r="G24" s="1" t="str">
        <f>IF($B24="","",HYPERLINK(IF(LEN(VLOOKUP($B24,Database!$B$1:$IX$10144,6,FALSE))=0,"",VLOOKUP($B24,Database!$B$1:$IX$10144,6,FALSE))))</f>
        <v>http://dx.doi.org/10.1017/S0033291799008405</v>
      </c>
      <c r="H24" s="22">
        <f>IF($B24="","",IF(LEN(VLOOKUP($B24,Database!$B$1:$IX$10144,7,FALSE))=0,"",VLOOKUP($B24,Database!$B$1:$IX$10144,7,FALSE)))</f>
        <v>40</v>
      </c>
      <c r="I24" s="22">
        <f>IF($B24="","",IF(LEN(VLOOKUP($B24,Database!$B$1:$IX$10144,8,FALSE))=0,"",VLOOKUP($B24,Database!$B$1:$IX$10144,8,FALSE)))</f>
        <v>46</v>
      </c>
      <c r="J24" t="s">
        <v>940</v>
      </c>
      <c r="L24">
        <v>1745</v>
      </c>
      <c r="M24">
        <v>380</v>
      </c>
      <c r="N24">
        <v>1853</v>
      </c>
      <c r="O24">
        <v>348</v>
      </c>
      <c r="P24">
        <v>1742</v>
      </c>
      <c r="Q24">
        <v>345</v>
      </c>
      <c r="R24">
        <v>1843</v>
      </c>
      <c r="S24">
        <v>337</v>
      </c>
      <c r="T24">
        <v>3487</v>
      </c>
      <c r="U24">
        <v>662</v>
      </c>
      <c r="V24">
        <v>3697</v>
      </c>
      <c r="W24">
        <v>597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v>
      </c>
      <c r="AD24" s="22">
        <f>IF(OR($B24="",AD$22=""),"",IF(LEN(VLOOKUP($B24,Database!$B$1:$IX$10144,AD$22,FALSE))=0,"",VLOOKUP($B24,Database!$B$1:$IX$10144,AD$22,FALSE)))</f>
        <v>71.400000000000006</v>
      </c>
      <c r="AE24" s="22">
        <f>IF(OR($B24="",AE$22=""),"",IF(LEN(VLOOKUP($B24,Database!$B$1:$IX$10144,AE$22,FALSE))=0,"",VLOOKUP($B24,Database!$B$1:$IX$10144,AE$22,FALSE)))</f>
        <v>0.3</v>
      </c>
      <c r="AF24" s="22">
        <f>IF(OR($B24="",AF$22=""),"",IF(LEN(VLOOKUP($B24,Database!$B$1:$IX$10144,AF$22,FALSE))=0,"",VLOOKUP($B24,Database!$B$1:$IX$10144,AF$22,FALSE)))</f>
        <v>28</v>
      </c>
      <c r="AG24" s="22">
        <f>IF(OR($B24="",AG$22=""),"",IF(LEN(VLOOKUP($B24,Database!$B$1:$IX$10144,AG$22,FALSE))=0,"",VLOOKUP($B24,Database!$B$1:$IX$10144,AG$22,FALSE)))</f>
        <v>28</v>
      </c>
      <c r="AH24" s="22">
        <f>IF(OR($B24="",AH$22=""),"",IF(LEN(VLOOKUP($B24,Database!$B$1:$IX$10144,AH$22,FALSE))=0,"",VLOOKUP($B24,Database!$B$1:$IX$10144,AH$22,FALSE)))</f>
        <v>1</v>
      </c>
      <c r="AI24" s="22">
        <f>IF(OR($B24="",AI$22=""),"",IF(LEN(VLOOKUP($B24,Database!$B$1:$IX$10144,AI$22,FALSE))=0,"",VLOOKUP($B24,Database!$B$1:$IX$10144,AI$22,FALSE)))</f>
        <v>3.1</v>
      </c>
      <c r="AJ24" s="22" t="str">
        <f>IF(OR($B24="",AJ$22=""),"",IF(LEN(VLOOKUP($B24,Database!$B$1:$IX$10144,AJ$22,FALSE))=0,"",VLOOKUP($B24,Database!$B$1:$IX$10144,AJ$22,FALSE)))</f>
        <v/>
      </c>
      <c r="AK24" s="22">
        <f>IF(OR($B24="",AK$22=""),"",IF(LEN(VLOOKUP($B24,Database!$B$1:$IX$10144,AK$22,FALSE))=0,"",VLOOKUP($B24,Database!$B$1:$IX$10144,AK$22,FALSE)))</f>
        <v>61.5</v>
      </c>
      <c r="AL24" s="22">
        <f>IF(OR($B24="",AL$22=""),"",IF(LEN(VLOOKUP($B24,Database!$B$1:$IX$10144,AL$22,FALSE))=0,"",VLOOKUP($B24,Database!$B$1:$IX$10144,AL$22,FALSE)))</f>
        <v>26.1</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Ashtari M, Greenwald BS, Kramer-Ginsberg E, Hu J, Wu H, Patel M, Aupperle P, Pollack S.</v>
      </c>
      <c r="AR24" s="13"/>
      <c r="AX24" s="13"/>
      <c r="AY24" s="13"/>
      <c r="AZ24" s="13"/>
      <c r="BA24" s="13"/>
      <c r="BC24" s="23"/>
      <c r="BF24" s="136"/>
      <c r="BG24" s="136"/>
      <c r="BH24" s="136"/>
      <c r="BI24" s="136"/>
    </row>
    <row r="25" spans="1:65">
      <c r="A25" s="10"/>
      <c r="B25">
        <v>15554576</v>
      </c>
      <c r="C25" s="1" t="str">
        <f>IF($B25="","",HYPERLINK(IF(LEN(VLOOKUP($B25,Database!$B$1:$IX$10144,2,FALSE))=0,"",VLOOKUP($B25,Database!$B$1:$IX$10144,2,FALSE))))</f>
        <v/>
      </c>
      <c r="D25" s="1" t="str">
        <f t="shared" si="0"/>
        <v>http://www.ncbi.nlm.nih.gov/pubmed/15554576</v>
      </c>
      <c r="E25" s="22" t="str">
        <f>IF($B25="","",IF(LEN(VLOOKUP($B25,Database!$B$1:$IX$10144,4,FALSE))=0,"",VLOOKUP($B25,Database!$B$1:$IX$10144,4,FALSE)))</f>
        <v>Lange C</v>
      </c>
      <c r="F25" s="22">
        <f>IF($B25="","",IF(LEN(VLOOKUP($B25,Database!$B$1:$IX$10144,5,FALSE))=0,"",VLOOKUP($B25,Database!$B$1:$IX$10144,5,FALSE)))</f>
        <v>2004</v>
      </c>
      <c r="G25" s="1" t="str">
        <f>IF($B25="","",HYPERLINK(IF(LEN(VLOOKUP($B25,Database!$B$1:$IX$10144,6,FALSE))=0,"",VLOOKUP($B25,Database!$B$1:$IX$10144,6,FALSE))))</f>
        <v>http://dx.doi.org/10.1017/S0033291703001806</v>
      </c>
      <c r="H25" s="22">
        <f>IF($B25="","",IF(LEN(VLOOKUP($B25,Database!$B$1:$IX$10144,7,FALSE))=0,"",VLOOKUP($B25,Database!$B$1:$IX$10144,7,FALSE)))</f>
        <v>17</v>
      </c>
      <c r="I25" s="22">
        <f>IF($B25="","",IF(LEN(VLOOKUP($B25,Database!$B$1:$IX$10144,8,FALSE))=0,"",VLOOKUP($B25,Database!$B$1:$IX$10144,8,FALSE)))</f>
        <v>17</v>
      </c>
      <c r="J25" s="13" t="s">
        <v>1614</v>
      </c>
      <c r="K25" s="13"/>
      <c r="L25" s="13">
        <v>2.79</v>
      </c>
      <c r="M25" s="13">
        <v>0.41</v>
      </c>
      <c r="N25" s="13">
        <v>2.99</v>
      </c>
      <c r="O25" s="13">
        <v>0.46</v>
      </c>
      <c r="P25" s="13">
        <v>2.67</v>
      </c>
      <c r="Q25" s="13">
        <v>0.5</v>
      </c>
      <c r="R25" s="13">
        <v>3.19</v>
      </c>
      <c r="S25" s="13">
        <v>0.37</v>
      </c>
      <c r="T25" s="13">
        <v>5.46</v>
      </c>
      <c r="U25" s="13">
        <v>0.83</v>
      </c>
      <c r="V25" s="13">
        <v>6.19</v>
      </c>
      <c r="W25" s="13">
        <v>0.71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34</v>
      </c>
      <c r="AC25" s="22">
        <f>IF(OR($B25="",AC$22=""),"",IF(LEN(VLOOKUP($B25,Database!$B$1:$IX$10144,AC$22,FALSE))=0,"",VLOOKUP($B25,Database!$B$1:$IX$10144,AC$22,FALSE)))</f>
        <v>10</v>
      </c>
      <c r="AD25" s="22">
        <f>IF(OR($B25="",AD$22=""),"",IF(LEN(VLOOKUP($B25,Database!$B$1:$IX$10144,AD$22,FALSE))=0,"",VLOOKUP($B25,Database!$B$1:$IX$10144,AD$22,FALSE)))</f>
        <v>32</v>
      </c>
      <c r="AE25" s="22">
        <f>IF(OR($B25="",AE$22=""),"",IF(LEN(VLOOKUP($B25,Database!$B$1:$IX$10144,AE$22,FALSE))=0,"",VLOOKUP($B25,Database!$B$1:$IX$10144,AE$22,FALSE)))</f>
        <v>6</v>
      </c>
      <c r="AF25" s="22">
        <f>IF(OR($B25="",AF$22=""),"",IF(LEN(VLOOKUP($B25,Database!$B$1:$IX$10144,AF$22,FALSE))=0,"",VLOOKUP($B25,Database!$B$1:$IX$10144,AF$22,FALSE)))</f>
        <v>17</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1.3</v>
      </c>
      <c r="AJ25" s="22" t="str">
        <f>IF(OR($B25="",AJ$22=""),"",IF(LEN(VLOOKUP($B25,Database!$B$1:$IX$10144,AJ$22,FALSE))=0,"",VLOOKUP($B25,Database!$B$1:$IX$10144,AJ$22,FALSE)))</f>
        <v/>
      </c>
      <c r="AK25" s="22">
        <f>IF(OR($B25="",AK$22=""),"",IF(LEN(VLOOKUP($B25,Database!$B$1:$IX$10144,AK$22,FALSE))=0,"",VLOOKUP($B25,Database!$B$1:$IX$10144,AK$22,FALSE)))</f>
        <v>29</v>
      </c>
      <c r="AL25" s="22">
        <f>IF(OR($B25="",AL$22=""),"",IF(LEN(VLOOKUP($B25,Database!$B$1:$IX$10144,AL$22,FALSE))=0,"",VLOOKUP($B25,Database!$B$1:$IX$10144,AL$22,FALSE)))</f>
        <v>22</v>
      </c>
      <c r="AM25" s="22">
        <f>IF(OR($B25="",AM$22=""),"",IF(LEN(VLOOKUP($B25,Database!$B$1:$IX$10144,AM$22,FALSE))=0,"",VLOOKUP($B25,Database!$B$1:$IX$10144,AM$22,FALSE)))</f>
        <v>100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0</v>
      </c>
      <c r="AQ25" s="22" t="str">
        <f>IF(OR($B25="",AQ$22=""),"",IF(LEN(VLOOKUP($B25,Database!$B$1:$IX$10144,AQ$22,FALSE))=0,"",VLOOKUP($B25,Database!$B$1:$IX$10144,AQ$22,FALSE)))</f>
        <v>Lange, Irle</v>
      </c>
      <c r="AR25" s="13"/>
      <c r="AX25" s="13"/>
      <c r="AY25" s="13"/>
      <c r="AZ25" s="13"/>
      <c r="BA25" s="13"/>
      <c r="BC25" s="23"/>
      <c r="BF25" s="136"/>
      <c r="BG25" s="136"/>
      <c r="BH25" s="136"/>
      <c r="BI25" s="136"/>
    </row>
    <row r="26" spans="1:65">
      <c r="A26" s="10"/>
      <c r="B26">
        <v>15576058</v>
      </c>
      <c r="C26" s="1" t="str">
        <f>IF($B26="","",HYPERLINK(IF(LEN(VLOOKUP($B26,Database!$B$1:$IX$10144,2,FALSE))=0,"",VLOOKUP($B26,Database!$B$1:$IX$10144,2,FALSE))))</f>
        <v/>
      </c>
      <c r="D26" s="1" t="str">
        <f t="shared" si="0"/>
        <v>http://www.ncbi.nlm.nih.gov/pubmed/15576058</v>
      </c>
      <c r="E26" s="22" t="str">
        <f>IF($B26="","",IF(LEN(VLOOKUP($B26,Database!$B$1:$IX$10144,4,FALSE))=0,"",VLOOKUP($B26,Database!$B$1:$IX$10144,4,FALSE)))</f>
        <v>Janssen J</v>
      </c>
      <c r="F26" s="22">
        <f>IF($B26="","",IF(LEN(VLOOKUP($B26,Database!$B$1:$IX$10144,5,FALSE))=0,"",VLOOKUP($B26,Database!$B$1:$IX$10144,5,FALSE)))</f>
        <v>2004</v>
      </c>
      <c r="G26" s="1" t="str">
        <f>IF($B26="","",HYPERLINK(IF(LEN(VLOOKUP($B26,Database!$B$1:$IX$10144,6,FALSE))=0,"",VLOOKUP($B26,Database!$B$1:$IX$10144,6,FALSE))))</f>
        <v>http://dx.doi.org/10.1016/j.biopsych.2004.09.011</v>
      </c>
      <c r="H26" s="22">
        <f>IF($B26="","",IF(LEN(VLOOKUP($B26,Database!$B$1:$IX$10144,7,FALSE))=0,"",VLOOKUP($B26,Database!$B$1:$IX$10144,7,FALSE)))</f>
        <v>28</v>
      </c>
      <c r="I26" s="22">
        <f>IF($B26="","",IF(LEN(VLOOKUP($B26,Database!$B$1:$IX$10144,8,FALSE))=0,"",VLOOKUP($B26,Database!$B$1:$IX$10144,8,FALSE)))</f>
        <v>41</v>
      </c>
      <c r="J26" t="s">
        <v>877</v>
      </c>
      <c r="L26">
        <v>3.1</v>
      </c>
      <c r="M26">
        <v>0.37</v>
      </c>
      <c r="N26">
        <v>3.2</v>
      </c>
      <c r="O26">
        <v>0.52</v>
      </c>
      <c r="P26">
        <v>2.84</v>
      </c>
      <c r="Q26">
        <v>0.39</v>
      </c>
      <c r="R26">
        <v>3.12</v>
      </c>
      <c r="S26">
        <v>0.45</v>
      </c>
      <c r="T26">
        <v>5.94</v>
      </c>
      <c r="U26">
        <v>0.7</v>
      </c>
      <c r="V26">
        <v>6.32</v>
      </c>
      <c r="W26">
        <v>0.93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64.040000000000006</v>
      </c>
      <c r="AC26" s="22">
        <f>IF(OR($B26="",AC$22=""),"",IF(LEN(VLOOKUP($B26,Database!$B$1:$IX$10144,AC$22,FALSE))=0,"",VLOOKUP($B26,Database!$B$1:$IX$10144,AC$22,FALSE)))</f>
        <v>10.9</v>
      </c>
      <c r="AD26" s="22">
        <f>IF(OR($B26="",AD$22=""),"",IF(LEN(VLOOKUP($B26,Database!$B$1:$IX$10144,AD$22,FALSE))=0,"",VLOOKUP($B26,Database!$B$1:$IX$10144,AD$22,FALSE)))</f>
        <v>62.37</v>
      </c>
      <c r="AE26" s="22">
        <f>IF(OR($B26="",AE$22=""),"",IF(LEN(VLOOKUP($B26,Database!$B$1:$IX$10144,AE$22,FALSE))=0,"",VLOOKUP($B26,Database!$B$1:$IX$10144,AE$22,FALSE)))</f>
        <v>11.38</v>
      </c>
      <c r="AF26" s="22">
        <f>IF(OR($B26="",AF$22=""),"",IF(LEN(VLOOKUP($B26,Database!$B$1:$IX$10144,AF$22,FALSE))=0,"",VLOOKUP($B26,Database!$B$1:$IX$10144,AF$22,FALSE)))</f>
        <v>28</v>
      </c>
      <c r="AG26" s="22">
        <f>IF(OR($B26="",AG$22=""),"",IF(LEN(VLOOKUP($B26,Database!$B$1:$IX$10144,AG$22,FALSE))=0,"",VLOOKUP($B26,Database!$B$1:$IX$10144,AG$22,FALSE)))</f>
        <v>41</v>
      </c>
      <c r="AH26" s="22">
        <f>IF(OR($B26="",AH$22=""),"",IF(LEN(VLOOKUP($B26,Database!$B$1:$IX$10144,AH$22,FALSE))=0,"",VLOOKUP($B26,Database!$B$1:$IX$10144,AH$22,FALSE)))</f>
        <v>1.5</v>
      </c>
      <c r="AI26" s="22">
        <f>IF(OR($B26="",AI$22=""),"",IF(LEN(VLOOKUP($B26,Database!$B$1:$IX$10144,AI$22,FALSE))=0,"",VLOOKUP($B26,Database!$B$1:$IX$10144,AI$22,FALSE)))</f>
        <v>1.2</v>
      </c>
      <c r="AJ26" s="22" t="str">
        <f>IF(OR($B26="",AJ$22=""),"",IF(LEN(VLOOKUP($B26,Database!$B$1:$IX$10144,AJ$22,FALSE))=0,"",VLOOKUP($B26,Database!$B$1:$IX$10144,AJ$22,FALSE)))</f>
        <v/>
      </c>
      <c r="AK26" s="22">
        <f>IF(OR($B26="",AK$22=""),"",IF(LEN(VLOOKUP($B26,Database!$B$1:$IX$10144,AK$22,FALSE))=0,"",VLOOKUP($B26,Database!$B$1:$IX$10144,AK$22,FALSE)))</f>
        <v>33.04</v>
      </c>
      <c r="AL26" s="22" t="str">
        <f>IF(OR($B26="",AL$22=""),"",IF(LEN(VLOOKUP($B26,Database!$B$1:$IX$10144,AL$22,FALSE))=0,"",VLOOKUP($B26,Database!$B$1:$IX$10144,AL$22,FALSE)))</f>
        <v>ns</v>
      </c>
      <c r="AM26" s="22">
        <f>IF(OR($B26="",AM$22=""),"",IF(LEN(VLOOKUP($B26,Database!$B$1:$IX$10144,AM$22,FALSE))=0,"",VLOOKUP($B26,Database!$B$1:$IX$10144,AM$22,FALSE)))</f>
        <v>60.714285714285708</v>
      </c>
      <c r="AN26" s="22">
        <f>IF(OR($B26="",AN$22=""),"",IF(LEN(VLOOKUP($B26,Database!$B$1:$IX$10144,AN$22,FALSE))=0,"",VLOOKUP($B26,Database!$B$1:$IX$10144,AN$22,FALSE)))</f>
        <v>25</v>
      </c>
      <c r="AO26" s="22">
        <f>IF(OR($B26="",AO$22=""),"",IF(LEN(VLOOKUP($B26,Database!$B$1:$IX$10144,AO$22,FALSE))=0,"",VLOOKUP($B26,Database!$B$1:$IX$10144,AO$22,FALSE)))</f>
        <v>14.285714285714285</v>
      </c>
      <c r="AP26" s="22">
        <f>IF(OR($B26="",AP$22=""),"",IF(LEN(VLOOKUP($B26,Database!$B$1:$IX$10144,AP$22,FALSE))=0,"",VLOOKUP($B26,Database!$B$1:$IX$10144,AP$22,FALSE)))</f>
        <v>21.428571428571427</v>
      </c>
      <c r="AQ26" s="22" t="str">
        <f>IF(OR($B26="",AQ$22=""),"",IF(LEN(VLOOKUP($B26,Database!$B$1:$IX$10144,AQ$22,FALSE))=0,"",VLOOKUP($B26,Database!$B$1:$IX$10144,AQ$22,FALSE)))</f>
        <v>Janssen J, Hulshoff Pol HE, Lampe IK, Schnack HG, de Leeuw FE, Kahn RS, Heeren TJ.</v>
      </c>
      <c r="AR26" s="13"/>
      <c r="AX26" s="13"/>
      <c r="AY26" s="13"/>
      <c r="AZ26" s="13"/>
      <c r="BA26" s="13"/>
      <c r="BC26" s="23"/>
      <c r="BF26" s="136"/>
      <c r="BG26" s="136"/>
      <c r="BH26" s="136"/>
      <c r="BI26" s="136"/>
    </row>
    <row r="27" spans="1:65">
      <c r="A27" t="s">
        <v>2014</v>
      </c>
      <c r="B27">
        <v>15231442</v>
      </c>
      <c r="C27" s="1" t="str">
        <f>IF($B27="","",HYPERLINK(IF(LEN(VLOOKUP($B27,Database!$B$1:$IX$10144,2,FALSE))=0,"",VLOOKUP($B27,Database!$B$1:$IX$10144,2,FALSE))))</f>
        <v/>
      </c>
      <c r="D27" s="1" t="str">
        <f t="shared" si="0"/>
        <v>http://www.ncbi.nlm.nih.gov/pubmed/15231442</v>
      </c>
      <c r="E27" s="22" t="str">
        <f>IF($B27="","",IF(LEN(VLOOKUP($B27,Database!$B$1:$IX$10144,4,FALSE))=0,"",VLOOKUP($B27,Database!$B$1:$IX$10144,4,FALSE)))</f>
        <v>Vythilingam M</v>
      </c>
      <c r="F27" s="22">
        <f>IF($B27="","",IF(LEN(VLOOKUP($B27,Database!$B$1:$IX$10144,5,FALSE))=0,"",VLOOKUP($B27,Database!$B$1:$IX$10144,5,FALSE)))</f>
        <v>2004</v>
      </c>
      <c r="G27" s="1" t="str">
        <f>IF($B27="","",HYPERLINK(IF(LEN(VLOOKUP($B27,Database!$B$1:$IX$10144,6,FALSE))=0,"",VLOOKUP($B27,Database!$B$1:$IX$10144,6,FALSE))))</f>
        <v>http://dx.doi.org/10.1016/j.biopsych.2004.04.002</v>
      </c>
      <c r="H27" s="22">
        <f>IF($B27="","",IF(LEN(VLOOKUP($B27,Database!$B$1:$IX$10144,7,FALSE))=0,"",VLOOKUP($B27,Database!$B$1:$IX$10144,7,FALSE)))</f>
        <v>38</v>
      </c>
      <c r="I27" s="22">
        <f>IF($B27="","",IF(LEN(VLOOKUP($B27,Database!$B$1:$IX$10144,8,FALSE))=0,"",VLOOKUP($B27,Database!$B$1:$IX$10144,8,FALSE)))</f>
        <v>33</v>
      </c>
      <c r="J27" t="s">
        <v>994</v>
      </c>
      <c r="K27" s="10"/>
      <c r="L27">
        <v>3305</v>
      </c>
      <c r="M27">
        <v>380</v>
      </c>
      <c r="N27">
        <v>3334</v>
      </c>
      <c r="O27">
        <v>390</v>
      </c>
      <c r="P27">
        <v>3132</v>
      </c>
      <c r="Q27">
        <v>417</v>
      </c>
      <c r="R27">
        <v>3235</v>
      </c>
      <c r="S27">
        <v>407</v>
      </c>
      <c r="T27">
        <v>3219</v>
      </c>
      <c r="U27">
        <v>380</v>
      </c>
      <c r="V27">
        <v>3285</v>
      </c>
      <c r="W27">
        <v>389</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41</v>
      </c>
      <c r="AC27" s="22">
        <f>IF(OR($B27="",AC$22=""),"",IF(LEN(VLOOKUP($B27,Database!$B$1:$IX$10144,AC$22,FALSE))=0,"",VLOOKUP($B27,Database!$B$1:$IX$10144,AC$22,FALSE)))</f>
        <v>11</v>
      </c>
      <c r="AD27" s="22">
        <f>IF(OR($B27="",AD$22=""),"",IF(LEN(VLOOKUP($B27,Database!$B$1:$IX$10144,AD$22,FALSE))=0,"",VLOOKUP($B27,Database!$B$1:$IX$10144,AD$22,FALSE)))</f>
        <v>34</v>
      </c>
      <c r="AE27" s="22">
        <f>IF(OR($B27="",AE$22=""),"",IF(LEN(VLOOKUP($B27,Database!$B$1:$IX$10144,AE$22,FALSE))=0,"",VLOOKUP($B27,Database!$B$1:$IX$10144,AE$22,FALSE)))</f>
        <v>10</v>
      </c>
      <c r="AF27" s="22">
        <f>IF(OR($B27="",AF$22=""),"",IF(LEN(VLOOKUP($B27,Database!$B$1:$IX$10144,AF$22,FALSE))=0,"",VLOOKUP($B27,Database!$B$1:$IX$10144,AF$22,FALSE)))</f>
        <v>23</v>
      </c>
      <c r="AG27" s="22">
        <f>IF(OR($B27="",AG$22=""),"",IF(LEN(VLOOKUP($B27,Database!$B$1:$IX$10144,AG$22,FALSE))=0,"",VLOOKUP($B27,Database!$B$1:$IX$10144,AG$22,FALSE)))</f>
        <v>21</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f>IF(OR($B27="",AM$22=""),"",IF(LEN(VLOOKUP($B27,Database!$B$1:$IX$10144,AM$22,FALSE))=0,"",VLOOKUP($B27,Database!$B$1:$IX$10144,AM$22,FALSE)))</f>
        <v>0</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39.473684210526315</v>
      </c>
      <c r="AQ27" s="22" t="str">
        <f>IF(OR($B27="",AQ$22=""),"",IF(LEN(VLOOKUP($B27,Database!$B$1:$IX$10144,AQ$22,FALSE))=0,"",VLOOKUP($B27,Database!$B$1:$IX$10144,AQ$22,FALSE)))</f>
        <v>Vythilingam M, Vermetten E, Anderson GM, Luckenbaugh D, Anderson ER, Snow J, Staib LH, Charney DS, Bremner JD.</v>
      </c>
      <c r="AR27" s="13"/>
      <c r="AX27" s="13"/>
      <c r="AY27" s="13"/>
      <c r="AZ27" s="13"/>
      <c r="BA27" s="13"/>
      <c r="BC27" s="23"/>
      <c r="BF27" s="136"/>
      <c r="BG27" s="136"/>
      <c r="BH27" s="136"/>
      <c r="BI27" s="136"/>
    </row>
    <row r="28" spans="1:65">
      <c r="B28">
        <v>15738499</v>
      </c>
      <c r="C28" s="1" t="str">
        <f>IF($B28="","",HYPERLINK(IF(LEN(VLOOKUP($B28,Database!$B$1:$IX$10144,2,FALSE))=0,"",VLOOKUP($B28,Database!$B$1:$IX$10144,2,FALSE))))</f>
        <v/>
      </c>
      <c r="D28" s="1" t="str">
        <f t="shared" si="0"/>
        <v>http://www.ncbi.nlm.nih.gov/pubmed/15738499</v>
      </c>
      <c r="E28" s="22" t="str">
        <f>IF($B28="","",IF(LEN(VLOOKUP($B28,Database!$B$1:$IX$10144,4,FALSE))=0,"",VLOOKUP($B28,Database!$B$1:$IX$10144,4,FALSE)))</f>
        <v>Hickie I (A)</v>
      </c>
      <c r="F28" s="22">
        <f>IF($B28="","",IF(LEN(VLOOKUP($B28,Database!$B$1:$IX$10144,5,FALSE))=0,"",VLOOKUP($B28,Database!$B$1:$IX$10144,5,FALSE)))</f>
        <v>2005</v>
      </c>
      <c r="G28" s="1" t="str">
        <f>IF($B28="","",HYPERLINK(IF(LEN(VLOOKUP($B28,Database!$B$1:$IX$10144,6,FALSE))=0,"",VLOOKUP($B28,Database!$B$1:$IX$10144,6,FALSE))))</f>
        <v>http://bjp.rcpsych.org/cgi/content/full/186/3/197</v>
      </c>
      <c r="H28" s="22">
        <f>IF($B28="","",IF(LEN(VLOOKUP($B28,Database!$B$1:$IX$10144,7,FALSE))=0,"",VLOOKUP($B28,Database!$B$1:$IX$10144,7,FALSE)))</f>
        <v>51</v>
      </c>
      <c r="I28" s="22">
        <f>IF($B28="","",IF(LEN(VLOOKUP($B28,Database!$B$1:$IX$10144,8,FALSE))=0,"",VLOOKUP($B28,Database!$B$1:$IX$10144,8,FALSE)))</f>
        <v>20</v>
      </c>
      <c r="J28" t="s">
        <v>211</v>
      </c>
      <c r="T28">
        <v>5.9</v>
      </c>
      <c r="U28">
        <v>0.6</v>
      </c>
      <c r="V28">
        <v>6.6</v>
      </c>
      <c r="W28">
        <v>1.1000000000000001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53.5</v>
      </c>
      <c r="AC28" s="22">
        <f>IF(OR($B28="",AC$22=""),"",IF(LEN(VLOOKUP($B28,Database!$B$1:$IX$10144,AC$22,FALSE))=0,"",VLOOKUP($B28,Database!$B$1:$IX$10144,AC$22,FALSE)))</f>
        <v>13.5</v>
      </c>
      <c r="AD28" s="22">
        <f>IF(OR($B28="",AD$22=""),"",IF(LEN(VLOOKUP($B28,Database!$B$1:$IX$10144,AD$22,FALSE))=0,"",VLOOKUP($B28,Database!$B$1:$IX$10144,AD$22,FALSE)))</f>
        <v>55.8</v>
      </c>
      <c r="AE28" s="22">
        <f>IF(OR($B28="",AE$22=""),"",IF(LEN(VLOOKUP($B28,Database!$B$1:$IX$10144,AE$22,FALSE))=0,"",VLOOKUP($B28,Database!$B$1:$IX$10144,AE$22,FALSE)))</f>
        <v>10</v>
      </c>
      <c r="AF28" s="22">
        <f>IF(OR($B28="",AF$22=""),"",IF(LEN(VLOOKUP($B28,Database!$B$1:$IX$10144,AF$22,FALSE))=0,"",VLOOKUP($B28,Database!$B$1:$IX$10144,AF$22,FALSE)))</f>
        <v>44</v>
      </c>
      <c r="AG28" s="22">
        <f>IF(OR($B28="",AG$22=""),"",IF(LEN(VLOOKUP($B28,Database!$B$1:$IX$10144,AG$22,FALSE))=0,"",VLOOKUP($B28,Database!$B$1:$IX$10144,AG$22,FALSE)))</f>
        <v>11</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38.4</v>
      </c>
      <c r="AL28" s="22">
        <f>IF(OR($B28="",AL$22=""),"",IF(LEN(VLOOKUP($B28,Database!$B$1:$IX$10144,AL$22,FALSE))=0,"",VLOOKUP($B28,Database!$B$1:$IX$10144,AL$22,FALSE)))</f>
        <v>24.9</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Hickie I, Naismith S, Ward PB, Turner K, Scott E, Mitchell P, Wilhelm K, Parker G.</v>
      </c>
      <c r="AR28" s="13"/>
      <c r="AX28" s="13"/>
      <c r="AY28" s="13"/>
      <c r="AZ28" s="13"/>
      <c r="BA28" s="13"/>
      <c r="BC28" s="23"/>
      <c r="BF28" s="136"/>
      <c r="BG28" s="136"/>
      <c r="BH28" s="136"/>
      <c r="BI28" s="136"/>
    </row>
    <row r="29" spans="1:65">
      <c r="A29" t="s">
        <v>2017</v>
      </c>
      <c r="B29">
        <v>15607296</v>
      </c>
      <c r="C29" s="1" t="str">
        <f>IF($B29="","",HYPERLINK(IF(LEN(VLOOKUP($B29,Database!$B$1:$IX$10144,2,FALSE))=0,"",VLOOKUP($B29,Database!$B$1:$IX$10144,2,FALSE))))</f>
        <v/>
      </c>
      <c r="D29" s="1" t="str">
        <f t="shared" si="0"/>
        <v>http://www.ncbi.nlm.nih.gov/pubmed/15607296</v>
      </c>
      <c r="E29" s="22" t="str">
        <f>IF($B29="","",IF(LEN(VLOOKUP($B29,Database!$B$1:$IX$10144,4,FALSE))=0,"",VLOOKUP($B29,Database!$B$1:$IX$10144,4,FALSE)))</f>
        <v>Rosso IM</v>
      </c>
      <c r="F29" s="22">
        <f>IF($B29="","",IF(LEN(VLOOKUP($B29,Database!$B$1:$IX$10144,5,FALSE))=0,"",VLOOKUP($B29,Database!$B$1:$IX$10144,5,FALSE)))</f>
        <v>2005</v>
      </c>
      <c r="G29" s="1" t="str">
        <f>IF($B29="","",HYPERLINK(IF(LEN(VLOOKUP($B29,Database!$B$1:$IX$10144,6,FALSE))=0,"",VLOOKUP($B29,Database!$B$1:$IX$10144,6,FALSE))))</f>
        <v>http://dx.doi.org/10.1016/j.biopsych.2004.10.027</v>
      </c>
      <c r="H29" s="22">
        <f>IF($B29="","",IF(LEN(VLOOKUP($B29,Database!$B$1:$IX$10144,7,FALSE))=0,"",VLOOKUP($B29,Database!$B$1:$IX$10144,7,FALSE)))</f>
        <v>20</v>
      </c>
      <c r="I29" s="22">
        <f>IF($B29="","",IF(LEN(VLOOKUP($B29,Database!$B$1:$IX$10144,8,FALSE))=0,"",VLOOKUP($B29,Database!$B$1:$IX$10144,8,FALSE)))</f>
        <v>24</v>
      </c>
      <c r="J29" t="s">
        <v>876</v>
      </c>
      <c r="L29">
        <v>6.57</v>
      </c>
      <c r="M29">
        <v>0.76</v>
      </c>
      <c r="N29">
        <v>6.26</v>
      </c>
      <c r="O29">
        <v>0.73499999999999999</v>
      </c>
      <c r="P29">
        <v>6.39</v>
      </c>
      <c r="Q29">
        <v>0.71599999999999997</v>
      </c>
      <c r="R29">
        <v>6.19</v>
      </c>
      <c r="S29">
        <v>0.78400000000000003</v>
      </c>
      <c r="T29">
        <v>12.96</v>
      </c>
      <c r="U29">
        <v>1.476</v>
      </c>
      <c r="V29">
        <v>12.45</v>
      </c>
      <c r="W29">
        <v>1.3720000000000001</v>
      </c>
      <c r="X29" s="96"/>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15.35</v>
      </c>
      <c r="AC29" s="22">
        <f>IF(OR($B29="",AC$22=""),"",IF(LEN(VLOOKUP($B29,Database!$B$1:$IX$10144,AC$22,FALSE))=0,"",VLOOKUP($B29,Database!$B$1:$IX$10144,AC$22,FALSE)))</f>
        <v>1.5209999999999999</v>
      </c>
      <c r="AD29" s="22">
        <f>IF(OR($B29="",AD$22=""),"",IF(LEN(VLOOKUP($B29,Database!$B$1:$IX$10144,AD$22,FALSE))=0,"",VLOOKUP($B29,Database!$B$1:$IX$10144,AD$22,FALSE)))</f>
        <v>14.08</v>
      </c>
      <c r="AE29" s="22">
        <f>IF(OR($B29="",AE$22=""),"",IF(LEN(VLOOKUP($B29,Database!$B$1:$IX$10144,AE$22,FALSE))=0,"",VLOOKUP($B29,Database!$B$1:$IX$10144,AE$22,FALSE)))</f>
        <v>1.5189999999999999</v>
      </c>
      <c r="AF29" s="22">
        <f>IF(OR($B29="",AF$22=""),"",IF(LEN(VLOOKUP($B29,Database!$B$1:$IX$10144,AF$22,FALSE))=0,"",VLOOKUP($B29,Database!$B$1:$IX$10144,AF$22,FALSE)))</f>
        <v>17</v>
      </c>
      <c r="AG29" s="22">
        <f>IF(OR($B29="",AG$22=""),"",IF(LEN(VLOOKUP($B29,Database!$B$1:$IX$10144,AG$22,FALSE))=0,"",VLOOKUP($B29,Database!$B$1:$IX$10144,AG$22,FALSE)))</f>
        <v>16</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12.8</v>
      </c>
      <c r="AL29" s="22">
        <f>IF(OR($B29="",AL$22=""),"",IF(LEN(VLOOKUP($B29,Database!$B$1:$IX$10144,AL$22,FALSE))=0,"",VLOOKUP($B29,Database!$B$1:$IX$10144,AL$22,FALSE)))</f>
        <v>16.55</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Rosso IM, Cintron CM, Steingard RJ, Renshaw PF, Young AD, Yurgelun-Todd DA.</v>
      </c>
      <c r="AR29" s="13"/>
      <c r="AX29" s="13"/>
      <c r="AY29" s="13"/>
      <c r="AZ29" s="13"/>
      <c r="BA29" s="13"/>
      <c r="BC29" s="23"/>
      <c r="BF29" s="136"/>
      <c r="BG29" s="136"/>
      <c r="BH29" s="136"/>
      <c r="BI29" s="136"/>
    </row>
    <row r="30" spans="1:65">
      <c r="B30">
        <v>15867107</v>
      </c>
      <c r="C30" s="1" t="str">
        <f>IF($B30="","",HYPERLINK(IF(LEN(VLOOKUP($B30,Database!$B$1:$IX$10144,2,FALSE))=0,"",VLOOKUP($B30,Database!$B$1:$IX$10144,2,FALSE))))</f>
        <v/>
      </c>
      <c r="D30" s="1" t="str">
        <f t="shared" si="0"/>
        <v>http://www.ncbi.nlm.nih.gov/pubmed/15867107</v>
      </c>
      <c r="E30" s="22" t="str">
        <f>IF($B30="","",IF(LEN(VLOOKUP($B30,Database!$B$1:$IX$10144,4,FALSE))=0,"",VLOOKUP($B30,Database!$B$1:$IX$10144,4,FALSE)))</f>
        <v>Taylor WD (B)</v>
      </c>
      <c r="F30" s="22">
        <f>IF($B30="","",IF(LEN(VLOOKUP($B30,Database!$B$1:$IX$10144,5,FALSE))=0,"",VLOOKUP($B30,Database!$B$1:$IX$10144,5,FALSE)))</f>
        <v>2005</v>
      </c>
      <c r="G30" s="1" t="str">
        <f>IF($B30="","",HYPERLINK(IF(LEN(VLOOKUP($B30,Database!$B$1:$IX$10144,6,FALSE))=0,"",VLOOKUP($B30,Database!$B$1:$IX$10144,6,FALSE))))</f>
        <v>http://archpsyc.ama-assn.org/cgi/reprint/62/5/537</v>
      </c>
      <c r="H30" s="22">
        <f>IF($B30="","",IF(LEN(VLOOKUP($B30,Database!$B$1:$IX$10144,7,FALSE))=0,"",VLOOKUP($B30,Database!$B$1:$IX$10144,7,FALSE)))</f>
        <v>135</v>
      </c>
      <c r="I30" s="22">
        <f>IF($B30="","",IF(LEN(VLOOKUP($B30,Database!$B$1:$IX$10144,8,FALSE))=0,"",VLOOKUP($B30,Database!$B$1:$IX$10144,8,FALSE)))</f>
        <v>83</v>
      </c>
      <c r="J30" t="s">
        <v>877</v>
      </c>
      <c r="L30">
        <v>2.95</v>
      </c>
      <c r="M30">
        <v>0.43</v>
      </c>
      <c r="N30">
        <v>2.96</v>
      </c>
      <c r="O30">
        <v>0.45</v>
      </c>
      <c r="P30">
        <v>3.09</v>
      </c>
      <c r="Q30">
        <v>0.42</v>
      </c>
      <c r="R30">
        <v>3.12</v>
      </c>
      <c r="S30">
        <v>0.44</v>
      </c>
      <c r="T30">
        <v>6.04</v>
      </c>
      <c r="U30">
        <v>0.79</v>
      </c>
      <c r="V30">
        <v>6.09</v>
      </c>
      <c r="W30">
        <v>0.84</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70</v>
      </c>
      <c r="AC30" s="22">
        <f>IF(OR($B30="",AC$22=""),"",IF(LEN(VLOOKUP($B30,Database!$B$1:$IX$10144,AC$22,FALSE))=0,"",VLOOKUP($B30,Database!$B$1:$IX$10144,AC$22,FALSE)))</f>
        <v>7.3</v>
      </c>
      <c r="AD30" s="22">
        <f>IF(OR($B30="",AD$22=""),"",IF(LEN(VLOOKUP($B30,Database!$B$1:$IX$10144,AD$22,FALSE))=0,"",VLOOKUP($B30,Database!$B$1:$IX$10144,AD$22,FALSE)))</f>
        <v>69.400000000000006</v>
      </c>
      <c r="AE30" s="22">
        <f>IF(OR($B30="",AE$22=""),"",IF(LEN(VLOOKUP($B30,Database!$B$1:$IX$10144,AE$22,FALSE))=0,"",VLOOKUP($B30,Database!$B$1:$IX$10144,AE$22,FALSE)))</f>
        <v>6.3</v>
      </c>
      <c r="AF30" s="22">
        <f>IF(OR($B30="",AF$22=""),"",IF(LEN(VLOOKUP($B30,Database!$B$1:$IX$10144,AF$22,FALSE))=0,"",VLOOKUP($B30,Database!$B$1:$IX$10144,AF$22,FALSE)))</f>
        <v>90</v>
      </c>
      <c r="AG30" s="22">
        <f>IF(OR($B30="",AG$22=""),"",IF(LEN(VLOOKUP($B30,Database!$B$1:$IX$10144,AG$22,FALSE))=0,"",VLOOKUP($B30,Database!$B$1:$IX$10144,AG$22,FALSE)))</f>
        <v>64</v>
      </c>
      <c r="AH30" s="22">
        <f>IF(OR($B30="",AH$22=""),"",IF(LEN(VLOOKUP($B30,Database!$B$1:$IX$10144,AH$22,FALSE))=0,"",VLOOKUP($B30,Database!$B$1:$IX$10144,AH$22,FALSE)))</f>
        <v>1.5</v>
      </c>
      <c r="AI30" s="22">
        <f>IF(OR($B30="",AI$22=""),"",IF(LEN(VLOOKUP($B30,Database!$B$1:$IX$10144,AI$22,FALSE))=0,"",VLOOKUP($B30,Database!$B$1:$IX$10144,AI$22,FALSE)))</f>
        <v>3</v>
      </c>
      <c r="AJ30" s="22" t="str">
        <f>IF(OR($B30="",AJ$22=""),"",IF(LEN(VLOOKUP($B30,Database!$B$1:$IX$10144,AJ$22,FALSE))=0,"",VLOOKUP($B30,Database!$B$1:$IX$10144,AJ$22,FALSE)))</f>
        <v/>
      </c>
      <c r="AK30" s="22">
        <f>IF(OR($B30="",AK$22=""),"",IF(LEN(VLOOKUP($B30,Database!$B$1:$IX$10144,AK$22,FALSE))=0,"",VLOOKUP($B30,Database!$B$1:$IX$10144,AK$22,FALSE)))</f>
        <v>46.9</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Taylor WD, Steffens DC, Payne ME, MacFall JR, Marchuk DA, Svenson IK, Krishnan KR.</v>
      </c>
      <c r="AR30" s="13"/>
      <c r="AX30" s="13"/>
      <c r="AY30" s="13"/>
      <c r="AZ30" s="13"/>
      <c r="BA30" s="13"/>
      <c r="BC30" s="23"/>
      <c r="BF30" s="136"/>
      <c r="BG30" s="136"/>
      <c r="BH30" s="136"/>
      <c r="BI30" s="136"/>
    </row>
    <row r="31" spans="1:65">
      <c r="B31">
        <v>17023001</v>
      </c>
      <c r="C31" s="1" t="str">
        <f>IF($B31="","",HYPERLINK(IF(LEN(VLOOKUP($B31,Database!$B$1:$IX$10144,2,FALSE))=0,"",VLOOKUP($B31,Database!$B$1:$IX$10144,2,FALSE))))</f>
        <v/>
      </c>
      <c r="D31" s="1" t="str">
        <f t="shared" si="0"/>
        <v>http://www.ncbi.nlm.nih.gov/pubmed/17023001</v>
      </c>
      <c r="E31" s="22" t="str">
        <f>IF($B31="","",IF(LEN(VLOOKUP($B31,Database!$B$1:$IX$10144,4,FALSE))=0,"",VLOOKUP($B31,Database!$B$1:$IX$10144,4,FALSE)))</f>
        <v>Colla M</v>
      </c>
      <c r="F31" s="22">
        <f>IF($B31="","",IF(LEN(VLOOKUP($B31,Database!$B$1:$IX$10144,5,FALSE))=0,"",VLOOKUP($B31,Database!$B$1:$IX$10144,5,FALSE)))</f>
        <v>2007</v>
      </c>
      <c r="G31" s="1" t="str">
        <f>IF($B31="","",HYPERLINK(IF(LEN(VLOOKUP($B31,Database!$B$1:$IX$10144,6,FALSE))=0,"",VLOOKUP($B31,Database!$B$1:$IX$10144,6,FALSE))))</f>
        <v>http://dx.doi.org/10.1016/j.jpsychires.2006.06.011</v>
      </c>
      <c r="H31" s="22">
        <f>IF($B31="","",IF(LEN(VLOOKUP($B31,Database!$B$1:$IX$10144,7,FALSE))=0,"",VLOOKUP($B31,Database!$B$1:$IX$10144,7,FALSE)))</f>
        <v>24</v>
      </c>
      <c r="I31" s="22">
        <f>IF($B31="","",IF(LEN(VLOOKUP($B31,Database!$B$1:$IX$10144,8,FALSE))=0,"",VLOOKUP($B31,Database!$B$1:$IX$10144,8,FALSE)))</f>
        <v>14</v>
      </c>
      <c r="J31" t="s">
        <v>1615</v>
      </c>
      <c r="L31">
        <v>1.68</v>
      </c>
      <c r="M31">
        <v>0.27</v>
      </c>
      <c r="N31">
        <v>1.86</v>
      </c>
      <c r="O31">
        <v>0.15</v>
      </c>
      <c r="P31">
        <v>1.78</v>
      </c>
      <c r="Q31">
        <v>0.26</v>
      </c>
      <c r="R31">
        <v>2</v>
      </c>
      <c r="S31">
        <v>0.18</v>
      </c>
      <c r="T31">
        <v>3.46</v>
      </c>
      <c r="U31">
        <v>0.52</v>
      </c>
      <c r="V31">
        <v>3.86</v>
      </c>
      <c r="W31">
        <v>0.32</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54.5</v>
      </c>
      <c r="AC31" s="22">
        <f>IF(OR($B31="",AC$22=""),"",IF(LEN(VLOOKUP($B31,Database!$B$1:$IX$10144,AC$22,FALSE))=0,"",VLOOKUP($B31,Database!$B$1:$IX$10144,AC$22,FALSE)))</f>
        <v>11.9</v>
      </c>
      <c r="AD31" s="22">
        <f>IF(OR($B31="",AD$22=""),"",IF(LEN(VLOOKUP($B31,Database!$B$1:$IX$10144,AD$22,FALSE))=0,"",VLOOKUP($B31,Database!$B$1:$IX$10144,AD$22,FALSE)))</f>
        <v>53.8</v>
      </c>
      <c r="AE31" s="22">
        <f>IF(OR($B31="",AE$22=""),"",IF(LEN(VLOOKUP($B31,Database!$B$1:$IX$10144,AE$22,FALSE))=0,"",VLOOKUP($B31,Database!$B$1:$IX$10144,AE$22,FALSE)))</f>
        <v>17.7</v>
      </c>
      <c r="AF31" s="22">
        <f>IF(OR($B31="",AF$22=""),"",IF(LEN(VLOOKUP($B31,Database!$B$1:$IX$10144,AF$22,FALSE))=0,"",VLOOKUP($B31,Database!$B$1:$IX$10144,AF$22,FALSE)))</f>
        <v>15</v>
      </c>
      <c r="AG31" s="22">
        <f>IF(OR($B31="",AG$22=""),"",IF(LEN(VLOOKUP($B31,Database!$B$1:$IX$10144,AG$22,FALSE))=0,"",VLOOKUP($B31,Database!$B$1:$IX$10144,AG$22,FALSE)))</f>
        <v>8</v>
      </c>
      <c r="AH31" s="22">
        <f>IF(OR($B31="",AH$22=""),"",IF(LEN(VLOOKUP($B31,Database!$B$1:$IX$10144,AH$22,FALSE))=0,"",VLOOKUP($B31,Database!$B$1:$IX$10144,AH$22,FALSE)))</f>
        <v>1.5</v>
      </c>
      <c r="AI31" s="22">
        <f>IF(OR($B31="",AI$22=""),"",IF(LEN(VLOOKUP($B31,Database!$B$1:$IX$10144,AI$22,FALSE))=0,"",VLOOKUP($B31,Database!$B$1:$IX$10144,AI$22,FALSE)))</f>
        <v>1.05</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25.3</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t="str">
        <f>IF(OR($B31="",AP$22=""),"",IF(LEN(VLOOKUP($B31,Database!$B$1:$IX$10144,AP$22,FALSE))=0,"",VLOOKUP($B31,Database!$B$1:$IX$10144,AP$22,FALSE)))</f>
        <v>ns</v>
      </c>
      <c r="AQ31" s="22" t="str">
        <f>IF(OR($B31="",AQ$22=""),"",IF(LEN(VLOOKUP($B31,Database!$B$1:$IX$10144,AQ$22,FALSE))=0,"",VLOOKUP($B31,Database!$B$1:$IX$10144,AQ$22,FALSE)))</f>
        <v>Colla M, Kronenberg G, Deuschle M, Meichel K, Hagen T, Bohrer M, Heuser I.</v>
      </c>
      <c r="AR31" s="13"/>
      <c r="AX31" s="13"/>
      <c r="AY31" s="13"/>
      <c r="AZ31" s="13"/>
      <c r="BA31" s="13"/>
      <c r="BC31" s="23"/>
      <c r="BF31" s="136"/>
      <c r="BG31" s="136"/>
      <c r="BH31" s="136"/>
      <c r="BI31" s="136"/>
    </row>
    <row r="32" spans="1:65">
      <c r="B32">
        <v>18075490</v>
      </c>
      <c r="C32" s="1" t="str">
        <f>IF($B32="","",HYPERLINK(IF(LEN(VLOOKUP($B32,Database!$B$1:$IX$10144,2,FALSE))=0,"",VLOOKUP($B32,Database!$B$1:$IX$10144,2,FALSE))))</f>
        <v/>
      </c>
      <c r="D32" s="1" t="str">
        <f t="shared" si="0"/>
        <v>http://www.ncbi.nlm.nih.gov/pubmed/18075490</v>
      </c>
      <c r="E32" s="22" t="str">
        <f>IF($B32="","",IF(LEN(VLOOKUP($B32,Database!$B$1:$IX$10144,4,FALSE))=0,"",VLOOKUP($B32,Database!$B$1:$IX$10144,4,FALSE)))</f>
        <v>Andreescu C</v>
      </c>
      <c r="F32" s="22">
        <f>IF($B32="","",IF(LEN(VLOOKUP($B32,Database!$B$1:$IX$10144,5,FALSE))=0,"",VLOOKUP($B32,Database!$B$1:$IX$10144,5,FALSE)))</f>
        <v>2008</v>
      </c>
      <c r="G32" s="1" t="str">
        <f>IF($B32="","",HYPERLINK(IF(LEN(VLOOKUP($B32,Database!$B$1:$IX$10144,6,FALSE))=0,"",VLOOKUP($B32,Database!$B$1:$IX$10144,6,FALSE))))</f>
        <v>http://www.nature.com/npp/journal/v33/n11/pdf/1301655a.pdf</v>
      </c>
      <c r="H32" s="22">
        <f>IF($B32="","",IF(LEN(VLOOKUP($B32,Database!$B$1:$IX$10144,7,FALSE))=0,"",VLOOKUP($B32,Database!$B$1:$IX$10144,7,FALSE)))</f>
        <v>71</v>
      </c>
      <c r="I32" s="22">
        <f>IF($B32="","",IF(LEN(VLOOKUP($B32,Database!$B$1:$IX$10144,8,FALSE))=0,"",VLOOKUP($B32,Database!$B$1:$IX$10144,8,FALSE)))</f>
        <v>32</v>
      </c>
      <c r="J32" t="s">
        <v>205</v>
      </c>
      <c r="T32">
        <v>0.75</v>
      </c>
      <c r="U32">
        <v>0.11</v>
      </c>
      <c r="V32">
        <v>0.83</v>
      </c>
      <c r="W32">
        <v>0.13</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72.2</v>
      </c>
      <c r="AC32" s="22">
        <f>IF(OR($B32="",AC$22=""),"",IF(LEN(VLOOKUP($B32,Database!$B$1:$IX$10144,AC$22,FALSE))=0,"",VLOOKUP($B32,Database!$B$1:$IX$10144,AC$22,FALSE)))</f>
        <v>6.2</v>
      </c>
      <c r="AD32" s="22">
        <f>IF(OR($B32="",AD$22=""),"",IF(LEN(VLOOKUP($B32,Database!$B$1:$IX$10144,AD$22,FALSE))=0,"",VLOOKUP($B32,Database!$B$1:$IX$10144,AD$22,FALSE)))</f>
        <v>71</v>
      </c>
      <c r="AE32" s="22">
        <f>IF(OR($B32="",AE$22=""),"",IF(LEN(VLOOKUP($B32,Database!$B$1:$IX$10144,AE$22,FALSE))=0,"",VLOOKUP($B32,Database!$B$1:$IX$10144,AE$22,FALSE)))</f>
        <v>6.7</v>
      </c>
      <c r="AF32" s="22">
        <f>IF(OR($B32="",AF$22=""),"",IF(LEN(VLOOKUP($B32,Database!$B$1:$IX$10144,AF$22,FALSE))=0,"",VLOOKUP($B32,Database!$B$1:$IX$10144,AF$22,FALSE)))</f>
        <v>49</v>
      </c>
      <c r="AG32" s="22">
        <f>IF(OR($B32="",AG$22=""),"",IF(LEN(VLOOKUP($B32,Database!$B$1:$IX$10144,AG$22,FALSE))=0,"",VLOOKUP($B32,Database!$B$1:$IX$10144,AG$22,FALSE)))</f>
        <v>17</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52.3</v>
      </c>
      <c r="AL32" s="22">
        <f>IF(OR($B32="",AL$22=""),"",IF(LEN(VLOOKUP($B32,Database!$B$1:$IX$10144,AL$22,FALSE))=0,"",VLOOKUP($B32,Database!$B$1:$IX$10144,AL$22,FALSE)))</f>
        <v>18.3</v>
      </c>
      <c r="AM32" s="22">
        <f>IF(OR($B32="",AM$22=""),"",IF(LEN(VLOOKUP($B32,Database!$B$1:$IX$10144,AM$22,FALSE))=0,"",VLOOKUP($B32,Database!$B$1:$IX$10144,AM$22,FALSE)))</f>
        <v>16.901408450704224</v>
      </c>
      <c r="AN32" s="22" t="str">
        <f>IF(OR($B32="",AN$22=""),"",IF(LEN(VLOOKUP($B32,Database!$B$1:$IX$10144,AN$22,FALSE))=0,"",VLOOKUP($B32,Database!$B$1:$IX$10144,AN$22,FALSE)))</f>
        <v>ns</v>
      </c>
      <c r="AO32" s="22">
        <f>IF(OR($B32="",AO$22=""),"",IF(LEN(VLOOKUP($B32,Database!$B$1:$IX$10144,AO$22,FALSE))=0,"",VLOOKUP($B32,Database!$B$1:$IX$10144,AO$22,FALSE)))</f>
        <v>1.4084507042253522</v>
      </c>
      <c r="AP32" s="22" t="str">
        <f>IF(OR($B32="",AP$22=""),"",IF(LEN(VLOOKUP($B32,Database!$B$1:$IX$10144,AP$22,FALSE))=0,"",VLOOKUP($B32,Database!$B$1:$IX$10144,AP$22,FALSE)))</f>
        <v>ns</v>
      </c>
      <c r="AQ32" s="22" t="str">
        <f>IF(OR($B32="",AQ$22=""),"",IF(LEN(VLOOKUP($B32,Database!$B$1:$IX$10144,AQ$22,FALSE))=0,"",VLOOKUP($B32,Database!$B$1:$IX$10144,AQ$22,FALSE)))</f>
        <v>Andreescu C, Butters MA, Begley A, Rajji T, Wu M, Meltzer CC, Reynolds CF 3rd, Aizenstein H.</v>
      </c>
      <c r="AR32" s="13"/>
      <c r="AX32" s="13"/>
      <c r="AY32" s="13"/>
      <c r="AZ32" s="13"/>
      <c r="BA32" s="13"/>
      <c r="BC32" s="23"/>
      <c r="BF32" s="136"/>
      <c r="BG32" s="136"/>
      <c r="BH32" s="136"/>
      <c r="BI32" s="136"/>
    </row>
    <row r="33" spans="1:61">
      <c r="B33">
        <v>19800203</v>
      </c>
      <c r="C33" s="1" t="str">
        <f>IF($B33="","",HYPERLINK(IF(LEN(VLOOKUP($B33,Database!$B$1:$IX$10144,2,FALSE))=0,"",VLOOKUP($B33,Database!$B$1:$IX$10144,2,FALSE))))</f>
        <v/>
      </c>
      <c r="D33" s="1" t="str">
        <f t="shared" ref="D33:D38" si="1">IF($B33="","",HYPERLINK(CONCATENATE("http://www.ncbi.nlm.nih.gov/pubmed/",B33)))</f>
        <v>http://www.ncbi.nlm.nih.gov/pubmed/19800203</v>
      </c>
      <c r="E33" s="22" t="str">
        <f>IF($B33="","",IF(LEN(VLOOKUP($B33,Database!$B$1:$IX$10144,4,FALSE))=0,"",VLOOKUP($B33,Database!$B$1:$IX$10144,4,FALSE)))</f>
        <v>Kronmüller KT</v>
      </c>
      <c r="F33" s="22">
        <f>IF($B33="","",IF(LEN(VLOOKUP($B33,Database!$B$1:$IX$10144,5,FALSE))=0,"",VLOOKUP($B33,Database!$B$1:$IX$10144,5,FALSE)))</f>
        <v>2009</v>
      </c>
      <c r="G33" s="1" t="str">
        <f>IF($B33="","",HYPERLINK(IF(LEN(VLOOKUP($B33,Database!$B$1:$IX$10144,6,FALSE))=0,"",VLOOKUP($B33,Database!$B$1:$IX$10144,6,FALSE))))</f>
        <v>http://dx.doi.org/10.1016/j.pscychresns.2008.08.001</v>
      </c>
      <c r="H33" s="83">
        <v>13</v>
      </c>
      <c r="I33" s="83">
        <v>5.5</v>
      </c>
      <c r="J33" t="s">
        <v>2383</v>
      </c>
      <c r="K33" t="s">
        <v>2379</v>
      </c>
      <c r="L33">
        <v>2.81</v>
      </c>
      <c r="M33">
        <v>0.36</v>
      </c>
      <c r="N33">
        <v>3.19</v>
      </c>
      <c r="O33">
        <v>0.25</v>
      </c>
      <c r="P33">
        <v>3</v>
      </c>
      <c r="Q33">
        <v>0.56999999999999995</v>
      </c>
      <c r="R33">
        <v>3.3</v>
      </c>
      <c r="S33">
        <v>0.28999999999999998</v>
      </c>
      <c r="T33">
        <v>5.81</v>
      </c>
      <c r="U33">
        <v>0.9</v>
      </c>
      <c r="V33">
        <v>6.49</v>
      </c>
      <c r="W33">
        <v>0.49</v>
      </c>
      <c r="Y33" s="22" t="str">
        <f>IF(OR($B33="",Y$22=""),"",IF(LEN(VLOOKUP($B33,Database!$B$1:$IX$10144,Y$22,FALSE))=0,"",VLOOKUP($B33,Database!$B$1:$IX$10144,Y$22,FALSE)))</f>
        <v>DSM-IV</v>
      </c>
      <c r="Z33" s="22" t="str">
        <f>IF(OR($B33="",Z$22=""),"",IF(LEN(VLOOKUP($B33,Database!$B$1:$IX$10144,Z$22,FALSE))=0,"",VLOOKUP($B33,Database!$B$1:$IX$10144,Z$22,FALSE)))</f>
        <v>MRI</v>
      </c>
      <c r="AA33" s="214" t="s">
        <v>2451</v>
      </c>
      <c r="AB33" s="83">
        <v>38.08</v>
      </c>
      <c r="AC33" s="83">
        <v>11.88</v>
      </c>
      <c r="AD33" s="83">
        <v>42</v>
      </c>
      <c r="AE33" s="83">
        <v>11.28</v>
      </c>
      <c r="AF33" s="83">
        <v>0</v>
      </c>
      <c r="AG33" s="22">
        <f>IF(OR($B33="",AG$22=""),"",IF(LEN(VLOOKUP($B33,Database!$B$1:$IX$10144,AG$22,FALSE))=0,"",VLOOKUP($B33,Database!$B$1:$IX$10144,AG$22,FALSE)))</f>
        <v>19</v>
      </c>
      <c r="AH33" s="22">
        <f>IF(OR($B33="",AH$22=""),"",IF(LEN(VLOOKUP($B33,Database!$B$1:$IX$10144,AH$22,FALSE))=0,"",VLOOKUP($B33,Database!$B$1:$IX$10144,AH$22,FALSE)))</f>
        <v>1.5</v>
      </c>
      <c r="AI33" s="22">
        <f>IF(OR($B33="",AI$22=""),"",IF(LEN(VLOOKUP($B33,Database!$B$1:$IX$10144,AI$22,FALSE))=0,"",VLOOKUP($B33,Database!$B$1:$IX$10144,AI$22,FALSE)))</f>
        <v>1.5</v>
      </c>
      <c r="AJ33" s="22" t="str">
        <f>IF(OR($B33="",AJ$22=""),"",IF(LEN(VLOOKUP($B33,Database!$B$1:$IX$10144,AJ$22,FALSE))=0,"",VLOOKUP($B33,Database!$B$1:$IX$10144,AJ$22,FALSE)))</f>
        <v/>
      </c>
      <c r="AK33" s="83">
        <v>38.880000000000003</v>
      </c>
      <c r="AL33" s="83">
        <v>23</v>
      </c>
      <c r="AM33" s="22">
        <f>IF(OR($B33="",AM$22=""),"",IF(LEN(VLOOKUP($B33,Database!$B$1:$IX$10144,AM$22,FALSE))=0,"",VLOOKUP($B33,Database!$B$1:$IX$10144,AM$22,FALSE)))</f>
        <v>100</v>
      </c>
      <c r="AN33" s="22" t="str">
        <f>IF(OR($B33="",AN$22=""),"",IF(LEN(VLOOKUP($B33,Database!$B$1:$IX$10144,AN$22,FALSE))=0,"",VLOOKUP($B33,Database!$B$1:$IX$10144,AN$22,FALSE)))</f>
        <v>ns</v>
      </c>
      <c r="AO33" s="22" t="str">
        <f>IF(OR($B33="",AO$22=""),"",IF(LEN(VLOOKUP($B33,Database!$B$1:$IX$10144,AO$22,FALSE))=0,"",VLOOKUP($B33,Database!$B$1:$IX$10144,AO$22,FALSE)))</f>
        <v>ns</v>
      </c>
      <c r="AP33" s="22">
        <f>IF(OR($B33="",AP$22=""),"",IF(LEN(VLOOKUP($B33,Database!$B$1:$IX$10144,AP$22,FALSE))=0,"",VLOOKUP($B33,Database!$B$1:$IX$10144,AP$22,FALSE)))</f>
        <v>0</v>
      </c>
      <c r="AQ33" s="22" t="str">
        <f>IF(OR($B33="",AQ$22=""),"",IF(LEN(VLOOKUP($B33,Database!$B$1:$IX$10144,AQ$22,FALSE))=0,"",VLOOKUP($B33,Database!$B$1:$IX$10144,AQ$22,FALSE)))</f>
        <v>Kronmüller KT, Schröder J, Köhler S, Götz B, Victor D, Unger J, Giesel F, Magnotta V, Mundt C, Essig M, Pantel J.</v>
      </c>
      <c r="AR33" s="13"/>
      <c r="AU33" s="13"/>
      <c r="AX33" s="13"/>
      <c r="AY33" s="13"/>
      <c r="AZ33" s="13"/>
      <c r="BA33" s="13"/>
      <c r="BC33" s="23"/>
      <c r="BF33" s="136"/>
      <c r="BG33" s="136"/>
      <c r="BH33" s="136"/>
      <c r="BI33" s="136"/>
    </row>
    <row r="34" spans="1:61">
      <c r="B34">
        <v>19800203</v>
      </c>
      <c r="C34" s="1" t="str">
        <f>IF($B34="","",HYPERLINK(IF(LEN(VLOOKUP($B34,Database!$B$1:$IX$10144,2,FALSE))=0,"",VLOOKUP($B34,Database!$B$1:$IX$10144,2,FALSE))))</f>
        <v/>
      </c>
      <c r="D34" s="1" t="str">
        <f t="shared" si="1"/>
        <v>http://www.ncbi.nlm.nih.gov/pubmed/19800203</v>
      </c>
      <c r="E34" s="22" t="str">
        <f>IF($B34="","",IF(LEN(VLOOKUP($B34,Database!$B$1:$IX$10144,4,FALSE))=0,"",VLOOKUP($B34,Database!$B$1:$IX$10144,4,FALSE)))</f>
        <v>Kronmüller KT</v>
      </c>
      <c r="F34" s="22">
        <f>IF($B34="","",IF(LEN(VLOOKUP($B34,Database!$B$1:$IX$10144,5,FALSE))=0,"",VLOOKUP($B34,Database!$B$1:$IX$10144,5,FALSE)))</f>
        <v>2009</v>
      </c>
      <c r="G34" s="1" t="str">
        <f>IF($B34="","",HYPERLINK(IF(LEN(VLOOKUP($B34,Database!$B$1:$IX$10144,6,FALSE))=0,"",VLOOKUP($B34,Database!$B$1:$IX$10144,6,FALSE))))</f>
        <v>http://dx.doi.org/10.1016/j.pscychresns.2008.08.001</v>
      </c>
      <c r="H34" s="83">
        <v>13</v>
      </c>
      <c r="I34" s="83">
        <v>9.5</v>
      </c>
      <c r="J34" t="s">
        <v>2383</v>
      </c>
      <c r="K34" t="s">
        <v>2380</v>
      </c>
      <c r="L34">
        <v>2.71</v>
      </c>
      <c r="M34">
        <v>0.26</v>
      </c>
      <c r="N34">
        <v>2.72</v>
      </c>
      <c r="O34">
        <v>0.3</v>
      </c>
      <c r="P34">
        <v>2.82</v>
      </c>
      <c r="Q34">
        <v>0.36</v>
      </c>
      <c r="R34">
        <v>2.79</v>
      </c>
      <c r="S34">
        <v>0.41</v>
      </c>
      <c r="T34">
        <v>5.52</v>
      </c>
      <c r="U34">
        <v>0.56999999999999995</v>
      </c>
      <c r="V34">
        <v>5.51</v>
      </c>
      <c r="W34">
        <v>0.66</v>
      </c>
      <c r="Y34" s="22" t="str">
        <f>IF(OR($B34="",Y$22=""),"",IF(LEN(VLOOKUP($B34,Database!$B$1:$IX$10144,Y$22,FALSE))=0,"",VLOOKUP($B34,Database!$B$1:$IX$10144,Y$22,FALSE)))</f>
        <v>DSM-IV</v>
      </c>
      <c r="Z34" s="22" t="str">
        <f>IF(OR($B34="",Z$22=""),"",IF(LEN(VLOOKUP($B34,Database!$B$1:$IX$10144,Z$22,FALSE))=0,"",VLOOKUP($B34,Database!$B$1:$IX$10144,Z$22,FALSE)))</f>
        <v>MRI</v>
      </c>
      <c r="AA34" s="214" t="s">
        <v>2452</v>
      </c>
      <c r="AB34" s="83">
        <v>41.46</v>
      </c>
      <c r="AC34" s="83">
        <v>16.64</v>
      </c>
      <c r="AD34" s="83">
        <v>42.68</v>
      </c>
      <c r="AE34" s="83">
        <v>13.98</v>
      </c>
      <c r="AF34" s="83">
        <v>13</v>
      </c>
      <c r="AG34" s="22">
        <f>IF(OR($B34="",AG$22=""),"",IF(LEN(VLOOKUP($B34,Database!$B$1:$IX$10144,AG$22,FALSE))=0,"",VLOOKUP($B34,Database!$B$1:$IX$10144,AG$22,FALSE)))</f>
        <v>19</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83">
        <v>38.880000000000003</v>
      </c>
      <c r="AL34" s="83">
        <v>25.62</v>
      </c>
      <c r="AM34" s="22">
        <f>IF(OR($B34="",AM$22=""),"",IF(LEN(VLOOKUP($B34,Database!$B$1:$IX$10144,AM$22,FALSE))=0,"",VLOOKUP($B34,Database!$B$1:$IX$10144,AM$22,FALSE)))</f>
        <v>100</v>
      </c>
      <c r="AN34" s="22" t="str">
        <f>IF(OR($B34="",AN$22=""),"",IF(LEN(VLOOKUP($B34,Database!$B$1:$IX$10144,AN$22,FALSE))=0,"",VLOOKUP($B34,Database!$B$1:$IX$10144,AN$22,FALSE)))</f>
        <v>ns</v>
      </c>
      <c r="AO34" s="22" t="str">
        <f>IF(OR($B34="",AO$22=""),"",IF(LEN(VLOOKUP($B34,Database!$B$1:$IX$10144,AO$22,FALSE))=0,"",VLOOKUP($B34,Database!$B$1:$IX$10144,AO$22,FALSE)))</f>
        <v>ns</v>
      </c>
      <c r="AP34" s="22">
        <f>IF(OR($B34="",AP$22=""),"",IF(LEN(VLOOKUP($B34,Database!$B$1:$IX$10144,AP$22,FALSE))=0,"",VLOOKUP($B34,Database!$B$1:$IX$10144,AP$22,FALSE)))</f>
        <v>0</v>
      </c>
      <c r="AQ34" s="22" t="str">
        <f>IF(OR($B34="",AQ$22=""),"",IF(LEN(VLOOKUP($B34,Database!$B$1:$IX$10144,AQ$22,FALSE))=0,"",VLOOKUP($B34,Database!$B$1:$IX$10144,AQ$22,FALSE)))</f>
        <v>Kronmüller KT, Schröder J, Köhler S, Götz B, Victor D, Unger J, Giesel F, Magnotta V, Mundt C, Essig M, Pantel J.</v>
      </c>
      <c r="AR34" s="13"/>
      <c r="AU34" s="13"/>
      <c r="AX34" s="13"/>
      <c r="AY34" s="13"/>
      <c r="AZ34" s="13"/>
      <c r="BA34" s="13"/>
      <c r="BC34" s="23"/>
      <c r="BF34" s="136"/>
      <c r="BG34" s="136"/>
      <c r="BH34" s="136"/>
      <c r="BI34" s="136"/>
    </row>
    <row r="35" spans="1:61">
      <c r="B35">
        <v>19800203</v>
      </c>
      <c r="C35" s="1" t="str">
        <f>IF($B35="","",HYPERLINK(IF(LEN(VLOOKUP($B35,Database!$B$1:$IX$10144,2,FALSE))=0,"",VLOOKUP($B35,Database!$B$1:$IX$10144,2,FALSE))))</f>
        <v/>
      </c>
      <c r="D35" s="1" t="str">
        <f t="shared" si="1"/>
        <v>http://www.ncbi.nlm.nih.gov/pubmed/19800203</v>
      </c>
      <c r="E35" s="22" t="str">
        <f>IF($B35="","",IF(LEN(VLOOKUP($B35,Database!$B$1:$IX$10144,4,FALSE))=0,"",VLOOKUP($B35,Database!$B$1:$IX$10144,4,FALSE)))</f>
        <v>Kronmüller KT</v>
      </c>
      <c r="F35" s="22">
        <f>IF($B35="","",IF(LEN(VLOOKUP($B35,Database!$B$1:$IX$10144,5,FALSE))=0,"",VLOOKUP($B35,Database!$B$1:$IX$10144,5,FALSE)))</f>
        <v>2009</v>
      </c>
      <c r="G35" s="1" t="str">
        <f>IF($B35="","",HYPERLINK(IF(LEN(VLOOKUP($B35,Database!$B$1:$IX$10144,6,FALSE))=0,"",VLOOKUP($B35,Database!$B$1:$IX$10144,6,FALSE))))</f>
        <v>http://dx.doi.org/10.1016/j.pscychresns.2008.08.001</v>
      </c>
      <c r="H35" s="83">
        <v>11</v>
      </c>
      <c r="I35" s="83">
        <v>5.5</v>
      </c>
      <c r="J35" t="s">
        <v>2383</v>
      </c>
      <c r="K35" t="s">
        <v>2381</v>
      </c>
      <c r="L35">
        <v>3.1</v>
      </c>
      <c r="M35">
        <v>0.39</v>
      </c>
      <c r="N35">
        <v>3.19</v>
      </c>
      <c r="O35">
        <v>0.25</v>
      </c>
      <c r="P35">
        <v>2.97</v>
      </c>
      <c r="Q35">
        <v>0.47</v>
      </c>
      <c r="R35">
        <v>3.3</v>
      </c>
      <c r="S35">
        <v>0.28999999999999998</v>
      </c>
      <c r="T35">
        <v>6.07</v>
      </c>
      <c r="U35">
        <v>0.85</v>
      </c>
      <c r="V35">
        <v>6.49</v>
      </c>
      <c r="W35">
        <v>0.49</v>
      </c>
      <c r="Y35" s="22" t="str">
        <f>IF(OR($B35="",Y$22=""),"",IF(LEN(VLOOKUP($B35,Database!$B$1:$IX$10144,Y$22,FALSE))=0,"",VLOOKUP($B35,Database!$B$1:$IX$10144,Y$22,FALSE)))</f>
        <v>DSM-IV</v>
      </c>
      <c r="Z35" s="22" t="str">
        <f>IF(OR($B35="",Z$22=""),"",IF(LEN(VLOOKUP($B35,Database!$B$1:$IX$10144,Z$22,FALSE))=0,"",VLOOKUP($B35,Database!$B$1:$IX$10144,Z$22,FALSE)))</f>
        <v>MRI</v>
      </c>
      <c r="AA35" s="214" t="s">
        <v>2453</v>
      </c>
      <c r="AB35" s="83">
        <v>48.27</v>
      </c>
      <c r="AC35" s="83">
        <v>8.73</v>
      </c>
      <c r="AD35" s="83">
        <v>42</v>
      </c>
      <c r="AE35" s="83">
        <v>11.28</v>
      </c>
      <c r="AF35" s="83">
        <v>0</v>
      </c>
      <c r="AG35" s="22">
        <f>IF(OR($B35="",AG$22=""),"",IF(LEN(VLOOKUP($B35,Database!$B$1:$IX$10144,AG$22,FALSE))=0,"",VLOOKUP($B35,Database!$B$1:$IX$10144,AG$22,FALSE)))</f>
        <v>19</v>
      </c>
      <c r="AH35" s="22">
        <f>IF(OR($B35="",AH$22=""),"",IF(LEN(VLOOKUP($B35,Database!$B$1:$IX$10144,AH$22,FALSE))=0,"",VLOOKUP($B35,Database!$B$1:$IX$10144,AH$22,FALSE)))</f>
        <v>1.5</v>
      </c>
      <c r="AI35" s="22">
        <f>IF(OR($B35="",AI$22=""),"",IF(LEN(VLOOKUP($B35,Database!$B$1:$IX$10144,AI$22,FALSE))=0,"",VLOOKUP($B35,Database!$B$1:$IX$10144,AI$22,FALSE)))</f>
        <v>1.5</v>
      </c>
      <c r="AJ35" s="22" t="str">
        <f>IF(OR($B35="",AJ$22=""),"",IF(LEN(VLOOKUP($B35,Database!$B$1:$IX$10144,AJ$22,FALSE))=0,"",VLOOKUP($B35,Database!$B$1:$IX$10144,AJ$22,FALSE)))</f>
        <v/>
      </c>
      <c r="AK35" s="83">
        <v>38.26</v>
      </c>
      <c r="AL35" s="83">
        <v>18.72</v>
      </c>
      <c r="AM35" s="22">
        <f>IF(OR($B35="",AM$22=""),"",IF(LEN(VLOOKUP($B35,Database!$B$1:$IX$10144,AM$22,FALSE))=0,"",VLOOKUP($B35,Database!$B$1:$IX$10144,AM$22,FALSE)))</f>
        <v>100</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0</v>
      </c>
      <c r="AQ35" s="22" t="str">
        <f>IF(OR($B35="",AQ$22=""),"",IF(LEN(VLOOKUP($B35,Database!$B$1:$IX$10144,AQ$22,FALSE))=0,"",VLOOKUP($B35,Database!$B$1:$IX$10144,AQ$22,FALSE)))</f>
        <v>Kronmüller KT, Schröder J, Köhler S, Götz B, Victor D, Unger J, Giesel F, Magnotta V, Mundt C, Essig M, Pantel J.</v>
      </c>
      <c r="AR35" s="13"/>
      <c r="AU35" s="13"/>
      <c r="AX35" s="13"/>
      <c r="AY35" s="13"/>
      <c r="AZ35" s="13"/>
      <c r="BA35" s="13"/>
      <c r="BC35" s="23"/>
      <c r="BF35" s="136"/>
      <c r="BG35" s="136"/>
      <c r="BH35" s="136"/>
      <c r="BI35" s="136"/>
    </row>
    <row r="36" spans="1:61">
      <c r="B36">
        <v>19800203</v>
      </c>
      <c r="C36" s="1" t="str">
        <f>IF($B36="","",HYPERLINK(IF(LEN(VLOOKUP($B36,Database!$B$1:$IX$10144,2,FALSE))=0,"",VLOOKUP($B36,Database!$B$1:$IX$10144,2,FALSE))))</f>
        <v/>
      </c>
      <c r="D36" s="1" t="str">
        <f t="shared" si="1"/>
        <v>http://www.ncbi.nlm.nih.gov/pubmed/19800203</v>
      </c>
      <c r="E36" s="22" t="str">
        <f>IF($B36="","",IF(LEN(VLOOKUP($B36,Database!$B$1:$IX$10144,4,FALSE))=0,"",VLOOKUP($B36,Database!$B$1:$IX$10144,4,FALSE)))</f>
        <v>Kronmüller KT</v>
      </c>
      <c r="F36" s="22">
        <f>IF($B36="","",IF(LEN(VLOOKUP($B36,Database!$B$1:$IX$10144,5,FALSE))=0,"",VLOOKUP($B36,Database!$B$1:$IX$10144,5,FALSE)))</f>
        <v>2009</v>
      </c>
      <c r="G36" s="1" t="str">
        <f>IF($B36="","",HYPERLINK(IF(LEN(VLOOKUP($B36,Database!$B$1:$IX$10144,6,FALSE))=0,"",VLOOKUP($B36,Database!$B$1:$IX$10144,6,FALSE))))</f>
        <v>http://dx.doi.org/10.1016/j.pscychresns.2008.08.001</v>
      </c>
      <c r="H36" s="83">
        <v>20</v>
      </c>
      <c r="I36" s="83">
        <v>9.5</v>
      </c>
      <c r="J36" t="s">
        <v>2383</v>
      </c>
      <c r="K36" t="s">
        <v>2382</v>
      </c>
      <c r="L36">
        <v>2.75</v>
      </c>
      <c r="M36">
        <v>0.41</v>
      </c>
      <c r="N36">
        <v>2.72</v>
      </c>
      <c r="O36">
        <v>0.3</v>
      </c>
      <c r="P36">
        <v>2.83</v>
      </c>
      <c r="Q36">
        <v>0.35</v>
      </c>
      <c r="R36">
        <v>2.79</v>
      </c>
      <c r="S36">
        <v>0.41</v>
      </c>
      <c r="T36">
        <v>5.59</v>
      </c>
      <c r="U36">
        <v>0.73</v>
      </c>
      <c r="V36">
        <v>5.51</v>
      </c>
      <c r="W36">
        <v>0.66</v>
      </c>
      <c r="Y36" s="22" t="str">
        <f>IF(OR($B36="",Y$22=""),"",IF(LEN(VLOOKUP($B36,Database!$B$1:$IX$10144,Y$22,FALSE))=0,"",VLOOKUP($B36,Database!$B$1:$IX$10144,Y$22,FALSE)))</f>
        <v>DSM-IV</v>
      </c>
      <c r="Z36" s="22" t="str">
        <f>IF(OR($B36="",Z$22=""),"",IF(LEN(VLOOKUP($B36,Database!$B$1:$IX$10144,Z$22,FALSE))=0,"",VLOOKUP($B36,Database!$B$1:$IX$10144,Z$22,FALSE)))</f>
        <v>MRI</v>
      </c>
      <c r="AA36" s="214" t="s">
        <v>2454</v>
      </c>
      <c r="AB36" s="83">
        <v>45.85</v>
      </c>
      <c r="AC36" s="83">
        <v>11.78</v>
      </c>
      <c r="AD36" s="83">
        <v>42.68</v>
      </c>
      <c r="AE36" s="83">
        <v>13.98</v>
      </c>
      <c r="AF36" s="83">
        <v>20</v>
      </c>
      <c r="AG36" s="22">
        <f>IF(OR($B36="",AG$22=""),"",IF(LEN(VLOOKUP($B36,Database!$B$1:$IX$10144,AG$22,FALSE))=0,"",VLOOKUP($B36,Database!$B$1:$IX$10144,AG$22,FALSE)))</f>
        <v>19</v>
      </c>
      <c r="AH36" s="22">
        <f>IF(OR($B36="",AH$22=""),"",IF(LEN(VLOOKUP($B36,Database!$B$1:$IX$10144,AH$22,FALSE))=0,"",VLOOKUP($B36,Database!$B$1:$IX$10144,AH$22,FALSE)))</f>
        <v>1.5</v>
      </c>
      <c r="AI36" s="22">
        <f>IF(OR($B36="",AI$22=""),"",IF(LEN(VLOOKUP($B36,Database!$B$1:$IX$10144,AI$22,FALSE))=0,"",VLOOKUP($B36,Database!$B$1:$IX$10144,AI$22,FALSE)))</f>
        <v>1.5</v>
      </c>
      <c r="AJ36" s="22" t="str">
        <f>IF(OR($B36="",AJ$22=""),"",IF(LEN(VLOOKUP($B36,Database!$B$1:$IX$10144,AJ$22,FALSE))=0,"",VLOOKUP($B36,Database!$B$1:$IX$10144,AJ$22,FALSE)))</f>
        <v/>
      </c>
      <c r="AK36" s="83">
        <v>38.26</v>
      </c>
      <c r="AL36" s="83">
        <v>22.9</v>
      </c>
      <c r="AM36" s="22">
        <f>IF(OR($B36="",AM$22=""),"",IF(LEN(VLOOKUP($B36,Database!$B$1:$IX$10144,AM$22,FALSE))=0,"",VLOOKUP($B36,Database!$B$1:$IX$10144,AM$22,FALSE)))</f>
        <v>100</v>
      </c>
      <c r="AN36" s="22" t="str">
        <f>IF(OR($B36="",AN$22=""),"",IF(LEN(VLOOKUP($B36,Database!$B$1:$IX$10144,AN$22,FALSE))=0,"",VLOOKUP($B36,Database!$B$1:$IX$10144,AN$22,FALSE)))</f>
        <v>ns</v>
      </c>
      <c r="AO36" s="22" t="str">
        <f>IF(OR($B36="",AO$22=""),"",IF(LEN(VLOOKUP($B36,Database!$B$1:$IX$10144,AO$22,FALSE))=0,"",VLOOKUP($B36,Database!$B$1:$IX$10144,AO$22,FALSE)))</f>
        <v>ns</v>
      </c>
      <c r="AP36" s="22">
        <f>IF(OR($B36="",AP$22=""),"",IF(LEN(VLOOKUP($B36,Database!$B$1:$IX$10144,AP$22,FALSE))=0,"",VLOOKUP($B36,Database!$B$1:$IX$10144,AP$22,FALSE)))</f>
        <v>0</v>
      </c>
      <c r="AQ36" s="22" t="str">
        <f>IF(OR($B36="",AQ$22=""),"",IF(LEN(VLOOKUP($B36,Database!$B$1:$IX$10144,AQ$22,FALSE))=0,"",VLOOKUP($B36,Database!$B$1:$IX$10144,AQ$22,FALSE)))</f>
        <v>Kronmüller KT, Schröder J, Köhler S, Götz B, Victor D, Unger J, Giesel F, Magnotta V, Mundt C, Essig M, Pantel J.</v>
      </c>
      <c r="AR36" s="13"/>
      <c r="AU36" s="13"/>
      <c r="AX36" s="13"/>
      <c r="AY36" s="13"/>
      <c r="AZ36" s="13"/>
      <c r="BA36" s="13"/>
      <c r="BC36" s="23"/>
      <c r="BF36" s="136"/>
      <c r="BG36" s="136"/>
      <c r="BH36" s="136"/>
      <c r="BI36" s="136"/>
    </row>
    <row r="37" spans="1:61">
      <c r="B37">
        <v>20018381</v>
      </c>
      <c r="C37" s="1" t="str">
        <f>IF($B37="","",HYPERLINK(IF(LEN(VLOOKUP($B37,Database!$B$1:$IX$10144,2,FALSE))=0,"",VLOOKUP($B37,Database!$B$1:$IX$10144,2,FALSE))))</f>
        <v/>
      </c>
      <c r="D37" s="1" t="str">
        <f t="shared" si="1"/>
        <v>http://www.ncbi.nlm.nih.gov/pubmed/20018381</v>
      </c>
      <c r="E37" s="22" t="str">
        <f>IF($B37="","",IF(LEN(VLOOKUP($B37,Database!$B$1:$IX$10144,4,FALSE))=0,"",VLOOKUP($B37,Database!$B$1:$IX$10144,4,FALSE)))</f>
        <v>Weber K</v>
      </c>
      <c r="F37" s="22">
        <f>IF($B37="","",IF(LEN(VLOOKUP($B37,Database!$B$1:$IX$10144,5,FALSE))=0,"",VLOOKUP($B37,Database!$B$1:$IX$10144,5,FALSE)))</f>
        <v>2009</v>
      </c>
      <c r="G37" s="1" t="str">
        <f>IF($B37="","",HYPERLINK(IF(LEN(VLOOKUP($B37,Database!$B$1:$IX$10144,6,FALSE))=0,"",VLOOKUP($B37,Database!$B$1:$IX$10144,6,FALSE))))</f>
        <v>http://dx.doi.org/10.1016/j.jad.2009.11.016</v>
      </c>
      <c r="H37" s="22">
        <f>IF($B37="","",IF(LEN(VLOOKUP($B37,Database!$B$1:$IX$10144,7,FALSE))=0,"",VLOOKUP($B37,Database!$B$1:$IX$10144,7,FALSE)))</f>
        <v>38</v>
      </c>
      <c r="I37" s="22">
        <f>IF($B37="","",IF(LEN(VLOOKUP($B37,Database!$B$1:$IX$10144,8,FALSE))=0,"",VLOOKUP($B37,Database!$B$1:$IX$10144,8,FALSE)))</f>
        <v>62</v>
      </c>
      <c r="J37" t="s">
        <v>2389</v>
      </c>
      <c r="L37">
        <v>1.74</v>
      </c>
      <c r="M37">
        <v>0.23</v>
      </c>
      <c r="N37">
        <v>1.76</v>
      </c>
      <c r="O37">
        <v>0.26</v>
      </c>
      <c r="P37">
        <v>1.83</v>
      </c>
      <c r="Q37">
        <v>0.23</v>
      </c>
      <c r="R37">
        <v>1.87</v>
      </c>
      <c r="S37">
        <v>0.27</v>
      </c>
      <c r="T37">
        <v>3.58</v>
      </c>
      <c r="U37">
        <v>0.45</v>
      </c>
      <c r="V37">
        <v>3.63</v>
      </c>
      <c r="W37">
        <v>0.52</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66.11</v>
      </c>
      <c r="AC37" s="22">
        <f>IF(OR($B37="",AC$22=""),"",IF(LEN(VLOOKUP($B37,Database!$B$1:$IX$10144,AC$22,FALSE))=0,"",VLOOKUP($B37,Database!$B$1:$IX$10144,AC$22,FALSE)))</f>
        <v>6.22</v>
      </c>
      <c r="AD37" s="22">
        <f>IF(OR($B37="",AD$22=""),"",IF(LEN(VLOOKUP($B37,Database!$B$1:$IX$10144,AD$22,FALSE))=0,"",VLOOKUP($B37,Database!$B$1:$IX$10144,AD$22,FALSE)))</f>
        <v>71.099999999999994</v>
      </c>
      <c r="AE37" s="22">
        <f>IF(OR($B37="",AE$22=""),"",IF(LEN(VLOOKUP($B37,Database!$B$1:$IX$10144,AE$22,FALSE))=0,"",VLOOKUP($B37,Database!$B$1:$IX$10144,AE$22,FALSE)))</f>
        <v>7.26</v>
      </c>
      <c r="AF37" s="22">
        <f>IF(OR($B37="",AF$22=""),"",IF(LEN(VLOOKUP($B37,Database!$B$1:$IX$10144,AF$22,FALSE))=0,"",VLOOKUP($B37,Database!$B$1:$IX$10144,AF$22,FALSE)))</f>
        <v>31</v>
      </c>
      <c r="AG37" s="22">
        <f>IF(OR($B37="",AG$22=""),"",IF(LEN(VLOOKUP($B37,Database!$B$1:$IX$10144,AG$22,FALSE))=0,"",VLOOKUP($B37,Database!$B$1:$IX$10144,AG$22,FALSE)))</f>
        <v>48</v>
      </c>
      <c r="AH37" s="22">
        <f>IF(OR($B37="",AH$22=""),"",IF(LEN(VLOOKUP($B37,Database!$B$1:$IX$10144,AH$22,FALSE))=0,"",VLOOKUP($B37,Database!$B$1:$IX$10144,AH$22,FALSE)))</f>
        <v>3</v>
      </c>
      <c r="AI37" s="22">
        <f>IF(OR($B37="",AI$22=""),"",IF(LEN(VLOOKUP($B37,Database!$B$1:$IX$10144,AI$22,FALSE))=0,"",VLOOKUP($B37,Database!$B$1:$IX$10144,AI$22,FALSE)))</f>
        <v>0.9</v>
      </c>
      <c r="AJ37" s="22" t="str">
        <f>IF(OR($B37="",AJ$22=""),"",IF(LEN(VLOOKUP($B37,Database!$B$1:$IX$10144,AJ$22,FALSE))=0,"",VLOOKUP($B37,Database!$B$1:$IX$10144,AJ$22,FALSE)))</f>
        <v/>
      </c>
      <c r="AK37" s="22">
        <f>IF(OR($B37="",AK$22=""),"",IF(LEN(VLOOKUP($B37,Database!$B$1:$IX$10144,AK$22,FALSE))=0,"",VLOOKUP($B37,Database!$B$1:$IX$10144,AK$22,FALSE)))</f>
        <v>37.76</v>
      </c>
      <c r="AL37" s="22" t="str">
        <f>IF(OR($B37="",AL$22=""),"",IF(LEN(VLOOKUP($B37,Database!$B$1:$IX$10144,AL$22,FALSE))=0,"",VLOOKUP($B37,Database!$B$1:$IX$10144,AL$22,FALSE)))</f>
        <v>ns</v>
      </c>
      <c r="AM37" s="22">
        <f>IF(OR($B37="",AM$22=""),"",IF(LEN(VLOOKUP($B37,Database!$B$1:$IX$10144,AM$22,FALSE))=0,"",VLOOKUP($B37,Database!$B$1:$IX$10144,AM$22,FALSE)))</f>
        <v>47.368421052631575</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Weber K, Giannakopoulos P, Delaloye C, de Bilbao F, Moy G, Moussa A, Rubio MM, Ebbing K, Meuli R, Lazeyras F, Meiler-Mititelu C, Herrmann FR, Gold G, Canuto A.</v>
      </c>
      <c r="AR37" s="13"/>
      <c r="AX37" s="13"/>
      <c r="AY37" s="13"/>
      <c r="AZ37" s="13"/>
      <c r="BA37" s="13"/>
      <c r="BC37" s="23"/>
      <c r="BF37" s="136"/>
      <c r="BG37" s="136"/>
      <c r="BH37" s="136"/>
      <c r="BI37" s="136"/>
    </row>
    <row r="38" spans="1:61">
      <c r="A38" s="10"/>
      <c r="B38">
        <v>20118461</v>
      </c>
      <c r="C38" s="1" t="str">
        <f>IF($B38="","",HYPERLINK(IF(LEN(VLOOKUP($B38,Database!$B$1:$IX$10144,2,FALSE))=0,"",VLOOKUP($B38,Database!$B$1:$IX$10144,2,FALSE))))</f>
        <v/>
      </c>
      <c r="D38" s="1" t="str">
        <f t="shared" si="1"/>
        <v>http://www.ncbi.nlm.nih.gov/pubmed/20118461</v>
      </c>
      <c r="E38" s="22" t="str">
        <f>IF($B38="","",IF(LEN(VLOOKUP($B38,Database!$B$1:$IX$10144,4,FALSE))=0,"",VLOOKUP($B38,Database!$B$1:$IX$10144,4,FALSE)))</f>
        <v>Köhler S</v>
      </c>
      <c r="F38" s="22">
        <f>IF($B38="","",IF(LEN(VLOOKUP($B38,Database!$B$1:$IX$10144,5,FALSE))=0,"",VLOOKUP($B38,Database!$B$1:$IX$10144,5,FALSE)))</f>
        <v>2010</v>
      </c>
      <c r="G38" s="1" t="str">
        <f>IF($B38="","",HYPERLINK(IF(LEN(VLOOKUP($B38,Database!$B$1:$IX$10144,6,FALSE))=0,"",VLOOKUP($B38,Database!$B$1:$IX$10144,6,FALSE))))</f>
        <v>http://bjp.rcpsych.org/cgi/reprint/196/2/143</v>
      </c>
      <c r="H38" s="22">
        <f>IF($B38="","",IF(LEN(VLOOKUP($B38,Database!$B$1:$IX$10144,7,FALSE))=0,"",VLOOKUP($B38,Database!$B$1:$IX$10144,7,FALSE)))</f>
        <v>35</v>
      </c>
      <c r="I38" s="22">
        <f>IF($B38="","",IF(LEN(VLOOKUP($B38,Database!$B$1:$IX$10144,8,FALSE))=0,"",VLOOKUP($B38,Database!$B$1:$IX$10144,8,FALSE)))</f>
        <v>29</v>
      </c>
      <c r="J38" t="s">
        <v>2390</v>
      </c>
      <c r="T38">
        <v>5.6</v>
      </c>
      <c r="U38">
        <v>0.9</v>
      </c>
      <c r="V38">
        <v>5.8</v>
      </c>
      <c r="W38">
        <v>0.8</v>
      </c>
      <c r="X38" s="170"/>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74.099999999999994</v>
      </c>
      <c r="AC38" s="22">
        <f>IF(OR($B38="",AC$22=""),"",IF(LEN(VLOOKUP($B38,Database!$B$1:$IX$10144,AC$22,FALSE))=0,"",VLOOKUP($B38,Database!$B$1:$IX$10144,AC$22,FALSE)))</f>
        <v>6.5</v>
      </c>
      <c r="AD38" s="22">
        <f>IF(OR($B38="",AD$22=""),"",IF(LEN(VLOOKUP($B38,Database!$B$1:$IX$10144,AD$22,FALSE))=0,"",VLOOKUP($B38,Database!$B$1:$IX$10144,AD$22,FALSE)))</f>
        <v>72.8</v>
      </c>
      <c r="AE38" s="22">
        <f>IF(OR($B38="",AE$22=""),"",IF(LEN(VLOOKUP($B38,Database!$B$1:$IX$10144,AE$22,FALSE))=0,"",VLOOKUP($B38,Database!$B$1:$IX$10144,AE$22,FALSE)))</f>
        <v>6.9</v>
      </c>
      <c r="AF38" s="22">
        <f>IF(OR($B38="",AF$22=""),"",IF(LEN(VLOOKUP($B38,Database!$B$1:$IX$10144,AF$22,FALSE))=0,"",VLOOKUP($B38,Database!$B$1:$IX$10144,AF$22,FALSE)))</f>
        <v>28</v>
      </c>
      <c r="AG38" s="22">
        <f>IF(OR($B38="",AG$22=""),"",IF(LEN(VLOOKUP($B38,Database!$B$1:$IX$10144,AG$22,FALSE))=0,"",VLOOKUP($B38,Database!$B$1:$IX$10144,AG$22,FALSE)))</f>
        <v>22</v>
      </c>
      <c r="AH38" s="22">
        <f>IF(OR($B38="",AH$22=""),"",IF(LEN(VLOOKUP($B38,Database!$B$1:$IX$10144,AH$22,FALSE))=0,"",VLOOKUP($B38,Database!$B$1:$IX$10144,AH$22,FALSE)))</f>
        <v>1</v>
      </c>
      <c r="AI38" s="22">
        <f>IF(OR($B38="",AI$22=""),"",IF(LEN(VLOOKUP($B38,Database!$B$1:$IX$10144,AI$22,FALSE))=0,"",VLOOKUP($B38,Database!$B$1:$IX$10144,AI$22,FALSE)))</f>
        <v>1</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f>IF(OR($B38="",AM$22=""),"",IF(LEN(VLOOKUP($B38,Database!$B$1:$IX$10144,AM$22,FALSE))=0,"",VLOOKUP($B38,Database!$B$1:$IX$10144,AM$22,FALSE)))</f>
        <v>80</v>
      </c>
      <c r="AN38" s="22" t="str">
        <f>IF(OR($B38="",AN$22=""),"",IF(LEN(VLOOKUP($B38,Database!$B$1:$IX$10144,AN$22,FALSE))=0,"",VLOOKUP($B38,Database!$B$1:$IX$10144,AN$22,FALSE)))</f>
        <v>ns</v>
      </c>
      <c r="AO38" s="22">
        <f>IF(OR($B38="",AO$22=""),"",IF(LEN(VLOOKUP($B38,Database!$B$1:$IX$10144,AO$22,FALSE))=0,"",VLOOKUP($B38,Database!$B$1:$IX$10144,AO$22,FALSE)))</f>
        <v>0</v>
      </c>
      <c r="AP38" s="22" t="str">
        <f>IF(OR($B38="",AP$22=""),"",IF(LEN(VLOOKUP($B38,Database!$B$1:$IX$10144,AP$22,FALSE))=0,"",VLOOKUP($B38,Database!$B$1:$IX$10144,AP$22,FALSE)))</f>
        <v>ns</v>
      </c>
      <c r="AQ38" s="22" t="str">
        <f>IF(OR($B38="",AQ$22=""),"",IF(LEN(VLOOKUP($B38,Database!$B$1:$IX$10144,AQ$22,FALSE))=0,"",VLOOKUP($B38,Database!$B$1:$IX$10144,AQ$22,FALSE)))</f>
        <v>Köhler S, Thomas AJ, Lloyd A, Barber R, Almeida OP, O'Brien JT.</v>
      </c>
      <c r="AR38" s="13"/>
      <c r="AX38" s="13"/>
      <c r="AY38" s="13"/>
      <c r="AZ38" s="13"/>
      <c r="BA38" s="13"/>
      <c r="BC38" s="23"/>
      <c r="BF38" s="136"/>
      <c r="BG38" s="136"/>
      <c r="BH38" s="136"/>
      <c r="BI38" s="136"/>
    </row>
    <row r="39" spans="1:61">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c r="AQ39" s="22"/>
      <c r="AR39" s="13"/>
      <c r="AX39" s="13"/>
      <c r="AY39" s="13"/>
      <c r="AZ39" s="13"/>
      <c r="BA39" s="13"/>
      <c r="BC39" s="23"/>
      <c r="BF39" s="136"/>
      <c r="BG39" s="136"/>
      <c r="BH39" s="136"/>
      <c r="BI39" s="136"/>
    </row>
    <row r="40" spans="1:61">
      <c r="A40" s="4" t="s">
        <v>397</v>
      </c>
      <c r="C40" s="1"/>
      <c r="D40" s="1"/>
      <c r="E40" s="22"/>
      <c r="F40" s="22"/>
      <c r="G40" s="1"/>
      <c r="H40" s="22"/>
      <c r="I40" s="22"/>
      <c r="Y40" s="22"/>
      <c r="Z40" s="22"/>
      <c r="AA40" s="22"/>
      <c r="AB40" s="22"/>
      <c r="AC40" s="22"/>
      <c r="AD40" s="22"/>
      <c r="AE40" s="22"/>
      <c r="AF40" s="22"/>
      <c r="AG40" s="22"/>
      <c r="AH40" s="22"/>
      <c r="AI40" s="22"/>
      <c r="AJ40" s="22"/>
      <c r="AK40" s="22"/>
      <c r="AL40" s="22"/>
      <c r="AM40" s="22"/>
      <c r="AN40" s="22"/>
      <c r="AO40" s="22"/>
      <c r="AP40" s="22"/>
      <c r="AQ40" s="22"/>
      <c r="AR40" s="13"/>
      <c r="AX40" s="13"/>
      <c r="AY40" s="13"/>
      <c r="AZ40" s="13"/>
      <c r="BA40" s="13"/>
      <c r="BC40" s="23"/>
      <c r="BF40" s="136"/>
      <c r="BG40" s="136"/>
      <c r="BH40" s="136"/>
      <c r="BI40" s="136"/>
    </row>
    <row r="41" spans="1:61">
      <c r="A41" t="s">
        <v>2013</v>
      </c>
      <c r="B41">
        <v>10618023</v>
      </c>
      <c r="C41" s="1" t="str">
        <f>IF($B41="","",HYPERLINK(IF(LEN(VLOOKUP($B41,Database!$B$1:$IX$10144,2,FALSE))=0,"",VLOOKUP($B41,Database!$B$1:$IX$10144,2,FALSE))))</f>
        <v/>
      </c>
      <c r="D41" s="1" t="str">
        <f t="shared" ref="D41:D68" si="2">IF($B41="","",HYPERLINK(CONCATENATE("http://www.ncbi.nlm.nih.gov/pubmed/",B41)))</f>
        <v>http://www.ncbi.nlm.nih.gov/pubmed/10618023</v>
      </c>
      <c r="E41" s="22" t="str">
        <f>IF($B41="","",IF(LEN(VLOOKUP($B41,Database!$B$1:$IX$10144,4,FALSE))=0,"",VLOOKUP($B41,Database!$B$1:$IX$10144,4,FALSE)))</f>
        <v>Bremner JD</v>
      </c>
      <c r="F41" s="22">
        <f>IF($B41="","",IF(LEN(VLOOKUP($B41,Database!$B$1:$IX$10144,5,FALSE))=0,"",VLOOKUP($B41,Database!$B$1:$IX$10144,5,FALSE)))</f>
        <v>2000</v>
      </c>
      <c r="G41" s="1" t="str">
        <f>IF($B41="","",HYPERLINK(IF(LEN(VLOOKUP($B41,Database!$B$1:$IX$10144,6,FALSE))=0,"",VLOOKUP($B41,Database!$B$1:$IX$10144,6,FALSE))))</f>
        <v>http://ajp.psychiatryonline.org/cgi/reprint/157/1/115</v>
      </c>
      <c r="H41" s="22">
        <f>IF($B41="","",IF(LEN(VLOOKUP($B41,Database!$B$1:$IX$10144,7,FALSE))=0,"",VLOOKUP($B41,Database!$B$1:$IX$10144,7,FALSE)))</f>
        <v>16</v>
      </c>
      <c r="I41" s="22">
        <f>IF($B41="","",IF(LEN(VLOOKUP($B41,Database!$B$1:$IX$10144,8,FALSE))=0,"",VLOOKUP($B41,Database!$B$1:$IX$10144,8,FALSE)))</f>
        <v>16</v>
      </c>
      <c r="J41" t="s">
        <v>887</v>
      </c>
      <c r="K41" t="s">
        <v>1044</v>
      </c>
      <c r="L41">
        <v>940</v>
      </c>
      <c r="M41">
        <v>208</v>
      </c>
      <c r="N41">
        <v>1166</v>
      </c>
      <c r="O41">
        <v>248</v>
      </c>
      <c r="P41">
        <v>982</v>
      </c>
      <c r="Q41">
        <v>269</v>
      </c>
      <c r="R41">
        <v>1113</v>
      </c>
      <c r="S41">
        <v>194</v>
      </c>
      <c r="T41">
        <f>L41+P41</f>
        <v>1922</v>
      </c>
      <c r="U41">
        <f>2*SQRT(0.25*(M41^2+Q41^2+2*$F$8*M41*Q41))</f>
        <v>452.93288686073572</v>
      </c>
      <c r="V41">
        <f>N41+R41</f>
        <v>2279</v>
      </c>
      <c r="W41">
        <f>2*SQRT(0.25*(O41^2+S41^2+2*$F$8*O41*S41))</f>
        <v>419.66558114765621</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43</v>
      </c>
      <c r="AC41" s="22">
        <f>IF(OR($B41="",AC$22=""),"",IF(LEN(VLOOKUP($B41,Database!$B$1:$IX$10144,AC$22,FALSE))=0,"",VLOOKUP($B41,Database!$B$1:$IX$10144,AC$22,FALSE)))</f>
        <v>8</v>
      </c>
      <c r="AD41" s="22">
        <f>IF(OR($B41="",AD$22=""),"",IF(LEN(VLOOKUP($B41,Database!$B$1:$IX$10144,AD$22,FALSE))=0,"",VLOOKUP($B41,Database!$B$1:$IX$10144,AD$22,FALSE)))</f>
        <v>45</v>
      </c>
      <c r="AE41" s="22">
        <f>IF(OR($B41="",AE$22=""),"",IF(LEN(VLOOKUP($B41,Database!$B$1:$IX$10144,AE$22,FALSE))=0,"",VLOOKUP($B41,Database!$B$1:$IX$10144,AE$22,FALSE)))</f>
        <v>10</v>
      </c>
      <c r="AF41" s="22">
        <f>IF(OR($B41="",AF$22=""),"",IF(LEN(VLOOKUP($B41,Database!$B$1:$IX$10144,AF$22,FALSE))=0,"",VLOOKUP($B41,Database!$B$1:$IX$10144,AF$22,FALSE)))</f>
        <v>6</v>
      </c>
      <c r="AG41" s="22">
        <f>IF(OR($B41="",AG$22=""),"",IF(LEN(VLOOKUP($B41,Database!$B$1:$IX$10144,AG$22,FALSE))=0,"",VLOOKUP($B41,Database!$B$1:$IX$10144,AG$22,FALSE)))</f>
        <v>6</v>
      </c>
      <c r="AH41" s="22">
        <f>IF(OR($B41="",AH$22=""),"",IF(LEN(VLOOKUP($B41,Database!$B$1:$IX$10144,AH$22,FALSE))=0,"",VLOOKUP($B41,Database!$B$1:$IX$10144,AH$22,FALSE)))</f>
        <v>1.5</v>
      </c>
      <c r="AI41" s="22">
        <f>IF(OR($B41="",AI$22=""),"",IF(LEN(VLOOKUP($B41,Database!$B$1:$IX$10144,AI$22,FALSE))=0,"",VLOOKUP($B41,Database!$B$1:$IX$10144,AI$22,FALSE)))</f>
        <v>3</v>
      </c>
      <c r="AJ41" s="22" t="str">
        <f>IF(OR($B41="",AJ$22=""),"",IF(LEN(VLOOKUP($B41,Database!$B$1:$IX$10144,AJ$22,FALSE))=0,"",VLOOKUP($B41,Database!$B$1:$IX$10144,AJ$22,FALSE)))</f>
        <v/>
      </c>
      <c r="AK41" s="22" t="str">
        <f>IF(OR($B41="",AK$22=""),"",IF(LEN(VLOOKUP($B41,Database!$B$1:$IX$10144,AK$22,FALSE))=0,"",VLOOKUP($B41,Database!$B$1:$IX$10144,AK$22,FALSE)))</f>
        <v>ns</v>
      </c>
      <c r="AL41" s="22" t="str">
        <f>IF(OR($B41="",AL$22=""),"",IF(LEN(VLOOKUP($B41,Database!$B$1:$IX$10144,AL$22,FALSE))=0,"",VLOOKUP($B41,Database!$B$1:$IX$10144,AL$22,FALSE)))</f>
        <v>ns</v>
      </c>
      <c r="AM41" s="22">
        <f>IF(OR($B41="",AM$22=""),"",IF(LEN(VLOOKUP($B41,Database!$B$1:$IX$10144,AM$22,FALSE))=0,"",VLOOKUP($B41,Database!$B$1:$IX$10144,AM$22,FALSE)))</f>
        <v>100</v>
      </c>
      <c r="AN41" s="22">
        <f>IF(OR($B41="",AN$22=""),"",IF(LEN(VLOOKUP($B41,Database!$B$1:$IX$10144,AN$22,FALSE))=0,"",VLOOKUP($B41,Database!$B$1:$IX$10144,AN$22,FALSE)))</f>
        <v>0</v>
      </c>
      <c r="AO41" s="22">
        <f>IF(OR($B41="",AO$22=""),"",IF(LEN(VLOOKUP($B41,Database!$B$1:$IX$10144,AO$22,FALSE))=0,"",VLOOKUP($B41,Database!$B$1:$IX$10144,AO$22,FALSE)))</f>
        <v>0</v>
      </c>
      <c r="AP41" s="22">
        <f>IF(OR($B41="",AP$22=""),"",IF(LEN(VLOOKUP($B41,Database!$B$1:$IX$10144,AP$22,FALSE))=0,"",VLOOKUP($B41,Database!$B$1:$IX$10144,AP$22,FALSE)))</f>
        <v>0</v>
      </c>
      <c r="AQ41" s="22" t="str">
        <f>IF(OR($B41="",AQ$22=""),"",IF(LEN(VLOOKUP($B41,Database!$B$1:$IX$10144,AQ$22,FALSE))=0,"",VLOOKUP($B41,Database!$B$1:$IX$10144,AQ$22,FALSE)))</f>
        <v>Bremner JD, Narayan M, Anderson ER, Staib LH, Miller HL, Charney DS.</v>
      </c>
      <c r="AR41" s="13"/>
      <c r="AX41" s="13"/>
      <c r="AY41" s="13"/>
      <c r="AZ41" s="13"/>
      <c r="BA41" s="13"/>
      <c r="BC41" s="23"/>
      <c r="BF41" s="136"/>
      <c r="BG41" s="136"/>
      <c r="BH41" s="136"/>
      <c r="BI41" s="136"/>
    </row>
    <row r="42" spans="1:61">
      <c r="A42" t="s">
        <v>2018</v>
      </c>
      <c r="B42">
        <v>10862809</v>
      </c>
      <c r="C42" s="1" t="str">
        <f>IF($B42="","",HYPERLINK(IF(LEN(VLOOKUP($B42,Database!$B$1:$IX$10144,2,FALSE))=0,"",VLOOKUP($B42,Database!$B$1:$IX$10144,2,FALSE))))</f>
        <v/>
      </c>
      <c r="D42" s="1" t="str">
        <f t="shared" si="2"/>
        <v>http://www.ncbi.nlm.nih.gov/pubmed/10862809</v>
      </c>
      <c r="E42" s="22" t="str">
        <f>IF($B42="","",IF(LEN(VLOOKUP($B42,Database!$B$1:$IX$10144,4,FALSE))=0,"",VLOOKUP($B42,Database!$B$1:$IX$10144,4,FALSE)))</f>
        <v>Vakili K</v>
      </c>
      <c r="F42" s="22">
        <f>IF($B42="","",IF(LEN(VLOOKUP($B42,Database!$B$1:$IX$10144,5,FALSE))=0,"",VLOOKUP($B42,Database!$B$1:$IX$10144,5,FALSE)))</f>
        <v>2000</v>
      </c>
      <c r="G42" s="1" t="str">
        <f>IF($B42="","",HYPERLINK(IF(LEN(VLOOKUP($B42,Database!$B$1:$IX$10144,6,FALSE))=0,"",VLOOKUP($B42,Database!$B$1:$IX$10144,6,FALSE))))</f>
        <v>http://dx.doi.org/10.1016/S0006-3223(99)00296-6</v>
      </c>
      <c r="H42" s="22">
        <f>IF($B42="","",IF(LEN(VLOOKUP($B42,Database!$B$1:$IX$10144,7,FALSE))=0,"",VLOOKUP($B42,Database!$B$1:$IX$10144,7,FALSE)))</f>
        <v>38</v>
      </c>
      <c r="I42" s="22">
        <f>IF($B42="","",IF(LEN(VLOOKUP($B42,Database!$B$1:$IX$10144,8,FALSE))=0,"",VLOOKUP($B42,Database!$B$1:$IX$10144,8,FALSE)))</f>
        <v>20</v>
      </c>
      <c r="J42" t="s">
        <v>1046</v>
      </c>
      <c r="L42">
        <v>2.64</v>
      </c>
      <c r="M42">
        <v>0.55000000000000004</v>
      </c>
      <c r="N42">
        <v>2.46</v>
      </c>
      <c r="O42">
        <v>0.38</v>
      </c>
      <c r="P42">
        <v>2.61</v>
      </c>
      <c r="Q42">
        <v>0.57999999999999996</v>
      </c>
      <c r="R42">
        <v>2.6</v>
      </c>
      <c r="S42">
        <v>0.51</v>
      </c>
      <c r="T42">
        <f t="shared" ref="T42:T68" si="3">L42+P42</f>
        <v>5.25</v>
      </c>
      <c r="U42">
        <f t="shared" ref="U42:U68" si="4">2*SQRT(0.25*(M42^2+Q42^2+2*$F$8*M42*Q42))</f>
        <v>1.0720541031123383</v>
      </c>
      <c r="V42">
        <f t="shared" ref="V42:V68" si="5">N42+R42</f>
        <v>5.0600000000000005</v>
      </c>
      <c r="W42">
        <f t="shared" ref="W42:W68" si="6">2*SQRT(0.25*(O42^2+S42^2+2*$F$8*O42*S42))</f>
        <v>0.84532833857620082</v>
      </c>
      <c r="Y42" s="22" t="str">
        <f>IF(OR($B42="",Y$22=""),"",IF(LEN(VLOOKUP($B42,Database!$B$1:$IX$10144,Y$22,FALSE))=0,"",VLOOKUP($B42,Database!$B$1:$IX$10144,Y$22,FALSE)))</f>
        <v>DSM-III-R</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38.5</v>
      </c>
      <c r="AC42" s="22">
        <f>IF(OR($B42="",AC$22=""),"",IF(LEN(VLOOKUP($B42,Database!$B$1:$IX$10144,AC$22,FALSE))=0,"",VLOOKUP($B42,Database!$B$1:$IX$10144,AC$22,FALSE)))</f>
        <v>10</v>
      </c>
      <c r="AD42" s="22">
        <f>IF(OR($B42="",AD$22=""),"",IF(LEN(VLOOKUP($B42,Database!$B$1:$IX$10144,AD$22,FALSE))=0,"",VLOOKUP($B42,Database!$B$1:$IX$10144,AD$22,FALSE)))</f>
        <v>40.299999999999997</v>
      </c>
      <c r="AE42" s="22">
        <f>IF(OR($B42="",AE$22=""),"",IF(LEN(VLOOKUP($B42,Database!$B$1:$IX$10144,AE$22,FALSE))=0,"",VLOOKUP($B42,Database!$B$1:$IX$10144,AE$22,FALSE)))</f>
        <v>10.4</v>
      </c>
      <c r="AF42" s="22">
        <f>IF(OR($B42="",AF$22=""),"",IF(LEN(VLOOKUP($B42,Database!$B$1:$IX$10144,AF$22,FALSE))=0,"",VLOOKUP($B42,Database!$B$1:$IX$10144,AF$22,FALSE)))</f>
        <v>21</v>
      </c>
      <c r="AG42" s="22">
        <f>IF(OR($B42="",AG$22=""),"",IF(LEN(VLOOKUP($B42,Database!$B$1:$IX$10144,AG$22,FALSE))=0,"",VLOOKUP($B42,Database!$B$1:$IX$10144,AG$22,FALSE)))</f>
        <v>11</v>
      </c>
      <c r="AH42" s="22">
        <f>IF(OR($B42="",AH$22=""),"",IF(LEN(VLOOKUP($B42,Database!$B$1:$IX$10144,AH$22,FALSE))=0,"",VLOOKUP($B42,Database!$B$1:$IX$10144,AH$22,FALSE)))</f>
        <v>1.5</v>
      </c>
      <c r="AI42" s="22">
        <f>IF(OR($B42="",AI$22=""),"",IF(LEN(VLOOKUP($B42,Database!$B$1:$IX$10144,AI$22,FALSE))=0,"",VLOOKUP($B42,Database!$B$1:$IX$10144,AI$22,FALSE)))</f>
        <v>3</v>
      </c>
      <c r="AJ42" s="22" t="str">
        <f>IF(OR($B42="",AJ$22=""),"",IF(LEN(VLOOKUP($B42,Database!$B$1:$IX$10144,AJ$22,FALSE))=0,"",VLOOKUP($B42,Database!$B$1:$IX$10144,AJ$22,FALSE)))</f>
        <v/>
      </c>
      <c r="AK42" s="22" t="str">
        <f>IF(OR($B42="",AK$22=""),"",IF(LEN(VLOOKUP($B42,Database!$B$1:$IX$10144,AK$22,FALSE))=0,"",VLOOKUP($B42,Database!$B$1:$IX$10144,AK$22,FALSE)))</f>
        <v>ns</v>
      </c>
      <c r="AL42" s="22" t="str">
        <f>IF(OR($B42="",AL$22=""),"",IF(LEN(VLOOKUP($B42,Database!$B$1:$IX$10144,AL$22,FALSE))=0,"",VLOOKUP($B42,Database!$B$1:$IX$10144,AL$22,FALSE)))</f>
        <v>ns</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Vakili K, Pillay SS, Lafer B, Fava M, Renshaw PF, Bonello-Cintron CM, Yurgelun-Todd DA.</v>
      </c>
      <c r="AR42" s="13"/>
      <c r="AX42" s="13"/>
      <c r="AY42" s="13"/>
      <c r="AZ42" s="13"/>
      <c r="BA42" s="13"/>
      <c r="BC42" s="23"/>
      <c r="BF42" s="136"/>
      <c r="BG42" s="136"/>
      <c r="BH42" s="136"/>
      <c r="BI42" s="136"/>
    </row>
    <row r="43" spans="1:61">
      <c r="B43">
        <v>11750892</v>
      </c>
      <c r="C43" s="1" t="str">
        <f>IF($B43="","",HYPERLINK(IF(LEN(VLOOKUP($B43,Database!$B$1:$IX$10144,2,FALSE))=0,"",VLOOKUP($B43,Database!$B$1:$IX$10144,2,FALSE))))</f>
        <v/>
      </c>
      <c r="D43" s="1" t="str">
        <f t="shared" si="2"/>
        <v>http://www.ncbi.nlm.nih.gov/pubmed/11750892</v>
      </c>
      <c r="E43" s="22" t="str">
        <f>IF($B43="","",IF(LEN(VLOOKUP($B43,Database!$B$1:$IX$10144,4,FALSE))=0,"",VLOOKUP($B43,Database!$B$1:$IX$10144,4,FALSE)))</f>
        <v>Rusch BD</v>
      </c>
      <c r="F43" s="22">
        <f>IF($B43="","",IF(LEN(VLOOKUP($B43,Database!$B$1:$IX$10144,5,FALSE))=0,"",VLOOKUP($B43,Database!$B$1:$IX$10144,5,FALSE)))</f>
        <v>2001</v>
      </c>
      <c r="G43" s="1" t="str">
        <f>IF($B43="","",HYPERLINK(IF(LEN(VLOOKUP($B43,Database!$B$1:$IX$10144,6,FALSE))=0,"",VLOOKUP($B43,Database!$B$1:$IX$10144,6,FALSE))))</f>
        <v>http://dx.doi.org/10.1016/S0006-3223(01)01248-3</v>
      </c>
      <c r="H43" s="22">
        <f>IF($B43="","",IF(LEN(VLOOKUP($B43,Database!$B$1:$IX$10144,7,FALSE))=0,"",VLOOKUP($B43,Database!$B$1:$IX$10144,7,FALSE)))</f>
        <v>25</v>
      </c>
      <c r="I43" s="22">
        <f>IF($B43="","",IF(LEN(VLOOKUP($B43,Database!$B$1:$IX$10144,8,FALSE))=0,"",VLOOKUP($B43,Database!$B$1:$IX$10144,8,FALSE)))</f>
        <v>15</v>
      </c>
      <c r="J43" t="s">
        <v>866</v>
      </c>
      <c r="L43">
        <v>2.17</v>
      </c>
      <c r="M43">
        <v>0.26</v>
      </c>
      <c r="N43">
        <v>2.13</v>
      </c>
      <c r="O43">
        <v>0.27</v>
      </c>
      <c r="P43">
        <v>2.29</v>
      </c>
      <c r="Q43">
        <v>0.3</v>
      </c>
      <c r="R43">
        <v>2.2000000000000002</v>
      </c>
      <c r="S43">
        <v>0.24</v>
      </c>
      <c r="T43">
        <f t="shared" si="3"/>
        <v>4.46</v>
      </c>
      <c r="U43">
        <f t="shared" si="4"/>
        <v>0.53141321022345689</v>
      </c>
      <c r="V43">
        <f t="shared" si="5"/>
        <v>4.33</v>
      </c>
      <c r="W43">
        <f t="shared" si="6"/>
        <v>0.48392148123430107</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33.200000000000003</v>
      </c>
      <c r="AC43" s="22">
        <f>IF(OR($B43="",AC$22=""),"",IF(LEN(VLOOKUP($B43,Database!$B$1:$IX$10144,AC$22,FALSE))=0,"",VLOOKUP($B43,Database!$B$1:$IX$10144,AC$22,FALSE)))</f>
        <v>9.5</v>
      </c>
      <c r="AD43" s="22">
        <f>IF(OR($B43="",AD$22=""),"",IF(LEN(VLOOKUP($B43,Database!$B$1:$IX$10144,AD$22,FALSE))=0,"",VLOOKUP($B43,Database!$B$1:$IX$10144,AD$22,FALSE)))</f>
        <v>37.4</v>
      </c>
      <c r="AE43" s="22">
        <f>IF(OR($B43="",AE$22=""),"",IF(LEN(VLOOKUP($B43,Database!$B$1:$IX$10144,AE$22,FALSE))=0,"",VLOOKUP($B43,Database!$B$1:$IX$10144,AE$22,FALSE)))</f>
        <v>14.4</v>
      </c>
      <c r="AF43" s="22">
        <f>IF(OR($B43="",AF$22=""),"",IF(LEN(VLOOKUP($B43,Database!$B$1:$IX$10144,AF$22,FALSE))=0,"",VLOOKUP($B43,Database!$B$1:$IX$10144,AF$22,FALSE)))</f>
        <v>14</v>
      </c>
      <c r="AG43" s="22">
        <f>IF(OR($B43="",AG$22=""),"",IF(LEN(VLOOKUP($B43,Database!$B$1:$IX$10144,AG$22,FALSE))=0,"",VLOOKUP($B43,Database!$B$1:$IX$10144,AG$22,FALSE)))</f>
        <v>9</v>
      </c>
      <c r="AH43" s="22">
        <f>IF(OR($B43="",AH$22=""),"",IF(LEN(VLOOKUP($B43,Database!$B$1:$IX$10144,AH$22,FALSE))=0,"",VLOOKUP($B43,Database!$B$1:$IX$10144,AH$22,FALSE)))</f>
        <v>1.5</v>
      </c>
      <c r="AI43" s="22">
        <f>IF(OR($B43="",AI$22=""),"",IF(LEN(VLOOKUP($B43,Database!$B$1:$IX$10144,AI$22,FALSE))=0,"",VLOOKUP($B43,Database!$B$1:$IX$10144,AI$22,FALSE)))</f>
        <v>1.2</v>
      </c>
      <c r="AJ43" s="22" t="str">
        <f>IF(OR($B43="",AJ$22=""),"",IF(LEN(VLOOKUP($B43,Database!$B$1:$IX$10144,AJ$22,FALSE))=0,"",VLOOKUP($B43,Database!$B$1:$IX$10144,AJ$22,FALSE)))</f>
        <v/>
      </c>
      <c r="AK43" s="22" t="str">
        <f>IF(OR($B43="",AK$22=""),"",IF(LEN(VLOOKUP($B43,Database!$B$1:$IX$10144,AK$22,FALSE))=0,"",VLOOKUP($B43,Database!$B$1:$IX$10144,AK$22,FALSE)))</f>
        <v>ns</v>
      </c>
      <c r="AL43" s="22">
        <f>IF(OR($B43="",AL$22=""),"",IF(LEN(VLOOKUP($B43,Database!$B$1:$IX$10144,AL$22,FALSE))=0,"",VLOOKUP($B43,Database!$B$1:$IX$10144,AL$22,FALSE)))</f>
        <v>19.399999999999999</v>
      </c>
      <c r="AM43" s="22"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f>IF(OR($B43="",AP$22=""),"",IF(LEN(VLOOKUP($B43,Database!$B$1:$IX$10144,AP$22,FALSE))=0,"",VLOOKUP($B43,Database!$B$1:$IX$10144,AP$22,FALSE)))</f>
        <v>100</v>
      </c>
      <c r="AQ43" s="22" t="str">
        <f>IF(OR($B43="",AQ$22=""),"",IF(LEN(VLOOKUP($B43,Database!$B$1:$IX$10144,AQ$22,FALSE))=0,"",VLOOKUP($B43,Database!$B$1:$IX$10144,AQ$22,FALSE)))</f>
        <v>Rusch BD, Abercrombie HC, Oakes TR, Schaefer SM, Davidson RJ.</v>
      </c>
      <c r="AR43" s="13"/>
      <c r="AX43" s="13"/>
      <c r="AY43" s="13"/>
      <c r="AZ43" s="13"/>
      <c r="BA43" s="13"/>
      <c r="BC43" s="23"/>
      <c r="BF43" s="136"/>
      <c r="BG43" s="136"/>
      <c r="BH43" s="136"/>
      <c r="BI43" s="136"/>
    </row>
    <row r="44" spans="1:61">
      <c r="A44" t="s">
        <v>2084</v>
      </c>
      <c r="B44">
        <v>12804127</v>
      </c>
      <c r="C44" s="1" t="str">
        <f>IF($B44="","",HYPERLINK(IF(LEN(VLOOKUP($B44,Database!$B$1:$IX$10144,2,FALSE))=0,"",VLOOKUP($B44,Database!$B$1:$IX$10144,2,FALSE))))</f>
        <v/>
      </c>
      <c r="D44" s="1" t="str">
        <f t="shared" si="2"/>
        <v>http://www.ncbi.nlm.nih.gov/pubmed/12804127</v>
      </c>
      <c r="E44" s="22" t="str">
        <f>IF($B44="","",IF(LEN(VLOOKUP($B44,Database!$B$1:$IX$10144,4,FALSE))=0,"",VLOOKUP($B44,Database!$B$1:$IX$10144,4,FALSE)))</f>
        <v>MacMillan S</v>
      </c>
      <c r="F44" s="22">
        <f>IF($B44="","",IF(LEN(VLOOKUP($B44,Database!$B$1:$IX$10144,5,FALSE))=0,"",VLOOKUP($B44,Database!$B$1:$IX$10144,5,FALSE)))</f>
        <v>2003</v>
      </c>
      <c r="G44" s="1" t="str">
        <f>IF($B44="","",HYPERLINK(IF(LEN(VLOOKUP($B44,Database!$B$1:$IX$10144,6,FALSE))=0,"",VLOOKUP($B44,Database!$B$1:$IX$10144,6,FALSE))))</f>
        <v>http://www.liebertonline.com/doi/pdf/10.1089/104454603321666207</v>
      </c>
      <c r="H44" s="22">
        <f>IF($B44="","",IF(LEN(VLOOKUP($B44,Database!$B$1:$IX$10144,7,FALSE))=0,"",VLOOKUP($B44,Database!$B$1:$IX$10144,7,FALSE)))</f>
        <v>23</v>
      </c>
      <c r="I44" s="22">
        <f>IF($B44="","",IF(LEN(VLOOKUP($B44,Database!$B$1:$IX$10144,8,FALSE))=0,"",VLOOKUP($B44,Database!$B$1:$IX$10144,8,FALSE)))</f>
        <v>23</v>
      </c>
      <c r="J44" t="s">
        <v>1378</v>
      </c>
      <c r="L44">
        <v>3.15</v>
      </c>
      <c r="M44">
        <v>0.39</v>
      </c>
      <c r="N44">
        <v>3.24</v>
      </c>
      <c r="O44">
        <v>0.44</v>
      </c>
      <c r="P44">
        <v>3.17</v>
      </c>
      <c r="Q44">
        <v>0.52</v>
      </c>
      <c r="R44">
        <v>3.26</v>
      </c>
      <c r="S44">
        <v>0.4</v>
      </c>
      <c r="T44">
        <f t="shared" si="3"/>
        <v>6.32</v>
      </c>
      <c r="U44">
        <f t="shared" si="4"/>
        <v>0.86428004720692242</v>
      </c>
      <c r="V44">
        <f t="shared" si="5"/>
        <v>6.5</v>
      </c>
      <c r="W44">
        <f t="shared" si="6"/>
        <v>0.79699435380685102</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14">
        <v>14</v>
      </c>
      <c r="AC44" s="22" t="str">
        <f>IF(OR($B44="",AC$22=""),"",IF(LEN(VLOOKUP($B44,Database!$B$1:$IX$10144,AC$22,FALSE))=0,"",VLOOKUP($B44,Database!$B$1:$IX$10144,AC$22,FALSE)))</f>
        <v/>
      </c>
      <c r="AD44" s="22" t="str">
        <f>IF(OR($B44="",AD$22=""),"",IF(LEN(VLOOKUP($B44,Database!$B$1:$IX$10144,AD$22,FALSE))=0,"",VLOOKUP($B44,Database!$B$1:$IX$10144,AD$22,FALSE)))</f>
        <v/>
      </c>
      <c r="AE44" s="22" t="str">
        <f>IF(OR($B44="",AE$22=""),"",IF(LEN(VLOOKUP($B44,Database!$B$1:$IX$10144,AE$22,FALSE))=0,"",VLOOKUP($B44,Database!$B$1:$IX$10144,AE$22,FALSE)))</f>
        <v/>
      </c>
      <c r="AF44" s="22">
        <f>IF(OR($B44="",AF$22=""),"",IF(LEN(VLOOKUP($B44,Database!$B$1:$IX$10144,AF$22,FALSE))=0,"",VLOOKUP($B44,Database!$B$1:$IX$10144,AF$22,FALSE)))</f>
        <v>13</v>
      </c>
      <c r="AG44" s="22">
        <f>IF(OR($B44="",AG$22=""),"",IF(LEN(VLOOKUP($B44,Database!$B$1:$IX$10144,AG$22,FALSE))=0,"",VLOOKUP($B44,Database!$B$1:$IX$10144,AG$22,FALSE)))</f>
        <v>13</v>
      </c>
      <c r="AH44" s="22">
        <f>IF(OR($B44="",AH$22=""),"",IF(LEN(VLOOKUP($B44,Database!$B$1:$IX$10144,AH$22,FALSE))=0,"",VLOOKUP($B44,Database!$B$1:$IX$10144,AH$22,FALSE)))</f>
        <v>1.5</v>
      </c>
      <c r="AI44" s="22">
        <f>IF(OR($B44="",AI$22=""),"",IF(LEN(VLOOKUP($B44,Database!$B$1:$IX$10144,AI$22,FALSE))=0,"",VLOOKUP($B44,Database!$B$1:$IX$10144,AI$22,FALSE)))</f>
        <v>1.5</v>
      </c>
      <c r="AJ44" s="22" t="str">
        <f>IF(OR($B44="",AJ$22=""),"",IF(LEN(VLOOKUP($B44,Database!$B$1:$IX$10144,AJ$22,FALSE))=0,"",VLOOKUP($B44,Database!$B$1:$IX$10144,AJ$22,FALSE)))</f>
        <v/>
      </c>
      <c r="AK44" s="22">
        <f>IF(OR($B44="",AK$22=""),"",IF(LEN(VLOOKUP($B44,Database!$B$1:$IX$10144,AK$22,FALSE))=0,"",VLOOKUP($B44,Database!$B$1:$IX$10144,AK$22,FALSE)))</f>
        <v>11.84</v>
      </c>
      <c r="AL44" s="22" t="str">
        <f>IF(OR($B44="",AL$22=""),"",IF(LEN(VLOOKUP($B44,Database!$B$1:$IX$10144,AL$22,FALSE))=0,"",VLOOKUP($B44,Database!$B$1:$IX$10144,AL$22,FALSE)))</f>
        <v>ns</v>
      </c>
      <c r="AM44" s="22">
        <f>IF(OR($B44="",AM$22=""),"",IF(LEN(VLOOKUP($B44,Database!$B$1:$IX$10144,AM$22,FALSE))=0,"",VLOOKUP($B44,Database!$B$1:$IX$10144,AM$22,FALSE)))</f>
        <v>0</v>
      </c>
      <c r="AN44" s="22">
        <f>IF(OR($B44="",AN$22=""),"",IF(LEN(VLOOKUP($B44,Database!$B$1:$IX$10144,AN$22,FALSE))=0,"",VLOOKUP($B44,Database!$B$1:$IX$10144,AN$22,FALSE)))</f>
        <v>0</v>
      </c>
      <c r="AO44" s="22">
        <f>IF(OR($B44="",AO$22=""),"",IF(LEN(VLOOKUP($B44,Database!$B$1:$IX$10144,AO$22,FALSE))=0,"",VLOOKUP($B44,Database!$B$1:$IX$10144,AO$22,FALSE)))</f>
        <v>0</v>
      </c>
      <c r="AP44" s="22">
        <f>IF(OR($B44="",AP$22=""),"",IF(LEN(VLOOKUP($B44,Database!$B$1:$IX$10144,AP$22,FALSE))=0,"",VLOOKUP($B44,Database!$B$1:$IX$10144,AP$22,FALSE)))</f>
        <v>100</v>
      </c>
      <c r="AQ44" s="22" t="str">
        <f>IF(OR($B44="",AQ$22=""),"",IF(LEN(VLOOKUP($B44,Database!$B$1:$IX$10144,AQ$22,FALSE))=0,"",VLOOKUP($B44,Database!$B$1:$IX$10144,AQ$22,FALSE)))</f>
        <v>MacMillan S, Szeszko PR, Moore GJ, Madden R, Lorch E, Ivey J, Banerjee SP, Rosenberg DR.</v>
      </c>
      <c r="AR44" s="13"/>
      <c r="AX44" s="13"/>
      <c r="AY44" s="13"/>
      <c r="AZ44" s="13"/>
      <c r="BA44" s="13"/>
      <c r="BC44" s="23"/>
      <c r="BF44" s="136"/>
      <c r="BG44" s="136"/>
      <c r="BH44" s="136"/>
      <c r="BI44" s="136"/>
    </row>
    <row r="45" spans="1:61">
      <c r="A45" s="10"/>
      <c r="B45">
        <v>12552118</v>
      </c>
      <c r="C45" s="1" t="str">
        <f>IF($B45="","",HYPERLINK(IF(LEN(VLOOKUP($B45,Database!$B$1:$IX$10144,2,FALSE))=0,"",VLOOKUP($B45,Database!$B$1:$IX$10144,2,FALSE))))</f>
        <v/>
      </c>
      <c r="D45" s="1" t="str">
        <f t="shared" si="2"/>
        <v>http://www.ncbi.nlm.nih.gov/pubmed/12552118</v>
      </c>
      <c r="E45" s="22" t="str">
        <f>IF($B45="","",IF(LEN(VLOOKUP($B45,Database!$B$1:$IX$10144,4,FALSE))=0,"",VLOOKUP($B45,Database!$B$1:$IX$10144,4,FALSE)))</f>
        <v>MacQueen GM</v>
      </c>
      <c r="F45" s="22">
        <f>IF($B45="","",IF(LEN(VLOOKUP($B45,Database!$B$1:$IX$10144,5,FALSE))=0,"",VLOOKUP($B45,Database!$B$1:$IX$10144,5,FALSE)))</f>
        <v>2003</v>
      </c>
      <c r="G45" s="1" t="str">
        <f>IF($B45="","",HYPERLINK(IF(LEN(VLOOKUP($B45,Database!$B$1:$IX$10144,6,FALSE))=0,"",VLOOKUP($B45,Database!$B$1:$IX$10144,6,FALSE))))</f>
        <v>http://www.pnas.org/content/100/3/1387.full.pdf</v>
      </c>
      <c r="H45" s="83">
        <v>20</v>
      </c>
      <c r="I45" s="83">
        <v>20</v>
      </c>
      <c r="J45" t="s">
        <v>1379</v>
      </c>
      <c r="K45" t="s">
        <v>1720</v>
      </c>
      <c r="L45">
        <v>2738</v>
      </c>
      <c r="M45">
        <v>301.10000000000002</v>
      </c>
      <c r="N45">
        <v>2761</v>
      </c>
      <c r="O45">
        <v>368.4</v>
      </c>
      <c r="P45">
        <v>2793</v>
      </c>
      <c r="Q45">
        <v>303.8</v>
      </c>
      <c r="R45">
        <v>2784</v>
      </c>
      <c r="S45">
        <v>342.2</v>
      </c>
      <c r="T45">
        <f t="shared" si="3"/>
        <v>5531</v>
      </c>
      <c r="U45">
        <f t="shared" si="4"/>
        <v>573.85916216437636</v>
      </c>
      <c r="V45">
        <f t="shared" si="5"/>
        <v>5545</v>
      </c>
      <c r="W45">
        <f t="shared" si="6"/>
        <v>674.1852623722948</v>
      </c>
      <c r="Y45" s="22" t="str">
        <f>IF(OR($B45="",Y$22=""),"",IF(LEN(VLOOKUP($B45,Database!$B$1:$IX$10144,Y$22,FALSE))=0,"",VLOOKUP($B45,Database!$B$1:$IX$10144,Y$22,FALSE)))</f>
        <v>DSM-IV</v>
      </c>
      <c r="Z45" s="22" t="str">
        <f>IF(OR($B45="",Z$22=""),"",IF(LEN(VLOOKUP($B45,Database!$B$1:$IX$10144,Z$22,FALSE))=0,"",VLOOKUP($B45,Database!$B$1:$IX$10144,Z$22,FALSE)))</f>
        <v>MRI</v>
      </c>
      <c r="AA45" s="83" t="s">
        <v>748</v>
      </c>
      <c r="AB45" s="83">
        <v>28.4</v>
      </c>
      <c r="AC45" s="83">
        <v>11.8</v>
      </c>
      <c r="AD45" s="83">
        <v>28.4</v>
      </c>
      <c r="AE45" s="83">
        <v>11.5</v>
      </c>
      <c r="AF45" s="83">
        <v>13</v>
      </c>
      <c r="AG45" s="214">
        <v>13</v>
      </c>
      <c r="AH45" s="22">
        <f>IF(OR($B45="",AH$22=""),"",IF(LEN(VLOOKUP($B45,Database!$B$1:$IX$10144,AH$22,FALSE))=0,"",VLOOKUP($B45,Database!$B$1:$IX$10144,AH$22,FALSE)))</f>
        <v>1.5</v>
      </c>
      <c r="AI45" s="22">
        <f>IF(OR($B45="",AI$22=""),"",IF(LEN(VLOOKUP($B45,Database!$B$1:$IX$10144,AI$22,FALSE))=0,"",VLOOKUP($B45,Database!$B$1:$IX$10144,AI$22,FALSE)))</f>
        <v>1.2</v>
      </c>
      <c r="AJ45" s="22" t="str">
        <f>IF(OR($B45="",AJ$22=""),"",IF(LEN(VLOOKUP($B45,Database!$B$1:$IX$10144,AJ$22,FALSE))=0,"",VLOOKUP($B45,Database!$B$1:$IX$10144,AJ$22,FALSE)))</f>
        <v/>
      </c>
      <c r="AK45" s="83">
        <v>26.3</v>
      </c>
      <c r="AL45" s="83">
        <v>19.100000000000001</v>
      </c>
      <c r="AM45" s="22" t="str">
        <f>IF(OR($B45="",AM$22=""),"",IF(LEN(VLOOKUP($B45,Database!$B$1:$IX$10144,AM$22,FALSE))=0,"",VLOOKUP($B45,Database!$B$1:$IX$10144,AM$22,FALSE)))</f>
        <v>ns</v>
      </c>
      <c r="AN45" s="22">
        <f>IF(OR($B45="",AN$22=""),"",IF(LEN(VLOOKUP($B45,Database!$B$1:$IX$10144,AN$22,FALSE))=0,"",VLOOKUP($B45,Database!$B$1:$IX$10144,AN$22,FALSE)))</f>
        <v>0</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MacQueen GM, Campbell S, McEwen BS, Macdonald K, Amano S, Joffe RT, Nahmias C, Young LT.</v>
      </c>
      <c r="AR45" s="13"/>
      <c r="AU45" s="13"/>
      <c r="AX45" s="13"/>
      <c r="AY45" s="13"/>
      <c r="AZ45" s="13"/>
      <c r="BA45" s="13"/>
      <c r="BC45" s="23"/>
      <c r="BF45" s="136"/>
      <c r="BG45" s="136"/>
      <c r="BH45" s="136"/>
      <c r="BI45" s="136"/>
    </row>
    <row r="46" spans="1:61">
      <c r="A46" s="10"/>
      <c r="B46">
        <v>12552118</v>
      </c>
      <c r="C46" s="1" t="str">
        <f>IF($B46="","",HYPERLINK(IF(LEN(VLOOKUP($B46,Database!$B$1:$IX$10144,2,FALSE))=0,"",VLOOKUP($B46,Database!$B$1:$IX$10144,2,FALSE))))</f>
        <v/>
      </c>
      <c r="D46" s="1" t="str">
        <f t="shared" si="2"/>
        <v>http://www.ncbi.nlm.nih.gov/pubmed/12552118</v>
      </c>
      <c r="E46" s="22" t="str">
        <f>IF($B46="","",IF(LEN(VLOOKUP($B46,Database!$B$1:$IX$10144,4,FALSE))=0,"",VLOOKUP($B46,Database!$B$1:$IX$10144,4,FALSE)))</f>
        <v>MacQueen GM</v>
      </c>
      <c r="F46" s="22">
        <f>IF($B46="","",IF(LEN(VLOOKUP($B46,Database!$B$1:$IX$10144,5,FALSE))=0,"",VLOOKUP($B46,Database!$B$1:$IX$10144,5,FALSE)))</f>
        <v>2003</v>
      </c>
      <c r="G46" s="1" t="str">
        <f>IF($B46="","",HYPERLINK(IF(LEN(VLOOKUP($B46,Database!$B$1:$IX$10144,6,FALSE))=0,"",VLOOKUP($B46,Database!$B$1:$IX$10144,6,FALSE))))</f>
        <v>http://www.pnas.org/content/100/3/1387.full.pdf</v>
      </c>
      <c r="H46" s="83">
        <v>17</v>
      </c>
      <c r="I46" s="83">
        <v>17</v>
      </c>
      <c r="J46" t="s">
        <v>1379</v>
      </c>
      <c r="K46" t="s">
        <v>687</v>
      </c>
      <c r="L46">
        <v>2381</v>
      </c>
      <c r="M46">
        <v>273.5</v>
      </c>
      <c r="N46">
        <v>2703</v>
      </c>
      <c r="O46">
        <v>249</v>
      </c>
      <c r="P46">
        <v>2392</v>
      </c>
      <c r="Q46">
        <v>256.7</v>
      </c>
      <c r="R46">
        <v>2692</v>
      </c>
      <c r="S46">
        <v>190.1</v>
      </c>
      <c r="T46">
        <f t="shared" si="3"/>
        <v>4773</v>
      </c>
      <c r="U46">
        <f t="shared" si="4"/>
        <v>503.01993996262217</v>
      </c>
      <c r="V46">
        <f t="shared" si="5"/>
        <v>5395</v>
      </c>
      <c r="W46">
        <f t="shared" si="6"/>
        <v>416.98303322797199</v>
      </c>
      <c r="Y46" s="22" t="str">
        <f>IF(OR($B46="",Y$22=""),"",IF(LEN(VLOOKUP($B46,Database!$B$1:$IX$10144,Y$22,FALSE))=0,"",VLOOKUP($B46,Database!$B$1:$IX$10144,Y$22,FALSE)))</f>
        <v>DSM-IV</v>
      </c>
      <c r="Z46" s="22" t="str">
        <f>IF(OR($B46="",Z$22=""),"",IF(LEN(VLOOKUP($B46,Database!$B$1:$IX$10144,Z$22,FALSE))=0,"",VLOOKUP($B46,Database!$B$1:$IX$10144,Z$22,FALSE)))</f>
        <v>MRI</v>
      </c>
      <c r="AA46" s="83" t="s">
        <v>747</v>
      </c>
      <c r="AB46" s="83">
        <v>35.9</v>
      </c>
      <c r="AC46" s="83">
        <v>11.1</v>
      </c>
      <c r="AD46" s="83">
        <v>36.200000000000003</v>
      </c>
      <c r="AE46" s="83">
        <v>11.9</v>
      </c>
      <c r="AF46" s="83">
        <v>11</v>
      </c>
      <c r="AG46" s="214">
        <v>11</v>
      </c>
      <c r="AH46" s="22">
        <f>IF(OR($B46="",AH$22=""),"",IF(LEN(VLOOKUP($B46,Database!$B$1:$IX$10144,AH$22,FALSE))=0,"",VLOOKUP($B46,Database!$B$1:$IX$10144,AH$22,FALSE)))</f>
        <v>1.5</v>
      </c>
      <c r="AI46" s="22">
        <f>IF(OR($B46="",AI$22=""),"",IF(LEN(VLOOKUP($B46,Database!$B$1:$IX$10144,AI$22,FALSE))=0,"",VLOOKUP($B46,Database!$B$1:$IX$10144,AI$22,FALSE)))</f>
        <v>1.2</v>
      </c>
      <c r="AJ46" s="22" t="str">
        <f>IF(OR($B46="",AJ$22=""),"",IF(LEN(VLOOKUP($B46,Database!$B$1:$IX$10144,AJ$22,FALSE))=0,"",VLOOKUP($B46,Database!$B$1:$IX$10144,AJ$22,FALSE)))</f>
        <v/>
      </c>
      <c r="AK46" s="83">
        <v>24.9</v>
      </c>
      <c r="AL46" s="83">
        <v>17.5</v>
      </c>
      <c r="AM46" s="22" t="str">
        <f>IF(OR($B46="",AM$22=""),"",IF(LEN(VLOOKUP($B46,Database!$B$1:$IX$10144,AM$22,FALSE))=0,"",VLOOKUP($B46,Database!$B$1:$IX$10144,AM$22,FALSE)))</f>
        <v>ns</v>
      </c>
      <c r="AN46" s="22">
        <f>IF(OR($B46="",AN$22=""),"",IF(LEN(VLOOKUP($B46,Database!$B$1:$IX$10144,AN$22,FALSE))=0,"",VLOOKUP($B46,Database!$B$1:$IX$10144,AN$22,FALSE)))</f>
        <v>0</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MacQueen GM, Campbell S, McEwen BS, Macdonald K, Amano S, Joffe RT, Nahmias C, Young LT.</v>
      </c>
      <c r="AR46" s="13"/>
      <c r="AU46" s="13"/>
      <c r="AX46" s="13"/>
      <c r="AY46" s="13"/>
      <c r="AZ46" s="13"/>
      <c r="BA46" s="13"/>
      <c r="BC46" s="23"/>
      <c r="BF46" s="136"/>
      <c r="BG46" s="136"/>
      <c r="BH46" s="136"/>
      <c r="BI46" s="136"/>
    </row>
    <row r="47" spans="1:61">
      <c r="B47">
        <v>12505805</v>
      </c>
      <c r="C47" s="1" t="str">
        <f>IF($B47="","",HYPERLINK(IF(LEN(VLOOKUP($B47,Database!$B$1:$IX$10144,2,FALSE))=0,"",VLOOKUP($B47,Database!$B$1:$IX$10144,2,FALSE))))</f>
        <v/>
      </c>
      <c r="D47" s="1" t="str">
        <f t="shared" si="2"/>
        <v>http://www.ncbi.nlm.nih.gov/pubmed/12505805</v>
      </c>
      <c r="E47" s="22" t="str">
        <f>IF($B47="","",IF(LEN(VLOOKUP($B47,Database!$B$1:$IX$10144,4,FALSE))=0,"",VLOOKUP($B47,Database!$B$1:$IX$10144,4,FALSE)))</f>
        <v>Posener JA</v>
      </c>
      <c r="F47" s="22">
        <f>IF($B47="","",IF(LEN(VLOOKUP($B47,Database!$B$1:$IX$10144,5,FALSE))=0,"",VLOOKUP($B47,Database!$B$1:$IX$10144,5,FALSE)))</f>
        <v>2003</v>
      </c>
      <c r="G47" s="1" t="str">
        <f>IF($B47="","",HYPERLINK(IF(LEN(VLOOKUP($B47,Database!$B$1:$IX$10144,6,FALSE))=0,"",VLOOKUP($B47,Database!$B$1:$IX$10144,6,FALSE))))</f>
        <v>http://ajp.psychiatryonline.org/cgi/reprint/160/1/83</v>
      </c>
      <c r="H47" s="22">
        <f>IF($B47="","",IF(LEN(VLOOKUP($B47,Database!$B$1:$IX$10144,7,FALSE))=0,"",VLOOKUP($B47,Database!$B$1:$IX$10144,7,FALSE)))</f>
        <v>27</v>
      </c>
      <c r="I47" s="22">
        <f>IF($B47="","",IF(LEN(VLOOKUP($B47,Database!$B$1:$IX$10144,8,FALSE))=0,"",VLOOKUP($B47,Database!$B$1:$IX$10144,8,FALSE)))</f>
        <v>42</v>
      </c>
      <c r="J47" t="s">
        <v>887</v>
      </c>
      <c r="L47">
        <v>2546</v>
      </c>
      <c r="M47">
        <v>392.7</v>
      </c>
      <c r="N47">
        <v>2475</v>
      </c>
      <c r="O47">
        <v>359.4</v>
      </c>
      <c r="P47">
        <v>2948.4</v>
      </c>
      <c r="Q47">
        <v>446.7</v>
      </c>
      <c r="R47">
        <v>2993.9</v>
      </c>
      <c r="S47">
        <v>414.2</v>
      </c>
      <c r="T47">
        <f t="shared" si="3"/>
        <v>5494.4</v>
      </c>
      <c r="U47">
        <f t="shared" si="4"/>
        <v>796.50783046998345</v>
      </c>
      <c r="V47">
        <f t="shared" si="5"/>
        <v>5468.9</v>
      </c>
      <c r="W47">
        <f t="shared" si="6"/>
        <v>734.10596510313144</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f>IF(OR($B47="",AB$22=""),"",IF(LEN(VLOOKUP($B47,Database!$B$1:$IX$10144,AB$22,FALSE))=0,"",VLOOKUP($B47,Database!$B$1:$IX$10144,AB$22,FALSE)))</f>
        <v>33</v>
      </c>
      <c r="AC47" s="22">
        <f>IF(OR($B47="",AC$22=""),"",IF(LEN(VLOOKUP($B47,Database!$B$1:$IX$10144,AC$22,FALSE))=0,"",VLOOKUP($B47,Database!$B$1:$IX$10144,AC$22,FALSE)))</f>
        <v>10.7</v>
      </c>
      <c r="AD47" s="22">
        <f>IF(OR($B47="",AD$22=""),"",IF(LEN(VLOOKUP($B47,Database!$B$1:$IX$10144,AD$22,FALSE))=0,"",VLOOKUP($B47,Database!$B$1:$IX$10144,AD$22,FALSE)))</f>
        <v>33.200000000000003</v>
      </c>
      <c r="AE47" s="22">
        <f>IF(OR($B47="",AE$22=""),"",IF(LEN(VLOOKUP($B47,Database!$B$1:$IX$10144,AE$22,FALSE))=0,"",VLOOKUP($B47,Database!$B$1:$IX$10144,AE$22,FALSE)))</f>
        <v>10.8</v>
      </c>
      <c r="AF47" s="22">
        <f>IF(OR($B47="",AF$22=""),"",IF(LEN(VLOOKUP($B47,Database!$B$1:$IX$10144,AF$22,FALSE))=0,"",VLOOKUP($B47,Database!$B$1:$IX$10144,AF$22,FALSE)))</f>
        <v>15</v>
      </c>
      <c r="AG47" s="22">
        <f>IF(OR($B47="",AG$22=""),"",IF(LEN(VLOOKUP($B47,Database!$B$1:$IX$10144,AG$22,FALSE))=0,"",VLOOKUP($B47,Database!$B$1:$IX$10144,AG$22,FALSE)))</f>
        <v>23</v>
      </c>
      <c r="AH47" s="22">
        <f>IF(OR($B47="",AH$22=""),"",IF(LEN(VLOOKUP($B47,Database!$B$1:$IX$10144,AH$22,FALSE))=0,"",VLOOKUP($B47,Database!$B$1:$IX$10144,AH$22,FALSE)))</f>
        <v>1.5</v>
      </c>
      <c r="AI47" s="22">
        <f>IF(OR($B47="",AI$22=""),"",IF(LEN(VLOOKUP($B47,Database!$B$1:$IX$10144,AI$22,FALSE))=0,"",VLOOKUP($B47,Database!$B$1:$IX$10144,AI$22,FALSE)))</f>
        <v>1</v>
      </c>
      <c r="AJ47" s="22" t="str">
        <f>IF(OR($B47="",AJ$22=""),"",IF(LEN(VLOOKUP($B47,Database!$B$1:$IX$10144,AJ$22,FALSE))=0,"",VLOOKUP($B47,Database!$B$1:$IX$10144,AJ$22,FALSE)))</f>
        <v/>
      </c>
      <c r="AK47" s="22" t="str">
        <f>IF(OR($B47="",AK$22=""),"",IF(LEN(VLOOKUP($B47,Database!$B$1:$IX$10144,AK$22,FALSE))=0,"",VLOOKUP($B47,Database!$B$1:$IX$10144,AK$22,FALSE)))</f>
        <v>ns</v>
      </c>
      <c r="AL47" s="22">
        <f>IF(OR($B47="",AL$22=""),"",IF(LEN(VLOOKUP($B47,Database!$B$1:$IX$10144,AL$22,FALSE))=0,"",VLOOKUP($B47,Database!$B$1:$IX$10144,AL$22,FALSE)))</f>
        <v>27.3</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Posener JA, Wang L, Price JL, Gado MH, Province MA, Miller MI, Babb CM, Csernansky JG.</v>
      </c>
      <c r="AR47" s="13"/>
      <c r="AX47" s="13"/>
      <c r="AY47" s="13"/>
      <c r="AZ47" s="13"/>
      <c r="BA47" s="13"/>
      <c r="BC47" s="23"/>
      <c r="BF47" s="136"/>
      <c r="BG47" s="136"/>
      <c r="BH47" s="136"/>
      <c r="BI47" s="136"/>
    </row>
    <row r="48" spans="1:61">
      <c r="A48" s="10"/>
      <c r="B48">
        <v>12900317</v>
      </c>
      <c r="C48" s="1" t="str">
        <f>IF($B48="","",HYPERLINK(IF(LEN(VLOOKUP($B48,Database!$B$1:$IX$10144,2,FALSE))=0,"",VLOOKUP($B48,Database!$B$1:$IX$10144,2,FALSE))))</f>
        <v/>
      </c>
      <c r="D48" s="1" t="str">
        <f t="shared" si="2"/>
        <v>http://www.ncbi.nlm.nih.gov/pubmed/12900317</v>
      </c>
      <c r="E48" s="22" t="str">
        <f>IF($B48="","",IF(LEN(VLOOKUP($B48,Database!$B$1:$IX$10144,4,FALSE))=0,"",VLOOKUP($B48,Database!$B$1:$IX$10144,4,FALSE)))</f>
        <v>Sheline YI</v>
      </c>
      <c r="F48" s="22">
        <f>IF($B48="","",IF(LEN(VLOOKUP($B48,Database!$B$1:$IX$10144,5,FALSE))=0,"",VLOOKUP($B48,Database!$B$1:$IX$10144,5,FALSE)))</f>
        <v>2003</v>
      </c>
      <c r="G48" s="1" t="str">
        <f>IF($B48="","",HYPERLINK(IF(LEN(VLOOKUP($B48,Database!$B$1:$IX$10144,6,FALSE))=0,"",VLOOKUP($B48,Database!$B$1:$IX$10144,6,FALSE))))</f>
        <v>http://ajp.psychiatryonline.org/cgi/reprint/160/8/1516</v>
      </c>
      <c r="H48" s="22">
        <f>IF($B48="","",IF(LEN(VLOOKUP($B48,Database!$B$1:$IX$10144,7,FALSE))=0,"",VLOOKUP($B48,Database!$B$1:$IX$10144,7,FALSE)))</f>
        <v>38</v>
      </c>
      <c r="I48" s="22">
        <f>IF($B48="","",IF(LEN(VLOOKUP($B48,Database!$B$1:$IX$10144,8,FALSE))=0,"",VLOOKUP($B48,Database!$B$1:$IX$10144,8,FALSE)))</f>
        <v>38</v>
      </c>
      <c r="J48" t="s">
        <v>939</v>
      </c>
      <c r="L48">
        <v>2171</v>
      </c>
      <c r="M48">
        <v>316</v>
      </c>
      <c r="N48">
        <v>2421</v>
      </c>
      <c r="O48">
        <v>318</v>
      </c>
      <c r="P48">
        <v>2203</v>
      </c>
      <c r="Q48">
        <v>315</v>
      </c>
      <c r="R48">
        <v>2429</v>
      </c>
      <c r="S48">
        <v>326</v>
      </c>
      <c r="T48">
        <f t="shared" si="3"/>
        <v>4374</v>
      </c>
      <c r="U48">
        <f t="shared" si="4"/>
        <v>598.61924459542729</v>
      </c>
      <c r="V48">
        <f t="shared" si="5"/>
        <v>4850</v>
      </c>
      <c r="W48">
        <f t="shared" si="6"/>
        <v>610.95728164905279</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22">
        <f>IF(OR($B48="",AB$22=""),"",IF(LEN(VLOOKUP($B48,Database!$B$1:$IX$10144,AB$22,FALSE))=0,"",VLOOKUP($B48,Database!$B$1:$IX$10144,AB$22,FALSE)))</f>
        <v>50.8</v>
      </c>
      <c r="AC48" s="22">
        <f>IF(OR($B48="",AC$22=""),"",IF(LEN(VLOOKUP($B48,Database!$B$1:$IX$10144,AC$22,FALSE))=0,"",VLOOKUP($B48,Database!$B$1:$IX$10144,AC$22,FALSE)))</f>
        <v>17.100000000000001</v>
      </c>
      <c r="AD48" s="22" t="str">
        <f>IF(OR($B48="",AD$22=""),"",IF(LEN(VLOOKUP($B48,Database!$B$1:$IX$10144,AD$22,FALSE))=0,"",VLOOKUP($B48,Database!$B$1:$IX$10144,AD$22,FALSE)))</f>
        <v>ns</v>
      </c>
      <c r="AE48" s="22" t="str">
        <f>IF(OR($B48="",AE$22=""),"",IF(LEN(VLOOKUP($B48,Database!$B$1:$IX$10144,AE$22,FALSE))=0,"",VLOOKUP($B48,Database!$B$1:$IX$10144,AE$22,FALSE)))</f>
        <v>ns</v>
      </c>
      <c r="AF48" s="22">
        <f>IF(OR($B48="",AF$22=""),"",IF(LEN(VLOOKUP($B48,Database!$B$1:$IX$10144,AF$22,FALSE))=0,"",VLOOKUP($B48,Database!$B$1:$IX$10144,AF$22,FALSE)))</f>
        <v>38</v>
      </c>
      <c r="AG48" s="22" t="str">
        <f>IF(OR($B48="",AG$22=""),"",IF(LEN(VLOOKUP($B48,Database!$B$1:$IX$10144,AG$22,FALSE))=0,"",VLOOKUP($B48,Database!$B$1:$IX$10144,AG$22,FALSE)))</f>
        <v>ns</v>
      </c>
      <c r="AH48" s="22">
        <f>IF(OR($B48="",AH$22=""),"",IF(LEN(VLOOKUP($B48,Database!$B$1:$IX$10144,AH$22,FALSE))=0,"",VLOOKUP($B48,Database!$B$1:$IX$10144,AH$22,FALSE)))</f>
        <v>1.5</v>
      </c>
      <c r="AI48" s="22" t="str">
        <f>IF(OR($B48="",AI$22=""),"",IF(LEN(VLOOKUP($B48,Database!$B$1:$IX$10144,AI$22,FALSE))=0,"",VLOOKUP($B48,Database!$B$1:$IX$10144,AI$22,FALSE)))</f>
        <v>ns</v>
      </c>
      <c r="AJ48" s="22" t="str">
        <f>IF(OR($B48="",AJ$22=""),"",IF(LEN(VLOOKUP($B48,Database!$B$1:$IX$10144,AJ$22,FALSE))=0,"",VLOOKUP($B48,Database!$B$1:$IX$10144,AJ$22,FALSE)))</f>
        <v/>
      </c>
      <c r="AK48" s="22" t="str">
        <f>IF(OR($B48="",AK$22=""),"",IF(LEN(VLOOKUP($B48,Database!$B$1:$IX$10144,AK$22,FALSE))=0,"",VLOOKUP($B48,Database!$B$1:$IX$10144,AK$22,FALSE)))</f>
        <v>ns</v>
      </c>
      <c r="AL48" s="22">
        <f>IF(OR($B48="",AL$22=""),"",IF(LEN(VLOOKUP($B48,Database!$B$1:$IX$10144,AL$22,FALSE))=0,"",VLOOKUP($B48,Database!$B$1:$IX$10144,AL$22,FALSE)))</f>
        <v>6.7</v>
      </c>
      <c r="AM48" s="22" t="str">
        <f>IF(OR($B48="",AM$22=""),"",IF(LEN(VLOOKUP($B48,Database!$B$1:$IX$10144,AM$22,FALSE))=0,"",VLOOKUP($B48,Database!$B$1:$IX$10144,AM$22,FALSE)))</f>
        <v>ns</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Sheline YI, Gado MH, Kraemer HC.</v>
      </c>
      <c r="AR48" s="13"/>
      <c r="AX48" s="13"/>
      <c r="AY48" s="13"/>
      <c r="AZ48" s="13"/>
      <c r="BA48" s="13"/>
      <c r="BC48" s="23"/>
      <c r="BF48" s="136"/>
      <c r="BG48" s="136"/>
      <c r="BH48" s="136"/>
      <c r="BI48" s="136"/>
    </row>
    <row r="49" spans="1:61">
      <c r="A49" t="s">
        <v>2337</v>
      </c>
      <c r="B49">
        <v>15598548</v>
      </c>
      <c r="C49" s="1" t="str">
        <f>IF($B49="","",HYPERLINK(IF(LEN(VLOOKUP($B49,Database!$B$1:$IX$10144,2,FALSE))=0,"",VLOOKUP($B49,Database!$B$1:$IX$10144,2,FALSE))))</f>
        <v/>
      </c>
      <c r="D49" s="1" t="str">
        <f t="shared" si="2"/>
        <v>http://www.ncbi.nlm.nih.gov/pubmed/15598548</v>
      </c>
      <c r="E49" s="22" t="str">
        <f>IF($B49="","",IF(LEN(VLOOKUP($B49,Database!$B$1:$IX$10144,4,FALSE))=0,"",VLOOKUP($B49,Database!$B$1:$IX$10144,4,FALSE)))</f>
        <v>Caetano SC</v>
      </c>
      <c r="F49" s="22">
        <f>IF($B49="","",IF(LEN(VLOOKUP($B49,Database!$B$1:$IX$10144,5,FALSE))=0,"",VLOOKUP($B49,Database!$B$1:$IX$10144,5,FALSE)))</f>
        <v>2004</v>
      </c>
      <c r="G49" s="1" t="str">
        <f>IF($B49="","",HYPERLINK(IF(LEN(VLOOKUP($B49,Database!$B$1:$IX$10144,6,FALSE))=0,"",VLOOKUP($B49,Database!$B$1:$IX$10144,6,FALSE))))</f>
        <v>http://dx.doi.org/10.1016/j.pscychresns.2004.08.002</v>
      </c>
      <c r="H49" s="22">
        <f>IF($B49="","",IF(LEN(VLOOKUP($B49,Database!$B$1:$IX$10144,7,FALSE))=0,"",VLOOKUP($B49,Database!$B$1:$IX$10144,7,FALSE)))</f>
        <v>31</v>
      </c>
      <c r="I49" s="22">
        <f>IF($B49="","",IF(LEN(VLOOKUP($B49,Database!$B$1:$IX$10144,8,FALSE))=0,"",VLOOKUP($B49,Database!$B$1:$IX$10144,8,FALSE)))</f>
        <v>31</v>
      </c>
      <c r="J49" t="s">
        <v>1380</v>
      </c>
      <c r="L49">
        <v>3.32</v>
      </c>
      <c r="M49">
        <v>0.48</v>
      </c>
      <c r="N49">
        <v>3.37</v>
      </c>
      <c r="O49">
        <v>0.42</v>
      </c>
      <c r="P49">
        <v>3.22</v>
      </c>
      <c r="Q49">
        <v>0.39</v>
      </c>
      <c r="R49">
        <v>3.32</v>
      </c>
      <c r="S49">
        <v>0.43</v>
      </c>
      <c r="T49">
        <f t="shared" si="3"/>
        <v>6.54</v>
      </c>
      <c r="U49">
        <f t="shared" si="4"/>
        <v>0.82584502178072128</v>
      </c>
      <c r="V49">
        <f t="shared" si="5"/>
        <v>6.6899999999999995</v>
      </c>
      <c r="W49">
        <f t="shared" si="6"/>
        <v>0.80638700386352946</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39.200000000000003</v>
      </c>
      <c r="AC49" s="22">
        <f>IF(OR($B49="",AC$22=""),"",IF(LEN(VLOOKUP($B49,Database!$B$1:$IX$10144,AC$22,FALSE))=0,"",VLOOKUP($B49,Database!$B$1:$IX$10144,AC$22,FALSE)))</f>
        <v>11.9</v>
      </c>
      <c r="AD49" s="22">
        <f>IF(OR($B49="",AD$22=""),"",IF(LEN(VLOOKUP($B49,Database!$B$1:$IX$10144,AD$22,FALSE))=0,"",VLOOKUP($B49,Database!$B$1:$IX$10144,AD$22,FALSE)))</f>
        <v>36.700000000000003</v>
      </c>
      <c r="AE49" s="22">
        <f>IF(OR($B49="",AE$22=""),"",IF(LEN(VLOOKUP($B49,Database!$B$1:$IX$10144,AE$22,FALSE))=0,"",VLOOKUP($B49,Database!$B$1:$IX$10144,AE$22,FALSE)))</f>
        <v>10.7</v>
      </c>
      <c r="AF49" s="22">
        <f>IF(OR($B49="",AF$22=""),"",IF(LEN(VLOOKUP($B49,Database!$B$1:$IX$10144,AF$22,FALSE))=0,"",VLOOKUP($B49,Database!$B$1:$IX$10144,AF$22,FALSE)))</f>
        <v>24</v>
      </c>
      <c r="AG49" s="22">
        <f>IF(OR($B49="",AG$22=""),"",IF(LEN(VLOOKUP($B49,Database!$B$1:$IX$10144,AG$22,FALSE))=0,"",VLOOKUP($B49,Database!$B$1:$IX$10144,AG$22,FALSE)))</f>
        <v>24</v>
      </c>
      <c r="AH49" s="22">
        <f>IF(OR($B49="",AH$22=""),"",IF(LEN(VLOOKUP($B49,Database!$B$1:$IX$10144,AH$22,FALSE))=0,"",VLOOKUP($B49,Database!$B$1:$IX$10144,AH$22,FALSE)))</f>
        <v>1.5</v>
      </c>
      <c r="AI49" s="22">
        <f>IF(OR($B49="",AI$22=""),"",IF(LEN(VLOOKUP($B49,Database!$B$1:$IX$10144,AI$22,FALSE))=0,"",VLOOKUP($B49,Database!$B$1:$IX$10144,AI$22,FALSE)))</f>
        <v>1.5</v>
      </c>
      <c r="AJ49" s="22" t="str">
        <f>IF(OR($B49="",AJ$22=""),"",IF(LEN(VLOOKUP($B49,Database!$B$1:$IX$10144,AJ$22,FALSE))=0,"",VLOOKUP($B49,Database!$B$1:$IX$10144,AJ$22,FALSE)))</f>
        <v/>
      </c>
      <c r="AK49" s="167">
        <f>((10*30.5)+(21*26.7))/31</f>
        <v>27.9258064516129</v>
      </c>
      <c r="AL49" s="167">
        <f>((10*1.5)+(21*16.7))/31</f>
        <v>11.796774193548387</v>
      </c>
      <c r="AM49" s="22">
        <f>IF(OR($B49="",AM$22=""),"",IF(LEN(VLOOKUP($B49,Database!$B$1:$IX$10144,AM$22,FALSE))=0,"",VLOOKUP($B49,Database!$B$1:$IX$10144,AM$22,FALSE)))</f>
        <v>0</v>
      </c>
      <c r="AN49" s="22">
        <f>IF(OR($B49="",AN$22=""),"",IF(LEN(VLOOKUP($B49,Database!$B$1:$IX$10144,AN$22,FALSE))=0,"",VLOOKUP($B49,Database!$B$1:$IX$10144,AN$22,FALSE)))</f>
        <v>0</v>
      </c>
      <c r="AO49" s="22">
        <f>IF(OR($B49="",AO$22=""),"",IF(LEN(VLOOKUP($B49,Database!$B$1:$IX$10144,AO$22,FALSE))=0,"",VLOOKUP($B49,Database!$B$1:$IX$10144,AO$22,FALSE)))</f>
        <v>0</v>
      </c>
      <c r="AP49" s="22">
        <f>IF(OR($B49="",AP$22=""),"",IF(LEN(VLOOKUP($B49,Database!$B$1:$IX$10144,AP$22,FALSE))=0,"",VLOOKUP($B49,Database!$B$1:$IX$10144,AP$22,FALSE)))</f>
        <v>100</v>
      </c>
      <c r="AQ49" s="22" t="str">
        <f>IF(OR($B49="",AQ$22=""),"",IF(LEN(VLOOKUP($B49,Database!$B$1:$IX$10144,AQ$22,FALSE))=0,"",VLOOKUP($B49,Database!$B$1:$IX$10144,AQ$22,FALSE)))</f>
        <v>Caetano SC, Hatch JP, Brambilla P, Sassi RB, Nicoletti M, Mallinger AG, Frank E, Kupfer DJ, Keshavan MS, Soares JC.</v>
      </c>
      <c r="AR49" s="13"/>
      <c r="AX49" s="13"/>
      <c r="AY49" s="13"/>
      <c r="AZ49" s="13"/>
      <c r="BA49" s="13"/>
      <c r="BC49" s="23"/>
      <c r="BF49" s="136"/>
      <c r="BG49" s="136"/>
      <c r="BH49" s="136"/>
      <c r="BI49" s="136"/>
    </row>
    <row r="50" spans="1:61">
      <c r="A50" s="10"/>
      <c r="B50">
        <v>15172942</v>
      </c>
      <c r="C50" s="1" t="str">
        <f>IF($B50="","",HYPERLINK(IF(LEN(VLOOKUP($B50,Database!$B$1:$IX$10144,2,FALSE))=0,"",VLOOKUP($B50,Database!$B$1:$IX$10144,2,FALSE))))</f>
        <v/>
      </c>
      <c r="D50" s="1" t="str">
        <f t="shared" si="2"/>
        <v>http://www.ncbi.nlm.nih.gov/pubmed/15172942</v>
      </c>
      <c r="E50" s="22" t="str">
        <f>IF($B50="","",IF(LEN(VLOOKUP($B50,Database!$B$1:$IX$10144,4,FALSE))=0,"",VLOOKUP($B50,Database!$B$1:$IX$10144,4,FALSE)))</f>
        <v>Lloyd AJ</v>
      </c>
      <c r="F50" s="22">
        <f>IF($B50="","",IF(LEN(VLOOKUP($B50,Database!$B$1:$IX$10144,5,FALSE))=0,"",VLOOKUP($B50,Database!$B$1:$IX$10144,5,FALSE)))</f>
        <v>2004</v>
      </c>
      <c r="G50" s="1" t="str">
        <f>IF($B50="","",HYPERLINK(IF(LEN(VLOOKUP($B50,Database!$B$1:$IX$10144,6,FALSE))=0,"",VLOOKUP($B50,Database!$B$1:$IX$10144,6,FALSE))))</f>
        <v>http://bjp.rcpsych.org/cgi/reprint/184/6/488</v>
      </c>
      <c r="H50" s="22">
        <f>IF($B50="","",IF(LEN(VLOOKUP($B50,Database!$B$1:$IX$10144,7,FALSE))=0,"",VLOOKUP($B50,Database!$B$1:$IX$10144,7,FALSE)))</f>
        <v>51</v>
      </c>
      <c r="I50" s="22">
        <f>IF($B50="","",IF(LEN(VLOOKUP($B50,Database!$B$1:$IX$10144,8,FALSE))=0,"",VLOOKUP($B50,Database!$B$1:$IX$10144,8,FALSE)))</f>
        <v>39</v>
      </c>
      <c r="J50" t="s">
        <v>1612</v>
      </c>
      <c r="L50">
        <v>2.7</v>
      </c>
      <c r="M50">
        <v>0.4</v>
      </c>
      <c r="N50">
        <v>2.8</v>
      </c>
      <c r="O50">
        <v>0.4</v>
      </c>
      <c r="P50">
        <v>2.8</v>
      </c>
      <c r="Q50">
        <v>0.5</v>
      </c>
      <c r="R50">
        <v>3</v>
      </c>
      <c r="S50">
        <v>0.4</v>
      </c>
      <c r="T50">
        <f t="shared" si="3"/>
        <v>5.5</v>
      </c>
      <c r="U50">
        <f t="shared" si="4"/>
        <v>0.85440037453175322</v>
      </c>
      <c r="V50">
        <f t="shared" si="5"/>
        <v>5.8</v>
      </c>
      <c r="W50">
        <f t="shared" si="6"/>
        <v>0.7589466384404111</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74</v>
      </c>
      <c r="AC50" s="22">
        <f>IF(OR($B50="",AC$22=""),"",IF(LEN(VLOOKUP($B50,Database!$B$1:$IX$10144,AC$22,FALSE))=0,"",VLOOKUP($B50,Database!$B$1:$IX$10144,AC$22,FALSE)))</f>
        <v>6.3</v>
      </c>
      <c r="AD50" s="22">
        <f>IF(OR($B50="",AD$22=""),"",IF(LEN(VLOOKUP($B50,Database!$B$1:$IX$10144,AD$22,FALSE))=0,"",VLOOKUP($B50,Database!$B$1:$IX$10144,AD$22,FALSE)))</f>
        <v>73.099999999999994</v>
      </c>
      <c r="AE50" s="22">
        <f>IF(OR($B50="",AE$22=""),"",IF(LEN(VLOOKUP($B50,Database!$B$1:$IX$10144,AE$22,FALSE))=0,"",VLOOKUP($B50,Database!$B$1:$IX$10144,AE$22,FALSE)))</f>
        <v>6.7</v>
      </c>
      <c r="AF50" s="22">
        <f>IF(OR($B50="",AF$22=""),"",IF(LEN(VLOOKUP($B50,Database!$B$1:$IX$10144,AF$22,FALSE))=0,"",VLOOKUP($B50,Database!$B$1:$IX$10144,AF$22,FALSE)))</f>
        <v>41</v>
      </c>
      <c r="AG50" s="22">
        <f>IF(OR($B50="",AG$22=""),"",IF(LEN(VLOOKUP($B50,Database!$B$1:$IX$10144,AG$22,FALSE))=0,"",VLOOKUP($B50,Database!$B$1:$IX$10144,AG$22,FALSE)))</f>
        <v>29</v>
      </c>
      <c r="AH50" s="22">
        <f>IF(OR($B50="",AH$22=""),"",IF(LEN(VLOOKUP($B50,Database!$B$1:$IX$10144,AH$22,FALSE))=0,"",VLOOKUP($B50,Database!$B$1:$IX$10144,AH$22,FALSE)))</f>
        <v>1</v>
      </c>
      <c r="AI50" s="22">
        <f>IF(OR($B50="",AI$22=""),"",IF(LEN(VLOOKUP($B50,Database!$B$1:$IX$10144,AI$22,FALSE))=0,"",VLOOKUP($B50,Database!$B$1:$IX$10144,AI$22,FALSE)))</f>
        <v>1</v>
      </c>
      <c r="AJ50" s="22" t="str">
        <f>IF(OR($B50="",AJ$22=""),"",IF(LEN(VLOOKUP($B50,Database!$B$1:$IX$10144,AJ$22,FALSE))=0,"",VLOOKUP($B50,Database!$B$1:$IX$10144,AJ$22,FALSE)))</f>
        <v/>
      </c>
      <c r="AK50" s="167">
        <f>((23*38.7)+(28*72))/51</f>
        <v>56.982352941176465</v>
      </c>
      <c r="AL50" s="22" t="str">
        <f>IF(OR($B50="",AL$22=""),"",IF(LEN(VLOOKUP($B50,Database!$B$1:$IX$10144,AL$22,FALSE))=0,"",VLOOKUP($B50,Database!$B$1:$IX$10144,AL$22,FALSE)))</f>
        <v>ns</v>
      </c>
      <c r="AM50" s="22" t="str">
        <f>IF(OR($B50="",AM$22=""),"",IF(LEN(VLOOKUP($B50,Database!$B$1:$IX$10144,AM$22,FALSE))=0,"",VLOOKUP($B50,Database!$B$1:$IX$10144,AM$22,FALSE)))</f>
        <v>ns</v>
      </c>
      <c r="AN50" s="22" t="str">
        <f>IF(OR($B50="",AN$22=""),"",IF(LEN(VLOOKUP($B50,Database!$B$1:$IX$10144,AN$22,FALSE))=0,"",VLOOKUP($B50,Database!$B$1:$IX$10144,AN$22,FALSE)))</f>
        <v>ns</v>
      </c>
      <c r="AO50" s="22" t="str">
        <f>IF(OR($B50="",AO$22=""),"",IF(LEN(VLOOKUP($B50,Database!$B$1:$IX$10144,AO$22,FALSE))=0,"",VLOOKUP($B50,Database!$B$1:$IX$10144,AO$22,FALSE)))</f>
        <v>ns</v>
      </c>
      <c r="AP50" s="22" t="str">
        <f>IF(OR($B50="",AP$22=""),"",IF(LEN(VLOOKUP($B50,Database!$B$1:$IX$10144,AP$22,FALSE))=0,"",VLOOKUP($B50,Database!$B$1:$IX$10144,AP$22,FALSE)))</f>
        <v>ns</v>
      </c>
      <c r="AQ50" s="22" t="str">
        <f>IF(OR($B50="",AQ$22=""),"",IF(LEN(VLOOKUP($B50,Database!$B$1:$IX$10144,AQ$22,FALSE))=0,"",VLOOKUP($B50,Database!$B$1:$IX$10144,AQ$22,FALSE)))</f>
        <v>Lloyd AJ, Ferrier IN, Barber R, Gholkar A, Young AH, O'Brien JT.</v>
      </c>
      <c r="AR50" s="13"/>
      <c r="AX50" s="13"/>
      <c r="AY50" s="13"/>
      <c r="AZ50" s="13"/>
      <c r="BA50" s="13"/>
      <c r="BC50" s="23"/>
      <c r="BF50" s="136"/>
      <c r="BG50" s="136"/>
      <c r="BH50" s="136"/>
      <c r="BI50" s="136"/>
    </row>
    <row r="51" spans="1:61">
      <c r="A51" t="s">
        <v>2191</v>
      </c>
      <c r="B51">
        <v>14969587</v>
      </c>
      <c r="C51" s="1" t="str">
        <f>IF($B51="","",HYPERLINK(IF(LEN(VLOOKUP($B51,Database!$B$1:$IX$10144,2,FALSE))=0,"",VLOOKUP($B51,Database!$B$1:$IX$10144,2,FALSE))))</f>
        <v/>
      </c>
      <c r="D51" s="1" t="str">
        <f t="shared" si="2"/>
        <v>http://www.ncbi.nlm.nih.gov/pubmed/14969587</v>
      </c>
      <c r="E51" s="22" t="str">
        <f>IF($B51="","",IF(LEN(VLOOKUP($B51,Database!$B$1:$IX$10144,4,FALSE))=0,"",VLOOKUP($B51,Database!$B$1:$IX$10144,4,FALSE)))</f>
        <v>MacMaster FP (A)</v>
      </c>
      <c r="F51" s="22">
        <f>IF($B51="","",IF(LEN(VLOOKUP($B51,Database!$B$1:$IX$10144,5,FALSE))=0,"",VLOOKUP($B51,Database!$B$1:$IX$10144,5,FALSE)))</f>
        <v>2004</v>
      </c>
      <c r="G51" s="1" t="str">
        <f>IF($B51="","",HYPERLINK(IF(LEN(VLOOKUP($B51,Database!$B$1:$IX$10144,6,FALSE))=0,"",VLOOKUP($B51,Database!$B$1:$IX$10144,6,FALSE))))</f>
        <v>http://www.biomedcentral.com/content/pdf/1741-7015-2-2.pdf</v>
      </c>
      <c r="H51" s="22">
        <f>IF($B51="","",IF(LEN(VLOOKUP($B51,Database!$B$1:$IX$10144,7,FALSE))=0,"",VLOOKUP($B51,Database!$B$1:$IX$10144,7,FALSE)))</f>
        <v>17</v>
      </c>
      <c r="I51" s="22">
        <f>IF($B51="","",IF(LEN(VLOOKUP($B51,Database!$B$1:$IX$10144,8,FALSE))=0,"",VLOOKUP($B51,Database!$B$1:$IX$10144,8,FALSE)))</f>
        <v>17</v>
      </c>
      <c r="J51" t="s">
        <v>1378</v>
      </c>
      <c r="L51">
        <v>2.5299999999999998</v>
      </c>
      <c r="M51">
        <v>0.371</v>
      </c>
      <c r="N51">
        <v>3.05</v>
      </c>
      <c r="O51">
        <v>0.45400000000000001</v>
      </c>
      <c r="P51">
        <v>2.54</v>
      </c>
      <c r="Q51">
        <v>0.495</v>
      </c>
      <c r="R51">
        <v>2.88</v>
      </c>
      <c r="S51">
        <v>0.45400000000000001</v>
      </c>
      <c r="T51">
        <f t="shared" si="3"/>
        <v>5.07</v>
      </c>
      <c r="U51">
        <f t="shared" si="4"/>
        <v>0.82249498478714134</v>
      </c>
      <c r="V51">
        <f t="shared" si="5"/>
        <v>5.93</v>
      </c>
      <c r="W51">
        <f t="shared" si="6"/>
        <v>0.8614044346298666</v>
      </c>
      <c r="X51" s="96"/>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f>IF(OR($B51="",AB$22=""),"",IF(LEN(VLOOKUP($B51,Database!$B$1:$IX$10144,AB$22,FALSE))=0,"",VLOOKUP($B51,Database!$B$1:$IX$10144,AB$22,FALSE)))</f>
        <v>16.670000000000002</v>
      </c>
      <c r="AC51" s="22">
        <f>IF(OR($B51="",AC$22=""),"",IF(LEN(VLOOKUP($B51,Database!$B$1:$IX$10144,AC$22,FALSE))=0,"",VLOOKUP($B51,Database!$B$1:$IX$10144,AC$22,FALSE)))</f>
        <v>1.83</v>
      </c>
      <c r="AD51" s="22">
        <f>IF(OR($B51="",AD$22=""),"",IF(LEN(VLOOKUP($B51,Database!$B$1:$IX$10144,AD$22,FALSE))=0,"",VLOOKUP($B51,Database!$B$1:$IX$10144,AD$22,FALSE)))</f>
        <v>16.23</v>
      </c>
      <c r="AE51" s="22">
        <f>IF(OR($B51="",AE$22=""),"",IF(LEN(VLOOKUP($B51,Database!$B$1:$IX$10144,AE$22,FALSE))=0,"",VLOOKUP($B51,Database!$B$1:$IX$10144,AE$22,FALSE)))</f>
        <v>1.61</v>
      </c>
      <c r="AF51" s="22">
        <f>IF(OR($B51="",AF$22=""),"",IF(LEN(VLOOKUP($B51,Database!$B$1:$IX$10144,AF$22,FALSE))=0,"",VLOOKUP($B51,Database!$B$1:$IX$10144,AF$22,FALSE)))</f>
        <v>9</v>
      </c>
      <c r="AG51" s="22">
        <f>IF(OR($B51="",AG$22=""),"",IF(LEN(VLOOKUP($B51,Database!$B$1:$IX$10144,AG$22,FALSE))=0,"",VLOOKUP($B51,Database!$B$1:$IX$10144,AG$22,FALSE)))</f>
        <v>9</v>
      </c>
      <c r="AH51" s="22">
        <f>IF(OR($B51="",AH$22=""),"",IF(LEN(VLOOKUP($B51,Database!$B$1:$IX$10144,AH$22,FALSE))=0,"",VLOOKUP($B51,Database!$B$1:$IX$10144,AH$22,FALSE)))</f>
        <v>1.5</v>
      </c>
      <c r="AI51" s="22">
        <f>IF(OR($B51="",AI$22=""),"",IF(LEN(VLOOKUP($B51,Database!$B$1:$IX$10144,AI$22,FALSE))=0,"",VLOOKUP($B51,Database!$B$1:$IX$10144,AI$22,FALSE)))</f>
        <v>1.5</v>
      </c>
      <c r="AJ51" s="22" t="str">
        <f>IF(OR($B51="",AJ$22=""),"",IF(LEN(VLOOKUP($B51,Database!$B$1:$IX$10144,AJ$22,FALSE))=0,"",VLOOKUP($B51,Database!$B$1:$IX$10144,AJ$22,FALSE)))</f>
        <v/>
      </c>
      <c r="AK51" s="22">
        <f>IF(OR($B51="",AK$22=""),"",IF(LEN(VLOOKUP($B51,Database!$B$1:$IX$10144,AK$22,FALSE))=0,"",VLOOKUP($B51,Database!$B$1:$IX$10144,AK$22,FALSE)))</f>
        <v>14.06</v>
      </c>
      <c r="AL51" s="22" t="str">
        <f>IF(OR($B51="",AL$22=""),"",IF(LEN(VLOOKUP($B51,Database!$B$1:$IX$10144,AL$22,FALSE))=0,"",VLOOKUP($B51,Database!$B$1:$IX$10144,AL$22,FALSE)))</f>
        <v>ns</v>
      </c>
      <c r="AM51" s="22">
        <f>IF(OR($B51="",AM$22=""),"",IF(LEN(VLOOKUP($B51,Database!$B$1:$IX$10144,AM$22,FALSE))=0,"",VLOOKUP($B51,Database!$B$1:$IX$10144,AM$22,FALSE)))</f>
        <v>5.8823529411764701</v>
      </c>
      <c r="AN51" s="22">
        <f>IF(OR($B51="",AN$22=""),"",IF(LEN(VLOOKUP($B51,Database!$B$1:$IX$10144,AN$22,FALSE))=0,"",VLOOKUP($B51,Database!$B$1:$IX$10144,AN$22,FALSE)))</f>
        <v>0</v>
      </c>
      <c r="AO51" s="22">
        <f>IF(OR($B51="",AO$22=""),"",IF(LEN(VLOOKUP($B51,Database!$B$1:$IX$10144,AO$22,FALSE))=0,"",VLOOKUP($B51,Database!$B$1:$IX$10144,AO$22,FALSE)))</f>
        <v>0</v>
      </c>
      <c r="AP51" s="22">
        <f>IF(OR($B51="",AP$22=""),"",IF(LEN(VLOOKUP($B51,Database!$B$1:$IX$10144,AP$22,FALSE))=0,"",VLOOKUP($B51,Database!$B$1:$IX$10144,AP$22,FALSE)))</f>
        <v>82.35294117647058</v>
      </c>
      <c r="AQ51" s="22" t="str">
        <f>IF(OR($B51="",AQ$22=""),"",IF(LEN(VLOOKUP($B51,Database!$B$1:$IX$10144,AQ$22,FALSE))=0,"",VLOOKUP($B51,Database!$B$1:$IX$10144,AQ$22,FALSE)))</f>
        <v>MacMaster FP, Kusumakar V.</v>
      </c>
      <c r="AR51" s="13"/>
      <c r="AX51" s="13"/>
      <c r="AY51" s="13"/>
      <c r="AZ51" s="13"/>
      <c r="BA51" s="13"/>
      <c r="BC51" s="23"/>
      <c r="BF51" s="136"/>
      <c r="BG51" s="136"/>
      <c r="BH51" s="136"/>
      <c r="BI51" s="136"/>
    </row>
    <row r="52" spans="1:61">
      <c r="A52" s="7" t="s">
        <v>70</v>
      </c>
      <c r="B52" s="2">
        <v>15641704</v>
      </c>
      <c r="C52" s="1" t="str">
        <f>IF($B52="","",HYPERLINK(IF(LEN(VLOOKUP($B52,Database!$B$1:$IX$10144,2,FALSE))=0,"",VLOOKUP($B52,Database!$B$1:$IX$10144,2,FALSE))))</f>
        <v/>
      </c>
      <c r="D52" s="1" t="str">
        <f>IF($B52="","",HYPERLINK(CONCATENATE("http://www.ncbi.nlm.nih.gov/pubmed/",B52)))</f>
        <v>http://www.ncbi.nlm.nih.gov/pubmed/15641704</v>
      </c>
      <c r="E52" s="22" t="str">
        <f>IF($B52="","",IF(LEN(VLOOKUP($B52,Database!$B$1:$IX$10144,4,FALSE))=0,"",VLOOKUP($B52,Database!$B$1:$IX$10144,4,FALSE)))</f>
        <v>Xia J</v>
      </c>
      <c r="F52" s="22">
        <f>IF($B52="","",IF(LEN(VLOOKUP($B52,Database!$B$1:$IX$10144,5,FALSE))=0,"",VLOOKUP($B52,Database!$B$1:$IX$10144,5,FALSE)))</f>
        <v>2004</v>
      </c>
      <c r="G52" s="1" t="str">
        <f>IF($B52="","",HYPERLINK(IF(LEN(VLOOKUP($B52,Database!$B$1:$IX$10144,6,FALSE))=0,"",VLOOKUP($B52,Database!$B$1:$IX$10144,6,FALSE))))</f>
        <v>Not available on internet</v>
      </c>
      <c r="H52" s="22">
        <f>IF($B52="","",IF(LEN(VLOOKUP($B52,Database!$B$1:$IX$10144,7,FALSE))=0,"",VLOOKUP($B52,Database!$B$1:$IX$10144,7,FALSE)))</f>
        <v>22</v>
      </c>
      <c r="I52" s="22">
        <f>IF($B52="","",IF(LEN(VLOOKUP($B52,Database!$B$1:$IX$10144,8,FALSE))=0,"",VLOOKUP($B52,Database!$B$1:$IX$10144,8,FALSE)))</f>
        <v>13</v>
      </c>
      <c r="J52" s="2" t="s">
        <v>887</v>
      </c>
      <c r="K52" s="2"/>
      <c r="L52" s="2">
        <v>3109.86</v>
      </c>
      <c r="M52" s="2">
        <v>83.5</v>
      </c>
      <c r="N52" s="2">
        <v>3352</v>
      </c>
      <c r="O52" s="2">
        <v>45.53</v>
      </c>
      <c r="P52" s="2">
        <v>3487.27</v>
      </c>
      <c r="Q52" s="2">
        <v>62.96</v>
      </c>
      <c r="R52" s="2">
        <v>3710.31</v>
      </c>
      <c r="S52" s="2">
        <v>36.67</v>
      </c>
      <c r="T52" s="2">
        <f t="shared" si="3"/>
        <v>6597.13</v>
      </c>
      <c r="U52">
        <f t="shared" si="4"/>
        <v>139.09589354111068</v>
      </c>
      <c r="V52">
        <f t="shared" si="5"/>
        <v>7062.3099999999995</v>
      </c>
      <c r="W52">
        <f t="shared" si="6"/>
        <v>78.032082889027123</v>
      </c>
      <c r="Y52" s="22" t="str">
        <f>IF(OR($B52="",Y$22=""),"",IF(LEN(VLOOKUP($B52,Database!$B$1:$IX$10144,Y$22,FALSE))=0,"",VLOOKUP($B52,Database!$B$1:$IX$10144,Y$22,FALSE)))</f>
        <v>CCMD-3-R</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39.5</v>
      </c>
      <c r="AC52" s="22">
        <f>IF(OR($B52="",AC$22=""),"",IF(LEN(VLOOKUP($B52,Database!$B$1:$IX$10144,AC$22,FALSE))=0,"",VLOOKUP($B52,Database!$B$1:$IX$10144,AC$22,FALSE)))</f>
        <v>12.05</v>
      </c>
      <c r="AD52" s="22">
        <f>IF(OR($B52="",AD$22=""),"",IF(LEN(VLOOKUP($B52,Database!$B$1:$IX$10144,AD$22,FALSE))=0,"",VLOOKUP($B52,Database!$B$1:$IX$10144,AD$22,FALSE)))</f>
        <v>35.43</v>
      </c>
      <c r="AE52" s="22">
        <f>IF(OR($B52="",AE$22=""),"",IF(LEN(VLOOKUP($B52,Database!$B$1:$IX$10144,AE$22,FALSE))=0,"",VLOOKUP($B52,Database!$B$1:$IX$10144,AE$22,FALSE)))</f>
        <v>8.86</v>
      </c>
      <c r="AF52" s="22">
        <f>IF(OR($B52="",AF$22=""),"",IF(LEN(VLOOKUP($B52,Database!$B$1:$IX$10144,AF$22,FALSE))=0,"",VLOOKUP($B52,Database!$B$1:$IX$10144,AF$22,FALSE)))</f>
        <v>10</v>
      </c>
      <c r="AG52" s="22">
        <f>IF(OR($B52="",AG$22=""),"",IF(LEN(VLOOKUP($B52,Database!$B$1:$IX$10144,AG$22,FALSE))=0,"",VLOOKUP($B52,Database!$B$1:$IX$10144,AG$22,FALSE)))</f>
        <v>8</v>
      </c>
      <c r="AH52" s="22">
        <f>IF(OR($B52="",AH$22=""),"",IF(LEN(VLOOKUP($B52,Database!$B$1:$IX$10144,AH$22,FALSE))=0,"",VLOOKUP($B52,Database!$B$1:$IX$10144,AH$22,FALSE)))</f>
        <v>1.5</v>
      </c>
      <c r="AI52" s="22">
        <f>IF(OR($B52="",AI$22=""),"",IF(LEN(VLOOKUP($B52,Database!$B$1:$IX$10144,AI$22,FALSE))=0,"",VLOOKUP($B52,Database!$B$1:$IX$10144,AI$22,FALSE)))</f>
        <v>1.2</v>
      </c>
      <c r="AJ52" s="22" t="str">
        <f>IF(OR($B52="",AJ$22=""),"",IF(LEN(VLOOKUP($B52,Database!$B$1:$IX$10144,AJ$22,FALSE))=0,"",VLOOKUP($B52,Database!$B$1:$IX$10144,AJ$22,FALSE)))</f>
        <v/>
      </c>
      <c r="AK52" s="22" t="str">
        <f>IF(OR($B52="",AK$22=""),"",IF(LEN(VLOOKUP($B52,Database!$B$1:$IX$10144,AK$22,FALSE))=0,"",VLOOKUP($B52,Database!$B$1:$IX$10144,AK$22,FALSE)))</f>
        <v>ns</v>
      </c>
      <c r="AL52" s="22">
        <f>IF(OR($B52="",AL$22=""),"",IF(LEN(VLOOKUP($B52,Database!$B$1:$IX$10144,AL$22,FALSE))=0,"",VLOOKUP($B52,Database!$B$1:$IX$10144,AL$22,FALSE)))</f>
        <v>21.45</v>
      </c>
      <c r="AM52" s="22" t="str">
        <f>IF(OR($B52="",AM$22=""),"",IF(LEN(VLOOKUP($B52,Database!$B$1:$IX$10144,AM$22,FALSE))=0,"",VLOOKUP($B52,Database!$B$1:$IX$10144,AM$22,FALSE)))</f>
        <v>ns</v>
      </c>
      <c r="AN52" s="22" t="str">
        <f>IF(OR($B52="",AN$22=""),"",IF(LEN(VLOOKUP($B52,Database!$B$1:$IX$10144,AN$22,FALSE))=0,"",VLOOKUP($B52,Database!$B$1:$IX$10144,AN$22,FALSE)))</f>
        <v>ns</v>
      </c>
      <c r="AO52" s="22" t="str">
        <f>IF(OR($B52="",AO$22=""),"",IF(LEN(VLOOKUP($B52,Database!$B$1:$IX$10144,AO$22,FALSE))=0,"",VLOOKUP($B52,Database!$B$1:$IX$10144,AO$22,FALSE)))</f>
        <v>ns</v>
      </c>
      <c r="AP52" s="22" t="str">
        <f>IF(OR($B52="",AP$22=""),"",IF(LEN(VLOOKUP($B52,Database!$B$1:$IX$10144,AP$22,FALSE))=0,"",VLOOKUP($B52,Database!$B$1:$IX$10144,AP$22,FALSE)))</f>
        <v>ns</v>
      </c>
      <c r="AQ52" s="22" t="str">
        <f>IF(OR($B52="",AQ$22=""),"",IF(LEN(VLOOKUP($B52,Database!$B$1:$IX$10144,AQ$22,FALSE))=0,"",VLOOKUP($B52,Database!$B$1:$IX$10144,AQ$22,FALSE)))</f>
        <v>Xia J, Chen J, Zhou Y, Zhang J, Yang B, Xia L, Wang C.</v>
      </c>
      <c r="AR52" s="13"/>
      <c r="AX52" s="13"/>
      <c r="AY52" s="13"/>
      <c r="AZ52" s="13"/>
      <c r="BA52" s="13"/>
      <c r="BC52" s="23"/>
      <c r="BF52" s="136"/>
      <c r="BG52" s="136"/>
      <c r="BH52" s="136"/>
      <c r="BI52" s="136"/>
    </row>
    <row r="53" spans="1:61">
      <c r="B53">
        <v>16395541</v>
      </c>
      <c r="C53" s="1" t="str">
        <f>IF($B53="","",HYPERLINK(IF(LEN(VLOOKUP($B53,Database!$B$1:$IX$10144,2,FALSE))=0,"",VLOOKUP($B53,Database!$B$1:$IX$10144,2,FALSE))))</f>
        <v/>
      </c>
      <c r="D53" s="1" t="str">
        <f t="shared" si="2"/>
        <v>http://www.ncbi.nlm.nih.gov/pubmed/16395541</v>
      </c>
      <c r="E53" s="22" t="str">
        <f>IF($B53="","",IF(LEN(VLOOKUP($B53,Database!$B$1:$IX$10144,4,FALSE))=0,"",VLOOKUP($B53,Database!$B$1:$IX$10144,4,FALSE)))</f>
        <v>Saylam C</v>
      </c>
      <c r="F53" s="22">
        <f>IF($B53="","",IF(LEN(VLOOKUP($B53,Database!$B$1:$IX$10144,5,FALSE))=0,"",VLOOKUP($B53,Database!$B$1:$IX$10144,5,FALSE)))</f>
        <v>2006</v>
      </c>
      <c r="G53" s="1" t="str">
        <f>IF($B53="","",HYPERLINK(IF(LEN(VLOOKUP($B53,Database!$B$1:$IX$10144,6,FALSE))=0,"",VLOOKUP($B53,Database!$B$1:$IX$10144,6,FALSE))))</f>
        <v>http://www.springerlink.com/content/y2167l4m17576560/fulltext.pdf</v>
      </c>
      <c r="H53" s="22">
        <f>IF($B53="","",IF(LEN(VLOOKUP($B53,Database!$B$1:$IX$10144,7,FALSE))=0,"",VLOOKUP($B53,Database!$B$1:$IX$10144,7,FALSE)))</f>
        <v>24</v>
      </c>
      <c r="I53" s="22">
        <f>IF($B53="","",IF(LEN(VLOOKUP($B53,Database!$B$1:$IX$10144,8,FALSE))=0,"",VLOOKUP($B53,Database!$B$1:$IX$10144,8,FALSE)))</f>
        <v>24</v>
      </c>
      <c r="J53" t="s">
        <v>1613</v>
      </c>
      <c r="L53">
        <v>2638.7</v>
      </c>
      <c r="M53">
        <v>249.2</v>
      </c>
      <c r="N53">
        <v>2786.7</v>
      </c>
      <c r="O53">
        <v>249.2</v>
      </c>
      <c r="P53">
        <v>2696.4</v>
      </c>
      <c r="Q53">
        <v>194.4</v>
      </c>
      <c r="R53">
        <v>2806.3</v>
      </c>
      <c r="S53">
        <v>256.8</v>
      </c>
      <c r="T53">
        <f t="shared" si="3"/>
        <v>5335.1</v>
      </c>
      <c r="U53">
        <f t="shared" si="4"/>
        <v>421.19255454008209</v>
      </c>
      <c r="V53">
        <f t="shared" si="5"/>
        <v>5593</v>
      </c>
      <c r="W53">
        <f t="shared" si="6"/>
        <v>480.03976501952422</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33.4</v>
      </c>
      <c r="AC53" s="22">
        <f>IF(OR($B53="",AC$22=""),"",IF(LEN(VLOOKUP($B53,Database!$B$1:$IX$10144,AC$22,FALSE))=0,"",VLOOKUP($B53,Database!$B$1:$IX$10144,AC$22,FALSE)))</f>
        <v>9.3000000000000007</v>
      </c>
      <c r="AD53" s="22">
        <f>IF(OR($B53="",AD$22=""),"",IF(LEN(VLOOKUP($B53,Database!$B$1:$IX$10144,AD$22,FALSE))=0,"",VLOOKUP($B53,Database!$B$1:$IX$10144,AD$22,FALSE)))</f>
        <v>30.16</v>
      </c>
      <c r="AE53" s="22">
        <f>IF(OR($B53="",AE$22=""),"",IF(LEN(VLOOKUP($B53,Database!$B$1:$IX$10144,AE$22,FALSE))=0,"",VLOOKUP($B53,Database!$B$1:$IX$10144,AE$22,FALSE)))</f>
        <v>6.1</v>
      </c>
      <c r="AF53" s="22">
        <f>IF(OR($B53="",AF$22=""),"",IF(LEN(VLOOKUP($B53,Database!$B$1:$IX$10144,AF$22,FALSE))=0,"",VLOOKUP($B53,Database!$B$1:$IX$10144,AF$22,FALSE)))</f>
        <v>18</v>
      </c>
      <c r="AG53" s="22">
        <f>IF(OR($B53="",AG$22=""),"",IF(LEN(VLOOKUP($B53,Database!$B$1:$IX$10144,AG$22,FALSE))=0,"",VLOOKUP($B53,Database!$B$1:$IX$10144,AG$22,FALSE)))</f>
        <v>18</v>
      </c>
      <c r="AH53" s="22">
        <f>IF(OR($B53="",AH$22=""),"",IF(LEN(VLOOKUP($B53,Database!$B$1:$IX$10144,AH$22,FALSE))=0,"",VLOOKUP($B53,Database!$B$1:$IX$10144,AH$22,FALSE)))</f>
        <v>1.5</v>
      </c>
      <c r="AI53" s="22">
        <f>IF(OR($B53="",AI$22=""),"",IF(LEN(VLOOKUP($B53,Database!$B$1:$IX$10144,AI$22,FALSE))=0,"",VLOOKUP($B53,Database!$B$1:$IX$10144,AI$22,FALSE)))</f>
        <v>2</v>
      </c>
      <c r="AJ53" s="22" t="str">
        <f>IF(OR($B53="",AJ$22=""),"",IF(LEN(VLOOKUP($B53,Database!$B$1:$IX$10144,AJ$22,FALSE))=0,"",VLOOKUP($B53,Database!$B$1:$IX$10144,AJ$22,FALSE)))</f>
        <v/>
      </c>
      <c r="AK53" s="22" t="str">
        <f>IF(OR($B53="",AK$22=""),"",IF(LEN(VLOOKUP($B53,Database!$B$1:$IX$10144,AK$22,FALSE))=0,"",VLOOKUP($B53,Database!$B$1:$IX$10144,AK$22,FALSE)))</f>
        <v>ns</v>
      </c>
      <c r="AL53" s="22">
        <f>IF(OR($B53="",AL$22=""),"",IF(LEN(VLOOKUP($B53,Database!$B$1:$IX$10144,AL$22,FALSE))=0,"",VLOOKUP($B53,Database!$B$1:$IX$10144,AL$22,FALSE)))</f>
        <v>24.4</v>
      </c>
      <c r="AM53" s="22">
        <f>IF(OR($B53="",AM$22=""),"",IF(LEN(VLOOKUP($B53,Database!$B$1:$IX$10144,AM$22,FALSE))=0,"",VLOOKUP($B53,Database!$B$1:$IX$10144,AM$22,FALSE)))</f>
        <v>0</v>
      </c>
      <c r="AN53" s="22">
        <f>IF(OR($B53="",AN$22=""),"",IF(LEN(VLOOKUP($B53,Database!$B$1:$IX$10144,AN$22,FALSE))=0,"",VLOOKUP($B53,Database!$B$1:$IX$10144,AN$22,FALSE)))</f>
        <v>0</v>
      </c>
      <c r="AO53" s="22">
        <f>IF(OR($B53="",AO$22=""),"",IF(LEN(VLOOKUP($B53,Database!$B$1:$IX$10144,AO$22,FALSE))=0,"",VLOOKUP($B53,Database!$B$1:$IX$10144,AO$22,FALSE)))</f>
        <v>0</v>
      </c>
      <c r="AP53" s="22">
        <f>IF(OR($B53="",AP$22=""),"",IF(LEN(VLOOKUP($B53,Database!$B$1:$IX$10144,AP$22,FALSE))=0,"",VLOOKUP($B53,Database!$B$1:$IX$10144,AP$22,FALSE)))</f>
        <v>100</v>
      </c>
      <c r="AQ53" s="22" t="str">
        <f>IF(OR($B53="",AQ$22=""),"",IF(LEN(VLOOKUP($B53,Database!$B$1:$IX$10144,AQ$22,FALSE))=0,"",VLOOKUP($B53,Database!$B$1:$IX$10144,AQ$22,FALSE)))</f>
        <v>Saylam C, Uçerler H, Kitiş O, Ozand E, Gönül AS.</v>
      </c>
      <c r="AR53" s="13"/>
      <c r="AX53" s="13"/>
      <c r="AY53" s="13"/>
      <c r="AZ53" s="13"/>
      <c r="BA53" s="13"/>
      <c r="BC53" s="23"/>
      <c r="BF53" s="136"/>
      <c r="BG53" s="136"/>
      <c r="BH53" s="136"/>
      <c r="BI53" s="136"/>
    </row>
    <row r="54" spans="1:61">
      <c r="B54">
        <v>16740316</v>
      </c>
      <c r="C54" s="1" t="str">
        <f>IF($B54="","",HYPERLINK(IF(LEN(VLOOKUP($B54,Database!$B$1:$IX$10144,2,FALSE))=0,"",VLOOKUP($B54,Database!$B$1:$IX$10144,2,FALSE))))</f>
        <v/>
      </c>
      <c r="D54" s="1" t="str">
        <f t="shared" si="2"/>
        <v>http://www.ncbi.nlm.nih.gov/pubmed/16740316</v>
      </c>
      <c r="E54" s="22" t="str">
        <f>IF($B54="","",IF(LEN(VLOOKUP($B54,Database!$B$1:$IX$10144,4,FALSE))=0,"",VLOOKUP($B54,Database!$B$1:$IX$10144,4,FALSE)))</f>
        <v>Weniger G</v>
      </c>
      <c r="F54" s="22">
        <f>IF($B54="","",IF(LEN(VLOOKUP($B54,Database!$B$1:$IX$10144,5,FALSE))=0,"",VLOOKUP($B54,Database!$B$1:$IX$10144,5,FALSE)))</f>
        <v>2006</v>
      </c>
      <c r="G54" s="1" t="str">
        <f>IF($B54="","",HYPERLINK(IF(LEN(VLOOKUP($B54,Database!$B$1:$IX$10144,6,FALSE))=0,"",VLOOKUP($B54,Database!$B$1:$IX$10144,6,FALSE))))</f>
        <v>http://dx.doi.org/10.1016/j.jad.2006.04.017</v>
      </c>
      <c r="H54" s="22">
        <f>IF($B54="","",IF(LEN(VLOOKUP($B54,Database!$B$1:$IX$10144,7,FALSE))=0,"",VLOOKUP($B54,Database!$B$1:$IX$10144,7,FALSE)))</f>
        <v>21</v>
      </c>
      <c r="I54" s="22">
        <f>IF($B54="","",IF(LEN(VLOOKUP($B54,Database!$B$1:$IX$10144,8,FALSE))=0,"",VLOOKUP($B54,Database!$B$1:$IX$10144,8,FALSE)))</f>
        <v>23</v>
      </c>
      <c r="J54" t="s">
        <v>1614</v>
      </c>
      <c r="L54">
        <v>2.7</v>
      </c>
      <c r="M54">
        <v>0.4</v>
      </c>
      <c r="N54">
        <v>3</v>
      </c>
      <c r="O54">
        <v>0.5</v>
      </c>
      <c r="P54">
        <v>2.7</v>
      </c>
      <c r="Q54">
        <v>0.5</v>
      </c>
      <c r="R54">
        <v>3.2</v>
      </c>
      <c r="S54">
        <v>0.4</v>
      </c>
      <c r="T54">
        <f t="shared" si="3"/>
        <v>5.4</v>
      </c>
      <c r="U54">
        <f t="shared" si="4"/>
        <v>0.85440037453175322</v>
      </c>
      <c r="V54">
        <f t="shared" si="5"/>
        <v>6.2</v>
      </c>
      <c r="W54">
        <f t="shared" si="6"/>
        <v>0.85440037453175322</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34</v>
      </c>
      <c r="AC54" s="22">
        <f>IF(OR($B54="",AC$22=""),"",IF(LEN(VLOOKUP($B54,Database!$B$1:$IX$10144,AC$22,FALSE))=0,"",VLOOKUP($B54,Database!$B$1:$IX$10144,AC$22,FALSE)))</f>
        <v>9</v>
      </c>
      <c r="AD54" s="22">
        <f>IF(OR($B54="",AD$22=""),"",IF(LEN(VLOOKUP($B54,Database!$B$1:$IX$10144,AD$22,FALSE))=0,"",VLOOKUP($B54,Database!$B$1:$IX$10144,AD$22,FALSE)))</f>
        <v>32</v>
      </c>
      <c r="AE54" s="22">
        <f>IF(OR($B54="",AE$22=""),"",IF(LEN(VLOOKUP($B54,Database!$B$1:$IX$10144,AE$22,FALSE))=0,"",VLOOKUP($B54,Database!$B$1:$IX$10144,AE$22,FALSE)))</f>
        <v>7</v>
      </c>
      <c r="AF54" s="22">
        <f>IF(OR($B54="",AF$22=""),"",IF(LEN(VLOOKUP($B54,Database!$B$1:$IX$10144,AF$22,FALSE))=0,"",VLOOKUP($B54,Database!$B$1:$IX$10144,AF$22,FALSE)))</f>
        <v>21</v>
      </c>
      <c r="AG54" s="22">
        <f>IF(OR($B54="",AG$22=""),"",IF(LEN(VLOOKUP($B54,Database!$B$1:$IX$10144,AG$22,FALSE))=0,"",VLOOKUP($B54,Database!$B$1:$IX$10144,AG$22,FALSE)))</f>
        <v>23</v>
      </c>
      <c r="AH54" s="22">
        <f>IF(OR($B54="",AH$22=""),"",IF(LEN(VLOOKUP($B54,Database!$B$1:$IX$10144,AH$22,FALSE))=0,"",VLOOKUP($B54,Database!$B$1:$IX$10144,AH$22,FALSE)))</f>
        <v>1.5</v>
      </c>
      <c r="AI54" s="22">
        <f>IF(OR($B54="",AI$22=""),"",IF(LEN(VLOOKUP($B54,Database!$B$1:$IX$10144,AI$22,FALSE))=0,"",VLOOKUP($B54,Database!$B$1:$IX$10144,AI$22,FALSE)))</f>
        <v>1.3</v>
      </c>
      <c r="AJ54" s="22" t="str">
        <f>IF(OR($B54="",AJ$22=""),"",IF(LEN(VLOOKUP($B54,Database!$B$1:$IX$10144,AJ$22,FALSE))=0,"",VLOOKUP($B54,Database!$B$1:$IX$10144,AJ$22,FALSE)))</f>
        <v/>
      </c>
      <c r="AK54" s="22">
        <f>IF(OR($B54="",AK$22=""),"",IF(LEN(VLOOKUP($B54,Database!$B$1:$IX$10144,AK$22,FALSE))=0,"",VLOOKUP($B54,Database!$B$1:$IX$10144,AK$22,FALSE)))</f>
        <v>28</v>
      </c>
      <c r="AL54" s="22">
        <f>IF(OR($B54="",AL$22=""),"",IF(LEN(VLOOKUP($B54,Database!$B$1:$IX$10144,AL$22,FALSE))=0,"",VLOOKUP($B54,Database!$B$1:$IX$10144,AL$22,FALSE)))</f>
        <v>23</v>
      </c>
      <c r="AM54" s="22">
        <f>IF(OR($B54="",AM$22=""),"",IF(LEN(VLOOKUP($B54,Database!$B$1:$IX$10144,AM$22,FALSE))=0,"",VLOOKUP($B54,Database!$B$1:$IX$10144,AM$22,FALSE)))</f>
        <v>100</v>
      </c>
      <c r="AN54" s="22" t="str">
        <f>IF(OR($B54="",AN$22=""),"",IF(LEN(VLOOKUP($B54,Database!$B$1:$IX$10144,AN$22,FALSE))=0,"",VLOOKUP($B54,Database!$B$1:$IX$10144,AN$22,FALSE)))</f>
        <v>ns</v>
      </c>
      <c r="AO54" s="22" t="str">
        <f>IF(OR($B54="",AO$22=""),"",IF(LEN(VLOOKUP($B54,Database!$B$1:$IX$10144,AO$22,FALSE))=0,"",VLOOKUP($B54,Database!$B$1:$IX$10144,AO$22,FALSE)))</f>
        <v>ns</v>
      </c>
      <c r="AP54" s="22">
        <f>IF(OR($B54="",AP$22=""),"",IF(LEN(VLOOKUP($B54,Database!$B$1:$IX$10144,AP$22,FALSE))=0,"",VLOOKUP($B54,Database!$B$1:$IX$10144,AP$22,FALSE)))</f>
        <v>0</v>
      </c>
      <c r="AQ54" s="22" t="str">
        <f>IF(OR($B54="",AQ$22=""),"",IF(LEN(VLOOKUP($B54,Database!$B$1:$IX$10144,AQ$22,FALSE))=0,"",VLOOKUP($B54,Database!$B$1:$IX$10144,AQ$22,FALSE)))</f>
        <v>Weniger G, Lange C, Irle E.</v>
      </c>
      <c r="AR54" s="13"/>
      <c r="AX54" s="13"/>
      <c r="AY54" s="13"/>
      <c r="AZ54" s="13"/>
      <c r="BA54" s="13"/>
      <c r="BC54" s="23"/>
      <c r="BF54" s="136"/>
      <c r="BG54" s="136"/>
      <c r="BH54" s="136"/>
      <c r="BI54" s="136"/>
    </row>
    <row r="55" spans="1:61">
      <c r="B55">
        <v>16461856</v>
      </c>
      <c r="C55" s="1" t="str">
        <f>IF($B55="","",HYPERLINK(IF(LEN(VLOOKUP($B55,Database!$B$1:$IX$10144,2,FALSE))=0,"",VLOOKUP($B55,Database!$B$1:$IX$10144,2,FALSE))))</f>
        <v/>
      </c>
      <c r="D55" s="1" t="str">
        <f>IF($B55="","",HYPERLINK(CONCATENATE("http://www.ncbi.nlm.nih.gov/pubmed/",B55)))</f>
        <v>http://www.ncbi.nlm.nih.gov/pubmed/16461856</v>
      </c>
      <c r="E55" s="22" t="str">
        <f>IF($B55="","",IF(LEN(VLOOKUP($B55,Database!$B$1:$IX$10144,4,FALSE))=0,"",VLOOKUP($B55,Database!$B$1:$IX$10144,4,FALSE)))</f>
        <v>Velakoulis D</v>
      </c>
      <c r="F55" s="22">
        <f>IF($B55="","",IF(LEN(VLOOKUP($B55,Database!$B$1:$IX$10144,5,FALSE))=0,"",VLOOKUP($B55,Database!$B$1:$IX$10144,5,FALSE)))</f>
        <v>2006</v>
      </c>
      <c r="G55" s="1" t="str">
        <f>IF($B55="","",HYPERLINK(IF(LEN(VLOOKUP($B55,Database!$B$1:$IX$10144,6,FALSE))=0,"",VLOOKUP($B55,Database!$B$1:$IX$10144,6,FALSE))))</f>
        <v>http://archpsyc.ama-assn.org/cgi/content/full/63/2/139</v>
      </c>
      <c r="H55" s="22">
        <f>IF($B55="","",IF(LEN(VLOOKUP($B55,Database!$B$1:$IX$10144,7,FALSE))=0,"",VLOOKUP($B55,Database!$B$1:$IX$10144,7,FALSE)))</f>
        <v>12</v>
      </c>
      <c r="I55" s="22">
        <f>IF($B55="","",IF(LEN(VLOOKUP($B55,Database!$B$1:$IX$10144,8,FALSE))=0,"",VLOOKUP($B55,Database!$B$1:$IX$10144,8,FALSE)))</f>
        <v>87</v>
      </c>
      <c r="J55" t="s">
        <v>887</v>
      </c>
      <c r="L55">
        <v>2849</v>
      </c>
      <c r="M55">
        <v>442</v>
      </c>
      <c r="N55">
        <v>2870</v>
      </c>
      <c r="O55">
        <v>358</v>
      </c>
      <c r="P55">
        <v>3092</v>
      </c>
      <c r="Q55">
        <v>383</v>
      </c>
      <c r="R55">
        <v>3122</v>
      </c>
      <c r="S55">
        <v>388</v>
      </c>
      <c r="T55">
        <f t="shared" si="3"/>
        <v>5941</v>
      </c>
      <c r="U55">
        <f t="shared" si="4"/>
        <v>782.88607089409891</v>
      </c>
      <c r="V55">
        <f t="shared" si="5"/>
        <v>5992</v>
      </c>
      <c r="W55">
        <f t="shared" si="6"/>
        <v>707.78132216101892</v>
      </c>
      <c r="X55" s="151"/>
      <c r="Y55" s="22" t="str">
        <f>IF(OR($B55="",Y$22=""),"",IF(LEN(VLOOKUP($B55,Database!$B$1:$IX$10144,Y$22,FALSE))=0,"",VLOOKUP($B55,Database!$B$1:$IX$10144,Y$22,FALSE)))</f>
        <v>DSM-III-R</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22.6</v>
      </c>
      <c r="AC55" s="22">
        <f>IF(OR($B55="",AC$22=""),"",IF(LEN(VLOOKUP($B55,Database!$B$1:$IX$10144,AC$22,FALSE))=0,"",VLOOKUP($B55,Database!$B$1:$IX$10144,AC$22,FALSE)))</f>
        <v>4.0999999999999996</v>
      </c>
      <c r="AD55" s="22">
        <f>IF(OR($B55="",AD$22=""),"",IF(LEN(VLOOKUP($B55,Database!$B$1:$IX$10144,AD$22,FALSE))=0,"",VLOOKUP($B55,Database!$B$1:$IX$10144,AD$22,FALSE)))</f>
        <v>26.9</v>
      </c>
      <c r="AE55" s="22">
        <f>IF(OR($B55="",AE$22=""),"",IF(LEN(VLOOKUP($B55,Database!$B$1:$IX$10144,AE$22,FALSE))=0,"",VLOOKUP($B55,Database!$B$1:$IX$10144,AE$22,FALSE)))</f>
        <v>10</v>
      </c>
      <c r="AF55" s="22">
        <f>IF(OR($B55="",AF$22=""),"",IF(LEN(VLOOKUP($B55,Database!$B$1:$IX$10144,AF$22,FALSE))=0,"",VLOOKUP($B55,Database!$B$1:$IX$10144,AF$22,FALSE)))</f>
        <v>5</v>
      </c>
      <c r="AG55" s="22">
        <f>IF(OR($B55="",AG$22=""),"",IF(LEN(VLOOKUP($B55,Database!$B$1:$IX$10144,AG$22,FALSE))=0,"",VLOOKUP($B55,Database!$B$1:$IX$10144,AG$22,FALSE)))</f>
        <v>32</v>
      </c>
      <c r="AH55" s="22">
        <f>IF(OR($B55="",AH$22=""),"",IF(LEN(VLOOKUP($B55,Database!$B$1:$IX$10144,AH$22,FALSE))=0,"",VLOOKUP($B55,Database!$B$1:$IX$10144,AH$22,FALSE)))</f>
        <v>1.5</v>
      </c>
      <c r="AI55" s="22">
        <f>IF(OR($B55="",AI$22=""),"",IF(LEN(VLOOKUP($B55,Database!$B$1:$IX$10144,AI$22,FALSE))=0,"",VLOOKUP($B55,Database!$B$1:$IX$10144,AI$22,FALSE)))</f>
        <v>1.5</v>
      </c>
      <c r="AJ55" s="22" t="str">
        <f>IF(OR($B55="",AJ$22=""),"",IF(LEN(VLOOKUP($B55,Database!$B$1:$IX$10144,AJ$22,FALSE))=0,"",VLOOKUP($B55,Database!$B$1:$IX$10144,AJ$22,FALSE)))</f>
        <v/>
      </c>
      <c r="AK55" s="22">
        <f>IF(OR($B55="",AK$22=""),"",IF(LEN(VLOOKUP($B55,Database!$B$1:$IX$10144,AK$22,FALSE))=0,"",VLOOKUP($B55,Database!$B$1:$IX$10144,AK$22,FALSE)))</f>
        <v>21.5</v>
      </c>
      <c r="AL55" s="22" t="str">
        <f>IF(OR($B55="",AL$22=""),"",IF(LEN(VLOOKUP($B55,Database!$B$1:$IX$10144,AL$22,FALSE))=0,"",VLOOKUP($B55,Database!$B$1:$IX$10144,AL$22,FALSE)))</f>
        <v>ns</v>
      </c>
      <c r="AM55" s="22" t="str">
        <f>IF(OR($B55="",AM$22=""),"",IF(LEN(VLOOKUP($B55,Database!$B$1:$IX$10144,AM$22,FALSE))=0,"",VLOOKUP($B55,Database!$B$1:$IX$10144,AM$22,FALSE)))</f>
        <v>ns</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Velakoulis D, Wood SJ, Wong MT, McGorry PD, Yung A, Phillips L, Smith D, Brewer W, Proffitt T, Desmond P, Pantelis C.</v>
      </c>
      <c r="AR55" s="13"/>
      <c r="AX55" s="13"/>
      <c r="AY55" s="13"/>
      <c r="AZ55" s="13"/>
      <c r="BA55" s="13"/>
      <c r="BC55" s="23"/>
      <c r="BF55" s="136"/>
      <c r="BG55" s="136"/>
      <c r="BH55" s="136"/>
      <c r="BI55" s="136"/>
    </row>
    <row r="56" spans="1:61">
      <c r="B56">
        <v>17949901</v>
      </c>
      <c r="C56" s="1" t="str">
        <f>IF($B56="","",HYPERLINK(IF(LEN(VLOOKUP($B56,Database!$B$1:$IX$10144,2,FALSE))=0,"",VLOOKUP($B56,Database!$B$1:$IX$10144,2,FALSE))))</f>
        <v/>
      </c>
      <c r="D56" s="1" t="str">
        <f t="shared" si="2"/>
        <v>http://www.ncbi.nlm.nih.gov/pubmed/17949901</v>
      </c>
      <c r="E56" s="22" t="str">
        <f>IF($B56="","",IF(LEN(VLOOKUP($B56,Database!$B$1:$IX$10144,4,FALSE))=0,"",VLOOKUP($B56,Database!$B$1:$IX$10144,4,FALSE)))</f>
        <v>Caetano SC</v>
      </c>
      <c r="F56" s="22">
        <f>IF($B56="","",IF(LEN(VLOOKUP($B56,Database!$B$1:$IX$10144,5,FALSE))=0,"",VLOOKUP($B56,Database!$B$1:$IX$10144,5,FALSE)))</f>
        <v>2007</v>
      </c>
      <c r="G56" s="1" t="str">
        <f>IF($B56="","",HYPERLINK(IF(LEN(VLOOKUP($B56,Database!$B$1:$IX$10144,6,FALSE))=0,"",VLOOKUP($B56,Database!$B$1:$IX$10144,6,FALSE))))</f>
        <v>http://dx.doi.org/10.1016/j.neulet.2007.06.014</v>
      </c>
      <c r="H56" s="22">
        <f>IF($B56="","",IF(LEN(VLOOKUP($B56,Database!$B$1:$IX$10144,7,FALSE))=0,"",VLOOKUP($B56,Database!$B$1:$IX$10144,7,FALSE)))</f>
        <v>19</v>
      </c>
      <c r="I56" s="22">
        <f>IF($B56="","",IF(LEN(VLOOKUP($B56,Database!$B$1:$IX$10144,8,FALSE))=0,"",VLOOKUP($B56,Database!$B$1:$IX$10144,8,FALSE)))</f>
        <v>24</v>
      </c>
      <c r="J56" t="s">
        <v>1378</v>
      </c>
      <c r="L56">
        <v>1.89</v>
      </c>
      <c r="M56">
        <v>0.16</v>
      </c>
      <c r="N56">
        <v>1.99</v>
      </c>
      <c r="O56">
        <v>0.18</v>
      </c>
      <c r="P56">
        <v>1.97</v>
      </c>
      <c r="Q56">
        <v>0.19</v>
      </c>
      <c r="R56">
        <v>2.04</v>
      </c>
      <c r="S56">
        <v>0.26</v>
      </c>
      <c r="T56">
        <f t="shared" si="3"/>
        <v>3.86</v>
      </c>
      <c r="U56">
        <f t="shared" si="4"/>
        <v>0.33217465285599385</v>
      </c>
      <c r="V56">
        <f t="shared" si="5"/>
        <v>4.03</v>
      </c>
      <c r="W56">
        <f t="shared" si="6"/>
        <v>0.41818656123792408</v>
      </c>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f>IF(OR($B56="",AB$22=""),"",IF(LEN(VLOOKUP($B56,Database!$B$1:$IX$10144,AB$22,FALSE))=0,"",VLOOKUP($B56,Database!$B$1:$IX$10144,AB$22,FALSE)))</f>
        <v>13</v>
      </c>
      <c r="AC56" s="22">
        <f>IF(OR($B56="",AC$22=""),"",IF(LEN(VLOOKUP($B56,Database!$B$1:$IX$10144,AC$22,FALSE))=0,"",VLOOKUP($B56,Database!$B$1:$IX$10144,AC$22,FALSE)))</f>
        <v>2.4</v>
      </c>
      <c r="AD56" s="22">
        <f>IF(OR($B56="",AD$22=""),"",IF(LEN(VLOOKUP($B56,Database!$B$1:$IX$10144,AD$22,FALSE))=0,"",VLOOKUP($B56,Database!$B$1:$IX$10144,AD$22,FALSE)))</f>
        <v>13.9</v>
      </c>
      <c r="AE56" s="22">
        <f>IF(OR($B56="",AE$22=""),"",IF(LEN(VLOOKUP($B56,Database!$B$1:$IX$10144,AE$22,FALSE))=0,"",VLOOKUP($B56,Database!$B$1:$IX$10144,AE$22,FALSE)))</f>
        <v>2.9</v>
      </c>
      <c r="AF56" s="22">
        <f>IF(OR($B56="",AF$22=""),"",IF(LEN(VLOOKUP($B56,Database!$B$1:$IX$10144,AF$22,FALSE))=0,"",VLOOKUP($B56,Database!$B$1:$IX$10144,AF$22,FALSE)))</f>
        <v>6</v>
      </c>
      <c r="AG56" s="22">
        <f>IF(OR($B56="",AG$22=""),"",IF(LEN(VLOOKUP($B56,Database!$B$1:$IX$10144,AG$22,FALSE))=0,"",VLOOKUP($B56,Database!$B$1:$IX$10144,AG$22,FALSE)))</f>
        <v>11</v>
      </c>
      <c r="AH56" s="22">
        <f>IF(OR($B56="",AH$22=""),"",IF(LEN(VLOOKUP($B56,Database!$B$1:$IX$10144,AH$22,FALSE))=0,"",VLOOKUP($B56,Database!$B$1:$IX$10144,AH$22,FALSE)))</f>
        <v>1.5</v>
      </c>
      <c r="AI56" s="22">
        <f>IF(OR($B56="",AI$22=""),"",IF(LEN(VLOOKUP($B56,Database!$B$1:$IX$10144,AI$22,FALSE))=0,"",VLOOKUP($B56,Database!$B$1:$IX$10144,AI$22,FALSE)))</f>
        <v>1</v>
      </c>
      <c r="AJ56" s="22" t="str">
        <f>IF(OR($B56="",AJ$22=""),"",IF(LEN(VLOOKUP($B56,Database!$B$1:$IX$10144,AJ$22,FALSE))=0,"",VLOOKUP($B56,Database!$B$1:$IX$10144,AJ$22,FALSE)))</f>
        <v/>
      </c>
      <c r="AK56" s="22">
        <f>IF(OR($B56="",AK$22=""),"",IF(LEN(VLOOKUP($B56,Database!$B$1:$IX$10144,AK$22,FALSE))=0,"",VLOOKUP($B56,Database!$B$1:$IX$10144,AK$22,FALSE)))</f>
        <v>10.3</v>
      </c>
      <c r="AL56" s="22" t="str">
        <f>IF(OR($B56="",AL$22=""),"",IF(LEN(VLOOKUP($B56,Database!$B$1:$IX$10144,AL$22,FALSE))=0,"",VLOOKUP($B56,Database!$B$1:$IX$10144,AL$22,FALSE)))</f>
        <v>ns</v>
      </c>
      <c r="AM56" s="22">
        <f>IF(OR($B56="",AM$22=""),"",IF(LEN(VLOOKUP($B56,Database!$B$1:$IX$10144,AM$22,FALSE))=0,"",VLOOKUP($B56,Database!$B$1:$IX$10144,AM$22,FALSE)))</f>
        <v>47.368421052631575</v>
      </c>
      <c r="AN56" s="22" t="str">
        <f>IF(OR($B56="",AN$22=""),"",IF(LEN(VLOOKUP($B56,Database!$B$1:$IX$10144,AN$22,FALSE))=0,"",VLOOKUP($B56,Database!$B$1:$IX$10144,AN$22,FALSE)))</f>
        <v>ns</v>
      </c>
      <c r="AO56" s="22" t="str">
        <f>IF(OR($B56="",AO$22=""),"",IF(LEN(VLOOKUP($B56,Database!$B$1:$IX$10144,AO$22,FALSE))=0,"",VLOOKUP($B56,Database!$B$1:$IX$10144,AO$22,FALSE)))</f>
        <v>ns</v>
      </c>
      <c r="AP56" s="22">
        <f>IF(OR($B56="",AP$22=""),"",IF(LEN(VLOOKUP($B56,Database!$B$1:$IX$10144,AP$22,FALSE))=0,"",VLOOKUP($B56,Database!$B$1:$IX$10144,AP$22,FALSE)))</f>
        <v>52.631578947368418</v>
      </c>
      <c r="AQ56" s="22" t="str">
        <f>IF(OR($B56="",AQ$22=""),"",IF(LEN(VLOOKUP($B56,Database!$B$1:$IX$10144,AQ$22,FALSE))=0,"",VLOOKUP($B56,Database!$B$1:$IX$10144,AQ$22,FALSE)))</f>
        <v>Caetano SC, Fonseca M, Hatch JP, Olvera RL, Nicoletti M, Hunter K, Lafer B, Pliszka SR, Soares JC.</v>
      </c>
      <c r="AR56" s="13"/>
      <c r="AX56" s="13"/>
      <c r="AY56" s="13"/>
      <c r="AZ56" s="13"/>
      <c r="BA56" s="13"/>
      <c r="BC56" s="23"/>
      <c r="BF56" s="136"/>
      <c r="BG56" s="136"/>
      <c r="BH56" s="136"/>
      <c r="BI56" s="136"/>
    </row>
    <row r="57" spans="1:61">
      <c r="A57" s="10"/>
      <c r="B57">
        <v>17604352</v>
      </c>
      <c r="C57" s="1" t="str">
        <f>IF($B57="","",HYPERLINK(IF(LEN(VLOOKUP($B57,Database!$B$1:$IX$10144,2,FALSE))=0,"",VLOOKUP($B57,Database!$B$1:$IX$10144,2,FALSE))))</f>
        <v/>
      </c>
      <c r="D57" s="1" t="str">
        <f t="shared" si="2"/>
        <v>http://www.ncbi.nlm.nih.gov/pubmed/17604352</v>
      </c>
      <c r="E57" s="22" t="str">
        <f>IF($B57="","",IF(LEN(VLOOKUP($B57,Database!$B$1:$IX$10144,4,FALSE))=0,"",VLOOKUP($B57,Database!$B$1:$IX$10144,4,FALSE)))</f>
        <v>Maller JJ</v>
      </c>
      <c r="F57" s="22">
        <f>IF($B57="","",IF(LEN(VLOOKUP($B57,Database!$B$1:$IX$10144,5,FALSE))=0,"",VLOOKUP($B57,Database!$B$1:$IX$10144,5,FALSE)))</f>
        <v>2007</v>
      </c>
      <c r="G57" s="1" t="str">
        <f>IF($B57="","",HYPERLINK(IF(LEN(VLOOKUP($B57,Database!$B$1:$IX$10144,6,FALSE))=0,"",VLOOKUP($B57,Database!$B$1:$IX$10144,6,FALSE))))</f>
        <v>http://dx.doi.org/10.1002/hipo.20339</v>
      </c>
      <c r="H57" s="83">
        <v>22</v>
      </c>
      <c r="I57" s="83">
        <v>13</v>
      </c>
      <c r="J57" t="s">
        <v>1266</v>
      </c>
      <c r="K57" t="s">
        <v>1367</v>
      </c>
      <c r="L57">
        <v>3010.56</v>
      </c>
      <c r="M57">
        <v>291.39999999999998</v>
      </c>
      <c r="N57">
        <v>3270.01</v>
      </c>
      <c r="O57">
        <v>429.57</v>
      </c>
      <c r="P57">
        <v>2977.8</v>
      </c>
      <c r="Q57">
        <v>276.56</v>
      </c>
      <c r="R57">
        <v>3202.8</v>
      </c>
      <c r="S57">
        <v>487.12</v>
      </c>
      <c r="T57">
        <f t="shared" si="3"/>
        <v>5988.3600000000006</v>
      </c>
      <c r="U57">
        <f t="shared" si="4"/>
        <v>538.83460171002378</v>
      </c>
      <c r="V57">
        <f t="shared" si="5"/>
        <v>6472.81</v>
      </c>
      <c r="W57">
        <f t="shared" si="6"/>
        <v>869.83889355443284</v>
      </c>
      <c r="Y57" s="22" t="str">
        <f>IF(OR($B57="",Y$22=""),"",IF(LEN(VLOOKUP($B57,Database!$B$1:$IX$10144,Y$22,FALSE))=0,"",VLOOKUP($B57,Database!$B$1:$IX$10144,Y$22,FALSE)))</f>
        <v>DSM-IV</v>
      </c>
      <c r="Z57" s="22" t="str">
        <f>IF(OR($B57="",Z$22=""),"",IF(LEN(VLOOKUP($B57,Database!$B$1:$IX$10144,Z$22,FALSE))=0,"",VLOOKUP($B57,Database!$B$1:$IX$10144,Z$22,FALSE)))</f>
        <v>MRI</v>
      </c>
      <c r="AA57" s="214" t="s">
        <v>1367</v>
      </c>
      <c r="AB57" s="83">
        <v>37.29</v>
      </c>
      <c r="AC57" s="83">
        <v>8.76</v>
      </c>
      <c r="AD57" s="83">
        <v>39.29</v>
      </c>
      <c r="AE57" s="83">
        <v>12.67</v>
      </c>
      <c r="AF57" s="83">
        <v>0</v>
      </c>
      <c r="AG57" s="22">
        <f>IF(OR($B57="",AG$22=""),"",IF(LEN(VLOOKUP($B57,Database!$B$1:$IX$10144,AG$22,FALSE))=0,"",VLOOKUP($B57,Database!$B$1:$IX$10144,AG$22,FALSE)))</f>
        <v>17</v>
      </c>
      <c r="AH57" s="22">
        <f>IF(OR($B57="",AH$22=""),"",IF(LEN(VLOOKUP($B57,Database!$B$1:$IX$10144,AH$22,FALSE))=0,"",VLOOKUP($B57,Database!$B$1:$IX$10144,AH$22,FALSE)))</f>
        <v>1.5</v>
      </c>
      <c r="AI57" s="22">
        <f>IF(OR($B57="",AI$22=""),"",IF(LEN(VLOOKUP($B57,Database!$B$1:$IX$10144,AI$22,FALSE))=0,"",VLOOKUP($B57,Database!$B$1:$IX$10144,AI$22,FALSE)))</f>
        <v>0.94</v>
      </c>
      <c r="AJ57" s="22" t="str">
        <f>IF(OR($B57="",AJ$22=""),"",IF(LEN(VLOOKUP($B57,Database!$B$1:$IX$10144,AJ$22,FALSE))=0,"",VLOOKUP($B57,Database!$B$1:$IX$10144,AJ$22,FALSE)))</f>
        <v/>
      </c>
      <c r="AK57" s="22" t="str">
        <f>IF(OR($B57="",AK$22=""),"",IF(LEN(VLOOKUP($B57,Database!$B$1:$IX$10144,AK$22,FALSE))=0,"",VLOOKUP($B57,Database!$B$1:$IX$10144,AK$22,FALSE)))</f>
        <v>ns</v>
      </c>
      <c r="AL57" s="22" t="str">
        <f>IF(OR($B57="",AL$22=""),"",IF(LEN(VLOOKUP($B57,Database!$B$1:$IX$10144,AL$22,FALSE))=0,"",VLOOKUP($B57,Database!$B$1:$IX$10144,AL$22,FALSE)))</f>
        <v>ns</v>
      </c>
      <c r="AM57" s="22" t="str">
        <f>IF(OR($B57="",AM$22=""),"",IF(LEN(VLOOKUP($B57,Database!$B$1:$IX$10144,AM$22,FALSE))=0,"",VLOOKUP($B57,Database!$B$1:$IX$10144,AM$22,FALSE)))</f>
        <v>ns</v>
      </c>
      <c r="AN57" s="22" t="str">
        <f>IF(OR($B57="",AN$22=""),"",IF(LEN(VLOOKUP($B57,Database!$B$1:$IX$10144,AN$22,FALSE))=0,"",VLOOKUP($B57,Database!$B$1:$IX$10144,AN$22,FALSE)))</f>
        <v>ns</v>
      </c>
      <c r="AO57" s="22" t="str">
        <f>IF(OR($B57="",AO$22=""),"",IF(LEN(VLOOKUP($B57,Database!$B$1:$IX$10144,AO$22,FALSE))=0,"",VLOOKUP($B57,Database!$B$1:$IX$10144,AO$22,FALSE)))</f>
        <v>ns</v>
      </c>
      <c r="AP57" s="22" t="str">
        <f>IF(OR($B57="",AP$22=""),"",IF(LEN(VLOOKUP($B57,Database!$B$1:$IX$10144,AP$22,FALSE))=0,"",VLOOKUP($B57,Database!$B$1:$IX$10144,AP$22,FALSE)))</f>
        <v>ns</v>
      </c>
      <c r="AQ57" s="22" t="str">
        <f>IF(OR($B57="",AQ$22=""),"",IF(LEN(VLOOKUP($B57,Database!$B$1:$IX$10144,AQ$22,FALSE))=0,"",VLOOKUP($B57,Database!$B$1:$IX$10144,AQ$22,FALSE)))</f>
        <v>Maller JJ, Daskalakis ZJ, Fitzgerald PB.</v>
      </c>
      <c r="AR57" s="13"/>
      <c r="AU57" s="13"/>
      <c r="AX57" s="13"/>
      <c r="AY57" s="13"/>
      <c r="AZ57" s="13"/>
      <c r="BA57" s="13"/>
      <c r="BC57" s="23"/>
      <c r="BF57" s="136"/>
      <c r="BG57" s="136"/>
      <c r="BH57" s="136"/>
      <c r="BI57" s="136"/>
    </row>
    <row r="58" spans="1:61">
      <c r="A58" t="s">
        <v>2322</v>
      </c>
      <c r="B58">
        <v>17604352</v>
      </c>
      <c r="C58" s="1" t="str">
        <f>IF($B58="","",HYPERLINK(IF(LEN(VLOOKUP($B58,Database!$B$1:$IX$10144,2,FALSE))=0,"",VLOOKUP($B58,Database!$B$1:$IX$10144,2,FALSE))))</f>
        <v/>
      </c>
      <c r="D58" s="1" t="str">
        <f t="shared" si="2"/>
        <v>http://www.ncbi.nlm.nih.gov/pubmed/17604352</v>
      </c>
      <c r="E58" s="22" t="str">
        <f>IF($B58="","",IF(LEN(VLOOKUP($B58,Database!$B$1:$IX$10144,4,FALSE))=0,"",VLOOKUP($B58,Database!$B$1:$IX$10144,4,FALSE)))</f>
        <v>Maller JJ</v>
      </c>
      <c r="F58" s="22">
        <f>IF($B58="","",IF(LEN(VLOOKUP($B58,Database!$B$1:$IX$10144,5,FALSE))=0,"",VLOOKUP($B58,Database!$B$1:$IX$10144,5,FALSE)))</f>
        <v>2007</v>
      </c>
      <c r="G58" s="1" t="str">
        <f>IF($B58="","",HYPERLINK(IF(LEN(VLOOKUP($B58,Database!$B$1:$IX$10144,6,FALSE))=0,"",VLOOKUP($B58,Database!$B$1:$IX$10144,6,FALSE))))</f>
        <v>http://dx.doi.org/10.1002/hipo.20339</v>
      </c>
      <c r="H58" s="83">
        <v>23</v>
      </c>
      <c r="I58" s="83">
        <v>17</v>
      </c>
      <c r="J58" t="s">
        <v>1266</v>
      </c>
      <c r="K58" t="s">
        <v>2188</v>
      </c>
      <c r="L58">
        <v>2781.15</v>
      </c>
      <c r="M58">
        <v>376.58</v>
      </c>
      <c r="N58">
        <v>2989.96</v>
      </c>
      <c r="O58">
        <v>252.14</v>
      </c>
      <c r="P58">
        <v>2817.3</v>
      </c>
      <c r="Q58">
        <v>239.23</v>
      </c>
      <c r="R58">
        <v>2961.03</v>
      </c>
      <c r="S58">
        <v>281.60000000000002</v>
      </c>
      <c r="T58">
        <f t="shared" si="3"/>
        <v>5598.4500000000007</v>
      </c>
      <c r="U58">
        <f t="shared" si="4"/>
        <v>585.82101595965287</v>
      </c>
      <c r="V58">
        <f t="shared" si="5"/>
        <v>5950.99</v>
      </c>
      <c r="W58">
        <f t="shared" si="6"/>
        <v>506.43591697272024</v>
      </c>
      <c r="Y58" s="22" t="str">
        <f>IF(OR($B58="",Y$22=""),"",IF(LEN(VLOOKUP($B58,Database!$B$1:$IX$10144,Y$22,FALSE))=0,"",VLOOKUP($B58,Database!$B$1:$IX$10144,Y$22,FALSE)))</f>
        <v>DSM-IV</v>
      </c>
      <c r="Z58" s="22" t="str">
        <f>IF(OR($B58="",Z$22=""),"",IF(LEN(VLOOKUP($B58,Database!$B$1:$IX$10144,Z$22,FALSE))=0,"",VLOOKUP($B58,Database!$B$1:$IX$10144,Z$22,FALSE)))</f>
        <v>MRI</v>
      </c>
      <c r="AA58" s="214" t="s">
        <v>1368</v>
      </c>
      <c r="AB58" s="83">
        <v>37.47</v>
      </c>
      <c r="AC58" s="83">
        <v>12.96</v>
      </c>
      <c r="AD58" s="83">
        <v>35.76</v>
      </c>
      <c r="AE58" s="83">
        <v>11.03</v>
      </c>
      <c r="AF58" s="83">
        <v>23</v>
      </c>
      <c r="AG58" s="22">
        <f>IF(OR($B58="",AG$22=""),"",IF(LEN(VLOOKUP($B58,Database!$B$1:$IX$10144,AG$22,FALSE))=0,"",VLOOKUP($B58,Database!$B$1:$IX$10144,AG$22,FALSE)))</f>
        <v>17</v>
      </c>
      <c r="AH58" s="22">
        <f>IF(OR($B58="",AH$22=""),"",IF(LEN(VLOOKUP($B58,Database!$B$1:$IX$10144,AH$22,FALSE))=0,"",VLOOKUP($B58,Database!$B$1:$IX$10144,AH$22,FALSE)))</f>
        <v>1.5</v>
      </c>
      <c r="AI58" s="22">
        <f>IF(OR($B58="",AI$22=""),"",IF(LEN(VLOOKUP($B58,Database!$B$1:$IX$10144,AI$22,FALSE))=0,"",VLOOKUP($B58,Database!$B$1:$IX$10144,AI$22,FALSE)))</f>
        <v>0.94</v>
      </c>
      <c r="AJ58" s="22" t="str">
        <f>IF(OR($B58="",AJ$22=""),"",IF(LEN(VLOOKUP($B58,Database!$B$1:$IX$10144,AJ$22,FALSE))=0,"",VLOOKUP($B58,Database!$B$1:$IX$10144,AJ$22,FALSE)))</f>
        <v/>
      </c>
      <c r="AK58" s="22" t="str">
        <f>IF(OR($B58="",AK$22=""),"",IF(LEN(VLOOKUP($B58,Database!$B$1:$IX$10144,AK$22,FALSE))=0,"",VLOOKUP($B58,Database!$B$1:$IX$10144,AK$22,FALSE)))</f>
        <v>ns</v>
      </c>
      <c r="AL58" s="22" t="str">
        <f>IF(OR($B58="",AL$22=""),"",IF(LEN(VLOOKUP($B58,Database!$B$1:$IX$10144,AL$22,FALSE))=0,"",VLOOKUP($B58,Database!$B$1:$IX$10144,AL$22,FALSE)))</f>
        <v>ns</v>
      </c>
      <c r="AM58" s="22" t="str">
        <f>IF(OR($B58="",AM$22=""),"",IF(LEN(VLOOKUP($B58,Database!$B$1:$IX$10144,AM$22,FALSE))=0,"",VLOOKUP($B58,Database!$B$1:$IX$10144,AM$22,FALSE)))</f>
        <v>ns</v>
      </c>
      <c r="AN58" s="22" t="str">
        <f>IF(OR($B58="",AN$22=""),"",IF(LEN(VLOOKUP($B58,Database!$B$1:$IX$10144,AN$22,FALSE))=0,"",VLOOKUP($B58,Database!$B$1:$IX$10144,AN$22,FALSE)))</f>
        <v>ns</v>
      </c>
      <c r="AO58" s="22" t="str">
        <f>IF(OR($B58="",AO$22=""),"",IF(LEN(VLOOKUP($B58,Database!$B$1:$IX$10144,AO$22,FALSE))=0,"",VLOOKUP($B58,Database!$B$1:$IX$10144,AO$22,FALSE)))</f>
        <v>ns</v>
      </c>
      <c r="AP58" s="22" t="str">
        <f>IF(OR($B58="",AP$22=""),"",IF(LEN(VLOOKUP($B58,Database!$B$1:$IX$10144,AP$22,FALSE))=0,"",VLOOKUP($B58,Database!$B$1:$IX$10144,AP$22,FALSE)))</f>
        <v>ns</v>
      </c>
      <c r="AQ58" s="22" t="str">
        <f>IF(OR($B58="",AQ$22=""),"",IF(LEN(VLOOKUP($B58,Database!$B$1:$IX$10144,AQ$22,FALSE))=0,"",VLOOKUP($B58,Database!$B$1:$IX$10144,AQ$22,FALSE)))</f>
        <v>Maller JJ, Daskalakis ZJ, Fitzgerald PB.</v>
      </c>
      <c r="AR58" s="13"/>
      <c r="AU58" s="13"/>
      <c r="AX58" s="13"/>
      <c r="AY58" s="13"/>
      <c r="AZ58" s="13"/>
      <c r="BA58" s="13"/>
      <c r="BC58" s="23"/>
      <c r="BF58" s="136"/>
      <c r="BG58" s="136"/>
      <c r="BH58" s="136"/>
      <c r="BI58" s="136"/>
    </row>
    <row r="59" spans="1:61">
      <c r="B59">
        <v>17986679</v>
      </c>
      <c r="C59" s="1" t="str">
        <f>IF($B59="","",HYPERLINK(IF(LEN(VLOOKUP($B59,Database!$B$1:$IX$10144,2,FALSE))=0,"",VLOOKUP($B59,Database!$B$1:$IX$10144,2,FALSE))))</f>
        <v/>
      </c>
      <c r="D59" s="1" t="str">
        <f t="shared" si="2"/>
        <v>http://www.ncbi.nlm.nih.gov/pubmed/17986679</v>
      </c>
      <c r="E59" s="22" t="str">
        <f>IF($B59="","",IF(LEN(VLOOKUP($B59,Database!$B$1:$IX$10144,4,FALSE))=0,"",VLOOKUP($B59,Database!$B$1:$IX$10144,4,FALSE)))</f>
        <v>Ballmaier M (A)</v>
      </c>
      <c r="F59" s="22">
        <f>IF($B59="","",IF(LEN(VLOOKUP($B59,Database!$B$1:$IX$10144,5,FALSE))=0,"",VLOOKUP($B59,Database!$B$1:$IX$10144,5,FALSE)))</f>
        <v>2008</v>
      </c>
      <c r="G59" s="1" t="str">
        <f>IF($B59="","",HYPERLINK(IF(LEN(VLOOKUP($B59,Database!$B$1:$IX$10144,6,FALSE))=0,"",VLOOKUP($B59,Database!$B$1:$IX$10144,6,FALSE))))</f>
        <v>http://ajp.psychiatryonline.org/cgi/reprint/165/2/229</v>
      </c>
      <c r="H59" s="22">
        <f>IF($B59="","",IF(LEN(VLOOKUP($B59,Database!$B$1:$IX$10144,7,FALSE))=0,"",VLOOKUP($B59,Database!$B$1:$IX$10144,7,FALSE)))</f>
        <v>46</v>
      </c>
      <c r="I59" s="22">
        <f>IF($B59="","",IF(LEN(VLOOKUP($B59,Database!$B$1:$IX$10144,8,FALSE))=0,"",VLOOKUP($B59,Database!$B$1:$IX$10144,8,FALSE)))</f>
        <v>34</v>
      </c>
      <c r="J59" t="s">
        <v>1379</v>
      </c>
      <c r="L59">
        <v>1116.0999999999999</v>
      </c>
      <c r="M59">
        <v>222</v>
      </c>
      <c r="N59">
        <v>1272.75</v>
      </c>
      <c r="O59">
        <v>257.64999999999998</v>
      </c>
      <c r="P59">
        <v>1127.53</v>
      </c>
      <c r="Q59">
        <v>231.12</v>
      </c>
      <c r="R59">
        <v>1308.45</v>
      </c>
      <c r="S59">
        <v>245.62</v>
      </c>
      <c r="T59">
        <f t="shared" si="3"/>
        <v>2243.63</v>
      </c>
      <c r="U59">
        <f t="shared" si="4"/>
        <v>429.87705032950993</v>
      </c>
      <c r="V59">
        <f t="shared" si="5"/>
        <v>2581.1999999999998</v>
      </c>
      <c r="W59">
        <f t="shared" si="6"/>
        <v>477.45899897268669</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71.099999999999994</v>
      </c>
      <c r="AC59" s="22">
        <f>IF(OR($B59="",AC$22=""),"",IF(LEN(VLOOKUP($B59,Database!$B$1:$IX$10144,AC$22,FALSE))=0,"",VLOOKUP($B59,Database!$B$1:$IX$10144,AC$22,FALSE)))</f>
        <v>7.66</v>
      </c>
      <c r="AD59" s="22">
        <f>IF(OR($B59="",AD$22=""),"",IF(LEN(VLOOKUP($B59,Database!$B$1:$IX$10144,AD$22,FALSE))=0,"",VLOOKUP($B59,Database!$B$1:$IX$10144,AD$22,FALSE)))</f>
        <v>72.38</v>
      </c>
      <c r="AE59" s="22">
        <f>IF(OR($B59="",AE$22=""),"",IF(LEN(VLOOKUP($B59,Database!$B$1:$IX$10144,AE$22,FALSE))=0,"",VLOOKUP($B59,Database!$B$1:$IX$10144,AE$22,FALSE)))</f>
        <v>6.93</v>
      </c>
      <c r="AF59" s="22">
        <f>IF(OR($B59="",AF$22=""),"",IF(LEN(VLOOKUP($B59,Database!$B$1:$IX$10144,AF$22,FALSE))=0,"",VLOOKUP($B59,Database!$B$1:$IX$10144,AF$22,FALSE)))</f>
        <v>34</v>
      </c>
      <c r="AG59" s="22">
        <f>IF(OR($B59="",AG$22=""),"",IF(LEN(VLOOKUP($B59,Database!$B$1:$IX$10144,AG$22,FALSE))=0,"",VLOOKUP($B59,Database!$B$1:$IX$10144,AG$22,FALSE)))</f>
        <v>19</v>
      </c>
      <c r="AH59" s="22">
        <f>IF(OR($B59="",AH$22=""),"",IF(LEN(VLOOKUP($B59,Database!$B$1:$IX$10144,AH$22,FALSE))=0,"",VLOOKUP($B59,Database!$B$1:$IX$10144,AH$22,FALSE)))</f>
        <v>1.5</v>
      </c>
      <c r="AI59" s="22">
        <f>IF(OR($B59="",AI$22=""),"",IF(LEN(VLOOKUP($B59,Database!$B$1:$IX$10144,AI$22,FALSE))=0,"",VLOOKUP($B59,Database!$B$1:$IX$10144,AI$22,FALSE)))</f>
        <v>1.4</v>
      </c>
      <c r="AJ59" s="22" t="str">
        <f>IF(OR($B59="",AJ$22=""),"",IF(LEN(VLOOKUP($B59,Database!$B$1:$IX$10144,AJ$22,FALSE))=0,"",VLOOKUP($B59,Database!$B$1:$IX$10144,AJ$22,FALSE)))</f>
        <v/>
      </c>
      <c r="AK59" s="22">
        <f>IF(OR($B59="",AK$22=""),"",IF(LEN(VLOOKUP($B59,Database!$B$1:$IX$10144,AK$22,FALSE))=0,"",VLOOKUP($B59,Database!$B$1:$IX$10144,AK$22,FALSE)))</f>
        <v>51.43</v>
      </c>
      <c r="AL59" s="22">
        <f>IF(OR($B59="",AL$22=""),"",IF(LEN(VLOOKUP($B59,Database!$B$1:$IX$10144,AL$22,FALSE))=0,"",VLOOKUP($B59,Database!$B$1:$IX$10144,AL$22,FALSE)))</f>
        <v>17.73</v>
      </c>
      <c r="AM59" s="22">
        <f>IF(OR($B59="",AM$22=""),"",IF(LEN(VLOOKUP($B59,Database!$B$1:$IX$10144,AM$22,FALSE))=0,"",VLOOKUP($B59,Database!$B$1:$IX$10144,AM$22,FALSE)))</f>
        <v>0</v>
      </c>
      <c r="AN59" s="22">
        <f>IF(OR($B59="",AN$22=""),"",IF(LEN(VLOOKUP($B59,Database!$B$1:$IX$10144,AN$22,FALSE))=0,"",VLOOKUP($B59,Database!$B$1:$IX$10144,AN$22,FALSE)))</f>
        <v>0</v>
      </c>
      <c r="AO59" s="22">
        <f>IF(OR($B59="",AO$22=""),"",IF(LEN(VLOOKUP($B59,Database!$B$1:$IX$10144,AO$22,FALSE))=0,"",VLOOKUP($B59,Database!$B$1:$IX$10144,AO$22,FALSE)))</f>
        <v>0</v>
      </c>
      <c r="AP59" s="22">
        <f>IF(OR($B59="",AP$22=""),"",IF(LEN(VLOOKUP($B59,Database!$B$1:$IX$10144,AP$22,FALSE))=0,"",VLOOKUP($B59,Database!$B$1:$IX$10144,AP$22,FALSE)))</f>
        <v>100</v>
      </c>
      <c r="AQ59" s="22" t="str">
        <f>IF(OR($B59="",AQ$22=""),"",IF(LEN(VLOOKUP($B59,Database!$B$1:$IX$10144,AQ$22,FALSE))=0,"",VLOOKUP($B59,Database!$B$1:$IX$10144,AQ$22,FALSE)))</f>
        <v>Ballmaier M, Narr KL, Toga AW, Elderkin-Thompson V, Thompson PM, Hamilton L, Haroon E, Pham D, Heinz A, Kumar A.</v>
      </c>
      <c r="AR59" s="13"/>
      <c r="AX59" s="13"/>
      <c r="AY59" s="13"/>
      <c r="AZ59" s="13"/>
      <c r="BA59" s="13"/>
      <c r="BC59" s="23"/>
      <c r="BF59" s="136"/>
      <c r="BG59" s="136"/>
      <c r="BH59" s="136"/>
      <c r="BI59" s="136"/>
    </row>
    <row r="60" spans="1:61">
      <c r="B60">
        <v>18450931</v>
      </c>
      <c r="C60" s="1" t="str">
        <f>IF($B60="","",HYPERLINK(IF(LEN(VLOOKUP($B60,Database!$B$1:$IX$10144,2,FALSE))=0,"",VLOOKUP($B60,Database!$B$1:$IX$10144,2,FALSE))))</f>
        <v/>
      </c>
      <c r="D60" s="1" t="str">
        <f t="shared" si="2"/>
        <v>http://www.ncbi.nlm.nih.gov/pubmed/18450931</v>
      </c>
      <c r="E60" s="22" t="str">
        <f>IF($B60="","",IF(LEN(VLOOKUP($B60,Database!$B$1:$IX$10144,4,FALSE))=0,"",VLOOKUP($B60,Database!$B$1:$IX$10144,4,FALSE)))</f>
        <v>Keller J</v>
      </c>
      <c r="F60" s="22">
        <f>IF($B60="","",IF(LEN(VLOOKUP($B60,Database!$B$1:$IX$10144,5,FALSE))=0,"",VLOOKUP($B60,Database!$B$1:$IX$10144,5,FALSE)))</f>
        <v>2008</v>
      </c>
      <c r="G60" s="1" t="str">
        <f>IF($B60="","",HYPERLINK(IF(LEN(VLOOKUP($B60,Database!$B$1:$IX$10144,6,FALSE))=0,"",VLOOKUP($B60,Database!$B$1:$IX$10144,6,FALSE))))</f>
        <v>http://ajp.psychiatryonline.org/cgi/content/full/165/7/872</v>
      </c>
      <c r="H60" s="83">
        <v>23</v>
      </c>
      <c r="I60" s="83">
        <v>11</v>
      </c>
      <c r="J60" t="s">
        <v>1378</v>
      </c>
      <c r="K60" t="s">
        <v>1173</v>
      </c>
      <c r="L60">
        <v>3.86</v>
      </c>
      <c r="M60">
        <v>0.57999999999999996</v>
      </c>
      <c r="N60">
        <v>3.78</v>
      </c>
      <c r="O60">
        <v>0.49</v>
      </c>
      <c r="P60">
        <v>3.98</v>
      </c>
      <c r="Q60">
        <v>0.56999999999999995</v>
      </c>
      <c r="R60">
        <v>3.89</v>
      </c>
      <c r="S60">
        <v>0.46</v>
      </c>
      <c r="T60">
        <f t="shared" si="3"/>
        <v>7.84</v>
      </c>
      <c r="U60">
        <f t="shared" si="4"/>
        <v>1.0909903757595665</v>
      </c>
      <c r="V60">
        <f t="shared" si="5"/>
        <v>7.67</v>
      </c>
      <c r="W60">
        <f t="shared" si="6"/>
        <v>0.90129906246484026</v>
      </c>
      <c r="Y60" s="22" t="str">
        <f>IF(OR($B60="",Y$22=""),"",IF(LEN(VLOOKUP($B60,Database!$B$1:$IX$10144,Y$22,FALSE))=0,"",VLOOKUP($B60,Database!$B$1:$IX$10144,Y$22,FALSE)))</f>
        <v>DSM-IV</v>
      </c>
      <c r="Z60" s="22" t="str">
        <f>IF(OR($B60="",Z$22=""),"",IF(LEN(VLOOKUP($B60,Database!$B$1:$IX$10144,Z$22,FALSE))=0,"",VLOOKUP($B60,Database!$B$1:$IX$10144,Z$22,FALSE)))</f>
        <v>MRI</v>
      </c>
      <c r="AA60" s="83" t="s">
        <v>754</v>
      </c>
      <c r="AB60" s="83">
        <v>36.5</v>
      </c>
      <c r="AC60" s="83">
        <v>13.2</v>
      </c>
      <c r="AD60" s="22">
        <f>IF(OR($B60="",AD$22=""),"",IF(LEN(VLOOKUP($B60,Database!$B$1:$IX$10144,AD$22,FALSE))=0,"",VLOOKUP($B60,Database!$B$1:$IX$10144,AD$22,FALSE)))</f>
        <v>32.200000000000003</v>
      </c>
      <c r="AE60" s="22">
        <f>IF(OR($B60="",AE$22=""),"",IF(LEN(VLOOKUP($B60,Database!$B$1:$IX$10144,AE$22,FALSE))=0,"",VLOOKUP($B60,Database!$B$1:$IX$10144,AE$22,FALSE)))</f>
        <v>11.5</v>
      </c>
      <c r="AF60" s="83">
        <v>11</v>
      </c>
      <c r="AG60" s="22">
        <f>IF(OR($B60="",AG$22=""),"",IF(LEN(VLOOKUP($B60,Database!$B$1:$IX$10144,AG$22,FALSE))=0,"",VLOOKUP($B60,Database!$B$1:$IX$10144,AG$22,FALSE)))</f>
        <v>11</v>
      </c>
      <c r="AH60" s="22">
        <f>IF(OR($B60="",AH$22=""),"",IF(LEN(VLOOKUP($B60,Database!$B$1:$IX$10144,AH$22,FALSE))=0,"",VLOOKUP($B60,Database!$B$1:$IX$10144,AH$22,FALSE)))</f>
        <v>3</v>
      </c>
      <c r="AI60" s="22">
        <f>IF(OR($B60="",AI$22=""),"",IF(LEN(VLOOKUP($B60,Database!$B$1:$IX$10144,AI$22,FALSE))=0,"",VLOOKUP($B60,Database!$B$1:$IX$10144,AI$22,FALSE)))</f>
        <v>1.5</v>
      </c>
      <c r="AJ60" s="83"/>
      <c r="AK60" s="83">
        <v>27.6</v>
      </c>
      <c r="AL60" s="83">
        <v>30.5</v>
      </c>
      <c r="AM60" s="83">
        <v>65.2</v>
      </c>
      <c r="AN60" s="83">
        <v>17.39</v>
      </c>
      <c r="AO60" s="83">
        <v>70</v>
      </c>
      <c r="AP60" s="83">
        <v>17.399999999999999</v>
      </c>
      <c r="AQ60" s="22" t="str">
        <f>IF(OR($B60="",AQ$22=""),"",IF(LEN(VLOOKUP($B60,Database!$B$1:$IX$10144,AQ$22,FALSE))=0,"",VLOOKUP($B60,Database!$B$1:$IX$10144,AQ$22,FALSE)))</f>
        <v>Keller J, Shen L, Gomez RG, Garrett A, Solvason HB, Reiss A, Schatzberg AF.</v>
      </c>
      <c r="AR60" s="13"/>
      <c r="AU60" s="13"/>
      <c r="AX60" s="13"/>
      <c r="AY60" s="13"/>
      <c r="AZ60" s="13"/>
      <c r="BA60" s="13"/>
      <c r="BC60" s="23"/>
      <c r="BF60" s="136"/>
      <c r="BG60" s="136"/>
      <c r="BH60" s="136"/>
      <c r="BI60" s="136"/>
    </row>
    <row r="61" spans="1:61">
      <c r="B61">
        <v>18450931</v>
      </c>
      <c r="C61" s="1" t="str">
        <f>IF($B61="","",HYPERLINK(IF(LEN(VLOOKUP($B61,Database!$B$1:$IX$10144,2,FALSE))=0,"",VLOOKUP($B61,Database!$B$1:$IX$10144,2,FALSE))))</f>
        <v/>
      </c>
      <c r="D61" s="1" t="str">
        <f t="shared" si="2"/>
        <v>http://www.ncbi.nlm.nih.gov/pubmed/18450931</v>
      </c>
      <c r="E61" s="22" t="str">
        <f>IF($B61="","",IF(LEN(VLOOKUP($B61,Database!$B$1:$IX$10144,4,FALSE))=0,"",VLOOKUP($B61,Database!$B$1:$IX$10144,4,FALSE)))</f>
        <v>Keller J</v>
      </c>
      <c r="F61" s="22">
        <f>IF($B61="","",IF(LEN(VLOOKUP($B61,Database!$B$1:$IX$10144,5,FALSE))=0,"",VLOOKUP($B61,Database!$B$1:$IX$10144,5,FALSE)))</f>
        <v>2008</v>
      </c>
      <c r="G61" s="1" t="str">
        <f>IF($B61="","",HYPERLINK(IF(LEN(VLOOKUP($B61,Database!$B$1:$IX$10144,6,FALSE))=0,"",VLOOKUP($B61,Database!$B$1:$IX$10144,6,FALSE))))</f>
        <v>http://ajp.psychiatryonline.org/cgi/content/full/165/7/872</v>
      </c>
      <c r="H61" s="83">
        <v>19</v>
      </c>
      <c r="I61" s="83">
        <v>11</v>
      </c>
      <c r="J61" t="s">
        <v>1378</v>
      </c>
      <c r="K61" t="s">
        <v>1000</v>
      </c>
      <c r="L61">
        <v>3.85</v>
      </c>
      <c r="M61">
        <v>0.3</v>
      </c>
      <c r="N61">
        <v>3.78</v>
      </c>
      <c r="O61">
        <v>0.49</v>
      </c>
      <c r="P61">
        <v>4.09</v>
      </c>
      <c r="Q61">
        <v>0.41</v>
      </c>
      <c r="R61">
        <v>3.89</v>
      </c>
      <c r="S61">
        <v>0.46</v>
      </c>
      <c r="T61">
        <f t="shared" si="3"/>
        <v>7.9399999999999995</v>
      </c>
      <c r="U61">
        <f t="shared" si="4"/>
        <v>0.67446274915668991</v>
      </c>
      <c r="V61">
        <f t="shared" si="5"/>
        <v>7.67</v>
      </c>
      <c r="W61">
        <f t="shared" si="6"/>
        <v>0.90129906246484026</v>
      </c>
      <c r="Y61" s="22" t="str">
        <f>IF(OR($B61="",Y$22=""),"",IF(LEN(VLOOKUP($B61,Database!$B$1:$IX$10144,Y$22,FALSE))=0,"",VLOOKUP($B61,Database!$B$1:$IX$10144,Y$22,FALSE)))</f>
        <v>DSM-IV</v>
      </c>
      <c r="Z61" s="22" t="str">
        <f>IF(OR($B61="",Z$22=""),"",IF(LEN(VLOOKUP($B61,Database!$B$1:$IX$10144,Z$22,FALSE))=0,"",VLOOKUP($B61,Database!$B$1:$IX$10144,Z$22,FALSE)))</f>
        <v>MRI</v>
      </c>
      <c r="AA61" s="83" t="s">
        <v>755</v>
      </c>
      <c r="AB61" s="83">
        <v>36.6</v>
      </c>
      <c r="AC61" s="83">
        <v>11.9</v>
      </c>
      <c r="AD61" s="22">
        <f>IF(OR($B61="",AD$22=""),"",IF(LEN(VLOOKUP($B61,Database!$B$1:$IX$10144,AD$22,FALSE))=0,"",VLOOKUP($B61,Database!$B$1:$IX$10144,AD$22,FALSE)))</f>
        <v>32.200000000000003</v>
      </c>
      <c r="AE61" s="22">
        <f>IF(OR($B61="",AE$22=""),"",IF(LEN(VLOOKUP($B61,Database!$B$1:$IX$10144,AE$22,FALSE))=0,"",VLOOKUP($B61,Database!$B$1:$IX$10144,AE$22,FALSE)))</f>
        <v>11.5</v>
      </c>
      <c r="AF61" s="83">
        <v>12</v>
      </c>
      <c r="AG61" s="22">
        <f>IF(OR($B61="",AG$22=""),"",IF(LEN(VLOOKUP($B61,Database!$B$1:$IX$10144,AG$22,FALSE))=0,"",VLOOKUP($B61,Database!$B$1:$IX$10144,AG$22,FALSE)))</f>
        <v>11</v>
      </c>
      <c r="AH61" s="22">
        <f>IF(OR($B61="",AH$22=""),"",IF(LEN(VLOOKUP($B61,Database!$B$1:$IX$10144,AH$22,FALSE))=0,"",VLOOKUP($B61,Database!$B$1:$IX$10144,AH$22,FALSE)))</f>
        <v>3</v>
      </c>
      <c r="AI61" s="22">
        <f>IF(OR($B61="",AI$22=""),"",IF(LEN(VLOOKUP($B61,Database!$B$1:$IX$10144,AI$22,FALSE))=0,"",VLOOKUP($B61,Database!$B$1:$IX$10144,AI$22,FALSE)))</f>
        <v>1.5</v>
      </c>
      <c r="AJ61" s="83"/>
      <c r="AK61" s="83">
        <v>27</v>
      </c>
      <c r="AL61" s="83">
        <v>23.7</v>
      </c>
      <c r="AM61" s="83">
        <v>57.9</v>
      </c>
      <c r="AN61" s="83">
        <v>10.5</v>
      </c>
      <c r="AO61" s="83">
        <v>0</v>
      </c>
      <c r="AP61" s="83">
        <v>42.1</v>
      </c>
      <c r="AQ61" s="22" t="str">
        <f>IF(OR($B61="",AQ$22=""),"",IF(LEN(VLOOKUP($B61,Database!$B$1:$IX$10144,AQ$22,FALSE))=0,"",VLOOKUP($B61,Database!$B$1:$IX$10144,AQ$22,FALSE)))</f>
        <v>Keller J, Shen L, Gomez RG, Garrett A, Solvason HB, Reiss A, Schatzberg AF.</v>
      </c>
      <c r="AR61" s="13"/>
      <c r="AU61" s="13"/>
      <c r="AX61" s="13"/>
      <c r="AY61" s="13"/>
      <c r="AZ61" s="13"/>
      <c r="BA61" s="13"/>
      <c r="BC61" s="23"/>
      <c r="BF61" s="136"/>
      <c r="BG61" s="136"/>
      <c r="BH61" s="136"/>
      <c r="BI61" s="136"/>
    </row>
    <row r="62" spans="1:61">
      <c r="A62" t="s">
        <v>2112</v>
      </c>
      <c r="B62">
        <v>17640621</v>
      </c>
      <c r="C62" s="1" t="str">
        <f>IF($B62="","",HYPERLINK(IF(LEN(VLOOKUP($B62,Database!$B$1:$IX$10144,2,FALSE))=0,"",VLOOKUP($B62,Database!$B$1:$IX$10144,2,FALSE))))</f>
        <v/>
      </c>
      <c r="D62" s="1" t="str">
        <f t="shared" si="2"/>
        <v>http://www.ncbi.nlm.nih.gov/pubmed/17640621</v>
      </c>
      <c r="E62" s="22" t="str">
        <f>IF($B62="","",IF(LEN(VLOOKUP($B62,Database!$B$1:$IX$10144,4,FALSE))=0,"",VLOOKUP($B62,Database!$B$1:$IX$10144,4,FALSE)))</f>
        <v>MacMaster FP (B)</v>
      </c>
      <c r="F62" s="22">
        <f>IF($B62="","",IF(LEN(VLOOKUP($B62,Database!$B$1:$IX$10144,5,FALSE))=0,"",VLOOKUP($B62,Database!$B$1:$IX$10144,5,FALSE)))</f>
        <v>2008</v>
      </c>
      <c r="G62" s="1" t="str">
        <f>IF($B62="","",HYPERLINK(IF(LEN(VLOOKUP($B62,Database!$B$1:$IX$10144,6,FALSE))=0,"",VLOOKUP($B62,Database!$B$1:$IX$10144,6,FALSE))))</f>
        <v>http://dx.doi.org/10.1016/j.biopsych.2007.05.005</v>
      </c>
      <c r="H62" s="83">
        <v>16</v>
      </c>
      <c r="I62" s="83">
        <v>17</v>
      </c>
      <c r="J62" t="s">
        <v>877</v>
      </c>
      <c r="K62" t="s">
        <v>634</v>
      </c>
      <c r="L62">
        <v>2.76</v>
      </c>
      <c r="M62">
        <v>0.27</v>
      </c>
      <c r="N62">
        <v>3.06</v>
      </c>
      <c r="O62">
        <v>0.49</v>
      </c>
      <c r="P62">
        <v>2.84</v>
      </c>
      <c r="Q62">
        <v>0.46</v>
      </c>
      <c r="R62">
        <v>2.99</v>
      </c>
      <c r="S62">
        <v>0.27</v>
      </c>
      <c r="T62">
        <f t="shared" si="3"/>
        <v>5.6</v>
      </c>
      <c r="U62">
        <f t="shared" si="4"/>
        <v>0.69514027361389452</v>
      </c>
      <c r="V62">
        <f t="shared" si="5"/>
        <v>6.0500000000000007</v>
      </c>
      <c r="W62">
        <f t="shared" si="6"/>
        <v>0.72434798267131251</v>
      </c>
      <c r="Y62" s="22" t="str">
        <f>IF(OR($B62="",Y$22=""),"",IF(LEN(VLOOKUP($B62,Database!$B$1:$IX$10144,Y$22,FALSE))=0,"",VLOOKUP($B62,Database!$B$1:$IX$10144,Y$22,FALSE)))</f>
        <v>DSM-IV</v>
      </c>
      <c r="Z62" s="22" t="str">
        <f>IF(OR($B62="",Z$22=""),"",IF(LEN(VLOOKUP($B62,Database!$B$1:$IX$10144,Z$22,FALSE))=0,"",VLOOKUP($B62,Database!$B$1:$IX$10144,Z$22,FALSE)))</f>
        <v>MRI</v>
      </c>
      <c r="AA62" s="22" t="str">
        <f>IF(OR($B62="",AA$22=""),"",IF(LEN(VLOOKUP($B62,Database!$B$1:$IX$10144,AA$22,FALSE))=0,"",VLOOKUP($B62,Database!$B$1:$IX$10144,AA$22,FALSE)))</f>
        <v/>
      </c>
      <c r="AB62" s="22">
        <f>IF(OR($B62="",AB$22=""),"",IF(LEN(VLOOKUP($B62,Database!$B$1:$IX$10144,AB$22,FALSE))=0,"",VLOOKUP($B62,Database!$B$1:$IX$10144,AB$22,FALSE)))</f>
        <v>14.08</v>
      </c>
      <c r="AC62" s="22">
        <f>IF(OR($B62="",AC$22=""),"",IF(LEN(VLOOKUP($B62,Database!$B$1:$IX$10144,AC$22,FALSE))=0,"",VLOOKUP($B62,Database!$B$1:$IX$10144,AC$22,FALSE)))</f>
        <v>2.88</v>
      </c>
      <c r="AD62" s="22">
        <f>IF(OR($B62="",AD$22=""),"",IF(LEN(VLOOKUP($B62,Database!$B$1:$IX$10144,AD$22,FALSE))=0,"",VLOOKUP($B62,Database!$B$1:$IX$10144,AD$22,FALSE)))</f>
        <v>14.51</v>
      </c>
      <c r="AE62" s="22">
        <f>IF(OR($B62="",AE$22=""),"",IF(LEN(VLOOKUP($B62,Database!$B$1:$IX$10144,AE$22,FALSE))=0,"",VLOOKUP($B62,Database!$B$1:$IX$10144,AE$22,FALSE)))</f>
        <v>2.72</v>
      </c>
      <c r="AF62" s="214">
        <v>9</v>
      </c>
      <c r="AG62" s="22">
        <f>IF(OR($B62="",AG$22=""),"",IF(LEN(VLOOKUP($B62,Database!$B$1:$IX$10144,AG$22,FALSE))=0,"",VLOOKUP($B62,Database!$B$1:$IX$10144,AG$22,FALSE)))</f>
        <v>22</v>
      </c>
      <c r="AH62" s="22">
        <f>IF(OR($B62="",AH$22=""),"",IF(LEN(VLOOKUP($B62,Database!$B$1:$IX$10144,AH$22,FALSE))=0,"",VLOOKUP($B62,Database!$B$1:$IX$10144,AH$22,FALSE)))</f>
        <v>1.5</v>
      </c>
      <c r="AI62" s="22">
        <f>IF(OR($B62="",AI$22=""),"",IF(LEN(VLOOKUP($B62,Database!$B$1:$IX$10144,AI$22,FALSE))=0,"",VLOOKUP($B62,Database!$B$1:$IX$10144,AI$22,FALSE)))</f>
        <v>1.5</v>
      </c>
      <c r="AJ62" s="22" t="str">
        <f>IF(OR($B62="",AJ$22=""),"",IF(LEN(VLOOKUP($B62,Database!$B$1:$IX$10144,AJ$22,FALSE))=0,"",VLOOKUP($B62,Database!$B$1:$IX$10144,AJ$22,FALSE)))</f>
        <v/>
      </c>
      <c r="AK62" s="22">
        <f>IF(OR($B62="",AK$22=""),"",IF(LEN(VLOOKUP($B62,Database!$B$1:$IX$10144,AK$22,FALSE))=0,"",VLOOKUP($B62,Database!$B$1:$IX$10144,AK$22,FALSE)))</f>
        <v>11.77</v>
      </c>
      <c r="AL62" s="22" t="str">
        <f>IF(OR($B62="",AL$22=""),"",IF(LEN(VLOOKUP($B62,Database!$B$1:$IX$10144,AL$22,FALSE))=0,"",VLOOKUP($B62,Database!$B$1:$IX$10144,AL$22,FALSE)))</f>
        <v>ns</v>
      </c>
      <c r="AM62" s="22">
        <f>IF(OR($B62="",AM$22=""),"",IF(LEN(VLOOKUP($B62,Database!$B$1:$IX$10144,AM$22,FALSE))=0,"",VLOOKUP($B62,Database!$B$1:$IX$10144,AM$22,FALSE)))</f>
        <v>0</v>
      </c>
      <c r="AN62" s="22">
        <f>IF(OR($B62="",AN$22=""),"",IF(LEN(VLOOKUP($B62,Database!$B$1:$IX$10144,AN$22,FALSE))=0,"",VLOOKUP($B62,Database!$B$1:$IX$10144,AN$22,FALSE)))</f>
        <v>0</v>
      </c>
      <c r="AO62" s="22">
        <f>IF(OR($B62="",AO$22=""),"",IF(LEN(VLOOKUP($B62,Database!$B$1:$IX$10144,AO$22,FALSE))=0,"",VLOOKUP($B62,Database!$B$1:$IX$10144,AO$22,FALSE)))</f>
        <v>0</v>
      </c>
      <c r="AP62" s="22">
        <f>IF(OR($B62="",AP$22=""),"",IF(LEN(VLOOKUP($B62,Database!$B$1:$IX$10144,AP$22,FALSE))=0,"",VLOOKUP($B62,Database!$B$1:$IX$10144,AP$22,FALSE)))</f>
        <v>100</v>
      </c>
      <c r="AQ62" s="22" t="str">
        <f>IF(OR($B62="",AQ$22=""),"",IF(LEN(VLOOKUP($B62,Database!$B$1:$IX$10144,AQ$22,FALSE))=0,"",VLOOKUP($B62,Database!$B$1:$IX$10144,AQ$22,FALSE)))</f>
        <v>MacMaster FP, Mirza Y, Szeszko PR, Kmiecik LE, Easter PC, Taormina SP, Lynch M, Rose M, Moore GJ, Rosenberg DR.</v>
      </c>
      <c r="AR62" s="13"/>
      <c r="AX62" s="13"/>
      <c r="AY62" s="13"/>
      <c r="AZ62" s="13"/>
      <c r="BA62" s="13"/>
      <c r="BC62" s="23"/>
      <c r="BF62" s="136"/>
      <c r="BG62" s="136"/>
      <c r="BH62" s="136"/>
      <c r="BI62" s="136"/>
    </row>
    <row r="63" spans="1:61">
      <c r="B63">
        <v>18414838</v>
      </c>
      <c r="C63" s="1" t="str">
        <f>IF($B63="","",HYPERLINK(IF(LEN(VLOOKUP($B63,Database!$B$1:$IX$10144,2,FALSE))=0,"",VLOOKUP($B63,Database!$B$1:$IX$10144,2,FALSE))))</f>
        <v/>
      </c>
      <c r="D63" s="1" t="str">
        <f t="shared" si="2"/>
        <v>http://www.ncbi.nlm.nih.gov/pubmed/18414838</v>
      </c>
      <c r="E63" s="22" t="str">
        <f>IF($B63="","",IF(LEN(VLOOKUP($B63,Database!$B$1:$IX$10144,4,FALSE))=0,"",VLOOKUP($B63,Database!$B$1:$IX$10144,4,FALSE)))</f>
        <v>Tae WS</v>
      </c>
      <c r="F63" s="22">
        <f>IF($B63="","",IF(LEN(VLOOKUP($B63,Database!$B$1:$IX$10144,5,FALSE))=0,"",VLOOKUP($B63,Database!$B$1:$IX$10144,5,FALSE)))</f>
        <v>2008</v>
      </c>
      <c r="G63" s="1" t="str">
        <f>IF($B63="","",HYPERLINK(IF(LEN(VLOOKUP($B63,Database!$B$1:$IX$10144,6,FALSE))=0,"",VLOOKUP($B63,Database!$B$1:$IX$10144,6,FALSE))))</f>
        <v>http://dx.doi.org/10.1007/s00234-008-0383-9</v>
      </c>
      <c r="H63" s="22">
        <f>IF($B63="","",IF(LEN(VLOOKUP($B63,Database!$B$1:$IX$10144,7,FALSE))=0,"",VLOOKUP($B63,Database!$B$1:$IX$10144,7,FALSE)))</f>
        <v>21</v>
      </c>
      <c r="I63" s="22">
        <f>IF($B63="","",IF(LEN(VLOOKUP($B63,Database!$B$1:$IX$10144,8,FALSE))=0,"",VLOOKUP($B63,Database!$B$1:$IX$10144,8,FALSE)))</f>
        <v>20</v>
      </c>
      <c r="J63" t="s">
        <v>643</v>
      </c>
      <c r="L63">
        <v>2589.3000000000002</v>
      </c>
      <c r="M63">
        <v>377.24</v>
      </c>
      <c r="N63">
        <v>2811.1</v>
      </c>
      <c r="O63">
        <v>226.51</v>
      </c>
      <c r="P63">
        <v>2658.5</v>
      </c>
      <c r="Q63">
        <v>412.31</v>
      </c>
      <c r="R63">
        <v>2871.9</v>
      </c>
      <c r="S63">
        <v>278.20999999999998</v>
      </c>
      <c r="T63">
        <f t="shared" si="3"/>
        <v>5247.8</v>
      </c>
      <c r="U63">
        <f t="shared" si="4"/>
        <v>749.11499300174205</v>
      </c>
      <c r="V63">
        <f t="shared" si="5"/>
        <v>5683</v>
      </c>
      <c r="W63">
        <f t="shared" si="6"/>
        <v>479.09846541186079</v>
      </c>
      <c r="Y63" s="22" t="str">
        <f>IF(OR($B63="",Y$22=""),"",IF(LEN(VLOOKUP($B63,Database!$B$1:$IX$10144,Y$22,FALSE))=0,"",VLOOKUP($B63,Database!$B$1:$IX$10144,Y$22,FALSE)))</f>
        <v>DSM-IV</v>
      </c>
      <c r="Z63" s="22" t="str">
        <f>IF(OR($B63="",Z$22=""),"",IF(LEN(VLOOKUP($B63,Database!$B$1:$IX$10144,Z$22,FALSE))=0,"",VLOOKUP($B63,Database!$B$1:$IX$10144,Z$22,FALSE)))</f>
        <v>MRI</v>
      </c>
      <c r="AA63" s="22" t="str">
        <f>IF(OR($B63="",AA$22=""),"",IF(LEN(VLOOKUP($B63,Database!$B$1:$IX$10144,AA$22,FALSE))=0,"",VLOOKUP($B63,Database!$B$1:$IX$10144,AA$22,FALSE)))</f>
        <v/>
      </c>
      <c r="AB63" s="22">
        <f>IF(OR($B63="",AB$22=""),"",IF(LEN(VLOOKUP($B63,Database!$B$1:$IX$10144,AB$22,FALSE))=0,"",VLOOKUP($B63,Database!$B$1:$IX$10144,AB$22,FALSE)))</f>
        <v>41.7</v>
      </c>
      <c r="AC63" s="22">
        <f>IF(OR($B63="",AC$22=""),"",IF(LEN(VLOOKUP($B63,Database!$B$1:$IX$10144,AC$22,FALSE))=0,"",VLOOKUP($B63,Database!$B$1:$IX$10144,AC$22,FALSE)))</f>
        <v>11</v>
      </c>
      <c r="AD63" s="22">
        <f>IF(OR($B63="",AD$22=""),"",IF(LEN(VLOOKUP($B63,Database!$B$1:$IX$10144,AD$22,FALSE))=0,"",VLOOKUP($B63,Database!$B$1:$IX$10144,AD$22,FALSE)))</f>
        <v>41.9</v>
      </c>
      <c r="AE63" s="22">
        <f>IF(OR($B63="",AE$22=""),"",IF(LEN(VLOOKUP($B63,Database!$B$1:$IX$10144,AE$22,FALSE))=0,"",VLOOKUP($B63,Database!$B$1:$IX$10144,AE$22,FALSE)))</f>
        <v>10.26</v>
      </c>
      <c r="AF63" s="22">
        <f>IF(OR($B63="",AF$22=""),"",IF(LEN(VLOOKUP($B63,Database!$B$1:$IX$10144,AF$22,FALSE))=0,"",VLOOKUP($B63,Database!$B$1:$IX$10144,AF$22,FALSE)))</f>
        <v>21</v>
      </c>
      <c r="AG63" s="22">
        <f>IF(OR($B63="",AG$22=""),"",IF(LEN(VLOOKUP($B63,Database!$B$1:$IX$10144,AG$22,FALSE))=0,"",VLOOKUP($B63,Database!$B$1:$IX$10144,AG$22,FALSE)))</f>
        <v>20</v>
      </c>
      <c r="AH63" s="22">
        <f>IF(OR($B63="",AH$22=""),"",IF(LEN(VLOOKUP($B63,Database!$B$1:$IX$10144,AH$22,FALSE))=0,"",VLOOKUP($B63,Database!$B$1:$IX$10144,AH$22,FALSE)))</f>
        <v>1.5</v>
      </c>
      <c r="AI63" s="22">
        <f>IF(OR($B63="",AI$22=""),"",IF(LEN(VLOOKUP($B63,Database!$B$1:$IX$10144,AI$22,FALSE))=0,"",VLOOKUP($B63,Database!$B$1:$IX$10144,AI$22,FALSE)))</f>
        <v>1.3</v>
      </c>
      <c r="AJ63" s="22" t="str">
        <f>IF(OR($B63="",AJ$22=""),"",IF(LEN(VLOOKUP($B63,Database!$B$1:$IX$10144,AJ$22,FALSE))=0,"",VLOOKUP($B63,Database!$B$1:$IX$10144,AJ$22,FALSE)))</f>
        <v/>
      </c>
      <c r="AK63" s="22">
        <f>IF(OR($B63="",AK$22=""),"",IF(LEN(VLOOKUP($B63,Database!$B$1:$IX$10144,AK$22,FALSE))=0,"",VLOOKUP($B63,Database!$B$1:$IX$10144,AK$22,FALSE)))</f>
        <v>33.200000000000003</v>
      </c>
      <c r="AL63" s="22" t="str">
        <f>IF(OR($B63="",AL$22=""),"",IF(LEN(VLOOKUP($B63,Database!$B$1:$IX$10144,AL$22,FALSE))=0,"",VLOOKUP($B63,Database!$B$1:$IX$10144,AL$22,FALSE)))</f>
        <v>ns</v>
      </c>
      <c r="AM63" s="22">
        <f>IF(OR($B63="",AM$22=""),"",IF(LEN(VLOOKUP($B63,Database!$B$1:$IX$10144,AM$22,FALSE))=0,"",VLOOKUP($B63,Database!$B$1:$IX$10144,AM$22,FALSE)))</f>
        <v>100</v>
      </c>
      <c r="AN63" s="22">
        <f>IF(OR($B63="",AN$22=""),"",IF(LEN(VLOOKUP($B63,Database!$B$1:$IX$10144,AN$22,FALSE))=0,"",VLOOKUP($B63,Database!$B$1:$IX$10144,AN$22,FALSE)))</f>
        <v>0</v>
      </c>
      <c r="AO63" s="22">
        <f>IF(OR($B63="",AO$22=""),"",IF(LEN(VLOOKUP($B63,Database!$B$1:$IX$10144,AO$22,FALSE))=0,"",VLOOKUP($B63,Database!$B$1:$IX$10144,AO$22,FALSE)))</f>
        <v>0</v>
      </c>
      <c r="AP63" s="22">
        <f>IF(OR($B63="",AP$22=""),"",IF(LEN(VLOOKUP($B63,Database!$B$1:$IX$10144,AP$22,FALSE))=0,"",VLOOKUP($B63,Database!$B$1:$IX$10144,AP$22,FALSE)))</f>
        <v>0</v>
      </c>
      <c r="AQ63" s="22" t="str">
        <f>IF(OR($B63="",AQ$22=""),"",IF(LEN(VLOOKUP($B63,Database!$B$1:$IX$10144,AQ$22,FALSE))=0,"",VLOOKUP($B63,Database!$B$1:$IX$10144,AQ$22,FALSE)))</f>
        <v>Tae WS, Kim SS, Lee KU, Nam EC, Kim KW.</v>
      </c>
      <c r="AR63" s="13"/>
      <c r="AX63" s="13"/>
      <c r="AY63" s="13"/>
      <c r="AZ63" s="13"/>
      <c r="BA63" s="13"/>
      <c r="BC63" s="23"/>
      <c r="BF63" s="136"/>
      <c r="BG63" s="136"/>
      <c r="BH63" s="136"/>
      <c r="BI63" s="136"/>
    </row>
    <row r="64" spans="1:61">
      <c r="B64">
        <v>19071222</v>
      </c>
      <c r="C64" s="1" t="str">
        <f>IF($B64="","",HYPERLINK(IF(LEN(VLOOKUP($B64,Database!$B$1:$IX$10144,2,FALSE))=0,"",VLOOKUP($B64,Database!$B$1:$IX$10144,2,FALSE))))</f>
        <v/>
      </c>
      <c r="D64" s="1" t="str">
        <f t="shared" si="2"/>
        <v>http://www.ncbi.nlm.nih.gov/pubmed/19071222</v>
      </c>
      <c r="E64" s="22" t="str">
        <f>IF($B64="","",IF(LEN(VLOOKUP($B64,Database!$B$1:$IX$10144,4,FALSE))=0,"",VLOOKUP($B64,Database!$B$1:$IX$10144,4,FALSE)))</f>
        <v>Bergouignan L</v>
      </c>
      <c r="F64" s="22">
        <f>IF($B64="","",IF(LEN(VLOOKUP($B64,Database!$B$1:$IX$10144,5,FALSE))=0,"",VLOOKUP($B64,Database!$B$1:$IX$10144,5,FALSE)))</f>
        <v>2009</v>
      </c>
      <c r="G64" s="1" t="str">
        <f>IF($B64="","",HYPERLINK(IF(LEN(VLOOKUP($B64,Database!$B$1:$IX$10144,6,FALSE))=0,"",VLOOKUP($B64,Database!$B$1:$IX$10144,6,FALSE))))</f>
        <v>http://dx.doi.org/10.1016/j.neuroimage.2008.11.006</v>
      </c>
      <c r="H64" s="22">
        <f>IF($B64="","",IF(LEN(VLOOKUP($B64,Database!$B$1:$IX$10144,7,FALSE))=0,"",VLOOKUP($B64,Database!$B$1:$IX$10144,7,FALSE)))</f>
        <v>21</v>
      </c>
      <c r="I64" s="22">
        <f>IF($B64="","",IF(LEN(VLOOKUP($B64,Database!$B$1:$IX$10144,8,FALSE))=0,"",VLOOKUP($B64,Database!$B$1:$IX$10144,8,FALSE)))</f>
        <v>21</v>
      </c>
      <c r="J64" t="s">
        <v>651</v>
      </c>
      <c r="L64">
        <v>3.95</v>
      </c>
      <c r="M64">
        <v>0.75</v>
      </c>
      <c r="N64">
        <v>4.42</v>
      </c>
      <c r="O64">
        <v>1.04</v>
      </c>
      <c r="P64">
        <v>3.93</v>
      </c>
      <c r="Q64">
        <v>0.8</v>
      </c>
      <c r="R64">
        <v>4.5</v>
      </c>
      <c r="S64">
        <v>1.06</v>
      </c>
      <c r="T64">
        <f t="shared" si="3"/>
        <v>7.8800000000000008</v>
      </c>
      <c r="U64">
        <f t="shared" si="4"/>
        <v>1.4705441169852744</v>
      </c>
      <c r="V64">
        <f t="shared" si="5"/>
        <v>8.92</v>
      </c>
      <c r="W64">
        <f t="shared" si="6"/>
        <v>1.9922449648574847</v>
      </c>
      <c r="Y64" s="22" t="str">
        <f>IF(OR($B64="",Y$22=""),"",IF(LEN(VLOOKUP($B64,Database!$B$1:$IX$10144,Y$22,FALSE))=0,"",VLOOKUP($B64,Database!$B$1:$IX$10144,Y$22,FALSE)))</f>
        <v>DSM-IV</v>
      </c>
      <c r="Z64" s="22" t="str">
        <f>IF(OR($B64="",Z$22=""),"",IF(LEN(VLOOKUP($B64,Database!$B$1:$IX$10144,Z$22,FALSE))=0,"",VLOOKUP($B64,Database!$B$1:$IX$10144,Z$22,FALSE)))</f>
        <v>MRI</v>
      </c>
      <c r="AA64" s="22" t="str">
        <f>IF(OR($B64="",AA$22=""),"",IF(LEN(VLOOKUP($B64,Database!$B$1:$IX$10144,AA$22,FALSE))=0,"",VLOOKUP($B64,Database!$B$1:$IX$10144,AA$22,FALSE)))</f>
        <v/>
      </c>
      <c r="AB64" s="22">
        <f>IF(OR($B64="",AB$22=""),"",IF(LEN(VLOOKUP($B64,Database!$B$1:$IX$10144,AB$22,FALSE))=0,"",VLOOKUP($B64,Database!$B$1:$IX$10144,AB$22,FALSE)))</f>
        <v>33.159999999999997</v>
      </c>
      <c r="AC64" s="22">
        <f>IF(OR($B64="",AC$22=""),"",IF(LEN(VLOOKUP($B64,Database!$B$1:$IX$10144,AC$22,FALSE))=0,"",VLOOKUP($B64,Database!$B$1:$IX$10144,AC$22,FALSE)))</f>
        <v>9.58</v>
      </c>
      <c r="AD64" s="22">
        <f>IF(OR($B64="",AD$22=""),"",IF(LEN(VLOOKUP($B64,Database!$B$1:$IX$10144,AD$22,FALSE))=0,"",VLOOKUP($B64,Database!$B$1:$IX$10144,AD$22,FALSE)))</f>
        <v>28.21</v>
      </c>
      <c r="AE64" s="22">
        <f>IF(OR($B64="",AE$22=""),"",IF(LEN(VLOOKUP($B64,Database!$B$1:$IX$10144,AE$22,FALSE))=0,"",VLOOKUP($B64,Database!$B$1:$IX$10144,AE$22,FALSE)))</f>
        <v>5.5</v>
      </c>
      <c r="AF64" s="22">
        <f>IF(OR($B64="",AF$22=""),"",IF(LEN(VLOOKUP($B64,Database!$B$1:$IX$10144,AF$22,FALSE))=0,"",VLOOKUP($B64,Database!$B$1:$IX$10144,AF$22,FALSE)))</f>
        <v>17</v>
      </c>
      <c r="AG64" s="22">
        <f>IF(OR($B64="",AG$22=""),"",IF(LEN(VLOOKUP($B64,Database!$B$1:$IX$10144,AG$22,FALSE))=0,"",VLOOKUP($B64,Database!$B$1:$IX$10144,AG$22,FALSE)))</f>
        <v>14</v>
      </c>
      <c r="AH64" s="22">
        <f>IF(OR($B64="",AH$22=""),"",IF(LEN(VLOOKUP($B64,Database!$B$1:$IX$10144,AH$22,FALSE))=0,"",VLOOKUP($B64,Database!$B$1:$IX$10144,AH$22,FALSE)))</f>
        <v>1.5</v>
      </c>
      <c r="AI64" s="22">
        <f>IF(OR($B64="",AI$22=""),"",IF(LEN(VLOOKUP($B64,Database!$B$1:$IX$10144,AI$22,FALSE))=0,"",VLOOKUP($B64,Database!$B$1:$IX$10144,AI$22,FALSE)))</f>
        <v>1.5</v>
      </c>
      <c r="AJ64" s="22" t="str">
        <f>IF(OR($B64="",AJ$22=""),"",IF(LEN(VLOOKUP($B64,Database!$B$1:$IX$10144,AJ$22,FALSE))=0,"",VLOOKUP($B64,Database!$B$1:$IX$10144,AJ$22,FALSE)))</f>
        <v/>
      </c>
      <c r="AK64" s="22">
        <f>IF(OR($B64="",AK$22=""),"",IF(LEN(VLOOKUP($B64,Database!$B$1:$IX$10144,AK$22,FALSE))=0,"",VLOOKUP($B64,Database!$B$1:$IX$10144,AK$22,FALSE)))</f>
        <v>23.8</v>
      </c>
      <c r="AL64" s="22" t="str">
        <f>IF(OR($B64="",AL$22=""),"",IF(LEN(VLOOKUP($B64,Database!$B$1:$IX$10144,AL$22,FALSE))=0,"",VLOOKUP($B64,Database!$B$1:$IX$10144,AL$22,FALSE)))</f>
        <v>ns</v>
      </c>
      <c r="AM64" s="22">
        <f>IF(OR($B64="",AM$22=""),"",IF(LEN(VLOOKUP($B64,Database!$B$1:$IX$10144,AM$22,FALSE))=0,"",VLOOKUP($B64,Database!$B$1:$IX$10144,AM$22,FALSE)))</f>
        <v>100</v>
      </c>
      <c r="AN64" s="22" t="str">
        <f>IF(OR($B64="",AN$22=""),"",IF(LEN(VLOOKUP($B64,Database!$B$1:$IX$10144,AN$22,FALSE))=0,"",VLOOKUP($B64,Database!$B$1:$IX$10144,AN$22,FALSE)))</f>
        <v>ns</v>
      </c>
      <c r="AO64" s="22" t="str">
        <f>IF(OR($B64="",AO$22=""),"",IF(LEN(VLOOKUP($B64,Database!$B$1:$IX$10144,AO$22,FALSE))=0,"",VLOOKUP($B64,Database!$B$1:$IX$10144,AO$22,FALSE)))</f>
        <v>ns</v>
      </c>
      <c r="AP64" s="22">
        <f>IF(OR($B64="",AP$22=""),"",IF(LEN(VLOOKUP($B64,Database!$B$1:$IX$10144,AP$22,FALSE))=0,"",VLOOKUP($B64,Database!$B$1:$IX$10144,AP$22,FALSE)))</f>
        <v>0</v>
      </c>
      <c r="AQ64" s="22" t="str">
        <f>IF(OR($B64="",AQ$22=""),"",IF(LEN(VLOOKUP($B64,Database!$B$1:$IX$10144,AQ$22,FALSE))=0,"",VLOOKUP($B64,Database!$B$1:$IX$10144,AQ$22,FALSE)))</f>
        <v>Bergouignan L, Chupin M, Czechowska Y, Kinkingnéhun S, Lemogne C, Le Bastard G, Lepage M, Garnero L, Colliot O, Fossati P.</v>
      </c>
      <c r="AR64" s="13"/>
      <c r="AX64" s="13"/>
      <c r="AY64" s="13"/>
      <c r="AZ64" s="13"/>
      <c r="BA64" s="13"/>
      <c r="BC64" s="23"/>
      <c r="BF64" s="136"/>
      <c r="BG64" s="136"/>
      <c r="BH64" s="136"/>
      <c r="BI64" s="136"/>
    </row>
    <row r="65" spans="1:61">
      <c r="B65">
        <v>19028381</v>
      </c>
      <c r="C65" s="1" t="str">
        <f>IF($B65="","",HYPERLINK(IF(LEN(VLOOKUP($B65,Database!$B$1:$IX$10144,2,FALSE))=0,"",VLOOKUP($B65,Database!$B$1:$IX$10144,2,FALSE))))</f>
        <v/>
      </c>
      <c r="D65" s="1" t="str">
        <f t="shared" si="2"/>
        <v>http://www.ncbi.nlm.nih.gov/pubmed/19028381</v>
      </c>
      <c r="E65" s="22" t="str">
        <f>IF($B65="","",IF(LEN(VLOOKUP($B65,Database!$B$1:$IX$10144,4,FALSE))=0,"",VLOOKUP($B65,Database!$B$1:$IX$10144,4,FALSE)))</f>
        <v>van Eijndhoven P</v>
      </c>
      <c r="F65" s="22">
        <f>IF($B65="","",IF(LEN(VLOOKUP($B65,Database!$B$1:$IX$10144,5,FALSE))=0,"",VLOOKUP($B65,Database!$B$1:$IX$10144,5,FALSE)))</f>
        <v>2009</v>
      </c>
      <c r="G65" s="1" t="str">
        <f>IF($B65="","",HYPERLINK(IF(LEN(VLOOKUP($B65,Database!$B$1:$IX$10144,6,FALSE))=0,"",VLOOKUP($B65,Database!$B$1:$IX$10144,6,FALSE))))</f>
        <v>http://dx.doi.org/10.1016/j.biopsych.2008.10.027</v>
      </c>
      <c r="H65" s="83">
        <v>20</v>
      </c>
      <c r="I65" s="83">
        <v>10</v>
      </c>
      <c r="J65" t="s">
        <v>887</v>
      </c>
      <c r="K65" t="s">
        <v>864</v>
      </c>
      <c r="L65">
        <v>3620</v>
      </c>
      <c r="M65">
        <v>385</v>
      </c>
      <c r="N65">
        <v>3716</v>
      </c>
      <c r="O65">
        <v>364</v>
      </c>
      <c r="P65">
        <v>3752</v>
      </c>
      <c r="Q65">
        <v>442</v>
      </c>
      <c r="R65">
        <v>3881</v>
      </c>
      <c r="S65">
        <v>429</v>
      </c>
      <c r="T65">
        <f t="shared" si="3"/>
        <v>7372</v>
      </c>
      <c r="U65">
        <f t="shared" si="4"/>
        <v>784.76811861848716</v>
      </c>
      <c r="V65">
        <f t="shared" si="5"/>
        <v>7597</v>
      </c>
      <c r="W65">
        <f t="shared" si="6"/>
        <v>752.5866063118583</v>
      </c>
      <c r="Y65" s="22" t="str">
        <f>IF(OR($B65="",Y$22=""),"",IF(LEN(VLOOKUP($B65,Database!$B$1:$IX$10144,Y$22,FALSE))=0,"",VLOOKUP($B65,Database!$B$1:$IX$10144,Y$22,FALSE)))</f>
        <v>DSM-IV</v>
      </c>
      <c r="Z65" s="22" t="str">
        <f>IF(OR($B65="",Z$22=""),"",IF(LEN(VLOOKUP($B65,Database!$B$1:$IX$10144,Z$22,FALSE))=0,"",VLOOKUP($B65,Database!$B$1:$IX$10144,Z$22,FALSE)))</f>
        <v>MRI</v>
      </c>
      <c r="AA65" s="214" t="s">
        <v>2447</v>
      </c>
      <c r="AB65" s="83">
        <v>34.1</v>
      </c>
      <c r="AC65" s="83">
        <v>11.6</v>
      </c>
      <c r="AD65" s="22">
        <f>IF(OR($B65="",AD$22=""),"",IF(LEN(VLOOKUP($B65,Database!$B$1:$IX$10144,AD$22,FALSE))=0,"",VLOOKUP($B65,Database!$B$1:$IX$10144,AD$22,FALSE)))</f>
        <v>37.299999999999997</v>
      </c>
      <c r="AE65" s="22">
        <f>IF(OR($B65="",AE$22=""),"",IF(LEN(VLOOKUP($B65,Database!$B$1:$IX$10144,AE$22,FALSE))=0,"",VLOOKUP($B65,Database!$B$1:$IX$10144,AE$22,FALSE)))</f>
        <v>12.7</v>
      </c>
      <c r="AF65" s="214">
        <v>13</v>
      </c>
      <c r="AG65" s="22">
        <f>IF(OR($B65="",AG$22=""),"",IF(LEN(VLOOKUP($B65,Database!$B$1:$IX$10144,AG$22,FALSE))=0,"",VLOOKUP($B65,Database!$B$1:$IX$10144,AG$22,FALSE)))</f>
        <v>13</v>
      </c>
      <c r="AH65" s="22">
        <f>IF(OR($B65="",AH$22=""),"",IF(LEN(VLOOKUP($B65,Database!$B$1:$IX$10144,AH$22,FALSE))=0,"",VLOOKUP($B65,Database!$B$1:$IX$10144,AH$22,FALSE)))</f>
        <v>1.5</v>
      </c>
      <c r="AI65" s="22">
        <f>IF(OR($B65="",AI$22=""),"",IF(LEN(VLOOKUP($B65,Database!$B$1:$IX$10144,AI$22,FALSE))=0,"",VLOOKUP($B65,Database!$B$1:$IX$10144,AI$22,FALSE)))</f>
        <v>1</v>
      </c>
      <c r="AJ65" s="22" t="str">
        <f>IF(OR($B65="",AJ$22=""),"",IF(LEN(VLOOKUP($B65,Database!$B$1:$IX$10144,AJ$22,FALSE))=0,"",VLOOKUP($B65,Database!$B$1:$IX$10144,AJ$22,FALSE)))</f>
        <v/>
      </c>
      <c r="AK65" s="83">
        <v>34.1</v>
      </c>
      <c r="AL65" s="83">
        <v>21.08</v>
      </c>
      <c r="AM65" s="22">
        <f>IF(OR($B65="",AM$22=""),"",IF(LEN(VLOOKUP($B65,Database!$B$1:$IX$10144,AM$22,FALSE))=0,"",VLOOKUP($B65,Database!$B$1:$IX$10144,AM$22,FALSE)))</f>
        <v>0</v>
      </c>
      <c r="AN65" s="22" t="str">
        <f>IF(OR($B65="",AN$22=""),"",IF(LEN(VLOOKUP($B65,Database!$B$1:$IX$10144,AN$22,FALSE))=0,"",VLOOKUP($B65,Database!$B$1:$IX$10144,AN$22,FALSE)))</f>
        <v>ns</v>
      </c>
      <c r="AO65" s="22" t="str">
        <f>IF(OR($B65="",AO$22=""),"",IF(LEN(VLOOKUP($B65,Database!$B$1:$IX$10144,AO$22,FALSE))=0,"",VLOOKUP($B65,Database!$B$1:$IX$10144,AO$22,FALSE)))</f>
        <v>ns</v>
      </c>
      <c r="AP65" s="22" t="str">
        <f>IF(OR($B65="",AP$22=""),"",IF(LEN(VLOOKUP($B65,Database!$B$1:$IX$10144,AP$22,FALSE))=0,"",VLOOKUP($B65,Database!$B$1:$IX$10144,AP$22,FALSE)))</f>
        <v>ns</v>
      </c>
      <c r="AQ65" s="22" t="str">
        <f>IF(OR($B65="",AQ$22=""),"",IF(LEN(VLOOKUP($B65,Database!$B$1:$IX$10144,AQ$22,FALSE))=0,"",VLOOKUP($B65,Database!$B$1:$IX$10144,AQ$22,FALSE)))</f>
        <v>van Eijndhoven P, van Wingen G, van Oijen K, Rijpkema M, Goraj B, Jan Verkes R, Oude Voshaar R, Fernández G, Buitelaar J, Tendolkar I.</v>
      </c>
      <c r="AR65" s="13"/>
      <c r="AU65" s="13"/>
      <c r="AX65" s="13"/>
      <c r="AY65" s="13"/>
      <c r="AZ65" s="13"/>
      <c r="BA65" s="13"/>
      <c r="BC65" s="23"/>
      <c r="BF65" s="136"/>
      <c r="BG65" s="136"/>
      <c r="BH65" s="136"/>
      <c r="BI65" s="136"/>
    </row>
    <row r="66" spans="1:61">
      <c r="B66">
        <v>19028381</v>
      </c>
      <c r="C66" s="1" t="str">
        <f>IF($B66="","",HYPERLINK(IF(LEN(VLOOKUP($B66,Database!$B$1:$IX$10144,2,FALSE))=0,"",VLOOKUP($B66,Database!$B$1:$IX$10144,2,FALSE))))</f>
        <v/>
      </c>
      <c r="D66" s="1" t="str">
        <f t="shared" si="2"/>
        <v>http://www.ncbi.nlm.nih.gov/pubmed/19028381</v>
      </c>
      <c r="E66" s="22" t="str">
        <f>IF($B66="","",IF(LEN(VLOOKUP($B66,Database!$B$1:$IX$10144,4,FALSE))=0,"",VLOOKUP($B66,Database!$B$1:$IX$10144,4,FALSE)))</f>
        <v>van Eijndhoven P</v>
      </c>
      <c r="F66" s="22">
        <f>IF($B66="","",IF(LEN(VLOOKUP($B66,Database!$B$1:$IX$10144,5,FALSE))=0,"",VLOOKUP($B66,Database!$B$1:$IX$10144,5,FALSE)))</f>
        <v>2009</v>
      </c>
      <c r="G66" s="1" t="str">
        <f>IF($B66="","",HYPERLINK(IF(LEN(VLOOKUP($B66,Database!$B$1:$IX$10144,6,FALSE))=0,"",VLOOKUP($B66,Database!$B$1:$IX$10144,6,FALSE))))</f>
        <v>http://dx.doi.org/10.1016/j.biopsych.2008.10.027</v>
      </c>
      <c r="H66" s="83">
        <v>20</v>
      </c>
      <c r="I66" s="83">
        <v>10</v>
      </c>
      <c r="J66" t="s">
        <v>887</v>
      </c>
      <c r="K66" t="s">
        <v>357</v>
      </c>
      <c r="L66">
        <v>3600</v>
      </c>
      <c r="M66">
        <v>360</v>
      </c>
      <c r="N66">
        <v>3716</v>
      </c>
      <c r="O66">
        <v>364</v>
      </c>
      <c r="P66">
        <v>3815</v>
      </c>
      <c r="Q66">
        <v>459</v>
      </c>
      <c r="R66">
        <v>3881</v>
      </c>
      <c r="S66">
        <v>429</v>
      </c>
      <c r="T66">
        <f t="shared" si="3"/>
        <v>7415</v>
      </c>
      <c r="U66">
        <f t="shared" si="4"/>
        <v>777.60208333054254</v>
      </c>
      <c r="V66">
        <f t="shared" si="5"/>
        <v>7597</v>
      </c>
      <c r="W66">
        <f t="shared" si="6"/>
        <v>752.5866063118583</v>
      </c>
      <c r="Y66" s="22" t="str">
        <f>IF(OR($B66="",Y$22=""),"",IF(LEN(VLOOKUP($B66,Database!$B$1:$IX$10144,Y$22,FALSE))=0,"",VLOOKUP($B66,Database!$B$1:$IX$10144,Y$22,FALSE)))</f>
        <v>DSM-IV</v>
      </c>
      <c r="Z66" s="22" t="str">
        <f>IF(OR($B66="",Z$22=""),"",IF(LEN(VLOOKUP($B66,Database!$B$1:$IX$10144,Z$22,FALSE))=0,"",VLOOKUP($B66,Database!$B$1:$IX$10144,Z$22,FALSE)))</f>
        <v>MRI</v>
      </c>
      <c r="AA66" s="214" t="s">
        <v>2448</v>
      </c>
      <c r="AB66" s="83">
        <v>35.799999999999997</v>
      </c>
      <c r="AC66" s="83">
        <v>11.7</v>
      </c>
      <c r="AD66" s="22">
        <f>IF(OR($B66="",AD$22=""),"",IF(LEN(VLOOKUP($B66,Database!$B$1:$IX$10144,AD$22,FALSE))=0,"",VLOOKUP($B66,Database!$B$1:$IX$10144,AD$22,FALSE)))</f>
        <v>37.299999999999997</v>
      </c>
      <c r="AE66" s="22">
        <f>IF(OR($B66="",AE$22=""),"",IF(LEN(VLOOKUP($B66,Database!$B$1:$IX$10144,AE$22,FALSE))=0,"",VLOOKUP($B66,Database!$B$1:$IX$10144,AE$22,FALSE)))</f>
        <v>12.7</v>
      </c>
      <c r="AF66" s="214">
        <v>14</v>
      </c>
      <c r="AG66" s="22">
        <f>IF(OR($B66="",AG$22=""),"",IF(LEN(VLOOKUP($B66,Database!$B$1:$IX$10144,AG$22,FALSE))=0,"",VLOOKUP($B66,Database!$B$1:$IX$10144,AG$22,FALSE)))</f>
        <v>13</v>
      </c>
      <c r="AH66" s="22">
        <f>IF(OR($B66="",AH$22=""),"",IF(LEN(VLOOKUP($B66,Database!$B$1:$IX$10144,AH$22,FALSE))=0,"",VLOOKUP($B66,Database!$B$1:$IX$10144,AH$22,FALSE)))</f>
        <v>1.5</v>
      </c>
      <c r="AI66" s="22">
        <f>IF(OR($B66="",AI$22=""),"",IF(LEN(VLOOKUP($B66,Database!$B$1:$IX$10144,AI$22,FALSE))=0,"",VLOOKUP($B66,Database!$B$1:$IX$10144,AI$22,FALSE)))</f>
        <v>1</v>
      </c>
      <c r="AJ66" s="22" t="str">
        <f>IF(OR($B66="",AJ$22=""),"",IF(LEN(VLOOKUP($B66,Database!$B$1:$IX$10144,AJ$22,FALSE))=0,"",VLOOKUP($B66,Database!$B$1:$IX$10144,AJ$22,FALSE)))</f>
        <v/>
      </c>
      <c r="AK66" s="83">
        <v>33.4</v>
      </c>
      <c r="AL66" s="83">
        <v>3.4</v>
      </c>
      <c r="AM66" s="22">
        <f>IF(OR($B66="",AM$22=""),"",IF(LEN(VLOOKUP($B66,Database!$B$1:$IX$10144,AM$22,FALSE))=0,"",VLOOKUP($B66,Database!$B$1:$IX$10144,AM$22,FALSE)))</f>
        <v>0</v>
      </c>
      <c r="AN66" s="22" t="str">
        <f>IF(OR($B66="",AN$22=""),"",IF(LEN(VLOOKUP($B66,Database!$B$1:$IX$10144,AN$22,FALSE))=0,"",VLOOKUP($B66,Database!$B$1:$IX$10144,AN$22,FALSE)))</f>
        <v>ns</v>
      </c>
      <c r="AO66" s="22" t="str">
        <f>IF(OR($B66="",AO$22=""),"",IF(LEN(VLOOKUP($B66,Database!$B$1:$IX$10144,AO$22,FALSE))=0,"",VLOOKUP($B66,Database!$B$1:$IX$10144,AO$22,FALSE)))</f>
        <v>ns</v>
      </c>
      <c r="AP66" s="22" t="str">
        <f>IF(OR($B66="",AP$22=""),"",IF(LEN(VLOOKUP($B66,Database!$B$1:$IX$10144,AP$22,FALSE))=0,"",VLOOKUP($B66,Database!$B$1:$IX$10144,AP$22,FALSE)))</f>
        <v>ns</v>
      </c>
      <c r="AQ66" s="22" t="str">
        <f>IF(OR($B66="",AQ$22=""),"",IF(LEN(VLOOKUP($B66,Database!$B$1:$IX$10144,AQ$22,FALSE))=0,"",VLOOKUP($B66,Database!$B$1:$IX$10144,AQ$22,FALSE)))</f>
        <v>van Eijndhoven P, van Wingen G, van Oijen K, Rijpkema M, Goraj B, Jan Verkes R, Oude Voshaar R, Fernández G, Buitelaar J, Tendolkar I.</v>
      </c>
      <c r="AR66" s="13"/>
      <c r="AU66" s="13"/>
      <c r="AX66" s="13"/>
      <c r="AY66" s="13"/>
      <c r="AZ66" s="13"/>
      <c r="BA66" s="13"/>
      <c r="BC66" s="23"/>
      <c r="BF66" s="136"/>
      <c r="BG66" s="136"/>
      <c r="BH66" s="136"/>
      <c r="BI66" s="136"/>
    </row>
    <row r="67" spans="1:61">
      <c r="B67" s="2">
        <v>19488671</v>
      </c>
      <c r="C67" s="1" t="str">
        <f>IF($B67="","",HYPERLINK(IF(LEN(VLOOKUP($B67,Database!$B$1:$IX$10144,2,FALSE))=0,"",VLOOKUP($B67,Database!$B$1:$IX$10144,2,FALSE))))</f>
        <v/>
      </c>
      <c r="D67" s="1" t="str">
        <f t="shared" si="2"/>
        <v>http://www.ncbi.nlm.nih.gov/pubmed/19488671</v>
      </c>
      <c r="E67" s="22" t="str">
        <f>IF($B67="","",IF(LEN(VLOOKUP($B67,Database!$B$1:$IX$10144,4,FALSE))=0,"",VLOOKUP($B67,Database!$B$1:$IX$10144,4,FALSE)))</f>
        <v>Meisenzahl EM</v>
      </c>
      <c r="F67" s="22">
        <f>IF($B67="","",IF(LEN(VLOOKUP($B67,Database!$B$1:$IX$10144,5,FALSE))=0,"",VLOOKUP($B67,Database!$B$1:$IX$10144,5,FALSE)))</f>
        <v>2009</v>
      </c>
      <c r="G67" s="1" t="str">
        <f>IF($B67="","",HYPERLINK(IF(LEN(VLOOKUP($B67,Database!$B$1:$IX$10144,6,FALSE))=0,"",VLOOKUP($B67,Database!$B$1:$IX$10144,6,FALSE))))</f>
        <v>http://dx.doi.org/10.1007/s00406-009-0023-3</v>
      </c>
      <c r="H67" s="22">
        <f>IF($B67="","",IF(LEN(VLOOKUP($B67,Database!$B$1:$IX$10144,7,FALSE))=0,"",VLOOKUP($B67,Database!$B$1:$IX$10144,7,FALSE)))</f>
        <v>92</v>
      </c>
      <c r="I67" s="22">
        <f>IF($B67="","",IF(LEN(VLOOKUP($B67,Database!$B$1:$IX$10144,8,FALSE))=0,"",VLOOKUP($B67,Database!$B$1:$IX$10144,8,FALSE)))</f>
        <v>138</v>
      </c>
      <c r="J67" t="s">
        <v>2069</v>
      </c>
      <c r="L67">
        <v>3.67</v>
      </c>
      <c r="M67">
        <v>0.41</v>
      </c>
      <c r="N67">
        <v>3.83</v>
      </c>
      <c r="O67">
        <v>0.41</v>
      </c>
      <c r="P67">
        <v>3.77</v>
      </c>
      <c r="Q67">
        <v>0.42</v>
      </c>
      <c r="R67">
        <v>3.94</v>
      </c>
      <c r="S67">
        <v>0.41</v>
      </c>
      <c r="T67">
        <f t="shared" si="3"/>
        <v>7.4399999999999995</v>
      </c>
      <c r="U67">
        <f t="shared" si="4"/>
        <v>0.78741348731146321</v>
      </c>
      <c r="V67">
        <f t="shared" si="5"/>
        <v>7.77</v>
      </c>
      <c r="W67">
        <f t="shared" si="6"/>
        <v>0.77792030440142124</v>
      </c>
      <c r="Y67" s="22" t="str">
        <f>IF(OR($B67="",Y$22=""),"",IF(LEN(VLOOKUP($B67,Database!$B$1:$IX$10144,Y$22,FALSE))=0,"",VLOOKUP($B67,Database!$B$1:$IX$10144,Y$22,FALSE)))</f>
        <v>DSM-IV</v>
      </c>
      <c r="Z67" s="22" t="str">
        <f>IF(OR($B67="",Z$22=""),"",IF(LEN(VLOOKUP($B67,Database!$B$1:$IX$10144,Z$22,FALSE))=0,"",VLOOKUP($B67,Database!$B$1:$IX$10144,Z$22,FALSE)))</f>
        <v>MRI</v>
      </c>
      <c r="AA67" s="22" t="str">
        <f>IF(OR($B67="",AA$22=""),"",IF(LEN(VLOOKUP($B67,Database!$B$1:$IX$10144,AA$22,FALSE))=0,"",VLOOKUP($B67,Database!$B$1:$IX$10144,AA$22,FALSE)))</f>
        <v/>
      </c>
      <c r="AB67" s="22">
        <f>IF(OR($B67="",AB$22=""),"",IF(LEN(VLOOKUP($B67,Database!$B$1:$IX$10144,AB$22,FALSE))=0,"",VLOOKUP($B67,Database!$B$1:$IX$10144,AB$22,FALSE)))</f>
        <v>44.6</v>
      </c>
      <c r="AC67" s="22">
        <f>IF(OR($B67="",AC$22=""),"",IF(LEN(VLOOKUP($B67,Database!$B$1:$IX$10144,AC$22,FALSE))=0,"",VLOOKUP($B67,Database!$B$1:$IX$10144,AC$22,FALSE)))</f>
        <v>12.3</v>
      </c>
      <c r="AD67" s="22">
        <f>IF(OR($B67="",AD$22=""),"",IF(LEN(VLOOKUP($B67,Database!$B$1:$IX$10144,AD$22,FALSE))=0,"",VLOOKUP($B67,Database!$B$1:$IX$10144,AD$22,FALSE)))</f>
        <v>33.299999999999997</v>
      </c>
      <c r="AE67" s="22">
        <f>IF(OR($B67="",AE$22=""),"",IF(LEN(VLOOKUP($B67,Database!$B$1:$IX$10144,AE$22,FALSE))=0,"",VLOOKUP($B67,Database!$B$1:$IX$10144,AE$22,FALSE)))</f>
        <v>12.2</v>
      </c>
      <c r="AF67" s="22">
        <f>IF(OR($B67="",AF$22=""),"",IF(LEN(VLOOKUP($B67,Database!$B$1:$IX$10144,AF$22,FALSE))=0,"",VLOOKUP($B67,Database!$B$1:$IX$10144,AF$22,FALSE)))</f>
        <v>47</v>
      </c>
      <c r="AG67" s="22">
        <f>IF(OR($B67="",AG$22=""),"",IF(LEN(VLOOKUP($B67,Database!$B$1:$IX$10144,AG$22,FALSE))=0,"",VLOOKUP($B67,Database!$B$1:$IX$10144,AG$22,FALSE)))</f>
        <v>60</v>
      </c>
      <c r="AH67" s="22">
        <f>IF(OR($B67="",AH$22=""),"",IF(LEN(VLOOKUP($B67,Database!$B$1:$IX$10144,AH$22,FALSE))=0,"",VLOOKUP($B67,Database!$B$1:$IX$10144,AH$22,FALSE)))</f>
        <v>1.5</v>
      </c>
      <c r="AI67" s="22">
        <f>IF(OR($B67="",AI$22=""),"",IF(LEN(VLOOKUP($B67,Database!$B$1:$IX$10144,AI$22,FALSE))=0,"",VLOOKUP($B67,Database!$B$1:$IX$10144,AI$22,FALSE)))</f>
        <v>1.5</v>
      </c>
      <c r="AJ67" s="22" t="str">
        <f>IF(OR($B67="",AJ$22=""),"",IF(LEN(VLOOKUP($B67,Database!$B$1:$IX$10144,AJ$22,FALSE))=0,"",VLOOKUP($B67,Database!$B$1:$IX$10144,AJ$22,FALSE)))</f>
        <v/>
      </c>
      <c r="AK67" s="22" t="str">
        <f>IF(OR($B67="",AK$22=""),"",IF(LEN(VLOOKUP($B67,Database!$B$1:$IX$10144,AK$22,FALSE))=0,"",VLOOKUP($B67,Database!$B$1:$IX$10144,AK$22,FALSE)))</f>
        <v>ns</v>
      </c>
      <c r="AL67" s="22">
        <f>IF(OR($B67="",AL$22=""),"",IF(LEN(VLOOKUP($B67,Database!$B$1:$IX$10144,AL$22,FALSE))=0,"",VLOOKUP($B67,Database!$B$1:$IX$10144,AL$22,FALSE)))</f>
        <v>23.5</v>
      </c>
      <c r="AM67" s="22" t="str">
        <f>IF(OR($B67="",AM$22=""),"",IF(LEN(VLOOKUP($B67,Database!$B$1:$IX$10144,AM$22,FALSE))=0,"",VLOOKUP($B67,Database!$B$1:$IX$10144,AM$22,FALSE)))</f>
        <v>ns</v>
      </c>
      <c r="AN67" s="22">
        <f>IF(OR($B67="",AN$22=""),"",IF(LEN(VLOOKUP($B67,Database!$B$1:$IX$10144,AN$22,FALSE))=0,"",VLOOKUP($B67,Database!$B$1:$IX$10144,AN$22,FALSE)))</f>
        <v>14.130434782608695</v>
      </c>
      <c r="AO67" s="22" t="str">
        <f>IF(OR($B67="",AO$22=""),"",IF(LEN(VLOOKUP($B67,Database!$B$1:$IX$10144,AO$22,FALSE))=0,"",VLOOKUP($B67,Database!$B$1:$IX$10144,AO$22,FALSE)))</f>
        <v>ns</v>
      </c>
      <c r="AP67" s="22">
        <f>IF(OR($B67="",AP$22=""),"",IF(LEN(VLOOKUP($B67,Database!$B$1:$IX$10144,AP$22,FALSE))=0,"",VLOOKUP($B67,Database!$B$1:$IX$10144,AP$22,FALSE)))</f>
        <v>6.5217391304347823</v>
      </c>
      <c r="AQ67" s="22" t="str">
        <f>IF(OR($B67="",AQ$22=""),"",IF(LEN(VLOOKUP($B67,Database!$B$1:$IX$10144,AQ$22,FALSE))=0,"",VLOOKUP($B67,Database!$B$1:$IX$10144,AQ$22,FALSE)))</f>
        <v>Meisenzahl EM, Seifert D, Bottlender R, Teipel S, Zetzsche T, Jäger M, Koutsouleris N, Schmitt G, Scheuerecker J, Burgermeister B, Hampel H, Rupprecht T, Born C, Reiser M, Möller HJ, Frodl T.</v>
      </c>
      <c r="AR67" s="13"/>
      <c r="AX67" s="13"/>
      <c r="AY67" s="13"/>
      <c r="AZ67" s="13"/>
      <c r="BA67" s="13"/>
      <c r="BC67" s="23"/>
      <c r="BF67" s="136"/>
      <c r="BG67" s="136"/>
      <c r="BH67" s="136"/>
      <c r="BI67" s="136"/>
    </row>
    <row r="68" spans="1:61">
      <c r="B68">
        <v>19668114</v>
      </c>
      <c r="C68" s="1" t="str">
        <f>IF($B68="","",HYPERLINK(IF(LEN(VLOOKUP($B68,Database!$B$1:$IX$10144,2,FALSE))=0,"",VLOOKUP($B68,Database!$B$1:$IX$10144,2,FALSE))))</f>
        <v/>
      </c>
      <c r="D68" s="1" t="str">
        <f t="shared" si="2"/>
        <v>http://www.ncbi.nlm.nih.gov/pubmed/19668114</v>
      </c>
      <c r="E68" s="22" t="str">
        <f>IF($B68="","",IF(LEN(VLOOKUP($B68,Database!$B$1:$IX$10144,4,FALSE))=0,"",VLOOKUP($B68,Database!$B$1:$IX$10144,4,FALSE)))</f>
        <v>Jessen F</v>
      </c>
      <c r="F68" s="22">
        <f>IF($B68="","",IF(LEN(VLOOKUP($B68,Database!$B$1:$IX$10144,5,FALSE))=0,"",VLOOKUP($B68,Database!$B$1:$IX$10144,5,FALSE)))</f>
        <v>2009</v>
      </c>
      <c r="G68" s="1" t="str">
        <f>IF($B68="","",HYPERLINK(IF(LEN(VLOOKUP($B68,Database!$B$1:$IX$10144,6,FALSE))=0,"",VLOOKUP($B68,Database!$B$1:$IX$10144,6,FALSE))))</f>
        <v>http://dx.doi.org/10.1097/YPG.0b013e32832080ce</v>
      </c>
      <c r="H68" s="22">
        <f>IF($B68="","",IF(LEN(VLOOKUP($B68,Database!$B$1:$IX$10144,7,FALSE))=0,"",VLOOKUP($B68,Database!$B$1:$IX$10144,7,FALSE)))</f>
        <v>79</v>
      </c>
      <c r="I68" s="22">
        <f>IF($B68="","",IF(LEN(VLOOKUP($B68,Database!$B$1:$IX$10144,8,FALSE))=0,"",VLOOKUP($B68,Database!$B$1:$IX$10144,8,FALSE)))</f>
        <v>84</v>
      </c>
      <c r="J68" t="s">
        <v>315</v>
      </c>
      <c r="L68">
        <v>2.06</v>
      </c>
      <c r="M68">
        <v>0.27</v>
      </c>
      <c r="N68">
        <v>2.36</v>
      </c>
      <c r="O68">
        <v>0.28999999999999998</v>
      </c>
      <c r="P68">
        <v>2.0499999999999998</v>
      </c>
      <c r="Q68">
        <v>0.32</v>
      </c>
      <c r="R68">
        <v>2.3199999999999998</v>
      </c>
      <c r="S68">
        <v>0.3</v>
      </c>
      <c r="T68">
        <f t="shared" si="3"/>
        <v>4.1099999999999994</v>
      </c>
      <c r="U68">
        <f t="shared" si="4"/>
        <v>0.55994642600877453</v>
      </c>
      <c r="V68">
        <f t="shared" si="5"/>
        <v>4.68</v>
      </c>
      <c r="W68">
        <f t="shared" si="6"/>
        <v>0.55973207876626119</v>
      </c>
      <c r="Y68" s="22" t="str">
        <f>IF(OR($B68="",Y$22=""),"",IF(LEN(VLOOKUP($B68,Database!$B$1:$IX$10144,Y$22,FALSE))=0,"",VLOOKUP($B68,Database!$B$1:$IX$10144,Y$22,FALSE)))</f>
        <v>DSM-IV</v>
      </c>
      <c r="Z68" s="22" t="str">
        <f>IF(OR($B68="",Z$22=""),"",IF(LEN(VLOOKUP($B68,Database!$B$1:$IX$10144,Z$22,FALSE))=0,"",VLOOKUP($B68,Database!$B$1:$IX$10144,Z$22,FALSE)))</f>
        <v>MRI</v>
      </c>
      <c r="AA68" s="22" t="str">
        <f>IF(OR($B68="",AA$22=""),"",IF(LEN(VLOOKUP($B68,Database!$B$1:$IX$10144,AA$22,FALSE))=0,"",VLOOKUP($B68,Database!$B$1:$IX$10144,AA$22,FALSE)))</f>
        <v/>
      </c>
      <c r="AB68" s="22">
        <f>IF(OR($B68="",AB$22=""),"",IF(LEN(VLOOKUP($B68,Database!$B$1:$IX$10144,AB$22,FALSE))=0,"",VLOOKUP($B68,Database!$B$1:$IX$10144,AB$22,FALSE)))</f>
        <v>48.2</v>
      </c>
      <c r="AC68" s="22">
        <f>IF(OR($B68="",AC$22=""),"",IF(LEN(VLOOKUP($B68,Database!$B$1:$IX$10144,AC$22,FALSE))=0,"",VLOOKUP($B68,Database!$B$1:$IX$10144,AC$22,FALSE)))</f>
        <v>12.8</v>
      </c>
      <c r="AD68" s="22">
        <f>IF(OR($B68="",AD$22=""),"",IF(LEN(VLOOKUP($B68,Database!$B$1:$IX$10144,AD$22,FALSE))=0,"",VLOOKUP($B68,Database!$B$1:$IX$10144,AD$22,FALSE)))</f>
        <v>43.9</v>
      </c>
      <c r="AE68" s="22">
        <f>IF(OR($B68="",AE$22=""),"",IF(LEN(VLOOKUP($B68,Database!$B$1:$IX$10144,AE$22,FALSE))=0,"",VLOOKUP($B68,Database!$B$1:$IX$10144,AE$22,FALSE)))</f>
        <v>8.6999999999999993</v>
      </c>
      <c r="AF68" s="22">
        <f>IF(OR($B68="",AF$22=""),"",IF(LEN(VLOOKUP($B68,Database!$B$1:$IX$10144,AF$22,FALSE))=0,"",VLOOKUP($B68,Database!$B$1:$IX$10144,AF$22,FALSE)))</f>
        <v>52</v>
      </c>
      <c r="AG68" s="22">
        <f>IF(OR($B68="",AG$22=""),"",IF(LEN(VLOOKUP($B68,Database!$B$1:$IX$10144,AG$22,FALSE))=0,"",VLOOKUP($B68,Database!$B$1:$IX$10144,AG$22,FALSE)))</f>
        <v>40</v>
      </c>
      <c r="AH68" s="22">
        <f>IF(OR($B68="",AH$22=""),"",IF(LEN(VLOOKUP($B68,Database!$B$1:$IX$10144,AH$22,FALSE))=0,"",VLOOKUP($B68,Database!$B$1:$IX$10144,AH$22,FALSE)))</f>
        <v>1</v>
      </c>
      <c r="AI68" s="22">
        <f>IF(OR($B68="",AI$22=""),"",IF(LEN(VLOOKUP($B68,Database!$B$1:$IX$10144,AI$22,FALSE))=0,"",VLOOKUP($B68,Database!$B$1:$IX$10144,AI$22,FALSE)))</f>
        <v>1</v>
      </c>
      <c r="AJ68" s="22" t="str">
        <f>IF(OR($B68="",AJ$22=""),"",IF(LEN(VLOOKUP($B68,Database!$B$1:$IX$10144,AJ$22,FALSE))=0,"",VLOOKUP($B68,Database!$B$1:$IX$10144,AJ$22,FALSE)))</f>
        <v/>
      </c>
      <c r="AK68" s="22" t="str">
        <f>IF(OR($B68="",AK$22=""),"",IF(LEN(VLOOKUP($B68,Database!$B$1:$IX$10144,AK$22,FALSE))=0,"",VLOOKUP($B68,Database!$B$1:$IX$10144,AK$22,FALSE)))</f>
        <v>ns</v>
      </c>
      <c r="AL68" s="22" t="str">
        <f>IF(OR($B68="",AL$22=""),"",IF(LEN(VLOOKUP($B68,Database!$B$1:$IX$10144,AL$22,FALSE))=0,"",VLOOKUP($B68,Database!$B$1:$IX$10144,AL$22,FALSE)))</f>
        <v>ns</v>
      </c>
      <c r="AM68" s="22" t="str">
        <f>IF(OR($B68="",AM$22=""),"",IF(LEN(VLOOKUP($B68,Database!$B$1:$IX$10144,AM$22,FALSE))=0,"",VLOOKUP($B68,Database!$B$1:$IX$10144,AM$22,FALSE)))</f>
        <v>ns</v>
      </c>
      <c r="AN68" s="22" t="str">
        <f>IF(OR($B68="",AN$22=""),"",IF(LEN(VLOOKUP($B68,Database!$B$1:$IX$10144,AN$22,FALSE))=0,"",VLOOKUP($B68,Database!$B$1:$IX$10144,AN$22,FALSE)))</f>
        <v>ns</v>
      </c>
      <c r="AO68" s="22" t="str">
        <f>IF(OR($B68="",AO$22=""),"",IF(LEN(VLOOKUP($B68,Database!$B$1:$IX$10144,AO$22,FALSE))=0,"",VLOOKUP($B68,Database!$B$1:$IX$10144,AO$22,FALSE)))</f>
        <v>ns</v>
      </c>
      <c r="AP68" s="22" t="str">
        <f>IF(OR($B68="",AP$22=""),"",IF(LEN(VLOOKUP($B68,Database!$B$1:$IX$10144,AP$22,FALSE))=0,"",VLOOKUP($B68,Database!$B$1:$IX$10144,AP$22,FALSE)))</f>
        <v>ns</v>
      </c>
      <c r="AQ68" s="22" t="str">
        <f>IF(OR($B68="",AQ$22=""),"",IF(LEN(VLOOKUP($B68,Database!$B$1:$IX$10144,AQ$22,FALSE))=0,"",VLOOKUP($B68,Database!$B$1:$IX$10144,AQ$22,FALSE)))</f>
        <v>Jessen F, Schuhmacher A, von Widdern O, Guttenthaler V, Hofels S, Suliman H, Scheef L, Block W, Urbach H, Maier W, Zobel A.</v>
      </c>
      <c r="AR68" s="13"/>
      <c r="AX68" s="13"/>
      <c r="AY68" s="13"/>
      <c r="AZ68" s="13"/>
      <c r="BA68" s="13"/>
      <c r="BC68" s="23"/>
      <c r="BF68" s="136"/>
      <c r="BG68" s="136"/>
      <c r="BH68" s="136"/>
      <c r="BI68" s="136"/>
    </row>
    <row r="69" spans="1:61">
      <c r="B69">
        <v>19756819</v>
      </c>
      <c r="C69" s="1" t="str">
        <f>IF($B69="","",HYPERLINK(IF(LEN(VLOOKUP($B69,Database!$B$1:$IX$10144,2,FALSE))=0,"",VLOOKUP($B69,Database!$B$1:$IX$10144,2,FALSE))))</f>
        <v/>
      </c>
      <c r="D69" s="1" t="str">
        <f>IF($B69="","",HYPERLINK(CONCATENATE("http://www.ncbi.nlm.nih.gov/pubmed/",B69)))</f>
        <v>http://www.ncbi.nlm.nih.gov/pubmed/19756819</v>
      </c>
      <c r="E69" s="22" t="str">
        <f>IF($B69="","",IF(LEN(VLOOKUP($B69,Database!$B$1:$IX$10144,4,FALSE))=0,"",VLOOKUP($B69,Database!$B$1:$IX$10144,4,FALSE)))</f>
        <v>Kaymak SU</v>
      </c>
      <c r="F69" s="22">
        <f>IF($B69="","",IF(LEN(VLOOKUP($B69,Database!$B$1:$IX$10144,5,FALSE))=0,"",VLOOKUP($B69,Database!$B$1:$IX$10144,5,FALSE)))</f>
        <v>2009</v>
      </c>
      <c r="G69" s="1" t="str">
        <f>IF($B69="","",HYPERLINK(IF(LEN(VLOOKUP($B69,Database!$B$1:$IX$10144,6,FALSE))=0,"",VLOOKUP($B69,Database!$B$1:$IX$10144,6,FALSE))))</f>
        <v>http://dx.doi.org/10.1007/s00406-009-0045-x</v>
      </c>
      <c r="H69" s="22">
        <f>IF($B69="","",IF(LEN(VLOOKUP($B69,Database!$B$1:$IX$10144,7,FALSE))=0,"",VLOOKUP($B69,Database!$B$1:$IX$10144,7,FALSE)))</f>
        <v>20</v>
      </c>
      <c r="I69" s="22">
        <f>IF($B69="","",IF(LEN(VLOOKUP($B69,Database!$B$1:$IX$10144,8,FALSE))=0,"",VLOOKUP($B69,Database!$B$1:$IX$10144,8,FALSE)))</f>
        <v>15</v>
      </c>
      <c r="J69" t="s">
        <v>2378</v>
      </c>
      <c r="L69">
        <v>2.85</v>
      </c>
      <c r="M69">
        <v>0.33</v>
      </c>
      <c r="N69">
        <v>3.52</v>
      </c>
      <c r="O69">
        <v>0.33</v>
      </c>
      <c r="P69">
        <v>2.72</v>
      </c>
      <c r="Q69">
        <v>0.32</v>
      </c>
      <c r="R69">
        <v>3.4</v>
      </c>
      <c r="S69">
        <v>0.25</v>
      </c>
      <c r="T69">
        <f>L69+P69</f>
        <v>5.57</v>
      </c>
      <c r="U69">
        <f>2*SQRT(0.25*(M69^2+Q69^2+2*$F$8*M69*Q69))</f>
        <v>0.61665225208378183</v>
      </c>
      <c r="V69">
        <f>N69+R69</f>
        <v>6.92</v>
      </c>
      <c r="W69">
        <f>2*SQRT(0.25*(O69^2+S69^2+2*$F$8*O69*S69))</f>
        <v>0.55081757415681643</v>
      </c>
      <c r="Y69" s="22" t="str">
        <f>IF(OR($B69="",Y$22=""),"",IF(LEN(VLOOKUP($B69,Database!$B$1:$IX$10144,Y$22,FALSE))=0,"",VLOOKUP($B69,Database!$B$1:$IX$10144,Y$22,FALSE)))</f>
        <v>DSM-IV</v>
      </c>
      <c r="Z69" s="22" t="str">
        <f>IF(OR($B69="",Z$22=""),"",IF(LEN(VLOOKUP($B69,Database!$B$1:$IX$10144,Z$22,FALSE))=0,"",VLOOKUP($B69,Database!$B$1:$IX$10144,Z$22,FALSE)))</f>
        <v>MRI</v>
      </c>
      <c r="AA69" s="22" t="str">
        <f>IF(OR($B69="",AA$22=""),"",IF(LEN(VLOOKUP($B69,Database!$B$1:$IX$10144,AA$22,FALSE))=0,"",VLOOKUP($B69,Database!$B$1:$IX$10144,AA$22,FALSE)))</f>
        <v/>
      </c>
      <c r="AB69" s="22">
        <f>IF(OR($B69="",AB$22=""),"",IF(LEN(VLOOKUP($B69,Database!$B$1:$IX$10144,AB$22,FALSE))=0,"",VLOOKUP($B69,Database!$B$1:$IX$10144,AB$22,FALSE)))</f>
        <v>32</v>
      </c>
      <c r="AC69" s="22">
        <f>IF(OR($B69="",AC$22=""),"",IF(LEN(VLOOKUP($B69,Database!$B$1:$IX$10144,AC$22,FALSE))=0,"",VLOOKUP($B69,Database!$B$1:$IX$10144,AC$22,FALSE)))</f>
        <v>8.52</v>
      </c>
      <c r="AD69" s="22">
        <f>IF(OR($B69="",AD$22=""),"",IF(LEN(VLOOKUP($B69,Database!$B$1:$IX$10144,AD$22,FALSE))=0,"",VLOOKUP($B69,Database!$B$1:$IX$10144,AD$22,FALSE)))</f>
        <v>29.3</v>
      </c>
      <c r="AE69" s="22">
        <f>IF(OR($B69="",AE$22=""),"",IF(LEN(VLOOKUP($B69,Database!$B$1:$IX$10144,AE$22,FALSE))=0,"",VLOOKUP($B69,Database!$B$1:$IX$10144,AE$22,FALSE)))</f>
        <v>5.8</v>
      </c>
      <c r="AF69" s="22">
        <f>IF(OR($B69="",AF$22=""),"",IF(LEN(VLOOKUP($B69,Database!$B$1:$IX$10144,AF$22,FALSE))=0,"",VLOOKUP($B69,Database!$B$1:$IX$10144,AF$22,FALSE)))</f>
        <v>20</v>
      </c>
      <c r="AG69" s="22">
        <f>IF(OR($B69="",AG$22=""),"",IF(LEN(VLOOKUP($B69,Database!$B$1:$IX$10144,AG$22,FALSE))=0,"",VLOOKUP($B69,Database!$B$1:$IX$10144,AG$22,FALSE)))</f>
        <v>15</v>
      </c>
      <c r="AH69" s="22">
        <f>IF(OR($B69="",AH$22=""),"",IF(LEN(VLOOKUP($B69,Database!$B$1:$IX$10144,AH$22,FALSE))=0,"",VLOOKUP($B69,Database!$B$1:$IX$10144,AH$22,FALSE)))</f>
        <v>3</v>
      </c>
      <c r="AI69" s="22">
        <f>IF(OR($B69="",AI$22=""),"",IF(LEN(VLOOKUP($B69,Database!$B$1:$IX$10144,AI$22,FALSE))=0,"",VLOOKUP($B69,Database!$B$1:$IX$10144,AI$22,FALSE)))</f>
        <v>1</v>
      </c>
      <c r="AJ69" s="22" t="str">
        <f>IF(OR($B69="",AJ$22=""),"",IF(LEN(VLOOKUP($B69,Database!$B$1:$IX$10144,AJ$22,FALSE))=0,"",VLOOKUP($B69,Database!$B$1:$IX$10144,AJ$22,FALSE)))</f>
        <v/>
      </c>
      <c r="AK69" s="22" t="str">
        <f>IF(OR($B69="",AK$22=""),"",IF(LEN(VLOOKUP($B69,Database!$B$1:$IX$10144,AK$22,FALSE))=0,"",VLOOKUP($B69,Database!$B$1:$IX$10144,AK$22,FALSE)))</f>
        <v>ns</v>
      </c>
      <c r="AL69" s="22">
        <f>IF(OR($B69="",AL$22=""),"",IF(LEN(VLOOKUP($B69,Database!$B$1:$IX$10144,AL$22,FALSE))=0,"",VLOOKUP($B69,Database!$B$1:$IX$10144,AL$22,FALSE)))</f>
        <v>23.1</v>
      </c>
      <c r="AM69" s="22">
        <f>IF(OR($B69="",AM$22=""),"",IF(LEN(VLOOKUP($B69,Database!$B$1:$IX$10144,AM$22,FALSE))=0,"",VLOOKUP($B69,Database!$B$1:$IX$10144,AM$22,FALSE)))</f>
        <v>0</v>
      </c>
      <c r="AN69" s="22">
        <f>IF(OR($B69="",AN$22=""),"",IF(LEN(VLOOKUP($B69,Database!$B$1:$IX$10144,AN$22,FALSE))=0,"",VLOOKUP($B69,Database!$B$1:$IX$10144,AN$22,FALSE)))</f>
        <v>0</v>
      </c>
      <c r="AO69" s="22">
        <f>IF(OR($B69="",AO$22=""),"",IF(LEN(VLOOKUP($B69,Database!$B$1:$IX$10144,AO$22,FALSE))=0,"",VLOOKUP($B69,Database!$B$1:$IX$10144,AO$22,FALSE)))</f>
        <v>0</v>
      </c>
      <c r="AP69" s="22">
        <f>IF(OR($B69="",AP$22=""),"",IF(LEN(VLOOKUP($B69,Database!$B$1:$IX$10144,AP$22,FALSE))=0,"",VLOOKUP($B69,Database!$B$1:$IX$10144,AP$22,FALSE)))</f>
        <v>100</v>
      </c>
      <c r="AQ69" s="22" t="str">
        <f>IF(OR($B69="",AQ$22=""),"",IF(LEN(VLOOKUP($B69,Database!$B$1:$IX$10144,AQ$22,FALSE))=0,"",VLOOKUP($B69,Database!$B$1:$IX$10144,AQ$22,FALSE)))</f>
        <v>Kaymak SU, Demir B, Sentürk S, Tatar I, Aldur MM, Uluğ B.</v>
      </c>
      <c r="AR69" s="13"/>
      <c r="AX69" s="13"/>
      <c r="AY69" s="13"/>
      <c r="AZ69" s="13"/>
      <c r="BA69" s="13"/>
      <c r="BC69" s="23"/>
      <c r="BF69" s="136"/>
      <c r="BG69" s="136"/>
      <c r="BH69" s="136"/>
      <c r="BI69" s="136"/>
    </row>
    <row r="70" spans="1:61">
      <c r="C70" s="1"/>
      <c r="D70" s="1"/>
      <c r="E70" s="22"/>
      <c r="F70" s="22"/>
      <c r="G70" s="1"/>
      <c r="H70" s="22"/>
      <c r="I70" s="22"/>
      <c r="Y70" s="22"/>
      <c r="Z70" s="22"/>
      <c r="AA70" s="22"/>
      <c r="AB70" s="22"/>
      <c r="AC70" s="22"/>
      <c r="AD70" s="22"/>
      <c r="AE70" s="22"/>
      <c r="AF70" s="22"/>
      <c r="AG70" s="22"/>
      <c r="AH70" s="22"/>
      <c r="AI70" s="22"/>
      <c r="AJ70" s="22"/>
      <c r="AK70" s="22"/>
      <c r="AL70" s="22"/>
      <c r="AM70" s="22"/>
      <c r="AN70" s="22"/>
      <c r="AO70" s="22"/>
      <c r="AP70" s="22"/>
      <c r="AQ70" s="22"/>
    </row>
    <row r="71" spans="1:61">
      <c r="C71" s="1"/>
      <c r="D71" s="1"/>
      <c r="E71" s="22"/>
      <c r="F71" s="22"/>
      <c r="G71" s="1"/>
      <c r="H71" s="22"/>
      <c r="I71" s="22"/>
      <c r="Y71" s="22"/>
      <c r="Z71" s="22"/>
      <c r="AA71" s="22"/>
      <c r="AB71" s="22"/>
      <c r="AC71" s="22"/>
      <c r="AD71" s="22"/>
      <c r="AE71" s="22"/>
      <c r="AF71" s="22"/>
      <c r="AG71" s="22"/>
      <c r="AH71" s="22"/>
      <c r="AI71" s="22"/>
      <c r="AJ71" s="22"/>
      <c r="AK71" s="22"/>
      <c r="AL71" s="22"/>
      <c r="AM71" s="22"/>
      <c r="AN71" s="22"/>
      <c r="AO71" s="22"/>
      <c r="AP71" s="22"/>
      <c r="AQ71" s="22"/>
    </row>
    <row r="72" spans="1:61">
      <c r="A72" s="4" t="s">
        <v>350</v>
      </c>
      <c r="C72" s="1"/>
      <c r="D72" s="1" t="str">
        <f t="shared" ref="D72:D79" si="7">IF($B72="","",HYPERLINK(CONCATENATE("http://www.ncbi.nlm.nih.gov/pubmed/",B72)))</f>
        <v/>
      </c>
      <c r="E72" s="22" t="str">
        <f>IF($B72="","",IF(LEN(VLOOKUP($B72,Database!$B$1:$IX$10144,4,FALSE))=0,"",VLOOKUP($B72,Database!$B$1:$IX$10144,4,FALSE)))</f>
        <v/>
      </c>
      <c r="F72" s="22" t="str">
        <f>IF($B72="","",IF(LEN(VLOOKUP($B72,Database!$B$1:$IX$10144,5,FALSE))=0,"",VLOOKUP($B72,Database!$B$1:$IX$10144,5,FALSE)))</f>
        <v/>
      </c>
      <c r="G72" s="1" t="str">
        <f>IF($B72="","",HYPERLINK(IF(LEN(VLOOKUP($B72,Database!$B$1:$IX$10144,6,FALSE))=0,"",VLOOKUP($B72,Database!$B$1:$IX$10144,6,FALSE))))</f>
        <v/>
      </c>
      <c r="H72" s="22" t="str">
        <f>IF($B72="","",IF(LEN(VLOOKUP($B72,Database!$B$1:$IX$10144,7,FALSE))=0,"",VLOOKUP($B72,Database!$B$1:$IX$10144,7,FALSE)))</f>
        <v/>
      </c>
      <c r="I72" s="22" t="str">
        <f>IF($B72="","",IF(LEN(VLOOKUP($B72,Database!$B$1:$IX$10144,8,FALSE))=0,"",VLOOKUP($B72,Database!$B$1:$IX$10144,8,FALSE)))</f>
        <v/>
      </c>
      <c r="Y72" s="22" t="str">
        <f>IF(OR($B72="",Y$22=""),"",IF(LEN(VLOOKUP($B72,Database!$B$1:$IX$10144,Y$22,FALSE))=0,"",VLOOKUP($B72,Database!$B$1:$IX$10144,Y$22,FALSE)))</f>
        <v/>
      </c>
      <c r="Z72" s="22" t="str">
        <f>IF(OR($B72="",Z$22=""),"",IF(LEN(VLOOKUP($B72,Database!$B$1:$IX$10144,Z$22,FALSE))=0,"",VLOOKUP($B72,Database!$B$1:$IX$10144,Z$22,FALSE)))</f>
        <v/>
      </c>
      <c r="AA72" s="22" t="str">
        <f>IF(OR($B72="",AA$22=""),"",IF(LEN(VLOOKUP($B72,Database!$B$1:$IX$10144,AA$22,FALSE))=0,"",VLOOKUP($B72,Database!$B$1:$IX$10144,AA$22,FALSE)))</f>
        <v/>
      </c>
      <c r="AB72" s="22" t="str">
        <f>IF(OR($B72="",AB$22=""),"",IF(LEN(VLOOKUP($B72,Database!$B$1:$IX$10144,AB$22,FALSE))=0,"",VLOOKUP($B72,Database!$B$1:$IX$10144,AB$22,FALSE)))</f>
        <v/>
      </c>
      <c r="AC72" s="22" t="str">
        <f>IF(OR($B72="",AC$22=""),"",IF(LEN(VLOOKUP($B72,Database!$B$1:$IX$10144,AC$22,FALSE))=0,"",VLOOKUP($B72,Database!$B$1:$IX$10144,AC$22,FALSE)))</f>
        <v/>
      </c>
      <c r="AD72" s="22" t="str">
        <f>IF(OR($B72="",AD$22=""),"",IF(LEN(VLOOKUP($B72,Database!$B$1:$IX$10144,AD$22,FALSE))=0,"",VLOOKUP($B72,Database!$B$1:$IX$10144,AD$22,FALSE)))</f>
        <v/>
      </c>
      <c r="AE72" s="22" t="str">
        <f>IF(OR($B72="",AE$22=""),"",IF(LEN(VLOOKUP($B72,Database!$B$1:$IX$10144,AE$22,FALSE))=0,"",VLOOKUP($B72,Database!$B$1:$IX$10144,AE$22,FALSE)))</f>
        <v/>
      </c>
      <c r="AF72" s="22" t="str">
        <f>IF(OR($B72="",AF$22=""),"",IF(LEN(VLOOKUP($B72,Database!$B$1:$IX$10144,AF$22,FALSE))=0,"",VLOOKUP($B72,Database!$B$1:$IX$10144,AF$22,FALSE)))</f>
        <v/>
      </c>
      <c r="AG72" s="22" t="str">
        <f>IF(OR($B72="",AG$22=""),"",IF(LEN(VLOOKUP($B72,Database!$B$1:$IX$10144,AG$22,FALSE))=0,"",VLOOKUP($B72,Database!$B$1:$IX$10144,AG$22,FALSE)))</f>
        <v/>
      </c>
      <c r="AH72" s="22" t="str">
        <f>IF(OR($B72="",AH$22=""),"",IF(LEN(VLOOKUP($B72,Database!$B$1:$IX$10144,AH$22,FALSE))=0,"",VLOOKUP($B72,Database!$B$1:$IX$10144,AH$22,FALSE)))</f>
        <v/>
      </c>
      <c r="AI72" s="22" t="str">
        <f>IF(OR($B72="",AI$22=""),"",IF(LEN(VLOOKUP($B72,Database!$B$1:$IX$10144,AI$22,FALSE))=0,"",VLOOKUP($B72,Database!$B$1:$IX$10144,AI$22,FALSE)))</f>
        <v/>
      </c>
      <c r="AJ72" s="22" t="str">
        <f>IF(OR($B72="",AJ$22=""),"",IF(LEN(VLOOKUP($B72,Database!$B$1:$IX$10144,AJ$22,FALSE))=0,"",VLOOKUP($B72,Database!$B$1:$IX$10144,AJ$22,FALSE)))</f>
        <v/>
      </c>
      <c r="AK72" s="22" t="str">
        <f>IF(OR($B72="",AK$22=""),"",IF(LEN(VLOOKUP($B72,Database!$B$1:$IX$10144,AK$22,FALSE))=0,"",VLOOKUP($B72,Database!$B$1:$IX$10144,AK$22,FALSE)))</f>
        <v/>
      </c>
      <c r="AL72" s="22" t="str">
        <f>IF(OR($B72="",AL$22=""),"",IF(LEN(VLOOKUP($B72,Database!$B$1:$IX$10144,AL$22,FALSE))=0,"",VLOOKUP($B72,Database!$B$1:$IX$10144,AL$22,FALSE)))</f>
        <v/>
      </c>
      <c r="AM72" s="22" t="str">
        <f>IF(OR($B72="",AM$22=""),"",IF(LEN(VLOOKUP($B72,Database!$B$1:$IX$10144,AM$22,FALSE))=0,"",VLOOKUP($B72,Database!$B$1:$IX$10144,AM$22,FALSE)))</f>
        <v/>
      </c>
      <c r="AN72" s="22" t="str">
        <f>IF(OR($B72="",AN$22=""),"",IF(LEN(VLOOKUP($B72,Database!$B$1:$IX$10144,AN$22,FALSE))=0,"",VLOOKUP($B72,Database!$B$1:$IX$10144,AN$22,FALSE)))</f>
        <v/>
      </c>
      <c r="AO72" s="22" t="str">
        <f>IF(OR($B72="",AO$22=""),"",IF(LEN(VLOOKUP($B72,Database!$B$1:$IX$10144,AO$22,FALSE))=0,"",VLOOKUP($B72,Database!$B$1:$IX$10144,AO$22,FALSE)))</f>
        <v/>
      </c>
      <c r="AP72" s="22"/>
      <c r="AQ72" s="22"/>
    </row>
    <row r="73" spans="1:61">
      <c r="A73" s="10" t="s">
        <v>2323</v>
      </c>
      <c r="B73">
        <v>10366636</v>
      </c>
      <c r="C73" s="1" t="str">
        <f>IF($B73="","",HYPERLINK(IF(LEN(VLOOKUP($B73,Database!$B$1:$IX$10144,2,FALSE))=0,"",VLOOKUP($B73,Database!$B$1:$IX$10144,2,FALSE))))</f>
        <v/>
      </c>
      <c r="D73" s="1" t="str">
        <f t="shared" si="7"/>
        <v>http://www.ncbi.nlm.nih.gov/pubmed/10366636</v>
      </c>
      <c r="E73" s="22" t="str">
        <f>IF($B73="","",IF(LEN(VLOOKUP($B73,Database!$B$1:$IX$10144,4,FALSE))=0,"",VLOOKUP($B73,Database!$B$1:$IX$10144,4,FALSE)))</f>
        <v>Sheline YI</v>
      </c>
      <c r="F73" s="22">
        <f>IF($B73="","",IF(LEN(VLOOKUP($B73,Database!$B$1:$IX$10144,5,FALSE))=0,"",VLOOKUP($B73,Database!$B$1:$IX$10144,5,FALSE)))</f>
        <v>1999</v>
      </c>
      <c r="G73" s="1" t="str">
        <f>IF($B73="","",HYPERLINK(IF(LEN(VLOOKUP($B73,Database!$B$1:$IX$10144,6,FALSE))=0,"",VLOOKUP($B73,Database!$B$1:$IX$10144,6,FALSE))))</f>
        <v>http://ajp.psychiatryonline.org/cgi/reprint/156/12/1989</v>
      </c>
      <c r="H73" s="22">
        <f>IF($B73="","",IF(LEN(VLOOKUP($B73,Database!$B$1:$IX$10144,7,FALSE))=0,"",VLOOKUP($B73,Database!$B$1:$IX$10144,7,FALSE)))</f>
        <v>24</v>
      </c>
      <c r="I73" s="22">
        <f>IF($B73="","",IF(LEN(VLOOKUP($B73,Database!$B$1:$IX$10144,8,FALSE))=0,"",VLOOKUP($B73,Database!$B$1:$IX$10144,8,FALSE)))</f>
        <v>24</v>
      </c>
      <c r="J73" t="s">
        <v>939</v>
      </c>
      <c r="L73">
        <v>2230</v>
      </c>
      <c r="M73">
        <v>323</v>
      </c>
      <c r="N73">
        <v>2482</v>
      </c>
      <c r="O73">
        <v>305</v>
      </c>
      <c r="P73">
        <v>2264</v>
      </c>
      <c r="Q73">
        <v>320</v>
      </c>
      <c r="R73">
        <v>2468</v>
      </c>
      <c r="S73">
        <v>309</v>
      </c>
      <c r="T73">
        <v>4496</v>
      </c>
      <c r="U73">
        <v>602</v>
      </c>
      <c r="V73">
        <v>4951</v>
      </c>
      <c r="W73">
        <v>601</v>
      </c>
      <c r="Y73" s="22" t="str">
        <f>IF(OR($B73="",Y$22=""),"",IF(LEN(VLOOKUP($B73,Database!$B$1:$IX$10144,Y$22,FALSE))=0,"",VLOOKUP($B73,Database!$B$1:$IX$10144,Y$22,FALSE)))</f>
        <v>DSM-IV</v>
      </c>
      <c r="Z73" s="22" t="str">
        <f>IF(OR($B73="",Z$22=""),"",IF(LEN(VLOOKUP($B73,Database!$B$1:$IX$10144,Z$22,FALSE))=0,"",VLOOKUP($B73,Database!$B$1:$IX$10144,Z$22,FALSE)))</f>
        <v>MRI</v>
      </c>
      <c r="AA73" s="22" t="str">
        <f>IF(OR($B73="",AA$22=""),"",IF(LEN(VLOOKUP($B73,Database!$B$1:$IX$10144,AA$22,FALSE))=0,"",VLOOKUP($B73,Database!$B$1:$IX$10144,AA$22,FALSE)))</f>
        <v/>
      </c>
      <c r="AB73" s="22"/>
      <c r="AC73" s="22"/>
      <c r="AD73" s="22">
        <f>IF(OR($B73="",AD$22=""),"",IF(LEN(VLOOKUP($B73,Database!$B$1:$IX$10144,AD$22,FALSE))=0,"",VLOOKUP($B73,Database!$B$1:$IX$10144,AD$22,FALSE)))</f>
        <v>52.8</v>
      </c>
      <c r="AE73" s="22">
        <f>IF(OR($B73="",AE$22=""),"",IF(LEN(VLOOKUP($B73,Database!$B$1:$IX$10144,AE$22,FALSE))=0,"",VLOOKUP($B73,Database!$B$1:$IX$10144,AE$22,FALSE)))</f>
        <v>17.8</v>
      </c>
      <c r="AF73" s="22">
        <f>IF(OR($B73="",AF$22=""),"",IF(LEN(VLOOKUP($B73,Database!$B$1:$IX$10144,AF$22,FALSE))=0,"",VLOOKUP($B73,Database!$B$1:$IX$10144,AF$22,FALSE)))</f>
        <v>24</v>
      </c>
      <c r="AG73" s="22">
        <f>IF(OR($B73="",AG$22=""),"",IF(LEN(VLOOKUP($B73,Database!$B$1:$IX$10144,AG$22,FALSE))=0,"",VLOOKUP($B73,Database!$B$1:$IX$10144,AG$22,FALSE)))</f>
        <v>24</v>
      </c>
      <c r="AH73" s="22">
        <f>IF(OR($B73="",AH$22=""),"",IF(LEN(VLOOKUP($B73,Database!$B$1:$IX$10144,AH$22,FALSE))=0,"",VLOOKUP($B73,Database!$B$1:$IX$10144,AH$22,FALSE)))</f>
        <v>1.5</v>
      </c>
      <c r="AI73" s="22">
        <f>IF(OR($B73="",AI$22=""),"",IF(LEN(VLOOKUP($B73,Database!$B$1:$IX$10144,AI$22,FALSE))=0,"",VLOOKUP($B73,Database!$B$1:$IX$10144,AI$22,FALSE)))</f>
        <v>1.25</v>
      </c>
      <c r="AJ73" s="22" t="str">
        <f>IF(OR($B73="",AJ$22=""),"",IF(LEN(VLOOKUP($B73,Database!$B$1:$IX$10144,AJ$22,FALSE))=0,"",VLOOKUP($B73,Database!$B$1:$IX$10144,AJ$22,FALSE)))</f>
        <v/>
      </c>
      <c r="AK73" s="22" t="str">
        <f>IF(OR($B73="",AK$22=""),"",IF(LEN(VLOOKUP($B73,Database!$B$1:$IX$10144,AK$22,FALSE))=0,"",VLOOKUP($B73,Database!$B$1:$IX$10144,AK$22,FALSE)))</f>
        <v>ns</v>
      </c>
      <c r="AL73" s="22" t="str">
        <f>IF(OR($B73="",AL$22=""),"",IF(LEN(VLOOKUP($B73,Database!$B$1:$IX$10144,AL$22,FALSE))=0,"",VLOOKUP($B73,Database!$B$1:$IX$10144,AL$22,FALSE)))</f>
        <v>ns</v>
      </c>
      <c r="AM73" s="22">
        <f>IF(OR($B73="",AM$22=""),"",IF(LEN(VLOOKUP($B73,Database!$B$1:$IX$10144,AM$22,FALSE))=0,"",VLOOKUP($B73,Database!$B$1:$IX$10144,AM$22,FALSE)))</f>
        <v>66.666666666666657</v>
      </c>
      <c r="AN73" s="22" t="str">
        <f>IF(OR($B73="",AN$22=""),"",IF(LEN(VLOOKUP($B73,Database!$B$1:$IX$10144,AN$22,FALSE))=0,"",VLOOKUP($B73,Database!$B$1:$IX$10144,AN$22,FALSE)))</f>
        <v>ns</v>
      </c>
      <c r="AO73" s="22" t="str">
        <f>IF(OR($B73="",AO$22=""),"",IF(LEN(VLOOKUP($B73,Database!$B$1:$IX$10144,AO$22,FALSE))=0,"",VLOOKUP($B73,Database!$B$1:$IX$10144,AO$22,FALSE)))</f>
        <v>ns</v>
      </c>
      <c r="AP73" s="22"/>
      <c r="AQ73" s="22"/>
    </row>
    <row r="74" spans="1:61">
      <c r="A74" s="7" t="s">
        <v>71</v>
      </c>
      <c r="B74">
        <v>10618023</v>
      </c>
      <c r="C74" s="1" t="str">
        <f>IF($B74="","",HYPERLINK(IF(LEN(VLOOKUP($B74,Database!$B$1:$IX$10144,2,FALSE))=0,"",VLOOKUP($B74,Database!$B$1:$IX$10144,2,FALSE))))</f>
        <v/>
      </c>
      <c r="D74" s="1" t="str">
        <f t="shared" si="7"/>
        <v>http://www.ncbi.nlm.nih.gov/pubmed/10618023</v>
      </c>
      <c r="E74" s="22" t="str">
        <f>IF($B74="","",IF(LEN(VLOOKUP($B74,Database!$B$1:$IX$10144,4,FALSE))=0,"",VLOOKUP($B74,Database!$B$1:$IX$10144,4,FALSE)))</f>
        <v>Bremner JD</v>
      </c>
      <c r="F74" s="22">
        <f>IF($B74="","",IF(LEN(VLOOKUP($B74,Database!$B$1:$IX$10144,5,FALSE))=0,"",VLOOKUP($B74,Database!$B$1:$IX$10144,5,FALSE)))</f>
        <v>2000</v>
      </c>
      <c r="G74" s="1" t="str">
        <f>IF($B74="","",HYPERLINK(IF(LEN(VLOOKUP($B74,Database!$B$1:$IX$10144,6,FALSE))=0,"",VLOOKUP($B74,Database!$B$1:$IX$10144,6,FALSE))))</f>
        <v>http://ajp.psychiatryonline.org/cgi/reprint/157/1/115</v>
      </c>
      <c r="H74" s="22">
        <f>IF($B74="","",IF(LEN(VLOOKUP($B74,Database!$B$1:$IX$10144,7,FALSE))=0,"",VLOOKUP($B74,Database!$B$1:$IX$10144,7,FALSE)))</f>
        <v>16</v>
      </c>
      <c r="I74" s="22">
        <f>IF($B74="","",IF(LEN(VLOOKUP($B74,Database!$B$1:$IX$10144,8,FALSE))=0,"",VLOOKUP($B74,Database!$B$1:$IX$10144,8,FALSE)))</f>
        <v>16</v>
      </c>
      <c r="Y74" s="22" t="str">
        <f>IF(OR($B74="",Y$22=""),"",IF(LEN(VLOOKUP($B74,Database!$B$1:$IX$10144,Y$22,FALSE))=0,"",VLOOKUP($B74,Database!$B$1:$IX$10144,Y$22,FALSE)))</f>
        <v>DSM-IV</v>
      </c>
      <c r="Z74" s="22" t="str">
        <f>IF(OR($B74="",Z$22=""),"",IF(LEN(VLOOKUP($B74,Database!$B$1:$IX$10144,Z$22,FALSE))=0,"",VLOOKUP($B74,Database!$B$1:$IX$10144,Z$22,FALSE)))</f>
        <v>MRI</v>
      </c>
      <c r="AA74" s="22" t="str">
        <f>IF(OR($B74="",AA$22=""),"",IF(LEN(VLOOKUP($B74,Database!$B$1:$IX$10144,AA$22,FALSE))=0,"",VLOOKUP($B74,Database!$B$1:$IX$10144,AA$22,FALSE)))</f>
        <v/>
      </c>
      <c r="AB74" s="22">
        <f>IF(OR($B74="",AB$22=""),"",IF(LEN(VLOOKUP($B74,Database!$B$1:$IX$10144,AB$22,FALSE))=0,"",VLOOKUP($B74,Database!$B$1:$IX$10144,AB$22,FALSE)))</f>
        <v>43</v>
      </c>
      <c r="AC74" s="22">
        <f>IF(OR($B74="",AC$22=""),"",IF(LEN(VLOOKUP($B74,Database!$B$1:$IX$10144,AC$22,FALSE))=0,"",VLOOKUP($B74,Database!$B$1:$IX$10144,AC$22,FALSE)))</f>
        <v>8</v>
      </c>
      <c r="AD74" s="22">
        <f>IF(OR($B74="",AD$22=""),"",IF(LEN(VLOOKUP($B74,Database!$B$1:$IX$10144,AD$22,FALSE))=0,"",VLOOKUP($B74,Database!$B$1:$IX$10144,AD$22,FALSE)))</f>
        <v>45</v>
      </c>
      <c r="AE74" s="22">
        <f>IF(OR($B74="",AE$22=""),"",IF(LEN(VLOOKUP($B74,Database!$B$1:$IX$10144,AE$22,FALSE))=0,"",VLOOKUP($B74,Database!$B$1:$IX$10144,AE$22,FALSE)))</f>
        <v>10</v>
      </c>
      <c r="AF74" s="22">
        <f>IF(OR($B74="",AF$22=""),"",IF(LEN(VLOOKUP($B74,Database!$B$1:$IX$10144,AF$22,FALSE))=0,"",VLOOKUP($B74,Database!$B$1:$IX$10144,AF$22,FALSE)))</f>
        <v>6</v>
      </c>
      <c r="AG74" s="22">
        <f>IF(OR($B74="",AG$22=""),"",IF(LEN(VLOOKUP($B74,Database!$B$1:$IX$10144,AG$22,FALSE))=0,"",VLOOKUP($B74,Database!$B$1:$IX$10144,AG$22,FALSE)))</f>
        <v>6</v>
      </c>
      <c r="AH74" s="22">
        <f>IF(OR($B74="",AH$22=""),"",IF(LEN(VLOOKUP($B74,Database!$B$1:$IX$10144,AH$22,FALSE))=0,"",VLOOKUP($B74,Database!$B$1:$IX$10144,AH$22,FALSE)))</f>
        <v>1.5</v>
      </c>
      <c r="AI74" s="22">
        <f>IF(OR($B74="",AI$22=""),"",IF(LEN(VLOOKUP($B74,Database!$B$1:$IX$10144,AI$22,FALSE))=0,"",VLOOKUP($B74,Database!$B$1:$IX$10144,AI$22,FALSE)))</f>
        <v>3</v>
      </c>
      <c r="AJ74" s="22" t="str">
        <f>IF(OR($B74="",AJ$22=""),"",IF(LEN(VLOOKUP($B74,Database!$B$1:$IX$10144,AJ$22,FALSE))=0,"",VLOOKUP($B74,Database!$B$1:$IX$10144,AJ$22,FALSE)))</f>
        <v/>
      </c>
      <c r="AK74" s="22" t="str">
        <f>IF(OR($B74="",AK$22=""),"",IF(LEN(VLOOKUP($B74,Database!$B$1:$IX$10144,AK$22,FALSE))=0,"",VLOOKUP($B74,Database!$B$1:$IX$10144,AK$22,FALSE)))</f>
        <v>ns</v>
      </c>
      <c r="AL74" s="22" t="str">
        <f>IF(OR($B74="",AL$22=""),"",IF(LEN(VLOOKUP($B74,Database!$B$1:$IX$10144,AL$22,FALSE))=0,"",VLOOKUP($B74,Database!$B$1:$IX$10144,AL$22,FALSE)))</f>
        <v>ns</v>
      </c>
      <c r="AM74" s="22">
        <f>IF(OR($B74="",AM$22=""),"",IF(LEN(VLOOKUP($B74,Database!$B$1:$IX$10144,AM$22,FALSE))=0,"",VLOOKUP($B74,Database!$B$1:$IX$10144,AM$22,FALSE)))</f>
        <v>100</v>
      </c>
      <c r="AN74" s="22">
        <f>IF(OR($B74="",AN$22=""),"",IF(LEN(VLOOKUP($B74,Database!$B$1:$IX$10144,AN$22,FALSE))=0,"",VLOOKUP($B74,Database!$B$1:$IX$10144,AN$22,FALSE)))</f>
        <v>0</v>
      </c>
      <c r="AO74" s="22">
        <f>IF(OR($B74="",AO$22=""),"",IF(LEN(VLOOKUP($B74,Database!$B$1:$IX$10144,AO$22,FALSE))=0,"",VLOOKUP($B74,Database!$B$1:$IX$10144,AO$22,FALSE)))</f>
        <v>0</v>
      </c>
      <c r="AP74" s="22"/>
      <c r="AQ74" s="22"/>
    </row>
    <row r="75" spans="1:61">
      <c r="A75" s="10" t="s">
        <v>2015</v>
      </c>
      <c r="B75">
        <v>16930719</v>
      </c>
      <c r="C75" s="1" t="str">
        <f>IF($B75="","",HYPERLINK(IF(LEN(VLOOKUP($B75,Database!$B$1:$IX$10144,2,FALSE))=0,"",VLOOKUP($B75,Database!$B$1:$IX$10144,2,FALSE))))</f>
        <v/>
      </c>
      <c r="D75" s="1" t="str">
        <f t="shared" si="7"/>
        <v>http://www.ncbi.nlm.nih.gov/pubmed/16930719</v>
      </c>
      <c r="E75" s="22" t="str">
        <f>IF($B75="","",IF(LEN(VLOOKUP($B75,Database!$B$1:$IX$10144,4,FALSE))=0,"",VLOOKUP($B75,Database!$B$1:$IX$10144,4,FALSE)))</f>
        <v>Hickie IB (A)</v>
      </c>
      <c r="F75" s="22">
        <f>IF($B75="","",IF(LEN(VLOOKUP($B75,Database!$B$1:$IX$10144,5,FALSE))=0,"",VLOOKUP($B75,Database!$B$1:$IX$10144,5,FALSE)))</f>
        <v>2007</v>
      </c>
      <c r="G75" s="1" t="str">
        <f>IF($B75="","",HYPERLINK(IF(LEN(VLOOKUP($B75,Database!$B$1:$IX$10144,6,FALSE))=0,"",VLOOKUP($B75,Database!$B$1:$IX$10144,6,FALSE))))</f>
        <v>http://dx.doi.org/10.1016/j.jad.2006.07.010</v>
      </c>
      <c r="H75" s="22">
        <f>IF($B75="","",IF(LEN(VLOOKUP($B75,Database!$B$1:$IX$10144,7,FALSE))=0,"",VLOOKUP($B75,Database!$B$1:$IX$10144,7,FALSE)))</f>
        <v>45</v>
      </c>
      <c r="I75" s="22">
        <f>IF($B75="","",IF(LEN(VLOOKUP($B75,Database!$B$1:$IX$10144,8,FALSE))=0,"",VLOOKUP($B75,Database!$B$1:$IX$10144,8,FALSE)))</f>
        <v>16</v>
      </c>
      <c r="J75" t="s">
        <v>1224</v>
      </c>
      <c r="T75">
        <v>5.9</v>
      </c>
      <c r="U75">
        <v>0.7</v>
      </c>
      <c r="V75">
        <v>6.4</v>
      </c>
      <c r="W75">
        <v>0.7</v>
      </c>
      <c r="Y75" s="22" t="str">
        <f>IF(OR($B75="",Y$22=""),"",IF(LEN(VLOOKUP($B75,Database!$B$1:$IX$10144,Y$22,FALSE))=0,"",VLOOKUP($B75,Database!$B$1:$IX$10144,Y$22,FALSE)))</f>
        <v>DSM-IV</v>
      </c>
      <c r="Z75" s="22" t="str">
        <f>IF(OR($B75="",Z$22=""),"",IF(LEN(VLOOKUP($B75,Database!$B$1:$IX$10144,Z$22,FALSE))=0,"",VLOOKUP($B75,Database!$B$1:$IX$10144,Z$22,FALSE)))</f>
        <v>MRI</v>
      </c>
      <c r="AA75" s="22" t="str">
        <f>IF(OR($B75="",AA$22=""),"",IF(LEN(VLOOKUP($B75,Database!$B$1:$IX$10144,AA$22,FALSE))=0,"",VLOOKUP($B75,Database!$B$1:$IX$10144,AA$22,FALSE)))</f>
        <v/>
      </c>
      <c r="AB75" s="22">
        <f>IF(OR($B75="",AB$22=""),"",IF(LEN(VLOOKUP($B75,Database!$B$1:$IX$10144,AB$22,FALSE))=0,"",VLOOKUP($B75,Database!$B$1:$IX$10144,AB$22,FALSE)))</f>
        <v>52</v>
      </c>
      <c r="AC75" s="22">
        <f>IF(OR($B75="",AC$22=""),"",IF(LEN(VLOOKUP($B75,Database!$B$1:$IX$10144,AC$22,FALSE))=0,"",VLOOKUP($B75,Database!$B$1:$IX$10144,AC$22,FALSE)))</f>
        <v>12.8</v>
      </c>
      <c r="AD75" s="22">
        <f>IF(OR($B75="",AD$22=""),"",IF(LEN(VLOOKUP($B75,Database!$B$1:$IX$10144,AD$22,FALSE))=0,"",VLOOKUP($B75,Database!$B$1:$IX$10144,AD$22,FALSE)))</f>
        <v>55.8</v>
      </c>
      <c r="AE75" s="22">
        <f>IF(OR($B75="",AE$22=""),"",IF(LEN(VLOOKUP($B75,Database!$B$1:$IX$10144,AE$22,FALSE))=0,"",VLOOKUP($B75,Database!$B$1:$IX$10144,AE$22,FALSE)))</f>
        <v>10.3</v>
      </c>
      <c r="AF75" s="22">
        <f>IF(OR($B75="",AF$22=""),"",IF(LEN(VLOOKUP($B75,Database!$B$1:$IX$10144,AF$22,FALSE))=0,"",VLOOKUP($B75,Database!$B$1:$IX$10144,AF$22,FALSE)))</f>
        <v>30</v>
      </c>
      <c r="AG75" s="22">
        <f>IF(OR($B75="",AG$22=""),"",IF(LEN(VLOOKUP($B75,Database!$B$1:$IX$10144,AG$22,FALSE))=0,"",VLOOKUP($B75,Database!$B$1:$IX$10144,AG$22,FALSE)))</f>
        <v>9</v>
      </c>
      <c r="AH75" s="22">
        <f>IF(OR($B75="",AH$22=""),"",IF(LEN(VLOOKUP($B75,Database!$B$1:$IX$10144,AH$22,FALSE))=0,"",VLOOKUP($B75,Database!$B$1:$IX$10144,AH$22,FALSE)))</f>
        <v>1.5</v>
      </c>
      <c r="AI75" s="22">
        <f>IF(OR($B75="",AI$22=""),"",IF(LEN(VLOOKUP($B75,Database!$B$1:$IX$10144,AI$22,FALSE))=0,"",VLOOKUP($B75,Database!$B$1:$IX$10144,AI$22,FALSE)))</f>
        <v>1.5</v>
      </c>
      <c r="AJ75" s="22" t="str">
        <f>IF(OR($B75="",AJ$22=""),"",IF(LEN(VLOOKUP($B75,Database!$B$1:$IX$10144,AJ$22,FALSE))=0,"",VLOOKUP($B75,Database!$B$1:$IX$10144,AJ$22,FALSE)))</f>
        <v/>
      </c>
      <c r="AK75" s="22">
        <f>IF(OR($B75="",AK$22=""),"",IF(LEN(VLOOKUP($B75,Database!$B$1:$IX$10144,AK$22,FALSE))=0,"",VLOOKUP($B75,Database!$B$1:$IX$10144,AK$22,FALSE)))</f>
        <v>36.1</v>
      </c>
      <c r="AL75" s="22">
        <f>IF(OR($B75="",AL$22=""),"",IF(LEN(VLOOKUP($B75,Database!$B$1:$IX$10144,AL$22,FALSE))=0,"",VLOOKUP($B75,Database!$B$1:$IX$10144,AL$22,FALSE)))</f>
        <v>26.8</v>
      </c>
      <c r="AM75" s="22">
        <f>IF(OR($B75="",AM$22=""),"",IF(LEN(VLOOKUP($B75,Database!$B$1:$IX$10144,AM$22,FALSE))=0,"",VLOOKUP($B75,Database!$B$1:$IX$10144,AM$22,FALSE)))</f>
        <v>64.444444444444443</v>
      </c>
      <c r="AN75" s="22" t="str">
        <f>IF(OR($B75="",AN$22=""),"",IF(LEN(VLOOKUP($B75,Database!$B$1:$IX$10144,AN$22,FALSE))=0,"",VLOOKUP($B75,Database!$B$1:$IX$10144,AN$22,FALSE)))</f>
        <v>ns</v>
      </c>
      <c r="AO75" s="22" t="str">
        <f>IF(OR($B75="",AO$22=""),"",IF(LEN(VLOOKUP($B75,Database!$B$1:$IX$10144,AO$22,FALSE))=0,"",VLOOKUP($B75,Database!$B$1:$IX$10144,AO$22,FALSE)))</f>
        <v>ns</v>
      </c>
      <c r="AP75" s="22"/>
      <c r="AQ75" s="22"/>
    </row>
    <row r="76" spans="1:61">
      <c r="A76" s="10" t="s">
        <v>2016</v>
      </c>
      <c r="B76">
        <v>17210630</v>
      </c>
      <c r="C76" s="1" t="str">
        <f>IF($B76="","",HYPERLINK(IF(LEN(VLOOKUP($B76,Database!$B$1:$IX$10144,2,FALSE))=0,"",VLOOKUP($B76,Database!$B$1:$IX$10144,2,FALSE))))</f>
        <v/>
      </c>
      <c r="D76" s="1" t="str">
        <f t="shared" si="7"/>
        <v>http://www.ncbi.nlm.nih.gov/pubmed/17210630</v>
      </c>
      <c r="E76" s="22" t="str">
        <f>IF($B76="","",IF(LEN(VLOOKUP($B76,Database!$B$1:$IX$10144,4,FALSE))=0,"",VLOOKUP($B76,Database!$B$1:$IX$10144,4,FALSE)))</f>
        <v>Janssen J</v>
      </c>
      <c r="F76" s="22">
        <f>IF($B76="","",IF(LEN(VLOOKUP($B76,Database!$B$1:$IX$10144,5,FALSE))=0,"",VLOOKUP($B76,Database!$B$1:$IX$10144,5,FALSE)))</f>
        <v>2007</v>
      </c>
      <c r="G76" s="1" t="str">
        <f>IF($B76="","",HYPERLINK(IF(LEN(VLOOKUP($B76,Database!$B$1:$IX$10144,6,FALSE))=0,"",VLOOKUP($B76,Database!$B$1:$IX$10144,6,FALSE))))</f>
        <v>http://jnnp.bmj.com/cgi/reprint/78/6/638</v>
      </c>
      <c r="H76" s="83">
        <v>13</v>
      </c>
      <c r="I76" s="83">
        <v>11</v>
      </c>
      <c r="J76" t="s">
        <v>877</v>
      </c>
      <c r="K76" t="s">
        <v>1225</v>
      </c>
      <c r="M76" s="10"/>
      <c r="T76">
        <v>5.51</v>
      </c>
      <c r="U76" s="10"/>
      <c r="V76">
        <v>6</v>
      </c>
      <c r="W76" s="10"/>
      <c r="Y76" s="22" t="str">
        <f>IF(OR($B76="",Y$22=""),"",IF(LEN(VLOOKUP($B76,Database!$B$1:$IX$10144,Y$22,FALSE))=0,"",VLOOKUP($B76,Database!$B$1:$IX$10144,Y$22,FALSE)))</f>
        <v>DSM-IV</v>
      </c>
      <c r="Z76" s="22" t="str">
        <f>IF(OR($B76="",Z$22=""),"",IF(LEN(VLOOKUP($B76,Database!$B$1:$IX$10144,Z$22,FALSE))=0,"",VLOOKUP($B76,Database!$B$1:$IX$10144,Z$22,FALSE)))</f>
        <v>MRI</v>
      </c>
      <c r="AA76" s="22" t="str">
        <f>IF(OR($B76="",AA$22=""),"",IF(LEN(VLOOKUP($B76,Database!$B$1:$IX$10144,AA$22,FALSE))=0,"",VLOOKUP($B76,Database!$B$1:$IX$10144,AA$22,FALSE)))</f>
        <v/>
      </c>
      <c r="AB76" s="22" t="str">
        <f>IF(OR($B76="",AB$22=""),"",IF(LEN(VLOOKUP($B76,Database!$B$1:$IX$10144,AB$22,FALSE))=0,"",VLOOKUP($B76,Database!$B$1:$IX$10144,AB$22,FALSE)))</f>
        <v/>
      </c>
      <c r="AC76" s="22" t="str">
        <f>IF(OR($B76="",AC$22=""),"",IF(LEN(VLOOKUP($B76,Database!$B$1:$IX$10144,AC$22,FALSE))=0,"",VLOOKUP($B76,Database!$B$1:$IX$10144,AC$22,FALSE)))</f>
        <v/>
      </c>
      <c r="AD76" s="22">
        <f>IF(OR($B76="",AD$22=""),"",IF(LEN(VLOOKUP($B76,Database!$B$1:$IX$10144,AD$22,FALSE))=0,"",VLOOKUP($B76,Database!$B$1:$IX$10144,AD$22,FALSE)))</f>
        <v>71.05</v>
      </c>
      <c r="AE76" s="22">
        <f>IF(OR($B76="",AE$22=""),"",IF(LEN(VLOOKUP($B76,Database!$B$1:$IX$10144,AE$22,FALSE))=0,"",VLOOKUP($B76,Database!$B$1:$IX$10144,AE$22,FALSE)))</f>
        <v>7.5</v>
      </c>
      <c r="AF76" s="22">
        <f>IF(OR($B76="",AF$22=""),"",IF(LEN(VLOOKUP($B76,Database!$B$1:$IX$10144,AF$22,FALSE))=0,"",VLOOKUP($B76,Database!$B$1:$IX$10144,AF$22,FALSE)))</f>
        <v>28</v>
      </c>
      <c r="AG76" s="22">
        <f>IF(OR($B76="",AG$22=""),"",IF(LEN(VLOOKUP($B76,Database!$B$1:$IX$10144,AG$22,FALSE))=0,"",VLOOKUP($B76,Database!$B$1:$IX$10144,AG$22,FALSE)))</f>
        <v>22</v>
      </c>
      <c r="AH76" s="22">
        <f>IF(OR($B76="",AH$22=""),"",IF(LEN(VLOOKUP($B76,Database!$B$1:$IX$10144,AH$22,FALSE))=0,"",VLOOKUP($B76,Database!$B$1:$IX$10144,AH$22,FALSE)))</f>
        <v>1.5</v>
      </c>
      <c r="AI76" s="22" t="str">
        <f>IF(OR($B76="",AI$22=""),"",IF(LEN(VLOOKUP($B76,Database!$B$1:$IX$10144,AI$22,FALSE))=0,"",VLOOKUP($B76,Database!$B$1:$IX$10144,AI$22,FALSE)))</f>
        <v>ns</v>
      </c>
      <c r="AJ76" s="22" t="str">
        <f>IF(OR($B76="",AJ$22=""),"",IF(LEN(VLOOKUP($B76,Database!$B$1:$IX$10144,AJ$22,FALSE))=0,"",VLOOKUP($B76,Database!$B$1:$IX$10144,AJ$22,FALSE)))</f>
        <v/>
      </c>
      <c r="AK76" s="22">
        <f>IF(OR($B76="",AK$22=""),"",IF(LEN(VLOOKUP($B76,Database!$B$1:$IX$10144,AK$22,FALSE))=0,"",VLOOKUP($B76,Database!$B$1:$IX$10144,AK$22,FALSE)))</f>
        <v>33.619999999999997</v>
      </c>
      <c r="AL76" s="22" t="str">
        <f>IF(OR($B76="",AL$22=""),"",IF(LEN(VLOOKUP($B76,Database!$B$1:$IX$10144,AL$22,FALSE))=0,"",VLOOKUP($B76,Database!$B$1:$IX$10144,AL$22,FALSE)))</f>
        <v>ns</v>
      </c>
      <c r="AM76" s="22" t="str">
        <f>IF(OR($B76="",AM$22=""),"",IF(LEN(VLOOKUP($B76,Database!$B$1:$IX$10144,AM$22,FALSE))=0,"",VLOOKUP($B76,Database!$B$1:$IX$10144,AM$22,FALSE)))</f>
        <v>ns</v>
      </c>
      <c r="AN76" s="22" t="str">
        <f>IF(OR($B76="",AN$22=""),"",IF(LEN(VLOOKUP($B76,Database!$B$1:$IX$10144,AN$22,FALSE))=0,"",VLOOKUP($B76,Database!$B$1:$IX$10144,AN$22,FALSE)))</f>
        <v>ns</v>
      </c>
      <c r="AO76" s="22" t="str">
        <f>IF(OR($B76="",AO$22=""),"",IF(LEN(VLOOKUP($B76,Database!$B$1:$IX$10144,AO$22,FALSE))=0,"",VLOOKUP($B76,Database!$B$1:$IX$10144,AO$22,FALSE)))</f>
        <v>ns</v>
      </c>
      <c r="AP76" s="22"/>
      <c r="AQ76" s="22"/>
    </row>
    <row r="77" spans="1:61">
      <c r="A77" s="10" t="s">
        <v>2016</v>
      </c>
      <c r="B77">
        <v>17210630</v>
      </c>
      <c r="C77" s="1" t="str">
        <f>IF($B77="","",HYPERLINK(IF(LEN(VLOOKUP($B77,Database!$B$1:$IX$10144,2,FALSE))=0,"",VLOOKUP($B77,Database!$B$1:$IX$10144,2,FALSE))))</f>
        <v/>
      </c>
      <c r="D77" s="1" t="str">
        <f t="shared" si="7"/>
        <v>http://www.ncbi.nlm.nih.gov/pubmed/17210630</v>
      </c>
      <c r="E77" s="22" t="str">
        <f>IF($B77="","",IF(LEN(VLOOKUP($B77,Database!$B$1:$IX$10144,4,FALSE))=0,"",VLOOKUP($B77,Database!$B$1:$IX$10144,4,FALSE)))</f>
        <v>Janssen J</v>
      </c>
      <c r="F77" s="22">
        <f>IF($B77="","",IF(LEN(VLOOKUP($B77,Database!$B$1:$IX$10144,5,FALSE))=0,"",VLOOKUP($B77,Database!$B$1:$IX$10144,5,FALSE)))</f>
        <v>2007</v>
      </c>
      <c r="G77" s="1" t="str">
        <f>IF($B77="","",HYPERLINK(IF(LEN(VLOOKUP($B77,Database!$B$1:$IX$10144,6,FALSE))=0,"",VLOOKUP($B77,Database!$B$1:$IX$10144,6,FALSE))))</f>
        <v>http://jnnp.bmj.com/cgi/reprint/78/6/638</v>
      </c>
      <c r="H77" s="83">
        <v>15</v>
      </c>
      <c r="I77" s="83">
        <v>11</v>
      </c>
      <c r="J77" t="s">
        <v>877</v>
      </c>
      <c r="K77" t="s">
        <v>1366</v>
      </c>
      <c r="M77" s="10"/>
      <c r="T77">
        <v>5.92</v>
      </c>
      <c r="U77" s="10"/>
      <c r="V77">
        <v>6</v>
      </c>
      <c r="W77" s="10"/>
      <c r="Y77" s="22" t="str">
        <f>IF(OR($B77="",Y$22=""),"",IF(LEN(VLOOKUP($B77,Database!$B$1:$IX$10144,Y$22,FALSE))=0,"",VLOOKUP($B77,Database!$B$1:$IX$10144,Y$22,FALSE)))</f>
        <v>DSM-IV</v>
      </c>
      <c r="Z77" s="22" t="str">
        <f>IF(OR($B77="",Z$22=""),"",IF(LEN(VLOOKUP($B77,Database!$B$1:$IX$10144,Z$22,FALSE))=0,"",VLOOKUP($B77,Database!$B$1:$IX$10144,Z$22,FALSE)))</f>
        <v>MRI</v>
      </c>
      <c r="AA77" s="22" t="str">
        <f>IF(OR($B77="",AA$22=""),"",IF(LEN(VLOOKUP($B77,Database!$B$1:$IX$10144,AA$22,FALSE))=0,"",VLOOKUP($B77,Database!$B$1:$IX$10144,AA$22,FALSE)))</f>
        <v/>
      </c>
      <c r="AB77" s="22" t="str">
        <f>IF(OR($B77="",AB$22=""),"",IF(LEN(VLOOKUP($B77,Database!$B$1:$IX$10144,AB$22,FALSE))=0,"",VLOOKUP($B77,Database!$B$1:$IX$10144,AB$22,FALSE)))</f>
        <v/>
      </c>
      <c r="AC77" s="22" t="str">
        <f>IF(OR($B77="",AC$22=""),"",IF(LEN(VLOOKUP($B77,Database!$B$1:$IX$10144,AC$22,FALSE))=0,"",VLOOKUP($B77,Database!$B$1:$IX$10144,AC$22,FALSE)))</f>
        <v/>
      </c>
      <c r="AD77" s="22">
        <f>IF(OR($B77="",AD$22=""),"",IF(LEN(VLOOKUP($B77,Database!$B$1:$IX$10144,AD$22,FALSE))=0,"",VLOOKUP($B77,Database!$B$1:$IX$10144,AD$22,FALSE)))</f>
        <v>71.05</v>
      </c>
      <c r="AE77" s="22">
        <f>IF(OR($B77="",AE$22=""),"",IF(LEN(VLOOKUP($B77,Database!$B$1:$IX$10144,AE$22,FALSE))=0,"",VLOOKUP($B77,Database!$B$1:$IX$10144,AE$22,FALSE)))</f>
        <v>7.5</v>
      </c>
      <c r="AF77" s="22">
        <f>IF(OR($B77="",AF$22=""),"",IF(LEN(VLOOKUP($B77,Database!$B$1:$IX$10144,AF$22,FALSE))=0,"",VLOOKUP($B77,Database!$B$1:$IX$10144,AF$22,FALSE)))</f>
        <v>28</v>
      </c>
      <c r="AG77" s="22">
        <f>IF(OR($B77="",AG$22=""),"",IF(LEN(VLOOKUP($B77,Database!$B$1:$IX$10144,AG$22,FALSE))=0,"",VLOOKUP($B77,Database!$B$1:$IX$10144,AG$22,FALSE)))</f>
        <v>22</v>
      </c>
      <c r="AH77" s="22">
        <f>IF(OR($B77="",AH$22=""),"",IF(LEN(VLOOKUP($B77,Database!$B$1:$IX$10144,AH$22,FALSE))=0,"",VLOOKUP($B77,Database!$B$1:$IX$10144,AH$22,FALSE)))</f>
        <v>1.5</v>
      </c>
      <c r="AI77" s="22" t="str">
        <f>IF(OR($B77="",AI$22=""),"",IF(LEN(VLOOKUP($B77,Database!$B$1:$IX$10144,AI$22,FALSE))=0,"",VLOOKUP($B77,Database!$B$1:$IX$10144,AI$22,FALSE)))</f>
        <v>ns</v>
      </c>
      <c r="AJ77" s="22" t="str">
        <f>IF(OR($B77="",AJ$22=""),"",IF(LEN(VLOOKUP($B77,Database!$B$1:$IX$10144,AJ$22,FALSE))=0,"",VLOOKUP($B77,Database!$B$1:$IX$10144,AJ$22,FALSE)))</f>
        <v/>
      </c>
      <c r="AK77" s="22">
        <f>IF(OR($B77="",AK$22=""),"",IF(LEN(VLOOKUP($B77,Database!$B$1:$IX$10144,AK$22,FALSE))=0,"",VLOOKUP($B77,Database!$B$1:$IX$10144,AK$22,FALSE)))</f>
        <v>33.619999999999997</v>
      </c>
      <c r="AL77" s="22" t="str">
        <f>IF(OR($B77="",AL$22=""),"",IF(LEN(VLOOKUP($B77,Database!$B$1:$IX$10144,AL$22,FALSE))=0,"",VLOOKUP($B77,Database!$B$1:$IX$10144,AL$22,FALSE)))</f>
        <v>ns</v>
      </c>
      <c r="AM77" s="22" t="str">
        <f>IF(OR($B77="",AM$22=""),"",IF(LEN(VLOOKUP($B77,Database!$B$1:$IX$10144,AM$22,FALSE))=0,"",VLOOKUP($B77,Database!$B$1:$IX$10144,AM$22,FALSE)))</f>
        <v>ns</v>
      </c>
      <c r="AN77" s="22" t="str">
        <f>IF(OR($B77="",AN$22=""),"",IF(LEN(VLOOKUP($B77,Database!$B$1:$IX$10144,AN$22,FALSE))=0,"",VLOOKUP($B77,Database!$B$1:$IX$10144,AN$22,FALSE)))</f>
        <v>ns</v>
      </c>
      <c r="AO77" s="22" t="str">
        <f>IF(OR($B77="",AO$22=""),"",IF(LEN(VLOOKUP($B77,Database!$B$1:$IX$10144,AO$22,FALSE))=0,"",VLOOKUP($B77,Database!$B$1:$IX$10144,AO$22,FALSE)))</f>
        <v>ns</v>
      </c>
      <c r="AP77" s="22"/>
      <c r="AQ77" s="22"/>
    </row>
    <row r="78" spans="1:61">
      <c r="A78" s="10" t="s">
        <v>1001</v>
      </c>
      <c r="B78">
        <v>18515903</v>
      </c>
      <c r="C78" s="1" t="str">
        <f>IF($B78="","",HYPERLINK(IF(LEN(VLOOKUP($B78,Database!$B$1:$IX$10144,2,FALSE))=0,"",VLOOKUP($B78,Database!$B$1:$IX$10144,2,FALSE))))</f>
        <v/>
      </c>
      <c r="D78" s="1" t="str">
        <f t="shared" si="7"/>
        <v>http://www.ncbi.nlm.nih.gov/pubmed/18515903</v>
      </c>
      <c r="E78" s="22" t="str">
        <f>IF($B78="","",IF(LEN(VLOOKUP($B78,Database!$B$1:$IX$10144,4,FALSE))=0,"",VLOOKUP($B78,Database!$B$1:$IX$10144,4,FALSE)))</f>
        <v>Kronmüller KT</v>
      </c>
      <c r="F78" s="22">
        <f>IF($B78="","",IF(LEN(VLOOKUP($B78,Database!$B$1:$IX$10144,5,FALSE))=0,"",VLOOKUP($B78,Database!$B$1:$IX$10144,5,FALSE)))</f>
        <v>2008</v>
      </c>
      <c r="G78" s="1" t="str">
        <f>IF($B78="","",HYPERLINK(IF(LEN(VLOOKUP($B78,Database!$B$1:$IX$10144,6,FALSE))=0,"",VLOOKUP($B78,Database!$B$1:$IX$10144,6,FALSE))))</f>
        <v>http://bjp.rcpsych.org/cgi/content/full/192/6/472</v>
      </c>
      <c r="H78" s="22">
        <f>IF($B78="","",IF(LEN(VLOOKUP($B78,Database!$B$1:$IX$10144,7,FALSE))=0,"",VLOOKUP($B78,Database!$B$1:$IX$10144,7,FALSE)))</f>
        <v>49</v>
      </c>
      <c r="I78" s="22">
        <f>IF($B78="","",IF(LEN(VLOOKUP($B78,Database!$B$1:$IX$10144,8,FALSE))=0,"",VLOOKUP($B78,Database!$B$1:$IX$10144,8,FALSE)))</f>
        <v>30</v>
      </c>
      <c r="Y78" s="22" t="str">
        <f>IF(OR($B78="",Y$22=""),"",IF(LEN(VLOOKUP($B78,Database!$B$1:$IX$10144,Y$22,FALSE))=0,"",VLOOKUP($B78,Database!$B$1:$IX$10144,Y$22,FALSE)))</f>
        <v>DSM-IV</v>
      </c>
      <c r="Z78" s="22" t="str">
        <f>IF(OR($B78="",Z$22=""),"",IF(LEN(VLOOKUP($B78,Database!$B$1:$IX$10144,Z$22,FALSE))=0,"",VLOOKUP($B78,Database!$B$1:$IX$10144,Z$22,FALSE)))</f>
        <v>MRI</v>
      </c>
      <c r="AA78" s="22" t="str">
        <f>IF(OR($B78="",AA$22=""),"",IF(LEN(VLOOKUP($B78,Database!$B$1:$IX$10144,AA$22,FALSE))=0,"",VLOOKUP($B78,Database!$B$1:$IX$10144,AA$22,FALSE)))</f>
        <v/>
      </c>
      <c r="AB78" s="22" t="str">
        <f>IF(OR($B78="",AB$22=""),"",IF(LEN(VLOOKUP($B78,Database!$B$1:$IX$10144,AB$22,FALSE))=0,"",VLOOKUP($B78,Database!$B$1:$IX$10144,AB$22,FALSE)))</f>
        <v/>
      </c>
      <c r="AC78" s="22" t="str">
        <f>IF(OR($B78="",AC$22=""),"",IF(LEN(VLOOKUP($B78,Database!$B$1:$IX$10144,AC$22,FALSE))=0,"",VLOOKUP($B78,Database!$B$1:$IX$10144,AC$22,FALSE)))</f>
        <v/>
      </c>
      <c r="AD78" s="22" t="str">
        <f>IF(OR($B78="",AD$22=""),"",IF(LEN(VLOOKUP($B78,Database!$B$1:$IX$10144,AD$22,FALSE))=0,"",VLOOKUP($B78,Database!$B$1:$IX$10144,AD$22,FALSE)))</f>
        <v/>
      </c>
      <c r="AE78" s="22" t="str">
        <f>IF(OR($B78="",AE$22=""),"",IF(LEN(VLOOKUP($B78,Database!$B$1:$IX$10144,AE$22,FALSE))=0,"",VLOOKUP($B78,Database!$B$1:$IX$10144,AE$22,FALSE)))</f>
        <v/>
      </c>
      <c r="AF78" s="22" t="str">
        <f>IF(OR($B78="",AF$22=""),"",IF(LEN(VLOOKUP($B78,Database!$B$1:$IX$10144,AF$22,FALSE))=0,"",VLOOKUP($B78,Database!$B$1:$IX$10144,AF$22,FALSE)))</f>
        <v/>
      </c>
      <c r="AG78" s="22" t="str">
        <f>IF(OR($B78="",AG$22=""),"",IF(LEN(VLOOKUP($B78,Database!$B$1:$IX$10144,AG$22,FALSE))=0,"",VLOOKUP($B78,Database!$B$1:$IX$10144,AG$22,FALSE)))</f>
        <v/>
      </c>
      <c r="AH78" s="22">
        <f>IF(OR($B78="",AH$22=""),"",IF(LEN(VLOOKUP($B78,Database!$B$1:$IX$10144,AH$22,FALSE))=0,"",VLOOKUP($B78,Database!$B$1:$IX$10144,AH$22,FALSE)))</f>
        <v>1.5</v>
      </c>
      <c r="AI78" s="22" t="str">
        <f>IF(OR($B78="",AI$22=""),"",IF(LEN(VLOOKUP($B78,Database!$B$1:$IX$10144,AI$22,FALSE))=0,"",VLOOKUP($B78,Database!$B$1:$IX$10144,AI$22,FALSE)))</f>
        <v>ns</v>
      </c>
      <c r="AJ78" s="22" t="str">
        <f>IF(OR($B78="",AJ$22=""),"",IF(LEN(VLOOKUP($B78,Database!$B$1:$IX$10144,AJ$22,FALSE))=0,"",VLOOKUP($B78,Database!$B$1:$IX$10144,AJ$22,FALSE)))</f>
        <v/>
      </c>
      <c r="AK78" s="22" t="str">
        <f>IF(OR($B78="",AK$22=""),"",IF(LEN(VLOOKUP($B78,Database!$B$1:$IX$10144,AK$22,FALSE))=0,"",VLOOKUP($B78,Database!$B$1:$IX$10144,AK$22,FALSE)))</f>
        <v>ns</v>
      </c>
      <c r="AL78" s="22">
        <f>IF(OR($B78="",AL$22=""),"",IF(LEN(VLOOKUP($B78,Database!$B$1:$IX$10144,AL$22,FALSE))=0,"",VLOOKUP($B78,Database!$B$1:$IX$10144,AL$22,FALSE)))</f>
        <v>22.74</v>
      </c>
      <c r="AM78" s="22" t="str">
        <f>IF(OR($B78="",AM$22=""),"",IF(LEN(VLOOKUP($B78,Database!$B$1:$IX$10144,AM$22,FALSE))=0,"",VLOOKUP($B78,Database!$B$1:$IX$10144,AM$22,FALSE)))</f>
        <v>ns</v>
      </c>
      <c r="AN78" s="22" t="str">
        <f>IF(OR($B78="",AN$22=""),"",IF(LEN(VLOOKUP($B78,Database!$B$1:$IX$10144,AN$22,FALSE))=0,"",VLOOKUP($B78,Database!$B$1:$IX$10144,AN$22,FALSE)))</f>
        <v>ns</v>
      </c>
      <c r="AO78" s="22" t="str">
        <f>IF(OR($B78="",AO$22=""),"",IF(LEN(VLOOKUP($B78,Database!$B$1:$IX$10144,AO$22,FALSE))=0,"",VLOOKUP($B78,Database!$B$1:$IX$10144,AO$22,FALSE)))</f>
        <v>ns</v>
      </c>
      <c r="AP78" s="22"/>
      <c r="AQ78" s="22"/>
    </row>
    <row r="79" spans="1:61">
      <c r="A79" s="7" t="s">
        <v>2210</v>
      </c>
      <c r="B79">
        <v>18068956</v>
      </c>
      <c r="C79" s="1" t="str">
        <f>IF($B79="","",HYPERLINK(IF(LEN(VLOOKUP($B79,Database!$B$1:$IX$10144,2,FALSE))=0,"",VLOOKUP($B79,Database!$B$1:$IX$10144,2,FALSE))))</f>
        <v/>
      </c>
      <c r="D79" s="1" t="str">
        <f t="shared" si="7"/>
        <v>http://www.ncbi.nlm.nih.gov/pubmed/18068956</v>
      </c>
      <c r="E79" s="22" t="str">
        <f>IF($B79="","",IF(LEN(VLOOKUP($B79,Database!$B$1:$IX$10144,4,FALSE))=0,"",VLOOKUP($B79,Database!$B$1:$IX$10144,4,FALSE)))</f>
        <v>Lenze SN</v>
      </c>
      <c r="F79" s="22">
        <f>IF($B79="","",IF(LEN(VLOOKUP($B79,Database!$B$1:$IX$10144,5,FALSE))=0,"",VLOOKUP($B79,Database!$B$1:$IX$10144,5,FALSE)))</f>
        <v>2008</v>
      </c>
      <c r="G79" s="1" t="str">
        <f>IF($B79="","",HYPERLINK(IF(LEN(VLOOKUP($B79,Database!$B$1:$IX$10144,6,FALSE))=0,"",VLOOKUP($B79,Database!$B$1:$IX$10144,6,FALSE))))</f>
        <v>http://dx.doi.org/10.1016/j.pscychresns.2007.04.004</v>
      </c>
      <c r="H79" s="22">
        <f>IF($B79="","",IF(LEN(VLOOKUP($B79,Database!$B$1:$IX$10144,7,FALSE))=0,"",VLOOKUP($B79,Database!$B$1:$IX$10144,7,FALSE)))</f>
        <v>31</v>
      </c>
      <c r="I79" s="22">
        <f>IF($B79="","",IF(LEN(VLOOKUP($B79,Database!$B$1:$IX$10144,8,FALSE))=0,"",VLOOKUP($B79,Database!$B$1:$IX$10144,8,FALSE)))</f>
        <v>24</v>
      </c>
      <c r="J79" t="s">
        <v>1002</v>
      </c>
      <c r="Y79" s="22" t="str">
        <f>IF(OR($B79="",Y$22=""),"",IF(LEN(VLOOKUP($B79,Database!$B$1:$IX$10144,Y$22,FALSE))=0,"",VLOOKUP($B79,Database!$B$1:$IX$10144,Y$22,FALSE)))</f>
        <v>DSM-IV</v>
      </c>
      <c r="Z79" s="22" t="str">
        <f>IF(OR($B79="",Z$22=""),"",IF(LEN(VLOOKUP($B79,Database!$B$1:$IX$10144,Z$22,FALSE))=0,"",VLOOKUP($B79,Database!$B$1:$IX$10144,Z$22,FALSE)))</f>
        <v>MRI</v>
      </c>
      <c r="AA79" s="22" t="str">
        <f>IF(OR($B79="",AA$22=""),"",IF(LEN(VLOOKUP($B79,Database!$B$1:$IX$10144,AA$22,FALSE))=0,"",VLOOKUP($B79,Database!$B$1:$IX$10144,AA$22,FALSE)))</f>
        <v/>
      </c>
      <c r="AB79" s="22">
        <f>IF(OR($B79="",AB$22=""),"",IF(LEN(VLOOKUP($B79,Database!$B$1:$IX$10144,AB$22,FALSE))=0,"",VLOOKUP($B79,Database!$B$1:$IX$10144,AB$22,FALSE)))</f>
        <v>50</v>
      </c>
      <c r="AC79" s="22">
        <f>IF(OR($B79="",AC$22=""),"",IF(LEN(VLOOKUP($B79,Database!$B$1:$IX$10144,AC$22,FALSE))=0,"",VLOOKUP($B79,Database!$B$1:$IX$10144,AC$22,FALSE)))</f>
        <v>15</v>
      </c>
      <c r="AD79" s="22">
        <f>IF(OR($B79="",AD$22=""),"",IF(LEN(VLOOKUP($B79,Database!$B$1:$IX$10144,AD$22,FALSE))=0,"",VLOOKUP($B79,Database!$B$1:$IX$10144,AD$22,FALSE)))</f>
        <v>46</v>
      </c>
      <c r="AE79" s="22">
        <f>IF(OR($B79="",AE$22=""),"",IF(LEN(VLOOKUP($B79,Database!$B$1:$IX$10144,AE$22,FALSE))=0,"",VLOOKUP($B79,Database!$B$1:$IX$10144,AE$22,FALSE)))</f>
        <v>14</v>
      </c>
      <c r="AF79" s="22">
        <f>IF(OR($B79="",AF$22=""),"",IF(LEN(VLOOKUP($B79,Database!$B$1:$IX$10144,AF$22,FALSE))=0,"",VLOOKUP($B79,Database!$B$1:$IX$10144,AF$22,FALSE)))</f>
        <v>31</v>
      </c>
      <c r="AG79" s="22">
        <f>IF(OR($B79="",AG$22=""),"",IF(LEN(VLOOKUP($B79,Database!$B$1:$IX$10144,AG$22,FALSE))=0,"",VLOOKUP($B79,Database!$B$1:$IX$10144,AG$22,FALSE)))</f>
        <v>24</v>
      </c>
      <c r="AH79" s="22">
        <f>IF(OR($B79="",AH$22=""),"",IF(LEN(VLOOKUP($B79,Database!$B$1:$IX$10144,AH$22,FALSE))=0,"",VLOOKUP($B79,Database!$B$1:$IX$10144,AH$22,FALSE)))</f>
        <v>1.5</v>
      </c>
      <c r="AI79" s="22">
        <f>IF(OR($B79="",AI$22=""),"",IF(LEN(VLOOKUP($B79,Database!$B$1:$IX$10144,AI$22,FALSE))=0,"",VLOOKUP($B79,Database!$B$1:$IX$10144,AI$22,FALSE)))</f>
        <v>1.25</v>
      </c>
      <c r="AJ79" s="22" t="str">
        <f>IF(OR($B79="",AJ$22=""),"",IF(LEN(VLOOKUP($B79,Database!$B$1:$IX$10144,AJ$22,FALSE))=0,"",VLOOKUP($B79,Database!$B$1:$IX$10144,AJ$22,FALSE)))</f>
        <v/>
      </c>
      <c r="AK79" s="22">
        <f>IF(OR($B79="",AK$22=""),"",IF(LEN(VLOOKUP($B79,Database!$B$1:$IX$10144,AK$22,FALSE))=0,"",VLOOKUP($B79,Database!$B$1:$IX$10144,AK$22,FALSE)))</f>
        <v>29</v>
      </c>
      <c r="AL79" s="22">
        <f>IF(OR($B79="",AL$22=""),"",IF(LEN(VLOOKUP($B79,Database!$B$1:$IX$10144,AL$22,FALSE))=0,"",VLOOKUP($B79,Database!$B$1:$IX$10144,AL$22,FALSE)))</f>
        <v>7</v>
      </c>
      <c r="AM79" s="22">
        <f>IF(OR($B79="",AM$22=""),"",IF(LEN(VLOOKUP($B79,Database!$B$1:$IX$10144,AM$22,FALSE))=0,"",VLOOKUP($B79,Database!$B$1:$IX$10144,AM$22,FALSE)))</f>
        <v>77.41935483870968</v>
      </c>
      <c r="AN79" s="22" t="str">
        <f>IF(OR($B79="",AN$22=""),"",IF(LEN(VLOOKUP($B79,Database!$B$1:$IX$10144,AN$22,FALSE))=0,"",VLOOKUP($B79,Database!$B$1:$IX$10144,AN$22,FALSE)))</f>
        <v>ns</v>
      </c>
      <c r="AO79" s="22" t="str">
        <f>IF(OR($B79="",AO$22=""),"",IF(LEN(VLOOKUP($B79,Database!$B$1:$IX$10144,AO$22,FALSE))=0,"",VLOOKUP($B79,Database!$B$1:$IX$10144,AO$22,FALSE)))</f>
        <v>ns</v>
      </c>
      <c r="AP79" s="22"/>
      <c r="AQ79" s="22"/>
    </row>
    <row r="80" spans="1:61">
      <c r="A80" s="4" t="s">
        <v>351</v>
      </c>
      <c r="C80" s="1"/>
      <c r="D80" s="1"/>
      <c r="E80" s="22"/>
      <c r="F80" s="22"/>
      <c r="G80" s="1"/>
      <c r="H80" s="22"/>
      <c r="I80" s="22"/>
      <c r="Y80" s="22"/>
      <c r="Z80" s="22"/>
      <c r="AA80" s="22"/>
      <c r="AB80" s="22"/>
      <c r="AC80" s="22"/>
      <c r="AD80" s="22"/>
      <c r="AE80" s="22"/>
      <c r="AF80" s="22"/>
      <c r="AG80" s="22"/>
      <c r="AH80" s="22"/>
      <c r="AI80" s="22"/>
      <c r="AJ80" s="22"/>
      <c r="AK80" s="22"/>
      <c r="AL80" s="22"/>
      <c r="AM80" s="22"/>
      <c r="AN80" s="22"/>
      <c r="AO80" s="22"/>
      <c r="AP80" s="22"/>
      <c r="AQ80" s="22"/>
    </row>
    <row r="81" spans="1:43">
      <c r="A81" s="10" t="s">
        <v>418</v>
      </c>
      <c r="B81">
        <v>8632988</v>
      </c>
      <c r="C81" s="1" t="str">
        <f>IF($B81="","",HYPERLINK(IF(LEN(VLOOKUP($B81,Database!$B$1:$IX$10144,2,FALSE))=0,"",VLOOKUP($B81,Database!$B$1:$IX$10144,2,FALSE))))</f>
        <v/>
      </c>
      <c r="D81" s="1" t="str">
        <f t="shared" ref="D81:D96" si="8">IF($B81="","",HYPERLINK(CONCATENATE("http://www.ncbi.nlm.nih.gov/pubmed/",B81)))</f>
        <v>http://www.ncbi.nlm.nih.gov/pubmed/8632988</v>
      </c>
      <c r="E81" s="22" t="str">
        <f>IF($B81="","",IF(LEN(VLOOKUP($B81,Database!$B$1:$IX$10144,4,FALSE))=0,"",VLOOKUP($B81,Database!$B$1:$IX$10144,4,FALSE)))</f>
        <v>Sheline YI</v>
      </c>
      <c r="F81" s="22">
        <f>IF($B81="","",IF(LEN(VLOOKUP($B81,Database!$B$1:$IX$10144,5,FALSE))=0,"",VLOOKUP($B81,Database!$B$1:$IX$10144,5,FALSE)))</f>
        <v>1996</v>
      </c>
      <c r="G81" s="1" t="str">
        <f>IF($B81="","",HYPERLINK(IF(LEN(VLOOKUP($B81,Database!$B$1:$IX$10144,6,FALSE))=0,"",VLOOKUP($B81,Database!$B$1:$IX$10144,6,FALSE))))</f>
        <v>http://www.pnas.org/content/93/9/3908</v>
      </c>
      <c r="H81" s="22">
        <f>IF($B81="","",IF(LEN(VLOOKUP($B81,Database!$B$1:$IX$10144,7,FALSE))=0,"",VLOOKUP($B81,Database!$B$1:$IX$10144,7,FALSE)))</f>
        <v>10</v>
      </c>
      <c r="I81" s="22">
        <f>IF($B81="","",IF(LEN(VLOOKUP($B81,Database!$B$1:$IX$10144,8,FALSE))=0,"",VLOOKUP($B81,Database!$B$1:$IX$10144,8,FALSE)))</f>
        <v>10</v>
      </c>
      <c r="J81" t="s">
        <v>939</v>
      </c>
      <c r="L81">
        <v>2159</v>
      </c>
      <c r="M81">
        <v>301</v>
      </c>
      <c r="N81">
        <v>2544</v>
      </c>
      <c r="O81">
        <v>333</v>
      </c>
      <c r="P81">
        <v>2283</v>
      </c>
      <c r="Q81">
        <v>324</v>
      </c>
      <c r="R81">
        <v>2577</v>
      </c>
      <c r="S81">
        <v>259</v>
      </c>
      <c r="Y81" s="22" t="str">
        <f>IF(OR($B81="",Y$22=""),"",IF(LEN(VLOOKUP($B81,Database!$B$1:$IX$10144,Y$22,FALSE))=0,"",VLOOKUP($B81,Database!$B$1:$IX$10144,Y$22,FALSE)))</f>
        <v>DSM-IV</v>
      </c>
      <c r="Z81" s="22" t="str">
        <f>IF(OR($B81="",Z$22=""),"",IF(LEN(VLOOKUP($B81,Database!$B$1:$IX$10144,Z$22,FALSE))=0,"",VLOOKUP($B81,Database!$B$1:$IX$10144,Z$22,FALSE)))</f>
        <v>MRI</v>
      </c>
      <c r="AA81" s="22" t="str">
        <f>IF(OR($B81="",AA$22=""),"",IF(LEN(VLOOKUP($B81,Database!$B$1:$IX$10144,AA$22,FALSE))=0,"",VLOOKUP($B81,Database!$B$1:$IX$10144,AA$22,FALSE)))</f>
        <v/>
      </c>
      <c r="AB81" s="22">
        <f>IF(OR($B81="",AB$22=""),"",IF(LEN(VLOOKUP($B81,Database!$B$1:$IX$10144,AB$22,FALSE))=0,"",VLOOKUP($B81,Database!$B$1:$IX$10144,AB$22,FALSE)))</f>
        <v>68.5</v>
      </c>
      <c r="AC81" s="22">
        <f>IF(OR($B81="",AC$22=""),"",IF(LEN(VLOOKUP($B81,Database!$B$1:$IX$10144,AC$22,FALSE))=0,"",VLOOKUP($B81,Database!$B$1:$IX$10144,AC$22,FALSE)))</f>
        <v>10.4</v>
      </c>
      <c r="AD81" s="22">
        <f>IF(OR($B81="",AD$22=""),"",IF(LEN(VLOOKUP($B81,Database!$B$1:$IX$10144,AD$22,FALSE))=0,"",VLOOKUP($B81,Database!$B$1:$IX$10144,AD$22,FALSE)))</f>
        <v>68</v>
      </c>
      <c r="AE81" s="22">
        <f>IF(OR($B81="",AE$22=""),"",IF(LEN(VLOOKUP($B81,Database!$B$1:$IX$10144,AE$22,FALSE))=0,"",VLOOKUP($B81,Database!$B$1:$IX$10144,AE$22,FALSE)))</f>
        <v>9.5</v>
      </c>
      <c r="AF81" s="22">
        <f>IF(OR($B81="",AF$22=""),"",IF(LEN(VLOOKUP($B81,Database!$B$1:$IX$10144,AF$22,FALSE))=0,"",VLOOKUP($B81,Database!$B$1:$IX$10144,AF$22,FALSE)))</f>
        <v>10</v>
      </c>
      <c r="AG81" s="22">
        <f>IF(OR($B81="",AG$22=""),"",IF(LEN(VLOOKUP($B81,Database!$B$1:$IX$10144,AG$22,FALSE))=0,"",VLOOKUP($B81,Database!$B$1:$IX$10144,AG$22,FALSE)))</f>
        <v>10</v>
      </c>
      <c r="AH81" s="22"/>
      <c r="AI81" s="22"/>
      <c r="AJ81" s="22" t="str">
        <f>IF(OR($B81="",AJ$22=""),"",IF(LEN(VLOOKUP($B81,Database!$B$1:$IX$10144,AJ$22,FALSE))=0,"",VLOOKUP($B81,Database!$B$1:$IX$10144,AJ$22,FALSE)))</f>
        <v/>
      </c>
      <c r="AK81" s="22" t="str">
        <f>IF(OR($B81="",AK$22=""),"",IF(LEN(VLOOKUP($B81,Database!$B$1:$IX$10144,AK$22,FALSE))=0,"",VLOOKUP($B81,Database!$B$1:$IX$10144,AK$22,FALSE)))</f>
        <v>ns</v>
      </c>
      <c r="AL81" s="22" t="str">
        <f>IF(OR($B81="",AL$22=""),"",IF(LEN(VLOOKUP($B81,Database!$B$1:$IX$10144,AL$22,FALSE))=0,"",VLOOKUP($B81,Database!$B$1:$IX$10144,AL$22,FALSE)))</f>
        <v>ns</v>
      </c>
      <c r="AM81" s="22">
        <f>IF(OR($B81="",AM$22=""),"",IF(LEN(VLOOKUP($B81,Database!$B$1:$IX$10144,AM$22,FALSE))=0,"",VLOOKUP($B81,Database!$B$1:$IX$10144,AM$22,FALSE)))</f>
        <v>80</v>
      </c>
      <c r="AN81" s="22" t="str">
        <f>IF(OR($B81="",AN$22=""),"",IF(LEN(VLOOKUP($B81,Database!$B$1:$IX$10144,AN$22,FALSE))=0,"",VLOOKUP($B81,Database!$B$1:$IX$10144,AN$22,FALSE)))</f>
        <v/>
      </c>
      <c r="AO81" s="22" t="str">
        <f>IF(OR($B81="",AO$22=""),"",IF(LEN(VLOOKUP($B81,Database!$B$1:$IX$10144,AO$22,FALSE))=0,"",VLOOKUP($B81,Database!$B$1:$IX$10144,AO$22,FALSE)))</f>
        <v/>
      </c>
      <c r="AP81" s="22"/>
      <c r="AQ81" s="22"/>
    </row>
    <row r="82" spans="1:43">
      <c r="A82" s="10" t="s">
        <v>418</v>
      </c>
      <c r="B82">
        <v>10366636</v>
      </c>
      <c r="C82" s="1" t="str">
        <f>IF($B82="","",HYPERLINK(IF(LEN(VLOOKUP($B82,Database!$B$1:$IX$10144,2,FALSE))=0,"",VLOOKUP($B82,Database!$B$1:$IX$10144,2,FALSE))))</f>
        <v/>
      </c>
      <c r="D82" s="1" t="str">
        <f t="shared" si="8"/>
        <v>http://www.ncbi.nlm.nih.gov/pubmed/10366636</v>
      </c>
      <c r="E82" s="22" t="str">
        <f>IF($B82="","",IF(LEN(VLOOKUP($B82,Database!$B$1:$IX$10144,4,FALSE))=0,"",VLOOKUP($B82,Database!$B$1:$IX$10144,4,FALSE)))</f>
        <v>Sheline YI</v>
      </c>
      <c r="F82" s="22">
        <f>IF($B82="","",IF(LEN(VLOOKUP($B82,Database!$B$1:$IX$10144,5,FALSE))=0,"",VLOOKUP($B82,Database!$B$1:$IX$10144,5,FALSE)))</f>
        <v>1999</v>
      </c>
      <c r="G82" s="1" t="str">
        <f>IF($B82="","",HYPERLINK(IF(LEN(VLOOKUP($B82,Database!$B$1:$IX$10144,6,FALSE))=0,"",VLOOKUP($B82,Database!$B$1:$IX$10144,6,FALSE))))</f>
        <v>http://ajp.psychiatryonline.org/cgi/reprint/156/12/1989</v>
      </c>
      <c r="H82" s="22">
        <f>IF($B82="","",IF(LEN(VLOOKUP($B82,Database!$B$1:$IX$10144,7,FALSE))=0,"",VLOOKUP($B82,Database!$B$1:$IX$10144,7,FALSE)))</f>
        <v>24</v>
      </c>
      <c r="I82" s="22">
        <f>IF($B82="","",IF(LEN(VLOOKUP($B82,Database!$B$1:$IX$10144,8,FALSE))=0,"",VLOOKUP($B82,Database!$B$1:$IX$10144,8,FALSE)))</f>
        <v>24</v>
      </c>
      <c r="J82" t="s">
        <v>939</v>
      </c>
      <c r="L82">
        <v>2230</v>
      </c>
      <c r="M82">
        <v>323</v>
      </c>
      <c r="N82">
        <v>2482</v>
      </c>
      <c r="O82">
        <v>305</v>
      </c>
      <c r="P82">
        <v>2264</v>
      </c>
      <c r="Q82">
        <v>320</v>
      </c>
      <c r="R82">
        <v>2468</v>
      </c>
      <c r="S82">
        <v>309</v>
      </c>
      <c r="T82">
        <v>4496</v>
      </c>
      <c r="U82">
        <v>602</v>
      </c>
      <c r="V82">
        <v>4951</v>
      </c>
      <c r="W82">
        <v>601</v>
      </c>
      <c r="Y82" s="22" t="str">
        <f>IF(OR($B82="",Y$22=""),"",IF(LEN(VLOOKUP($B82,Database!$B$1:$IX$10144,Y$22,FALSE))=0,"",VLOOKUP($B82,Database!$B$1:$IX$10144,Y$22,FALSE)))</f>
        <v>DSM-IV</v>
      </c>
      <c r="Z82" s="22" t="str">
        <f>IF(OR($B82="",Z$22=""),"",IF(LEN(VLOOKUP($B82,Database!$B$1:$IX$10144,Z$22,FALSE))=0,"",VLOOKUP($B82,Database!$B$1:$IX$10144,Z$22,FALSE)))</f>
        <v>MRI</v>
      </c>
      <c r="AA82" s="22" t="str">
        <f>IF(OR($B82="",AA$22=""),"",IF(LEN(VLOOKUP($B82,Database!$B$1:$IX$10144,AA$22,FALSE))=0,"",VLOOKUP($B82,Database!$B$1:$IX$10144,AA$22,FALSE)))</f>
        <v/>
      </c>
      <c r="AB82" s="22"/>
      <c r="AC82" s="22"/>
      <c r="AD82" s="22">
        <f>IF(OR($B82="",AD$22=""),"",IF(LEN(VLOOKUP($B82,Database!$B$1:$IX$10144,AD$22,FALSE))=0,"",VLOOKUP($B82,Database!$B$1:$IX$10144,AD$22,FALSE)))</f>
        <v>52.8</v>
      </c>
      <c r="AE82" s="22">
        <f>IF(OR($B82="",AE$22=""),"",IF(LEN(VLOOKUP($B82,Database!$B$1:$IX$10144,AE$22,FALSE))=0,"",VLOOKUP($B82,Database!$B$1:$IX$10144,AE$22,FALSE)))</f>
        <v>17.8</v>
      </c>
      <c r="AF82" s="22">
        <f>IF(OR($B82="",AF$22=""),"",IF(LEN(VLOOKUP($B82,Database!$B$1:$IX$10144,AF$22,FALSE))=0,"",VLOOKUP($B82,Database!$B$1:$IX$10144,AF$22,FALSE)))</f>
        <v>24</v>
      </c>
      <c r="AG82" s="22">
        <f>IF(OR($B82="",AG$22=""),"",IF(LEN(VLOOKUP($B82,Database!$B$1:$IX$10144,AG$22,FALSE))=0,"",VLOOKUP($B82,Database!$B$1:$IX$10144,AG$22,FALSE)))</f>
        <v>24</v>
      </c>
      <c r="AH82" s="22"/>
      <c r="AI82" s="22"/>
      <c r="AJ82" s="22" t="str">
        <f>IF(OR($B82="",AJ$22=""),"",IF(LEN(VLOOKUP($B82,Database!$B$1:$IX$10144,AJ$22,FALSE))=0,"",VLOOKUP($B82,Database!$B$1:$IX$10144,AJ$22,FALSE)))</f>
        <v/>
      </c>
      <c r="AK82" s="22" t="str">
        <f>IF(OR($B82="",AK$22=""),"",IF(LEN(VLOOKUP($B82,Database!$B$1:$IX$10144,AK$22,FALSE))=0,"",VLOOKUP($B82,Database!$B$1:$IX$10144,AK$22,FALSE)))</f>
        <v>ns</v>
      </c>
      <c r="AL82" s="22" t="str">
        <f>IF(OR($B82="",AL$22=""),"",IF(LEN(VLOOKUP($B82,Database!$B$1:$IX$10144,AL$22,FALSE))=0,"",VLOOKUP($B82,Database!$B$1:$IX$10144,AL$22,FALSE)))</f>
        <v>ns</v>
      </c>
      <c r="AM82" s="22">
        <f>IF(OR($B82="",AM$22=""),"",IF(LEN(VLOOKUP($B82,Database!$B$1:$IX$10144,AM$22,FALSE))=0,"",VLOOKUP($B82,Database!$B$1:$IX$10144,AM$22,FALSE)))</f>
        <v>66.666666666666657</v>
      </c>
      <c r="AN82" s="22" t="str">
        <f>IF(OR($B82="",AN$22=""),"",IF(LEN(VLOOKUP($B82,Database!$B$1:$IX$10144,AN$22,FALSE))=0,"",VLOOKUP($B82,Database!$B$1:$IX$10144,AN$22,FALSE)))</f>
        <v>ns</v>
      </c>
      <c r="AO82" s="22" t="str">
        <f>IF(OR($B82="",AO$22=""),"",IF(LEN(VLOOKUP($B82,Database!$B$1:$IX$10144,AO$22,FALSE))=0,"",VLOOKUP($B82,Database!$B$1:$IX$10144,AO$22,FALSE)))</f>
        <v>ns</v>
      </c>
      <c r="AP82" s="22"/>
      <c r="AQ82" s="22"/>
    </row>
    <row r="83" spans="1:43">
      <c r="A83" s="10" t="s">
        <v>1188</v>
      </c>
      <c r="B83">
        <v>10960161</v>
      </c>
      <c r="C83" s="1" t="str">
        <f>IF($B83="","",HYPERLINK(IF(LEN(VLOOKUP($B83,Database!$B$1:$IX$10144,2,FALSE))=0,"",VLOOKUP($B83,Database!$B$1:$IX$10144,2,FALSE))))</f>
        <v/>
      </c>
      <c r="D83" s="1" t="str">
        <f t="shared" si="8"/>
        <v>http://www.ncbi.nlm.nih.gov/pubmed/10960161</v>
      </c>
      <c r="E83" s="22" t="str">
        <f>IF($B83="","",IF(LEN(VLOOKUP($B83,Database!$B$1:$IX$10144,4,FALSE))=0,"",VLOOKUP($B83,Database!$B$1:$IX$10144,4,FALSE)))</f>
        <v>Steffens DC</v>
      </c>
      <c r="F83" s="22">
        <f>IF($B83="","",IF(LEN(VLOOKUP($B83,Database!$B$1:$IX$10144,5,FALSE))=0,"",VLOOKUP($B83,Database!$B$1:$IX$10144,5,FALSE)))</f>
        <v>2000</v>
      </c>
      <c r="G83" s="1" t="str">
        <f>IF($B83="","",HYPERLINK(IF(LEN(VLOOKUP($B83,Database!$B$1:$IX$10144,6,FALSE))=0,"",VLOOKUP($B83,Database!$B$1:$IX$10144,6,FALSE))))</f>
        <v>http://dx.doi.org/10.1016/S0006-3223(00)00829-5</v>
      </c>
      <c r="H83" s="22">
        <f>IF($B83="","",IF(LEN(VLOOKUP($B83,Database!$B$1:$IX$10144,7,FALSE))=0,"",VLOOKUP($B83,Database!$B$1:$IX$10144,7,FALSE)))</f>
        <v>66</v>
      </c>
      <c r="I83" s="22">
        <f>IF($B83="","",IF(LEN(VLOOKUP($B83,Database!$B$1:$IX$10144,8,FALSE))=0,"",VLOOKUP($B83,Database!$B$1:$IX$10144,8,FALSE)))</f>
        <v>18</v>
      </c>
      <c r="J83" t="s">
        <v>1045</v>
      </c>
      <c r="L83">
        <v>2.92</v>
      </c>
      <c r="M83">
        <v>0.36</v>
      </c>
      <c r="N83">
        <v>3.17</v>
      </c>
      <c r="O83">
        <v>0.44</v>
      </c>
      <c r="P83">
        <v>2.98</v>
      </c>
      <c r="Q83">
        <v>0.39</v>
      </c>
      <c r="R83">
        <v>3.3</v>
      </c>
      <c r="S83">
        <v>0.44</v>
      </c>
      <c r="Y83" s="22" t="str">
        <f>IF(OR($B83="",Y$22=""),"",IF(LEN(VLOOKUP($B83,Database!$B$1:$IX$10144,Y$22,FALSE))=0,"",VLOOKUP($B83,Database!$B$1:$IX$10144,Y$22,FALSE)))</f>
        <v>DSM-IV</v>
      </c>
      <c r="Z83" s="22" t="str">
        <f>IF(OR($B83="",Z$22=""),"",IF(LEN(VLOOKUP($B83,Database!$B$1:$IX$10144,Z$22,FALSE))=0,"",VLOOKUP($B83,Database!$B$1:$IX$10144,Z$22,FALSE)))</f>
        <v>MRI</v>
      </c>
      <c r="AA83" s="22" t="str">
        <f>IF(OR($B83="",AA$22=""),"",IF(LEN(VLOOKUP($B83,Database!$B$1:$IX$10144,AA$22,FALSE))=0,"",VLOOKUP($B83,Database!$B$1:$IX$10144,AA$22,FALSE)))</f>
        <v/>
      </c>
      <c r="AB83" s="22">
        <f>IF(OR($B83="",AB$22=""),"",IF(LEN(VLOOKUP($B83,Database!$B$1:$IX$10144,AB$22,FALSE))=0,"",VLOOKUP($B83,Database!$B$1:$IX$10144,AB$22,FALSE)))</f>
        <v>71.739999999999995</v>
      </c>
      <c r="AC83" s="22">
        <f>IF(OR($B83="",AC$22=""),"",IF(LEN(VLOOKUP($B83,Database!$B$1:$IX$10144,AC$22,FALSE))=0,"",VLOOKUP($B83,Database!$B$1:$IX$10144,AC$22,FALSE)))</f>
        <v>8.42</v>
      </c>
      <c r="AD83" s="22">
        <f>IF(OR($B83="",AD$22=""),"",IF(LEN(VLOOKUP($B83,Database!$B$1:$IX$10144,AD$22,FALSE))=0,"",VLOOKUP($B83,Database!$B$1:$IX$10144,AD$22,FALSE)))</f>
        <v>67.11</v>
      </c>
      <c r="AE83" s="22">
        <f>IF(OR($B83="",AE$22=""),"",IF(LEN(VLOOKUP($B83,Database!$B$1:$IX$10144,AE$22,FALSE))=0,"",VLOOKUP($B83,Database!$B$1:$IX$10144,AE$22,FALSE)))</f>
        <v>5.04</v>
      </c>
      <c r="AF83" s="22">
        <f>IF(OR($B83="",AF$22=""),"",IF(LEN(VLOOKUP($B83,Database!$B$1:$IX$10144,AF$22,FALSE))=0,"",VLOOKUP($B83,Database!$B$1:$IX$10144,AF$22,FALSE)))</f>
        <v>51</v>
      </c>
      <c r="AG83" s="22">
        <f>IF(OR($B83="",AG$22=""),"",IF(LEN(VLOOKUP($B83,Database!$B$1:$IX$10144,AG$22,FALSE))=0,"",VLOOKUP($B83,Database!$B$1:$IX$10144,AG$22,FALSE)))</f>
        <v>9</v>
      </c>
      <c r="AH83" s="22"/>
      <c r="AI83" s="22"/>
      <c r="AJ83" s="22" t="str">
        <f>IF(OR($B83="",AJ$22=""),"",IF(LEN(VLOOKUP($B83,Database!$B$1:$IX$10144,AJ$22,FALSE))=0,"",VLOOKUP($B83,Database!$B$1:$IX$10144,AJ$22,FALSE)))</f>
        <v/>
      </c>
      <c r="AK83" s="22" t="str">
        <f>IF(OR($B83="",AK$22=""),"",IF(LEN(VLOOKUP($B83,Database!$B$1:$IX$10144,AK$22,FALSE))=0,"",VLOOKUP($B83,Database!$B$1:$IX$10144,AK$22,FALSE)))</f>
        <v>ns</v>
      </c>
      <c r="AL83" s="22" t="str">
        <f>IF(OR($B83="",AL$22=""),"",IF(LEN(VLOOKUP($B83,Database!$B$1:$IX$10144,AL$22,FALSE))=0,"",VLOOKUP($B83,Database!$B$1:$IX$10144,AL$22,FALSE)))</f>
        <v>ns</v>
      </c>
      <c r="AM83" s="22" t="str">
        <f>IF(OR($B83="",AM$22=""),"",IF(LEN(VLOOKUP($B83,Database!$B$1:$IX$10144,AM$22,FALSE))=0,"",VLOOKUP($B83,Database!$B$1:$IX$10144,AM$22,FALSE)))</f>
        <v>ns</v>
      </c>
      <c r="AN83" s="22" t="str">
        <f>IF(OR($B83="",AN$22=""),"",IF(LEN(VLOOKUP($B83,Database!$B$1:$IX$10144,AN$22,FALSE))=0,"",VLOOKUP($B83,Database!$B$1:$IX$10144,AN$22,FALSE)))</f>
        <v>ns</v>
      </c>
      <c r="AO83" s="22" t="str">
        <f>IF(OR($B83="",AO$22=""),"",IF(LEN(VLOOKUP($B83,Database!$B$1:$IX$10144,AO$22,FALSE))=0,"",VLOOKUP($B83,Database!$B$1:$IX$10144,AO$22,FALSE)))</f>
        <v>ns</v>
      </c>
      <c r="AP83" s="22"/>
      <c r="AQ83" s="22"/>
    </row>
    <row r="84" spans="1:43">
      <c r="A84" s="10" t="s">
        <v>2335</v>
      </c>
      <c r="B84">
        <v>12091188</v>
      </c>
      <c r="C84" s="1" t="str">
        <f>IF($B84="","",HYPERLINK(IF(LEN(VLOOKUP($B84,Database!$B$1:$IX$10144,2,FALSE))=0,"",VLOOKUP($B84,Database!$B$1:$IX$10144,2,FALSE))))</f>
        <v/>
      </c>
      <c r="D84" s="1" t="str">
        <f t="shared" si="8"/>
        <v>http://www.ncbi.nlm.nih.gov/pubmed/12091188</v>
      </c>
      <c r="E84" s="22" t="str">
        <f>IF($B84="","",IF(LEN(VLOOKUP($B84,Database!$B$1:$IX$10144,4,FALSE))=0,"",VLOOKUP($B84,Database!$B$1:$IX$10144,4,FALSE)))</f>
        <v>Frodl T (B)</v>
      </c>
      <c r="F84" s="22">
        <f>IF($B84="","",IF(LEN(VLOOKUP($B84,Database!$B$1:$IX$10144,5,FALSE))=0,"",VLOOKUP($B84,Database!$B$1:$IX$10144,5,FALSE)))</f>
        <v>2002</v>
      </c>
      <c r="G84" s="1" t="str">
        <f>IF($B84="","",HYPERLINK(IF(LEN(VLOOKUP($B84,Database!$B$1:$IX$10144,6,FALSE))=0,"",VLOOKUP($B84,Database!$B$1:$IX$10144,6,FALSE))))</f>
        <v>http://ajp.psychiatryonline.org/cgi/reprint/159/7/1112</v>
      </c>
      <c r="H84" s="22">
        <f>IF($B84="","",IF(LEN(VLOOKUP($B84,Database!$B$1:$IX$10144,7,FALSE))=0,"",VLOOKUP($B84,Database!$B$1:$IX$10144,7,FALSE)))</f>
        <v>30</v>
      </c>
      <c r="I84" s="22">
        <f>IF($B84="","",IF(LEN(VLOOKUP($B84,Database!$B$1:$IX$10144,8,FALSE))=0,"",VLOOKUP($B84,Database!$B$1:$IX$10144,8,FALSE)))</f>
        <v>30</v>
      </c>
      <c r="J84" t="s">
        <v>869</v>
      </c>
      <c r="L84">
        <v>3681</v>
      </c>
      <c r="M84">
        <v>393</v>
      </c>
      <c r="N84">
        <v>3772</v>
      </c>
      <c r="O84">
        <v>397</v>
      </c>
      <c r="P84">
        <v>3847</v>
      </c>
      <c r="Q84">
        <v>400</v>
      </c>
      <c r="R84">
        <v>3763</v>
      </c>
      <c r="S84">
        <v>411</v>
      </c>
      <c r="Y84" s="22" t="str">
        <f>IF(OR($B84="",Y$22=""),"",IF(LEN(VLOOKUP($B84,Database!$B$1:$IX$10144,Y$22,FALSE))=0,"",VLOOKUP($B84,Database!$B$1:$IX$10144,Y$22,FALSE)))</f>
        <v>DSM-IV</v>
      </c>
      <c r="Z84" s="22" t="str">
        <f>IF(OR($B84="",Z$22=""),"",IF(LEN(VLOOKUP($B84,Database!$B$1:$IX$10144,Z$22,FALSE))=0,"",VLOOKUP($B84,Database!$B$1:$IX$10144,Z$22,FALSE)))</f>
        <v>MRI</v>
      </c>
      <c r="AA84" s="22" t="str">
        <f>IF(OR($B84="",AA$22=""),"",IF(LEN(VLOOKUP($B84,Database!$B$1:$IX$10144,AA$22,FALSE))=0,"",VLOOKUP($B84,Database!$B$1:$IX$10144,AA$22,FALSE)))</f>
        <v/>
      </c>
      <c r="AB84" s="22">
        <f>IF(OR($B84="",AB$22=""),"",IF(LEN(VLOOKUP($B84,Database!$B$1:$IX$10144,AB$22,FALSE))=0,"",VLOOKUP($B84,Database!$B$1:$IX$10144,AB$22,FALSE)))</f>
        <v>40.299999999999997</v>
      </c>
      <c r="AC84" s="22">
        <f>IF(OR($B84="",AC$22=""),"",IF(LEN(VLOOKUP($B84,Database!$B$1:$IX$10144,AC$22,FALSE))=0,"",VLOOKUP($B84,Database!$B$1:$IX$10144,AC$22,FALSE)))</f>
        <v>12.6</v>
      </c>
      <c r="AD84" s="22">
        <f>IF(OR($B84="",AD$22=""),"",IF(LEN(VLOOKUP($B84,Database!$B$1:$IX$10144,AD$22,FALSE))=0,"",VLOOKUP($B84,Database!$B$1:$IX$10144,AD$22,FALSE)))</f>
        <v>40.6</v>
      </c>
      <c r="AE84" s="22">
        <f>IF(OR($B84="",AE$22=""),"",IF(LEN(VLOOKUP($B84,Database!$B$1:$IX$10144,AE$22,FALSE))=0,"",VLOOKUP($B84,Database!$B$1:$IX$10144,AE$22,FALSE)))</f>
        <v>12.5</v>
      </c>
      <c r="AF84" s="22">
        <f>IF(OR($B84="",AF$22=""),"",IF(LEN(VLOOKUP($B84,Database!$B$1:$IX$10144,AF$22,FALSE))=0,"",VLOOKUP($B84,Database!$B$1:$IX$10144,AF$22,FALSE)))</f>
        <v>17</v>
      </c>
      <c r="AG84" s="22">
        <f>IF(OR($B84="",AG$22=""),"",IF(LEN(VLOOKUP($B84,Database!$B$1:$IX$10144,AG$22,FALSE))=0,"",VLOOKUP($B84,Database!$B$1:$IX$10144,AG$22,FALSE)))</f>
        <v>17</v>
      </c>
      <c r="AH84" s="22"/>
      <c r="AI84" s="22"/>
      <c r="AJ84" s="22" t="str">
        <f>IF(OR($B84="",AJ$22=""),"",IF(LEN(VLOOKUP($B84,Database!$B$1:$IX$10144,AJ$22,FALSE))=0,"",VLOOKUP($B84,Database!$B$1:$IX$10144,AJ$22,FALSE)))</f>
        <v/>
      </c>
      <c r="AK84" s="22">
        <f>IF(OR($B84="",AK$22=""),"",IF(LEN(VLOOKUP($B84,Database!$B$1:$IX$10144,AK$22,FALSE))=0,"",VLOOKUP($B84,Database!$B$1:$IX$10144,AK$22,FALSE)))</f>
        <v>40</v>
      </c>
      <c r="AL84" s="22">
        <f>IF(OR($B84="",AL$22=""),"",IF(LEN(VLOOKUP($B84,Database!$B$1:$IX$10144,AL$22,FALSE))=0,"",VLOOKUP($B84,Database!$B$1:$IX$10144,AL$22,FALSE)))</f>
        <v>24.8</v>
      </c>
      <c r="AM84" s="22" t="str">
        <f>IF(OR($B84="",AM$22=""),"",IF(LEN(VLOOKUP($B84,Database!$B$1:$IX$10144,AM$22,FALSE))=0,"",VLOOKUP($B84,Database!$B$1:$IX$10144,AM$22,FALSE)))</f>
        <v>ns</v>
      </c>
      <c r="AN84" s="22" t="str">
        <f>IF(OR($B84="",AN$22=""),"",IF(LEN(VLOOKUP($B84,Database!$B$1:$IX$10144,AN$22,FALSE))=0,"",VLOOKUP($B84,Database!$B$1:$IX$10144,AN$22,FALSE)))</f>
        <v>ns</v>
      </c>
      <c r="AO84" s="22" t="str">
        <f>IF(OR($B84="",AO$22=""),"",IF(LEN(VLOOKUP($B84,Database!$B$1:$IX$10144,AO$22,FALSE))=0,"",VLOOKUP($B84,Database!$B$1:$IX$10144,AO$22,FALSE)))</f>
        <v>ns</v>
      </c>
      <c r="AP84" s="22"/>
      <c r="AQ84" s="22"/>
    </row>
    <row r="85" spans="1:43">
      <c r="A85" s="10" t="s">
        <v>2335</v>
      </c>
      <c r="B85">
        <v>15119911</v>
      </c>
      <c r="C85" s="1" t="str">
        <f>IF($B85="","",HYPERLINK(IF(LEN(VLOOKUP($B85,Database!$B$1:$IX$10144,2,FALSE))=0,"",VLOOKUP($B85,Database!$B$1:$IX$10144,2,FALSE))))</f>
        <v/>
      </c>
      <c r="D85" s="1" t="str">
        <f t="shared" si="8"/>
        <v>http://www.ncbi.nlm.nih.gov/pubmed/15119911</v>
      </c>
      <c r="E85" s="22" t="str">
        <f>IF($B85="","",IF(LEN(VLOOKUP($B85,Database!$B$1:$IX$10144,4,FALSE))=0,"",VLOOKUP($B85,Database!$B$1:$IX$10144,4,FALSE)))</f>
        <v>Frodl T (B)</v>
      </c>
      <c r="F85" s="22">
        <f>IF($B85="","",IF(LEN(VLOOKUP($B85,Database!$B$1:$IX$10144,5,FALSE))=0,"",VLOOKUP($B85,Database!$B$1:$IX$10144,5,FALSE)))</f>
        <v>2004</v>
      </c>
      <c r="G85" s="1" t="str">
        <f>IF($B85="","",HYPERLINK(IF(LEN(VLOOKUP($B85,Database!$B$1:$IX$10144,6,FALSE))=0,"",VLOOKUP($B85,Database!$B$1:$IX$10144,6,FALSE))))</f>
        <v>http://www.psychiatrist.com/abstracts/abstracts.asp?abstract=200404/040405.htm</v>
      </c>
      <c r="H85" s="22">
        <f>IF($B85="","",IF(LEN(VLOOKUP($B85,Database!$B$1:$IX$10144,7,FALSE))=0,"",VLOOKUP($B85,Database!$B$1:$IX$10144,7,FALSE)))</f>
        <v>30</v>
      </c>
      <c r="I85" s="22">
        <f>IF($B85="","",IF(LEN(VLOOKUP($B85,Database!$B$1:$IX$10144,8,FALSE))=0,"",VLOOKUP($B85,Database!$B$1:$IX$10144,8,FALSE)))</f>
        <v>30</v>
      </c>
      <c r="J85" t="s">
        <v>1381</v>
      </c>
      <c r="L85">
        <v>3.7</v>
      </c>
      <c r="M85">
        <v>0.33</v>
      </c>
      <c r="N85">
        <v>3.82</v>
      </c>
      <c r="O85">
        <v>0.34</v>
      </c>
      <c r="P85">
        <v>3.8</v>
      </c>
      <c r="Q85">
        <v>0.31</v>
      </c>
      <c r="R85">
        <v>3.93</v>
      </c>
      <c r="S85">
        <v>0.35</v>
      </c>
      <c r="Y85" s="22" t="str">
        <f>IF(OR($B85="",Y$22=""),"",IF(LEN(VLOOKUP($B85,Database!$B$1:$IX$10144,Y$22,FALSE))=0,"",VLOOKUP($B85,Database!$B$1:$IX$10144,Y$22,FALSE)))</f>
        <v>DSM-IV</v>
      </c>
      <c r="Z85" s="22" t="str">
        <f>IF(OR($B85="",Z$22=""),"",IF(LEN(VLOOKUP($B85,Database!$B$1:$IX$10144,Z$22,FALSE))=0,"",VLOOKUP($B85,Database!$B$1:$IX$10144,Z$22,FALSE)))</f>
        <v>MRI</v>
      </c>
      <c r="AA85" s="22" t="str">
        <f>IF(OR($B85="",AA$22=""),"",IF(LEN(VLOOKUP($B85,Database!$B$1:$IX$10144,AA$22,FALSE))=0,"",VLOOKUP($B85,Database!$B$1:$IX$10144,AA$22,FALSE)))</f>
        <v/>
      </c>
      <c r="AB85" s="22">
        <f>IF(OR($B85="",AB$22=""),"",IF(LEN(VLOOKUP($B85,Database!$B$1:$IX$10144,AB$22,FALSE))=0,"",VLOOKUP($B85,Database!$B$1:$IX$10144,AB$22,FALSE)))</f>
        <v>48.4</v>
      </c>
      <c r="AC85" s="22">
        <f>IF(OR($B85="",AC$22=""),"",IF(LEN(VLOOKUP($B85,Database!$B$1:$IX$10144,AC$22,FALSE))=0,"",VLOOKUP($B85,Database!$B$1:$IX$10144,AC$22,FALSE)))</f>
        <v>13.4</v>
      </c>
      <c r="AD85" s="22">
        <f>IF(OR($B85="",AD$22=""),"",IF(LEN(VLOOKUP($B85,Database!$B$1:$IX$10144,AD$22,FALSE))=0,"",VLOOKUP($B85,Database!$B$1:$IX$10144,AD$22,FALSE)))</f>
        <v>45.7</v>
      </c>
      <c r="AE85" s="22">
        <f>IF(OR($B85="",AE$22=""),"",IF(LEN(VLOOKUP($B85,Database!$B$1:$IX$10144,AE$22,FALSE))=0,"",VLOOKUP($B85,Database!$B$1:$IX$10144,AE$22,FALSE)))</f>
        <v>12.9</v>
      </c>
      <c r="AF85" s="22">
        <f>IF(OR($B85="",AF$22=""),"",IF(LEN(VLOOKUP($B85,Database!$B$1:$IX$10144,AF$22,FALSE))=0,"",VLOOKUP($B85,Database!$B$1:$IX$10144,AF$22,FALSE)))</f>
        <v>18</v>
      </c>
      <c r="AG85" s="22">
        <f>IF(OR($B85="",AG$22=""),"",IF(LEN(VLOOKUP($B85,Database!$B$1:$IX$10144,AG$22,FALSE))=0,"",VLOOKUP($B85,Database!$B$1:$IX$10144,AG$22,FALSE)))</f>
        <v>18</v>
      </c>
      <c r="AH85" s="22"/>
      <c r="AI85" s="22"/>
      <c r="AJ85" s="22" t="str">
        <f>IF(OR($B85="",AJ$22=""),"",IF(LEN(VLOOKUP($B85,Database!$B$1:$IX$10144,AJ$22,FALSE))=0,"",VLOOKUP($B85,Database!$B$1:$IX$10144,AJ$22,FALSE)))</f>
        <v/>
      </c>
      <c r="AK85" s="22">
        <f>IF(OR($B85="",AK$22=""),"",IF(LEN(VLOOKUP($B85,Database!$B$1:$IX$10144,AK$22,FALSE))=0,"",VLOOKUP($B85,Database!$B$1:$IX$10144,AK$22,FALSE)))</f>
        <v>39.299999999999997</v>
      </c>
      <c r="AL85" s="22">
        <f>IF(OR($B85="",AL$22=""),"",IF(LEN(VLOOKUP($B85,Database!$B$1:$IX$10144,AL$22,FALSE))=0,"",VLOOKUP($B85,Database!$B$1:$IX$10144,AL$22,FALSE)))</f>
        <v>23.7</v>
      </c>
      <c r="AM85" s="22" t="str">
        <f>IF(OR($B85="",AM$22=""),"",IF(LEN(VLOOKUP($B85,Database!$B$1:$IX$10144,AM$22,FALSE))=0,"",VLOOKUP($B85,Database!$B$1:$IX$10144,AM$22,FALSE)))</f>
        <v>ns</v>
      </c>
      <c r="AN85" s="22">
        <f>IF(OR($B85="",AN$22=""),"",IF(LEN(VLOOKUP($B85,Database!$B$1:$IX$10144,AN$22,FALSE))=0,"",VLOOKUP($B85,Database!$B$1:$IX$10144,AN$22,FALSE)))</f>
        <v>23.333333333333332</v>
      </c>
      <c r="AO85" s="22" t="str">
        <f>IF(OR($B85="",AO$22=""),"",IF(LEN(VLOOKUP($B85,Database!$B$1:$IX$10144,AO$22,FALSE))=0,"",VLOOKUP($B85,Database!$B$1:$IX$10144,AO$22,FALSE)))</f>
        <v>ns</v>
      </c>
      <c r="AP85" s="22"/>
      <c r="AQ85" s="22"/>
    </row>
    <row r="86" spans="1:43">
      <c r="A86" s="7" t="s">
        <v>72</v>
      </c>
      <c r="B86">
        <v>15738499</v>
      </c>
      <c r="C86" s="1" t="str">
        <f>IF($B86="","",HYPERLINK(IF(LEN(VLOOKUP($B86,Database!$B$1:$IX$10144,2,FALSE))=0,"",VLOOKUP($B86,Database!$B$1:$IX$10144,2,FALSE))))</f>
        <v/>
      </c>
      <c r="D86" s="1" t="str">
        <f t="shared" si="8"/>
        <v>http://www.ncbi.nlm.nih.gov/pubmed/15738499</v>
      </c>
      <c r="E86" s="22" t="str">
        <f>IF($B86="","",IF(LEN(VLOOKUP($B86,Database!$B$1:$IX$10144,4,FALSE))=0,"",VLOOKUP($B86,Database!$B$1:$IX$10144,4,FALSE)))</f>
        <v>Hickie I (A)</v>
      </c>
      <c r="F86" s="22">
        <f>IF($B86="","",IF(LEN(VLOOKUP($B86,Database!$B$1:$IX$10144,5,FALSE))=0,"",VLOOKUP($B86,Database!$B$1:$IX$10144,5,FALSE)))</f>
        <v>2005</v>
      </c>
      <c r="G86" s="1" t="str">
        <f>IF($B86="","",HYPERLINK(IF(LEN(VLOOKUP($B86,Database!$B$1:$IX$10144,6,FALSE))=0,"",VLOOKUP($B86,Database!$B$1:$IX$10144,6,FALSE))))</f>
        <v>http://bjp.rcpsych.org/cgi/content/full/186/3/197</v>
      </c>
      <c r="H86" s="22">
        <f>IF($B86="","",IF(LEN(VLOOKUP($B86,Database!$B$1:$IX$10144,7,FALSE))=0,"",VLOOKUP($B86,Database!$B$1:$IX$10144,7,FALSE)))</f>
        <v>51</v>
      </c>
      <c r="I86" s="22">
        <f>IF($B86="","",IF(LEN(VLOOKUP($B86,Database!$B$1:$IX$10144,8,FALSE))=0,"",VLOOKUP($B86,Database!$B$1:$IX$10144,8,FALSE)))</f>
        <v>20</v>
      </c>
      <c r="J86" t="s">
        <v>1054</v>
      </c>
      <c r="L86">
        <v>2.9</v>
      </c>
      <c r="M86">
        <v>0.4</v>
      </c>
      <c r="N86">
        <v>3.3</v>
      </c>
      <c r="O86">
        <v>0.5</v>
      </c>
      <c r="P86">
        <v>3</v>
      </c>
      <c r="Q86">
        <v>0.4</v>
      </c>
      <c r="R86">
        <v>3.3</v>
      </c>
      <c r="S86">
        <v>0.6</v>
      </c>
      <c r="T86">
        <v>5.9</v>
      </c>
      <c r="U86">
        <v>0.7</v>
      </c>
      <c r="V86">
        <v>6.6</v>
      </c>
      <c r="W86">
        <v>1.1000000000000001</v>
      </c>
      <c r="Y86" s="22" t="str">
        <f>IF(OR($B86="",Y$22=""),"",IF(LEN(VLOOKUP($B86,Database!$B$1:$IX$10144,Y$22,FALSE))=0,"",VLOOKUP($B86,Database!$B$1:$IX$10144,Y$22,FALSE)))</f>
        <v>DSM-IV</v>
      </c>
      <c r="Z86" s="22" t="str">
        <f>IF(OR($B86="",Z$22=""),"",IF(LEN(VLOOKUP($B86,Database!$B$1:$IX$10144,Z$22,FALSE))=0,"",VLOOKUP($B86,Database!$B$1:$IX$10144,Z$22,FALSE)))</f>
        <v>MRI</v>
      </c>
      <c r="AA86" s="22" t="str">
        <f>IF(OR($B86="",AA$22=""),"",IF(LEN(VLOOKUP($B86,Database!$B$1:$IX$10144,AA$22,FALSE))=0,"",VLOOKUP($B86,Database!$B$1:$IX$10144,AA$22,FALSE)))</f>
        <v/>
      </c>
      <c r="AB86" s="22">
        <f>IF(OR($B86="",AB$22=""),"",IF(LEN(VLOOKUP($B86,Database!$B$1:$IX$10144,AB$22,FALSE))=0,"",VLOOKUP($B86,Database!$B$1:$IX$10144,AB$22,FALSE)))</f>
        <v>53.5</v>
      </c>
      <c r="AC86" s="22">
        <f>IF(OR($B86="",AC$22=""),"",IF(LEN(VLOOKUP($B86,Database!$B$1:$IX$10144,AC$22,FALSE))=0,"",VLOOKUP($B86,Database!$B$1:$IX$10144,AC$22,FALSE)))</f>
        <v>13.5</v>
      </c>
      <c r="AD86" s="22">
        <f>IF(OR($B86="",AD$22=""),"",IF(LEN(VLOOKUP($B86,Database!$B$1:$IX$10144,AD$22,FALSE))=0,"",VLOOKUP($B86,Database!$B$1:$IX$10144,AD$22,FALSE)))</f>
        <v>55.8</v>
      </c>
      <c r="AE86" s="22">
        <f>IF(OR($B86="",AE$22=""),"",IF(LEN(VLOOKUP($B86,Database!$B$1:$IX$10144,AE$22,FALSE))=0,"",VLOOKUP($B86,Database!$B$1:$IX$10144,AE$22,FALSE)))</f>
        <v>10</v>
      </c>
      <c r="AF86" s="22">
        <f>IF(OR($B86="",AF$22=""),"",IF(LEN(VLOOKUP($B86,Database!$B$1:$IX$10144,AF$22,FALSE))=0,"",VLOOKUP($B86,Database!$B$1:$IX$10144,AF$22,FALSE)))</f>
        <v>44</v>
      </c>
      <c r="AG86" s="22">
        <f>IF(OR($B86="",AG$22=""),"",IF(LEN(VLOOKUP($B86,Database!$B$1:$IX$10144,AG$22,FALSE))=0,"",VLOOKUP($B86,Database!$B$1:$IX$10144,AG$22,FALSE)))</f>
        <v>11</v>
      </c>
      <c r="AH86" s="22">
        <f>IF(OR($B86="",AH$22=""),"",IF(LEN(VLOOKUP($B86,Database!$B$1:$IX$10144,AH$22,FALSE))=0,"",VLOOKUP($B86,Database!$B$1:$IX$10144,AH$22,FALSE)))</f>
        <v>1.5</v>
      </c>
      <c r="AI86" s="22">
        <f>IF(OR($B86="",AI$22=""),"",IF(LEN(VLOOKUP($B86,Database!$B$1:$IX$10144,AI$22,FALSE))=0,"",VLOOKUP($B86,Database!$B$1:$IX$10144,AI$22,FALSE)))</f>
        <v>1.5</v>
      </c>
      <c r="AJ86" s="22" t="str">
        <f>IF(OR($B86="",AJ$22=""),"",IF(LEN(VLOOKUP($B86,Database!$B$1:$IX$10144,AJ$22,FALSE))=0,"",VLOOKUP($B86,Database!$B$1:$IX$10144,AJ$22,FALSE)))</f>
        <v/>
      </c>
      <c r="AK86" s="22">
        <f>IF(OR($B86="",AK$22=""),"",IF(LEN(VLOOKUP($B86,Database!$B$1:$IX$10144,AK$22,FALSE))=0,"",VLOOKUP($B86,Database!$B$1:$IX$10144,AK$22,FALSE)))</f>
        <v>38.4</v>
      </c>
      <c r="AL86" s="22">
        <f>IF(OR($B86="",AL$22=""),"",IF(LEN(VLOOKUP($B86,Database!$B$1:$IX$10144,AL$22,FALSE))=0,"",VLOOKUP($B86,Database!$B$1:$IX$10144,AL$22,FALSE)))</f>
        <v>24.9</v>
      </c>
      <c r="AM86" s="22" t="str">
        <f>IF(OR($B86="",AM$22=""),"",IF(LEN(VLOOKUP($B86,Database!$B$1:$IX$10144,AM$22,FALSE))=0,"",VLOOKUP($B86,Database!$B$1:$IX$10144,AM$22,FALSE)))</f>
        <v>ns</v>
      </c>
      <c r="AN86" s="22" t="str">
        <f>IF(OR($B86="",AN$22=""),"",IF(LEN(VLOOKUP($B86,Database!$B$1:$IX$10144,AN$22,FALSE))=0,"",VLOOKUP($B86,Database!$B$1:$IX$10144,AN$22,FALSE)))</f>
        <v>ns</v>
      </c>
      <c r="AO86" s="22" t="str">
        <f>IF(OR($B86="",AO$22=""),"",IF(LEN(VLOOKUP($B86,Database!$B$1:$IX$10144,AO$22,FALSE))=0,"",VLOOKUP($B86,Database!$B$1:$IX$10144,AO$22,FALSE)))</f>
        <v>ns</v>
      </c>
      <c r="AP86" s="22"/>
      <c r="AQ86" s="22"/>
    </row>
    <row r="87" spans="1:43">
      <c r="A87" s="10" t="s">
        <v>2335</v>
      </c>
      <c r="B87">
        <v>16951734</v>
      </c>
      <c r="C87" s="1" t="str">
        <f>IF($B87="","",HYPERLINK(IF(LEN(VLOOKUP($B87,Database!$B$1:$IX$10144,2,FALSE))=0,"",VLOOKUP($B87,Database!$B$1:$IX$10144,2,FALSE))))</f>
        <v/>
      </c>
      <c r="D87" s="1" t="str">
        <f t="shared" si="8"/>
        <v>http://www.ncbi.nlm.nih.gov/pubmed/16951734</v>
      </c>
      <c r="E87" s="22" t="str">
        <f>IF($B87="","",IF(LEN(VLOOKUP($B87,Database!$B$1:$IX$10144,4,FALSE))=0,"",VLOOKUP($B87,Database!$B$1:$IX$10144,4,FALSE)))</f>
        <v>Frodl T</v>
      </c>
      <c r="F87" s="22">
        <f>IF($B87="","",IF(LEN(VLOOKUP($B87,Database!$B$1:$IX$10144,5,FALSE))=0,"",VLOOKUP($B87,Database!$B$1:$IX$10144,5,FALSE)))</f>
        <v>2006</v>
      </c>
      <c r="G87" s="1" t="str">
        <f>IF($B87="","",HYPERLINK(IF(LEN(VLOOKUP($B87,Database!$B$1:$IX$10144,6,FALSE))=0,"",VLOOKUP($B87,Database!$B$1:$IX$10144,6,FALSE))))</f>
        <v>http://www.cma.ca/multimedia/staticContent/HTML/N0/l2/jpn/vol-31/issue-5/pdf/pg316.pdf</v>
      </c>
      <c r="H87" s="22">
        <f>IF($B87="","",IF(LEN(VLOOKUP($B87,Database!$B$1:$IX$10144,7,FALSE))=0,"",VLOOKUP($B87,Database!$B$1:$IX$10144,7,FALSE)))</f>
        <v>34</v>
      </c>
      <c r="I87" s="22">
        <f>IF($B87="","",IF(LEN(VLOOKUP($B87,Database!$B$1:$IX$10144,8,FALSE))=0,"",VLOOKUP($B87,Database!$B$1:$IX$10144,8,FALSE)))</f>
        <v>34</v>
      </c>
      <c r="J87" t="s">
        <v>878</v>
      </c>
      <c r="L87">
        <v>2.79</v>
      </c>
      <c r="M87">
        <v>0.31</v>
      </c>
      <c r="N87">
        <v>3.06</v>
      </c>
      <c r="O87">
        <v>0.3</v>
      </c>
      <c r="P87">
        <v>2.92</v>
      </c>
      <c r="Q87">
        <v>0.28999999999999998</v>
      </c>
      <c r="R87">
        <v>3.14</v>
      </c>
      <c r="S87">
        <v>0.3</v>
      </c>
      <c r="Y87" s="22" t="str">
        <f>IF(OR($B87="",Y$22=""),"",IF(LEN(VLOOKUP($B87,Database!$B$1:$IX$10144,Y$22,FALSE))=0,"",VLOOKUP($B87,Database!$B$1:$IX$10144,Y$22,FALSE)))</f>
        <v>DSM-IV</v>
      </c>
      <c r="Z87" s="22" t="str">
        <f>IF(OR($B87="",Z$22=""),"",IF(LEN(VLOOKUP($B87,Database!$B$1:$IX$10144,Z$22,FALSE))=0,"",VLOOKUP($B87,Database!$B$1:$IX$10144,Z$22,FALSE)))</f>
        <v>MRI</v>
      </c>
      <c r="AA87" s="22" t="str">
        <f>IF(OR($B87="",AA$22=""),"",IF(LEN(VLOOKUP($B87,Database!$B$1:$IX$10144,AA$22,FALSE))=0,"",VLOOKUP($B87,Database!$B$1:$IX$10144,AA$22,FALSE)))</f>
        <v/>
      </c>
      <c r="AB87" s="22">
        <f>IF(OR($B87="",AB$22=""),"",IF(LEN(VLOOKUP($B87,Database!$B$1:$IX$10144,AB$22,FALSE))=0,"",VLOOKUP($B87,Database!$B$1:$IX$10144,AB$22,FALSE)))</f>
        <v>45.5</v>
      </c>
      <c r="AC87" s="22">
        <f>IF(OR($B87="",AC$22=""),"",IF(LEN(VLOOKUP($B87,Database!$B$1:$IX$10144,AC$22,FALSE))=0,"",VLOOKUP($B87,Database!$B$1:$IX$10144,AC$22,FALSE)))</f>
        <v>11.9</v>
      </c>
      <c r="AD87" s="22">
        <f>IF(OR($B87="",AD$22=""),"",IF(LEN(VLOOKUP($B87,Database!$B$1:$IX$10144,AD$22,FALSE))=0,"",VLOOKUP($B87,Database!$B$1:$IX$10144,AD$22,FALSE)))</f>
        <v>43.6</v>
      </c>
      <c r="AE87" s="22">
        <f>IF(OR($B87="",AE$22=""),"",IF(LEN(VLOOKUP($B87,Database!$B$1:$IX$10144,AE$22,FALSE))=0,"",VLOOKUP($B87,Database!$B$1:$IX$10144,AE$22,FALSE)))</f>
        <v>13.2</v>
      </c>
      <c r="AF87" s="22">
        <f>IF(OR($B87="",AF$22=""),"",IF(LEN(VLOOKUP($B87,Database!$B$1:$IX$10144,AF$22,FALSE))=0,"",VLOOKUP($B87,Database!$B$1:$IX$10144,AF$22,FALSE)))</f>
        <v>15</v>
      </c>
      <c r="AG87" s="22">
        <f>IF(OR($B87="",AG$22=""),"",IF(LEN(VLOOKUP($B87,Database!$B$1:$IX$10144,AG$22,FALSE))=0,"",VLOOKUP($B87,Database!$B$1:$IX$10144,AG$22,FALSE)))</f>
        <v>15</v>
      </c>
      <c r="AH87" s="22"/>
      <c r="AI87" s="22"/>
      <c r="AJ87" s="22" t="str">
        <f>IF(OR($B87="",AJ$22=""),"",IF(LEN(VLOOKUP($B87,Database!$B$1:$IX$10144,AJ$22,FALSE))=0,"",VLOOKUP($B87,Database!$B$1:$IX$10144,AJ$22,FALSE)))</f>
        <v/>
      </c>
      <c r="AK87" s="22">
        <f>IF(OR($B87="",AK$22=""),"",IF(LEN(VLOOKUP($B87,Database!$B$1:$IX$10144,AK$22,FALSE))=0,"",VLOOKUP($B87,Database!$B$1:$IX$10144,AK$22,FALSE)))</f>
        <v>38.799999999999997</v>
      </c>
      <c r="AL87" s="22">
        <f>IF(OR($B87="",AL$22=""),"",IF(LEN(VLOOKUP($B87,Database!$B$1:$IX$10144,AL$22,FALSE))=0,"",VLOOKUP($B87,Database!$B$1:$IX$10144,AL$22,FALSE)))</f>
        <v>24.8</v>
      </c>
      <c r="AM87" s="22">
        <f>IF(OR($B87="",AM$22=""),"",IF(LEN(VLOOKUP($B87,Database!$B$1:$IX$10144,AM$22,FALSE))=0,"",VLOOKUP($B87,Database!$B$1:$IX$10144,AM$22,FALSE)))</f>
        <v>91.17647058823529</v>
      </c>
      <c r="AN87" s="22" t="str">
        <f>IF(OR($B87="",AN$22=""),"",IF(LEN(VLOOKUP($B87,Database!$B$1:$IX$10144,AN$22,FALSE))=0,"",VLOOKUP($B87,Database!$B$1:$IX$10144,AN$22,FALSE)))</f>
        <v>ns</v>
      </c>
      <c r="AO87" s="22">
        <f>IF(OR($B87="",AO$22=""),"",IF(LEN(VLOOKUP($B87,Database!$B$1:$IX$10144,AO$22,FALSE))=0,"",VLOOKUP($B87,Database!$B$1:$IX$10144,AO$22,FALSE)))</f>
        <v>11.76470588235294</v>
      </c>
      <c r="AP87" s="22"/>
      <c r="AQ87" s="22"/>
    </row>
    <row r="88" spans="1:43">
      <c r="A88" s="10" t="s">
        <v>2336</v>
      </c>
      <c r="B88">
        <v>17389903</v>
      </c>
      <c r="C88" s="1" t="str">
        <f>IF($B88="","",HYPERLINK(IF(LEN(VLOOKUP($B88,Database!$B$1:$IX$10144,2,FALSE))=0,"",VLOOKUP($B88,Database!$B$1:$IX$10144,2,FALSE))))</f>
        <v/>
      </c>
      <c r="D88" s="1" t="str">
        <f t="shared" si="8"/>
        <v>http://www.ncbi.nlm.nih.gov/pubmed/17389903</v>
      </c>
      <c r="E88" s="22" t="str">
        <f>IF($B88="","",IF(LEN(VLOOKUP($B88,Database!$B$1:$IX$10144,4,FALSE))=0,"",VLOOKUP($B88,Database!$B$1:$IX$10144,4,FALSE)))</f>
        <v>Monkul ES</v>
      </c>
      <c r="F88" s="22">
        <f>IF($B88="","",IF(LEN(VLOOKUP($B88,Database!$B$1:$IX$10144,5,FALSE))=0,"",VLOOKUP($B88,Database!$B$1:$IX$10144,5,FALSE)))</f>
        <v>2007</v>
      </c>
      <c r="G88" s="1" t="str">
        <f>IF($B88="","",HYPERLINK(IF(LEN(VLOOKUP($B88,Database!$B$1:$IX$10144,6,FALSE))=0,"",VLOOKUP($B88,Database!$B$1:$IX$10144,6,FALSE))))</f>
        <v>http://www.nature.com/mp/journal/v12/n4/pdf/4001919a.pdf</v>
      </c>
      <c r="H88" s="83">
        <v>7</v>
      </c>
      <c r="I88" s="83">
        <v>8.5</v>
      </c>
      <c r="J88" t="s">
        <v>1378</v>
      </c>
      <c r="K88" t="s">
        <v>988</v>
      </c>
      <c r="L88">
        <v>3.44</v>
      </c>
      <c r="M88">
        <v>0.7</v>
      </c>
      <c r="N88">
        <v>3.32</v>
      </c>
      <c r="O88">
        <v>0.27</v>
      </c>
      <c r="P88">
        <v>3.35</v>
      </c>
      <c r="Q88">
        <v>0.49</v>
      </c>
      <c r="R88">
        <v>3.29</v>
      </c>
      <c r="S88">
        <v>0.34</v>
      </c>
      <c r="Y88" s="22" t="str">
        <f>IF(OR($B88="",Y$22=""),"",IF(LEN(VLOOKUP($B88,Database!$B$1:$IX$10144,Y$22,FALSE))=0,"",VLOOKUP($B88,Database!$B$1:$IX$10144,Y$22,FALSE)))</f>
        <v>DSM-IV</v>
      </c>
      <c r="Z88" s="22" t="str">
        <f>IF(OR($B88="",Z$22=""),"",IF(LEN(VLOOKUP($B88,Database!$B$1:$IX$10144,Z$22,FALSE))=0,"",VLOOKUP($B88,Database!$B$1:$IX$10144,Z$22,FALSE)))</f>
        <v>MRI</v>
      </c>
      <c r="AA88" s="22" t="str">
        <f>IF(OR($B88="",AA$22=""),"",IF(LEN(VLOOKUP($B88,Database!$B$1:$IX$10144,AA$22,FALSE))=0,"",VLOOKUP($B88,Database!$B$1:$IX$10144,AA$22,FALSE)))</f>
        <v/>
      </c>
      <c r="AB88" s="83">
        <v>31.4</v>
      </c>
      <c r="AC88" s="83">
        <v>13.9</v>
      </c>
      <c r="AD88" s="83">
        <f>IF(OR($B88="",AD$22=""),"",IF(LEN(VLOOKUP($B88,Database!$B$1:$IX$10144,AD$22,FALSE))=0,"",VLOOKUP($B88,Database!$B$1:$IX$10144,AD$22,FALSE)))</f>
        <v>31.3</v>
      </c>
      <c r="AE88" s="83">
        <f>IF(OR($B88="",AE$22=""),"",IF(LEN(VLOOKUP($B88,Database!$B$1:$IX$10144,AE$22,FALSE))=0,"",VLOOKUP($B88,Database!$B$1:$IX$10144,AE$22,FALSE)))</f>
        <v>8.3000000000000007</v>
      </c>
      <c r="AF88" s="83">
        <v>7</v>
      </c>
      <c r="AG88" s="83">
        <v>8.5</v>
      </c>
      <c r="AH88" s="22"/>
      <c r="AI88" s="22"/>
      <c r="AJ88" s="22" t="str">
        <f>IF(OR($B88="",AJ$22=""),"",IF(LEN(VLOOKUP($B88,Database!$B$1:$IX$10144,AJ$22,FALSE))=0,"",VLOOKUP($B88,Database!$B$1:$IX$10144,AJ$22,FALSE)))</f>
        <v/>
      </c>
      <c r="AK88" s="83">
        <v>16</v>
      </c>
      <c r="AL88" s="83">
        <v>13.7</v>
      </c>
      <c r="AM88" s="22">
        <f>IF(OR($B88="",AM$22=""),"",IF(LEN(VLOOKUP($B88,Database!$B$1:$IX$10144,AM$22,FALSE))=0,"",VLOOKUP($B88,Database!$B$1:$IX$10144,AM$22,FALSE)))</f>
        <v>0</v>
      </c>
      <c r="AN88" s="22">
        <f>IF(OR($B88="",AN$22=""),"",IF(LEN(VLOOKUP($B88,Database!$B$1:$IX$10144,AN$22,FALSE))=0,"",VLOOKUP($B88,Database!$B$1:$IX$10144,AN$22,FALSE)))</f>
        <v>0</v>
      </c>
      <c r="AO88" s="22">
        <f>IF(OR($B88="",AO$22=""),"",IF(LEN(VLOOKUP($B88,Database!$B$1:$IX$10144,AO$22,FALSE))=0,"",VLOOKUP($B88,Database!$B$1:$IX$10144,AO$22,FALSE)))</f>
        <v>0</v>
      </c>
      <c r="AP88" s="22"/>
      <c r="AQ88" s="22"/>
    </row>
    <row r="89" spans="1:43">
      <c r="A89" s="10" t="s">
        <v>2336</v>
      </c>
      <c r="B89">
        <v>17389903</v>
      </c>
      <c r="C89" s="1" t="str">
        <f>IF($B89="","",HYPERLINK(IF(LEN(VLOOKUP($B89,Database!$B$1:$IX$10144,2,FALSE))=0,"",VLOOKUP($B89,Database!$B$1:$IX$10144,2,FALSE))))</f>
        <v/>
      </c>
      <c r="D89" s="1" t="str">
        <f t="shared" si="8"/>
        <v>http://www.ncbi.nlm.nih.gov/pubmed/17389903</v>
      </c>
      <c r="E89" s="22" t="str">
        <f>IF($B89="","",IF(LEN(VLOOKUP($B89,Database!$B$1:$IX$10144,4,FALSE))=0,"",VLOOKUP($B89,Database!$B$1:$IX$10144,4,FALSE)))</f>
        <v>Monkul ES</v>
      </c>
      <c r="F89" s="22">
        <f>IF($B89="","",IF(LEN(VLOOKUP($B89,Database!$B$1:$IX$10144,5,FALSE))=0,"",VLOOKUP($B89,Database!$B$1:$IX$10144,5,FALSE)))</f>
        <v>2007</v>
      </c>
      <c r="G89" s="1" t="str">
        <f>IF($B89="","",HYPERLINK(IF(LEN(VLOOKUP($B89,Database!$B$1:$IX$10144,6,FALSE))=0,"",VLOOKUP($B89,Database!$B$1:$IX$10144,6,FALSE))))</f>
        <v>http://www.nature.com/mp/journal/v12/n4/pdf/4001919a.pdf</v>
      </c>
      <c r="H89" s="83">
        <v>10</v>
      </c>
      <c r="I89" s="83">
        <v>8.5</v>
      </c>
      <c r="J89" t="s">
        <v>1378</v>
      </c>
      <c r="K89" t="s">
        <v>989</v>
      </c>
      <c r="L89">
        <v>3.38</v>
      </c>
      <c r="M89">
        <v>0.43</v>
      </c>
      <c r="N89">
        <v>3.32</v>
      </c>
      <c r="O89">
        <v>0.27</v>
      </c>
      <c r="P89">
        <v>3.47</v>
      </c>
      <c r="Q89">
        <v>0.42</v>
      </c>
      <c r="R89">
        <v>3.29</v>
      </c>
      <c r="S89">
        <v>0.34</v>
      </c>
      <c r="Y89" s="22" t="str">
        <f>IF(OR($B89="",Y$22=""),"",IF(LEN(VLOOKUP($B89,Database!$B$1:$IX$10144,Y$22,FALSE))=0,"",VLOOKUP($B89,Database!$B$1:$IX$10144,Y$22,FALSE)))</f>
        <v>DSM-IV</v>
      </c>
      <c r="Z89" s="22" t="str">
        <f>IF(OR($B89="",Z$22=""),"",IF(LEN(VLOOKUP($B89,Database!$B$1:$IX$10144,Z$22,FALSE))=0,"",VLOOKUP($B89,Database!$B$1:$IX$10144,Z$22,FALSE)))</f>
        <v>MRI</v>
      </c>
      <c r="AA89" s="22" t="str">
        <f>IF(OR($B89="",AA$22=""),"",IF(LEN(VLOOKUP($B89,Database!$B$1:$IX$10144,AA$22,FALSE))=0,"",VLOOKUP($B89,Database!$B$1:$IX$10144,AA$22,FALSE)))</f>
        <v/>
      </c>
      <c r="AB89" s="83">
        <v>36.5</v>
      </c>
      <c r="AC89" s="83">
        <v>7.5</v>
      </c>
      <c r="AD89" s="83">
        <f>IF(OR($B89="",AD$22=""),"",IF(LEN(VLOOKUP($B89,Database!$B$1:$IX$10144,AD$22,FALSE))=0,"",VLOOKUP($B89,Database!$B$1:$IX$10144,AD$22,FALSE)))</f>
        <v>31.3</v>
      </c>
      <c r="AE89" s="83">
        <f>IF(OR($B89="",AE$22=""),"",IF(LEN(VLOOKUP($B89,Database!$B$1:$IX$10144,AE$22,FALSE))=0,"",VLOOKUP($B89,Database!$B$1:$IX$10144,AE$22,FALSE)))</f>
        <v>8.3000000000000007</v>
      </c>
      <c r="AF89" s="83">
        <v>10</v>
      </c>
      <c r="AG89" s="83">
        <v>8.5</v>
      </c>
      <c r="AH89" s="22"/>
      <c r="AI89" s="22"/>
      <c r="AJ89" s="22" t="str">
        <f>IF(OR($B89="",AJ$22=""),"",IF(LEN(VLOOKUP($B89,Database!$B$1:$IX$10144,AJ$22,FALSE))=0,"",VLOOKUP($B89,Database!$B$1:$IX$10144,AJ$22,FALSE)))</f>
        <v/>
      </c>
      <c r="AK89" s="83">
        <v>26.9</v>
      </c>
      <c r="AL89" s="83">
        <v>10.9</v>
      </c>
      <c r="AM89" s="22">
        <f>IF(OR($B89="",AM$22=""),"",IF(LEN(VLOOKUP($B89,Database!$B$1:$IX$10144,AM$22,FALSE))=0,"",VLOOKUP($B89,Database!$B$1:$IX$10144,AM$22,FALSE)))</f>
        <v>0</v>
      </c>
      <c r="AN89" s="22">
        <f>IF(OR($B89="",AN$22=""),"",IF(LEN(VLOOKUP($B89,Database!$B$1:$IX$10144,AN$22,FALSE))=0,"",VLOOKUP($B89,Database!$B$1:$IX$10144,AN$22,FALSE)))</f>
        <v>0</v>
      </c>
      <c r="AO89" s="22">
        <f>IF(OR($B89="",AO$22=""),"",IF(LEN(VLOOKUP($B89,Database!$B$1:$IX$10144,AO$22,FALSE))=0,"",VLOOKUP($B89,Database!$B$1:$IX$10144,AO$22,FALSE)))</f>
        <v>0</v>
      </c>
      <c r="AP89" s="22"/>
      <c r="AQ89" s="22"/>
    </row>
    <row r="90" spans="1:43">
      <c r="A90" s="10" t="s">
        <v>2335</v>
      </c>
      <c r="B90">
        <v>18787661</v>
      </c>
      <c r="C90" s="1" t="str">
        <f>IF($B90="","",HYPERLINK(IF(LEN(VLOOKUP($B90,Database!$B$1:$IX$10144,2,FALSE))=0,"",VLOOKUP($B90,Database!$B$1:$IX$10144,2,FALSE))))</f>
        <v/>
      </c>
      <c r="D90" s="1" t="str">
        <f t="shared" si="8"/>
        <v>http://www.ncbi.nlm.nih.gov/pubmed/18787661</v>
      </c>
      <c r="E90" s="22" t="str">
        <f>IF($B90="","",IF(LEN(VLOOKUP($B90,Database!$B$1:$IX$10144,4,FALSE))=0,"",VLOOKUP($B90,Database!$B$1:$IX$10144,4,FALSE)))</f>
        <v>Frodl T (C)</v>
      </c>
      <c r="F90" s="22">
        <f>IF($B90="","",IF(LEN(VLOOKUP($B90,Database!$B$1:$IX$10144,5,FALSE))=0,"",VLOOKUP($B90,Database!$B$1:$IX$10144,5,FALSE)))</f>
        <v>2008</v>
      </c>
      <c r="G90" s="1" t="str">
        <f>IF($B90="","",HYPERLINK(IF(LEN(VLOOKUP($B90,Database!$B$1:$IX$10144,6,FALSE))=0,"",VLOOKUP($B90,Database!$B$1:$IX$10144,6,FALSE))))</f>
        <v>http://www.cma.ca/multimedia/staticContent/HTML/N0/l2/jpn/vol-33/issue-5/pdf/pg423.pdf</v>
      </c>
      <c r="H90" s="22">
        <f>IF($B90="","",IF(LEN(VLOOKUP($B90,Database!$B$1:$IX$10144,7,FALSE))=0,"",VLOOKUP($B90,Database!$B$1:$IX$10144,7,FALSE)))</f>
        <v>30</v>
      </c>
      <c r="I90" s="22">
        <f>IF($B90="","",IF(LEN(VLOOKUP($B90,Database!$B$1:$IX$10144,8,FALSE))=0,"",VLOOKUP($B90,Database!$B$1:$IX$10144,8,FALSE)))</f>
        <v>30</v>
      </c>
      <c r="J90" t="s">
        <v>652</v>
      </c>
      <c r="L90">
        <v>3.71</v>
      </c>
      <c r="M90">
        <v>0.34</v>
      </c>
      <c r="N90">
        <v>3.72</v>
      </c>
      <c r="O90">
        <v>0.37</v>
      </c>
      <c r="P90">
        <v>3.85</v>
      </c>
      <c r="Q90">
        <v>0.34</v>
      </c>
      <c r="R90">
        <v>3.82</v>
      </c>
      <c r="S90">
        <v>0.47</v>
      </c>
      <c r="Y90" s="22" t="str">
        <f>IF(OR($B90="",Y$22=""),"",IF(LEN(VLOOKUP($B90,Database!$B$1:$IX$10144,Y$22,FALSE))=0,"",VLOOKUP($B90,Database!$B$1:$IX$10144,Y$22,FALSE)))</f>
        <v>DSM-IV</v>
      </c>
      <c r="Z90" s="22" t="str">
        <f>IF(OR($B90="",Z$22=""),"",IF(LEN(VLOOKUP($B90,Database!$B$1:$IX$10144,Z$22,FALSE))=0,"",VLOOKUP($B90,Database!$B$1:$IX$10144,Z$22,FALSE)))</f>
        <v>MRI</v>
      </c>
      <c r="AA90" s="22" t="str">
        <f>IF(OR($B90="",AA$22=""),"",IF(LEN(VLOOKUP($B90,Database!$B$1:$IX$10144,AA$22,FALSE))=0,"",VLOOKUP($B90,Database!$B$1:$IX$10144,AA$22,FALSE)))</f>
        <v/>
      </c>
      <c r="AB90" s="22">
        <f>IF(OR($B90="",AB$22=""),"",IF(LEN(VLOOKUP($B90,Database!$B$1:$IX$10144,AB$22,FALSE))=0,"",VLOOKUP($B90,Database!$B$1:$IX$10144,AB$22,FALSE)))</f>
        <v>45</v>
      </c>
      <c r="AC90" s="22">
        <f>IF(OR($B90="",AC$22=""),"",IF(LEN(VLOOKUP($B90,Database!$B$1:$IX$10144,AC$22,FALSE))=0,"",VLOOKUP($B90,Database!$B$1:$IX$10144,AC$22,FALSE)))</f>
        <v>11.1</v>
      </c>
      <c r="AD90" s="22">
        <f>IF(OR($B90="",AD$22=""),"",IF(LEN(VLOOKUP($B90,Database!$B$1:$IX$10144,AD$22,FALSE))=0,"",VLOOKUP($B90,Database!$B$1:$IX$10144,AD$22,FALSE)))</f>
        <v>43.6</v>
      </c>
      <c r="AE90" s="22">
        <f>IF(OR($B90="",AE$22=""),"",IF(LEN(VLOOKUP($B90,Database!$B$1:$IX$10144,AE$22,FALSE))=0,"",VLOOKUP($B90,Database!$B$1:$IX$10144,AE$22,FALSE)))</f>
        <v>13.1</v>
      </c>
      <c r="AF90" s="22">
        <f>IF(OR($B90="",AF$22=""),"",IF(LEN(VLOOKUP($B90,Database!$B$1:$IX$10144,AF$22,FALSE))=0,"",VLOOKUP($B90,Database!$B$1:$IX$10144,AF$22,FALSE)))</f>
        <v>19</v>
      </c>
      <c r="AG90" s="22">
        <f>IF(OR($B90="",AG$22=""),"",IF(LEN(VLOOKUP($B90,Database!$B$1:$IX$10144,AG$22,FALSE))=0,"",VLOOKUP($B90,Database!$B$1:$IX$10144,AG$22,FALSE)))</f>
        <v>19</v>
      </c>
      <c r="AH90" s="22"/>
      <c r="AI90" s="22"/>
      <c r="AJ90" s="22" t="str">
        <f>IF(OR($B90="",AJ$22=""),"",IF(LEN(VLOOKUP($B90,Database!$B$1:$IX$10144,AJ$22,FALSE))=0,"",VLOOKUP($B90,Database!$B$1:$IX$10144,AJ$22,FALSE)))</f>
        <v/>
      </c>
      <c r="AK90" s="22">
        <f>IF(OR($B90="",AK$22=""),"",IF(LEN(VLOOKUP($B90,Database!$B$1:$IX$10144,AK$22,FALSE))=0,"",VLOOKUP($B90,Database!$B$1:$IX$10144,AK$22,FALSE)))</f>
        <v>39.299999999999997</v>
      </c>
      <c r="AL90" s="22">
        <f>IF(OR($B90="",AL$22=""),"",IF(LEN(VLOOKUP($B90,Database!$B$1:$IX$10144,AL$22,FALSE))=0,"",VLOOKUP($B90,Database!$B$1:$IX$10144,AL$22,FALSE)))</f>
        <v>24</v>
      </c>
      <c r="AM90" s="22">
        <f>IF(OR($B90="",AM$22=""),"",IF(LEN(VLOOKUP($B90,Database!$B$1:$IX$10144,AM$22,FALSE))=0,"",VLOOKUP($B90,Database!$B$1:$IX$10144,AM$22,FALSE)))</f>
        <v>96.666666666666671</v>
      </c>
      <c r="AN90" s="22" t="str">
        <f>IF(OR($B90="",AN$22=""),"",IF(LEN(VLOOKUP($B90,Database!$B$1:$IX$10144,AN$22,FALSE))=0,"",VLOOKUP($B90,Database!$B$1:$IX$10144,AN$22,FALSE)))</f>
        <v>ns</v>
      </c>
      <c r="AO90" s="22" t="str">
        <f>IF(OR($B90="",AO$22=""),"",IF(LEN(VLOOKUP($B90,Database!$B$1:$IX$10144,AO$22,FALSE))=0,"",VLOOKUP($B90,Database!$B$1:$IX$10144,AO$22,FALSE)))</f>
        <v>ns</v>
      </c>
      <c r="AP90" s="22"/>
      <c r="AQ90" s="22"/>
    </row>
    <row r="91" spans="1:43">
      <c r="A91" s="10" t="s">
        <v>1188</v>
      </c>
      <c r="B91">
        <v>18508244</v>
      </c>
      <c r="C91" s="1" t="str">
        <f>IF($B91="","",HYPERLINK(IF(LEN(VLOOKUP($B91,Database!$B$1:$IX$10144,2,FALSE))=0,"",VLOOKUP($B91,Database!$B$1:$IX$10144,2,FALSE))))</f>
        <v/>
      </c>
      <c r="D91" s="1" t="str">
        <f t="shared" si="8"/>
        <v>http://www.ncbi.nlm.nih.gov/pubmed/18508244</v>
      </c>
      <c r="E91" s="22" t="str">
        <f>IF($B91="","",IF(LEN(VLOOKUP($B91,Database!$B$1:$IX$10144,4,FALSE))=0,"",VLOOKUP($B91,Database!$B$1:$IX$10144,4,FALSE)))</f>
        <v>Greenberg DL</v>
      </c>
      <c r="F91" s="22">
        <f>IF($B91="","",IF(LEN(VLOOKUP($B91,Database!$B$1:$IX$10144,5,FALSE))=0,"",VLOOKUP($B91,Database!$B$1:$IX$10144,5,FALSE)))</f>
        <v>2008</v>
      </c>
      <c r="G91" s="1" t="str">
        <f>IF($B91="","",HYPERLINK(IF(LEN(VLOOKUP($B91,Database!$B$1:$IX$10144,6,FALSE))=0,"",VLOOKUP($B91,Database!$B$1:$IX$10144,6,FALSE))))</f>
        <v>http://dx.doi.org/10.1016/j.pscychresns.2007.12.009</v>
      </c>
      <c r="H91" s="83">
        <v>56</v>
      </c>
      <c r="I91" s="83">
        <v>41.5</v>
      </c>
      <c r="J91" t="s">
        <v>609</v>
      </c>
      <c r="K91" t="s">
        <v>607</v>
      </c>
      <c r="L91">
        <v>2.91</v>
      </c>
      <c r="M91">
        <v>0.45</v>
      </c>
      <c r="N91">
        <v>2.95</v>
      </c>
      <c r="O91">
        <v>0.45</v>
      </c>
      <c r="P91">
        <v>3.13</v>
      </c>
      <c r="Q91">
        <v>0.36</v>
      </c>
      <c r="R91">
        <v>3.13</v>
      </c>
      <c r="S91">
        <v>0.44</v>
      </c>
      <c r="Y91" s="22" t="str">
        <f>IF(OR($B91="",Y$22=""),"",IF(LEN(VLOOKUP($B91,Database!$B$1:$IX$10144,Y$22,FALSE))=0,"",VLOOKUP($B91,Database!$B$1:$IX$10144,Y$22,FALSE)))</f>
        <v>DSM-IV</v>
      </c>
      <c r="Z91" s="22" t="str">
        <f>IF(OR($B91="",Z$22=""),"",IF(LEN(VLOOKUP($B91,Database!$B$1:$IX$10144,Z$22,FALSE))=0,"",VLOOKUP($B91,Database!$B$1:$IX$10144,Z$22,FALSE)))</f>
        <v>MRI</v>
      </c>
      <c r="AA91" s="83" t="s">
        <v>751</v>
      </c>
      <c r="AB91" s="83">
        <v>71</v>
      </c>
      <c r="AC91" s="83">
        <v>7</v>
      </c>
      <c r="AD91" s="22">
        <f>IF(OR($B91="",AD$22=""),"",IF(LEN(VLOOKUP($B91,Database!$B$1:$IX$10144,AD$22,FALSE))=0,"",VLOOKUP($B91,Database!$B$1:$IX$10144,AD$22,FALSE)))</f>
        <v>69</v>
      </c>
      <c r="AE91" s="22">
        <f>IF(OR($B91="",AE$22=""),"",IF(LEN(VLOOKUP($B91,Database!$B$1:$IX$10144,AE$22,FALSE))=0,"",VLOOKUP($B91,Database!$B$1:$IX$10144,AE$22,FALSE)))</f>
        <v>7</v>
      </c>
      <c r="AF91" s="83">
        <v>37</v>
      </c>
      <c r="AG91" s="83">
        <v>31.5</v>
      </c>
      <c r="AH91" s="22"/>
      <c r="AI91" s="22"/>
      <c r="AJ91" s="22" t="str">
        <f>IF(OR($B91="",AJ$22=""),"",IF(LEN(VLOOKUP($B91,Database!$B$1:$IX$10144,AJ$22,FALSE))=0,"",VLOOKUP($B91,Database!$B$1:$IX$10144,AJ$22,FALSE)))</f>
        <v/>
      </c>
      <c r="AK91" s="83">
        <v>49</v>
      </c>
      <c r="AL91" s="83">
        <v>21</v>
      </c>
      <c r="AM91" s="22" t="str">
        <f>IF(OR($B91="",AM$22=""),"",IF(LEN(VLOOKUP($B91,Database!$B$1:$IX$10144,AM$22,FALSE))=0,"",VLOOKUP($B91,Database!$B$1:$IX$10144,AM$22,FALSE)))</f>
        <v>ns</v>
      </c>
      <c r="AN91" s="22" t="str">
        <f>IF(OR($B91="",AN$22=""),"",IF(LEN(VLOOKUP($B91,Database!$B$1:$IX$10144,AN$22,FALSE))=0,"",VLOOKUP($B91,Database!$B$1:$IX$10144,AN$22,FALSE)))</f>
        <v>ns</v>
      </c>
      <c r="AO91" s="22" t="str">
        <f>IF(OR($B91="",AO$22=""),"",IF(LEN(VLOOKUP($B91,Database!$B$1:$IX$10144,AO$22,FALSE))=0,"",VLOOKUP($B91,Database!$B$1:$IX$10144,AO$22,FALSE)))</f>
        <v>ns</v>
      </c>
      <c r="AP91" s="22"/>
      <c r="AQ91" s="22"/>
    </row>
    <row r="92" spans="1:43">
      <c r="A92" s="10" t="s">
        <v>1188</v>
      </c>
      <c r="B92">
        <v>18508244</v>
      </c>
      <c r="C92" s="1" t="str">
        <f>IF($B92="","",HYPERLINK(IF(LEN(VLOOKUP($B92,Database!$B$1:$IX$10144,2,FALSE))=0,"",VLOOKUP($B92,Database!$B$1:$IX$10144,2,FALSE))))</f>
        <v/>
      </c>
      <c r="D92" s="1" t="str">
        <f t="shared" si="8"/>
        <v>http://www.ncbi.nlm.nih.gov/pubmed/18508244</v>
      </c>
      <c r="E92" s="22" t="str">
        <f>IF($B92="","",IF(LEN(VLOOKUP($B92,Database!$B$1:$IX$10144,4,FALSE))=0,"",VLOOKUP($B92,Database!$B$1:$IX$10144,4,FALSE)))</f>
        <v>Greenberg DL</v>
      </c>
      <c r="F92" s="22">
        <f>IF($B92="","",IF(LEN(VLOOKUP($B92,Database!$B$1:$IX$10144,5,FALSE))=0,"",VLOOKUP($B92,Database!$B$1:$IX$10144,5,FALSE)))</f>
        <v>2008</v>
      </c>
      <c r="G92" s="1" t="str">
        <f>IF($B92="","",HYPERLINK(IF(LEN(VLOOKUP($B92,Database!$B$1:$IX$10144,6,FALSE))=0,"",VLOOKUP($B92,Database!$B$1:$IX$10144,6,FALSE))))</f>
        <v>http://dx.doi.org/10.1016/j.pscychresns.2007.12.009</v>
      </c>
      <c r="H92" s="83">
        <v>68</v>
      </c>
      <c r="I92" s="83">
        <v>41.5</v>
      </c>
      <c r="J92" t="s">
        <v>609</v>
      </c>
      <c r="K92" t="s">
        <v>608</v>
      </c>
      <c r="L92">
        <v>2.99</v>
      </c>
      <c r="M92">
        <v>0.48</v>
      </c>
      <c r="N92">
        <v>2.95</v>
      </c>
      <c r="O92">
        <v>0.45</v>
      </c>
      <c r="P92">
        <v>3.07</v>
      </c>
      <c r="Q92">
        <v>0.46</v>
      </c>
      <c r="R92">
        <v>3.13</v>
      </c>
      <c r="S92">
        <v>0.44</v>
      </c>
      <c r="Y92" s="22" t="str">
        <f>IF(OR($B92="",Y$22=""),"",IF(LEN(VLOOKUP($B92,Database!$B$1:$IX$10144,Y$22,FALSE))=0,"",VLOOKUP($B92,Database!$B$1:$IX$10144,Y$22,FALSE)))</f>
        <v>DSM-IV</v>
      </c>
      <c r="Z92" s="22" t="str">
        <f>IF(OR($B92="",Z$22=""),"",IF(LEN(VLOOKUP($B92,Database!$B$1:$IX$10144,Z$22,FALSE))=0,"",VLOOKUP($B92,Database!$B$1:$IX$10144,Z$22,FALSE)))</f>
        <v>MRI</v>
      </c>
      <c r="AA92" s="83" t="s">
        <v>752</v>
      </c>
      <c r="AB92" s="83">
        <v>70</v>
      </c>
      <c r="AC92" s="83">
        <v>8</v>
      </c>
      <c r="AD92" s="22">
        <f>IF(OR($B92="",AD$22=""),"",IF(LEN(VLOOKUP($B92,Database!$B$1:$IX$10144,AD$22,FALSE))=0,"",VLOOKUP($B92,Database!$B$1:$IX$10144,AD$22,FALSE)))</f>
        <v>69</v>
      </c>
      <c r="AE92" s="22">
        <f>IF(OR($B92="",AE$22=""),"",IF(LEN(VLOOKUP($B92,Database!$B$1:$IX$10144,AE$22,FALSE))=0,"",VLOOKUP($B92,Database!$B$1:$IX$10144,AE$22,FALSE)))</f>
        <v>7</v>
      </c>
      <c r="AF92" s="83">
        <v>48</v>
      </c>
      <c r="AG92" s="83">
        <v>31.5</v>
      </c>
      <c r="AH92" s="22"/>
      <c r="AI92" s="22"/>
      <c r="AJ92" s="22" t="str">
        <f>IF(OR($B92="",AJ$22=""),"",IF(LEN(VLOOKUP($B92,Database!$B$1:$IX$10144,AJ$22,FALSE))=0,"",VLOOKUP($B92,Database!$B$1:$IX$10144,AJ$22,FALSE)))</f>
        <v/>
      </c>
      <c r="AK92" s="83">
        <v>40</v>
      </c>
      <c r="AL92" s="83">
        <v>21</v>
      </c>
      <c r="AM92" s="22" t="str">
        <f>IF(OR($B92="",AM$22=""),"",IF(LEN(VLOOKUP($B92,Database!$B$1:$IX$10144,AM$22,FALSE))=0,"",VLOOKUP($B92,Database!$B$1:$IX$10144,AM$22,FALSE)))</f>
        <v>ns</v>
      </c>
      <c r="AN92" s="22" t="str">
        <f>IF(OR($B92="",AN$22=""),"",IF(LEN(VLOOKUP($B92,Database!$B$1:$IX$10144,AN$22,FALSE))=0,"",VLOOKUP($B92,Database!$B$1:$IX$10144,AN$22,FALSE)))</f>
        <v>ns</v>
      </c>
      <c r="AO92" s="22" t="str">
        <f>IF(OR($B92="",AO$22=""),"",IF(LEN(VLOOKUP($B92,Database!$B$1:$IX$10144,AO$22,FALSE))=0,"",VLOOKUP($B92,Database!$B$1:$IX$10144,AO$22,FALSE)))</f>
        <v>ns</v>
      </c>
      <c r="AP92" s="22"/>
      <c r="AQ92" s="22"/>
    </row>
    <row r="93" spans="1:43">
      <c r="A93" s="10" t="s">
        <v>1001</v>
      </c>
      <c r="B93">
        <v>18515903</v>
      </c>
      <c r="C93" s="1" t="str">
        <f>IF($B93="","",HYPERLINK(IF(LEN(VLOOKUP($B93,Database!$B$1:$IX$10144,2,FALSE))=0,"",VLOOKUP($B93,Database!$B$1:$IX$10144,2,FALSE))))</f>
        <v/>
      </c>
      <c r="D93" s="1" t="str">
        <f t="shared" si="8"/>
        <v>http://www.ncbi.nlm.nih.gov/pubmed/18515903</v>
      </c>
      <c r="E93" s="22" t="str">
        <f>IF($B93="","",IF(LEN(VLOOKUP($B93,Database!$B$1:$IX$10144,4,FALSE))=0,"",VLOOKUP($B93,Database!$B$1:$IX$10144,4,FALSE)))</f>
        <v>Kronmüller KT</v>
      </c>
      <c r="F93" s="22">
        <f>IF($B93="","",IF(LEN(VLOOKUP($B93,Database!$B$1:$IX$10144,5,FALSE))=0,"",VLOOKUP($B93,Database!$B$1:$IX$10144,5,FALSE)))</f>
        <v>2008</v>
      </c>
      <c r="G93" s="1" t="str">
        <f>IF($B93="","",HYPERLINK(IF(LEN(VLOOKUP($B93,Database!$B$1:$IX$10144,6,FALSE))=0,"",VLOOKUP($B93,Database!$B$1:$IX$10144,6,FALSE))))</f>
        <v>http://bjp.rcpsych.org/cgi/content/full/192/6/472</v>
      </c>
      <c r="H93" s="22">
        <f>IF($B93="","",IF(LEN(VLOOKUP($B93,Database!$B$1:$IX$10144,7,FALSE))=0,"",VLOOKUP($B93,Database!$B$1:$IX$10144,7,FALSE)))</f>
        <v>49</v>
      </c>
      <c r="I93" s="22">
        <f>IF($B93="","",IF(LEN(VLOOKUP($B93,Database!$B$1:$IX$10144,8,FALSE))=0,"",VLOOKUP($B93,Database!$B$1:$IX$10144,8,FALSE)))</f>
        <v>30</v>
      </c>
      <c r="K93" s="10"/>
      <c r="Y93" s="22" t="str">
        <f>IF(OR($B93="",Y$22=""),"",IF(LEN(VLOOKUP($B93,Database!$B$1:$IX$10144,Y$22,FALSE))=0,"",VLOOKUP($B93,Database!$B$1:$IX$10144,Y$22,FALSE)))</f>
        <v>DSM-IV</v>
      </c>
      <c r="Z93" s="22" t="str">
        <f>IF(OR($B93="",Z$22=""),"",IF(LEN(VLOOKUP($B93,Database!$B$1:$IX$10144,Z$22,FALSE))=0,"",VLOOKUP($B93,Database!$B$1:$IX$10144,Z$22,FALSE)))</f>
        <v>MRI</v>
      </c>
      <c r="AA93" s="22" t="str">
        <f>IF(OR($B93="",AA$22=""),"",IF(LEN(VLOOKUP($B93,Database!$B$1:$IX$10144,AA$22,FALSE))=0,"",VLOOKUP($B93,Database!$B$1:$IX$10144,AA$22,FALSE)))</f>
        <v/>
      </c>
      <c r="AB93" s="22" t="str">
        <f>IF(OR($B93="",AB$22=""),"",IF(LEN(VLOOKUP($B93,Database!$B$1:$IX$10144,AB$22,FALSE))=0,"",VLOOKUP($B93,Database!$B$1:$IX$10144,AB$22,FALSE)))</f>
        <v/>
      </c>
      <c r="AC93" s="22" t="str">
        <f>IF(OR($B93="",AC$22=""),"",IF(LEN(VLOOKUP($B93,Database!$B$1:$IX$10144,AC$22,FALSE))=0,"",VLOOKUP($B93,Database!$B$1:$IX$10144,AC$22,FALSE)))</f>
        <v/>
      </c>
      <c r="AD93" s="22" t="str">
        <f>IF(OR($B93="",AD$22=""),"",IF(LEN(VLOOKUP($B93,Database!$B$1:$IX$10144,AD$22,FALSE))=0,"",VLOOKUP($B93,Database!$B$1:$IX$10144,AD$22,FALSE)))</f>
        <v/>
      </c>
      <c r="AE93" s="22" t="str">
        <f>IF(OR($B93="",AE$22=""),"",IF(LEN(VLOOKUP($B93,Database!$B$1:$IX$10144,AE$22,FALSE))=0,"",VLOOKUP($B93,Database!$B$1:$IX$10144,AE$22,FALSE)))</f>
        <v/>
      </c>
      <c r="AF93" s="22" t="str">
        <f>IF(OR($B93="",AF$22=""),"",IF(LEN(VLOOKUP($B93,Database!$B$1:$IX$10144,AF$22,FALSE))=0,"",VLOOKUP($B93,Database!$B$1:$IX$10144,AF$22,FALSE)))</f>
        <v/>
      </c>
      <c r="AG93" s="22" t="str">
        <f>IF(OR($B93="",AG$22=""),"",IF(LEN(VLOOKUP($B93,Database!$B$1:$IX$10144,AG$22,FALSE))=0,"",VLOOKUP($B93,Database!$B$1:$IX$10144,AG$22,FALSE)))</f>
        <v/>
      </c>
      <c r="AH93" s="22">
        <f>IF(OR($B93="",AH$22=""),"",IF(LEN(VLOOKUP($B93,Database!$B$1:$IX$10144,AH$22,FALSE))=0,"",VLOOKUP($B93,Database!$B$1:$IX$10144,AH$22,FALSE)))</f>
        <v>1.5</v>
      </c>
      <c r="AI93" s="22" t="str">
        <f>IF(OR($B93="",AI$22=""),"",IF(LEN(VLOOKUP($B93,Database!$B$1:$IX$10144,AI$22,FALSE))=0,"",VLOOKUP($B93,Database!$B$1:$IX$10144,AI$22,FALSE)))</f>
        <v>ns</v>
      </c>
      <c r="AJ93" s="22" t="str">
        <f>IF(OR($B93="",AJ$22=""),"",IF(LEN(VLOOKUP($B93,Database!$B$1:$IX$10144,AJ$22,FALSE))=0,"",VLOOKUP($B93,Database!$B$1:$IX$10144,AJ$22,FALSE)))</f>
        <v/>
      </c>
      <c r="AK93" s="22" t="str">
        <f>IF(OR($B93="",AK$22=""),"",IF(LEN(VLOOKUP($B93,Database!$B$1:$IX$10144,AK$22,FALSE))=0,"",VLOOKUP($B93,Database!$B$1:$IX$10144,AK$22,FALSE)))</f>
        <v>ns</v>
      </c>
      <c r="AL93" s="22">
        <f>IF(OR($B93="",AL$22=""),"",IF(LEN(VLOOKUP($B93,Database!$B$1:$IX$10144,AL$22,FALSE))=0,"",VLOOKUP($B93,Database!$B$1:$IX$10144,AL$22,FALSE)))</f>
        <v>22.74</v>
      </c>
      <c r="AM93" s="22" t="str">
        <f>IF(OR($B93="",AM$22=""),"",IF(LEN(VLOOKUP($B93,Database!$B$1:$IX$10144,AM$22,FALSE))=0,"",VLOOKUP($B93,Database!$B$1:$IX$10144,AM$22,FALSE)))</f>
        <v>ns</v>
      </c>
      <c r="AN93" s="22" t="str">
        <f>IF(OR($B93="",AN$22=""),"",IF(LEN(VLOOKUP($B93,Database!$B$1:$IX$10144,AN$22,FALSE))=0,"",VLOOKUP($B93,Database!$B$1:$IX$10144,AN$22,FALSE)))</f>
        <v>ns</v>
      </c>
      <c r="AO93" s="22" t="str">
        <f>IF(OR($B93="",AO$22=""),"",IF(LEN(VLOOKUP($B93,Database!$B$1:$IX$10144,AO$22,FALSE))=0,"",VLOOKUP($B93,Database!$B$1:$IX$10144,AO$22,FALSE)))</f>
        <v>ns</v>
      </c>
      <c r="AP93" s="22"/>
      <c r="AQ93" s="22"/>
    </row>
    <row r="94" spans="1:43">
      <c r="A94" s="7" t="s">
        <v>2210</v>
      </c>
      <c r="B94">
        <v>18068956</v>
      </c>
      <c r="C94" s="1" t="str">
        <f>IF($B94="","",HYPERLINK(IF(LEN(VLOOKUP($B94,Database!$B$1:$IX$10144,2,FALSE))=0,"",VLOOKUP($B94,Database!$B$1:$IX$10144,2,FALSE))))</f>
        <v/>
      </c>
      <c r="D94" s="1" t="str">
        <f t="shared" si="8"/>
        <v>http://www.ncbi.nlm.nih.gov/pubmed/18068956</v>
      </c>
      <c r="E94" s="22" t="str">
        <f>IF($B94="","",IF(LEN(VLOOKUP($B94,Database!$B$1:$IX$10144,4,FALSE))=0,"",VLOOKUP($B94,Database!$B$1:$IX$10144,4,FALSE)))</f>
        <v>Lenze SN</v>
      </c>
      <c r="F94" s="22">
        <f>IF($B94="","",IF(LEN(VLOOKUP($B94,Database!$B$1:$IX$10144,5,FALSE))=0,"",VLOOKUP($B94,Database!$B$1:$IX$10144,5,FALSE)))</f>
        <v>2008</v>
      </c>
      <c r="G94" s="1" t="str">
        <f>IF($B94="","",HYPERLINK(IF(LEN(VLOOKUP($B94,Database!$B$1:$IX$10144,6,FALSE))=0,"",VLOOKUP($B94,Database!$B$1:$IX$10144,6,FALSE))))</f>
        <v>http://dx.doi.org/10.1016/j.pscychresns.2007.04.004</v>
      </c>
      <c r="H94" s="22">
        <f>IF($B94="","",IF(LEN(VLOOKUP($B94,Database!$B$1:$IX$10144,7,FALSE))=0,"",VLOOKUP($B94,Database!$B$1:$IX$10144,7,FALSE)))</f>
        <v>31</v>
      </c>
      <c r="I94" s="22">
        <f>IF($B94="","",IF(LEN(VLOOKUP($B94,Database!$B$1:$IX$10144,8,FALSE))=0,"",VLOOKUP($B94,Database!$B$1:$IX$10144,8,FALSE)))</f>
        <v>24</v>
      </c>
      <c r="J94" t="s">
        <v>1002</v>
      </c>
      <c r="K94" s="10"/>
      <c r="Y94" s="22" t="str">
        <f>IF(OR($B94="",Y$22=""),"",IF(LEN(VLOOKUP($B94,Database!$B$1:$IX$10144,Y$22,FALSE))=0,"",VLOOKUP($B94,Database!$B$1:$IX$10144,Y$22,FALSE)))</f>
        <v>DSM-IV</v>
      </c>
      <c r="Z94" s="22" t="str">
        <f>IF(OR($B94="",Z$22=""),"",IF(LEN(VLOOKUP($B94,Database!$B$1:$IX$10144,Z$22,FALSE))=0,"",VLOOKUP($B94,Database!$B$1:$IX$10144,Z$22,FALSE)))</f>
        <v>MRI</v>
      </c>
      <c r="AA94" s="22" t="str">
        <f>IF(OR($B94="",AA$22=""),"",IF(LEN(VLOOKUP($B94,Database!$B$1:$IX$10144,AA$22,FALSE))=0,"",VLOOKUP($B94,Database!$B$1:$IX$10144,AA$22,FALSE)))</f>
        <v/>
      </c>
      <c r="AB94" s="22">
        <f>IF(OR($B94="",AB$22=""),"",IF(LEN(VLOOKUP($B94,Database!$B$1:$IX$10144,AB$22,FALSE))=0,"",VLOOKUP($B94,Database!$B$1:$IX$10144,AB$22,FALSE)))</f>
        <v>50</v>
      </c>
      <c r="AC94" s="22">
        <f>IF(OR($B94="",AC$22=""),"",IF(LEN(VLOOKUP($B94,Database!$B$1:$IX$10144,AC$22,FALSE))=0,"",VLOOKUP($B94,Database!$B$1:$IX$10144,AC$22,FALSE)))</f>
        <v>15</v>
      </c>
      <c r="AD94" s="22">
        <f>IF(OR($B94="",AD$22=""),"",IF(LEN(VLOOKUP($B94,Database!$B$1:$IX$10144,AD$22,FALSE))=0,"",VLOOKUP($B94,Database!$B$1:$IX$10144,AD$22,FALSE)))</f>
        <v>46</v>
      </c>
      <c r="AE94" s="22">
        <f>IF(OR($B94="",AE$22=""),"",IF(LEN(VLOOKUP($B94,Database!$B$1:$IX$10144,AE$22,FALSE))=0,"",VLOOKUP($B94,Database!$B$1:$IX$10144,AE$22,FALSE)))</f>
        <v>14</v>
      </c>
      <c r="AF94" s="22">
        <f>IF(OR($B94="",AF$22=""),"",IF(LEN(VLOOKUP($B94,Database!$B$1:$IX$10144,AF$22,FALSE))=0,"",VLOOKUP($B94,Database!$B$1:$IX$10144,AF$22,FALSE)))</f>
        <v>31</v>
      </c>
      <c r="AG94" s="22">
        <f>IF(OR($B94="",AG$22=""),"",IF(LEN(VLOOKUP($B94,Database!$B$1:$IX$10144,AG$22,FALSE))=0,"",VLOOKUP($B94,Database!$B$1:$IX$10144,AG$22,FALSE)))</f>
        <v>24</v>
      </c>
      <c r="AH94" s="22">
        <f>IF(OR($B94="",AH$22=""),"",IF(LEN(VLOOKUP($B94,Database!$B$1:$IX$10144,AH$22,FALSE))=0,"",VLOOKUP($B94,Database!$B$1:$IX$10144,AH$22,FALSE)))</f>
        <v>1.5</v>
      </c>
      <c r="AI94" s="22">
        <f>IF(OR($B94="",AI$22=""),"",IF(LEN(VLOOKUP($B94,Database!$B$1:$IX$10144,AI$22,FALSE))=0,"",VLOOKUP($B94,Database!$B$1:$IX$10144,AI$22,FALSE)))</f>
        <v>1.25</v>
      </c>
      <c r="AJ94" s="22" t="str">
        <f>IF(OR($B94="",AJ$22=""),"",IF(LEN(VLOOKUP($B94,Database!$B$1:$IX$10144,AJ$22,FALSE))=0,"",VLOOKUP($B94,Database!$B$1:$IX$10144,AJ$22,FALSE)))</f>
        <v/>
      </c>
      <c r="AK94" s="22">
        <f>IF(OR($B94="",AK$22=""),"",IF(LEN(VLOOKUP($B94,Database!$B$1:$IX$10144,AK$22,FALSE))=0,"",VLOOKUP($B94,Database!$B$1:$IX$10144,AK$22,FALSE)))</f>
        <v>29</v>
      </c>
      <c r="AL94" s="22">
        <f>IF(OR($B94="",AL$22=""),"",IF(LEN(VLOOKUP($B94,Database!$B$1:$IX$10144,AL$22,FALSE))=0,"",VLOOKUP($B94,Database!$B$1:$IX$10144,AL$22,FALSE)))</f>
        <v>7</v>
      </c>
      <c r="AM94" s="22">
        <f>IF(OR($B94="",AM$22=""),"",IF(LEN(VLOOKUP($B94,Database!$B$1:$IX$10144,AM$22,FALSE))=0,"",VLOOKUP($B94,Database!$B$1:$IX$10144,AM$22,FALSE)))</f>
        <v>77.41935483870968</v>
      </c>
      <c r="AN94" s="22" t="str">
        <f>IF(OR($B94="",AN$22=""),"",IF(LEN(VLOOKUP($B94,Database!$B$1:$IX$10144,AN$22,FALSE))=0,"",VLOOKUP($B94,Database!$B$1:$IX$10144,AN$22,FALSE)))</f>
        <v>ns</v>
      </c>
      <c r="AO94" s="22" t="str">
        <f>IF(OR($B94="",AO$22=""),"",IF(LEN(VLOOKUP($B94,Database!$B$1:$IX$10144,AO$22,FALSE))=0,"",VLOOKUP($B94,Database!$B$1:$IX$10144,AO$22,FALSE)))</f>
        <v>ns</v>
      </c>
      <c r="AP94" s="22"/>
      <c r="AQ94" s="22"/>
    </row>
    <row r="95" spans="1:43">
      <c r="A95" s="10" t="s">
        <v>1188</v>
      </c>
      <c r="B95">
        <v>18350172</v>
      </c>
      <c r="C95" s="1" t="str">
        <f>IF($B95="","",HYPERLINK(IF(LEN(VLOOKUP($B95,Database!$B$1:$IX$10144,2,FALSE))=0,"",VLOOKUP($B95,Database!$B$1:$IX$10144,2,FALSE))))</f>
        <v/>
      </c>
      <c r="D95" s="1" t="str">
        <f t="shared" si="8"/>
        <v>http://www.ncbi.nlm.nih.gov/pubmed/18350172</v>
      </c>
      <c r="E95" s="22" t="str">
        <f>IF($B95="","",IF(LEN(VLOOKUP($B95,Database!$B$1:$IX$10144,4,FALSE))=0,"",VLOOKUP($B95,Database!$B$1:$IX$10144,4,FALSE)))</f>
        <v>Zhao Z</v>
      </c>
      <c r="F95" s="22">
        <f>IF($B95="","",IF(LEN(VLOOKUP($B95,Database!$B$1:$IX$10144,5,FALSE))=0,"",VLOOKUP($B95,Database!$B$1:$IX$10144,5,FALSE)))</f>
        <v>2008</v>
      </c>
      <c r="G95" s="1" t="str">
        <f>IF($B95="","",HYPERLINK(IF(LEN(VLOOKUP($B95,Database!$B$1:$IX$10144,6,FALSE))=0,"",VLOOKUP($B95,Database!$B$1:$IX$10144,6,FALSE))))</f>
        <v>http://www.plosone.org/article/info:doi/10.1371/journal.pone.0001837</v>
      </c>
      <c r="H95" s="22">
        <f>IF($B95="","",IF(LEN(VLOOKUP($B95,Database!$B$1:$IX$10144,7,FALSE))=0,"",VLOOKUP($B95,Database!$B$1:$IX$10144,7,FALSE)))</f>
        <v>61</v>
      </c>
      <c r="I95" s="22">
        <f>IF($B95="","",IF(LEN(VLOOKUP($B95,Database!$B$1:$IX$10144,8,FALSE))=0,"",VLOOKUP($B95,Database!$B$1:$IX$10144,8,FALSE)))</f>
        <v>43</v>
      </c>
      <c r="J95" t="s">
        <v>1614</v>
      </c>
      <c r="L95">
        <v>3.42</v>
      </c>
      <c r="M95">
        <v>0.54</v>
      </c>
      <c r="N95">
        <v>3.55</v>
      </c>
      <c r="O95">
        <v>0.48</v>
      </c>
      <c r="P95">
        <v>3.65</v>
      </c>
      <c r="Q95">
        <v>0.55000000000000004</v>
      </c>
      <c r="R95">
        <v>3.66</v>
      </c>
      <c r="S95">
        <v>0.56999999999999995</v>
      </c>
      <c r="Y95" s="22" t="str">
        <f>IF(OR($B95="",Y$22=""),"",IF(LEN(VLOOKUP($B95,Database!$B$1:$IX$10144,Y$22,FALSE))=0,"",VLOOKUP($B95,Database!$B$1:$IX$10144,Y$22,FALSE)))</f>
        <v>DSM-IV</v>
      </c>
      <c r="Z95" s="22" t="str">
        <f>IF(OR($B95="",Z$22=""),"",IF(LEN(VLOOKUP($B95,Database!$B$1:$IX$10144,Z$22,FALSE))=0,"",VLOOKUP($B95,Database!$B$1:$IX$10144,Z$22,FALSE)))</f>
        <v>MRI</v>
      </c>
      <c r="AA95" s="22" t="str">
        <f>IF(OR($B95="",AA$22=""),"",IF(LEN(VLOOKUP($B95,Database!$B$1:$IX$10144,AA$22,FALSE))=0,"",VLOOKUP($B95,Database!$B$1:$IX$10144,AA$22,FALSE)))</f>
        <v/>
      </c>
      <c r="AB95" s="22">
        <f>IF(OR($B95="",AB$22=""),"",IF(LEN(VLOOKUP($B95,Database!$B$1:$IX$10144,AB$22,FALSE))=0,"",VLOOKUP($B95,Database!$B$1:$IX$10144,AB$22,FALSE)))</f>
        <v>65.900000000000006</v>
      </c>
      <c r="AC95" s="22">
        <f>IF(OR($B95="",AC$22=""),"",IF(LEN(VLOOKUP($B95,Database!$B$1:$IX$10144,AC$22,FALSE))=0,"",VLOOKUP($B95,Database!$B$1:$IX$10144,AC$22,FALSE)))</f>
        <v>5.5</v>
      </c>
      <c r="AD95" s="22">
        <f>IF(OR($B95="",AD$22=""),"",IF(LEN(VLOOKUP($B95,Database!$B$1:$IX$10144,AD$22,FALSE))=0,"",VLOOKUP($B95,Database!$B$1:$IX$10144,AD$22,FALSE)))</f>
        <v>69</v>
      </c>
      <c r="AE95" s="22">
        <f>IF(OR($B95="",AE$22=""),"",IF(LEN(VLOOKUP($B95,Database!$B$1:$IX$10144,AE$22,FALSE))=0,"",VLOOKUP($B95,Database!$B$1:$IX$10144,AE$22,FALSE)))</f>
        <v>5.5</v>
      </c>
      <c r="AF95" s="22">
        <f>IF(OR($B95="",AF$22=""),"",IF(LEN(VLOOKUP($B95,Database!$B$1:$IX$10144,AF$22,FALSE))=0,"",VLOOKUP($B95,Database!$B$1:$IX$10144,AF$22,FALSE)))</f>
        <v>37</v>
      </c>
      <c r="AG95" s="22">
        <f>IF(OR($B95="",AG$22=""),"",IF(LEN(VLOOKUP($B95,Database!$B$1:$IX$10144,AG$22,FALSE))=0,"",VLOOKUP($B95,Database!$B$1:$IX$10144,AG$22,FALSE)))</f>
        <v>29</v>
      </c>
      <c r="AH95" s="22"/>
      <c r="AI95" s="22"/>
      <c r="AJ95" s="22" t="str">
        <f>IF(OR($B95="",AJ$22=""),"",IF(LEN(VLOOKUP($B95,Database!$B$1:$IX$10144,AJ$22,FALSE))=0,"",VLOOKUP($B95,Database!$B$1:$IX$10144,AJ$22,FALSE)))</f>
        <v/>
      </c>
      <c r="AK95" s="22">
        <f>IF(OR($B95="",AK$22=""),"",IF(LEN(VLOOKUP($B95,Database!$B$1:$IX$10144,AK$22,FALSE))=0,"",VLOOKUP($B95,Database!$B$1:$IX$10144,AK$22,FALSE)))</f>
        <v>39.299999999999997</v>
      </c>
      <c r="AL95" s="22" t="str">
        <f>IF(OR($B95="",AL$22=""),"",IF(LEN(VLOOKUP($B95,Database!$B$1:$IX$10144,AL$22,FALSE))=0,"",VLOOKUP($B95,Database!$B$1:$IX$10144,AL$22,FALSE)))</f>
        <v>ns</v>
      </c>
      <c r="AM95" s="22">
        <f>IF(OR($B95="",AM$22=""),"",IF(LEN(VLOOKUP($B95,Database!$B$1:$IX$10144,AM$22,FALSE))=0,"",VLOOKUP($B95,Database!$B$1:$IX$10144,AM$22,FALSE)))</f>
        <v>88.52459016393442</v>
      </c>
      <c r="AN95" s="22" t="str">
        <f>IF(OR($B95="",AN$22=""),"",IF(LEN(VLOOKUP($B95,Database!$B$1:$IX$10144,AN$22,FALSE))=0,"",VLOOKUP($B95,Database!$B$1:$IX$10144,AN$22,FALSE)))</f>
        <v>ns</v>
      </c>
      <c r="AO95" s="22" t="str">
        <f>IF(OR($B95="",AO$22=""),"",IF(LEN(VLOOKUP($B95,Database!$B$1:$IX$10144,AO$22,FALSE))=0,"",VLOOKUP($B95,Database!$B$1:$IX$10144,AO$22,FALSE)))</f>
        <v>ns</v>
      </c>
      <c r="AP95" s="22"/>
      <c r="AQ95" s="22"/>
    </row>
    <row r="96" spans="1:43">
      <c r="A96" s="10" t="s">
        <v>1188</v>
      </c>
      <c r="B96">
        <v>19010425</v>
      </c>
      <c r="C96" s="1" t="str">
        <f>IF($B96="","",HYPERLINK(IF(LEN(VLOOKUP($B96,Database!$B$1:$IX$10144,2,FALSE))=0,"",VLOOKUP($B96,Database!$B$1:$IX$10144,2,FALSE))))</f>
        <v/>
      </c>
      <c r="D96" s="1" t="str">
        <f t="shared" si="8"/>
        <v>http://www.ncbi.nlm.nih.gov/pubmed/19010425</v>
      </c>
      <c r="E96" s="22" t="str">
        <f>IF($B96="","",IF(LEN(VLOOKUP($B96,Database!$B$1:$IX$10144,4,FALSE))=0,"",VLOOKUP($B96,Database!$B$1:$IX$10144,4,FALSE)))</f>
        <v>Qiu A</v>
      </c>
      <c r="F96" s="22">
        <f>IF($B96="","",IF(LEN(VLOOKUP($B96,Database!$B$1:$IX$10144,5,FALSE))=0,"",VLOOKUP($B96,Database!$B$1:$IX$10144,5,FALSE)))</f>
        <v>2009</v>
      </c>
      <c r="G96" s="1" t="str">
        <f>IF($B96="","",HYPERLINK(IF(LEN(VLOOKUP($B96,Database!$B$1:$IX$10144,6,FALSE))=0,"",VLOOKUP($B96,Database!$B$1:$IX$10144,6,FALSE))))</f>
        <v>http://dx.doi.org/10.1016/j.neuroimage.2008.10.010</v>
      </c>
      <c r="H96" s="83">
        <v>38</v>
      </c>
      <c r="I96" s="22">
        <f>IF($B96="","",IF(LEN(VLOOKUP($B96,Database!$B$1:$IX$10144,8,FALSE))=0,"",VLOOKUP($B96,Database!$B$1:$IX$10144,8,FALSE)))</f>
        <v>31</v>
      </c>
      <c r="J96" t="s">
        <v>887</v>
      </c>
      <c r="K96" t="s">
        <v>644</v>
      </c>
      <c r="L96">
        <v>3381.6</v>
      </c>
      <c r="M96">
        <v>414.9</v>
      </c>
      <c r="N96">
        <v>3520.2</v>
      </c>
      <c r="O96">
        <v>481.1</v>
      </c>
      <c r="P96">
        <v>3620.4</v>
      </c>
      <c r="Q96">
        <v>451.1</v>
      </c>
      <c r="R96">
        <v>3607.9</v>
      </c>
      <c r="S96">
        <v>542</v>
      </c>
      <c r="Y96" s="22" t="str">
        <f>IF(OR($B96="",Y$22=""),"",IF(LEN(VLOOKUP($B96,Database!$B$1:$IX$10144,Y$22,FALSE))=0,"",VLOOKUP($B96,Database!$B$1:$IX$10144,Y$22,FALSE)))</f>
        <v>DSM-IV</v>
      </c>
      <c r="Z96" s="22" t="str">
        <f>IF(OR($B96="",Z$22=""),"",IF(LEN(VLOOKUP($B96,Database!$B$1:$IX$10144,Z$22,FALSE))=0,"",VLOOKUP($B96,Database!$B$1:$IX$10144,Z$22,FALSE)))</f>
        <v>MRI</v>
      </c>
      <c r="AA96" s="22" t="str">
        <f>IF(OR($B96="",AA$22=""),"",IF(LEN(VLOOKUP($B96,Database!$B$1:$IX$10144,AA$22,FALSE))=0,"",VLOOKUP($B96,Database!$B$1:$IX$10144,AA$22,FALSE)))</f>
        <v/>
      </c>
      <c r="AB96" s="22" t="str">
        <f>IF(OR($B96="",AB$22=""),"",IF(LEN(VLOOKUP($B96,Database!$B$1:$IX$10144,AB$22,FALSE))=0,"",VLOOKUP($B96,Database!$B$1:$IX$10144,AB$22,FALSE)))</f>
        <v/>
      </c>
      <c r="AC96" s="22" t="str">
        <f>IF(OR($B96="",AC$22=""),"",IF(LEN(VLOOKUP($B96,Database!$B$1:$IX$10144,AC$22,FALSE))=0,"",VLOOKUP($B96,Database!$B$1:$IX$10144,AC$22,FALSE)))</f>
        <v/>
      </c>
      <c r="AD96" s="22">
        <f>IF(OR($B96="",AD$22=""),"",IF(LEN(VLOOKUP($B96,Database!$B$1:$IX$10144,AD$22,FALSE))=0,"",VLOOKUP($B96,Database!$B$1:$IX$10144,AD$22,FALSE)))</f>
        <v>68.900000000000006</v>
      </c>
      <c r="AE96" s="22">
        <f>IF(OR($B96="",AE$22=""),"",IF(LEN(VLOOKUP($B96,Database!$B$1:$IX$10144,AE$22,FALSE))=0,"",VLOOKUP($B96,Database!$B$1:$IX$10144,AE$22,FALSE)))</f>
        <v>5.9</v>
      </c>
      <c r="AF96" s="22">
        <f>IF(OR($B96="",AF$22=""),"",IF(LEN(VLOOKUP($B96,Database!$B$1:$IX$10144,AF$22,FALSE))=0,"",VLOOKUP($B96,Database!$B$1:$IX$10144,AF$22,FALSE)))</f>
        <v>34</v>
      </c>
      <c r="AG96" s="22">
        <f>IF(OR($B96="",AG$22=""),"",IF(LEN(VLOOKUP($B96,Database!$B$1:$IX$10144,AG$22,FALSE))=0,"",VLOOKUP($B96,Database!$B$1:$IX$10144,AG$22,FALSE)))</f>
        <v>21</v>
      </c>
      <c r="AH96" s="22"/>
      <c r="AI96" s="22"/>
      <c r="AJ96" s="22" t="str">
        <f>IF(OR($B96="",AJ$22=""),"",IF(LEN(VLOOKUP($B96,Database!$B$1:$IX$10144,AJ$22,FALSE))=0,"",VLOOKUP($B96,Database!$B$1:$IX$10144,AJ$22,FALSE)))</f>
        <v/>
      </c>
      <c r="AK96" s="22" t="str">
        <f>IF(OR($B96="",AK$22=""),"",IF(LEN(VLOOKUP($B96,Database!$B$1:$IX$10144,AK$22,FALSE))=0,"",VLOOKUP($B96,Database!$B$1:$IX$10144,AK$22,FALSE)))</f>
        <v>ns</v>
      </c>
      <c r="AL96" s="22" t="str">
        <f>IF(OR($B96="",AL$22=""),"",IF(LEN(VLOOKUP($B96,Database!$B$1:$IX$10144,AL$22,FALSE))=0,"",VLOOKUP($B96,Database!$B$1:$IX$10144,AL$22,FALSE)))</f>
        <v>ns</v>
      </c>
      <c r="AM96" s="22">
        <f>IF(OR($B96="",AM$22=""),"",IF(LEN(VLOOKUP($B96,Database!$B$1:$IX$10144,AM$22,FALSE))=0,"",VLOOKUP($B96,Database!$B$1:$IX$10144,AM$22,FALSE)))</f>
        <v>90.384615384615387</v>
      </c>
      <c r="AN96" s="22" t="str">
        <f>IF(OR($B96="",AN$22=""),"",IF(LEN(VLOOKUP($B96,Database!$B$1:$IX$10144,AN$22,FALSE))=0,"",VLOOKUP($B96,Database!$B$1:$IX$10144,AN$22,FALSE)))</f>
        <v>ns</v>
      </c>
      <c r="AO96" s="22" t="str">
        <f>IF(OR($B96="",AO$22=""),"",IF(LEN(VLOOKUP($B96,Database!$B$1:$IX$10144,AO$22,FALSE))=0,"",VLOOKUP($B96,Database!$B$1:$IX$10144,AO$22,FALSE)))</f>
        <v>ns</v>
      </c>
      <c r="AP96" s="22"/>
      <c r="AQ96" s="22"/>
    </row>
    <row r="97" spans="1:58">
      <c r="A97" s="4" t="s">
        <v>2011</v>
      </c>
      <c r="C97" s="1"/>
      <c r="D97" s="1"/>
      <c r="E97" s="22"/>
      <c r="F97" s="22"/>
      <c r="G97" s="1"/>
      <c r="H97" s="22"/>
      <c r="I97" s="22"/>
      <c r="Y97" s="22"/>
      <c r="Z97" s="22"/>
      <c r="AA97" s="22"/>
      <c r="AB97" s="22"/>
      <c r="AC97" s="22"/>
      <c r="AD97" s="22"/>
      <c r="AE97" s="22"/>
      <c r="AF97" s="22"/>
      <c r="AG97" s="22"/>
      <c r="AH97" s="22"/>
      <c r="AI97" s="22"/>
      <c r="AJ97" s="22"/>
      <c r="AK97" s="22"/>
      <c r="AL97" s="22"/>
      <c r="AM97" s="22"/>
      <c r="AN97" s="22"/>
      <c r="AO97" s="22"/>
      <c r="AP97" s="22"/>
      <c r="AQ97" s="22"/>
    </row>
    <row r="98" spans="1:58">
      <c r="A98" s="10" t="s">
        <v>2012</v>
      </c>
      <c r="B98">
        <v>10366636</v>
      </c>
      <c r="C98" s="1" t="str">
        <f>IF($B98="","",HYPERLINK(IF(LEN(VLOOKUP($B98,Database!$B$1:$IX$10144,2,FALSE))=0,"",VLOOKUP($B98,Database!$B$1:$IX$10144,2,FALSE))))</f>
        <v/>
      </c>
      <c r="D98" s="1" t="str">
        <f>IF($B98="","",HYPERLINK(CONCATENATE("http://www.ncbi.nlm.nih.gov/pubmed/",B98)))</f>
        <v>http://www.ncbi.nlm.nih.gov/pubmed/10366636</v>
      </c>
      <c r="E98" s="22" t="str">
        <f>IF($B98="","",IF(LEN(VLOOKUP($B98,Database!$B$1:$IX$10144,4,FALSE))=0,"",VLOOKUP($B98,Database!$B$1:$IX$10144,4,FALSE)))</f>
        <v>Sheline YI</v>
      </c>
      <c r="F98" s="22">
        <f>IF($B98="","",IF(LEN(VLOOKUP($B98,Database!$B$1:$IX$10144,5,FALSE))=0,"",VLOOKUP($B98,Database!$B$1:$IX$10144,5,FALSE)))</f>
        <v>1999</v>
      </c>
      <c r="G98" s="1" t="str">
        <f>IF($B98="","",HYPERLINK(IF(LEN(VLOOKUP($B98,Database!$B$1:$IX$10144,6,FALSE))=0,"",VLOOKUP($B98,Database!$B$1:$IX$10144,6,FALSE))))</f>
        <v>http://ajp.psychiatryonline.org/cgi/reprint/156/12/1989</v>
      </c>
      <c r="H98" s="22">
        <f>IF($B98="","",IF(LEN(VLOOKUP($B98,Database!$B$1:$IX$10144,7,FALSE))=0,"",VLOOKUP($B98,Database!$B$1:$IX$10144,7,FALSE)))</f>
        <v>24</v>
      </c>
      <c r="I98" s="22">
        <f>IF($B98="","",IF(LEN(VLOOKUP($B98,Database!$B$1:$IX$10144,8,FALSE))=0,"",VLOOKUP($B98,Database!$B$1:$IX$10144,8,FALSE)))</f>
        <v>24</v>
      </c>
      <c r="J98" t="s">
        <v>939</v>
      </c>
      <c r="L98">
        <v>2230</v>
      </c>
      <c r="M98">
        <v>323</v>
      </c>
      <c r="N98">
        <v>2482</v>
      </c>
      <c r="O98">
        <v>305</v>
      </c>
      <c r="P98">
        <v>2264</v>
      </c>
      <c r="Q98">
        <v>320</v>
      </c>
      <c r="R98">
        <v>2468</v>
      </c>
      <c r="S98">
        <v>309</v>
      </c>
      <c r="T98">
        <v>4496</v>
      </c>
      <c r="U98">
        <v>602</v>
      </c>
      <c r="V98">
        <v>4951</v>
      </c>
      <c r="W98">
        <v>601</v>
      </c>
      <c r="Y98" s="22" t="str">
        <f>IF(OR($B98="",Y$22=""),"",IF(LEN(VLOOKUP($B98,Database!$B$1:$IX$10144,Y$22,FALSE))=0,"",VLOOKUP($B98,Database!$B$1:$IX$10144,Y$22,FALSE)))</f>
        <v>DSM-IV</v>
      </c>
      <c r="Z98" s="22" t="str">
        <f>IF(OR($B98="",Z$22=""),"",IF(LEN(VLOOKUP($B98,Database!$B$1:$IX$10144,Z$22,FALSE))=0,"",VLOOKUP($B98,Database!$B$1:$IX$10144,Z$22,FALSE)))</f>
        <v>MRI</v>
      </c>
      <c r="AA98" s="22" t="str">
        <f>IF(OR($B98="",AA$22=""),"",IF(LEN(VLOOKUP($B98,Database!$B$1:$IX$10144,AA$22,FALSE))=0,"",VLOOKUP($B98,Database!$B$1:$IX$10144,AA$22,FALSE)))</f>
        <v/>
      </c>
      <c r="AB98" s="22"/>
      <c r="AC98" s="22"/>
      <c r="AD98" s="22">
        <f>IF(OR($B98="",AD$22=""),"",IF(LEN(VLOOKUP($B98,Database!$B$1:$IX$10144,AD$22,FALSE))=0,"",VLOOKUP($B98,Database!$B$1:$IX$10144,AD$22,FALSE)))</f>
        <v>52.8</v>
      </c>
      <c r="AE98" s="22">
        <f>IF(OR($B98="",AE$22=""),"",IF(LEN(VLOOKUP($B98,Database!$B$1:$IX$10144,AE$22,FALSE))=0,"",VLOOKUP($B98,Database!$B$1:$IX$10144,AE$22,FALSE)))</f>
        <v>17.8</v>
      </c>
      <c r="AF98" s="22">
        <f>IF(OR($B98="",AF$22=""),"",IF(LEN(VLOOKUP($B98,Database!$B$1:$IX$10144,AF$22,FALSE))=0,"",VLOOKUP($B98,Database!$B$1:$IX$10144,AF$22,FALSE)))</f>
        <v>24</v>
      </c>
      <c r="AG98" s="22">
        <f>IF(OR($B98="",AG$22=""),"",IF(LEN(VLOOKUP($B98,Database!$B$1:$IX$10144,AG$22,FALSE))=0,"",VLOOKUP($B98,Database!$B$1:$IX$10144,AG$22,FALSE)))</f>
        <v>24</v>
      </c>
      <c r="AH98" s="22">
        <f>IF(OR($B98="",AH$22=""),"",IF(LEN(VLOOKUP($B98,Database!$B$1:$IX$10144,AH$22,FALSE))=0,"",VLOOKUP($B98,Database!$B$1:$IX$10144,AH$22,FALSE)))</f>
        <v>1.5</v>
      </c>
      <c r="AI98" s="22">
        <f>IF(OR($B98="",AI$22=""),"",IF(LEN(VLOOKUP($B98,Database!$B$1:$IX$10144,AI$22,FALSE))=0,"",VLOOKUP($B98,Database!$B$1:$IX$10144,AI$22,FALSE)))</f>
        <v>1.25</v>
      </c>
      <c r="AJ98" s="22" t="str">
        <f>IF(OR($B98="",AJ$22=""),"",IF(LEN(VLOOKUP($B98,Database!$B$1:$IX$10144,AJ$22,FALSE))=0,"",VLOOKUP($B98,Database!$B$1:$IX$10144,AJ$22,FALSE)))</f>
        <v/>
      </c>
      <c r="AK98" s="22" t="str">
        <f>IF(OR($B98="",AK$22=""),"",IF(LEN(VLOOKUP($B98,Database!$B$1:$IX$10144,AK$22,FALSE))=0,"",VLOOKUP($B98,Database!$B$1:$IX$10144,AK$22,FALSE)))</f>
        <v>ns</v>
      </c>
      <c r="AL98" s="22" t="str">
        <f>IF(OR($B98="",AL$22=""),"",IF(LEN(VLOOKUP($B98,Database!$B$1:$IX$10144,AL$22,FALSE))=0,"",VLOOKUP($B98,Database!$B$1:$IX$10144,AL$22,FALSE)))</f>
        <v>ns</v>
      </c>
      <c r="AM98" s="22">
        <f>IF(OR($B98="",AM$22=""),"",IF(LEN(VLOOKUP($B98,Database!$B$1:$IX$10144,AM$22,FALSE))=0,"",VLOOKUP($B98,Database!$B$1:$IX$10144,AM$22,FALSE)))</f>
        <v>66.666666666666657</v>
      </c>
      <c r="AN98" s="22" t="str">
        <f>IF(OR($B98="",AN$22=""),"",IF(LEN(VLOOKUP($B98,Database!$B$1:$IX$10144,AN$22,FALSE))=0,"",VLOOKUP($B98,Database!$B$1:$IX$10144,AN$22,FALSE)))</f>
        <v>ns</v>
      </c>
      <c r="AO98" s="22" t="str">
        <f>IF(OR($B98="",AO$22=""),"",IF(LEN(VLOOKUP($B98,Database!$B$1:$IX$10144,AO$22,FALSE))=0,"",VLOOKUP($B98,Database!$B$1:$IX$10144,AO$22,FALSE)))</f>
        <v>ns</v>
      </c>
      <c r="AP98" s="22"/>
      <c r="AQ98" s="22"/>
    </row>
    <row r="99" spans="1:58">
      <c r="A99" s="4"/>
      <c r="C99" s="1"/>
      <c r="D99" s="1"/>
      <c r="E99" s="22"/>
      <c r="F99" s="22"/>
      <c r="G99" s="1"/>
      <c r="H99" s="22"/>
      <c r="I99" s="22"/>
      <c r="Y99" s="22"/>
      <c r="Z99" s="22"/>
      <c r="AA99" s="22"/>
      <c r="AB99" s="22"/>
      <c r="AC99" s="22"/>
      <c r="AD99" s="22"/>
      <c r="AE99" s="22"/>
      <c r="AF99" s="22"/>
      <c r="AG99" s="22"/>
      <c r="AH99" s="22"/>
      <c r="AI99" s="22"/>
      <c r="AJ99" s="22"/>
      <c r="AK99" s="22"/>
      <c r="AL99" s="22"/>
      <c r="AM99" s="22"/>
      <c r="AN99" s="22"/>
      <c r="AO99" s="22"/>
      <c r="AP99" s="22"/>
      <c r="AQ99" s="22"/>
    </row>
    <row r="100" spans="1:58">
      <c r="I100" s="22" t="str">
        <f>IF($B100="","",IF(LEN(VLOOKUP($B100,Database!$B$1:$IX$10144,8,FALSE))=0,"",VLOOKUP($B100,Database!$B$1:$IX$10144,8,FALSE)))</f>
        <v/>
      </c>
      <c r="AF100" t="s">
        <v>602</v>
      </c>
      <c r="AJ100" t="s">
        <v>329</v>
      </c>
      <c r="AN100" t="s">
        <v>330</v>
      </c>
    </row>
    <row r="101" spans="1:58" ht="45" customHeight="1">
      <c r="E101" s="60" t="s">
        <v>617</v>
      </c>
      <c r="F101" s="60" t="s">
        <v>740</v>
      </c>
      <c r="G101" s="60" t="s">
        <v>244</v>
      </c>
      <c r="H101" s="60" t="s">
        <v>245</v>
      </c>
      <c r="I101" s="60" t="s">
        <v>246</v>
      </c>
      <c r="J101" s="60" t="s">
        <v>593</v>
      </c>
      <c r="K101" s="60" t="s">
        <v>1039</v>
      </c>
      <c r="L101" s="60" t="s">
        <v>594</v>
      </c>
      <c r="M101" s="60" t="s">
        <v>1299</v>
      </c>
      <c r="N101" s="61" t="s">
        <v>595</v>
      </c>
      <c r="O101" s="61" t="s">
        <v>596</v>
      </c>
      <c r="P101" s="61" t="s">
        <v>597</v>
      </c>
      <c r="Q101" s="61" t="s">
        <v>598</v>
      </c>
      <c r="R101" s="61" t="s">
        <v>599</v>
      </c>
      <c r="S101" s="61" t="s">
        <v>600</v>
      </c>
      <c r="T101" s="61" t="s">
        <v>601</v>
      </c>
      <c r="U101" s="61" t="s">
        <v>484</v>
      </c>
      <c r="V101" s="61" t="s">
        <v>485</v>
      </c>
      <c r="W101" s="61" t="s">
        <v>486</v>
      </c>
      <c r="AF101" s="61" t="s">
        <v>1517</v>
      </c>
      <c r="AG101" s="62" t="s">
        <v>834</v>
      </c>
      <c r="AH101" s="62" t="s">
        <v>835</v>
      </c>
      <c r="AJ101" s="61" t="s">
        <v>836</v>
      </c>
      <c r="AK101" s="61" t="s">
        <v>837</v>
      </c>
      <c r="AL101" s="61" t="s">
        <v>487</v>
      </c>
      <c r="AN101" s="207" t="s">
        <v>488</v>
      </c>
      <c r="AO101" s="207" t="s">
        <v>489</v>
      </c>
      <c r="AP101" s="207" t="s">
        <v>490</v>
      </c>
      <c r="AQ101" s="207" t="s">
        <v>491</v>
      </c>
      <c r="AR101" s="207" t="s">
        <v>496</v>
      </c>
      <c r="AS101" s="207" t="s">
        <v>497</v>
      </c>
      <c r="AT101" s="207" t="s">
        <v>498</v>
      </c>
      <c r="AU101" s="207" t="s">
        <v>499</v>
      </c>
      <c r="AV101" s="207"/>
      <c r="AW101" s="207"/>
      <c r="AX101" s="207"/>
      <c r="AY101" s="207"/>
      <c r="AZ101" s="207"/>
      <c r="BA101" s="207"/>
      <c r="BB101" s="207"/>
      <c r="BC101" s="207"/>
      <c r="BD101" s="207"/>
      <c r="BE101" s="207"/>
      <c r="BF101" s="207"/>
    </row>
    <row r="102" spans="1:58">
      <c r="E102" t="str">
        <f t="shared" ref="E102:F110" si="9">E24</f>
        <v>Ashtari M</v>
      </c>
      <c r="F102">
        <f t="shared" si="9"/>
        <v>1999</v>
      </c>
      <c r="G102">
        <v>44</v>
      </c>
      <c r="H102">
        <f t="shared" ref="H102:I110" si="10">H24</f>
        <v>40</v>
      </c>
      <c r="I102">
        <f t="shared" si="10"/>
        <v>46</v>
      </c>
      <c r="J102">
        <f t="shared" ref="J102:J110" si="11">IF($D$4="Total",T24,IF($D$4="Left",L24,IF($D$4="Right",P24,"error")))</f>
        <v>3487</v>
      </c>
      <c r="K102">
        <f t="shared" ref="K102:K110" si="12">IF($D$4="Total",U24,IF($D$4="Left",M24,IF($D$4="Right",Q24,"error")))</f>
        <v>662</v>
      </c>
      <c r="L102">
        <f t="shared" ref="L102:L110" si="13">IF($D$4="Total",V24,IF($D$4="Left",N24,IF($D$4="Right",R24,"error")))</f>
        <v>3697</v>
      </c>
      <c r="M102">
        <f t="shared" ref="M102:M110" si="14">IF($D$4="Total",W24,IF($D$4="Left",O24,IF($D$4="Right",S24,"error")))</f>
        <v>597</v>
      </c>
      <c r="N102">
        <f t="shared" ref="N102:N109" si="15">IF($D$3=1,SQRT((((I102-1)*(M102)^2)+((H102-1)*(K102)^2))/(H102+I102-2)),M102)</f>
        <v>628.01578119388955</v>
      </c>
      <c r="O102" s="59">
        <f t="shared" ref="O102:O109" si="16">IF($D$6=1,LN(J102/L102),IF($D$5=1,(1-3/(4*(H102+I102)-9))*((J102-L102)/N102),(J102-L102)/N102))</f>
        <v>-0.33139199557920213</v>
      </c>
      <c r="P102" s="63">
        <f t="shared" ref="P102:P109" si="17">IF($D$6=1,(K102^2)/(H102*J102^2)+(M102^2)/(I102*L102^2),(IF($D$5=1,((H102+I102)/(H102*I102))+(O102*O102)/(2*(H102+I102-3.94)),((H102+I102)/(H102*I102))+((O102^2)/(2*(H102+I102-2))))))</f>
        <v>4.74082789525377E-2</v>
      </c>
      <c r="Q102" s="59">
        <f t="shared" ref="Q102:Q145" si="18">$R$162*SQRT(P102)</f>
        <v>0.42675946905027057</v>
      </c>
      <c r="R102" s="59">
        <f t="shared" ref="R102:R109" si="19">1/P102</f>
        <v>21.093362216357601</v>
      </c>
      <c r="S102" s="59">
        <f t="shared" ref="S102:S109" si="20">O102*R102</f>
        <v>-6.9901713983536871</v>
      </c>
      <c r="T102" s="59">
        <f t="shared" ref="T102:T109" si="21">R102*(O102^2)</f>
        <v>2.3164868491410902</v>
      </c>
      <c r="U102" s="23">
        <f t="shared" ref="U102:U109" si="22">R102^2</f>
        <v>444.92992959046245</v>
      </c>
      <c r="V102" s="59">
        <f t="shared" ref="V102:V129" si="23">1/((1/R102)+$I$159)</f>
        <v>4.9393700621799228</v>
      </c>
      <c r="W102" s="59">
        <f t="shared" ref="W102:W109" si="24">V102*O102</f>
        <v>-1.6368677018099722</v>
      </c>
      <c r="AF102" s="59">
        <f t="shared" ref="AF102:AF109" si="25">IF($D$6=1,100*((EXP(O102))-1),O102)</f>
        <v>-0.33139199557920213</v>
      </c>
      <c r="AG102" s="59">
        <f t="shared" ref="AG102:AG109" si="26">IF($D$6=1,100*(EXP(O102+Q102)-EXP(O102)),Q102)</f>
        <v>0.42675946905027057</v>
      </c>
      <c r="AH102" s="59">
        <f t="shared" ref="AH102:AH109" si="27">IF($D$6=1,100*(EXP(O102)-EXP(O102-Q102)),Q102)</f>
        <v>0.42675946905027057</v>
      </c>
      <c r="AJ102">
        <f t="shared" ref="AJ102:AJ109" si="28">SQRT(P102)</f>
        <v>0.21773442298483192</v>
      </c>
      <c r="AK102">
        <f t="shared" ref="AK102:AK145" si="29">1/AJ102</f>
        <v>4.5927510509886771</v>
      </c>
      <c r="AL102">
        <f t="shared" ref="AL102:AL109" si="30">O102/AJ102</f>
        <v>-1.5220009359856157</v>
      </c>
      <c r="AN102" s="207" t="str">
        <f t="shared" ref="AN102:AN109" si="31">E102</f>
        <v>Ashtari M</v>
      </c>
      <c r="AO102" s="207">
        <f t="shared" ref="AO102:AO109" si="32">F102</f>
        <v>1999</v>
      </c>
      <c r="AP102" s="207" t="str">
        <f t="shared" ref="AP102:AP109" si="33">CONCATENATE(AN102," ",AO102)</f>
        <v>Ashtari M 1999</v>
      </c>
      <c r="AQ102" s="207">
        <f>INT(H102)</f>
        <v>40</v>
      </c>
      <c r="AR102" s="207">
        <f t="shared" ref="AR102:AR109" si="34">M102</f>
        <v>597</v>
      </c>
      <c r="AS102" s="208">
        <f t="shared" ref="AS102:AS109" si="35">O102</f>
        <v>-0.33139199557920213</v>
      </c>
      <c r="AT102" s="207">
        <f t="shared" ref="AT102:AT109" si="36">SQRT(P102)</f>
        <v>0.21773442298483192</v>
      </c>
      <c r="AU102" s="207" t="str">
        <f>$F$4</f>
        <v>Total</v>
      </c>
      <c r="AV102" s="207"/>
      <c r="AW102" s="207"/>
      <c r="AX102" s="207"/>
      <c r="AY102" s="209"/>
      <c r="AZ102" s="207"/>
      <c r="BA102" s="207"/>
      <c r="BB102" s="207"/>
      <c r="BC102" s="207"/>
      <c r="BD102" s="207"/>
      <c r="BE102" s="210"/>
      <c r="BF102" s="210"/>
    </row>
    <row r="103" spans="1:58">
      <c r="E103" t="str">
        <f t="shared" si="9"/>
        <v>Lange C</v>
      </c>
      <c r="F103">
        <f t="shared" si="9"/>
        <v>2004</v>
      </c>
      <c r="G103">
        <v>43</v>
      </c>
      <c r="H103">
        <f t="shared" si="10"/>
        <v>17</v>
      </c>
      <c r="I103">
        <f t="shared" si="10"/>
        <v>17</v>
      </c>
      <c r="J103">
        <f t="shared" si="11"/>
        <v>5.46</v>
      </c>
      <c r="K103">
        <f t="shared" si="12"/>
        <v>0.83</v>
      </c>
      <c r="L103">
        <f t="shared" si="13"/>
        <v>6.19</v>
      </c>
      <c r="M103">
        <f t="shared" si="14"/>
        <v>0.71</v>
      </c>
      <c r="N103">
        <f t="shared" si="15"/>
        <v>0.77233412458598516</v>
      </c>
      <c r="O103" s="59">
        <f t="shared" si="16"/>
        <v>-0.9228595277903705</v>
      </c>
      <c r="P103" s="63">
        <f t="shared" si="17"/>
        <v>0.13181322163180395</v>
      </c>
      <c r="Q103" s="59">
        <f t="shared" si="18"/>
        <v>0.71159937620878932</v>
      </c>
      <c r="R103" s="59">
        <f t="shared" si="19"/>
        <v>7.5864923686738841</v>
      </c>
      <c r="S103" s="59">
        <f t="shared" si="20"/>
        <v>-7.0012667649396301</v>
      </c>
      <c r="T103" s="59">
        <f t="shared" si="21"/>
        <v>6.4611857406266022</v>
      </c>
      <c r="U103" s="23">
        <f t="shared" si="22"/>
        <v>57.554866459947078</v>
      </c>
      <c r="V103" s="59">
        <f t="shared" si="23"/>
        <v>3.4860221604079156</v>
      </c>
      <c r="W103" s="59">
        <f t="shared" si="24"/>
        <v>-3.2171087648208161</v>
      </c>
      <c r="AF103" s="59">
        <f t="shared" si="25"/>
        <v>-0.9228595277903705</v>
      </c>
      <c r="AG103" s="59">
        <f t="shared" si="26"/>
        <v>0.71159937620878932</v>
      </c>
      <c r="AH103" s="59">
        <f t="shared" si="27"/>
        <v>0.71159937620878932</v>
      </c>
      <c r="AJ103">
        <f t="shared" si="28"/>
        <v>0.36306090622897413</v>
      </c>
      <c r="AK103">
        <f t="shared" si="29"/>
        <v>2.7543587944699368</v>
      </c>
      <c r="AL103">
        <f t="shared" si="30"/>
        <v>-2.5418862564297799</v>
      </c>
      <c r="AN103" s="207" t="str">
        <f t="shared" si="31"/>
        <v>Lange C</v>
      </c>
      <c r="AO103" s="207">
        <f t="shared" si="32"/>
        <v>2004</v>
      </c>
      <c r="AP103" s="207" t="str">
        <f t="shared" si="33"/>
        <v>Lange C 2004</v>
      </c>
      <c r="AQ103" s="207">
        <f t="shared" ref="AQ103:AQ109" si="37">INT(H103)</f>
        <v>17</v>
      </c>
      <c r="AR103" s="207">
        <f t="shared" si="34"/>
        <v>0.71</v>
      </c>
      <c r="AS103" s="208">
        <f t="shared" si="35"/>
        <v>-0.9228595277903705</v>
      </c>
      <c r="AT103" s="207">
        <f t="shared" si="36"/>
        <v>0.36306090622897413</v>
      </c>
      <c r="AU103" s="207" t="str">
        <f>F3</f>
        <v>Pooled SD</v>
      </c>
      <c r="AV103" s="207"/>
      <c r="AW103" s="207"/>
      <c r="AX103" s="207"/>
      <c r="AY103" s="209"/>
      <c r="AZ103" s="207"/>
      <c r="BA103" s="207"/>
      <c r="BB103" s="207"/>
      <c r="BC103" s="207"/>
      <c r="BD103" s="207"/>
      <c r="BE103" s="210"/>
      <c r="BF103" s="210"/>
    </row>
    <row r="104" spans="1:58">
      <c r="E104" t="str">
        <f t="shared" si="9"/>
        <v>Janssen J</v>
      </c>
      <c r="F104">
        <f t="shared" si="9"/>
        <v>2004</v>
      </c>
      <c r="G104">
        <v>42</v>
      </c>
      <c r="H104">
        <f t="shared" si="10"/>
        <v>28</v>
      </c>
      <c r="I104">
        <f t="shared" si="10"/>
        <v>41</v>
      </c>
      <c r="J104">
        <f t="shared" si="11"/>
        <v>5.94</v>
      </c>
      <c r="K104">
        <f t="shared" si="12"/>
        <v>0.7</v>
      </c>
      <c r="L104">
        <f t="shared" si="13"/>
        <v>6.32</v>
      </c>
      <c r="M104">
        <f t="shared" si="14"/>
        <v>0.93</v>
      </c>
      <c r="N104">
        <f t="shared" si="15"/>
        <v>0.84487921948784372</v>
      </c>
      <c r="O104" s="59">
        <f t="shared" si="16"/>
        <v>-0.44471485203105726</v>
      </c>
      <c r="P104" s="63">
        <f t="shared" si="17"/>
        <v>6.1624444307909837E-2</v>
      </c>
      <c r="Q104" s="59">
        <f t="shared" si="18"/>
        <v>0.48655571649428436</v>
      </c>
      <c r="R104" s="59">
        <f t="shared" si="19"/>
        <v>16.227326854315251</v>
      </c>
      <c r="S104" s="59">
        <f t="shared" si="20"/>
        <v>-7.2165332608764086</v>
      </c>
      <c r="T104" s="59">
        <f t="shared" si="21"/>
        <v>3.2092995212878552</v>
      </c>
      <c r="U104" s="23">
        <f t="shared" si="22"/>
        <v>263.3261368367809</v>
      </c>
      <c r="V104" s="59">
        <f t="shared" si="23"/>
        <v>4.6152895029247283</v>
      </c>
      <c r="W104" s="59">
        <f t="shared" si="24"/>
        <v>-2.0524877883736625</v>
      </c>
      <c r="AF104" s="59">
        <f t="shared" si="25"/>
        <v>-0.44471485203105726</v>
      </c>
      <c r="AG104" s="59">
        <f t="shared" si="26"/>
        <v>0.48655571649428436</v>
      </c>
      <c r="AH104" s="59">
        <f t="shared" si="27"/>
        <v>0.48655571649428436</v>
      </c>
      <c r="AJ104">
        <f t="shared" si="28"/>
        <v>0.24824271249708385</v>
      </c>
      <c r="AK104">
        <f t="shared" si="29"/>
        <v>4.0283156348919897</v>
      </c>
      <c r="AL104">
        <f t="shared" si="30"/>
        <v>-1.7914517915053856</v>
      </c>
      <c r="AN104" s="207" t="str">
        <f t="shared" si="31"/>
        <v>Janssen J</v>
      </c>
      <c r="AO104" s="207">
        <f t="shared" si="32"/>
        <v>2004</v>
      </c>
      <c r="AP104" s="207" t="str">
        <f t="shared" si="33"/>
        <v>Janssen J 2004</v>
      </c>
      <c r="AQ104" s="207">
        <f t="shared" si="37"/>
        <v>28</v>
      </c>
      <c r="AR104" s="207">
        <f t="shared" si="34"/>
        <v>0.93</v>
      </c>
      <c r="AS104" s="208">
        <f t="shared" si="35"/>
        <v>-0.44471485203105726</v>
      </c>
      <c r="AT104" s="207">
        <f t="shared" si="36"/>
        <v>0.24824271249708385</v>
      </c>
      <c r="AU104" s="207" t="str">
        <f>F5</f>
        <v>H Correction</v>
      </c>
      <c r="AV104" s="207"/>
      <c r="AW104" s="207"/>
      <c r="AX104" s="207"/>
      <c r="AY104" s="209"/>
      <c r="AZ104" s="207"/>
      <c r="BA104" s="207"/>
      <c r="BB104" s="207"/>
      <c r="BC104" s="207"/>
      <c r="BD104" s="207"/>
      <c r="BE104" s="210"/>
      <c r="BF104" s="210"/>
    </row>
    <row r="105" spans="1:58">
      <c r="E105" t="str">
        <f t="shared" si="9"/>
        <v>Vythilingam M</v>
      </c>
      <c r="F105">
        <f t="shared" si="9"/>
        <v>2004</v>
      </c>
      <c r="G105">
        <v>41</v>
      </c>
      <c r="H105">
        <f t="shared" si="10"/>
        <v>38</v>
      </c>
      <c r="I105">
        <f t="shared" si="10"/>
        <v>33</v>
      </c>
      <c r="J105">
        <f t="shared" si="11"/>
        <v>3219</v>
      </c>
      <c r="K105">
        <f t="shared" si="12"/>
        <v>380</v>
      </c>
      <c r="L105">
        <f t="shared" si="13"/>
        <v>3285</v>
      </c>
      <c r="M105">
        <f t="shared" si="14"/>
        <v>389</v>
      </c>
      <c r="N105">
        <f t="shared" si="15"/>
        <v>384.20012900887315</v>
      </c>
      <c r="O105" s="59">
        <f t="shared" si="16"/>
        <v>-0.1699114473709413</v>
      </c>
      <c r="P105" s="63">
        <f t="shared" si="17"/>
        <v>5.6834074026249917E-2</v>
      </c>
      <c r="Q105" s="59">
        <f t="shared" si="18"/>
        <v>0.46726200228484416</v>
      </c>
      <c r="R105" s="59">
        <f t="shared" si="19"/>
        <v>17.595078606156768</v>
      </c>
      <c r="S105" s="59">
        <f t="shared" si="20"/>
        <v>-2.989605272577581</v>
      </c>
      <c r="T105" s="59">
        <f t="shared" si="21"/>
        <v>0.50796815893145431</v>
      </c>
      <c r="U105" s="23">
        <f t="shared" si="22"/>
        <v>309.5867911568356</v>
      </c>
      <c r="V105" s="59">
        <f t="shared" si="23"/>
        <v>4.7196356715989403</v>
      </c>
      <c r="W105" s="59">
        <f t="shared" si="24"/>
        <v>-0.80192012802490054</v>
      </c>
      <c r="AF105" s="59">
        <f t="shared" si="25"/>
        <v>-0.1699114473709413</v>
      </c>
      <c r="AG105" s="59">
        <f t="shared" si="26"/>
        <v>0.46726200228484416</v>
      </c>
      <c r="AH105" s="59">
        <f t="shared" si="27"/>
        <v>0.46726200228484416</v>
      </c>
      <c r="AJ105">
        <f t="shared" si="28"/>
        <v>0.23839898075757354</v>
      </c>
      <c r="AK105">
        <f t="shared" si="29"/>
        <v>4.1946488060571614</v>
      </c>
      <c r="AL105">
        <f t="shared" si="30"/>
        <v>-0.71271884984996314</v>
      </c>
      <c r="AN105" s="207" t="str">
        <f t="shared" si="31"/>
        <v>Vythilingam M</v>
      </c>
      <c r="AO105" s="207">
        <f t="shared" si="32"/>
        <v>2004</v>
      </c>
      <c r="AP105" s="207" t="str">
        <f t="shared" si="33"/>
        <v>Vythilingam M 2004</v>
      </c>
      <c r="AQ105" s="207">
        <f t="shared" si="37"/>
        <v>38</v>
      </c>
      <c r="AR105" s="207">
        <f t="shared" si="34"/>
        <v>389</v>
      </c>
      <c r="AS105" s="208">
        <f t="shared" si="35"/>
        <v>-0.1699114473709413</v>
      </c>
      <c r="AT105" s="207">
        <f t="shared" si="36"/>
        <v>0.23839898075757354</v>
      </c>
      <c r="AU105" s="207" t="str">
        <f>F6</f>
        <v>Cohens Effect size</v>
      </c>
      <c r="AV105" s="207"/>
      <c r="AW105" s="207"/>
      <c r="AX105" s="207"/>
      <c r="AY105" s="209"/>
      <c r="AZ105" s="207"/>
      <c r="BA105" s="207"/>
      <c r="BB105" s="207"/>
      <c r="BC105" s="207"/>
      <c r="BD105" s="207"/>
      <c r="BE105" s="210"/>
      <c r="BF105" s="210"/>
    </row>
    <row r="106" spans="1:58">
      <c r="E106" t="str">
        <f t="shared" si="9"/>
        <v>Hickie I (A)</v>
      </c>
      <c r="F106">
        <f t="shared" si="9"/>
        <v>2005</v>
      </c>
      <c r="G106">
        <v>40</v>
      </c>
      <c r="H106">
        <f t="shared" si="10"/>
        <v>51</v>
      </c>
      <c r="I106">
        <f t="shared" si="10"/>
        <v>20</v>
      </c>
      <c r="J106">
        <f t="shared" si="11"/>
        <v>5.9</v>
      </c>
      <c r="K106">
        <f t="shared" si="12"/>
        <v>0.6</v>
      </c>
      <c r="L106">
        <f t="shared" si="13"/>
        <v>6.6</v>
      </c>
      <c r="M106">
        <f t="shared" si="14"/>
        <v>1.1000000000000001</v>
      </c>
      <c r="N106">
        <f t="shared" si="15"/>
        <v>0.77075156244700072</v>
      </c>
      <c r="O106" s="59">
        <f t="shared" si="16"/>
        <v>-0.89829676655536428</v>
      </c>
      <c r="P106" s="63">
        <f t="shared" si="17"/>
        <v>7.5624373712887341E-2</v>
      </c>
      <c r="Q106" s="59">
        <f t="shared" si="18"/>
        <v>0.53899776813585043</v>
      </c>
      <c r="R106" s="59">
        <f t="shared" si="19"/>
        <v>13.223250003981024</v>
      </c>
      <c r="S106" s="59">
        <f t="shared" si="20"/>
        <v>-11.878402721929362</v>
      </c>
      <c r="T106" s="59">
        <f t="shared" si="21"/>
        <v>10.670330756951584</v>
      </c>
      <c r="U106" s="23">
        <f t="shared" si="22"/>
        <v>174.85434066778413</v>
      </c>
      <c r="V106" s="59">
        <f t="shared" si="23"/>
        <v>4.3351775248635027</v>
      </c>
      <c r="W106" s="59">
        <f t="shared" si="24"/>
        <v>-3.8942759530283717</v>
      </c>
      <c r="AF106" s="59">
        <f t="shared" si="25"/>
        <v>-0.89829676655536428</v>
      </c>
      <c r="AG106" s="59">
        <f t="shared" si="26"/>
        <v>0.53899776813585043</v>
      </c>
      <c r="AH106" s="59">
        <f t="shared" si="27"/>
        <v>0.53899776813585043</v>
      </c>
      <c r="AJ106">
        <f t="shared" si="28"/>
        <v>0.27499886129380124</v>
      </c>
      <c r="AK106">
        <f t="shared" si="29"/>
        <v>3.6363786936980347</v>
      </c>
      <c r="AL106">
        <f t="shared" si="30"/>
        <v>-3.266547222519764</v>
      </c>
      <c r="AN106" s="207" t="str">
        <f t="shared" si="31"/>
        <v>Hickie I (A)</v>
      </c>
      <c r="AO106" s="207">
        <f t="shared" si="32"/>
        <v>2005</v>
      </c>
      <c r="AP106" s="207" t="str">
        <f t="shared" si="33"/>
        <v>Hickie I (A) 2005</v>
      </c>
      <c r="AQ106" s="207">
        <f t="shared" si="37"/>
        <v>51</v>
      </c>
      <c r="AR106" s="207">
        <f t="shared" si="34"/>
        <v>1.1000000000000001</v>
      </c>
      <c r="AS106" s="208">
        <f t="shared" si="35"/>
        <v>-0.89829676655536428</v>
      </c>
      <c r="AT106" s="207">
        <f t="shared" si="36"/>
        <v>0.27499886129380124</v>
      </c>
      <c r="AU106" s="207"/>
      <c r="AV106" s="207"/>
      <c r="AW106" s="207"/>
      <c r="AX106" s="207"/>
      <c r="AY106" s="209"/>
      <c r="AZ106" s="207"/>
      <c r="BA106" s="207"/>
      <c r="BB106" s="207"/>
      <c r="BC106" s="207"/>
      <c r="BD106" s="207"/>
      <c r="BE106" s="210"/>
      <c r="BF106" s="210"/>
    </row>
    <row r="107" spans="1:58">
      <c r="E107" t="str">
        <f t="shared" si="9"/>
        <v>Rosso IM</v>
      </c>
      <c r="F107">
        <f t="shared" si="9"/>
        <v>2005</v>
      </c>
      <c r="G107">
        <v>39</v>
      </c>
      <c r="H107">
        <f t="shared" si="10"/>
        <v>20</v>
      </c>
      <c r="I107">
        <f t="shared" si="10"/>
        <v>24</v>
      </c>
      <c r="J107">
        <f t="shared" si="11"/>
        <v>12.96</v>
      </c>
      <c r="K107">
        <f t="shared" si="12"/>
        <v>1.476</v>
      </c>
      <c r="L107">
        <f t="shared" si="13"/>
        <v>12.45</v>
      </c>
      <c r="M107">
        <f t="shared" si="14"/>
        <v>1.3720000000000001</v>
      </c>
      <c r="N107">
        <f t="shared" si="15"/>
        <v>1.4199914151316617</v>
      </c>
      <c r="O107" s="59">
        <f t="shared" si="16"/>
        <v>0.35270517695831083</v>
      </c>
      <c r="P107" s="63">
        <f t="shared" si="17"/>
        <v>9.3219349415708017E-2</v>
      </c>
      <c r="Q107" s="59">
        <f t="shared" si="18"/>
        <v>0.59842414115356668</v>
      </c>
      <c r="R107" s="59">
        <f t="shared" si="19"/>
        <v>10.72738660233016</v>
      </c>
      <c r="S107" s="59">
        <f t="shared" si="20"/>
        <v>3.783604789875072</v>
      </c>
      <c r="T107" s="59">
        <f t="shared" si="21"/>
        <v>1.3344969969531997</v>
      </c>
      <c r="U107" s="23">
        <f t="shared" si="22"/>
        <v>115.07682331585262</v>
      </c>
      <c r="V107" s="59">
        <f t="shared" si="23"/>
        <v>4.0279371782593385</v>
      </c>
      <c r="W107" s="59">
        <f t="shared" si="24"/>
        <v>1.4206742952349192</v>
      </c>
      <c r="AF107" s="59">
        <f t="shared" si="25"/>
        <v>0.35270517695831083</v>
      </c>
      <c r="AG107" s="59">
        <f t="shared" si="26"/>
        <v>0.59842414115356668</v>
      </c>
      <c r="AH107" s="59">
        <f t="shared" si="27"/>
        <v>0.59842414115356668</v>
      </c>
      <c r="AJ107">
        <f t="shared" si="28"/>
        <v>0.30531843936406466</v>
      </c>
      <c r="AK107">
        <f t="shared" si="29"/>
        <v>3.2752689358784202</v>
      </c>
      <c r="AL107">
        <f t="shared" si="30"/>
        <v>1.1552043096150566</v>
      </c>
      <c r="AN107" s="207" t="str">
        <f t="shared" si="31"/>
        <v>Rosso IM</v>
      </c>
      <c r="AO107" s="207">
        <f t="shared" si="32"/>
        <v>2005</v>
      </c>
      <c r="AP107" s="207" t="str">
        <f t="shared" si="33"/>
        <v>Rosso IM 2005</v>
      </c>
      <c r="AQ107" s="207">
        <f t="shared" si="37"/>
        <v>20</v>
      </c>
      <c r="AR107" s="207">
        <f t="shared" si="34"/>
        <v>1.3720000000000001</v>
      </c>
      <c r="AS107" s="208">
        <f t="shared" si="35"/>
        <v>0.35270517695831083</v>
      </c>
      <c r="AT107" s="207">
        <f t="shared" si="36"/>
        <v>0.30531843936406466</v>
      </c>
      <c r="AU107" s="207"/>
      <c r="AV107" s="207"/>
      <c r="AW107" s="207"/>
      <c r="AX107" s="207"/>
      <c r="AY107" s="209"/>
      <c r="AZ107" s="207"/>
      <c r="BA107" s="207"/>
      <c r="BB107" s="207"/>
      <c r="BC107" s="207"/>
      <c r="BD107" s="207"/>
      <c r="BE107" s="210"/>
      <c r="BF107" s="210"/>
    </row>
    <row r="108" spans="1:58">
      <c r="E108" t="str">
        <f t="shared" si="9"/>
        <v>Taylor WD (B)</v>
      </c>
      <c r="F108">
        <f t="shared" si="9"/>
        <v>2005</v>
      </c>
      <c r="G108">
        <v>38</v>
      </c>
      <c r="H108">
        <f t="shared" si="10"/>
        <v>135</v>
      </c>
      <c r="I108">
        <f t="shared" si="10"/>
        <v>83</v>
      </c>
      <c r="J108">
        <f t="shared" si="11"/>
        <v>6.04</v>
      </c>
      <c r="K108">
        <f t="shared" si="12"/>
        <v>0.79</v>
      </c>
      <c r="L108">
        <f t="shared" si="13"/>
        <v>6.09</v>
      </c>
      <c r="M108">
        <f t="shared" si="14"/>
        <v>0.84</v>
      </c>
      <c r="N108">
        <f t="shared" si="15"/>
        <v>0.80934530011288441</v>
      </c>
      <c r="O108" s="59">
        <f t="shared" si="16"/>
        <v>-6.1563572075250955E-2</v>
      </c>
      <c r="P108" s="63">
        <f t="shared" si="17"/>
        <v>1.9464453008087804E-2</v>
      </c>
      <c r="Q108" s="59">
        <f t="shared" si="18"/>
        <v>0.27344952491432511</v>
      </c>
      <c r="R108" s="59">
        <f t="shared" si="19"/>
        <v>51.375705219380343</v>
      </c>
      <c r="S108" s="59">
        <f t="shared" si="20"/>
        <v>-3.1628719311901685</v>
      </c>
      <c r="T108" s="59">
        <f t="shared" si="21"/>
        <v>0.19471769410061412</v>
      </c>
      <c r="U108" s="23">
        <f t="shared" si="22"/>
        <v>2639.4630867886644</v>
      </c>
      <c r="V108" s="59">
        <f t="shared" si="23"/>
        <v>5.7302931913773056</v>
      </c>
      <c r="W108" s="59">
        <f t="shared" si="24"/>
        <v>-0.35277731789967659</v>
      </c>
      <c r="AF108" s="59">
        <f t="shared" si="25"/>
        <v>-6.1563572075250955E-2</v>
      </c>
      <c r="AG108" s="59">
        <f t="shared" si="26"/>
        <v>0.27344952491432511</v>
      </c>
      <c r="AH108" s="59">
        <f t="shared" si="27"/>
        <v>0.27344952491432511</v>
      </c>
      <c r="AJ108">
        <f t="shared" si="28"/>
        <v>0.13951506373179853</v>
      </c>
      <c r="AK108">
        <f t="shared" si="29"/>
        <v>7.1676847879479419</v>
      </c>
      <c r="AL108">
        <f t="shared" si="30"/>
        <v>-0.44126827905551297</v>
      </c>
      <c r="AN108" s="207" t="str">
        <f t="shared" si="31"/>
        <v>Taylor WD (B)</v>
      </c>
      <c r="AO108" s="207">
        <f t="shared" si="32"/>
        <v>2005</v>
      </c>
      <c r="AP108" s="207" t="str">
        <f t="shared" si="33"/>
        <v>Taylor WD (B) 2005</v>
      </c>
      <c r="AQ108" s="207">
        <f t="shared" si="37"/>
        <v>135</v>
      </c>
      <c r="AR108" s="207">
        <f t="shared" si="34"/>
        <v>0.84</v>
      </c>
      <c r="AS108" s="208">
        <f t="shared" si="35"/>
        <v>-6.1563572075250955E-2</v>
      </c>
      <c r="AT108" s="207">
        <f t="shared" si="36"/>
        <v>0.13951506373179853</v>
      </c>
      <c r="AU108" s="207"/>
      <c r="AV108" s="207"/>
      <c r="AW108" s="207"/>
      <c r="AX108" s="207"/>
      <c r="AY108" s="209"/>
      <c r="AZ108" s="207"/>
      <c r="BA108" s="207"/>
      <c r="BB108" s="207"/>
      <c r="BC108" s="207"/>
      <c r="BD108" s="207"/>
      <c r="BE108" s="210"/>
      <c r="BF108" s="210"/>
    </row>
    <row r="109" spans="1:58">
      <c r="E109" t="str">
        <f t="shared" si="9"/>
        <v>Colla M</v>
      </c>
      <c r="F109">
        <f t="shared" si="9"/>
        <v>2007</v>
      </c>
      <c r="G109">
        <v>37</v>
      </c>
      <c r="H109">
        <f t="shared" si="10"/>
        <v>24</v>
      </c>
      <c r="I109">
        <f t="shared" si="10"/>
        <v>14</v>
      </c>
      <c r="J109">
        <f t="shared" si="11"/>
        <v>3.46</v>
      </c>
      <c r="K109">
        <f t="shared" si="12"/>
        <v>0.52</v>
      </c>
      <c r="L109">
        <f t="shared" si="13"/>
        <v>3.86</v>
      </c>
      <c r="M109">
        <f t="shared" si="14"/>
        <v>0.32</v>
      </c>
      <c r="N109">
        <f t="shared" si="15"/>
        <v>0.45796651988254922</v>
      </c>
      <c r="O109" s="59">
        <f t="shared" si="16"/>
        <v>-0.85510266494769971</v>
      </c>
      <c r="P109" s="63">
        <f t="shared" si="17"/>
        <v>0.1238292452532043</v>
      </c>
      <c r="Q109" s="59">
        <f t="shared" si="18"/>
        <v>0.68971184458780288</v>
      </c>
      <c r="R109" s="59">
        <f t="shared" si="19"/>
        <v>8.0756367201884665</v>
      </c>
      <c r="S109" s="59">
        <f t="shared" si="20"/>
        <v>-6.9054984805826587</v>
      </c>
      <c r="T109" s="59">
        <f t="shared" si="21"/>
        <v>5.9049101535385224</v>
      </c>
      <c r="U109" s="23">
        <f t="shared" si="22"/>
        <v>65.215908436456331</v>
      </c>
      <c r="V109" s="59">
        <f t="shared" si="23"/>
        <v>3.585823955112649</v>
      </c>
      <c r="W109" s="59">
        <f t="shared" si="24"/>
        <v>-3.066247620050127</v>
      </c>
      <c r="AF109" s="59">
        <f t="shared" si="25"/>
        <v>-0.85510266494769971</v>
      </c>
      <c r="AG109" s="59">
        <f t="shared" si="26"/>
        <v>0.68971184458780288</v>
      </c>
      <c r="AH109" s="59">
        <f t="shared" si="27"/>
        <v>0.68971184458780288</v>
      </c>
      <c r="AJ109">
        <f t="shared" si="28"/>
        <v>0.35189379825908312</v>
      </c>
      <c r="AK109">
        <f t="shared" si="29"/>
        <v>2.841766478827644</v>
      </c>
      <c r="AL109">
        <f t="shared" si="30"/>
        <v>-2.4300020892045593</v>
      </c>
      <c r="AN109" s="207" t="str">
        <f t="shared" si="31"/>
        <v>Colla M</v>
      </c>
      <c r="AO109" s="207">
        <f t="shared" si="32"/>
        <v>2007</v>
      </c>
      <c r="AP109" s="207" t="str">
        <f t="shared" si="33"/>
        <v>Colla M 2007</v>
      </c>
      <c r="AQ109" s="207">
        <f t="shared" si="37"/>
        <v>24</v>
      </c>
      <c r="AR109" s="207">
        <f t="shared" si="34"/>
        <v>0.32</v>
      </c>
      <c r="AS109" s="208">
        <f t="shared" si="35"/>
        <v>-0.85510266494769971</v>
      </c>
      <c r="AT109" s="207">
        <f t="shared" si="36"/>
        <v>0.35189379825908312</v>
      </c>
      <c r="AU109" s="207"/>
      <c r="AV109" s="207"/>
      <c r="AW109" s="207"/>
      <c r="AX109" s="207"/>
      <c r="AY109" s="209"/>
      <c r="AZ109" s="207"/>
      <c r="BA109" s="207"/>
      <c r="BB109" s="207"/>
      <c r="BC109" s="207"/>
      <c r="BD109" s="207"/>
      <c r="BE109" s="210"/>
      <c r="BF109" s="210"/>
    </row>
    <row r="110" spans="1:58">
      <c r="E110" t="str">
        <f t="shared" si="9"/>
        <v>Andreescu C</v>
      </c>
      <c r="F110">
        <f t="shared" si="9"/>
        <v>2008</v>
      </c>
      <c r="G110">
        <v>36</v>
      </c>
      <c r="H110">
        <f t="shared" si="10"/>
        <v>71</v>
      </c>
      <c r="I110">
        <f t="shared" si="10"/>
        <v>32</v>
      </c>
      <c r="J110">
        <f t="shared" si="11"/>
        <v>0.75</v>
      </c>
      <c r="K110">
        <f t="shared" si="12"/>
        <v>0.11</v>
      </c>
      <c r="L110">
        <f t="shared" si="13"/>
        <v>0.83</v>
      </c>
      <c r="M110">
        <f t="shared" si="14"/>
        <v>0.13</v>
      </c>
      <c r="N110">
        <f t="shared" ref="N110:N129" si="38">IF($D$3=1,SQRT((((I110-1)*(M110)^2)+((H110-1)*(K110)^2))/(H110+I110-2)),M110)</f>
        <v>0.11650436612733736</v>
      </c>
      <c r="O110" s="59">
        <f t="shared" ref="O110:O129" si="39">IF($D$6=1,LN(J110/L110),IF($D$5=1,(1-3/(4*(H110+I110)-9))*((J110-L110)/N110),(J110-L110)/N110))</f>
        <v>-0.68155786036767829</v>
      </c>
      <c r="P110" s="63">
        <f t="shared" ref="P110:P129" si="40">IF($D$6=1,(K110^2)/(H110*J110^2)+(M110^2)/(I110*L110^2),(IF($D$5=1,((H110+I110)/(H110*I110))+(O110*O110)/(2*(H110+I110-3.94)),((H110+I110)/(H110*I110))+((O110^2)/(2*(H110+I110-2))))))</f>
        <v>4.767915229275306E-2</v>
      </c>
      <c r="Q110" s="59">
        <f t="shared" si="18"/>
        <v>0.42797690527391796</v>
      </c>
      <c r="R110" s="59">
        <f t="shared" ref="R110:R129" si="41">1/P110</f>
        <v>20.97352725274845</v>
      </c>
      <c r="S110" s="59">
        <f t="shared" ref="S110:S129" si="42">O110*R110</f>
        <v>-14.294672358746423</v>
      </c>
      <c r="T110" s="59">
        <f t="shared" ref="T110:T129" si="43">R110*(O110^2)</f>
        <v>9.7426463074842058</v>
      </c>
      <c r="U110" s="23">
        <f t="shared" ref="U110:U129" si="44">R110^2</f>
        <v>439.88884542178198</v>
      </c>
      <c r="V110" s="59">
        <f t="shared" si="23"/>
        <v>4.932770293403606</v>
      </c>
      <c r="W110" s="59">
        <f t="shared" ref="W110:W129" si="45">V110*O110</f>
        <v>-3.3619683668574063</v>
      </c>
      <c r="AF110" s="59">
        <f t="shared" ref="AF110:AF129" si="46">IF($D$6=1,100*((EXP(O110))-1),O110)</f>
        <v>-0.68155786036767829</v>
      </c>
      <c r="AG110" s="59">
        <f t="shared" ref="AG110:AG129" si="47">IF($D$6=1,100*(EXP(O110+Q110)-EXP(O110)),Q110)</f>
        <v>0.42797690527391796</v>
      </c>
      <c r="AH110" s="59">
        <f t="shared" ref="AH110:AH129" si="48">IF($D$6=1,100*(EXP(O110)-EXP(O110-Q110)),Q110)</f>
        <v>0.42797690527391796</v>
      </c>
      <c r="AJ110">
        <f t="shared" ref="AJ110:AJ129" si="49">SQRT(P110)</f>
        <v>0.21835556391526428</v>
      </c>
      <c r="AK110">
        <f t="shared" si="29"/>
        <v>4.5796863705660504</v>
      </c>
      <c r="AL110">
        <f t="shared" ref="AL110:AL129" si="50">O110/AJ110</f>
        <v>-3.1213212438780156</v>
      </c>
      <c r="AN110" s="207" t="str">
        <f t="shared" ref="AN110:AN129" si="51">E110</f>
        <v>Andreescu C</v>
      </c>
      <c r="AO110" s="207">
        <f t="shared" ref="AO110:AO129" si="52">F110</f>
        <v>2008</v>
      </c>
      <c r="AP110" s="207" t="str">
        <f t="shared" ref="AP110:AP129" si="53">CONCATENATE(AN110," ",AO110)</f>
        <v>Andreescu C 2008</v>
      </c>
      <c r="AQ110" s="207">
        <f t="shared" ref="AQ110:AQ129" si="54">INT(H110)</f>
        <v>71</v>
      </c>
      <c r="AR110" s="207">
        <f t="shared" ref="AR110:AR129" si="55">M110</f>
        <v>0.13</v>
      </c>
      <c r="AS110" s="208">
        <f t="shared" ref="AS110:AS129" si="56">O110</f>
        <v>-0.68155786036767829</v>
      </c>
      <c r="AT110" s="207">
        <f t="shared" ref="AT110:AT129" si="57">SQRT(P110)</f>
        <v>0.21835556391526428</v>
      </c>
      <c r="AU110" s="207"/>
      <c r="AV110" s="207"/>
      <c r="AW110" s="207"/>
      <c r="AX110" s="207"/>
      <c r="AY110" s="209"/>
      <c r="AZ110" s="207"/>
      <c r="BA110" s="207"/>
      <c r="BB110" s="207"/>
      <c r="BC110" s="207"/>
      <c r="BD110" s="207"/>
      <c r="BE110" s="210"/>
      <c r="BF110" s="210"/>
    </row>
    <row r="111" spans="1:58">
      <c r="E111" t="str">
        <f>E33</f>
        <v>Kronmüller KT</v>
      </c>
      <c r="F111">
        <f>F33</f>
        <v>2009</v>
      </c>
      <c r="G111">
        <v>35</v>
      </c>
      <c r="H111">
        <f>H33</f>
        <v>13</v>
      </c>
      <c r="I111">
        <f>I33</f>
        <v>5.5</v>
      </c>
      <c r="J111">
        <f t="shared" ref="J111:M116" si="58">IF($D$4="Total",T33,IF($D$4="Left",L33,IF($D$4="Right",P33,"error")))</f>
        <v>5.81</v>
      </c>
      <c r="K111">
        <f t="shared" si="58"/>
        <v>0.9</v>
      </c>
      <c r="L111">
        <f t="shared" si="58"/>
        <v>6.49</v>
      </c>
      <c r="M111">
        <f t="shared" si="58"/>
        <v>0.49</v>
      </c>
      <c r="N111">
        <f t="shared" ref="N111:N116" si="59">IF($D$3=1,SQRT((((I111-1)*(M111)^2)+((H111-1)*(K111)^2))/(H111+I111-2)),M111)</f>
        <v>0.80905668977688283</v>
      </c>
      <c r="O111" s="59">
        <f t="shared" ref="O111:O116" si="60">IF($D$6=1,LN(J111/L111),IF($D$5=1,(1-3/(4*(H111+I111)-9))*((J111-L111)/N111),(J111-L111)/N111))</f>
        <v>-0.80169337057735313</v>
      </c>
      <c r="P111" s="63">
        <f t="shared" ref="P111:P116" si="61">IF($D$6=1,(K111^2)/(H111*J111^2)+(M111^2)/(I111*L111^2),(IF($D$5=1,((H111+I111)/(H111*I111))+(O111*O111)/(2*(H111+I111-3.94)),((H111+I111)/(H111*I111))+((O111^2)/(2*(H111+I111-2))))))</f>
        <v>0.28081242153067076</v>
      </c>
      <c r="Q111" s="59">
        <f t="shared" si="18"/>
        <v>1.038638049828825</v>
      </c>
      <c r="R111" s="59">
        <f t="shared" ref="R111:R116" si="62">1/P111</f>
        <v>3.5610960318248543</v>
      </c>
      <c r="S111" s="59">
        <f t="shared" ref="S111:S116" si="63">O111*R111</f>
        <v>-2.8549070807033048</v>
      </c>
      <c r="T111" s="59">
        <f t="shared" ref="T111:T116" si="64">R111*(O111^2)</f>
        <v>2.2887600802141836</v>
      </c>
      <c r="U111" s="23">
        <f t="shared" ref="U111:U116" si="65">R111^2</f>
        <v>12.681404947878724</v>
      </c>
      <c r="V111" s="59">
        <f t="shared" si="23"/>
        <v>2.2943193784185199</v>
      </c>
      <c r="W111" s="59">
        <f t="shared" ref="W111:W116" si="66">V111*O111</f>
        <v>-1.8393406356652808</v>
      </c>
      <c r="AF111" s="59">
        <f t="shared" ref="AF111:AF116" si="67">IF($D$6=1,100*((EXP(O111))-1),O111)</f>
        <v>-0.80169337057735313</v>
      </c>
      <c r="AG111" s="59">
        <f t="shared" ref="AG111:AG116" si="68">IF($D$6=1,100*(EXP(O111+Q111)-EXP(O111)),Q111)</f>
        <v>1.038638049828825</v>
      </c>
      <c r="AH111" s="59">
        <f t="shared" ref="AH111:AH116" si="69">IF($D$6=1,100*(EXP(O111)-EXP(O111-Q111)),Q111)</f>
        <v>1.038638049828825</v>
      </c>
      <c r="AJ111">
        <f t="shared" ref="AJ111:AJ116" si="70">SQRT(P111)</f>
        <v>0.52991737236164538</v>
      </c>
      <c r="AK111">
        <f t="shared" si="29"/>
        <v>1.8870866519121094</v>
      </c>
      <c r="AL111">
        <f t="shared" ref="AL111:AL116" si="71">O111/AJ111</f>
        <v>-1.5128648585429514</v>
      </c>
      <c r="AN111" s="207" t="str">
        <f t="shared" ref="AN111:AO116" si="72">E111</f>
        <v>Kronmüller KT</v>
      </c>
      <c r="AO111" s="207">
        <f t="shared" si="72"/>
        <v>2009</v>
      </c>
      <c r="AP111" s="207" t="str">
        <f t="shared" ref="AP111:AP116" si="73">CONCATENATE(AN111," ",AO111)</f>
        <v>Kronmüller KT 2009</v>
      </c>
      <c r="AQ111" s="207">
        <f t="shared" ref="AQ111:AQ116" si="74">INT(H111)</f>
        <v>13</v>
      </c>
      <c r="AR111" s="207">
        <f t="shared" ref="AR111:AR116" si="75">M111</f>
        <v>0.49</v>
      </c>
      <c r="AS111" s="208">
        <f t="shared" ref="AS111:AS116" si="76">O111</f>
        <v>-0.80169337057735313</v>
      </c>
      <c r="AT111" s="207">
        <f t="shared" ref="AT111:AT116" si="77">SQRT(P111)</f>
        <v>0.52991737236164538</v>
      </c>
      <c r="AU111" s="207"/>
      <c r="AV111" s="207"/>
      <c r="AW111" s="207"/>
      <c r="AX111" s="207"/>
      <c r="AY111" s="209"/>
      <c r="AZ111" s="207"/>
      <c r="BA111" s="207"/>
      <c r="BB111" s="207"/>
      <c r="BC111" s="207"/>
      <c r="BD111" s="207"/>
      <c r="BE111" s="210"/>
      <c r="BF111" s="210"/>
    </row>
    <row r="112" spans="1:58">
      <c r="E112" t="str">
        <f>E34</f>
        <v>Kronmüller KT</v>
      </c>
      <c r="F112">
        <f>F34</f>
        <v>2009</v>
      </c>
      <c r="G112">
        <v>34</v>
      </c>
      <c r="H112">
        <f>H34</f>
        <v>13</v>
      </c>
      <c r="I112">
        <f>I34</f>
        <v>9.5</v>
      </c>
      <c r="J112">
        <f t="shared" si="58"/>
        <v>5.52</v>
      </c>
      <c r="K112">
        <f t="shared" si="58"/>
        <v>0.56999999999999995</v>
      </c>
      <c r="L112">
        <f t="shared" si="58"/>
        <v>5.51</v>
      </c>
      <c r="M112">
        <f t="shared" si="58"/>
        <v>0.66</v>
      </c>
      <c r="N112">
        <f t="shared" si="59"/>
        <v>0.6089334939055332</v>
      </c>
      <c r="O112" s="59">
        <f t="shared" si="60"/>
        <v>1.5813926686587081E-2</v>
      </c>
      <c r="P112" s="63">
        <f t="shared" si="61"/>
        <v>0.18219297189424827</v>
      </c>
      <c r="Q112" s="59">
        <f t="shared" si="18"/>
        <v>0.83660774609666633</v>
      </c>
      <c r="R112" s="59">
        <f t="shared" si="62"/>
        <v>5.4886859224209701</v>
      </c>
      <c r="S112" s="59">
        <f t="shared" si="63"/>
        <v>8.6797676782867816E-2</v>
      </c>
      <c r="T112" s="59">
        <f t="shared" si="64"/>
        <v>1.3726120972103531E-3</v>
      </c>
      <c r="U112" s="23">
        <f t="shared" si="65"/>
        <v>30.125673154982135</v>
      </c>
      <c r="V112" s="59">
        <f t="shared" si="23"/>
        <v>2.965250296888172</v>
      </c>
      <c r="W112" s="59">
        <f t="shared" si="66"/>
        <v>4.6892250802370132E-2</v>
      </c>
      <c r="AF112" s="59">
        <f t="shared" si="67"/>
        <v>1.5813926686587081E-2</v>
      </c>
      <c r="AG112" s="59">
        <f t="shared" si="68"/>
        <v>0.83660774609666633</v>
      </c>
      <c r="AH112" s="59">
        <f t="shared" si="69"/>
        <v>0.83660774609666633</v>
      </c>
      <c r="AJ112">
        <f t="shared" si="70"/>
        <v>0.42684068678401343</v>
      </c>
      <c r="AK112">
        <f t="shared" si="29"/>
        <v>2.3427944686679134</v>
      </c>
      <c r="AL112">
        <f t="shared" si="71"/>
        <v>3.7048779969256117E-2</v>
      </c>
      <c r="AN112" s="207" t="str">
        <f t="shared" si="72"/>
        <v>Kronmüller KT</v>
      </c>
      <c r="AO112" s="207">
        <f t="shared" si="72"/>
        <v>2009</v>
      </c>
      <c r="AP112" s="207" t="str">
        <f t="shared" si="73"/>
        <v>Kronmüller KT 2009</v>
      </c>
      <c r="AQ112" s="207">
        <f t="shared" si="74"/>
        <v>13</v>
      </c>
      <c r="AR112" s="207">
        <f t="shared" si="75"/>
        <v>0.66</v>
      </c>
      <c r="AS112" s="208">
        <f t="shared" si="76"/>
        <v>1.5813926686587081E-2</v>
      </c>
      <c r="AT112" s="207">
        <f t="shared" si="77"/>
        <v>0.42684068678401343</v>
      </c>
      <c r="AU112" s="207"/>
      <c r="AV112" s="207"/>
      <c r="AW112" s="207"/>
      <c r="AX112" s="207"/>
      <c r="AY112" s="209"/>
      <c r="AZ112" s="207"/>
      <c r="BA112" s="207"/>
      <c r="BB112" s="207"/>
      <c r="BC112" s="207"/>
      <c r="BD112" s="207"/>
      <c r="BE112" s="210"/>
      <c r="BF112" s="210"/>
    </row>
    <row r="113" spans="5:58">
      <c r="E113" t="str">
        <f t="shared" ref="E113:F116" si="78">E35</f>
        <v>Kronmüller KT</v>
      </c>
      <c r="F113">
        <f t="shared" si="78"/>
        <v>2009</v>
      </c>
      <c r="G113">
        <v>33</v>
      </c>
      <c r="H113">
        <f t="shared" ref="H113:I116" si="79">H35</f>
        <v>11</v>
      </c>
      <c r="I113">
        <f t="shared" si="79"/>
        <v>5.5</v>
      </c>
      <c r="J113">
        <f t="shared" si="58"/>
        <v>6.07</v>
      </c>
      <c r="K113">
        <f t="shared" si="58"/>
        <v>0.85</v>
      </c>
      <c r="L113">
        <f t="shared" si="58"/>
        <v>6.49</v>
      </c>
      <c r="M113">
        <f t="shared" si="58"/>
        <v>0.49</v>
      </c>
      <c r="N113">
        <f t="shared" si="59"/>
        <v>0.75682868284203786</v>
      </c>
      <c r="O113" s="59">
        <f t="shared" si="60"/>
        <v>-0.52573950467618868</v>
      </c>
      <c r="P113" s="63">
        <f t="shared" si="61"/>
        <v>0.28373053812445281</v>
      </c>
      <c r="Q113" s="59">
        <f t="shared" si="18"/>
        <v>1.0440207063362767</v>
      </c>
      <c r="R113" s="59">
        <f t="shared" si="62"/>
        <v>3.5244708116733268</v>
      </c>
      <c r="S113" s="59">
        <f t="shared" si="63"/>
        <v>-1.8529535387748195</v>
      </c>
      <c r="T113" s="59">
        <f t="shared" si="64"/>
        <v>0.97417087566346472</v>
      </c>
      <c r="U113" s="23">
        <f t="shared" si="65"/>
        <v>12.421894502337238</v>
      </c>
      <c r="V113" s="59">
        <f t="shared" si="23"/>
        <v>2.2790608575579681</v>
      </c>
      <c r="W113" s="59">
        <f t="shared" si="66"/>
        <v>-1.1981923263794159</v>
      </c>
      <c r="AF113" s="59">
        <f t="shared" si="67"/>
        <v>-0.52573950467618868</v>
      </c>
      <c r="AG113" s="59">
        <f t="shared" si="68"/>
        <v>1.0440207063362767</v>
      </c>
      <c r="AH113" s="59">
        <f t="shared" si="69"/>
        <v>1.0440207063362767</v>
      </c>
      <c r="AJ113">
        <f t="shared" si="70"/>
        <v>0.53266362568177383</v>
      </c>
      <c r="AK113">
        <f t="shared" si="29"/>
        <v>1.8773574011554981</v>
      </c>
      <c r="AL113">
        <f t="shared" si="71"/>
        <v>-0.98700095018366851</v>
      </c>
      <c r="AN113" s="207" t="str">
        <f t="shared" si="72"/>
        <v>Kronmüller KT</v>
      </c>
      <c r="AO113" s="207">
        <f t="shared" si="72"/>
        <v>2009</v>
      </c>
      <c r="AP113" s="207" t="str">
        <f t="shared" si="73"/>
        <v>Kronmüller KT 2009</v>
      </c>
      <c r="AQ113" s="207">
        <f t="shared" si="74"/>
        <v>11</v>
      </c>
      <c r="AR113" s="207">
        <f t="shared" si="75"/>
        <v>0.49</v>
      </c>
      <c r="AS113" s="208">
        <f t="shared" si="76"/>
        <v>-0.52573950467618868</v>
      </c>
      <c r="AT113" s="207">
        <f t="shared" si="77"/>
        <v>0.53266362568177383</v>
      </c>
      <c r="AU113" s="207"/>
      <c r="AV113" s="207"/>
      <c r="AW113" s="207"/>
      <c r="AX113" s="207"/>
      <c r="AY113" s="209"/>
      <c r="AZ113" s="207"/>
      <c r="BA113" s="207"/>
      <c r="BB113" s="207"/>
      <c r="BC113" s="207"/>
      <c r="BD113" s="207"/>
      <c r="BE113" s="210"/>
      <c r="BF113" s="210"/>
    </row>
    <row r="114" spans="5:58">
      <c r="E114" t="str">
        <f t="shared" si="78"/>
        <v>Kronmüller KT</v>
      </c>
      <c r="F114">
        <f t="shared" si="78"/>
        <v>2009</v>
      </c>
      <c r="G114">
        <v>32</v>
      </c>
      <c r="H114">
        <f t="shared" si="79"/>
        <v>20</v>
      </c>
      <c r="I114">
        <f t="shared" si="79"/>
        <v>9.5</v>
      </c>
      <c r="J114">
        <f t="shared" si="58"/>
        <v>5.59</v>
      </c>
      <c r="K114">
        <f t="shared" si="58"/>
        <v>0.73</v>
      </c>
      <c r="L114">
        <f t="shared" si="58"/>
        <v>5.51</v>
      </c>
      <c r="M114">
        <f t="shared" si="58"/>
        <v>0.66</v>
      </c>
      <c r="N114">
        <f t="shared" si="59"/>
        <v>0.70910186471723125</v>
      </c>
      <c r="O114" s="59">
        <f t="shared" si="60"/>
        <v>0.1097136659887904</v>
      </c>
      <c r="P114" s="63">
        <f t="shared" si="61"/>
        <v>0.15549862519725446</v>
      </c>
      <c r="Q114" s="59">
        <f t="shared" si="18"/>
        <v>0.77289295413904036</v>
      </c>
      <c r="R114" s="59">
        <f t="shared" si="62"/>
        <v>6.4309250241374887</v>
      </c>
      <c r="S114" s="59">
        <f t="shared" si="63"/>
        <v>0.70556036009717427</v>
      </c>
      <c r="T114" s="59">
        <f t="shared" si="64"/>
        <v>7.740961368263205E-2</v>
      </c>
      <c r="U114" s="23">
        <f t="shared" si="65"/>
        <v>41.356796666077763</v>
      </c>
      <c r="V114" s="59">
        <f t="shared" si="23"/>
        <v>3.2201419865843768</v>
      </c>
      <c r="W114" s="59">
        <f t="shared" si="66"/>
        <v>0.35329358235259828</v>
      </c>
      <c r="AF114" s="59">
        <f t="shared" si="67"/>
        <v>0.1097136659887904</v>
      </c>
      <c r="AG114" s="59">
        <f t="shared" si="68"/>
        <v>0.77289295413904036</v>
      </c>
      <c r="AH114" s="59">
        <f t="shared" si="69"/>
        <v>0.77289295413904036</v>
      </c>
      <c r="AJ114">
        <f t="shared" si="70"/>
        <v>0.39433313986685731</v>
      </c>
      <c r="AK114">
        <f t="shared" si="29"/>
        <v>2.5359268570164812</v>
      </c>
      <c r="AL114">
        <f t="shared" si="71"/>
        <v>0.27822583216270924</v>
      </c>
      <c r="AN114" s="207" t="str">
        <f t="shared" si="72"/>
        <v>Kronmüller KT</v>
      </c>
      <c r="AO114" s="207">
        <f t="shared" si="72"/>
        <v>2009</v>
      </c>
      <c r="AP114" s="207" t="str">
        <f t="shared" si="73"/>
        <v>Kronmüller KT 2009</v>
      </c>
      <c r="AQ114" s="207">
        <f t="shared" si="74"/>
        <v>20</v>
      </c>
      <c r="AR114" s="207">
        <f t="shared" si="75"/>
        <v>0.66</v>
      </c>
      <c r="AS114" s="208">
        <f t="shared" si="76"/>
        <v>0.1097136659887904</v>
      </c>
      <c r="AT114" s="207">
        <f t="shared" si="77"/>
        <v>0.39433313986685731</v>
      </c>
      <c r="AU114" s="207"/>
      <c r="AV114" s="207"/>
      <c r="AW114" s="207"/>
      <c r="AX114" s="207"/>
      <c r="AY114" s="209"/>
      <c r="AZ114" s="207"/>
      <c r="BA114" s="207"/>
      <c r="BB114" s="207"/>
      <c r="BC114" s="207"/>
      <c r="BD114" s="207"/>
      <c r="BE114" s="210"/>
      <c r="BF114" s="210"/>
    </row>
    <row r="115" spans="5:58">
      <c r="E115" t="str">
        <f t="shared" si="78"/>
        <v>Weber K</v>
      </c>
      <c r="F115">
        <f t="shared" si="78"/>
        <v>2009</v>
      </c>
      <c r="G115">
        <v>31</v>
      </c>
      <c r="H115">
        <f t="shared" si="79"/>
        <v>38</v>
      </c>
      <c r="I115">
        <f t="shared" si="79"/>
        <v>62</v>
      </c>
      <c r="J115">
        <f t="shared" si="58"/>
        <v>3.58</v>
      </c>
      <c r="K115">
        <f t="shared" si="58"/>
        <v>0.45</v>
      </c>
      <c r="L115">
        <f t="shared" si="58"/>
        <v>3.63</v>
      </c>
      <c r="M115">
        <f t="shared" si="58"/>
        <v>0.52</v>
      </c>
      <c r="N115">
        <f t="shared" si="59"/>
        <v>0.49473658214678823</v>
      </c>
      <c r="O115" s="59">
        <f t="shared" si="60"/>
        <v>-0.10028845667960666</v>
      </c>
      <c r="P115" s="63">
        <f t="shared" si="61"/>
        <v>4.2497173254459411E-2</v>
      </c>
      <c r="Q115" s="59">
        <f t="shared" si="18"/>
        <v>0.40405091359175427</v>
      </c>
      <c r="R115" s="59">
        <f t="shared" si="62"/>
        <v>23.530976849032321</v>
      </c>
      <c r="S115" s="59">
        <f t="shared" si="63"/>
        <v>-2.3598853523530052</v>
      </c>
      <c r="T115" s="59">
        <f t="shared" si="64"/>
        <v>0.23666925992829266</v>
      </c>
      <c r="U115" s="23">
        <f t="shared" si="65"/>
        <v>553.7068714696951</v>
      </c>
      <c r="V115" s="59">
        <f t="shared" si="23"/>
        <v>5.0621669355957497</v>
      </c>
      <c r="W115" s="59">
        <f t="shared" si="66"/>
        <v>-0.50767690942543153</v>
      </c>
      <c r="AF115" s="59">
        <f t="shared" si="67"/>
        <v>-0.10028845667960666</v>
      </c>
      <c r="AG115" s="59">
        <f t="shared" si="68"/>
        <v>0.40405091359175427</v>
      </c>
      <c r="AH115" s="59">
        <f t="shared" si="69"/>
        <v>0.40405091359175427</v>
      </c>
      <c r="AJ115">
        <f t="shared" si="70"/>
        <v>0.20614842530191543</v>
      </c>
      <c r="AK115">
        <f t="shared" si="29"/>
        <v>4.850873823243842</v>
      </c>
      <c r="AL115">
        <f t="shared" si="71"/>
        <v>-0.48648664928062796</v>
      </c>
      <c r="AN115" s="207" t="str">
        <f t="shared" si="72"/>
        <v>Weber K</v>
      </c>
      <c r="AO115" s="207">
        <f t="shared" si="72"/>
        <v>2009</v>
      </c>
      <c r="AP115" s="207" t="str">
        <f t="shared" si="73"/>
        <v>Weber K 2009</v>
      </c>
      <c r="AQ115" s="207">
        <f t="shared" si="74"/>
        <v>38</v>
      </c>
      <c r="AR115" s="207">
        <f t="shared" si="75"/>
        <v>0.52</v>
      </c>
      <c r="AS115" s="208">
        <f t="shared" si="76"/>
        <v>-0.10028845667960666</v>
      </c>
      <c r="AT115" s="207">
        <f t="shared" si="77"/>
        <v>0.20614842530191543</v>
      </c>
      <c r="AU115" s="207"/>
      <c r="AV115" s="207"/>
      <c r="AW115" s="207"/>
      <c r="AX115" s="207"/>
      <c r="AY115" s="209"/>
      <c r="AZ115" s="207"/>
      <c r="BA115" s="207"/>
      <c r="BB115" s="207"/>
      <c r="BC115" s="207"/>
      <c r="BD115" s="207"/>
      <c r="BE115" s="210"/>
      <c r="BF115" s="210"/>
    </row>
    <row r="116" spans="5:58">
      <c r="E116" t="str">
        <f t="shared" si="78"/>
        <v>Köhler S</v>
      </c>
      <c r="F116">
        <f t="shared" si="78"/>
        <v>2010</v>
      </c>
      <c r="G116">
        <v>30</v>
      </c>
      <c r="H116">
        <f t="shared" si="79"/>
        <v>35</v>
      </c>
      <c r="I116">
        <f t="shared" si="79"/>
        <v>29</v>
      </c>
      <c r="J116">
        <f t="shared" si="58"/>
        <v>5.6</v>
      </c>
      <c r="K116">
        <f t="shared" si="58"/>
        <v>0.9</v>
      </c>
      <c r="L116">
        <f t="shared" si="58"/>
        <v>5.8</v>
      </c>
      <c r="M116">
        <f t="shared" si="58"/>
        <v>0.8</v>
      </c>
      <c r="N116">
        <f t="shared" si="59"/>
        <v>0.85628605410319103</v>
      </c>
      <c r="O116" s="59">
        <f t="shared" si="60"/>
        <v>-0.2307299637261406</v>
      </c>
      <c r="P116" s="63">
        <f t="shared" si="61"/>
        <v>6.3497379967351872E-2</v>
      </c>
      <c r="Q116" s="59">
        <f t="shared" si="18"/>
        <v>0.49389425475761406</v>
      </c>
      <c r="R116" s="59">
        <f t="shared" si="62"/>
        <v>15.74868129227009</v>
      </c>
      <c r="S116" s="59">
        <f t="shared" si="63"/>
        <v>-3.6336926633000268</v>
      </c>
      <c r="T116" s="59">
        <f t="shared" si="64"/>
        <v>0.83840177639515845</v>
      </c>
      <c r="U116" s="23">
        <f t="shared" si="65"/>
        <v>248.02096244549793</v>
      </c>
      <c r="V116" s="59">
        <f t="shared" si="23"/>
        <v>4.5757361973111959</v>
      </c>
      <c r="W116" s="59">
        <f t="shared" si="66"/>
        <v>-1.0557594468260008</v>
      </c>
      <c r="AF116" s="59">
        <f t="shared" si="67"/>
        <v>-0.2307299637261406</v>
      </c>
      <c r="AG116" s="59">
        <f t="shared" si="68"/>
        <v>0.49389425475761406</v>
      </c>
      <c r="AH116" s="59">
        <f t="shared" si="69"/>
        <v>0.49389425475761406</v>
      </c>
      <c r="AJ116">
        <f t="shared" si="70"/>
        <v>0.25198686467225206</v>
      </c>
      <c r="AK116">
        <f t="shared" si="29"/>
        <v>3.9684608215616906</v>
      </c>
      <c r="AL116">
        <f t="shared" si="71"/>
        <v>-0.91564282140753905</v>
      </c>
      <c r="AN116" s="207" t="str">
        <f t="shared" si="72"/>
        <v>Köhler S</v>
      </c>
      <c r="AO116" s="207">
        <f t="shared" si="72"/>
        <v>2010</v>
      </c>
      <c r="AP116" s="207" t="str">
        <f t="shared" si="73"/>
        <v>Köhler S 2010</v>
      </c>
      <c r="AQ116" s="207">
        <f t="shared" si="74"/>
        <v>35</v>
      </c>
      <c r="AR116" s="207">
        <f t="shared" si="75"/>
        <v>0.8</v>
      </c>
      <c r="AS116" s="208">
        <f t="shared" si="76"/>
        <v>-0.2307299637261406</v>
      </c>
      <c r="AT116" s="207">
        <f t="shared" si="77"/>
        <v>0.25198686467225206</v>
      </c>
      <c r="AU116" s="207"/>
      <c r="AV116" s="207"/>
      <c r="AW116" s="207"/>
      <c r="AX116" s="207"/>
      <c r="AY116" s="209"/>
      <c r="AZ116" s="207"/>
      <c r="BA116" s="207"/>
      <c r="BB116" s="207"/>
      <c r="BC116" s="207"/>
      <c r="BD116" s="207"/>
      <c r="BE116" s="210"/>
      <c r="BF116" s="210"/>
    </row>
    <row r="117" spans="5:58">
      <c r="E117" t="str">
        <f t="shared" ref="E117:F143" si="80">E41</f>
        <v>Bremner JD</v>
      </c>
      <c r="F117">
        <f t="shared" si="80"/>
        <v>2000</v>
      </c>
      <c r="G117">
        <v>29</v>
      </c>
      <c r="H117">
        <f t="shared" ref="H117:I143" si="81">H41</f>
        <v>16</v>
      </c>
      <c r="I117">
        <f t="shared" si="81"/>
        <v>16</v>
      </c>
      <c r="J117">
        <f t="shared" ref="J117:J129" si="82">IF($D$4="Total",T41,IF($D$4="Left",L41,IF($D$4="Right",P41,"error")))</f>
        <v>1922</v>
      </c>
      <c r="K117">
        <f t="shared" ref="K117:K129" si="83">IF($D$4="Total",U41,IF($D$4="Left",M41,IF($D$4="Right",Q41,"error")))</f>
        <v>452.93288686073572</v>
      </c>
      <c r="L117">
        <f t="shared" ref="L117:L129" si="84">IF($D$4="Total",V41,IF($D$4="Left",N41,IF($D$4="Right",R41,"error")))</f>
        <v>2279</v>
      </c>
      <c r="M117">
        <f t="shared" ref="M117:M129" si="85">IF($D$4="Total",W41,IF($D$4="Left",O41,IF($D$4="Right",S41,"error")))</f>
        <v>419.66558114765621</v>
      </c>
      <c r="N117">
        <f t="shared" si="38"/>
        <v>436.61619301166559</v>
      </c>
      <c r="O117" s="59">
        <f t="shared" si="39"/>
        <v>-0.79703869341076428</v>
      </c>
      <c r="P117" s="63">
        <f t="shared" si="40"/>
        <v>0.13631986241614288</v>
      </c>
      <c r="Q117" s="59">
        <f t="shared" si="18"/>
        <v>0.72366178803212655</v>
      </c>
      <c r="R117" s="59">
        <f t="shared" si="41"/>
        <v>7.3356881548728792</v>
      </c>
      <c r="S117" s="59">
        <f t="shared" si="42"/>
        <v>-5.8468273022287001</v>
      </c>
      <c r="T117" s="59">
        <f t="shared" si="43"/>
        <v>4.6601475935667462</v>
      </c>
      <c r="U117" s="23">
        <f t="shared" si="44"/>
        <v>53.81232070554227</v>
      </c>
      <c r="V117" s="59">
        <f t="shared" si="23"/>
        <v>3.4321029660107079</v>
      </c>
      <c r="W117" s="59">
        <f t="shared" si="45"/>
        <v>-2.7355188636803831</v>
      </c>
      <c r="AF117" s="59">
        <f t="shared" si="46"/>
        <v>-0.79703869341076428</v>
      </c>
      <c r="AG117" s="59">
        <f t="shared" si="47"/>
        <v>0.72366178803212655</v>
      </c>
      <c r="AH117" s="59">
        <f t="shared" si="48"/>
        <v>0.72366178803212655</v>
      </c>
      <c r="AJ117">
        <f t="shared" si="49"/>
        <v>0.36921519797557478</v>
      </c>
      <c r="AK117">
        <f t="shared" si="29"/>
        <v>2.7084475543884694</v>
      </c>
      <c r="AL117">
        <f t="shared" si="50"/>
        <v>-2.1587374999213655</v>
      </c>
      <c r="AN117" s="207" t="str">
        <f t="shared" si="51"/>
        <v>Bremner JD</v>
      </c>
      <c r="AO117" s="207">
        <f t="shared" si="52"/>
        <v>2000</v>
      </c>
      <c r="AP117" s="207" t="str">
        <f t="shared" si="53"/>
        <v>Bremner JD 2000</v>
      </c>
      <c r="AQ117" s="207">
        <f t="shared" si="54"/>
        <v>16</v>
      </c>
      <c r="AR117" s="207">
        <f t="shared" si="55"/>
        <v>419.66558114765621</v>
      </c>
      <c r="AS117" s="208">
        <f t="shared" si="56"/>
        <v>-0.79703869341076428</v>
      </c>
      <c r="AT117" s="207">
        <f t="shared" si="57"/>
        <v>0.36921519797557478</v>
      </c>
      <c r="AU117" s="207"/>
      <c r="AV117" s="207"/>
      <c r="AW117" s="207"/>
      <c r="AX117" s="207"/>
      <c r="AY117" s="209"/>
      <c r="AZ117" s="207"/>
      <c r="BA117" s="207"/>
      <c r="BB117" s="207"/>
      <c r="BC117" s="207"/>
      <c r="BD117" s="207"/>
      <c r="BE117" s="210"/>
      <c r="BF117" s="210"/>
    </row>
    <row r="118" spans="5:58">
      <c r="E118" t="str">
        <f t="shared" si="80"/>
        <v>Vakili K</v>
      </c>
      <c r="F118">
        <f t="shared" si="80"/>
        <v>2000</v>
      </c>
      <c r="G118">
        <v>28</v>
      </c>
      <c r="H118">
        <f t="shared" si="81"/>
        <v>38</v>
      </c>
      <c r="I118">
        <f t="shared" si="81"/>
        <v>20</v>
      </c>
      <c r="J118">
        <f t="shared" si="82"/>
        <v>5.25</v>
      </c>
      <c r="K118">
        <f t="shared" si="83"/>
        <v>1.0720541031123383</v>
      </c>
      <c r="L118">
        <f t="shared" si="84"/>
        <v>5.0600000000000005</v>
      </c>
      <c r="M118">
        <f t="shared" si="85"/>
        <v>0.84532833857620082</v>
      </c>
      <c r="N118">
        <f t="shared" si="38"/>
        <v>1.0009024499349146</v>
      </c>
      <c r="O118" s="59">
        <f t="shared" si="39"/>
        <v>0.18727493993098845</v>
      </c>
      <c r="P118" s="63">
        <f t="shared" si="40"/>
        <v>7.664016889586471E-2</v>
      </c>
      <c r="Q118" s="59">
        <f t="shared" si="18"/>
        <v>0.54260563287746455</v>
      </c>
      <c r="R118" s="59">
        <f t="shared" si="41"/>
        <v>13.047987946878823</v>
      </c>
      <c r="S118" s="59">
        <f t="shared" si="42"/>
        <v>2.4435611589719932</v>
      </c>
      <c r="T118" s="59">
        <f t="shared" si="43"/>
        <v>0.45761776926417647</v>
      </c>
      <c r="U118" s="23">
        <f t="shared" si="44"/>
        <v>170.24998946189504</v>
      </c>
      <c r="V118" s="59">
        <f t="shared" si="23"/>
        <v>4.3161706095964165</v>
      </c>
      <c r="W118" s="59">
        <f t="shared" si="45"/>
        <v>0.80831059164406671</v>
      </c>
      <c r="AF118" s="59">
        <f t="shared" si="46"/>
        <v>0.18727493993098845</v>
      </c>
      <c r="AG118" s="59">
        <f t="shared" si="47"/>
        <v>0.54260563287746455</v>
      </c>
      <c r="AH118" s="59">
        <f t="shared" si="48"/>
        <v>0.54260563287746455</v>
      </c>
      <c r="AJ118">
        <f t="shared" si="49"/>
        <v>0.2768396086109513</v>
      </c>
      <c r="AK118">
        <f t="shared" si="29"/>
        <v>3.6121998763743437</v>
      </c>
      <c r="AL118">
        <f t="shared" si="50"/>
        <v>0.67647451486672916</v>
      </c>
      <c r="AN118" s="207" t="str">
        <f t="shared" si="51"/>
        <v>Vakili K</v>
      </c>
      <c r="AO118" s="207">
        <f t="shared" si="52"/>
        <v>2000</v>
      </c>
      <c r="AP118" s="207" t="str">
        <f t="shared" si="53"/>
        <v>Vakili K 2000</v>
      </c>
      <c r="AQ118" s="207">
        <f t="shared" si="54"/>
        <v>38</v>
      </c>
      <c r="AR118" s="207">
        <f t="shared" si="55"/>
        <v>0.84532833857620082</v>
      </c>
      <c r="AS118" s="208">
        <f t="shared" si="56"/>
        <v>0.18727493993098845</v>
      </c>
      <c r="AT118" s="207">
        <f t="shared" si="57"/>
        <v>0.2768396086109513</v>
      </c>
      <c r="AU118" s="207"/>
      <c r="AV118" s="207"/>
      <c r="AW118" s="207"/>
      <c r="AX118" s="207"/>
      <c r="AY118" s="209"/>
      <c r="AZ118" s="207"/>
      <c r="BA118" s="207"/>
      <c r="BB118" s="207"/>
      <c r="BC118" s="207"/>
      <c r="BD118" s="207"/>
      <c r="BE118" s="210"/>
      <c r="BF118" s="210"/>
    </row>
    <row r="119" spans="5:58">
      <c r="E119" t="str">
        <f t="shared" si="80"/>
        <v>Rusch BD</v>
      </c>
      <c r="F119">
        <f t="shared" si="80"/>
        <v>2001</v>
      </c>
      <c r="G119">
        <v>27</v>
      </c>
      <c r="H119">
        <f t="shared" si="81"/>
        <v>25</v>
      </c>
      <c r="I119">
        <f t="shared" si="81"/>
        <v>15</v>
      </c>
      <c r="J119">
        <f t="shared" si="82"/>
        <v>4.46</v>
      </c>
      <c r="K119">
        <f t="shared" si="83"/>
        <v>0.53141321022345689</v>
      </c>
      <c r="L119">
        <f t="shared" si="84"/>
        <v>4.33</v>
      </c>
      <c r="M119">
        <f t="shared" si="85"/>
        <v>0.48392148123430107</v>
      </c>
      <c r="N119">
        <f t="shared" si="38"/>
        <v>0.51442660977257515</v>
      </c>
      <c r="O119" s="59">
        <f t="shared" si="39"/>
        <v>0.24768784530679047</v>
      </c>
      <c r="P119" s="63">
        <f t="shared" si="40"/>
        <v>0.107517322084203</v>
      </c>
      <c r="Q119" s="59">
        <f t="shared" si="18"/>
        <v>0.64268074852034751</v>
      </c>
      <c r="R119" s="59">
        <f t="shared" si="41"/>
        <v>9.300826886451306</v>
      </c>
      <c r="S119" s="59">
        <f t="shared" si="42"/>
        <v>2.3037017710765886</v>
      </c>
      <c r="T119" s="59">
        <f t="shared" si="43"/>
        <v>0.57059892790739741</v>
      </c>
      <c r="U119" s="23">
        <f t="shared" si="44"/>
        <v>86.505380771735489</v>
      </c>
      <c r="V119" s="59">
        <f t="shared" si="23"/>
        <v>3.8085950994008622</v>
      </c>
      <c r="W119" s="59">
        <f t="shared" si="45"/>
        <v>0.94334271381660106</v>
      </c>
      <c r="AF119" s="59">
        <f t="shared" si="46"/>
        <v>0.24768784530679047</v>
      </c>
      <c r="AG119" s="59">
        <f t="shared" si="47"/>
        <v>0.64268074852034751</v>
      </c>
      <c r="AH119" s="59">
        <f t="shared" si="48"/>
        <v>0.64268074852034751</v>
      </c>
      <c r="AJ119">
        <f t="shared" si="49"/>
        <v>0.32789834108180999</v>
      </c>
      <c r="AK119">
        <f t="shared" si="29"/>
        <v>3.0497257067564791</v>
      </c>
      <c r="AL119">
        <f t="shared" si="50"/>
        <v>0.755379989083241</v>
      </c>
      <c r="AN119" s="207" t="str">
        <f t="shared" si="51"/>
        <v>Rusch BD</v>
      </c>
      <c r="AO119" s="207">
        <f t="shared" si="52"/>
        <v>2001</v>
      </c>
      <c r="AP119" s="207" t="str">
        <f t="shared" si="53"/>
        <v>Rusch BD 2001</v>
      </c>
      <c r="AQ119" s="207">
        <f t="shared" si="54"/>
        <v>25</v>
      </c>
      <c r="AR119" s="207">
        <f t="shared" si="55"/>
        <v>0.48392148123430107</v>
      </c>
      <c r="AS119" s="208">
        <f t="shared" si="56"/>
        <v>0.24768784530679047</v>
      </c>
      <c r="AT119" s="207">
        <f t="shared" si="57"/>
        <v>0.32789834108180999</v>
      </c>
      <c r="AU119" s="207"/>
      <c r="AV119" s="207"/>
      <c r="AW119" s="207"/>
      <c r="AX119" s="207"/>
      <c r="AY119" s="209"/>
      <c r="AZ119" s="207"/>
      <c r="BA119" s="207"/>
      <c r="BB119" s="207"/>
      <c r="BC119" s="207"/>
      <c r="BD119" s="207"/>
      <c r="BE119" s="210"/>
      <c r="BF119" s="210"/>
    </row>
    <row r="120" spans="5:58">
      <c r="E120" t="str">
        <f t="shared" si="80"/>
        <v>MacMillan S</v>
      </c>
      <c r="F120">
        <f t="shared" si="80"/>
        <v>2003</v>
      </c>
      <c r="G120">
        <v>26</v>
      </c>
      <c r="H120">
        <f t="shared" si="81"/>
        <v>23</v>
      </c>
      <c r="I120">
        <f t="shared" si="81"/>
        <v>23</v>
      </c>
      <c r="J120">
        <f t="shared" si="82"/>
        <v>6.32</v>
      </c>
      <c r="K120">
        <f t="shared" si="83"/>
        <v>0.86428004720692242</v>
      </c>
      <c r="L120">
        <f t="shared" si="84"/>
        <v>6.5</v>
      </c>
      <c r="M120">
        <f t="shared" si="85"/>
        <v>0.79699435380685102</v>
      </c>
      <c r="N120">
        <f t="shared" si="38"/>
        <v>0.83131823028248342</v>
      </c>
      <c r="O120" s="59">
        <f t="shared" si="39"/>
        <v>-0.21281174798027663</v>
      </c>
      <c r="P120" s="63">
        <f t="shared" si="40"/>
        <v>8.7494905477580515E-2</v>
      </c>
      <c r="Q120" s="59">
        <f t="shared" si="18"/>
        <v>0.57975894032146957</v>
      </c>
      <c r="R120" s="59">
        <f t="shared" si="41"/>
        <v>11.429236874325644</v>
      </c>
      <c r="S120" s="59">
        <f t="shared" si="42"/>
        <v>-2.4322758773058735</v>
      </c>
      <c r="T120" s="59">
        <f t="shared" si="43"/>
        <v>0.51761688101972381</v>
      </c>
      <c r="U120" s="23">
        <f t="shared" si="44"/>
        <v>130.62745552944503</v>
      </c>
      <c r="V120" s="59">
        <f t="shared" si="23"/>
        <v>4.1230041739226566</v>
      </c>
      <c r="W120" s="59">
        <f t="shared" si="45"/>
        <v>-0.87742372518245704</v>
      </c>
      <c r="AF120" s="59">
        <f t="shared" si="46"/>
        <v>-0.21281174798027663</v>
      </c>
      <c r="AG120" s="59">
        <f t="shared" si="47"/>
        <v>0.57975894032146957</v>
      </c>
      <c r="AH120" s="59">
        <f t="shared" si="48"/>
        <v>0.57975894032146957</v>
      </c>
      <c r="AJ120">
        <f t="shared" si="49"/>
        <v>0.2957953777150355</v>
      </c>
      <c r="AK120">
        <f t="shared" si="29"/>
        <v>3.3807154382357654</v>
      </c>
      <c r="AL120">
        <f t="shared" si="50"/>
        <v>-0.71945596183486016</v>
      </c>
      <c r="AN120" s="207" t="str">
        <f t="shared" si="51"/>
        <v>MacMillan S</v>
      </c>
      <c r="AO120" s="207">
        <f t="shared" si="52"/>
        <v>2003</v>
      </c>
      <c r="AP120" s="207" t="str">
        <f t="shared" si="53"/>
        <v>MacMillan S 2003</v>
      </c>
      <c r="AQ120" s="207">
        <f t="shared" si="54"/>
        <v>23</v>
      </c>
      <c r="AR120" s="207">
        <f t="shared" si="55"/>
        <v>0.79699435380685102</v>
      </c>
      <c r="AS120" s="208">
        <f t="shared" si="56"/>
        <v>-0.21281174798027663</v>
      </c>
      <c r="AT120" s="207">
        <f t="shared" si="57"/>
        <v>0.2957953777150355</v>
      </c>
      <c r="AU120" s="207"/>
      <c r="AV120" s="207"/>
      <c r="AW120" s="207"/>
      <c r="AX120" s="207"/>
      <c r="AY120" s="209"/>
      <c r="AZ120" s="207"/>
      <c r="BA120" s="207"/>
      <c r="BB120" s="207"/>
      <c r="BC120" s="207"/>
      <c r="BD120" s="207"/>
      <c r="BE120" s="210"/>
      <c r="BF120" s="210"/>
    </row>
    <row r="121" spans="5:58">
      <c r="E121" t="str">
        <f t="shared" si="80"/>
        <v>MacQueen GM</v>
      </c>
      <c r="F121">
        <f t="shared" si="80"/>
        <v>2003</v>
      </c>
      <c r="G121">
        <v>25</v>
      </c>
      <c r="H121">
        <f t="shared" si="81"/>
        <v>20</v>
      </c>
      <c r="I121">
        <f t="shared" si="81"/>
        <v>20</v>
      </c>
      <c r="J121">
        <f t="shared" si="82"/>
        <v>5531</v>
      </c>
      <c r="K121">
        <f t="shared" si="83"/>
        <v>573.85916216437636</v>
      </c>
      <c r="L121">
        <f t="shared" si="84"/>
        <v>5545</v>
      </c>
      <c r="M121">
        <f t="shared" si="85"/>
        <v>674.1852623722948</v>
      </c>
      <c r="N121">
        <f t="shared" si="38"/>
        <v>626.03518511342475</v>
      </c>
      <c r="O121" s="59">
        <f t="shared" si="39"/>
        <v>-2.1918663089439044E-2</v>
      </c>
      <c r="P121" s="63">
        <f t="shared" si="40"/>
        <v>0.10000666150570756</v>
      </c>
      <c r="Q121" s="59">
        <f t="shared" si="18"/>
        <v>0.61982706526927822</v>
      </c>
      <c r="R121" s="59">
        <f t="shared" si="41"/>
        <v>9.9993338938019463</v>
      </c>
      <c r="S121" s="59">
        <f t="shared" si="42"/>
        <v>-0.21917203073705352</v>
      </c>
      <c r="T121" s="59">
        <f t="shared" si="43"/>
        <v>4.8039579003536547E-3</v>
      </c>
      <c r="U121" s="23">
        <f t="shared" si="44"/>
        <v>99.986678319736399</v>
      </c>
      <c r="V121" s="59">
        <f t="shared" si="23"/>
        <v>3.9207483614120333</v>
      </c>
      <c r="W121" s="59">
        <f t="shared" si="45"/>
        <v>-8.5937562392260552E-2</v>
      </c>
      <c r="AF121" s="59">
        <f t="shared" si="46"/>
        <v>-2.1918663089439044E-2</v>
      </c>
      <c r="AG121" s="59">
        <f t="shared" si="47"/>
        <v>0.61982706526927822</v>
      </c>
      <c r="AH121" s="59">
        <f t="shared" si="48"/>
        <v>0.61982706526927822</v>
      </c>
      <c r="AJ121">
        <f t="shared" si="49"/>
        <v>0.3162382986067746</v>
      </c>
      <c r="AK121">
        <f t="shared" si="29"/>
        <v>3.1621723377769828</v>
      </c>
      <c r="AL121">
        <f t="shared" si="50"/>
        <v>-6.9310590102477532E-2</v>
      </c>
      <c r="AN121" s="207" t="str">
        <f t="shared" si="51"/>
        <v>MacQueen GM</v>
      </c>
      <c r="AO121" s="207">
        <f t="shared" si="52"/>
        <v>2003</v>
      </c>
      <c r="AP121" s="207" t="str">
        <f t="shared" si="53"/>
        <v>MacQueen GM 2003</v>
      </c>
      <c r="AQ121" s="207">
        <f t="shared" si="54"/>
        <v>20</v>
      </c>
      <c r="AR121" s="207">
        <f t="shared" si="55"/>
        <v>674.1852623722948</v>
      </c>
      <c r="AS121" s="208">
        <f t="shared" si="56"/>
        <v>-2.1918663089439044E-2</v>
      </c>
      <c r="AT121" s="207">
        <f t="shared" si="57"/>
        <v>0.3162382986067746</v>
      </c>
      <c r="AU121" s="207"/>
      <c r="AV121" s="207"/>
      <c r="AW121" s="207"/>
      <c r="AX121" s="207"/>
      <c r="AY121" s="209"/>
      <c r="AZ121" s="207"/>
      <c r="BA121" s="207"/>
      <c r="BB121" s="207"/>
      <c r="BC121" s="207"/>
      <c r="BD121" s="207"/>
      <c r="BE121" s="210"/>
      <c r="BF121" s="210"/>
    </row>
    <row r="122" spans="5:58">
      <c r="E122" t="str">
        <f t="shared" si="80"/>
        <v>MacQueen GM</v>
      </c>
      <c r="F122">
        <f t="shared" si="80"/>
        <v>2003</v>
      </c>
      <c r="G122">
        <v>24</v>
      </c>
      <c r="H122">
        <f t="shared" si="81"/>
        <v>17</v>
      </c>
      <c r="I122">
        <f t="shared" si="81"/>
        <v>17</v>
      </c>
      <c r="J122">
        <f t="shared" si="82"/>
        <v>4773</v>
      </c>
      <c r="K122">
        <f t="shared" si="83"/>
        <v>503.01993996262217</v>
      </c>
      <c r="L122">
        <f t="shared" si="84"/>
        <v>5395</v>
      </c>
      <c r="M122">
        <f t="shared" si="85"/>
        <v>416.98303322797199</v>
      </c>
      <c r="N122">
        <f t="shared" si="38"/>
        <v>462.00860922714418</v>
      </c>
      <c r="O122" s="59">
        <f t="shared" si="39"/>
        <v>-1.3144930083231281</v>
      </c>
      <c r="P122" s="63">
        <f t="shared" si="40"/>
        <v>0.14638777520627039</v>
      </c>
      <c r="Q122" s="59">
        <f t="shared" si="18"/>
        <v>0.74990884594889817</v>
      </c>
      <c r="R122" s="59">
        <f t="shared" si="41"/>
        <v>6.831171514089422</v>
      </c>
      <c r="S122" s="59">
        <f t="shared" si="42"/>
        <v>-8.9795271939266623</v>
      </c>
      <c r="T122" s="59">
        <f t="shared" si="43"/>
        <v>11.803525714463994</v>
      </c>
      <c r="U122" s="23">
        <f t="shared" si="44"/>
        <v>46.664904254906766</v>
      </c>
      <c r="V122" s="59">
        <f t="shared" si="23"/>
        <v>3.3174707071648921</v>
      </c>
      <c r="W122" s="59">
        <f t="shared" si="45"/>
        <v>-4.3607920498850339</v>
      </c>
      <c r="AF122" s="59">
        <f t="shared" si="46"/>
        <v>-1.3144930083231281</v>
      </c>
      <c r="AG122" s="59">
        <f t="shared" si="47"/>
        <v>0.74990884594889817</v>
      </c>
      <c r="AH122" s="59">
        <f t="shared" si="48"/>
        <v>0.74990884594889817</v>
      </c>
      <c r="AJ122">
        <f t="shared" si="49"/>
        <v>0.38260655405556032</v>
      </c>
      <c r="AK122">
        <f t="shared" si="29"/>
        <v>2.6136509931682581</v>
      </c>
      <c r="AL122">
        <f t="shared" si="50"/>
        <v>-3.4356259567164749</v>
      </c>
      <c r="AN122" s="207" t="str">
        <f t="shared" si="51"/>
        <v>MacQueen GM</v>
      </c>
      <c r="AO122" s="207">
        <f t="shared" si="52"/>
        <v>2003</v>
      </c>
      <c r="AP122" s="207" t="str">
        <f t="shared" si="53"/>
        <v>MacQueen GM 2003</v>
      </c>
      <c r="AQ122" s="207">
        <f t="shared" si="54"/>
        <v>17</v>
      </c>
      <c r="AR122" s="207">
        <f t="shared" si="55"/>
        <v>416.98303322797199</v>
      </c>
      <c r="AS122" s="208">
        <f t="shared" si="56"/>
        <v>-1.3144930083231281</v>
      </c>
      <c r="AT122" s="207">
        <f t="shared" si="57"/>
        <v>0.38260655405556032</v>
      </c>
      <c r="AU122" s="207"/>
      <c r="AV122" s="207"/>
      <c r="AW122" s="207"/>
      <c r="AX122" s="207"/>
      <c r="AY122" s="209"/>
      <c r="AZ122" s="207"/>
      <c r="BA122" s="207"/>
      <c r="BB122" s="207"/>
      <c r="BC122" s="207"/>
      <c r="BD122" s="207"/>
      <c r="BE122" s="210"/>
      <c r="BF122" s="210"/>
    </row>
    <row r="123" spans="5:58">
      <c r="E123" t="str">
        <f t="shared" si="80"/>
        <v>Posener JA</v>
      </c>
      <c r="F123">
        <f t="shared" si="80"/>
        <v>2003</v>
      </c>
      <c r="G123">
        <v>23</v>
      </c>
      <c r="H123">
        <f t="shared" si="81"/>
        <v>27</v>
      </c>
      <c r="I123">
        <f t="shared" si="81"/>
        <v>42</v>
      </c>
      <c r="J123">
        <f t="shared" si="82"/>
        <v>5494.4</v>
      </c>
      <c r="K123">
        <f t="shared" si="83"/>
        <v>796.50783046998345</v>
      </c>
      <c r="L123">
        <f t="shared" si="84"/>
        <v>5468.9</v>
      </c>
      <c r="M123">
        <f t="shared" si="85"/>
        <v>734.10596510313144</v>
      </c>
      <c r="N123">
        <f t="shared" si="38"/>
        <v>758.93107381762297</v>
      </c>
      <c r="O123" s="59">
        <f t="shared" si="39"/>
        <v>3.3222362367160647E-2</v>
      </c>
      <c r="P123" s="63">
        <f t="shared" si="40"/>
        <v>6.0855043211771841E-2</v>
      </c>
      <c r="Q123" s="59">
        <f t="shared" si="18"/>
        <v>0.48350877344919263</v>
      </c>
      <c r="R123" s="59">
        <f t="shared" si="41"/>
        <v>16.432491823562774</v>
      </c>
      <c r="S123" s="59">
        <f t="shared" si="42"/>
        <v>0.54592619795780695</v>
      </c>
      <c r="T123" s="59">
        <f t="shared" si="43"/>
        <v>1.813695797428054E-2</v>
      </c>
      <c r="U123" s="23">
        <f t="shared" si="44"/>
        <v>270.02678753145744</v>
      </c>
      <c r="V123" s="59">
        <f t="shared" si="23"/>
        <v>4.6317368412189666</v>
      </c>
      <c r="W123" s="59">
        <f t="shared" si="45"/>
        <v>0.15387723972830453</v>
      </c>
      <c r="AF123" s="59">
        <f t="shared" si="46"/>
        <v>3.3222362367160647E-2</v>
      </c>
      <c r="AG123" s="59">
        <f t="shared" si="47"/>
        <v>0.48350877344919263</v>
      </c>
      <c r="AH123" s="59">
        <f t="shared" si="48"/>
        <v>0.48350877344919263</v>
      </c>
      <c r="AJ123">
        <f t="shared" si="49"/>
        <v>0.24668814971897585</v>
      </c>
      <c r="AK123">
        <f t="shared" si="29"/>
        <v>4.0537010032268999</v>
      </c>
      <c r="AL123">
        <f t="shared" si="50"/>
        <v>0.13467352365732671</v>
      </c>
      <c r="AN123" s="207" t="str">
        <f t="shared" si="51"/>
        <v>Posener JA</v>
      </c>
      <c r="AO123" s="207">
        <f t="shared" si="52"/>
        <v>2003</v>
      </c>
      <c r="AP123" s="207" t="str">
        <f t="shared" si="53"/>
        <v>Posener JA 2003</v>
      </c>
      <c r="AQ123" s="207">
        <f t="shared" si="54"/>
        <v>27</v>
      </c>
      <c r="AR123" s="207">
        <f t="shared" si="55"/>
        <v>734.10596510313144</v>
      </c>
      <c r="AS123" s="208">
        <f t="shared" si="56"/>
        <v>3.3222362367160647E-2</v>
      </c>
      <c r="AT123" s="207">
        <f t="shared" si="57"/>
        <v>0.24668814971897585</v>
      </c>
      <c r="AU123" s="207"/>
      <c r="AV123" s="207"/>
      <c r="AW123" s="207"/>
      <c r="AX123" s="207"/>
      <c r="AY123" s="209"/>
      <c r="AZ123" s="207"/>
      <c r="BA123" s="207"/>
      <c r="BB123" s="207"/>
      <c r="BC123" s="207"/>
      <c r="BD123" s="207"/>
      <c r="BE123" s="210"/>
      <c r="BF123" s="210"/>
    </row>
    <row r="124" spans="5:58">
      <c r="E124" t="str">
        <f t="shared" si="80"/>
        <v>Sheline YI</v>
      </c>
      <c r="F124">
        <f t="shared" si="80"/>
        <v>2003</v>
      </c>
      <c r="G124">
        <v>22</v>
      </c>
      <c r="H124">
        <f t="shared" si="81"/>
        <v>38</v>
      </c>
      <c r="I124">
        <f t="shared" si="81"/>
        <v>38</v>
      </c>
      <c r="J124">
        <f t="shared" si="82"/>
        <v>4374</v>
      </c>
      <c r="K124">
        <f t="shared" si="83"/>
        <v>598.61924459542729</v>
      </c>
      <c r="L124">
        <f t="shared" si="84"/>
        <v>4850</v>
      </c>
      <c r="M124">
        <f t="shared" si="85"/>
        <v>610.95728164905279</v>
      </c>
      <c r="N124">
        <f t="shared" si="38"/>
        <v>604.81972520743739</v>
      </c>
      <c r="O124" s="59">
        <f t="shared" si="39"/>
        <v>-0.77900786366103214</v>
      </c>
      <c r="P124" s="63">
        <f t="shared" si="40"/>
        <v>5.6842328681241061E-2</v>
      </c>
      <c r="Q124" s="59">
        <f t="shared" si="18"/>
        <v>0.46729593392394897</v>
      </c>
      <c r="R124" s="59">
        <f t="shared" si="41"/>
        <v>17.592523445120872</v>
      </c>
      <c r="S124" s="59">
        <f t="shared" si="42"/>
        <v>-13.704714105390231</v>
      </c>
      <c r="T124" s="59">
        <f t="shared" si="43"/>
        <v>10.676080057325258</v>
      </c>
      <c r="U124" s="23">
        <f t="shared" si="44"/>
        <v>309.49688116712753</v>
      </c>
      <c r="V124" s="59">
        <f t="shared" si="23"/>
        <v>4.7194518066451838</v>
      </c>
      <c r="W124" s="59">
        <f t="shared" si="45"/>
        <v>-3.6764900695458631</v>
      </c>
      <c r="AF124" s="59">
        <f t="shared" si="46"/>
        <v>-0.77900786366103214</v>
      </c>
      <c r="AG124" s="59">
        <f t="shared" si="47"/>
        <v>0.46729593392394897</v>
      </c>
      <c r="AH124" s="59">
        <f t="shared" si="48"/>
        <v>0.46729593392394897</v>
      </c>
      <c r="AJ124">
        <f t="shared" si="49"/>
        <v>0.23841629281834131</v>
      </c>
      <c r="AK124">
        <f t="shared" si="29"/>
        <v>4.1943442211054727</v>
      </c>
      <c r="AL124">
        <f t="shared" si="50"/>
        <v>-3.2674271311423699</v>
      </c>
      <c r="AN124" s="207" t="str">
        <f t="shared" si="51"/>
        <v>Sheline YI</v>
      </c>
      <c r="AO124" s="207">
        <f t="shared" si="52"/>
        <v>2003</v>
      </c>
      <c r="AP124" s="207" t="str">
        <f t="shared" si="53"/>
        <v>Sheline YI 2003</v>
      </c>
      <c r="AQ124" s="207">
        <f t="shared" si="54"/>
        <v>38</v>
      </c>
      <c r="AR124" s="207">
        <f t="shared" si="55"/>
        <v>610.95728164905279</v>
      </c>
      <c r="AS124" s="208">
        <f t="shared" si="56"/>
        <v>-0.77900786366103214</v>
      </c>
      <c r="AT124" s="207">
        <f t="shared" si="57"/>
        <v>0.23841629281834131</v>
      </c>
      <c r="AU124" s="207"/>
      <c r="AV124" s="207"/>
      <c r="AW124" s="207"/>
      <c r="AX124" s="207"/>
      <c r="AY124" s="209"/>
      <c r="AZ124" s="207"/>
      <c r="BA124" s="207"/>
      <c r="BB124" s="207"/>
      <c r="BC124" s="207"/>
      <c r="BD124" s="207"/>
      <c r="BE124" s="210"/>
      <c r="BF124" s="210"/>
    </row>
    <row r="125" spans="5:58">
      <c r="E125" t="str">
        <f t="shared" si="80"/>
        <v>Caetano SC</v>
      </c>
      <c r="F125">
        <f t="shared" si="80"/>
        <v>2004</v>
      </c>
      <c r="G125">
        <v>21</v>
      </c>
      <c r="H125">
        <f t="shared" si="81"/>
        <v>31</v>
      </c>
      <c r="I125">
        <f t="shared" si="81"/>
        <v>31</v>
      </c>
      <c r="J125">
        <f t="shared" si="82"/>
        <v>6.54</v>
      </c>
      <c r="K125">
        <f t="shared" si="83"/>
        <v>0.82584502178072128</v>
      </c>
      <c r="L125">
        <f t="shared" si="84"/>
        <v>6.6899999999999995</v>
      </c>
      <c r="M125">
        <f t="shared" si="85"/>
        <v>0.80638700386352946</v>
      </c>
      <c r="N125">
        <f t="shared" si="38"/>
        <v>0.81617400105614735</v>
      </c>
      <c r="O125" s="59">
        <f t="shared" si="39"/>
        <v>-0.18147742346613352</v>
      </c>
      <c r="P125" s="63">
        <f t="shared" si="40"/>
        <v>6.4799749900565903E-2</v>
      </c>
      <c r="Q125" s="59">
        <f t="shared" si="18"/>
        <v>0.4989335819706005</v>
      </c>
      <c r="R125" s="59">
        <f t="shared" si="41"/>
        <v>15.432158326760254</v>
      </c>
      <c r="S125" s="59">
        <f t="shared" si="42"/>
        <v>-2.8005883316618889</v>
      </c>
      <c r="T125" s="59">
        <f t="shared" si="43"/>
        <v>0.50824355461931703</v>
      </c>
      <c r="U125" s="23">
        <f t="shared" si="44"/>
        <v>238.15151062219584</v>
      </c>
      <c r="V125" s="59">
        <f t="shared" si="23"/>
        <v>4.5486295436057711</v>
      </c>
      <c r="W125" s="59">
        <f t="shared" si="45"/>
        <v>-0.82547356987551013</v>
      </c>
      <c r="AF125" s="59">
        <f t="shared" si="46"/>
        <v>-0.18147742346613352</v>
      </c>
      <c r="AG125" s="59">
        <f t="shared" si="47"/>
        <v>0.4989335819706005</v>
      </c>
      <c r="AH125" s="59">
        <f t="shared" si="48"/>
        <v>0.4989335819706005</v>
      </c>
      <c r="AJ125">
        <f t="shared" si="49"/>
        <v>0.25455794998500025</v>
      </c>
      <c r="AK125">
        <f t="shared" si="29"/>
        <v>3.9283785875040427</v>
      </c>
      <c r="AL125">
        <f t="shared" si="50"/>
        <v>-0.71291202445976254</v>
      </c>
      <c r="AN125" s="207" t="str">
        <f t="shared" si="51"/>
        <v>Caetano SC</v>
      </c>
      <c r="AO125" s="207">
        <f t="shared" si="52"/>
        <v>2004</v>
      </c>
      <c r="AP125" s="207" t="str">
        <f t="shared" si="53"/>
        <v>Caetano SC 2004</v>
      </c>
      <c r="AQ125" s="207">
        <f t="shared" si="54"/>
        <v>31</v>
      </c>
      <c r="AR125" s="207">
        <f t="shared" si="55"/>
        <v>0.80638700386352946</v>
      </c>
      <c r="AS125" s="208">
        <f t="shared" si="56"/>
        <v>-0.18147742346613352</v>
      </c>
      <c r="AT125" s="207">
        <f t="shared" si="57"/>
        <v>0.25455794998500025</v>
      </c>
      <c r="AU125" s="207"/>
      <c r="AV125" s="207"/>
      <c r="AW125" s="207"/>
      <c r="AX125" s="210"/>
      <c r="AY125" s="209"/>
      <c r="AZ125" s="207"/>
      <c r="BA125" s="207"/>
      <c r="BB125" s="207"/>
      <c r="BC125" s="207"/>
      <c r="BD125" s="207"/>
      <c r="BE125" s="210"/>
      <c r="BF125" s="210"/>
    </row>
    <row r="126" spans="5:58">
      <c r="E126" t="str">
        <f t="shared" si="80"/>
        <v>Lloyd AJ</v>
      </c>
      <c r="F126">
        <f t="shared" si="80"/>
        <v>2004</v>
      </c>
      <c r="G126">
        <v>20</v>
      </c>
      <c r="H126">
        <f t="shared" si="81"/>
        <v>51</v>
      </c>
      <c r="I126">
        <f t="shared" si="81"/>
        <v>39</v>
      </c>
      <c r="J126">
        <f t="shared" si="82"/>
        <v>5.5</v>
      </c>
      <c r="K126">
        <f t="shared" si="83"/>
        <v>0.85440037453175322</v>
      </c>
      <c r="L126">
        <f t="shared" si="84"/>
        <v>5.8</v>
      </c>
      <c r="M126">
        <f t="shared" si="85"/>
        <v>0.7589466384404111</v>
      </c>
      <c r="N126">
        <f t="shared" si="38"/>
        <v>0.81455509328712694</v>
      </c>
      <c r="O126" s="59">
        <f t="shared" si="39"/>
        <v>-0.36515135671867005</v>
      </c>
      <c r="P126" s="63">
        <f t="shared" si="40"/>
        <v>4.6023534786376552E-2</v>
      </c>
      <c r="Q126" s="59">
        <f t="shared" si="18"/>
        <v>0.42048069068073046</v>
      </c>
      <c r="R126" s="59">
        <f t="shared" si="41"/>
        <v>21.728013822528261</v>
      </c>
      <c r="S126" s="59">
        <f t="shared" si="42"/>
        <v>-7.9340137260982111</v>
      </c>
      <c r="T126" s="59">
        <f t="shared" si="43"/>
        <v>2.8971158763093121</v>
      </c>
      <c r="U126" s="23">
        <f t="shared" si="44"/>
        <v>472.10658467197919</v>
      </c>
      <c r="V126" s="59">
        <f t="shared" si="23"/>
        <v>4.9733868539353603</v>
      </c>
      <c r="W126" s="59">
        <f t="shared" si="45"/>
        <v>-1.8160389572012949</v>
      </c>
      <c r="AF126" s="59">
        <f t="shared" si="46"/>
        <v>-0.36515135671867005</v>
      </c>
      <c r="AG126" s="59">
        <f t="shared" si="47"/>
        <v>0.42048069068073046</v>
      </c>
      <c r="AH126" s="59">
        <f t="shared" si="48"/>
        <v>0.42048069068073046</v>
      </c>
      <c r="AJ126">
        <f t="shared" si="49"/>
        <v>0.21453096463302576</v>
      </c>
      <c r="AK126">
        <f t="shared" si="29"/>
        <v>4.6613317649067056</v>
      </c>
      <c r="AL126">
        <f t="shared" si="50"/>
        <v>-1.7020916180715162</v>
      </c>
      <c r="AN126" s="207" t="str">
        <f t="shared" si="51"/>
        <v>Lloyd AJ</v>
      </c>
      <c r="AO126" s="207">
        <f t="shared" si="52"/>
        <v>2004</v>
      </c>
      <c r="AP126" s="207" t="str">
        <f t="shared" si="53"/>
        <v>Lloyd AJ 2004</v>
      </c>
      <c r="AQ126" s="207">
        <f t="shared" si="54"/>
        <v>51</v>
      </c>
      <c r="AR126" s="207">
        <f t="shared" si="55"/>
        <v>0.7589466384404111</v>
      </c>
      <c r="AS126" s="208">
        <f t="shared" si="56"/>
        <v>-0.36515135671867005</v>
      </c>
      <c r="AT126" s="207">
        <f t="shared" si="57"/>
        <v>0.21453096463302576</v>
      </c>
      <c r="AU126" s="207"/>
      <c r="AV126" s="207"/>
      <c r="AW126" s="207"/>
      <c r="AX126" s="207"/>
      <c r="AY126" s="209"/>
      <c r="AZ126" s="207"/>
      <c r="BA126" s="207"/>
      <c r="BB126" s="207"/>
      <c r="BC126" s="207"/>
      <c r="BD126" s="207"/>
      <c r="BE126" s="210"/>
      <c r="BF126" s="210"/>
    </row>
    <row r="127" spans="5:58">
      <c r="E127" t="str">
        <f t="shared" si="80"/>
        <v>MacMaster FP (A)</v>
      </c>
      <c r="F127">
        <f t="shared" si="80"/>
        <v>2004</v>
      </c>
      <c r="G127">
        <v>19</v>
      </c>
      <c r="H127">
        <f t="shared" si="81"/>
        <v>17</v>
      </c>
      <c r="I127">
        <f t="shared" si="81"/>
        <v>17</v>
      </c>
      <c r="J127">
        <f t="shared" si="82"/>
        <v>5.07</v>
      </c>
      <c r="K127">
        <f t="shared" si="83"/>
        <v>0.82249498478714134</v>
      </c>
      <c r="L127">
        <f t="shared" si="84"/>
        <v>5.93</v>
      </c>
      <c r="M127">
        <f t="shared" si="85"/>
        <v>0.8614044346298666</v>
      </c>
      <c r="N127">
        <f t="shared" si="38"/>
        <v>0.84217444748698</v>
      </c>
      <c r="O127" s="59">
        <f t="shared" si="39"/>
        <v>-0.99704407070966095</v>
      </c>
      <c r="P127" s="63">
        <f t="shared" si="40"/>
        <v>0.13418226971736327</v>
      </c>
      <c r="Q127" s="59">
        <f t="shared" si="18"/>
        <v>0.71796560317763325</v>
      </c>
      <c r="R127" s="59">
        <f t="shared" si="41"/>
        <v>7.4525494471539657</v>
      </c>
      <c r="S127" s="59">
        <f t="shared" si="42"/>
        <v>-7.4305202379554229</v>
      </c>
      <c r="T127" s="59">
        <f t="shared" si="43"/>
        <v>7.4085561455415938</v>
      </c>
      <c r="U127" s="23">
        <f t="shared" si="44"/>
        <v>55.540493262274879</v>
      </c>
      <c r="V127" s="59">
        <f t="shared" si="23"/>
        <v>3.457468469912516</v>
      </c>
      <c r="W127" s="59">
        <f t="shared" si="45"/>
        <v>-3.4472484375918779</v>
      </c>
      <c r="AF127" s="59">
        <f t="shared" si="46"/>
        <v>-0.99704407070966095</v>
      </c>
      <c r="AG127" s="59">
        <f t="shared" si="47"/>
        <v>0.71796560317763325</v>
      </c>
      <c r="AH127" s="59">
        <f t="shared" si="48"/>
        <v>0.71796560317763325</v>
      </c>
      <c r="AJ127">
        <f t="shared" si="49"/>
        <v>0.3663089812130782</v>
      </c>
      <c r="AK127">
        <f t="shared" si="29"/>
        <v>2.7299357954270582</v>
      </c>
      <c r="AL127">
        <f t="shared" si="50"/>
        <v>-2.7218662982486106</v>
      </c>
      <c r="AN127" s="207" t="str">
        <f t="shared" si="51"/>
        <v>MacMaster FP (A)</v>
      </c>
      <c r="AO127" s="207">
        <f t="shared" si="52"/>
        <v>2004</v>
      </c>
      <c r="AP127" s="207" t="str">
        <f t="shared" si="53"/>
        <v>MacMaster FP (A) 2004</v>
      </c>
      <c r="AQ127" s="207">
        <f t="shared" si="54"/>
        <v>17</v>
      </c>
      <c r="AR127" s="207">
        <f t="shared" si="55"/>
        <v>0.8614044346298666</v>
      </c>
      <c r="AS127" s="208">
        <f t="shared" si="56"/>
        <v>-0.99704407070966095</v>
      </c>
      <c r="AT127" s="207">
        <f t="shared" si="57"/>
        <v>0.3663089812130782</v>
      </c>
      <c r="AU127" s="207"/>
      <c r="AV127" s="207"/>
      <c r="AW127" s="207"/>
      <c r="AX127" s="207"/>
      <c r="AY127" s="209"/>
      <c r="AZ127" s="207"/>
      <c r="BA127" s="207"/>
      <c r="BB127" s="207"/>
      <c r="BC127" s="207"/>
      <c r="BD127" s="207"/>
      <c r="BE127" s="210"/>
      <c r="BF127" s="210"/>
    </row>
    <row r="128" spans="5:58">
      <c r="E128" t="str">
        <f t="shared" si="80"/>
        <v>Xia J</v>
      </c>
      <c r="F128">
        <f t="shared" si="80"/>
        <v>2004</v>
      </c>
      <c r="G128">
        <v>18</v>
      </c>
      <c r="H128">
        <f t="shared" si="81"/>
        <v>22</v>
      </c>
      <c r="I128">
        <f t="shared" si="81"/>
        <v>13</v>
      </c>
      <c r="J128">
        <f t="shared" si="82"/>
        <v>6597.13</v>
      </c>
      <c r="K128">
        <f t="shared" si="83"/>
        <v>139.09589354111068</v>
      </c>
      <c r="L128">
        <f t="shared" si="84"/>
        <v>7062.3099999999995</v>
      </c>
      <c r="M128">
        <f t="shared" si="85"/>
        <v>78.032082889027123</v>
      </c>
      <c r="N128">
        <f t="shared" si="38"/>
        <v>120.5252508586705</v>
      </c>
      <c r="O128" s="59">
        <f t="shared" si="39"/>
        <v>-3.7712182274048707</v>
      </c>
      <c r="P128" s="63">
        <f t="shared" si="40"/>
        <v>0.35132300097888985</v>
      </c>
      <c r="Q128" s="59">
        <f t="shared" si="18"/>
        <v>1.1617411245886509</v>
      </c>
      <c r="R128" s="59">
        <f t="shared" si="41"/>
        <v>2.8463835194783833</v>
      </c>
      <c r="S128" s="59">
        <f t="shared" si="42"/>
        <v>-10.734333410841705</v>
      </c>
      <c r="T128" s="59">
        <f t="shared" si="43"/>
        <v>40.481513818007336</v>
      </c>
      <c r="U128" s="23">
        <f t="shared" si="44"/>
        <v>8.1018991399581477</v>
      </c>
      <c r="V128" s="59">
        <f t="shared" si="23"/>
        <v>1.9748417467444204</v>
      </c>
      <c r="W128" s="59">
        <f t="shared" si="45"/>
        <v>-7.4475591915626316</v>
      </c>
      <c r="AF128" s="59">
        <f t="shared" si="46"/>
        <v>-3.7712182274048707</v>
      </c>
      <c r="AG128" s="59">
        <f t="shared" si="47"/>
        <v>1.1617411245886509</v>
      </c>
      <c r="AH128" s="59">
        <f t="shared" si="48"/>
        <v>1.1617411245886509</v>
      </c>
      <c r="AJ128">
        <f t="shared" si="49"/>
        <v>0.59272506356563825</v>
      </c>
      <c r="AK128">
        <f t="shared" si="29"/>
        <v>1.6871228525150097</v>
      </c>
      <c r="AL128">
        <f t="shared" si="50"/>
        <v>-6.362508453275904</v>
      </c>
      <c r="AM128" s="10"/>
      <c r="AN128" s="207" t="str">
        <f t="shared" si="51"/>
        <v>Xia J</v>
      </c>
      <c r="AO128" s="207">
        <f t="shared" si="52"/>
        <v>2004</v>
      </c>
      <c r="AP128" s="207" t="str">
        <f t="shared" si="53"/>
        <v>Xia J 2004</v>
      </c>
      <c r="AQ128" s="207">
        <f t="shared" si="54"/>
        <v>22</v>
      </c>
      <c r="AR128" s="207">
        <f t="shared" si="55"/>
        <v>78.032082889027123</v>
      </c>
      <c r="AS128" s="208">
        <f t="shared" si="56"/>
        <v>-3.7712182274048707</v>
      </c>
      <c r="AT128" s="207">
        <f t="shared" si="57"/>
        <v>0.59272506356563825</v>
      </c>
      <c r="AU128" s="207"/>
      <c r="AV128" s="207"/>
      <c r="AW128" s="207"/>
      <c r="AX128" s="207"/>
      <c r="AY128" s="209"/>
      <c r="AZ128" s="207"/>
      <c r="BA128" s="207"/>
      <c r="BB128" s="207"/>
      <c r="BC128" s="207"/>
      <c r="BD128" s="207"/>
      <c r="BE128" s="210"/>
      <c r="BF128" s="210"/>
    </row>
    <row r="129" spans="5:58">
      <c r="E129" t="str">
        <f t="shared" si="80"/>
        <v>Saylam C</v>
      </c>
      <c r="F129">
        <f t="shared" si="80"/>
        <v>2006</v>
      </c>
      <c r="G129">
        <v>17</v>
      </c>
      <c r="H129">
        <f t="shared" si="81"/>
        <v>24</v>
      </c>
      <c r="I129">
        <f t="shared" si="81"/>
        <v>24</v>
      </c>
      <c r="J129">
        <f t="shared" si="82"/>
        <v>5335.1</v>
      </c>
      <c r="K129">
        <f t="shared" si="83"/>
        <v>421.19255454008209</v>
      </c>
      <c r="L129">
        <f t="shared" si="84"/>
        <v>5593</v>
      </c>
      <c r="M129">
        <f t="shared" si="85"/>
        <v>480.03976501952422</v>
      </c>
      <c r="N129">
        <f t="shared" si="38"/>
        <v>451.57576551449262</v>
      </c>
      <c r="O129" s="59">
        <f t="shared" si="39"/>
        <v>-0.5617487706819807</v>
      </c>
      <c r="P129" s="63">
        <f t="shared" si="40"/>
        <v>8.691437828751758E-2</v>
      </c>
      <c r="Q129" s="59">
        <f t="shared" si="18"/>
        <v>0.5778323940636485</v>
      </c>
      <c r="R129" s="59">
        <f t="shared" si="41"/>
        <v>11.505576173966805</v>
      </c>
      <c r="S129" s="59">
        <f t="shared" si="42"/>
        <v>-6.4632432717137398</v>
      </c>
      <c r="T129" s="59">
        <f t="shared" si="43"/>
        <v>3.6307189625037766</v>
      </c>
      <c r="U129" s="23">
        <f t="shared" si="44"/>
        <v>132.37828309495262</v>
      </c>
      <c r="V129" s="59">
        <f t="shared" si="23"/>
        <v>4.1328963275234276</v>
      </c>
      <c r="W129" s="59">
        <f t="shared" si="45"/>
        <v>-2.3216494313423581</v>
      </c>
      <c r="AF129" s="59">
        <f t="shared" si="46"/>
        <v>-0.5617487706819807</v>
      </c>
      <c r="AG129" s="59">
        <f t="shared" si="47"/>
        <v>0.5778323940636485</v>
      </c>
      <c r="AH129" s="59">
        <f t="shared" si="48"/>
        <v>0.5778323940636485</v>
      </c>
      <c r="AJ129">
        <f t="shared" si="49"/>
        <v>0.29481244595084105</v>
      </c>
      <c r="AK129">
        <f t="shared" si="29"/>
        <v>3.3919870539208734</v>
      </c>
      <c r="AL129">
        <f t="shared" si="50"/>
        <v>-1.9054445577092438</v>
      </c>
      <c r="AN129" s="207" t="str">
        <f t="shared" si="51"/>
        <v>Saylam C</v>
      </c>
      <c r="AO129" s="207">
        <f t="shared" si="52"/>
        <v>2006</v>
      </c>
      <c r="AP129" s="207" t="str">
        <f t="shared" si="53"/>
        <v>Saylam C 2006</v>
      </c>
      <c r="AQ129" s="207">
        <f t="shared" si="54"/>
        <v>24</v>
      </c>
      <c r="AR129" s="207">
        <f t="shared" si="55"/>
        <v>480.03976501952422</v>
      </c>
      <c r="AS129" s="208">
        <f t="shared" si="56"/>
        <v>-0.5617487706819807</v>
      </c>
      <c r="AT129" s="207">
        <f t="shared" si="57"/>
        <v>0.29481244595084105</v>
      </c>
      <c r="AU129" s="207"/>
      <c r="AV129" s="207"/>
      <c r="AW129" s="207"/>
      <c r="AX129" s="207"/>
      <c r="AY129" s="209"/>
      <c r="AZ129" s="207"/>
      <c r="BA129" s="207"/>
      <c r="BB129" s="207"/>
      <c r="BC129" s="207"/>
      <c r="BD129" s="207"/>
      <c r="BE129" s="210"/>
      <c r="BF129" s="210"/>
    </row>
    <row r="130" spans="5:58">
      <c r="E130" t="str">
        <f t="shared" si="80"/>
        <v>Weniger G</v>
      </c>
      <c r="F130">
        <f t="shared" si="80"/>
        <v>2006</v>
      </c>
      <c r="G130">
        <v>16</v>
      </c>
      <c r="H130">
        <f t="shared" si="81"/>
        <v>21</v>
      </c>
      <c r="I130">
        <f t="shared" si="81"/>
        <v>23</v>
      </c>
      <c r="J130">
        <f t="shared" ref="J130:J143" si="86">IF($D$4="Total",T54,IF($D$4="Left",L54,IF($D$4="Right",P54,"error")))</f>
        <v>5.4</v>
      </c>
      <c r="K130">
        <f t="shared" ref="K130:K143" si="87">IF($D$4="Total",U54,IF($D$4="Left",M54,IF($D$4="Right",Q54,"error")))</f>
        <v>0.85440037453175322</v>
      </c>
      <c r="L130">
        <f t="shared" ref="L130:L143" si="88">IF($D$4="Total",V54,IF($D$4="Left",N54,IF($D$4="Right",R54,"error")))</f>
        <v>6.2</v>
      </c>
      <c r="M130">
        <f t="shared" ref="M130:M143" si="89">IF($D$4="Total",W54,IF($D$4="Left",O54,IF($D$4="Right",S54,"error")))</f>
        <v>0.85440037453175322</v>
      </c>
      <c r="N130">
        <f t="shared" ref="N130:N143" si="90">IF($D$3=1,SQRT((((I130-1)*(M130)^2)+((H130-1)*(K130)^2))/(H130+I130-2)),M130)</f>
        <v>0.85440037453175322</v>
      </c>
      <c r="O130" s="59">
        <f t="shared" ref="O130:O143" si="91">IF($D$6=1,LN(J130/L130),IF($D$5=1,(1-3/(4*(H130+I130)-9))*((J130-L130)/N130),(J130-L130)/N130))</f>
        <v>-0.9195088929420554</v>
      </c>
      <c r="P130" s="63">
        <f t="shared" ref="P130:P143" si="92">IF($D$6=1,(K130^2)/(H130*J130^2)+(M130^2)/(I130*L130^2),(IF($D$5=1,((H130+I130)/(H130*I130))+(O130*O130)/(2*(H130+I130-3.94)),((H130+I130)/(H130*I130))+((O130^2)/(2*(H130+I130-2))))))</f>
        <v>0.10165018672375417</v>
      </c>
      <c r="Q130" s="59">
        <f t="shared" si="18"/>
        <v>0.62489947777060428</v>
      </c>
      <c r="R130" s="59">
        <f t="shared" ref="R130:R143" si="93">1/P130</f>
        <v>9.8376602368435648</v>
      </c>
      <c r="S130" s="59">
        <f t="shared" ref="S130:S143" si="94">O130*R130</f>
        <v>-9.0458160735201041</v>
      </c>
      <c r="T130" s="59">
        <f t="shared" ref="T130:T143" si="95">R130*(O130^2)</f>
        <v>8.3177083235199216</v>
      </c>
      <c r="U130" s="23">
        <f t="shared" ref="U130:U143" si="96">R130^2</f>
        <v>96.779558935572979</v>
      </c>
      <c r="V130" s="59">
        <f t="shared" ref="V130:V143" si="97">1/((1/R130)+$I$159)</f>
        <v>3.8956454113808832</v>
      </c>
      <c r="W130" s="59">
        <f t="shared" ref="W130:W143" si="98">V130*O130</f>
        <v>-3.5820805995136338</v>
      </c>
      <c r="AF130" s="59">
        <f t="shared" ref="AF130:AF143" si="99">IF($D$6=1,100*((EXP(O130))-1),O130)</f>
        <v>-0.9195088929420554</v>
      </c>
      <c r="AG130" s="59">
        <f t="shared" ref="AG130:AG143" si="100">IF($D$6=1,100*(EXP(O130+Q130)-EXP(O130)),Q130)</f>
        <v>0.62489947777060428</v>
      </c>
      <c r="AH130" s="59">
        <f t="shared" ref="AH130:AH143" si="101">IF($D$6=1,100*(EXP(O130)-EXP(O130-Q130)),Q130)</f>
        <v>0.62489947777060428</v>
      </c>
      <c r="AJ130">
        <f t="shared" ref="AJ130:AJ143" si="102">SQRT(P130)</f>
        <v>0.31882626416867565</v>
      </c>
      <c r="AK130">
        <f t="shared" si="29"/>
        <v>3.1365044614735629</v>
      </c>
      <c r="AL130">
        <f t="shared" ref="AL130:AL143" si="103">O130/AJ130</f>
        <v>-2.8840437450773737</v>
      </c>
      <c r="AN130" s="207" t="str">
        <f t="shared" ref="AN130:AN143" si="104">E130</f>
        <v>Weniger G</v>
      </c>
      <c r="AO130" s="207">
        <f t="shared" ref="AO130:AO143" si="105">F130</f>
        <v>2006</v>
      </c>
      <c r="AP130" s="207" t="str">
        <f t="shared" ref="AP130:AP143" si="106">CONCATENATE(AN130," ",AO130)</f>
        <v>Weniger G 2006</v>
      </c>
      <c r="AQ130" s="207">
        <f t="shared" ref="AQ130:AQ143" si="107">INT(H130)</f>
        <v>21</v>
      </c>
      <c r="AR130" s="207">
        <f t="shared" ref="AR130:AR143" si="108">M130</f>
        <v>0.85440037453175322</v>
      </c>
      <c r="AS130" s="208">
        <f t="shared" ref="AS130:AS143" si="109">O130</f>
        <v>-0.9195088929420554</v>
      </c>
      <c r="AT130" s="207">
        <f t="shared" ref="AT130:AT143" si="110">SQRT(P130)</f>
        <v>0.31882626416867565</v>
      </c>
      <c r="AU130" s="207"/>
      <c r="AV130" s="207"/>
      <c r="AW130" s="207"/>
      <c r="AX130" s="207"/>
      <c r="AY130" s="209"/>
      <c r="AZ130" s="207"/>
      <c r="BA130" s="207"/>
      <c r="BB130" s="207"/>
      <c r="BC130" s="207"/>
      <c r="BD130" s="207"/>
      <c r="BE130" s="210"/>
      <c r="BF130" s="210"/>
    </row>
    <row r="131" spans="5:58">
      <c r="E131" t="str">
        <f t="shared" si="80"/>
        <v>Velakoulis D</v>
      </c>
      <c r="F131">
        <f t="shared" si="80"/>
        <v>2006</v>
      </c>
      <c r="G131">
        <v>15</v>
      </c>
      <c r="H131">
        <f t="shared" si="81"/>
        <v>12</v>
      </c>
      <c r="I131">
        <f t="shared" si="81"/>
        <v>87</v>
      </c>
      <c r="J131">
        <f t="shared" si="86"/>
        <v>5941</v>
      </c>
      <c r="K131">
        <f t="shared" si="87"/>
        <v>782.88607089409891</v>
      </c>
      <c r="L131">
        <f t="shared" si="88"/>
        <v>5992</v>
      </c>
      <c r="M131">
        <f t="shared" si="89"/>
        <v>707.78132216101892</v>
      </c>
      <c r="N131">
        <f t="shared" si="90"/>
        <v>716.69412158711464</v>
      </c>
      <c r="O131" s="59">
        <f t="shared" si="91"/>
        <v>-7.0608436205290781E-2</v>
      </c>
      <c r="P131" s="63">
        <f t="shared" si="92"/>
        <v>9.4853809388378535E-2</v>
      </c>
      <c r="Q131" s="59">
        <f t="shared" si="18"/>
        <v>0.60364757445582018</v>
      </c>
      <c r="R131" s="59">
        <f t="shared" si="93"/>
        <v>10.542539160504393</v>
      </c>
      <c r="S131" s="59">
        <f t="shared" si="94"/>
        <v>-0.74439220375625426</v>
      </c>
      <c r="T131" s="59">
        <f t="shared" si="95"/>
        <v>5.2560369430639298E-2</v>
      </c>
      <c r="U131" s="23">
        <f t="shared" si="96"/>
        <v>111.14513195076869</v>
      </c>
      <c r="V131" s="59">
        <f t="shared" si="97"/>
        <v>4.0015926844567034</v>
      </c>
      <c r="W131" s="59">
        <f t="shared" si="98"/>
        <v>-0.28254620178001943</v>
      </c>
      <c r="AF131" s="59">
        <f t="shared" si="99"/>
        <v>-7.0608436205290781E-2</v>
      </c>
      <c r="AG131" s="59">
        <f t="shared" si="100"/>
        <v>0.60364757445582018</v>
      </c>
      <c r="AH131" s="59">
        <f t="shared" si="101"/>
        <v>0.60364757445582018</v>
      </c>
      <c r="AJ131">
        <f t="shared" si="102"/>
        <v>0.30798345635501029</v>
      </c>
      <c r="AK131">
        <f t="shared" si="29"/>
        <v>3.2469276494101917</v>
      </c>
      <c r="AL131">
        <f t="shared" si="103"/>
        <v>-0.22926048379657429</v>
      </c>
      <c r="AN131" s="207" t="str">
        <f t="shared" si="104"/>
        <v>Velakoulis D</v>
      </c>
      <c r="AO131" s="207">
        <f t="shared" si="105"/>
        <v>2006</v>
      </c>
      <c r="AP131" s="207" t="str">
        <f t="shared" si="106"/>
        <v>Velakoulis D 2006</v>
      </c>
      <c r="AQ131" s="207">
        <f t="shared" si="107"/>
        <v>12</v>
      </c>
      <c r="AR131" s="207">
        <f t="shared" si="108"/>
        <v>707.78132216101892</v>
      </c>
      <c r="AS131" s="208">
        <f t="shared" si="109"/>
        <v>-7.0608436205290781E-2</v>
      </c>
      <c r="AT131" s="207">
        <f t="shared" si="110"/>
        <v>0.30798345635501029</v>
      </c>
      <c r="AU131" s="207"/>
      <c r="AV131" s="207"/>
      <c r="AW131" s="207"/>
      <c r="AX131" s="207"/>
      <c r="AY131" s="209"/>
      <c r="AZ131" s="207"/>
      <c r="BA131" s="207"/>
      <c r="BB131" s="207"/>
      <c r="BC131" s="207"/>
      <c r="BD131" s="207"/>
      <c r="BE131" s="210"/>
      <c r="BF131" s="210"/>
    </row>
    <row r="132" spans="5:58">
      <c r="E132" t="str">
        <f t="shared" si="80"/>
        <v>Caetano SC</v>
      </c>
      <c r="F132">
        <f t="shared" si="80"/>
        <v>2007</v>
      </c>
      <c r="G132">
        <v>14</v>
      </c>
      <c r="H132">
        <f t="shared" si="81"/>
        <v>19</v>
      </c>
      <c r="I132">
        <f t="shared" si="81"/>
        <v>24</v>
      </c>
      <c r="J132">
        <f t="shared" si="86"/>
        <v>3.86</v>
      </c>
      <c r="K132">
        <f t="shared" si="87"/>
        <v>0.33217465285599385</v>
      </c>
      <c r="L132">
        <f t="shared" si="88"/>
        <v>4.03</v>
      </c>
      <c r="M132">
        <f t="shared" si="89"/>
        <v>0.41818656123792408</v>
      </c>
      <c r="N132">
        <f t="shared" si="90"/>
        <v>0.3828124421353864</v>
      </c>
      <c r="O132" s="59">
        <f t="shared" si="91"/>
        <v>-0.43590841696089927</v>
      </c>
      <c r="P132" s="63">
        <f t="shared" si="92"/>
        <v>9.6730607979336636E-2</v>
      </c>
      <c r="Q132" s="59">
        <f t="shared" si="18"/>
        <v>0.60959027519590536</v>
      </c>
      <c r="R132" s="59">
        <f t="shared" si="93"/>
        <v>10.337989400558897</v>
      </c>
      <c r="S132" s="59">
        <f t="shared" si="94"/>
        <v>-4.5064165941561845</v>
      </c>
      <c r="T132" s="59">
        <f t="shared" si="95"/>
        <v>1.9643849237249498</v>
      </c>
      <c r="U132" s="23">
        <f t="shared" si="96"/>
        <v>106.8740248460681</v>
      </c>
      <c r="V132" s="59">
        <f t="shared" si="97"/>
        <v>3.9717640078919656</v>
      </c>
      <c r="W132" s="59">
        <f t="shared" si="98"/>
        <v>-1.7313253612224633</v>
      </c>
      <c r="AF132" s="59">
        <f t="shared" si="99"/>
        <v>-0.43590841696089927</v>
      </c>
      <c r="AG132" s="59">
        <f t="shared" si="100"/>
        <v>0.60959027519590536</v>
      </c>
      <c r="AH132" s="59">
        <f t="shared" si="101"/>
        <v>0.60959027519590536</v>
      </c>
      <c r="AJ132">
        <f t="shared" si="102"/>
        <v>0.31101544652852314</v>
      </c>
      <c r="AK132">
        <f t="shared" si="29"/>
        <v>3.2152743896219644</v>
      </c>
      <c r="AL132">
        <f t="shared" si="103"/>
        <v>-1.4015651692750322</v>
      </c>
      <c r="AN132" s="207" t="str">
        <f t="shared" si="104"/>
        <v>Caetano SC</v>
      </c>
      <c r="AO132" s="207">
        <f t="shared" si="105"/>
        <v>2007</v>
      </c>
      <c r="AP132" s="207" t="str">
        <f t="shared" si="106"/>
        <v>Caetano SC 2007</v>
      </c>
      <c r="AQ132" s="207">
        <f t="shared" si="107"/>
        <v>19</v>
      </c>
      <c r="AR132" s="207">
        <f t="shared" si="108"/>
        <v>0.41818656123792408</v>
      </c>
      <c r="AS132" s="208">
        <f t="shared" si="109"/>
        <v>-0.43590841696089927</v>
      </c>
      <c r="AT132" s="207">
        <f t="shared" si="110"/>
        <v>0.31101544652852314</v>
      </c>
      <c r="AU132" s="207"/>
      <c r="AV132" s="207"/>
      <c r="AW132" s="207"/>
      <c r="AX132" s="207"/>
      <c r="AY132" s="209"/>
      <c r="AZ132" s="207"/>
      <c r="BA132" s="207"/>
      <c r="BB132" s="207"/>
      <c r="BC132" s="207"/>
      <c r="BD132" s="207"/>
      <c r="BE132" s="210"/>
      <c r="BF132" s="210"/>
    </row>
    <row r="133" spans="5:58">
      <c r="E133" t="str">
        <f t="shared" si="80"/>
        <v>Maller JJ</v>
      </c>
      <c r="F133">
        <f t="shared" si="80"/>
        <v>2007</v>
      </c>
      <c r="G133">
        <v>13</v>
      </c>
      <c r="H133">
        <f t="shared" si="81"/>
        <v>22</v>
      </c>
      <c r="I133">
        <f t="shared" si="81"/>
        <v>13</v>
      </c>
      <c r="J133">
        <f t="shared" si="86"/>
        <v>5988.3600000000006</v>
      </c>
      <c r="K133">
        <f t="shared" si="87"/>
        <v>538.83460171002378</v>
      </c>
      <c r="L133">
        <f t="shared" si="88"/>
        <v>6472.81</v>
      </c>
      <c r="M133">
        <f t="shared" si="89"/>
        <v>869.83889355443284</v>
      </c>
      <c r="N133">
        <f t="shared" si="90"/>
        <v>678.15779197362713</v>
      </c>
      <c r="O133" s="59">
        <f t="shared" si="91"/>
        <v>-0.6980023392686282</v>
      </c>
      <c r="P133" s="63">
        <f t="shared" si="92"/>
        <v>0.13022062407795201</v>
      </c>
      <c r="Q133" s="59">
        <f t="shared" si="18"/>
        <v>0.70728745885803779</v>
      </c>
      <c r="R133" s="59">
        <f t="shared" si="93"/>
        <v>7.6792751308071221</v>
      </c>
      <c r="S133" s="59">
        <f t="shared" si="94"/>
        <v>-5.3601520051907716</v>
      </c>
      <c r="T133" s="59">
        <f t="shared" si="95"/>
        <v>3.7413986384585871</v>
      </c>
      <c r="U133" s="23">
        <f t="shared" si="96"/>
        <v>58.97126653463274</v>
      </c>
      <c r="V133" s="59">
        <f t="shared" si="97"/>
        <v>3.5054840129964817</v>
      </c>
      <c r="W133" s="59">
        <f t="shared" si="98"/>
        <v>-2.4468360413403225</v>
      </c>
      <c r="AF133" s="59">
        <f t="shared" si="99"/>
        <v>-0.6980023392686282</v>
      </c>
      <c r="AG133" s="59">
        <f t="shared" si="100"/>
        <v>0.70728745885803779</v>
      </c>
      <c r="AH133" s="59">
        <f t="shared" si="101"/>
        <v>0.70728745885803779</v>
      </c>
      <c r="AJ133">
        <f t="shared" si="102"/>
        <v>0.36086094839695804</v>
      </c>
      <c r="AK133">
        <f t="shared" si="29"/>
        <v>2.7711505067042319</v>
      </c>
      <c r="AL133">
        <f t="shared" si="103"/>
        <v>-1.9342695361449984</v>
      </c>
      <c r="AN133" s="207" t="str">
        <f t="shared" si="104"/>
        <v>Maller JJ</v>
      </c>
      <c r="AO133" s="207">
        <f t="shared" si="105"/>
        <v>2007</v>
      </c>
      <c r="AP133" s="207" t="str">
        <f t="shared" si="106"/>
        <v>Maller JJ 2007</v>
      </c>
      <c r="AQ133" s="207">
        <f t="shared" si="107"/>
        <v>22</v>
      </c>
      <c r="AR133" s="207">
        <f t="shared" si="108"/>
        <v>869.83889355443284</v>
      </c>
      <c r="AS133" s="208">
        <f t="shared" si="109"/>
        <v>-0.6980023392686282</v>
      </c>
      <c r="AT133" s="207">
        <f t="shared" si="110"/>
        <v>0.36086094839695804</v>
      </c>
      <c r="AU133" s="207"/>
      <c r="AV133" s="207"/>
      <c r="AW133" s="207"/>
      <c r="AX133" s="207"/>
      <c r="AY133" s="209"/>
      <c r="AZ133" s="207"/>
      <c r="BA133" s="207"/>
      <c r="BB133" s="207"/>
      <c r="BC133" s="207"/>
      <c r="BD133" s="207"/>
      <c r="BE133" s="210"/>
      <c r="BF133" s="210"/>
    </row>
    <row r="134" spans="5:58">
      <c r="E134" t="str">
        <f t="shared" si="80"/>
        <v>Maller JJ</v>
      </c>
      <c r="F134">
        <f t="shared" si="80"/>
        <v>2007</v>
      </c>
      <c r="G134">
        <v>12</v>
      </c>
      <c r="H134">
        <f t="shared" si="81"/>
        <v>23</v>
      </c>
      <c r="I134">
        <f t="shared" si="81"/>
        <v>17</v>
      </c>
      <c r="J134">
        <f t="shared" si="86"/>
        <v>5598.4500000000007</v>
      </c>
      <c r="K134">
        <f t="shared" si="87"/>
        <v>585.82101595965287</v>
      </c>
      <c r="L134">
        <f t="shared" si="88"/>
        <v>5950.99</v>
      </c>
      <c r="M134">
        <f t="shared" si="89"/>
        <v>506.43591697272024</v>
      </c>
      <c r="N134">
        <f t="shared" si="90"/>
        <v>553.78447233273164</v>
      </c>
      <c r="O134" s="59">
        <f t="shared" si="91"/>
        <v>-0.62395374248074797</v>
      </c>
      <c r="P134" s="63">
        <f t="shared" si="92"/>
        <v>0.1076999915119973</v>
      </c>
      <c r="Q134" s="59">
        <f t="shared" si="18"/>
        <v>0.64322646664490479</v>
      </c>
      <c r="R134" s="59">
        <f t="shared" si="93"/>
        <v>9.2850517995500912</v>
      </c>
      <c r="S134" s="59">
        <f t="shared" si="94"/>
        <v>-5.7934428194568834</v>
      </c>
      <c r="T134" s="59">
        <f t="shared" si="95"/>
        <v>3.6148403290483384</v>
      </c>
      <c r="U134" s="23">
        <f t="shared" si="96"/>
        <v>86.212186920328392</v>
      </c>
      <c r="V134" s="59">
        <f t="shared" si="97"/>
        <v>3.8059472490445807</v>
      </c>
      <c r="W134" s="59">
        <f t="shared" si="98"/>
        <v>-2.3747350297256733</v>
      </c>
      <c r="AF134" s="59">
        <f t="shared" si="99"/>
        <v>-0.62395374248074797</v>
      </c>
      <c r="AG134" s="59">
        <f t="shared" si="100"/>
        <v>0.64322646664490479</v>
      </c>
      <c r="AH134" s="59">
        <f t="shared" si="101"/>
        <v>0.64322646664490479</v>
      </c>
      <c r="AJ134">
        <f t="shared" si="102"/>
        <v>0.32817676869638002</v>
      </c>
      <c r="AK134">
        <f t="shared" si="29"/>
        <v>3.0471382967548566</v>
      </c>
      <c r="AL134">
        <f t="shared" si="103"/>
        <v>-1.901273344116605</v>
      </c>
      <c r="AN134" s="207" t="str">
        <f t="shared" si="104"/>
        <v>Maller JJ</v>
      </c>
      <c r="AO134" s="207">
        <f t="shared" si="105"/>
        <v>2007</v>
      </c>
      <c r="AP134" s="207" t="str">
        <f t="shared" si="106"/>
        <v>Maller JJ 2007</v>
      </c>
      <c r="AQ134" s="207">
        <f t="shared" si="107"/>
        <v>23</v>
      </c>
      <c r="AR134" s="207">
        <f t="shared" si="108"/>
        <v>506.43591697272024</v>
      </c>
      <c r="AS134" s="208">
        <f t="shared" si="109"/>
        <v>-0.62395374248074797</v>
      </c>
      <c r="AT134" s="207">
        <f t="shared" si="110"/>
        <v>0.32817676869638002</v>
      </c>
      <c r="AU134" s="207"/>
      <c r="AV134" s="207"/>
      <c r="AW134" s="207"/>
      <c r="AX134" s="207"/>
      <c r="AY134" s="209"/>
      <c r="AZ134" s="207"/>
      <c r="BA134" s="207"/>
      <c r="BB134" s="207"/>
      <c r="BC134" s="207"/>
      <c r="BD134" s="207"/>
      <c r="BE134" s="210"/>
      <c r="BF134" s="210"/>
    </row>
    <row r="135" spans="5:58">
      <c r="E135" t="str">
        <f t="shared" si="80"/>
        <v>Ballmaier M (A)</v>
      </c>
      <c r="F135">
        <f t="shared" si="80"/>
        <v>2008</v>
      </c>
      <c r="G135">
        <v>11</v>
      </c>
      <c r="H135">
        <f t="shared" si="81"/>
        <v>46</v>
      </c>
      <c r="I135">
        <f t="shared" si="81"/>
        <v>34</v>
      </c>
      <c r="J135">
        <f t="shared" si="86"/>
        <v>2243.63</v>
      </c>
      <c r="K135">
        <f t="shared" si="87"/>
        <v>429.87705032950993</v>
      </c>
      <c r="L135">
        <f t="shared" si="88"/>
        <v>2581.1999999999998</v>
      </c>
      <c r="M135">
        <f t="shared" si="89"/>
        <v>477.45899897268669</v>
      </c>
      <c r="N135">
        <f t="shared" si="90"/>
        <v>450.62146098898376</v>
      </c>
      <c r="O135" s="59">
        <f t="shared" si="91"/>
        <v>-0.74189475355983714</v>
      </c>
      <c r="P135" s="63">
        <f t="shared" si="92"/>
        <v>5.4769142743607453E-2</v>
      </c>
      <c r="Q135" s="59">
        <f t="shared" si="18"/>
        <v>0.45869503895708574</v>
      </c>
      <c r="R135" s="59">
        <f t="shared" si="93"/>
        <v>18.258456311455014</v>
      </c>
      <c r="S135" s="59">
        <f t="shared" si="94"/>
        <v>-13.545852945569971</v>
      </c>
      <c r="T135" s="59">
        <f t="shared" si="95"/>
        <v>10.049597232811427</v>
      </c>
      <c r="U135" s="23">
        <f t="shared" si="96"/>
        <v>333.37122687731141</v>
      </c>
      <c r="V135" s="59">
        <f t="shared" si="97"/>
        <v>4.7660846136633088</v>
      </c>
      <c r="W135" s="59">
        <f t="shared" si="98"/>
        <v>-3.5359331698990721</v>
      </c>
      <c r="AF135" s="59">
        <f t="shared" si="99"/>
        <v>-0.74189475355983714</v>
      </c>
      <c r="AG135" s="59">
        <f t="shared" si="100"/>
        <v>0.45869503895708574</v>
      </c>
      <c r="AH135" s="59">
        <f t="shared" si="101"/>
        <v>0.45869503895708574</v>
      </c>
      <c r="AJ135">
        <f t="shared" si="102"/>
        <v>0.23402808110055395</v>
      </c>
      <c r="AK135">
        <f t="shared" si="29"/>
        <v>4.2729914944281147</v>
      </c>
      <c r="AL135">
        <f t="shared" si="103"/>
        <v>-3.170109971722026</v>
      </c>
      <c r="AN135" s="207" t="str">
        <f t="shared" si="104"/>
        <v>Ballmaier M (A)</v>
      </c>
      <c r="AO135" s="207">
        <f t="shared" si="105"/>
        <v>2008</v>
      </c>
      <c r="AP135" s="207" t="str">
        <f t="shared" si="106"/>
        <v>Ballmaier M (A) 2008</v>
      </c>
      <c r="AQ135" s="207">
        <f t="shared" si="107"/>
        <v>46</v>
      </c>
      <c r="AR135" s="207">
        <f t="shared" si="108"/>
        <v>477.45899897268669</v>
      </c>
      <c r="AS135" s="208">
        <f t="shared" si="109"/>
        <v>-0.74189475355983714</v>
      </c>
      <c r="AT135" s="207">
        <f t="shared" si="110"/>
        <v>0.23402808110055395</v>
      </c>
      <c r="AU135" s="207"/>
      <c r="AV135" s="207"/>
      <c r="AW135" s="207"/>
      <c r="AX135" s="207"/>
      <c r="AY135" s="209"/>
      <c r="AZ135" s="207"/>
      <c r="BA135" s="207"/>
      <c r="BB135" s="207"/>
      <c r="BC135" s="207"/>
      <c r="BD135" s="207"/>
      <c r="BE135" s="210"/>
      <c r="BF135" s="210"/>
    </row>
    <row r="136" spans="5:58">
      <c r="E136" t="str">
        <f t="shared" si="80"/>
        <v>Keller J</v>
      </c>
      <c r="F136">
        <f t="shared" si="80"/>
        <v>2008</v>
      </c>
      <c r="G136">
        <v>10</v>
      </c>
      <c r="H136">
        <f t="shared" si="81"/>
        <v>23</v>
      </c>
      <c r="I136">
        <f t="shared" si="81"/>
        <v>11</v>
      </c>
      <c r="J136">
        <f t="shared" si="86"/>
        <v>7.84</v>
      </c>
      <c r="K136">
        <f t="shared" si="87"/>
        <v>1.0909903757595665</v>
      </c>
      <c r="L136">
        <f t="shared" si="88"/>
        <v>7.67</v>
      </c>
      <c r="M136">
        <f t="shared" si="89"/>
        <v>0.90129906246484026</v>
      </c>
      <c r="N136">
        <f t="shared" si="90"/>
        <v>1.0354515923016392</v>
      </c>
      <c r="O136" s="59">
        <f t="shared" si="91"/>
        <v>0.16030131510015652</v>
      </c>
      <c r="P136" s="63">
        <f t="shared" si="92"/>
        <v>0.1348147721316641</v>
      </c>
      <c r="Q136" s="59">
        <f t="shared" si="18"/>
        <v>0.71965577092176569</v>
      </c>
      <c r="R136" s="59">
        <f t="shared" si="93"/>
        <v>7.4175847660326895</v>
      </c>
      <c r="S136" s="59">
        <f t="shared" si="94"/>
        <v>1.189048592861927</v>
      </c>
      <c r="T136" s="59">
        <f t="shared" si="95"/>
        <v>0.19060605315375748</v>
      </c>
      <c r="U136" s="23">
        <f t="shared" si="96"/>
        <v>55.020563761280229</v>
      </c>
      <c r="V136" s="59">
        <f t="shared" si="97"/>
        <v>3.4499239789763041</v>
      </c>
      <c r="W136" s="59">
        <f t="shared" si="98"/>
        <v>0.55302735082546628</v>
      </c>
      <c r="AF136" s="59">
        <f t="shared" si="99"/>
        <v>0.16030131510015652</v>
      </c>
      <c r="AG136" s="59">
        <f t="shared" si="100"/>
        <v>0.71965577092176569</v>
      </c>
      <c r="AH136" s="59">
        <f t="shared" si="101"/>
        <v>0.71965577092176569</v>
      </c>
      <c r="AJ136">
        <f t="shared" si="102"/>
        <v>0.3671713116947784</v>
      </c>
      <c r="AK136">
        <f t="shared" si="29"/>
        <v>2.7235243281514281</v>
      </c>
      <c r="AL136">
        <f t="shared" si="103"/>
        <v>0.4365845315099442</v>
      </c>
      <c r="AN136" s="207" t="str">
        <f t="shared" si="104"/>
        <v>Keller J</v>
      </c>
      <c r="AO136" s="207">
        <f t="shared" si="105"/>
        <v>2008</v>
      </c>
      <c r="AP136" s="207" t="str">
        <f t="shared" si="106"/>
        <v>Keller J 2008</v>
      </c>
      <c r="AQ136" s="207">
        <f t="shared" si="107"/>
        <v>23</v>
      </c>
      <c r="AR136" s="207">
        <f t="shared" si="108"/>
        <v>0.90129906246484026</v>
      </c>
      <c r="AS136" s="208">
        <f t="shared" si="109"/>
        <v>0.16030131510015652</v>
      </c>
      <c r="AT136" s="207">
        <f t="shared" si="110"/>
        <v>0.3671713116947784</v>
      </c>
      <c r="AU136" s="207"/>
      <c r="AV136" s="207"/>
      <c r="AW136" s="207"/>
      <c r="AX136" s="207"/>
      <c r="AY136" s="209"/>
      <c r="AZ136" s="207"/>
      <c r="BA136" s="207"/>
      <c r="BB136" s="207"/>
      <c r="BC136" s="207"/>
      <c r="BD136" s="207"/>
      <c r="BE136" s="210"/>
      <c r="BF136" s="210"/>
    </row>
    <row r="137" spans="5:58">
      <c r="E137" t="str">
        <f t="shared" si="80"/>
        <v>Keller J</v>
      </c>
      <c r="F137">
        <f t="shared" si="80"/>
        <v>2008</v>
      </c>
      <c r="G137">
        <v>9</v>
      </c>
      <c r="H137">
        <f t="shared" si="81"/>
        <v>19</v>
      </c>
      <c r="I137">
        <f t="shared" si="81"/>
        <v>11</v>
      </c>
      <c r="J137">
        <f t="shared" si="86"/>
        <v>7.9399999999999995</v>
      </c>
      <c r="K137">
        <f t="shared" si="87"/>
        <v>0.67446274915668991</v>
      </c>
      <c r="L137">
        <f t="shared" si="88"/>
        <v>7.67</v>
      </c>
      <c r="M137">
        <f t="shared" si="89"/>
        <v>0.90129906246484026</v>
      </c>
      <c r="N137">
        <f t="shared" si="90"/>
        <v>0.76325431073603689</v>
      </c>
      <c r="O137" s="59">
        <f t="shared" si="91"/>
        <v>0.34418764363003401</v>
      </c>
      <c r="P137" s="63">
        <f t="shared" si="92"/>
        <v>0.14581360028676621</v>
      </c>
      <c r="Q137" s="59">
        <f t="shared" si="18"/>
        <v>0.7484367220157232</v>
      </c>
      <c r="R137" s="59">
        <f t="shared" si="93"/>
        <v>6.858070838614073</v>
      </c>
      <c r="S137" s="59">
        <f t="shared" si="94"/>
        <v>2.3604632417904292</v>
      </c>
      <c r="T137" s="59">
        <f t="shared" si="95"/>
        <v>0.81244228106715899</v>
      </c>
      <c r="U137" s="23">
        <f t="shared" si="96"/>
        <v>47.033135627448736</v>
      </c>
      <c r="V137" s="59">
        <f t="shared" si="97"/>
        <v>3.323801913222554</v>
      </c>
      <c r="W137" s="59">
        <f t="shared" si="98"/>
        <v>1.1440115484050697</v>
      </c>
      <c r="AF137" s="59">
        <f t="shared" si="99"/>
        <v>0.34418764363003401</v>
      </c>
      <c r="AG137" s="59">
        <f t="shared" si="100"/>
        <v>0.7484367220157232</v>
      </c>
      <c r="AH137" s="59">
        <f t="shared" si="101"/>
        <v>0.7484367220157232</v>
      </c>
      <c r="AJ137">
        <f t="shared" si="102"/>
        <v>0.38185547041618534</v>
      </c>
      <c r="AK137">
        <f t="shared" si="29"/>
        <v>2.6187918662264997</v>
      </c>
      <c r="AL137">
        <f t="shared" si="103"/>
        <v>0.9013558015939982</v>
      </c>
      <c r="AN137" s="207" t="str">
        <f t="shared" si="104"/>
        <v>Keller J</v>
      </c>
      <c r="AO137" s="207">
        <f t="shared" si="105"/>
        <v>2008</v>
      </c>
      <c r="AP137" s="207" t="str">
        <f t="shared" si="106"/>
        <v>Keller J 2008</v>
      </c>
      <c r="AQ137" s="207">
        <f t="shared" si="107"/>
        <v>19</v>
      </c>
      <c r="AR137" s="207">
        <f t="shared" si="108"/>
        <v>0.90129906246484026</v>
      </c>
      <c r="AS137" s="208">
        <f t="shared" si="109"/>
        <v>0.34418764363003401</v>
      </c>
      <c r="AT137" s="207">
        <f t="shared" si="110"/>
        <v>0.38185547041618534</v>
      </c>
      <c r="AU137" s="207"/>
      <c r="AV137" s="207"/>
      <c r="AW137" s="207"/>
      <c r="AX137" s="207"/>
      <c r="AY137" s="209"/>
      <c r="AZ137" s="207"/>
      <c r="BA137" s="207"/>
      <c r="BB137" s="207"/>
      <c r="BC137" s="207"/>
      <c r="BD137" s="207"/>
      <c r="BE137" s="210"/>
      <c r="BF137" s="210"/>
    </row>
    <row r="138" spans="5:58">
      <c r="E138" t="str">
        <f t="shared" si="80"/>
        <v>MacMaster FP (B)</v>
      </c>
      <c r="F138">
        <f t="shared" si="80"/>
        <v>2008</v>
      </c>
      <c r="G138">
        <v>8</v>
      </c>
      <c r="H138">
        <f t="shared" si="81"/>
        <v>16</v>
      </c>
      <c r="I138">
        <f t="shared" si="81"/>
        <v>17</v>
      </c>
      <c r="J138">
        <f t="shared" si="86"/>
        <v>5.6</v>
      </c>
      <c r="K138">
        <f t="shared" si="87"/>
        <v>0.69514027361389452</v>
      </c>
      <c r="L138">
        <f t="shared" si="88"/>
        <v>6.0500000000000007</v>
      </c>
      <c r="M138">
        <f t="shared" si="89"/>
        <v>0.72434798267131251</v>
      </c>
      <c r="N138">
        <f t="shared" si="90"/>
        <v>0.71036519458474268</v>
      </c>
      <c r="O138" s="59">
        <f t="shared" si="91"/>
        <v>-0.61802632447461536</v>
      </c>
      <c r="P138" s="63">
        <f t="shared" si="92"/>
        <v>0.12789539000611438</v>
      </c>
      <c r="Q138" s="59">
        <f t="shared" si="18"/>
        <v>0.70094431322858242</v>
      </c>
      <c r="R138" s="59">
        <f t="shared" si="93"/>
        <v>7.8188901097388444</v>
      </c>
      <c r="S138" s="59">
        <f t="shared" si="94"/>
        <v>-4.83227991599282</v>
      </c>
      <c r="T138" s="59">
        <f t="shared" si="95"/>
        <v>2.9864761953135455</v>
      </c>
      <c r="U138" s="23">
        <f t="shared" si="96"/>
        <v>61.135042548171917</v>
      </c>
      <c r="V138" s="59">
        <f t="shared" si="97"/>
        <v>3.5342922798280476</v>
      </c>
      <c r="W138" s="59">
        <f t="shared" si="98"/>
        <v>-2.184285667321137</v>
      </c>
      <c r="AF138" s="59">
        <f t="shared" si="99"/>
        <v>-0.61802632447461536</v>
      </c>
      <c r="AG138" s="59">
        <f t="shared" si="100"/>
        <v>0.70094431322858242</v>
      </c>
      <c r="AH138" s="59">
        <f t="shared" si="101"/>
        <v>0.70094431322858242</v>
      </c>
      <c r="AJ138">
        <f t="shared" si="102"/>
        <v>0.3576246496064196</v>
      </c>
      <c r="AK138">
        <f t="shared" si="29"/>
        <v>2.7962278358064538</v>
      </c>
      <c r="AL138">
        <f t="shared" si="103"/>
        <v>-1.728142411757071</v>
      </c>
      <c r="AN138" s="207" t="str">
        <f t="shared" si="104"/>
        <v>MacMaster FP (B)</v>
      </c>
      <c r="AO138" s="207">
        <f t="shared" si="105"/>
        <v>2008</v>
      </c>
      <c r="AP138" s="207" t="str">
        <f t="shared" si="106"/>
        <v>MacMaster FP (B) 2008</v>
      </c>
      <c r="AQ138" s="207">
        <f t="shared" si="107"/>
        <v>16</v>
      </c>
      <c r="AR138" s="207">
        <f t="shared" si="108"/>
        <v>0.72434798267131251</v>
      </c>
      <c r="AS138" s="208">
        <f t="shared" si="109"/>
        <v>-0.61802632447461536</v>
      </c>
      <c r="AT138" s="207">
        <f t="shared" si="110"/>
        <v>0.3576246496064196</v>
      </c>
      <c r="AU138" s="207"/>
      <c r="AV138" s="207"/>
      <c r="AW138" s="207"/>
      <c r="AX138" s="207"/>
      <c r="AY138" s="209"/>
      <c r="AZ138" s="207"/>
      <c r="BA138" s="207"/>
      <c r="BB138" s="207"/>
      <c r="BC138" s="207"/>
      <c r="BD138" s="207"/>
      <c r="BE138" s="210"/>
      <c r="BF138" s="210"/>
    </row>
    <row r="139" spans="5:58">
      <c r="E139" t="str">
        <f t="shared" si="80"/>
        <v>Tae WS</v>
      </c>
      <c r="F139">
        <f t="shared" si="80"/>
        <v>2008</v>
      </c>
      <c r="G139">
        <v>7</v>
      </c>
      <c r="H139">
        <f t="shared" si="81"/>
        <v>21</v>
      </c>
      <c r="I139">
        <f t="shared" si="81"/>
        <v>20</v>
      </c>
      <c r="J139">
        <f t="shared" si="86"/>
        <v>5247.8</v>
      </c>
      <c r="K139">
        <f t="shared" si="87"/>
        <v>749.11499300174205</v>
      </c>
      <c r="L139">
        <f t="shared" si="88"/>
        <v>5683</v>
      </c>
      <c r="M139">
        <f t="shared" si="89"/>
        <v>479.09846541186079</v>
      </c>
      <c r="N139">
        <f t="shared" si="90"/>
        <v>632.14402988884001</v>
      </c>
      <c r="O139" s="59">
        <f t="shared" si="91"/>
        <v>-0.6751258479315152</v>
      </c>
      <c r="P139" s="63">
        <f t="shared" si="92"/>
        <v>0.10376846627184372</v>
      </c>
      <c r="Q139" s="59">
        <f t="shared" si="18"/>
        <v>0.63137701892760933</v>
      </c>
      <c r="R139" s="59">
        <f t="shared" si="93"/>
        <v>9.6368389736077038</v>
      </c>
      <c r="S139" s="59">
        <f t="shared" si="94"/>
        <v>-6.506079083436374</v>
      </c>
      <c r="T139" s="59">
        <f t="shared" si="95"/>
        <v>4.3924221579144769</v>
      </c>
      <c r="U139" s="23">
        <f t="shared" si="96"/>
        <v>92.868665403244378</v>
      </c>
      <c r="V139" s="59">
        <f t="shared" si="97"/>
        <v>3.8637613973160403</v>
      </c>
      <c r="W139" s="59">
        <f t="shared" si="98"/>
        <v>-2.6085251895680477</v>
      </c>
      <c r="AF139" s="59">
        <f t="shared" si="99"/>
        <v>-0.6751258479315152</v>
      </c>
      <c r="AG139" s="59">
        <f t="shared" si="100"/>
        <v>0.63137701892760933</v>
      </c>
      <c r="AH139" s="59">
        <f t="shared" si="101"/>
        <v>0.63137701892760933</v>
      </c>
      <c r="AJ139">
        <f t="shared" si="102"/>
        <v>0.32213113210592315</v>
      </c>
      <c r="AK139">
        <f t="shared" si="29"/>
        <v>3.1043258484907321</v>
      </c>
      <c r="AL139">
        <f t="shared" si="103"/>
        <v>-2.095810620718026</v>
      </c>
      <c r="AN139" s="207" t="str">
        <f t="shared" si="104"/>
        <v>Tae WS</v>
      </c>
      <c r="AO139" s="207">
        <f t="shared" si="105"/>
        <v>2008</v>
      </c>
      <c r="AP139" s="207" t="str">
        <f t="shared" si="106"/>
        <v>Tae WS 2008</v>
      </c>
      <c r="AQ139" s="207">
        <f t="shared" si="107"/>
        <v>21</v>
      </c>
      <c r="AR139" s="207">
        <f t="shared" si="108"/>
        <v>479.09846541186079</v>
      </c>
      <c r="AS139" s="208">
        <f t="shared" si="109"/>
        <v>-0.6751258479315152</v>
      </c>
      <c r="AT139" s="207">
        <f t="shared" si="110"/>
        <v>0.32213113210592315</v>
      </c>
      <c r="AU139" s="207"/>
      <c r="AV139" s="207"/>
      <c r="AW139" s="207"/>
      <c r="AX139" s="207"/>
      <c r="AY139" s="209"/>
      <c r="AZ139" s="207"/>
      <c r="BA139" s="207"/>
      <c r="BB139" s="207"/>
      <c r="BC139" s="207"/>
      <c r="BD139" s="207"/>
      <c r="BE139" s="210"/>
      <c r="BF139" s="210"/>
    </row>
    <row r="140" spans="5:58">
      <c r="E140" t="str">
        <f t="shared" si="80"/>
        <v>Bergouignan L</v>
      </c>
      <c r="F140">
        <f t="shared" si="80"/>
        <v>2009</v>
      </c>
      <c r="G140">
        <v>6</v>
      </c>
      <c r="H140">
        <f t="shared" si="81"/>
        <v>21</v>
      </c>
      <c r="I140">
        <f t="shared" si="81"/>
        <v>21</v>
      </c>
      <c r="J140">
        <f t="shared" si="86"/>
        <v>7.8800000000000008</v>
      </c>
      <c r="K140">
        <f t="shared" si="87"/>
        <v>1.4705441169852744</v>
      </c>
      <c r="L140">
        <f t="shared" si="88"/>
        <v>8.92</v>
      </c>
      <c r="M140">
        <f t="shared" si="89"/>
        <v>1.9922449648574847</v>
      </c>
      <c r="N140">
        <f t="shared" si="90"/>
        <v>1.7509340364502601</v>
      </c>
      <c r="O140" s="59">
        <f t="shared" si="91"/>
        <v>-0.58276173587853586</v>
      </c>
      <c r="P140" s="63">
        <f t="shared" si="92"/>
        <v>9.9699619683762133E-2</v>
      </c>
      <c r="Q140" s="59">
        <f t="shared" si="18"/>
        <v>0.61887483304553637</v>
      </c>
      <c r="R140" s="59">
        <f t="shared" si="93"/>
        <v>10.030128531802895</v>
      </c>
      <c r="S140" s="59">
        <f t="shared" si="94"/>
        <v>-5.8451751142782848</v>
      </c>
      <c r="T140" s="59">
        <f t="shared" si="95"/>
        <v>3.4063443961108324</v>
      </c>
      <c r="U140" s="23">
        <f t="shared" si="96"/>
        <v>100.60347836448649</v>
      </c>
      <c r="V140" s="59">
        <f t="shared" si="97"/>
        <v>3.9254739793564548</v>
      </c>
      <c r="W140" s="59">
        <f t="shared" si="98"/>
        <v>-2.2876160303557915</v>
      </c>
      <c r="AF140" s="59">
        <f t="shared" si="99"/>
        <v>-0.58276173587853586</v>
      </c>
      <c r="AG140" s="59">
        <f t="shared" si="100"/>
        <v>0.61887483304553637</v>
      </c>
      <c r="AH140" s="59">
        <f t="shared" si="101"/>
        <v>0.61887483304553637</v>
      </c>
      <c r="AJ140">
        <f t="shared" si="102"/>
        <v>0.3157524658395594</v>
      </c>
      <c r="AK140">
        <f t="shared" si="29"/>
        <v>3.1670378166044837</v>
      </c>
      <c r="AL140">
        <f t="shared" si="103"/>
        <v>-1.845628455597397</v>
      </c>
      <c r="AN140" s="207" t="str">
        <f t="shared" si="104"/>
        <v>Bergouignan L</v>
      </c>
      <c r="AO140" s="207">
        <f t="shared" si="105"/>
        <v>2009</v>
      </c>
      <c r="AP140" s="207" t="str">
        <f t="shared" si="106"/>
        <v>Bergouignan L 2009</v>
      </c>
      <c r="AQ140" s="207">
        <f t="shared" si="107"/>
        <v>21</v>
      </c>
      <c r="AR140" s="207">
        <f t="shared" si="108"/>
        <v>1.9922449648574847</v>
      </c>
      <c r="AS140" s="208">
        <f t="shared" si="109"/>
        <v>-0.58276173587853586</v>
      </c>
      <c r="AT140" s="207">
        <f t="shared" si="110"/>
        <v>0.3157524658395594</v>
      </c>
      <c r="AU140" s="207"/>
      <c r="AV140" s="207"/>
      <c r="AW140" s="207"/>
      <c r="AX140" s="207"/>
      <c r="AY140" s="209"/>
      <c r="AZ140" s="207"/>
      <c r="BA140" s="207"/>
      <c r="BB140" s="207"/>
      <c r="BC140" s="207"/>
      <c r="BD140" s="207"/>
      <c r="BE140" s="210"/>
      <c r="BF140" s="210"/>
    </row>
    <row r="141" spans="5:58">
      <c r="E141" t="str">
        <f t="shared" si="80"/>
        <v>van Eijndhoven P</v>
      </c>
      <c r="F141">
        <f t="shared" si="80"/>
        <v>2009</v>
      </c>
      <c r="G141">
        <v>5</v>
      </c>
      <c r="H141">
        <f t="shared" si="81"/>
        <v>20</v>
      </c>
      <c r="I141">
        <f t="shared" si="81"/>
        <v>10</v>
      </c>
      <c r="J141">
        <f t="shared" si="86"/>
        <v>7372</v>
      </c>
      <c r="K141">
        <f t="shared" si="87"/>
        <v>784.76811861848716</v>
      </c>
      <c r="L141">
        <f t="shared" si="88"/>
        <v>7597</v>
      </c>
      <c r="M141">
        <f t="shared" si="89"/>
        <v>752.5866063118583</v>
      </c>
      <c r="N141">
        <f t="shared" si="90"/>
        <v>774.56988986515239</v>
      </c>
      <c r="O141" s="59">
        <f t="shared" si="91"/>
        <v>-0.28263288023890432</v>
      </c>
      <c r="P141" s="63">
        <f t="shared" si="92"/>
        <v>0.15153264284328738</v>
      </c>
      <c r="Q141" s="59">
        <f t="shared" si="18"/>
        <v>0.76297300132230939</v>
      </c>
      <c r="R141" s="59">
        <f t="shared" si="93"/>
        <v>6.5992381656946613</v>
      </c>
      <c r="S141" s="59">
        <f t="shared" si="94"/>
        <v>-1.8651616901527859</v>
      </c>
      <c r="T141" s="59">
        <f t="shared" si="95"/>
        <v>0.52715602059914468</v>
      </c>
      <c r="U141" s="23">
        <f t="shared" si="96"/>
        <v>43.549944367561039</v>
      </c>
      <c r="V141" s="59">
        <f t="shared" si="97"/>
        <v>3.2617985010132733</v>
      </c>
      <c r="W141" s="59">
        <f t="shared" si="98"/>
        <v>-0.92189150510032214</v>
      </c>
      <c r="AF141" s="59">
        <f t="shared" si="99"/>
        <v>-0.28263288023890432</v>
      </c>
      <c r="AG141" s="59">
        <f t="shared" si="100"/>
        <v>0.76297300132230939</v>
      </c>
      <c r="AH141" s="59">
        <f t="shared" si="101"/>
        <v>0.76297300132230939</v>
      </c>
      <c r="AJ141">
        <f t="shared" si="102"/>
        <v>0.38927193945015787</v>
      </c>
      <c r="AK141">
        <f t="shared" si="29"/>
        <v>2.5688982396534632</v>
      </c>
      <c r="AL141">
        <f t="shared" si="103"/>
        <v>-0.72605510851390931</v>
      </c>
      <c r="AN141" s="207" t="str">
        <f t="shared" si="104"/>
        <v>van Eijndhoven P</v>
      </c>
      <c r="AO141" s="207">
        <f t="shared" si="105"/>
        <v>2009</v>
      </c>
      <c r="AP141" s="207" t="str">
        <f t="shared" si="106"/>
        <v>van Eijndhoven P 2009</v>
      </c>
      <c r="AQ141" s="207">
        <f t="shared" si="107"/>
        <v>20</v>
      </c>
      <c r="AR141" s="207">
        <f t="shared" si="108"/>
        <v>752.5866063118583</v>
      </c>
      <c r="AS141" s="208">
        <f t="shared" si="109"/>
        <v>-0.28263288023890432</v>
      </c>
      <c r="AT141" s="207">
        <f t="shared" si="110"/>
        <v>0.38927193945015787</v>
      </c>
      <c r="AU141" s="207"/>
      <c r="AV141" s="207"/>
      <c r="AW141" s="207"/>
      <c r="AX141" s="207"/>
      <c r="AY141" s="209"/>
      <c r="AZ141" s="207"/>
      <c r="BA141" s="207"/>
      <c r="BB141" s="207"/>
      <c r="BC141" s="207"/>
      <c r="BD141" s="207"/>
      <c r="BE141" s="210"/>
      <c r="BF141" s="210"/>
    </row>
    <row r="142" spans="5:58">
      <c r="E142" t="str">
        <f t="shared" si="80"/>
        <v>van Eijndhoven P</v>
      </c>
      <c r="F142">
        <f t="shared" si="80"/>
        <v>2009</v>
      </c>
      <c r="G142">
        <v>4</v>
      </c>
      <c r="H142">
        <f t="shared" si="81"/>
        <v>20</v>
      </c>
      <c r="I142">
        <f t="shared" si="81"/>
        <v>10</v>
      </c>
      <c r="J142">
        <f t="shared" si="86"/>
        <v>7415</v>
      </c>
      <c r="K142">
        <f t="shared" si="87"/>
        <v>777.60208333054254</v>
      </c>
      <c r="L142">
        <f t="shared" si="88"/>
        <v>7597</v>
      </c>
      <c r="M142">
        <f t="shared" si="89"/>
        <v>752.5866063118583</v>
      </c>
      <c r="N142">
        <f t="shared" si="90"/>
        <v>769.65006890887014</v>
      </c>
      <c r="O142" s="59">
        <f t="shared" si="91"/>
        <v>-0.23007999119928391</v>
      </c>
      <c r="P142" s="63">
        <f t="shared" si="92"/>
        <v>0.15101567157233811</v>
      </c>
      <c r="Q142" s="59">
        <f t="shared" si="18"/>
        <v>0.76167040372610917</v>
      </c>
      <c r="R142" s="59">
        <f t="shared" si="93"/>
        <v>6.6218293080992545</v>
      </c>
      <c r="S142" s="59">
        <f t="shared" si="94"/>
        <v>-1.5235504289306367</v>
      </c>
      <c r="T142" s="59">
        <f t="shared" si="95"/>
        <v>0.35053846928002613</v>
      </c>
      <c r="U142" s="23">
        <f t="shared" si="96"/>
        <v>43.848623385602252</v>
      </c>
      <c r="V142" s="59">
        <f t="shared" si="97"/>
        <v>3.2673080191455348</v>
      </c>
      <c r="W142" s="59">
        <f t="shared" si="98"/>
        <v>-0.75174220029035443</v>
      </c>
      <c r="AF142" s="59">
        <f t="shared" si="99"/>
        <v>-0.23007999119928391</v>
      </c>
      <c r="AG142" s="59">
        <f t="shared" si="100"/>
        <v>0.76167040372610917</v>
      </c>
      <c r="AH142" s="59">
        <f t="shared" si="101"/>
        <v>0.76167040372610917</v>
      </c>
      <c r="AJ142">
        <f t="shared" si="102"/>
        <v>0.3886073488398516</v>
      </c>
      <c r="AK142">
        <f t="shared" si="29"/>
        <v>2.5732915318904803</v>
      </c>
      <c r="AL142">
        <f t="shared" si="103"/>
        <v>-0.59206289301055348</v>
      </c>
      <c r="AN142" s="207" t="str">
        <f t="shared" si="104"/>
        <v>van Eijndhoven P</v>
      </c>
      <c r="AO142" s="207">
        <f t="shared" si="105"/>
        <v>2009</v>
      </c>
      <c r="AP142" s="207" t="str">
        <f t="shared" si="106"/>
        <v>van Eijndhoven P 2009</v>
      </c>
      <c r="AQ142" s="207">
        <f t="shared" si="107"/>
        <v>20</v>
      </c>
      <c r="AR142" s="207">
        <f t="shared" si="108"/>
        <v>752.5866063118583</v>
      </c>
      <c r="AS142" s="208">
        <f t="shared" si="109"/>
        <v>-0.23007999119928391</v>
      </c>
      <c r="AT142" s="207">
        <f t="shared" si="110"/>
        <v>0.3886073488398516</v>
      </c>
      <c r="AU142" s="207"/>
      <c r="AV142" s="207"/>
      <c r="AW142" s="207"/>
      <c r="AX142" s="207"/>
      <c r="AY142" s="209"/>
      <c r="AZ142" s="207"/>
      <c r="BA142" s="207"/>
      <c r="BB142" s="207"/>
      <c r="BC142" s="207"/>
      <c r="BD142" s="207"/>
      <c r="BE142" s="210"/>
      <c r="BF142" s="210"/>
    </row>
    <row r="143" spans="5:58">
      <c r="E143" t="str">
        <f t="shared" si="80"/>
        <v>Meisenzahl EM</v>
      </c>
      <c r="F143">
        <f t="shared" si="80"/>
        <v>2009</v>
      </c>
      <c r="G143">
        <v>3</v>
      </c>
      <c r="H143">
        <f t="shared" si="81"/>
        <v>92</v>
      </c>
      <c r="I143">
        <f t="shared" si="81"/>
        <v>138</v>
      </c>
      <c r="J143">
        <f t="shared" si="86"/>
        <v>7.4399999999999995</v>
      </c>
      <c r="K143">
        <f t="shared" si="87"/>
        <v>0.78741348731146321</v>
      </c>
      <c r="L143">
        <f t="shared" si="88"/>
        <v>7.77</v>
      </c>
      <c r="M143">
        <f t="shared" si="89"/>
        <v>0.77792030440142124</v>
      </c>
      <c r="N143">
        <f t="shared" si="90"/>
        <v>0.78172307431230448</v>
      </c>
      <c r="O143" s="59">
        <f t="shared" si="91"/>
        <v>-0.42075421964091947</v>
      </c>
      <c r="P143" s="63">
        <f t="shared" si="92"/>
        <v>1.8507506466182797E-2</v>
      </c>
      <c r="Q143" s="59">
        <f t="shared" si="18"/>
        <v>0.26664290135026625</v>
      </c>
      <c r="R143" s="59">
        <f t="shared" si="93"/>
        <v>54.0321302508912</v>
      </c>
      <c r="S143" s="59">
        <f t="shared" si="94"/>
        <v>-22.734246799250243</v>
      </c>
      <c r="T143" s="59">
        <f t="shared" si="95"/>
        <v>9.5655302711426078</v>
      </c>
      <c r="U143" s="23">
        <f t="shared" si="96"/>
        <v>2919.4710994492721</v>
      </c>
      <c r="V143" s="59">
        <f t="shared" si="97"/>
        <v>5.7618889951420016</v>
      </c>
      <c r="W143" s="59">
        <f t="shared" si="98"/>
        <v>-2.4243391078085743</v>
      </c>
      <c r="AF143" s="59">
        <f t="shared" si="99"/>
        <v>-0.42075421964091947</v>
      </c>
      <c r="AG143" s="59">
        <f t="shared" si="100"/>
        <v>0.26664290135026625</v>
      </c>
      <c r="AH143" s="59">
        <f t="shared" si="101"/>
        <v>0.26664290135026625</v>
      </c>
      <c r="AJ143">
        <f t="shared" si="102"/>
        <v>0.13604229660727871</v>
      </c>
      <c r="AK143">
        <f t="shared" si="29"/>
        <v>7.3506550899148575</v>
      </c>
      <c r="AL143">
        <f t="shared" si="103"/>
        <v>-3.0928191462066787</v>
      </c>
      <c r="AN143" s="207" t="str">
        <f t="shared" si="104"/>
        <v>Meisenzahl EM</v>
      </c>
      <c r="AO143" s="207">
        <f t="shared" si="105"/>
        <v>2009</v>
      </c>
      <c r="AP143" s="207" t="str">
        <f t="shared" si="106"/>
        <v>Meisenzahl EM 2009</v>
      </c>
      <c r="AQ143" s="207">
        <f t="shared" si="107"/>
        <v>92</v>
      </c>
      <c r="AR143" s="207">
        <f t="shared" si="108"/>
        <v>0.77792030440142124</v>
      </c>
      <c r="AS143" s="208">
        <f t="shared" si="109"/>
        <v>-0.42075421964091947</v>
      </c>
      <c r="AT143" s="207">
        <f t="shared" si="110"/>
        <v>0.13604229660727871</v>
      </c>
      <c r="AU143" s="207"/>
      <c r="AV143" s="207"/>
      <c r="AW143" s="207"/>
      <c r="AX143" s="207"/>
      <c r="AY143" s="209"/>
      <c r="AZ143" s="207"/>
      <c r="BA143" s="207"/>
      <c r="BB143" s="207"/>
      <c r="BC143" s="207"/>
      <c r="BD143" s="207"/>
      <c r="BE143" s="210"/>
      <c r="BF143" s="210"/>
    </row>
    <row r="144" spans="5:58">
      <c r="E144" t="str">
        <f>E68</f>
        <v>Jessen F</v>
      </c>
      <c r="F144">
        <f>F68</f>
        <v>2009</v>
      </c>
      <c r="G144">
        <v>2</v>
      </c>
      <c r="H144">
        <f>H68</f>
        <v>79</v>
      </c>
      <c r="I144">
        <f>I68</f>
        <v>84</v>
      </c>
      <c r="J144">
        <f t="shared" ref="J144:M145" si="111">IF($D$4="Total",T68,IF($D$4="Left",L68,IF($D$4="Right",P68,"error")))</f>
        <v>4.1099999999999994</v>
      </c>
      <c r="K144">
        <f t="shared" si="111"/>
        <v>0.55994642600877453</v>
      </c>
      <c r="L144">
        <f t="shared" si="111"/>
        <v>4.68</v>
      </c>
      <c r="M144">
        <f t="shared" si="111"/>
        <v>0.55973207876626119</v>
      </c>
      <c r="N144">
        <f>IF($D$3=1,SQRT((((I144-1)*(M144)^2)+((H144-1)*(K144)^2))/(H144+I144-2)),M144)</f>
        <v>0.55983593426282086</v>
      </c>
      <c r="O144" s="59">
        <f>IF($D$6=1,LN(J144/L144),IF($D$5=1,(1-3/(4*(H144+I144)-9))*((J144-L144)/N144),(J144-L144)/N144))</f>
        <v>-1.0134051000617594</v>
      </c>
      <c r="P144" s="63">
        <f>IF($D$6=1,(K144^2)/(H144*J144^2)+(M144^2)/(I144*L144^2),(IF($D$5=1,((H144+I144)/(H144*I144))+(O144*O144)/(2*(H144+I144-3.94)),((H144+I144)/(H144*I144))+((O144^2)/(2*(H144+I144-2))))))</f>
        <v>2.7791299500226383E-2</v>
      </c>
      <c r="Q144" s="59">
        <f t="shared" si="18"/>
        <v>0.32674616472128581</v>
      </c>
      <c r="R144" s="59">
        <f>1/P144</f>
        <v>35.982484373998204</v>
      </c>
      <c r="S144" s="59">
        <f>O144*R144</f>
        <v>-36.464833177502342</v>
      </c>
      <c r="T144" s="59">
        <f>R144*(O144^2)</f>
        <v>36.953647914982128</v>
      </c>
      <c r="U144" s="23">
        <f>R144^2</f>
        <v>1294.739181725025</v>
      </c>
      <c r="V144" s="59">
        <f>1/((1/R144)+$I$159)</f>
        <v>5.4693229600001745</v>
      </c>
      <c r="W144" s="59">
        <f>V144*O144</f>
        <v>-5.5426397815490551</v>
      </c>
      <c r="AF144" s="59">
        <f>IF($D$6=1,100*((EXP(O144))-1),O144)</f>
        <v>-1.0134051000617594</v>
      </c>
      <c r="AG144" s="59">
        <f>IF($D$6=1,100*(EXP(O144+Q144)-EXP(O144)),Q144)</f>
        <v>0.32674616472128581</v>
      </c>
      <c r="AH144" s="59">
        <f>IF($D$6=1,100*(EXP(O144)-EXP(O144-Q144)),Q144)</f>
        <v>0.32674616472128581</v>
      </c>
      <c r="AJ144">
        <f>SQRT(P144)</f>
        <v>0.16670722689861522</v>
      </c>
      <c r="AK144">
        <f t="shared" si="29"/>
        <v>5.9985401869119963</v>
      </c>
      <c r="AL144">
        <f>O144/AJ144</f>
        <v>-6.0789512183420369</v>
      </c>
      <c r="AN144" s="207" t="str">
        <f>E144</f>
        <v>Jessen F</v>
      </c>
      <c r="AO144" s="207">
        <f>F144</f>
        <v>2009</v>
      </c>
      <c r="AP144" s="207" t="str">
        <f>CONCATENATE(AN144," ",AO144)</f>
        <v>Jessen F 2009</v>
      </c>
      <c r="AQ144" s="207">
        <f>INT(H144)</f>
        <v>79</v>
      </c>
      <c r="AR144" s="207">
        <f>M144</f>
        <v>0.55973207876626119</v>
      </c>
      <c r="AS144" s="208">
        <f>O144</f>
        <v>-1.0134051000617594</v>
      </c>
      <c r="AT144" s="207">
        <f>SQRT(P144)</f>
        <v>0.16670722689861522</v>
      </c>
      <c r="AU144" s="207"/>
      <c r="AV144" s="207"/>
      <c r="AW144" s="207"/>
      <c r="AX144" s="207"/>
      <c r="AY144" s="209"/>
      <c r="AZ144" s="207"/>
      <c r="BA144" s="207"/>
      <c r="BB144" s="207"/>
      <c r="BC144" s="207"/>
      <c r="BD144" s="207"/>
      <c r="BE144" s="210"/>
      <c r="BF144" s="210"/>
    </row>
    <row r="145" spans="5:58">
      <c r="E145" t="str">
        <f>E69</f>
        <v>Kaymak SU</v>
      </c>
      <c r="F145">
        <f>F69</f>
        <v>2009</v>
      </c>
      <c r="G145">
        <v>1</v>
      </c>
      <c r="H145">
        <f>H69</f>
        <v>20</v>
      </c>
      <c r="I145">
        <f>I69</f>
        <v>15</v>
      </c>
      <c r="J145">
        <f t="shared" si="111"/>
        <v>5.57</v>
      </c>
      <c r="K145">
        <f t="shared" si="111"/>
        <v>0.61665225208378183</v>
      </c>
      <c r="L145">
        <f t="shared" si="111"/>
        <v>6.92</v>
      </c>
      <c r="M145">
        <f t="shared" si="111"/>
        <v>0.55081757415681643</v>
      </c>
      <c r="N145">
        <f>IF($D$3=1,SQRT((((I145-1)*(M145)^2)+((H145-1)*(K145)^2))/(H145+I145-2)),M145)</f>
        <v>0.58962083347921757</v>
      </c>
      <c r="O145" s="59">
        <f>IF($D$6=1,LN(J145/L145),IF($D$5=1,(1-3/(4*(H145+I145)-9))*((J145-L145)/N145),(J145-L145)/N145))</f>
        <v>-2.2371732723249211</v>
      </c>
      <c r="P145" s="63">
        <f>IF($D$6=1,(K145^2)/(H145*J145^2)+(M145^2)/(I145*L145^2),(IF($D$5=1,((H145+I145)/(H145*I145))+(O145*O145)/(2*(H145+I145-3.94)),((H145+I145)/(H145*I145))+((O145^2)/(2*(H145+I145-2))))))</f>
        <v>0.19723563399449984</v>
      </c>
      <c r="Q145" s="59">
        <f t="shared" si="18"/>
        <v>0.87045988509136396</v>
      </c>
      <c r="R145" s="59">
        <f>1/P145</f>
        <v>5.0700777529271726</v>
      </c>
      <c r="S145" s="59">
        <f>O145*R145</f>
        <v>-11.342642437457865</v>
      </c>
      <c r="T145" s="59">
        <f>R145*(O145^2)</f>
        <v>25.37545649861913</v>
      </c>
      <c r="U145" s="23">
        <f>R145^2</f>
        <v>25.705688420727046</v>
      </c>
      <c r="V145" s="59">
        <f>1/((1/R145)+$I$159)</f>
        <v>2.8386323670540525</v>
      </c>
      <c r="W145" s="59">
        <f>V145*O145</f>
        <v>-6.3505124615297515</v>
      </c>
      <c r="AF145" s="59">
        <f>IF($D$6=1,100*((EXP(O145))-1),O145)</f>
        <v>-2.2371732723249211</v>
      </c>
      <c r="AG145" s="59">
        <f>IF($D$6=1,100*(EXP(O145+Q145)-EXP(O145)),Q145)</f>
        <v>0.87045988509136396</v>
      </c>
      <c r="AH145" s="59">
        <f>IF($D$6=1,100*(EXP(O145)-EXP(O145-Q145)),Q145)</f>
        <v>0.87045988509136396</v>
      </c>
      <c r="AJ145">
        <f>SQRT(P145)</f>
        <v>0.44411218627110405</v>
      </c>
      <c r="AK145">
        <f t="shared" si="29"/>
        <v>2.2516833154169733</v>
      </c>
      <c r="AL145">
        <f>O145/AJ145</f>
        <v>-5.0374057309908178</v>
      </c>
      <c r="AM145" s="10"/>
      <c r="AN145" s="207" t="str">
        <f>E145</f>
        <v>Kaymak SU</v>
      </c>
      <c r="AO145" s="207">
        <f>F145</f>
        <v>2009</v>
      </c>
      <c r="AP145" s="207" t="str">
        <f>CONCATENATE(AN145," ",AO145)</f>
        <v>Kaymak SU 2009</v>
      </c>
      <c r="AQ145" s="207">
        <f>INT(H145)</f>
        <v>20</v>
      </c>
      <c r="AR145" s="207">
        <f>M145</f>
        <v>0.55081757415681643</v>
      </c>
      <c r="AS145" s="208">
        <f>O145</f>
        <v>-2.2371732723249211</v>
      </c>
      <c r="AT145" s="207">
        <f>SQRT(P145)</f>
        <v>0.44411218627110405</v>
      </c>
      <c r="AU145" s="207"/>
      <c r="AV145" s="207"/>
      <c r="AW145" s="207"/>
      <c r="AX145" s="207"/>
      <c r="AY145" s="209"/>
      <c r="AZ145" s="207"/>
      <c r="BA145" s="207"/>
      <c r="BB145" s="207"/>
      <c r="BC145" s="207"/>
      <c r="BD145" s="207"/>
      <c r="BE145" s="210"/>
      <c r="BF145" s="210"/>
    </row>
    <row r="146" spans="5:58">
      <c r="U146" s="23"/>
      <c r="BE146" s="23"/>
      <c r="BF146" s="59"/>
    </row>
    <row r="147" spans="5:58">
      <c r="L147" t="s">
        <v>500</v>
      </c>
      <c r="N147" s="7"/>
      <c r="O147" s="66">
        <f>COUNT(O102:O145)</f>
        <v>44</v>
      </c>
      <c r="Q147" t="s">
        <v>885</v>
      </c>
      <c r="R147" s="59">
        <f t="shared" ref="R147:W147" si="112">SUM(R102:R145)</f>
        <v>592.10478871560827</v>
      </c>
      <c r="S147" s="59">
        <f t="shared" si="112"/>
        <v>-254.37705381142416</v>
      </c>
      <c r="T147" s="59">
        <f t="shared" si="112"/>
        <v>240.694612688576</v>
      </c>
      <c r="U147" s="23">
        <f t="shared" si="112"/>
        <v>12959.188319511744</v>
      </c>
      <c r="V147" s="59">
        <f t="shared" si="112"/>
        <v>174.76822107006541</v>
      </c>
      <c r="W147" s="59">
        <f t="shared" si="112"/>
        <v>-82.18033359161555</v>
      </c>
      <c r="BE147" s="23"/>
    </row>
    <row r="148" spans="5:58">
      <c r="L148" t="s">
        <v>501</v>
      </c>
      <c r="N148" s="7"/>
      <c r="O148" s="2">
        <v>7</v>
      </c>
      <c r="BE148" s="23"/>
    </row>
    <row r="149" spans="5:58">
      <c r="N149" s="7"/>
      <c r="O149" s="7"/>
    </row>
    <row r="150" spans="5:58">
      <c r="G150" s="67" t="s">
        <v>502</v>
      </c>
      <c r="H150" s="40"/>
      <c r="I150" s="40">
        <f>S147/R147</f>
        <v>-0.42961492401238305</v>
      </c>
      <c r="J150" s="40"/>
      <c r="K150" s="68" t="s">
        <v>879</v>
      </c>
      <c r="L150" s="40"/>
      <c r="M150" s="42"/>
      <c r="N150" s="7"/>
      <c r="O150" s="69" t="s">
        <v>503</v>
      </c>
      <c r="P150" s="70">
        <f>T147-((S147^2)/R147)</f>
        <v>131.41043404488715</v>
      </c>
      <c r="Q150" s="71" t="s">
        <v>824</v>
      </c>
      <c r="R150" s="28"/>
      <c r="S150" s="29"/>
      <c r="T150" s="30"/>
      <c r="U150" s="31"/>
      <c r="AF150" s="2" t="s">
        <v>1518</v>
      </c>
    </row>
    <row r="151" spans="5:58">
      <c r="G151" s="43" t="s">
        <v>504</v>
      </c>
      <c r="H151" s="31"/>
      <c r="I151" s="31">
        <f>1/R147</f>
        <v>1.6888902421633789E-3</v>
      </c>
      <c r="J151" s="31"/>
      <c r="K151" s="31"/>
      <c r="L151" s="31"/>
      <c r="M151" s="44"/>
      <c r="N151" s="7"/>
      <c r="O151" s="30" t="s">
        <v>505</v>
      </c>
      <c r="P151" s="31">
        <f>CHIDIST(P150,I155-1)</f>
        <v>6.9033564129068567E-11</v>
      </c>
      <c r="Q151" s="31"/>
      <c r="R151" s="31"/>
      <c r="S151" s="34"/>
      <c r="T151" s="30"/>
      <c r="U151" s="31"/>
      <c r="AF151" s="2"/>
    </row>
    <row r="152" spans="5:58">
      <c r="G152" s="72" t="s">
        <v>506</v>
      </c>
      <c r="H152" s="31"/>
      <c r="I152" s="31">
        <f>$R$162*SQRT(I151)</f>
        <v>8.0548375243047796E-2</v>
      </c>
      <c r="J152" s="31"/>
      <c r="K152" s="31" t="s">
        <v>507</v>
      </c>
      <c r="L152" s="31"/>
      <c r="M152" s="44">
        <f>ABS(I150/SQRT(I151))</f>
        <v>10.453907338583448</v>
      </c>
      <c r="N152" s="7"/>
      <c r="O152" s="35" t="s">
        <v>508</v>
      </c>
      <c r="P152" s="37">
        <f>IF(((P150-(I155-1))/P150)&lt;0,0,100*((P150-(I155-1))/P150))</f>
        <v>67.278093012528927</v>
      </c>
      <c r="Q152" s="36"/>
      <c r="R152" s="36"/>
      <c r="S152" s="38"/>
      <c r="T152" s="30"/>
      <c r="U152" s="31"/>
      <c r="AF152" s="2" t="s">
        <v>1535</v>
      </c>
      <c r="AH152">
        <f>IF($D$6=1,100*((EXP(I150))-1),I150)</f>
        <v>-0.42961492401238305</v>
      </c>
    </row>
    <row r="153" spans="5:58">
      <c r="G153" s="45" t="s">
        <v>509</v>
      </c>
      <c r="H153" s="46"/>
      <c r="I153" s="46">
        <v>-2</v>
      </c>
      <c r="J153" s="46"/>
      <c r="K153" s="46" t="s">
        <v>825</v>
      </c>
      <c r="L153" s="46"/>
      <c r="M153" s="47">
        <f>2*(1-NORMDIST(M152,0,1,1))</f>
        <v>0</v>
      </c>
      <c r="N153" s="7"/>
      <c r="O153" s="7"/>
      <c r="AF153" s="79" t="s">
        <v>834</v>
      </c>
      <c r="AH153">
        <f>IF($D$6=1,100*(EXP(I150+I152)-EXP(I150)),I152)</f>
        <v>8.0548375243047796E-2</v>
      </c>
    </row>
    <row r="154" spans="5:58">
      <c r="G154" s="40"/>
      <c r="H154" s="40"/>
      <c r="I154" s="40"/>
      <c r="J154" s="40"/>
      <c r="K154" s="40"/>
      <c r="L154" s="40"/>
      <c r="M154" s="40"/>
      <c r="N154" s="7"/>
      <c r="O154" s="7"/>
      <c r="AF154" s="79" t="s">
        <v>835</v>
      </c>
      <c r="AH154">
        <f>IF($D$6=1,100*(EXP(I150)-EXP(I150-I152)),I152)</f>
        <v>8.0548375243047796E-2</v>
      </c>
    </row>
    <row r="155" spans="5:58">
      <c r="G155" s="73" t="s">
        <v>1110</v>
      </c>
      <c r="H155" s="74"/>
      <c r="I155" s="74">
        <f>O147</f>
        <v>44</v>
      </c>
      <c r="J155" s="74"/>
      <c r="K155" s="75" t="s">
        <v>1167</v>
      </c>
      <c r="L155" s="74"/>
      <c r="M155" s="76"/>
      <c r="N155" s="77"/>
      <c r="O155" s="101" t="s">
        <v>1513</v>
      </c>
      <c r="P155" s="102"/>
      <c r="Q155" s="103"/>
      <c r="AF155" s="7"/>
    </row>
    <row r="156" spans="5:58">
      <c r="G156" s="77" t="s">
        <v>1531</v>
      </c>
      <c r="H156" s="31"/>
      <c r="I156" s="31">
        <f>R147/I155</f>
        <v>13.456927016263824</v>
      </c>
      <c r="J156" s="31"/>
      <c r="K156" s="31"/>
      <c r="L156" s="31"/>
      <c r="M156" s="78"/>
      <c r="N156" s="77"/>
      <c r="O156" s="104" t="s">
        <v>1514</v>
      </c>
      <c r="P156" s="31"/>
      <c r="Q156" s="105">
        <f>INDEX(LINEST(AL102:AL145,AK102:AK145,TRUE,TRUE),1,2)</f>
        <v>-1.189969880369564</v>
      </c>
      <c r="AF156" s="2" t="s">
        <v>1687</v>
      </c>
      <c r="AH156">
        <f>IF($D$6=1,100*((EXP(I161))-1),I161)</f>
        <v>-0.47022469581966542</v>
      </c>
    </row>
    <row r="157" spans="5:58">
      <c r="G157" s="77" t="s">
        <v>1532</v>
      </c>
      <c r="H157" s="31"/>
      <c r="I157" s="31">
        <f>(1/(I155-1))*(U147-(I155*I156^2))</f>
        <v>116.07621841361609</v>
      </c>
      <c r="J157" s="31"/>
      <c r="K157" s="31"/>
      <c r="L157" s="31"/>
      <c r="M157" s="78"/>
      <c r="N157" s="77"/>
      <c r="O157" s="104" t="s">
        <v>1516</v>
      </c>
      <c r="P157" s="31"/>
      <c r="Q157" s="105">
        <f>INDEX(LINEST(AL102:AL145,AK102:AK145,TRUE,TRUE),2,2)</f>
        <v>0.79524908036313746</v>
      </c>
      <c r="AF157" s="79" t="s">
        <v>834</v>
      </c>
      <c r="AG157" s="7"/>
      <c r="AH157">
        <f>IF($D$6=1,100*(EXP(I161+I163)-EXP(I161)),I163)</f>
        <v>0.14826028769563138</v>
      </c>
    </row>
    <row r="158" spans="5:58">
      <c r="G158" s="77" t="s">
        <v>1669</v>
      </c>
      <c r="H158" s="31"/>
      <c r="I158" s="31">
        <f>(I155-1)*(I156-(I157/(I155*I156)))</f>
        <v>570.21814201642724</v>
      </c>
      <c r="J158" s="31"/>
      <c r="K158" s="31"/>
      <c r="L158" s="31"/>
      <c r="M158" s="78"/>
      <c r="N158" s="77"/>
      <c r="O158" s="104" t="s">
        <v>1349</v>
      </c>
      <c r="P158" s="31"/>
      <c r="Q158" s="105">
        <f>ABS(Q156/Q157)</f>
        <v>1.4963486406374513</v>
      </c>
      <c r="AF158" s="79" t="s">
        <v>835</v>
      </c>
      <c r="AH158">
        <f>IF($D$6=1,100*(EXP(I161)-EXP(I161-I163)),I163)</f>
        <v>0.14826028769563138</v>
      </c>
    </row>
    <row r="159" spans="5:58">
      <c r="G159" s="77" t="s">
        <v>1685</v>
      </c>
      <c r="H159" s="31"/>
      <c r="I159" s="31">
        <f>IF(P150&gt;(I155-1),(P150-(I155-1))/I158,0)</f>
        <v>0.15504668745236128</v>
      </c>
      <c r="J159" s="31"/>
      <c r="K159" s="31"/>
      <c r="L159" s="31"/>
      <c r="M159" s="78"/>
      <c r="N159" s="77"/>
      <c r="O159" s="106" t="s">
        <v>1515</v>
      </c>
      <c r="P159" s="107"/>
      <c r="Q159" s="108">
        <f>TDIST(Q158,I155-2,2)</f>
        <v>0.14204026969492889</v>
      </c>
    </row>
    <row r="160" spans="5:58">
      <c r="G160" s="77"/>
      <c r="H160" s="31"/>
      <c r="I160" s="31"/>
      <c r="J160" s="31"/>
      <c r="K160" s="31"/>
      <c r="L160" s="31"/>
      <c r="M160" s="78"/>
      <c r="N160" s="77"/>
    </row>
    <row r="161" spans="7:18">
      <c r="G161" s="77" t="s">
        <v>1686</v>
      </c>
      <c r="H161" s="31"/>
      <c r="I161" s="31">
        <f>W147/V147</f>
        <v>-0.47022469581966542</v>
      </c>
      <c r="J161" s="31"/>
      <c r="N161" s="77"/>
    </row>
    <row r="162" spans="7:18">
      <c r="G162" s="77" t="s">
        <v>504</v>
      </c>
      <c r="H162" s="31"/>
      <c r="I162" s="31">
        <f>1/V147</f>
        <v>5.7218640430006735E-3</v>
      </c>
      <c r="J162" s="31"/>
      <c r="N162" s="77"/>
      <c r="O162" t="s">
        <v>805</v>
      </c>
      <c r="R162">
        <v>1.96</v>
      </c>
    </row>
    <row r="163" spans="7:18">
      <c r="G163" s="80" t="s">
        <v>506</v>
      </c>
      <c r="H163" s="31"/>
      <c r="I163" s="31">
        <f>$R$162*SQRT(I162)</f>
        <v>0.14826028769563138</v>
      </c>
      <c r="J163" s="31"/>
      <c r="K163" s="31" t="s">
        <v>507</v>
      </c>
      <c r="L163" s="31"/>
      <c r="M163" s="78">
        <f>ABS(I161/(SQRT(I162)))</f>
        <v>6.2163672965387153</v>
      </c>
      <c r="N163" s="77"/>
    </row>
    <row r="164" spans="7:18">
      <c r="G164" s="81" t="s">
        <v>509</v>
      </c>
      <c r="H164" s="82"/>
      <c r="I164" s="82">
        <v>-3</v>
      </c>
      <c r="J164" s="82"/>
      <c r="K164" s="31" t="s">
        <v>825</v>
      </c>
      <c r="L164" s="31"/>
      <c r="M164" s="78">
        <f>2*(1-NORMDIST(M163,0,1,1))</f>
        <v>5.0879633839429061E-10</v>
      </c>
      <c r="N164" s="77"/>
    </row>
    <row r="165" spans="7:18">
      <c r="G165" s="74"/>
      <c r="H165" s="74"/>
      <c r="I165" s="74"/>
      <c r="J165" s="74"/>
      <c r="K165" s="74"/>
      <c r="L165" s="74"/>
      <c r="M165" s="74"/>
      <c r="N165" s="31"/>
      <c r="O165" s="7"/>
    </row>
  </sheetData>
  <phoneticPr fontId="10" type="noConversion"/>
  <conditionalFormatting sqref="D17 D13 F13">
    <cfRule type="cellIs" dxfId="104" priority="0" stopIfTrue="1" operator="lessThan">
      <formula>0.05</formula>
    </cfRule>
  </conditionalFormatting>
  <conditionalFormatting sqref="D21">
    <cfRule type="cellIs" dxfId="103" priority="0" stopIfTrue="1" operator="lessThan">
      <formula>0.05</formula>
    </cfRule>
  </conditionalFormatting>
  <hyperlinks>
    <hyperlink ref="F1" location="Summary!A1" display="Summary"/>
  </hyperlinks>
  <pageMargins left="0.75" right="0.75" top="1" bottom="1" header="0.5" footer="0.5"/>
  <pageSetup paperSize="9" orientation="portrait" r:id="rId1"/>
  <drawing r:id="rId2"/>
  <extLst>
    <ext xmlns:mx="http://schemas.microsoft.com/office/mac/excel/2008/main" uri="http://schemas.microsoft.com/office/mac/excel/2008/main">
      <mx:PLV Mode="0" OnePage="0" WScale="0"/>
    </ext>
  </extLst>
</worksheet>
</file>

<file path=xl/worksheets/sheet28.xml><?xml version="1.0" encoding="utf-8"?>
<worksheet xmlns="http://schemas.openxmlformats.org/spreadsheetml/2006/main" xmlns:r="http://schemas.openxmlformats.org/officeDocument/2006/relationships">
  <sheetPr published="0" codeName="Sheet153" enableFormatConditionsCalculation="0"/>
  <dimension ref="A1:BC59"/>
  <sheetViews>
    <sheetView zoomScale="80" zoomScaleNormal="80" zoomScalePageLayoutView="80" workbookViewId="0">
      <selection activeCell="BG35" sqref="BG35:BG39"/>
    </sheetView>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17"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2402</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I49-O42</f>
        <v>5</v>
      </c>
      <c r="AD7" s="89"/>
    </row>
    <row r="8" spans="2:30">
      <c r="B8" t="s">
        <v>822</v>
      </c>
      <c r="D8">
        <f>SUM(H24:H28)</f>
        <v>103</v>
      </c>
      <c r="E8" t="s">
        <v>298</v>
      </c>
      <c r="F8">
        <f>Summary!C78</f>
        <v>0.8</v>
      </c>
      <c r="AD8" s="89"/>
    </row>
    <row r="9" spans="2:30">
      <c r="B9" t="s">
        <v>823</v>
      </c>
      <c r="D9">
        <f>SUM(I24:I28)</f>
        <v>148</v>
      </c>
      <c r="AD9" s="89"/>
    </row>
    <row r="11" spans="2:30">
      <c r="B11" s="27" t="s">
        <v>516</v>
      </c>
      <c r="C11" s="28"/>
      <c r="D11" s="109">
        <f>P44</f>
        <v>9.3146739373728256</v>
      </c>
      <c r="E11" s="110" t="s">
        <v>1513</v>
      </c>
      <c r="F11" s="103"/>
    </row>
    <row r="12" spans="2:30">
      <c r="B12" s="30" t="s">
        <v>826</v>
      </c>
      <c r="C12" s="31"/>
      <c r="D12" s="112">
        <f>P46</f>
        <v>57.057004604841943</v>
      </c>
      <c r="E12" s="31"/>
      <c r="F12" s="105"/>
    </row>
    <row r="13" spans="2:30">
      <c r="B13" s="35" t="s">
        <v>825</v>
      </c>
      <c r="C13" s="36"/>
      <c r="D13" s="113">
        <f>P45</f>
        <v>5.3697776336006961E-2</v>
      </c>
      <c r="E13" s="111" t="s">
        <v>825</v>
      </c>
      <c r="F13" s="115">
        <f>Q53</f>
        <v>0.88848692500877358</v>
      </c>
    </row>
    <row r="15" spans="2:30">
      <c r="B15" s="39" t="s">
        <v>879</v>
      </c>
      <c r="C15" s="40"/>
      <c r="D15" s="41">
        <f>AH46</f>
        <v>-0.23909962409001118</v>
      </c>
      <c r="E15" s="116"/>
    </row>
    <row r="16" spans="2:30">
      <c r="B16" s="43" t="s">
        <v>1165</v>
      </c>
      <c r="C16" s="31"/>
      <c r="D16" s="33">
        <f>AH46-AH48</f>
        <v>-0.50082510262778901</v>
      </c>
      <c r="E16" s="117">
        <f>AH46+AH47</f>
        <v>2.2625854447766602E-2</v>
      </c>
    </row>
    <row r="17" spans="1:43">
      <c r="B17" s="45" t="s">
        <v>1166</v>
      </c>
      <c r="C17" s="46"/>
      <c r="D17" s="123">
        <f>M47</f>
        <v>7.3363875335871409E-2</v>
      </c>
      <c r="E17" s="118"/>
    </row>
    <row r="18" spans="1:43">
      <c r="D18" s="48"/>
      <c r="F18" s="49"/>
    </row>
    <row r="19" spans="1:43">
      <c r="B19" s="50" t="s">
        <v>1167</v>
      </c>
      <c r="C19" s="51"/>
      <c r="D19" s="52">
        <f>AH50</f>
        <v>-0.23578615326666877</v>
      </c>
      <c r="E19" s="120"/>
      <c r="F19" s="33"/>
      <c r="G19" s="31"/>
    </row>
    <row r="20" spans="1:43">
      <c r="B20" s="53" t="s">
        <v>1165</v>
      </c>
      <c r="C20" s="31"/>
      <c r="D20" s="33">
        <f>AH50-AH52</f>
        <v>-0.63931200813505451</v>
      </c>
      <c r="E20" s="121">
        <f>AH50+AH51</f>
        <v>0.167739701601717</v>
      </c>
      <c r="F20" s="31"/>
      <c r="G20" s="31"/>
    </row>
    <row r="21" spans="1:43">
      <c r="B21" s="54" t="s">
        <v>1440</v>
      </c>
      <c r="C21" s="55"/>
      <c r="D21" s="114">
        <f>M58</f>
        <v>0.25210266097214529</v>
      </c>
      <c r="E21" s="56"/>
      <c r="F21" s="119"/>
      <c r="G21" s="31"/>
      <c r="L21" s="4" t="s">
        <v>1511</v>
      </c>
      <c r="N21" s="4"/>
      <c r="O21" s="4"/>
      <c r="Q21" s="4" t="str">
        <f>IF(D6=1,F6,CONCATENATE(F6," with ",F5))</f>
        <v>Cohens Effect size with H Correction</v>
      </c>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B24">
        <v>15598548</v>
      </c>
      <c r="C24" s="1" t="str">
        <f>IF($B24="","",HYPERLINK(IF(LEN(VLOOKUP($B24,Database!$B$1:$IX$10144,2,FALSE))=0,"",VLOOKUP($B24,Database!$B$1:$IX$10144,2,FALSE))))</f>
        <v/>
      </c>
      <c r="D24" s="1" t="str">
        <f>IF($B24="","",HYPERLINK(CONCATENATE("http://www.ncbi.nlm.nih.gov/pubmed/",B24)))</f>
        <v>http://www.ncbi.nlm.nih.gov/pubmed/15598548</v>
      </c>
      <c r="E24" s="22" t="str">
        <f>IF($B24="","",IF(LEN(VLOOKUP($B24,Database!$B$1:$IX$10144,4,FALSE))=0,"",VLOOKUP($B24,Database!$B$1:$IX$10144,4,FALSE)))</f>
        <v>Caetano SC</v>
      </c>
      <c r="F24" s="22">
        <f>IF($B24="","",IF(LEN(VLOOKUP($B24,Database!$B$1:$IX$10144,5,FALSE))=0,"",VLOOKUP($B24,Database!$B$1:$IX$10144,5,FALSE)))</f>
        <v>2004</v>
      </c>
      <c r="G24" s="1" t="str">
        <f>IF($B24="","",HYPERLINK(IF(LEN(VLOOKUP($B24,Database!$B$1:$IX$10144,6,FALSE))=0,"",VLOOKUP($B24,Database!$B$1:$IX$10144,6,FALSE))))</f>
        <v>http://dx.doi.org/10.1016/j.pscychresns.2004.08.002</v>
      </c>
      <c r="H24" s="83">
        <v>10</v>
      </c>
      <c r="I24" s="22">
        <f>IF($B24="","",IF(LEN(VLOOKUP($B24,Database!$B$1:$IX$10144,8,FALSE))=0,"",VLOOKUP($B24,Database!$B$1:$IX$10144,8,FALSE)))</f>
        <v>31</v>
      </c>
      <c r="J24" t="s">
        <v>2434</v>
      </c>
      <c r="K24" t="s">
        <v>2435</v>
      </c>
      <c r="L24">
        <v>3.44</v>
      </c>
      <c r="M24">
        <v>0.54</v>
      </c>
      <c r="N24">
        <v>3.37</v>
      </c>
      <c r="O24">
        <v>0.42</v>
      </c>
      <c r="P24">
        <v>3.33</v>
      </c>
      <c r="Q24">
        <v>0.41</v>
      </c>
      <c r="R24">
        <v>3.32</v>
      </c>
      <c r="S24">
        <v>0.43</v>
      </c>
      <c r="T24">
        <f>L24+P24</f>
        <v>6.77</v>
      </c>
      <c r="U24">
        <f>2*SQRT(0.25*(M24^2+Q24^2+2*$F$8*M24*Q24))</f>
        <v>0.90218623354604566</v>
      </c>
      <c r="V24">
        <f>N24+R24</f>
        <v>6.6899999999999995</v>
      </c>
      <c r="W24">
        <f>2*SQRT(0.25*(O24^2+S24^2+2*$F$8*O24*S24))</f>
        <v>0.80638700386352946</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39.200000000000003</v>
      </c>
      <c r="AC24" s="22">
        <f>IF(OR($B24="",AC$22=""),"",IF(LEN(VLOOKUP($B24,Database!$B$1:$IX$10144,AC$22,FALSE))=0,"",VLOOKUP($B24,Database!$B$1:$IX$10144,AC$22,FALSE)))</f>
        <v>11.9</v>
      </c>
      <c r="AD24" s="22">
        <f>IF(OR($B24="",AD$22=""),"",IF(LEN(VLOOKUP($B24,Database!$B$1:$IX$10144,AD$22,FALSE))=0,"",VLOOKUP($B24,Database!$B$1:$IX$10144,AD$22,FALSE)))</f>
        <v>36.700000000000003</v>
      </c>
      <c r="AE24" s="22">
        <f>IF(OR($B24="",AE$22=""),"",IF(LEN(VLOOKUP($B24,Database!$B$1:$IX$10144,AE$22,FALSE))=0,"",VLOOKUP($B24,Database!$B$1:$IX$10144,AE$22,FALSE)))</f>
        <v>10.7</v>
      </c>
      <c r="AF24" s="22">
        <f>IF(OR($B24="",AF$22=""),"",IF(LEN(VLOOKUP($B24,Database!$B$1:$IX$10144,AF$22,FALSE))=0,"",VLOOKUP($B24,Database!$B$1:$IX$10144,AF$22,FALSE)))</f>
        <v>24</v>
      </c>
      <c r="AG24" s="22">
        <f>IF(OR($B24="",AG$22=""),"",IF(LEN(VLOOKUP($B24,Database!$B$1:$IX$10144,AG$22,FALSE))=0,"",VLOOKUP($B24,Database!$B$1:$IX$10144,AG$22,FALSE)))</f>
        <v>24</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t="str">
        <f>IF(OR($B24="",AK$22=""),"",IF(LEN(VLOOKUP($B24,Database!$B$1:$IX$10144,AK$22,FALSE))=0,"",VLOOKUP($B24,Database!$B$1:$IX$10144,AK$22,FALSE)))</f>
        <v>age of onset split into remitted and currently depressed</v>
      </c>
      <c r="AL24" s="22" t="str">
        <f>IF(OR($B24="",AL$22=""),"",IF(LEN(VLOOKUP($B24,Database!$B$1:$IX$10144,AL$22,FALSE))=0,"",VLOOKUP($B24,Database!$B$1:$IX$10144,AL$22,FALSE)))</f>
        <v>split into remitted and currently depressed</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Caetano SC, Hatch JP, Brambilla P, Sassi RB, Nicoletti M, Mallinger AG, Frank E, Kupfer DJ, Keshavan MS, Soares JC.</v>
      </c>
    </row>
    <row r="25" spans="1:43">
      <c r="A25" s="13"/>
      <c r="B25">
        <v>15119911</v>
      </c>
      <c r="C25" s="1" t="str">
        <f>IF($B25="","",HYPERLINK(IF(LEN(VLOOKUP($B25,Database!$B$1:$IX$10144,2,FALSE))=0,"",VLOOKUP($B25,Database!$B$1:$IX$10144,2,FALSE))))</f>
        <v/>
      </c>
      <c r="D25" s="1" t="str">
        <f>IF($B25="","",HYPERLINK(CONCATENATE("http://www.ncbi.nlm.nih.gov/pubmed/",B25)))</f>
        <v>http://www.ncbi.nlm.nih.gov/pubmed/15119911</v>
      </c>
      <c r="E25" s="22" t="str">
        <f>IF($B25="","",IF(LEN(VLOOKUP($B25,Database!$B$1:$IX$10144,4,FALSE))=0,"",VLOOKUP($B25,Database!$B$1:$IX$10144,4,FALSE)))</f>
        <v>Frodl T (B)</v>
      </c>
      <c r="F25" s="22">
        <f>IF($B25="","",IF(LEN(VLOOKUP($B25,Database!$B$1:$IX$10144,5,FALSE))=0,"",VLOOKUP($B25,Database!$B$1:$IX$10144,5,FALSE)))</f>
        <v>2004</v>
      </c>
      <c r="G25" s="1" t="str">
        <f>IF($B25="","",HYPERLINK(IF(LEN(VLOOKUP($B25,Database!$B$1:$IX$10144,6,FALSE))=0,"",VLOOKUP($B25,Database!$B$1:$IX$10144,6,FALSE))))</f>
        <v>http://www.psychiatrist.com/abstracts/abstracts.asp?abstract=200404/040405.htm</v>
      </c>
      <c r="H25" s="83">
        <v>18</v>
      </c>
      <c r="I25" s="22">
        <f>IF($B25="","",IF(LEN(VLOOKUP($B25,Database!$B$1:$IX$10144,8,FALSE))=0,"",VLOOKUP($B25,Database!$B$1:$IX$10144,8,FALSE)))</f>
        <v>30</v>
      </c>
      <c r="J25" s="13" t="s">
        <v>2395</v>
      </c>
      <c r="K25" s="13" t="s">
        <v>2396</v>
      </c>
      <c r="L25" s="13">
        <v>3.81</v>
      </c>
      <c r="M25" s="13">
        <v>0.21</v>
      </c>
      <c r="N25" s="13">
        <v>3.82</v>
      </c>
      <c r="O25" s="13">
        <v>0.4</v>
      </c>
      <c r="P25" s="13">
        <v>3.88</v>
      </c>
      <c r="Q25" s="13">
        <v>0.3</v>
      </c>
      <c r="R25" s="13">
        <v>3.89</v>
      </c>
      <c r="S25" s="13">
        <v>0.41</v>
      </c>
      <c r="T25">
        <f>L25+P25</f>
        <v>7.6899999999999995</v>
      </c>
      <c r="U25">
        <f>2*SQRT(0.25*(M25^2+Q25^2+2*$F$8*M25*Q25))</f>
        <v>0.48466483264210536</v>
      </c>
      <c r="V25">
        <f>N25+R25</f>
        <v>7.71</v>
      </c>
      <c r="W25">
        <f>2*SQRT(0.25*(O25^2+S25^2+2*$F$8*O25*S25))</f>
        <v>0.76843997813752507</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48.4</v>
      </c>
      <c r="AC25" s="22">
        <f>IF(OR($B25="",AC$22=""),"",IF(LEN(VLOOKUP($B25,Database!$B$1:$IX$10144,AC$22,FALSE))=0,"",VLOOKUP($B25,Database!$B$1:$IX$10144,AC$22,FALSE)))</f>
        <v>13.4</v>
      </c>
      <c r="AD25" s="22">
        <f>IF(OR($B25="",AD$22=""),"",IF(LEN(VLOOKUP($B25,Database!$B$1:$IX$10144,AD$22,FALSE))=0,"",VLOOKUP($B25,Database!$B$1:$IX$10144,AD$22,FALSE)))</f>
        <v>45.7</v>
      </c>
      <c r="AE25" s="22">
        <f>IF(OR($B25="",AE$22=""),"",IF(LEN(VLOOKUP($B25,Database!$B$1:$IX$10144,AE$22,FALSE))=0,"",VLOOKUP($B25,Database!$B$1:$IX$10144,AE$22,FALSE)))</f>
        <v>12.9</v>
      </c>
      <c r="AF25" s="22">
        <f>IF(OR($B25="",AF$22=""),"",IF(LEN(VLOOKUP($B25,Database!$B$1:$IX$10144,AF$22,FALSE))=0,"",VLOOKUP($B25,Database!$B$1:$IX$10144,AF$22,FALSE)))</f>
        <v>18</v>
      </c>
      <c r="AG25" s="22">
        <f>IF(OR($B25="",AG$22=""),"",IF(LEN(VLOOKUP($B25,Database!$B$1:$IX$10144,AG$22,FALSE))=0,"",VLOOKUP($B25,Database!$B$1:$IX$10144,AG$22,FALSE)))</f>
        <v>18</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39.299999999999997</v>
      </c>
      <c r="AL25" s="22">
        <f>IF(OR($B25="",AL$22=""),"",IF(LEN(VLOOKUP($B25,Database!$B$1:$IX$10144,AL$22,FALSE))=0,"",VLOOKUP($B25,Database!$B$1:$IX$10144,AL$22,FALSE)))</f>
        <v>23.7</v>
      </c>
      <c r="AM25" s="22" t="str">
        <f>IF(OR($B25="",AM$22=""),"",IF(LEN(VLOOKUP($B25,Database!$B$1:$IX$10144,AM$22,FALSE))=0,"",VLOOKUP($B25,Database!$B$1:$IX$10144,AM$22,FALSE)))</f>
        <v>ns</v>
      </c>
      <c r="AN25" s="22">
        <f>IF(OR($B25="",AN$22=""),"",IF(LEN(VLOOKUP($B25,Database!$B$1:$IX$10144,AN$22,FALSE))=0,"",VLOOKUP($B25,Database!$B$1:$IX$10144,AN$22,FALSE)))</f>
        <v>23.333333333333332</v>
      </c>
      <c r="AO25" s="22" t="str">
        <f>IF(OR($B25="",AO$22=""),"",IF(LEN(VLOOKUP($B25,Database!$B$1:$IX$10144,AO$22,FALSE))=0,"",VLOOKUP($B25,Database!$B$1:$IX$10144,AO$22,FALSE)))</f>
        <v>ns</v>
      </c>
      <c r="AP25" s="22">
        <f>IF(OR($B25="",AP$22=""),"",IF(LEN(VLOOKUP($B25,Database!$B$1:$IX$10144,AP$22,FALSE))=0,"",VLOOKUP($B25,Database!$B$1:$IX$10144,AP$22,FALSE)))</f>
        <v>6.666666666666667</v>
      </c>
      <c r="AQ25" s="22" t="str">
        <f>IF(OR($B25="",AQ$22=""),"",IF(LEN(VLOOKUP($B25,Database!$B$1:$IX$10144,AQ$22,FALSE))=0,"",VLOOKUP($B25,Database!$B$1:$IX$10144,AQ$22,FALSE)))</f>
        <v>Frodl T, Meisenzahl EM, Zetzsche T, Hohne T, Banac S, Schorr C, Jager M, Leinsinger G, Bottlender R, Reiser M, Moller HJ.</v>
      </c>
    </row>
    <row r="26" spans="1:43">
      <c r="B26">
        <v>18068956</v>
      </c>
      <c r="C26" s="1" t="str">
        <f>IF($B26="","",HYPERLINK(IF(LEN(VLOOKUP($B26,Database!$B$1:$IX$10144,2,FALSE))=0,"",VLOOKUP($B26,Database!$B$1:$IX$10144,2,FALSE))))</f>
        <v/>
      </c>
      <c r="D26" s="1" t="str">
        <f>IF($B26="","",HYPERLINK(CONCATENATE("http://www.ncbi.nlm.nih.gov/pubmed/",B26)))</f>
        <v>http://www.ncbi.nlm.nih.gov/pubmed/18068956</v>
      </c>
      <c r="E26" s="22" t="str">
        <f>IF($B26="","",IF(LEN(VLOOKUP($B26,Database!$B$1:$IX$10144,4,FALSE))=0,"",VLOOKUP($B26,Database!$B$1:$IX$10144,4,FALSE)))</f>
        <v>Lenze SN</v>
      </c>
      <c r="F26" s="22">
        <f>IF($B26="","",IF(LEN(VLOOKUP($B26,Database!$B$1:$IX$10144,5,FALSE))=0,"",VLOOKUP($B26,Database!$B$1:$IX$10144,5,FALSE)))</f>
        <v>2008</v>
      </c>
      <c r="G26" s="1" t="str">
        <f>IF($B26="","",HYPERLINK(IF(LEN(VLOOKUP($B26,Database!$B$1:$IX$10144,6,FALSE))=0,"",VLOOKUP($B26,Database!$B$1:$IX$10144,6,FALSE))))</f>
        <v>http://dx.doi.org/10.1016/j.pscychresns.2007.04.004</v>
      </c>
      <c r="H26" s="22">
        <f>IF($B26="","",IF(LEN(VLOOKUP($B26,Database!$B$1:$IX$10144,7,FALSE))=0,"",VLOOKUP($B26,Database!$B$1:$IX$10144,7,FALSE)))</f>
        <v>31</v>
      </c>
      <c r="I26" s="22">
        <f>IF($B26="","",IF(LEN(VLOOKUP($B26,Database!$B$1:$IX$10144,8,FALSE))=0,"",VLOOKUP($B26,Database!$B$1:$IX$10144,8,FALSE)))</f>
        <v>24</v>
      </c>
      <c r="J26" s="163" t="s">
        <v>2398</v>
      </c>
      <c r="K26" s="13" t="s">
        <v>2399</v>
      </c>
      <c r="L26">
        <v>2169</v>
      </c>
      <c r="M26">
        <v>311</v>
      </c>
      <c r="N26">
        <v>2482</v>
      </c>
      <c r="O26">
        <v>305</v>
      </c>
      <c r="P26">
        <v>2171</v>
      </c>
      <c r="Q26">
        <v>326</v>
      </c>
      <c r="R26">
        <v>2468</v>
      </c>
      <c r="S26">
        <v>309</v>
      </c>
      <c r="T26">
        <v>4340</v>
      </c>
      <c r="U26">
        <v>606</v>
      </c>
      <c r="V26">
        <v>4951</v>
      </c>
      <c r="W26">
        <v>601</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50</v>
      </c>
      <c r="AC26" s="22">
        <f>IF(OR($B26="",AC$22=""),"",IF(LEN(VLOOKUP($B26,Database!$B$1:$IX$10144,AC$22,FALSE))=0,"",VLOOKUP($B26,Database!$B$1:$IX$10144,AC$22,FALSE)))</f>
        <v>15</v>
      </c>
      <c r="AD26" s="22">
        <f>IF(OR($B26="",AD$22=""),"",IF(LEN(VLOOKUP($B26,Database!$B$1:$IX$10144,AD$22,FALSE))=0,"",VLOOKUP($B26,Database!$B$1:$IX$10144,AD$22,FALSE)))</f>
        <v>46</v>
      </c>
      <c r="AE26" s="22">
        <f>IF(OR($B26="",AE$22=""),"",IF(LEN(VLOOKUP($B26,Database!$B$1:$IX$10144,AE$22,FALSE))=0,"",VLOOKUP($B26,Database!$B$1:$IX$10144,AE$22,FALSE)))</f>
        <v>14</v>
      </c>
      <c r="AF26" s="22">
        <f>IF(OR($B26="",AF$22=""),"",IF(LEN(VLOOKUP($B26,Database!$B$1:$IX$10144,AF$22,FALSE))=0,"",VLOOKUP($B26,Database!$B$1:$IX$10144,AF$22,FALSE)))</f>
        <v>31</v>
      </c>
      <c r="AG26" s="22">
        <f>IF(OR($B26="",AG$22=""),"",IF(LEN(VLOOKUP($B26,Database!$B$1:$IX$10144,AG$22,FALSE))=0,"",VLOOKUP($B26,Database!$B$1:$IX$10144,AG$22,FALSE)))</f>
        <v>24</v>
      </c>
      <c r="AH26" s="22">
        <f>IF(OR($B26="",AH$22=""),"",IF(LEN(VLOOKUP($B26,Database!$B$1:$IX$10144,AH$22,FALSE))=0,"",VLOOKUP($B26,Database!$B$1:$IX$10144,AH$22,FALSE)))</f>
        <v>1.5</v>
      </c>
      <c r="AI26" s="22">
        <f>IF(OR($B26="",AI$22=""),"",IF(LEN(VLOOKUP($B26,Database!$B$1:$IX$10144,AI$22,FALSE))=0,"",VLOOKUP($B26,Database!$B$1:$IX$10144,AI$22,FALSE)))</f>
        <v>1.25</v>
      </c>
      <c r="AJ26" s="22" t="str">
        <f>IF(OR($B26="",AJ$22=""),"",IF(LEN(VLOOKUP($B26,Database!$B$1:$IX$10144,AJ$22,FALSE))=0,"",VLOOKUP($B26,Database!$B$1:$IX$10144,AJ$22,FALSE)))</f>
        <v/>
      </c>
      <c r="AK26" s="22">
        <f>IF(OR($B26="",AK$22=""),"",IF(LEN(VLOOKUP($B26,Database!$B$1:$IX$10144,AK$22,FALSE))=0,"",VLOOKUP($B26,Database!$B$1:$IX$10144,AK$22,FALSE)))</f>
        <v>29</v>
      </c>
      <c r="AL26" s="22">
        <f>IF(OR($B26="",AL$22=""),"",IF(LEN(VLOOKUP($B26,Database!$B$1:$IX$10144,AL$22,FALSE))=0,"",VLOOKUP($B26,Database!$B$1:$IX$10144,AL$22,FALSE)))</f>
        <v>7</v>
      </c>
      <c r="AM26" s="22">
        <f>IF(OR($B26="",AM$22=""),"",IF(LEN(VLOOKUP($B26,Database!$B$1:$IX$10144,AM$22,FALSE))=0,"",VLOOKUP($B26,Database!$B$1:$IX$10144,AM$22,FALSE)))</f>
        <v>77.41935483870968</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Lenze SN, Xiong C, Sheline YI.</v>
      </c>
    </row>
    <row r="27" spans="1:43">
      <c r="B27">
        <v>18350172</v>
      </c>
      <c r="C27" s="1" t="str">
        <f>IF($B27="","",HYPERLINK(IF(LEN(VLOOKUP($B27,Database!$B$1:$IX$10144,2,FALSE))=0,"",VLOOKUP($B27,Database!$B$1:$IX$10144,2,FALSE))))</f>
        <v/>
      </c>
      <c r="D27" s="1" t="str">
        <f>IF($B27="","",HYPERLINK(CONCATENATE("http://www.ncbi.nlm.nih.gov/pubmed/",B27)))</f>
        <v>http://www.ncbi.nlm.nih.gov/pubmed/18350172</v>
      </c>
      <c r="E27" s="22" t="str">
        <f>IF($B27="","",IF(LEN(VLOOKUP($B27,Database!$B$1:$IX$10144,4,FALSE))=0,"",VLOOKUP($B27,Database!$B$1:$IX$10144,4,FALSE)))</f>
        <v>Zhao Z</v>
      </c>
      <c r="F27" s="22">
        <f>IF($B27="","",IF(LEN(VLOOKUP($B27,Database!$B$1:$IX$10144,5,FALSE))=0,"",VLOOKUP($B27,Database!$B$1:$IX$10144,5,FALSE)))</f>
        <v>2008</v>
      </c>
      <c r="G27" s="1" t="str">
        <f>IF($B27="","",HYPERLINK(IF(LEN(VLOOKUP($B27,Database!$B$1:$IX$10144,6,FALSE))=0,"",VLOOKUP($B27,Database!$B$1:$IX$10144,6,FALSE))))</f>
        <v>http://www.plosone.org/article/info:doi/10.1371/journal.pone.0001837</v>
      </c>
      <c r="H27" s="83">
        <v>24</v>
      </c>
      <c r="I27" s="22">
        <f>IF($B27="","",IF(LEN(VLOOKUP($B27,Database!$B$1:$IX$10144,8,FALSE))=0,"",VLOOKUP($B27,Database!$B$1:$IX$10144,8,FALSE)))</f>
        <v>43</v>
      </c>
      <c r="J27" s="163" t="s">
        <v>2400</v>
      </c>
      <c r="K27" s="163" t="s">
        <v>2401</v>
      </c>
      <c r="L27">
        <v>3.51</v>
      </c>
      <c r="M27">
        <v>0.62</v>
      </c>
      <c r="N27">
        <v>3.55</v>
      </c>
      <c r="O27">
        <v>0.48</v>
      </c>
      <c r="P27">
        <v>3.72</v>
      </c>
      <c r="Q27">
        <v>0.59</v>
      </c>
      <c r="R27">
        <v>3.65</v>
      </c>
      <c r="S27">
        <v>0.55000000000000004</v>
      </c>
      <c r="T27">
        <f>L27+P27</f>
        <v>7.23</v>
      </c>
      <c r="U27">
        <f>2*SQRT(0.25*(M27^2+Q27^2+2*$F$8*M27*Q27))</f>
        <v>1.1479459917609365</v>
      </c>
      <c r="V27">
        <f>N27+R27</f>
        <v>7.1999999999999993</v>
      </c>
      <c r="W27">
        <f>2*SQRT(0.25*(O27^2+S27^2+2*$F$8*O27*S27))</f>
        <v>0.97739449558507341</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65.900000000000006</v>
      </c>
      <c r="AC27" s="22">
        <f>IF(OR($B27="",AC$22=""),"",IF(LEN(VLOOKUP($B27,Database!$B$1:$IX$10144,AC$22,FALSE))=0,"",VLOOKUP($B27,Database!$B$1:$IX$10144,AC$22,FALSE)))</f>
        <v>5.5</v>
      </c>
      <c r="AD27" s="22">
        <f>IF(OR($B27="",AD$22=""),"",IF(LEN(VLOOKUP($B27,Database!$B$1:$IX$10144,AD$22,FALSE))=0,"",VLOOKUP($B27,Database!$B$1:$IX$10144,AD$22,FALSE)))</f>
        <v>69</v>
      </c>
      <c r="AE27" s="22">
        <f>IF(OR($B27="",AE$22=""),"",IF(LEN(VLOOKUP($B27,Database!$B$1:$IX$10144,AE$22,FALSE))=0,"",VLOOKUP($B27,Database!$B$1:$IX$10144,AE$22,FALSE)))</f>
        <v>5.5</v>
      </c>
      <c r="AF27" s="22">
        <f>IF(OR($B27="",AF$22=""),"",IF(LEN(VLOOKUP($B27,Database!$B$1:$IX$10144,AF$22,FALSE))=0,"",VLOOKUP($B27,Database!$B$1:$IX$10144,AF$22,FALSE)))</f>
        <v>37</v>
      </c>
      <c r="AG27" s="22">
        <f>IF(OR($B27="",AG$22=""),"",IF(LEN(VLOOKUP($B27,Database!$B$1:$IX$10144,AG$22,FALSE))=0,"",VLOOKUP($B27,Database!$B$1:$IX$10144,AG$22,FALSE)))</f>
        <v>29</v>
      </c>
      <c r="AH27" s="22">
        <f>IF(OR($B27="",AH$22=""),"",IF(LEN(VLOOKUP($B27,Database!$B$1:$IX$10144,AH$22,FALSE))=0,"",VLOOKUP($B27,Database!$B$1:$IX$10144,AH$22,FALSE)))</f>
        <v>3</v>
      </c>
      <c r="AI27" s="22">
        <f>IF(OR($B27="",AI$22=""),"",IF(LEN(VLOOKUP($B27,Database!$B$1:$IX$10144,AI$22,FALSE))=0,"",VLOOKUP($B27,Database!$B$1:$IX$10144,AI$22,FALSE)))</f>
        <v>1</v>
      </c>
      <c r="AJ27" s="22" t="str">
        <f>IF(OR($B27="",AJ$22=""),"",IF(LEN(VLOOKUP($B27,Database!$B$1:$IX$10144,AJ$22,FALSE))=0,"",VLOOKUP($B27,Database!$B$1:$IX$10144,AJ$22,FALSE)))</f>
        <v/>
      </c>
      <c r="AK27" s="22">
        <f>IF(OR($B27="",AK$22=""),"",IF(LEN(VLOOKUP($B27,Database!$B$1:$IX$10144,AK$22,FALSE))=0,"",VLOOKUP($B27,Database!$B$1:$IX$10144,AK$22,FALSE)))</f>
        <v>39.299999999999997</v>
      </c>
      <c r="AL27" s="22" t="str">
        <f>IF(OR($B27="",AL$22=""),"",IF(LEN(VLOOKUP($B27,Database!$B$1:$IX$10144,AL$22,FALSE))=0,"",VLOOKUP($B27,Database!$B$1:$IX$10144,AL$22,FALSE)))</f>
        <v>ns</v>
      </c>
      <c r="AM27" s="22">
        <f>IF(OR($B27="",AM$22=""),"",IF(LEN(VLOOKUP($B27,Database!$B$1:$IX$10144,AM$22,FALSE))=0,"",VLOOKUP($B27,Database!$B$1:$IX$10144,AM$22,FALSE)))</f>
        <v>88.52459016393442</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Zhao Z, Taylor WD, Styner M, Steffens DC, Krishnan KR, MacFall JR.</v>
      </c>
    </row>
    <row r="28" spans="1:43">
      <c r="B28">
        <v>19028381</v>
      </c>
      <c r="C28" s="1" t="str">
        <f>IF($B28="","",HYPERLINK(IF(LEN(VLOOKUP($B28,Database!$B$1:$IX$10144,2,FALSE))=0,"",VLOOKUP($B28,Database!$B$1:$IX$10144,2,FALSE))))</f>
        <v/>
      </c>
      <c r="D28" s="1" t="str">
        <f>IF($B28="","",HYPERLINK(CONCATENATE("http://www.ncbi.nlm.nih.gov/pubmed/",B28)))</f>
        <v>http://www.ncbi.nlm.nih.gov/pubmed/19028381</v>
      </c>
      <c r="E28" s="22" t="str">
        <f>IF($B28="","",IF(LEN(VLOOKUP($B28,Database!$B$1:$IX$10144,4,FALSE))=0,"",VLOOKUP($B28,Database!$B$1:$IX$10144,4,FALSE)))</f>
        <v>van Eijndhoven P</v>
      </c>
      <c r="F28" s="22">
        <f>IF($B28="","",IF(LEN(VLOOKUP($B28,Database!$B$1:$IX$10144,5,FALSE))=0,"",VLOOKUP($B28,Database!$B$1:$IX$10144,5,FALSE)))</f>
        <v>2009</v>
      </c>
      <c r="G28" s="1" t="str">
        <f>IF($B28="","",HYPERLINK(IF(LEN(VLOOKUP($B28,Database!$B$1:$IX$10144,6,FALSE))=0,"",VLOOKUP($B28,Database!$B$1:$IX$10144,6,FALSE))))</f>
        <v>http://dx.doi.org/10.1016/j.biopsych.2008.10.027</v>
      </c>
      <c r="H28" s="83">
        <v>20</v>
      </c>
      <c r="I28" s="22">
        <f>IF($B28="","",IF(LEN(VLOOKUP($B28,Database!$B$1:$IX$10144,8,FALSE))=0,"",VLOOKUP($B28,Database!$B$1:$IX$10144,8,FALSE)))</f>
        <v>20</v>
      </c>
      <c r="J28" s="163" t="s">
        <v>1379</v>
      </c>
      <c r="K28" s="163" t="s">
        <v>210</v>
      </c>
      <c r="L28">
        <v>3600</v>
      </c>
      <c r="M28">
        <v>360</v>
      </c>
      <c r="N28">
        <v>3716</v>
      </c>
      <c r="O28">
        <v>364</v>
      </c>
      <c r="P28">
        <v>3815</v>
      </c>
      <c r="Q28">
        <v>459</v>
      </c>
      <c r="R28">
        <v>3881</v>
      </c>
      <c r="S28">
        <v>429</v>
      </c>
      <c r="T28">
        <f>L28+P28</f>
        <v>7415</v>
      </c>
      <c r="U28">
        <f>2*SQRT(0.25*(M28^2+Q28^2+2*$F$8*M28*Q28))</f>
        <v>777.60208333054254</v>
      </c>
      <c r="V28">
        <f>N28+R28</f>
        <v>7597</v>
      </c>
      <c r="W28">
        <f>2*SQRT(0.25*(O28^2+S28^2+2*$F$8*O28*S28))</f>
        <v>752.5866063118583</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f>IF(OR($B28="",AD$22=""),"",IF(LEN(VLOOKUP($B28,Database!$B$1:$IX$10144,AD$22,FALSE))=0,"",VLOOKUP($B28,Database!$B$1:$IX$10144,AD$22,FALSE)))</f>
        <v>37.299999999999997</v>
      </c>
      <c r="AE28" s="22">
        <f>IF(OR($B28="",AE$22=""),"",IF(LEN(VLOOKUP($B28,Database!$B$1:$IX$10144,AE$22,FALSE))=0,"",VLOOKUP($B28,Database!$B$1:$IX$10144,AE$22,FALSE)))</f>
        <v>12.7</v>
      </c>
      <c r="AF28" s="22">
        <f>IF(OR($B28="",AF$22=""),"",IF(LEN(VLOOKUP($B28,Database!$B$1:$IX$10144,AF$22,FALSE))=0,"",VLOOKUP($B28,Database!$B$1:$IX$10144,AF$22,FALSE)))</f>
        <v>27</v>
      </c>
      <c r="AG28" s="22">
        <f>IF(OR($B28="",AG$22=""),"",IF(LEN(VLOOKUP($B28,Database!$B$1:$IX$10144,AG$22,FALSE))=0,"",VLOOKUP($B28,Database!$B$1:$IX$10144,AG$22,FALSE)))</f>
        <v>13</v>
      </c>
      <c r="AH28" s="22">
        <f>IF(OR($B28="",AH$22=""),"",IF(LEN(VLOOKUP($B28,Database!$B$1:$IX$10144,AH$22,FALSE))=0,"",VLOOKUP($B28,Database!$B$1:$IX$10144,AH$22,FALSE)))</f>
        <v>1.5</v>
      </c>
      <c r="AI28" s="22">
        <f>IF(OR($B28="",AI$22=""),"",IF(LEN(VLOOKUP($B28,Database!$B$1:$IX$10144,AI$22,FALSE))=0,"",VLOOKUP($B28,Database!$B$1:$IX$10144,AI$22,FALSE)))</f>
        <v>1</v>
      </c>
      <c r="AJ28" s="22" t="str">
        <f>IF(OR($B28="",AJ$22=""),"",IF(LEN(VLOOKUP($B28,Database!$B$1:$IX$10144,AJ$22,FALSE))=0,"",VLOOKUP($B28,Database!$B$1:$IX$10144,AJ$22,FALSE)))</f>
        <v/>
      </c>
      <c r="AK28" s="22" t="str">
        <f>IF(OR($B28="",AK$22=""),"",IF(LEN(VLOOKUP($B28,Database!$B$1:$IX$10144,AK$22,FALSE))=0,"",VLOOKUP($B28,Database!$B$1:$IX$10144,AK$22,FALSE)))</f>
        <v>split depending on current depression or previous depression</v>
      </c>
      <c r="AL28" s="22" t="str">
        <f>IF(OR($B28="",AL$22=""),"",IF(LEN(VLOOKUP($B28,Database!$B$1:$IX$10144,AL$22,FALSE))=0,"",VLOOKUP($B28,Database!$B$1:$IX$10144,AL$22,FALSE)))</f>
        <v>split depending on current depression or previous depression</v>
      </c>
      <c r="AM28" s="22">
        <f>IF(OR($B28="",AM$22=""),"",IF(LEN(VLOOKUP($B28,Database!$B$1:$IX$10144,AM$22,FALSE))=0,"",VLOOKUP($B28,Database!$B$1:$IX$10144,AM$22,FALSE)))</f>
        <v>0</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van Eijndhoven P, van Wingen G, van Oijen K, Rijpkema M, Goraj B, Jan Verkes R, Oude Voshaar R, Fernández G, Buitelaar J, Tendolkar I.</v>
      </c>
    </row>
    <row r="29" spans="1:43">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43">
      <c r="A30" s="4" t="s">
        <v>2011</v>
      </c>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43">
      <c r="A31" s="10" t="s">
        <v>2397</v>
      </c>
      <c r="B31">
        <v>18787661</v>
      </c>
      <c r="C31" s="1" t="str">
        <f>IF($B31="","",HYPERLINK(IF(LEN(VLOOKUP($B31,Database!$B$1:$IX$10144,2,FALSE))=0,"",VLOOKUP($B31,Database!$B$1:$IX$10144,2,FALSE))))</f>
        <v/>
      </c>
      <c r="D31" s="1" t="str">
        <f>IF($B31="","",HYPERLINK(CONCATENATE("http://www.ncbi.nlm.nih.gov/pubmed/",B31)))</f>
        <v>http://www.ncbi.nlm.nih.gov/pubmed/18787661</v>
      </c>
      <c r="E31" s="22" t="str">
        <f>IF($B31="","",IF(LEN(VLOOKUP($B31,Database!$B$1:$IX$10144,4,FALSE))=0,"",VLOOKUP($B31,Database!$B$1:$IX$10144,4,FALSE)))</f>
        <v>Frodl T (C)</v>
      </c>
      <c r="F31" s="22">
        <f>IF($B31="","",IF(LEN(VLOOKUP($B31,Database!$B$1:$IX$10144,5,FALSE))=0,"",VLOOKUP($B31,Database!$B$1:$IX$10144,5,FALSE)))</f>
        <v>2008</v>
      </c>
      <c r="G31" s="1" t="str">
        <f>IF($B31="","",HYPERLINK(IF(LEN(VLOOKUP($B31,Database!$B$1:$IX$10144,6,FALSE))=0,"",VLOOKUP($B31,Database!$B$1:$IX$10144,6,FALSE))))</f>
        <v>http://www.cma.ca/multimedia/staticContent/HTML/N0/l2/jpn/vol-33/issue-5/pdf/pg423.pdf</v>
      </c>
      <c r="H31" s="22">
        <f>IF($B31="","",IF(LEN(VLOOKUP($B31,Database!$B$1:$IX$10144,7,FALSE))=0,"",VLOOKUP($B31,Database!$B$1:$IX$10144,7,FALSE)))</f>
        <v>30</v>
      </c>
      <c r="I31" s="22">
        <f>IF($B31="","",IF(LEN(VLOOKUP($B31,Database!$B$1:$IX$10144,8,FALSE))=0,"",VLOOKUP($B31,Database!$B$1:$IX$10144,8,FALSE)))</f>
        <v>30</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45</v>
      </c>
      <c r="AC31" s="22">
        <f>IF(OR($B31="",AC$22=""),"",IF(LEN(VLOOKUP($B31,Database!$B$1:$IX$10144,AC$22,FALSE))=0,"",VLOOKUP($B31,Database!$B$1:$IX$10144,AC$22,FALSE)))</f>
        <v>11.1</v>
      </c>
      <c r="AD31" s="22">
        <f>IF(OR($B31="",AD$22=""),"",IF(LEN(VLOOKUP($B31,Database!$B$1:$IX$10144,AD$22,FALSE))=0,"",VLOOKUP($B31,Database!$B$1:$IX$10144,AD$22,FALSE)))</f>
        <v>43.6</v>
      </c>
      <c r="AE31" s="22">
        <f>IF(OR($B31="",AE$22=""),"",IF(LEN(VLOOKUP($B31,Database!$B$1:$IX$10144,AE$22,FALSE))=0,"",VLOOKUP($B31,Database!$B$1:$IX$10144,AE$22,FALSE)))</f>
        <v>13.1</v>
      </c>
      <c r="AF31" s="22">
        <f>IF(OR($B31="",AF$22=""),"",IF(LEN(VLOOKUP($B31,Database!$B$1:$IX$10144,AF$22,FALSE))=0,"",VLOOKUP($B31,Database!$B$1:$IX$10144,AF$22,FALSE)))</f>
        <v>19</v>
      </c>
      <c r="AG31" s="22">
        <f>IF(OR($B31="",AG$22=""),"",IF(LEN(VLOOKUP($B31,Database!$B$1:$IX$10144,AG$22,FALSE))=0,"",VLOOKUP($B31,Database!$B$1:$IX$10144,AG$22,FALSE)))</f>
        <v>19</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f>IF(OR($B31="",AK$22=""),"",IF(LEN(VLOOKUP($B31,Database!$B$1:$IX$10144,AK$22,FALSE))=0,"",VLOOKUP($B31,Database!$B$1:$IX$10144,AK$22,FALSE)))</f>
        <v>39.299999999999997</v>
      </c>
      <c r="AL31" s="22">
        <f>IF(OR($B31="",AL$22=""),"",IF(LEN(VLOOKUP($B31,Database!$B$1:$IX$10144,AL$22,FALSE))=0,"",VLOOKUP($B31,Database!$B$1:$IX$10144,AL$22,FALSE)))</f>
        <v>24</v>
      </c>
      <c r="AM31" s="22">
        <f>IF(OR($B31="",AM$22=""),"",IF(LEN(VLOOKUP($B31,Database!$B$1:$IX$10144,AM$22,FALSE))=0,"",VLOOKUP($B31,Database!$B$1:$IX$10144,AM$22,FALSE)))</f>
        <v>96.666666666666671</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Frodl T, Jäger M, Smajstrlova I, Born C, Bottlender R, Palladino T, Reiser M, Möller HJ, Meisenzahl EM.</v>
      </c>
    </row>
    <row r="32" spans="1:43">
      <c r="A32" s="4"/>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5:55">
      <c r="I33" s="22" t="str">
        <f>IF($B33="","",IF(LEN(VLOOKUP($B33,Database!$B$1:$IX$10144,8,FALSE))=0,"",VLOOKUP($B33,Database!$B$1:$IX$10144,8,FALSE)))</f>
        <v/>
      </c>
      <c r="AF33" t="s">
        <v>602</v>
      </c>
      <c r="AJ33" t="s">
        <v>329</v>
      </c>
      <c r="AN33" t="s">
        <v>330</v>
      </c>
    </row>
    <row r="34" spans="5:55" ht="45" customHeight="1">
      <c r="E34" s="60" t="s">
        <v>617</v>
      </c>
      <c r="F34" s="60" t="s">
        <v>740</v>
      </c>
      <c r="G34" s="60" t="s">
        <v>244</v>
      </c>
      <c r="H34" s="60" t="s">
        <v>245</v>
      </c>
      <c r="I34" s="60" t="s">
        <v>246</v>
      </c>
      <c r="J34" s="60" t="s">
        <v>593</v>
      </c>
      <c r="K34" s="60" t="s">
        <v>1039</v>
      </c>
      <c r="L34" s="60" t="s">
        <v>594</v>
      </c>
      <c r="M34" s="60" t="s">
        <v>1299</v>
      </c>
      <c r="N34" s="61" t="s">
        <v>595</v>
      </c>
      <c r="O34" s="61" t="s">
        <v>596</v>
      </c>
      <c r="P34" s="61" t="s">
        <v>597</v>
      </c>
      <c r="Q34" s="61" t="s">
        <v>598</v>
      </c>
      <c r="R34" s="61" t="s">
        <v>599</v>
      </c>
      <c r="S34" s="61" t="s">
        <v>600</v>
      </c>
      <c r="T34" s="61" t="s">
        <v>601</v>
      </c>
      <c r="U34" s="61" t="s">
        <v>484</v>
      </c>
      <c r="V34" s="61" t="s">
        <v>485</v>
      </c>
      <c r="W34" s="61" t="s">
        <v>486</v>
      </c>
      <c r="AF34" s="61" t="s">
        <v>1517</v>
      </c>
      <c r="AG34" s="62" t="s">
        <v>834</v>
      </c>
      <c r="AH34" s="62" t="s">
        <v>835</v>
      </c>
      <c r="AJ34" s="61" t="s">
        <v>836</v>
      </c>
      <c r="AK34" s="61" t="s">
        <v>837</v>
      </c>
      <c r="AL34" s="61" t="s">
        <v>487</v>
      </c>
      <c r="AN34" t="s">
        <v>488</v>
      </c>
      <c r="AO34" t="s">
        <v>489</v>
      </c>
      <c r="AP34" t="s">
        <v>490</v>
      </c>
      <c r="AQ34" t="s">
        <v>491</v>
      </c>
      <c r="AR34" t="s">
        <v>492</v>
      </c>
      <c r="AS34" t="s">
        <v>493</v>
      </c>
      <c r="AT34" t="s">
        <v>494</v>
      </c>
      <c r="AU34" t="s">
        <v>495</v>
      </c>
      <c r="AV34" t="s">
        <v>496</v>
      </c>
      <c r="AW34" t="s">
        <v>497</v>
      </c>
      <c r="AX34" t="s">
        <v>498</v>
      </c>
      <c r="AY34" t="s">
        <v>499</v>
      </c>
    </row>
    <row r="35" spans="5:55">
      <c r="E35" t="str">
        <f t="shared" ref="E35:F39" si="0">E24</f>
        <v>Caetano SC</v>
      </c>
      <c r="F35">
        <f t="shared" si="0"/>
        <v>2004</v>
      </c>
      <c r="G35">
        <v>5</v>
      </c>
      <c r="H35">
        <f t="shared" ref="H35:I39" si="1">H24</f>
        <v>10</v>
      </c>
      <c r="I35">
        <f t="shared" si="1"/>
        <v>31</v>
      </c>
      <c r="J35">
        <f t="shared" ref="J35:M39" si="2">IF($D$4="Total",T24,IF($D$4="Left",L24,IF($D$4="Right",P24,"error")))</f>
        <v>6.77</v>
      </c>
      <c r="K35">
        <f t="shared" si="2"/>
        <v>0.90218623354604566</v>
      </c>
      <c r="L35">
        <f t="shared" si="2"/>
        <v>6.6899999999999995</v>
      </c>
      <c r="M35">
        <f t="shared" si="2"/>
        <v>0.80638700386352946</v>
      </c>
      <c r="N35">
        <f>IF($D$3=1,SQRT((((I35-1)*(M35)^2)+((H35-1)*(K35)^2))/(H35+I35-2)),M35)</f>
        <v>0.8294771290953763</v>
      </c>
      <c r="O35" s="59">
        <f>IF($D$6=1,LN(J35/L35),IF($D$5=1,(1-3/(4*(H35+I35)-9))*((J35-L35)/N35),(J35-L35)/N35))</f>
        <v>9.4579597376946142E-2</v>
      </c>
      <c r="P35" s="63">
        <f>IF($D$6=1,(K35^2)/(H35*J35^2)+(M35^2)/(I35*L35^2),(IF($D$5=1,((H35+I35)/(H35*I35))+(O35*O35)/(2*(H35+I35-3.94)),((H35+I35)/(H35*I35))+((O35^2)/(2*(H35+I35-2))))))</f>
        <v>0.1323787512435978</v>
      </c>
      <c r="Q35" s="59">
        <f>$R$56*SQRT(P35)</f>
        <v>0.71312426040445809</v>
      </c>
      <c r="R35" s="59">
        <f>1/P35</f>
        <v>7.5540824385013439</v>
      </c>
      <c r="S35" s="59">
        <f>O35*R35</f>
        <v>0.71446207558571662</v>
      </c>
      <c r="T35" s="59">
        <f>R35*(O35^2)</f>
        <v>6.7573535449994337E-2</v>
      </c>
      <c r="U35" s="23">
        <f>R35^2</f>
        <v>57.064161487674411</v>
      </c>
      <c r="V35" s="59">
        <f>1/((1/R35)+$I$53)</f>
        <v>3.9616791786353978</v>
      </c>
      <c r="W35" s="59">
        <f>V35*O35</f>
        <v>0.37469402165196664</v>
      </c>
      <c r="AF35" s="59">
        <f>IF($D$6=1,100*((EXP(O35))-1),O35)</f>
        <v>9.4579597376946142E-2</v>
      </c>
      <c r="AG35" s="59">
        <f>IF($D$6=1,100*(EXP(O35+Q35)-EXP(O35)),Q35)</f>
        <v>0.71312426040445809</v>
      </c>
      <c r="AH35" s="59">
        <f>IF($D$6=1,100*(EXP(O35)-EXP(O35-Q35)),Q35)</f>
        <v>0.71312426040445809</v>
      </c>
      <c r="AJ35">
        <f>SQRT(P35)</f>
        <v>0.36383890836962146</v>
      </c>
      <c r="AK35">
        <f>1/AJ35</f>
        <v>2.7484691081584569</v>
      </c>
      <c r="AL35">
        <f>O35/AJ35</f>
        <v>0.2599491016526011</v>
      </c>
      <c r="AN35" t="str">
        <f t="shared" ref="AN35:AO39" si="3">E35</f>
        <v>Caetano SC</v>
      </c>
      <c r="AO35">
        <f t="shared" si="3"/>
        <v>2004</v>
      </c>
      <c r="AP35" t="str">
        <f>CONCATENATE(AN35," ",AO35)</f>
        <v>Caetano SC 2004</v>
      </c>
      <c r="AQ35">
        <f>INT(H35)</f>
        <v>10</v>
      </c>
      <c r="AR35">
        <f t="shared" ref="AR35:AS39" si="4">J35</f>
        <v>6.77</v>
      </c>
      <c r="AS35">
        <f t="shared" si="4"/>
        <v>0.90218623354604566</v>
      </c>
      <c r="AT35">
        <f>INT(I35)</f>
        <v>31</v>
      </c>
      <c r="AU35">
        <f t="shared" ref="AU35:AV39" si="5">L35</f>
        <v>6.6899999999999995</v>
      </c>
      <c r="AV35">
        <f t="shared" si="5"/>
        <v>0.80638700386352946</v>
      </c>
      <c r="AW35" s="65">
        <f>O35</f>
        <v>9.4579597376946142E-2</v>
      </c>
      <c r="AX35">
        <f>SQRT(P35)</f>
        <v>0.36383890836962146</v>
      </c>
      <c r="AY35" t="str">
        <f>$F$4</f>
        <v>Total</v>
      </c>
      <c r="BC35" s="23"/>
    </row>
    <row r="36" spans="5:55">
      <c r="E36" t="str">
        <f t="shared" si="0"/>
        <v>Frodl T (B)</v>
      </c>
      <c r="F36">
        <f t="shared" si="0"/>
        <v>2004</v>
      </c>
      <c r="G36">
        <v>4</v>
      </c>
      <c r="H36">
        <f t="shared" si="1"/>
        <v>18</v>
      </c>
      <c r="I36">
        <f t="shared" si="1"/>
        <v>30</v>
      </c>
      <c r="J36">
        <f t="shared" si="2"/>
        <v>7.6899999999999995</v>
      </c>
      <c r="K36">
        <f t="shared" si="2"/>
        <v>0.48466483264210536</v>
      </c>
      <c r="L36">
        <f t="shared" si="2"/>
        <v>7.71</v>
      </c>
      <c r="M36">
        <f t="shared" si="2"/>
        <v>0.76843997813752507</v>
      </c>
      <c r="N36">
        <f>IF($D$3=1,SQRT((((I36-1)*(M36)^2)+((H36-1)*(K36)^2))/(H36+I36-2)),M36)</f>
        <v>0.67755635093743471</v>
      </c>
      <c r="O36" s="59">
        <f>IF($D$6=1,LN(J36/L36),IF($D$5=1,(1-3/(4*(H36+I36)-9))*((J36-L36)/N36),(J36-L36)/N36))</f>
        <v>-2.9033941044643762E-2</v>
      </c>
      <c r="P36" s="63">
        <f>IF($D$6=1,(K36^2)/(H36*J36^2)+(M36^2)/(I36*L36^2),(IF($D$5=1,((H36+I36)/(H36*I36))+(O36*O36)/(2*(H36+I36-3.94)),((H36+I36)/(H36*I36))+((O36^2)/(2*(H36+I36-2))))))</f>
        <v>8.8898455045636329E-2</v>
      </c>
      <c r="Q36" s="59">
        <f>$R$56*SQRT(P36)</f>
        <v>0.58439054142184443</v>
      </c>
      <c r="R36" s="59">
        <f>1/P36</f>
        <v>11.248789413569073</v>
      </c>
      <c r="S36" s="59">
        <f>O36*R36</f>
        <v>-0.32659668865717734</v>
      </c>
      <c r="T36" s="59">
        <f>R36*(O36^2)</f>
        <v>9.4823890038483599E-3</v>
      </c>
      <c r="U36" s="23">
        <f>R36^2</f>
        <v>126.53526327082365</v>
      </c>
      <c r="V36" s="59">
        <f>1/((1/R36)+$I$53)</f>
        <v>4.7861105807609743</v>
      </c>
      <c r="W36" s="59">
        <f>V36*O36</f>
        <v>-0.13895965243495983</v>
      </c>
      <c r="AF36" s="59">
        <f>IF($D$6=1,100*((EXP(O36))-1),O36)</f>
        <v>-2.9033941044643762E-2</v>
      </c>
      <c r="AG36" s="59">
        <f>IF($D$6=1,100*(EXP(O36+Q36)-EXP(O36)),Q36)</f>
        <v>0.58439054142184443</v>
      </c>
      <c r="AH36" s="59">
        <f>IF($D$6=1,100*(EXP(O36)-EXP(O36-Q36)),Q36)</f>
        <v>0.58439054142184443</v>
      </c>
      <c r="AJ36">
        <f>SQRT(P36)</f>
        <v>0.29815843950094106</v>
      </c>
      <c r="AK36">
        <f>1/AJ36</f>
        <v>3.3539214978244605</v>
      </c>
      <c r="AL36">
        <f>O36/AJ36</f>
        <v>-9.7377559036198685E-2</v>
      </c>
      <c r="AN36" t="str">
        <f t="shared" si="3"/>
        <v>Frodl T (B)</v>
      </c>
      <c r="AO36">
        <f t="shared" si="3"/>
        <v>2004</v>
      </c>
      <c r="AP36" t="str">
        <f>CONCATENATE(AN36," ",AO36)</f>
        <v>Frodl T (B) 2004</v>
      </c>
      <c r="AQ36">
        <f>INT(H36)</f>
        <v>18</v>
      </c>
      <c r="AR36">
        <f t="shared" si="4"/>
        <v>7.6899999999999995</v>
      </c>
      <c r="AS36">
        <f t="shared" si="4"/>
        <v>0.48466483264210536</v>
      </c>
      <c r="AT36">
        <f>INT(I36)</f>
        <v>30</v>
      </c>
      <c r="AU36">
        <f t="shared" si="5"/>
        <v>7.71</v>
      </c>
      <c r="AV36">
        <f t="shared" si="5"/>
        <v>0.76843997813752507</v>
      </c>
      <c r="AW36" s="65">
        <f>O36</f>
        <v>-2.9033941044643762E-2</v>
      </c>
      <c r="AX36">
        <f>SQRT(P36)</f>
        <v>0.29815843950094106</v>
      </c>
      <c r="AY36" t="str">
        <f>F3</f>
        <v>Pooled SD</v>
      </c>
      <c r="BC36" s="23"/>
    </row>
    <row r="37" spans="5:55">
      <c r="E37" t="str">
        <f t="shared" si="0"/>
        <v>Lenze SN</v>
      </c>
      <c r="F37">
        <f t="shared" si="0"/>
        <v>2008</v>
      </c>
      <c r="G37">
        <v>3</v>
      </c>
      <c r="H37">
        <f t="shared" si="1"/>
        <v>31</v>
      </c>
      <c r="I37">
        <f t="shared" si="1"/>
        <v>24</v>
      </c>
      <c r="J37">
        <f t="shared" si="2"/>
        <v>4340</v>
      </c>
      <c r="K37">
        <f t="shared" si="2"/>
        <v>606</v>
      </c>
      <c r="L37">
        <f t="shared" si="2"/>
        <v>4951</v>
      </c>
      <c r="M37">
        <f t="shared" si="2"/>
        <v>601</v>
      </c>
      <c r="N37">
        <f>IF($D$3=1,SQRT((((I37-1)*(M37)^2)+((H37-1)*(K37)^2))/(H37+I37-2)),M37)</f>
        <v>603.83527367639681</v>
      </c>
      <c r="O37" s="59">
        <f>IF($D$6=1,LN(J37/L37),IF($D$5=1,(1-3/(4*(H37+I37)-9))*((J37-L37)/N37),(J37-L37)/N37))</f>
        <v>-0.99747865430484617</v>
      </c>
      <c r="P37" s="63">
        <f>IF($D$6=1,(K37^2)/(H37*J37^2)+(M37^2)/(I37*L37^2),(IF($D$5=1,((H37+I37)/(H37*I37))+(O37*O37)/(2*(H37+I37-3.94)),((H37+I37)/(H37*I37))+((O37^2)/(2*(H37+I37-2))))))</f>
        <v>8.3667814474940302E-2</v>
      </c>
      <c r="Q37" s="59">
        <f>$R$56*SQRT(P37)</f>
        <v>0.56693762980325324</v>
      </c>
      <c r="R37" s="59">
        <f>1/P37</f>
        <v>11.952027267301386</v>
      </c>
      <c r="S37" s="59">
        <f>O37*R37</f>
        <v>-11.921892074802614</v>
      </c>
      <c r="T37" s="59">
        <f>R37*(O37^2)</f>
        <v>11.891832863541723</v>
      </c>
      <c r="U37" s="23">
        <f>R37^2</f>
        <v>142.85095579831582</v>
      </c>
      <c r="V37" s="59">
        <f>1/((1/R37)+$I$53)</f>
        <v>4.9090046863792693</v>
      </c>
      <c r="W37" s="59">
        <f>V37*O37</f>
        <v>-4.8966273885457774</v>
      </c>
      <c r="AF37" s="59">
        <f>IF($D$6=1,100*((EXP(O37))-1),O37)</f>
        <v>-0.99747865430484617</v>
      </c>
      <c r="AG37" s="59">
        <f>IF($D$6=1,100*(EXP(O37+Q37)-EXP(O37)),Q37)</f>
        <v>0.56693762980325324</v>
      </c>
      <c r="AH37" s="59">
        <f>IF($D$6=1,100*(EXP(O37)-EXP(O37-Q37)),Q37)</f>
        <v>0.56693762980325324</v>
      </c>
      <c r="AJ37">
        <f>SQRT(P37)</f>
        <v>0.28925389275676189</v>
      </c>
      <c r="AK37">
        <f>1/AJ37</f>
        <v>3.4571704134018884</v>
      </c>
      <c r="AL37">
        <f>O37/AJ37</f>
        <v>-3.4484536916626443</v>
      </c>
      <c r="AN37" t="str">
        <f t="shared" si="3"/>
        <v>Lenze SN</v>
      </c>
      <c r="AO37">
        <f t="shared" si="3"/>
        <v>2008</v>
      </c>
      <c r="AP37" t="str">
        <f>CONCATENATE(AN37," ",AO37)</f>
        <v>Lenze SN 2008</v>
      </c>
      <c r="AQ37">
        <f>INT(H37)</f>
        <v>31</v>
      </c>
      <c r="AR37">
        <f t="shared" si="4"/>
        <v>4340</v>
      </c>
      <c r="AS37">
        <f t="shared" si="4"/>
        <v>606</v>
      </c>
      <c r="AT37">
        <f>INT(I37)</f>
        <v>24</v>
      </c>
      <c r="AU37">
        <f t="shared" si="5"/>
        <v>4951</v>
      </c>
      <c r="AV37">
        <f t="shared" si="5"/>
        <v>601</v>
      </c>
      <c r="AW37" s="65">
        <f>O37</f>
        <v>-0.99747865430484617</v>
      </c>
      <c r="AX37">
        <f>SQRT(P37)</f>
        <v>0.28925389275676189</v>
      </c>
      <c r="AY37" t="str">
        <f>F6</f>
        <v>Cohens Effect size</v>
      </c>
      <c r="BC37" s="23"/>
    </row>
    <row r="38" spans="5:55">
      <c r="E38" t="str">
        <f t="shared" si="0"/>
        <v>Zhao Z</v>
      </c>
      <c r="F38">
        <f t="shared" si="0"/>
        <v>2008</v>
      </c>
      <c r="G38">
        <v>2</v>
      </c>
      <c r="H38">
        <f t="shared" si="1"/>
        <v>24</v>
      </c>
      <c r="I38">
        <f t="shared" si="1"/>
        <v>43</v>
      </c>
      <c r="J38">
        <f t="shared" si="2"/>
        <v>7.23</v>
      </c>
      <c r="K38">
        <f t="shared" si="2"/>
        <v>1.1479459917609365</v>
      </c>
      <c r="L38">
        <f t="shared" si="2"/>
        <v>7.1999999999999993</v>
      </c>
      <c r="M38">
        <f t="shared" si="2"/>
        <v>0.97739449558507341</v>
      </c>
      <c r="N38">
        <f>IF($D$3=1,SQRT((((I38-1)*(M38)^2)+((H38-1)*(K38)^2))/(H38+I38-2)),M38)</f>
        <v>1.0409429157480989</v>
      </c>
      <c r="O38" s="59">
        <f>IF($D$6=1,LN(J38/L38),IF($D$5=1,(1-3/(4*(H38+I38)-9))*((J38-L38)/N38),(J38-L38)/N38))</f>
        <v>2.8486201504335402E-2</v>
      </c>
      <c r="P38" s="63">
        <f>IF($D$6=1,(K38^2)/(H38*J38^2)+(M38^2)/(I38*L38^2),(IF($D$5=1,((H38+I38)/(H38*I38))+(O38*O38)/(2*(H38+I38-3.94)),((H38+I38)/(H38*I38))+((O38^2)/(2*(H38+I38-2))))))</f>
        <v>6.4928914680384545E-2</v>
      </c>
      <c r="Q38" s="59">
        <f>$R$56*SQRT(P38)</f>
        <v>0.49943059441344329</v>
      </c>
      <c r="R38" s="59">
        <f>1/P38</f>
        <v>15.401458732562284</v>
      </c>
      <c r="S38" s="59">
        <f>O38*R38</f>
        <v>0.43872905691647535</v>
      </c>
      <c r="T38" s="59">
        <f>R38*(O38^2)</f>
        <v>1.2497724321129753E-2</v>
      </c>
      <c r="U38" s="23">
        <f>R38^2</f>
        <v>237.20493109081906</v>
      </c>
      <c r="V38" s="59">
        <f>1/((1/R38)+$I$53)</f>
        <v>5.406329396762759</v>
      </c>
      <c r="W38" s="59">
        <f>V38*O38</f>
        <v>0.15400578859499603</v>
      </c>
      <c r="AF38" s="59">
        <f>IF($D$6=1,100*((EXP(O38))-1),O38)</f>
        <v>2.8486201504335402E-2</v>
      </c>
      <c r="AG38" s="59">
        <f>IF($D$6=1,100*(EXP(O38+Q38)-EXP(O38)),Q38)</f>
        <v>0.49943059441344329</v>
      </c>
      <c r="AH38" s="59">
        <f>IF($D$6=1,100*(EXP(O38)-EXP(O38-Q38)),Q38)</f>
        <v>0.49943059441344329</v>
      </c>
      <c r="AJ38">
        <f>SQRT(P38)</f>
        <v>0.25481152776196087</v>
      </c>
      <c r="AK38">
        <f>1/AJ38</f>
        <v>3.9244692294069883</v>
      </c>
      <c r="AL38">
        <f>O38/AJ38</f>
        <v>0.11179322126645135</v>
      </c>
      <c r="AN38" t="str">
        <f t="shared" si="3"/>
        <v>Zhao Z</v>
      </c>
      <c r="AO38">
        <f t="shared" si="3"/>
        <v>2008</v>
      </c>
      <c r="AP38" t="str">
        <f>CONCATENATE(AN38," ",AO38)</f>
        <v>Zhao Z 2008</v>
      </c>
      <c r="AQ38">
        <f>INT(H38)</f>
        <v>24</v>
      </c>
      <c r="AR38">
        <f t="shared" si="4"/>
        <v>7.23</v>
      </c>
      <c r="AS38">
        <f t="shared" si="4"/>
        <v>1.1479459917609365</v>
      </c>
      <c r="AT38">
        <f>INT(I38)</f>
        <v>43</v>
      </c>
      <c r="AU38">
        <f t="shared" si="5"/>
        <v>7.1999999999999993</v>
      </c>
      <c r="AV38">
        <f t="shared" si="5"/>
        <v>0.97739449558507341</v>
      </c>
      <c r="AW38" s="65">
        <f>O38</f>
        <v>2.8486201504335402E-2</v>
      </c>
      <c r="AX38">
        <f>SQRT(P38)</f>
        <v>0.25481152776196087</v>
      </c>
      <c r="BC38" s="23"/>
    </row>
    <row r="39" spans="5:55">
      <c r="E39" t="str">
        <f t="shared" si="0"/>
        <v>van Eijndhoven P</v>
      </c>
      <c r="F39">
        <f t="shared" si="0"/>
        <v>2009</v>
      </c>
      <c r="G39">
        <v>1</v>
      </c>
      <c r="H39">
        <f t="shared" si="1"/>
        <v>20</v>
      </c>
      <c r="I39">
        <f t="shared" si="1"/>
        <v>20</v>
      </c>
      <c r="J39">
        <f t="shared" si="2"/>
        <v>7415</v>
      </c>
      <c r="K39">
        <f t="shared" si="2"/>
        <v>777.60208333054254</v>
      </c>
      <c r="L39">
        <f t="shared" si="2"/>
        <v>7597</v>
      </c>
      <c r="M39">
        <f t="shared" si="2"/>
        <v>752.5866063118583</v>
      </c>
      <c r="N39">
        <f>IF($D$3=1,SQRT((((I39-1)*(M39)^2)+((H39-1)*(K39)^2))/(H39+I39-2)),M39)</f>
        <v>765.19657605088639</v>
      </c>
      <c r="O39" s="59">
        <f>IF($D$6=1,LN(J39/L39),IF($D$5=1,(1-3/(4*(H39+I39)-9))*((J39-L39)/N39),(J39-L39)/N39))</f>
        <v>-0.23312193434122497</v>
      </c>
      <c r="P39" s="63">
        <f>IF($D$6=1,(K39^2)/(H39*J39^2)+(M39^2)/(I39*L39^2),(IF($D$5=1,((H39+I39)/(H39*I39))+(O39*O39)/(2*(H39+I39-3.94)),((H39+I39)/(H39*I39))+((O39^2)/(2*(H39+I39-2))))))</f>
        <v>0.1007535473692595</v>
      </c>
      <c r="Q39" s="59">
        <f>$R$56*SQRT(P39)</f>
        <v>0.62213730604565687</v>
      </c>
      <c r="R39" s="59">
        <f>1/P39</f>
        <v>9.9252088498186808</v>
      </c>
      <c r="S39" s="59">
        <f>O39*R39</f>
        <v>-2.3137838858103756</v>
      </c>
      <c r="T39" s="59">
        <f>R39*(O39^2)</f>
        <v>0.53939377510767073</v>
      </c>
      <c r="U39" s="23">
        <f>R39^2</f>
        <v>98.509770712519057</v>
      </c>
      <c r="V39" s="59">
        <f>1/((1/R39)+$I$53)</f>
        <v>4.5291287965446694</v>
      </c>
      <c r="W39" s="59">
        <f>V39*O39</f>
        <v>-1.0558392659310376</v>
      </c>
      <c r="AF39" s="59">
        <f>IF($D$6=1,100*((EXP(O39))-1),O39)</f>
        <v>-0.23312193434122497</v>
      </c>
      <c r="AG39" s="59">
        <f>IF($D$6=1,100*(EXP(O39+Q39)-EXP(O39)),Q39)</f>
        <v>0.62213730604565687</v>
      </c>
      <c r="AH39" s="59">
        <f>IF($D$6=1,100*(EXP(O39)-EXP(O39-Q39)),Q39)</f>
        <v>0.62213730604565687</v>
      </c>
      <c r="AJ39">
        <f>SQRT(P39)</f>
        <v>0.31741699288043718</v>
      </c>
      <c r="AK39">
        <f>1/AJ39</f>
        <v>3.1504299468197479</v>
      </c>
      <c r="AL39">
        <f>O39/AJ39</f>
        <v>-0.73443432320914215</v>
      </c>
      <c r="AN39" t="str">
        <f t="shared" si="3"/>
        <v>van Eijndhoven P</v>
      </c>
      <c r="AO39">
        <f t="shared" si="3"/>
        <v>2009</v>
      </c>
      <c r="AP39" t="str">
        <f>CONCATENATE(AN39," ",AO39)</f>
        <v>van Eijndhoven P 2009</v>
      </c>
      <c r="AQ39">
        <f>INT(H39)</f>
        <v>20</v>
      </c>
      <c r="AR39">
        <f t="shared" si="4"/>
        <v>7415</v>
      </c>
      <c r="AS39">
        <f t="shared" si="4"/>
        <v>777.60208333054254</v>
      </c>
      <c r="AT39">
        <f>INT(I39)</f>
        <v>20</v>
      </c>
      <c r="AU39">
        <f t="shared" si="5"/>
        <v>7597</v>
      </c>
      <c r="AV39">
        <f t="shared" si="5"/>
        <v>752.5866063118583</v>
      </c>
      <c r="AW39" s="65">
        <f>O39</f>
        <v>-0.23312193434122497</v>
      </c>
      <c r="AX39">
        <f>SQRT(P39)</f>
        <v>0.31741699288043718</v>
      </c>
      <c r="BC39" s="23"/>
    </row>
    <row r="40" spans="5:55">
      <c r="U40" s="23"/>
    </row>
    <row r="41" spans="5:55">
      <c r="L41" t="s">
        <v>500</v>
      </c>
      <c r="N41" s="7"/>
      <c r="O41" s="66">
        <f>COUNT(O35:O39)</f>
        <v>5</v>
      </c>
      <c r="Q41" t="s">
        <v>885</v>
      </c>
      <c r="R41" s="59">
        <f t="shared" ref="R41:W41" si="6">SUM(R35:R39)</f>
        <v>56.08156670175277</v>
      </c>
      <c r="S41" s="59">
        <f t="shared" si="6"/>
        <v>-13.409081516767975</v>
      </c>
      <c r="T41" s="59">
        <f t="shared" si="6"/>
        <v>12.520780287424365</v>
      </c>
      <c r="U41" s="23">
        <f t="shared" si="6"/>
        <v>662.16508236015204</v>
      </c>
      <c r="V41" s="59">
        <f t="shared" si="6"/>
        <v>23.592252639083071</v>
      </c>
      <c r="W41" s="59">
        <f t="shared" si="6"/>
        <v>-5.562726496664812</v>
      </c>
    </row>
    <row r="42" spans="5:55">
      <c r="L42" t="s">
        <v>501</v>
      </c>
      <c r="N42" s="7"/>
      <c r="O42" s="2">
        <v>0</v>
      </c>
    </row>
    <row r="43" spans="5:55">
      <c r="N43" s="7"/>
      <c r="O43" s="7"/>
    </row>
    <row r="44" spans="5:55">
      <c r="G44" s="67" t="s">
        <v>502</v>
      </c>
      <c r="H44" s="40"/>
      <c r="I44" s="40">
        <f>S41/R41</f>
        <v>-0.23909962409001118</v>
      </c>
      <c r="J44" s="40"/>
      <c r="K44" s="68" t="s">
        <v>879</v>
      </c>
      <c r="L44" s="40"/>
      <c r="M44" s="42"/>
      <c r="N44" s="7"/>
      <c r="O44" s="69" t="s">
        <v>503</v>
      </c>
      <c r="P44" s="70">
        <f>T41-((S41^2)/R41)</f>
        <v>9.3146739373728256</v>
      </c>
      <c r="Q44" s="71" t="s">
        <v>824</v>
      </c>
      <c r="R44" s="28"/>
      <c r="S44" s="29"/>
      <c r="T44" s="30"/>
      <c r="U44" s="31"/>
      <c r="AF44" s="2" t="s">
        <v>1518</v>
      </c>
    </row>
    <row r="45" spans="5:55">
      <c r="G45" s="43" t="s">
        <v>504</v>
      </c>
      <c r="H45" s="31"/>
      <c r="I45" s="31">
        <f>1/R41</f>
        <v>1.7831170896456892E-2</v>
      </c>
      <c r="J45" s="31"/>
      <c r="K45" s="31"/>
      <c r="L45" s="31"/>
      <c r="M45" s="44"/>
      <c r="N45" s="7"/>
      <c r="O45" s="30" t="s">
        <v>505</v>
      </c>
      <c r="P45" s="31">
        <f>CHIDIST(P44,I49-1)</f>
        <v>5.3697776336006961E-2</v>
      </c>
      <c r="Q45" s="31"/>
      <c r="R45" s="31"/>
      <c r="S45" s="34"/>
      <c r="T45" s="30"/>
      <c r="U45" s="31"/>
      <c r="AF45" s="2"/>
    </row>
    <row r="46" spans="5:55">
      <c r="G46" s="72" t="s">
        <v>506</v>
      </c>
      <c r="H46" s="31"/>
      <c r="I46" s="31">
        <f>$R$56*SQRT(I45)</f>
        <v>0.26172547853777778</v>
      </c>
      <c r="J46" s="31"/>
      <c r="K46" s="31" t="s">
        <v>507</v>
      </c>
      <c r="L46" s="31"/>
      <c r="M46" s="44">
        <f>ABS(I44/SQRT(I45))</f>
        <v>1.7905603452694747</v>
      </c>
      <c r="N46" s="7"/>
      <c r="O46" s="35" t="s">
        <v>508</v>
      </c>
      <c r="P46" s="37">
        <f>IF(((P44-(I49-1))/P44)&lt;0,0,100*((P44-(I49-1))/P44))</f>
        <v>57.057004604841943</v>
      </c>
      <c r="Q46" s="36"/>
      <c r="R46" s="36"/>
      <c r="S46" s="38"/>
      <c r="T46" s="30"/>
      <c r="U46" s="31"/>
      <c r="AF46" s="2" t="s">
        <v>1535</v>
      </c>
      <c r="AH46">
        <f>IF($D$6=1,100*((EXP(I44))-1),I44)</f>
        <v>-0.23909962409001118</v>
      </c>
    </row>
    <row r="47" spans="5:55">
      <c r="G47" s="45" t="s">
        <v>509</v>
      </c>
      <c r="H47" s="46"/>
      <c r="I47" s="46">
        <v>-2</v>
      </c>
      <c r="J47" s="46"/>
      <c r="K47" s="46" t="s">
        <v>825</v>
      </c>
      <c r="L47" s="46"/>
      <c r="M47" s="47">
        <f>2*(1-NORMDIST(M46,0,1,1))</f>
        <v>7.3363875335871409E-2</v>
      </c>
      <c r="N47" s="7"/>
      <c r="O47" s="7"/>
      <c r="AF47" s="79" t="s">
        <v>834</v>
      </c>
      <c r="AH47">
        <f>IF($D$6=1,100*(EXP(I44+I46)-EXP(I44)),I46)</f>
        <v>0.26172547853777778</v>
      </c>
    </row>
    <row r="48" spans="5:55">
      <c r="G48" s="40"/>
      <c r="H48" s="40"/>
      <c r="I48" s="40"/>
      <c r="J48" s="40"/>
      <c r="K48" s="40"/>
      <c r="L48" s="40"/>
      <c r="M48" s="40"/>
      <c r="N48" s="7"/>
      <c r="O48" s="7"/>
      <c r="AF48" s="79" t="s">
        <v>835</v>
      </c>
      <c r="AH48">
        <f>IF($D$6=1,100*(EXP(I44)-EXP(I44-I46)),I46)</f>
        <v>0.26172547853777778</v>
      </c>
    </row>
    <row r="49" spans="7:34">
      <c r="G49" s="73" t="s">
        <v>1110</v>
      </c>
      <c r="H49" s="74"/>
      <c r="I49" s="74">
        <f>O41</f>
        <v>5</v>
      </c>
      <c r="J49" s="74"/>
      <c r="K49" s="75" t="s">
        <v>1167</v>
      </c>
      <c r="L49" s="74"/>
      <c r="M49" s="76"/>
      <c r="N49" s="77"/>
      <c r="O49" s="101" t="s">
        <v>1513</v>
      </c>
      <c r="P49" s="102"/>
      <c r="Q49" s="103"/>
      <c r="AF49" s="7"/>
    </row>
    <row r="50" spans="7:34">
      <c r="G50" s="77" t="s">
        <v>1531</v>
      </c>
      <c r="H50" s="31"/>
      <c r="I50" s="31">
        <f>R41/I49</f>
        <v>11.216313340350554</v>
      </c>
      <c r="J50" s="31"/>
      <c r="K50" s="31"/>
      <c r="L50" s="31"/>
      <c r="M50" s="78"/>
      <c r="N50" s="77"/>
      <c r="O50" s="104" t="s">
        <v>1514</v>
      </c>
      <c r="P50" s="31"/>
      <c r="Q50" s="105">
        <f>INDEX(LINEST(AL35:AL39,AK35:AK39,TRUE,TRUE),1,2)</f>
        <v>1.0416353881273981</v>
      </c>
      <c r="AF50" s="2" t="s">
        <v>1687</v>
      </c>
      <c r="AH50">
        <f>IF($D$6=1,100*((EXP(I55))-1),I55)</f>
        <v>-0.23578615326666877</v>
      </c>
    </row>
    <row r="51" spans="7:34">
      <c r="G51" s="77" t="s">
        <v>1532</v>
      </c>
      <c r="H51" s="31"/>
      <c r="I51" s="31">
        <f>(1/(I49-1))*(U41-(I49*I50^2))</f>
        <v>8.2841644038807374</v>
      </c>
      <c r="J51" s="31"/>
      <c r="K51" s="31"/>
      <c r="L51" s="31"/>
      <c r="M51" s="78"/>
      <c r="N51" s="77"/>
      <c r="O51" s="104" t="s">
        <v>1516</v>
      </c>
      <c r="P51" s="31"/>
      <c r="Q51" s="105">
        <f>INDEX(LINEST(AL35:AL39,AK35:AK39,TRUE,TRUE),2,2)</f>
        <v>6.8313318416569784</v>
      </c>
      <c r="AF51" s="79" t="s">
        <v>834</v>
      </c>
      <c r="AG51" s="7"/>
      <c r="AH51">
        <f>IF($D$6=1,100*(EXP(I55+I57)-EXP(I55)),I57)</f>
        <v>0.40352585486838577</v>
      </c>
    </row>
    <row r="52" spans="7:34">
      <c r="G52" s="77" t="s">
        <v>1669</v>
      </c>
      <c r="H52" s="31"/>
      <c r="I52" s="31">
        <f>(I49-1)*(I50-(I51/(I49*I50)))</f>
        <v>44.274387956522446</v>
      </c>
      <c r="J52" s="31"/>
      <c r="K52" s="31"/>
      <c r="L52" s="31"/>
      <c r="M52" s="78"/>
      <c r="N52" s="77"/>
      <c r="O52" s="104" t="s">
        <v>1349</v>
      </c>
      <c r="P52" s="31"/>
      <c r="Q52" s="105">
        <f>ABS(Q50/Q51)</f>
        <v>0.15247910836003883</v>
      </c>
      <c r="AF52" s="79" t="s">
        <v>835</v>
      </c>
      <c r="AH52">
        <f>IF($D$6=1,100*(EXP(I55)-EXP(I55-I57)),I57)</f>
        <v>0.40352585486838577</v>
      </c>
    </row>
    <row r="53" spans="7:34">
      <c r="G53" s="77" t="s">
        <v>1685</v>
      </c>
      <c r="H53" s="31"/>
      <c r="I53" s="31">
        <f>IF(P44&gt;(I49-1),(P44-(I49-1))/I52,0)</f>
        <v>0.12003946712017449</v>
      </c>
      <c r="J53" s="31"/>
      <c r="K53" s="31"/>
      <c r="L53" s="31"/>
      <c r="M53" s="78"/>
      <c r="N53" s="77"/>
      <c r="O53" s="106" t="s">
        <v>1515</v>
      </c>
      <c r="P53" s="107"/>
      <c r="Q53" s="108">
        <f>TDIST(Q52,I49-2,2)</f>
        <v>0.88848692500877358</v>
      </c>
    </row>
    <row r="54" spans="7:34">
      <c r="G54" s="77"/>
      <c r="H54" s="31"/>
      <c r="I54" s="31"/>
      <c r="J54" s="31"/>
      <c r="K54" s="31"/>
      <c r="L54" s="31"/>
      <c r="M54" s="78"/>
      <c r="N54" s="77"/>
    </row>
    <row r="55" spans="7:34">
      <c r="G55" s="77" t="s">
        <v>1686</v>
      </c>
      <c r="H55" s="31"/>
      <c r="I55" s="31">
        <f>W41/V41</f>
        <v>-0.23578615326666877</v>
      </c>
      <c r="J55" s="31"/>
      <c r="N55" s="77"/>
    </row>
    <row r="56" spans="7:34">
      <c r="G56" s="77" t="s">
        <v>504</v>
      </c>
      <c r="H56" s="31"/>
      <c r="I56" s="31">
        <f>1/V41</f>
        <v>4.2386796008762377E-2</v>
      </c>
      <c r="J56" s="31"/>
      <c r="N56" s="77"/>
      <c r="O56" t="s">
        <v>805</v>
      </c>
      <c r="R56">
        <v>1.96</v>
      </c>
    </row>
    <row r="57" spans="7:34">
      <c r="G57" s="80" t="s">
        <v>506</v>
      </c>
      <c r="H57" s="31"/>
      <c r="I57" s="31">
        <f>$R$56*SQRT(I56)</f>
        <v>0.40352585486838577</v>
      </c>
      <c r="J57" s="31"/>
      <c r="K57" s="31" t="s">
        <v>507</v>
      </c>
      <c r="L57" s="31"/>
      <c r="M57" s="78">
        <f>ABS(I55/(SQRT(I56)))</f>
        <v>1.1452571249824943</v>
      </c>
      <c r="N57" s="77"/>
    </row>
    <row r="58" spans="7:34">
      <c r="G58" s="81" t="s">
        <v>509</v>
      </c>
      <c r="H58" s="82"/>
      <c r="I58" s="82">
        <v>-3</v>
      </c>
      <c r="J58" s="82"/>
      <c r="K58" s="31" t="s">
        <v>825</v>
      </c>
      <c r="L58" s="31"/>
      <c r="M58" s="78">
        <f>2*(1-NORMDIST(M57,0,1,1))</f>
        <v>0.25210266097214529</v>
      </c>
      <c r="N58" s="77"/>
    </row>
    <row r="59" spans="7:34">
      <c r="G59" s="74"/>
      <c r="H59" s="74"/>
      <c r="I59" s="74"/>
      <c r="J59" s="74"/>
      <c r="K59" s="74"/>
      <c r="L59" s="74"/>
      <c r="M59" s="74"/>
      <c r="N59" s="31"/>
      <c r="O59" s="7"/>
    </row>
  </sheetData>
  <phoneticPr fontId="10" type="noConversion"/>
  <conditionalFormatting sqref="D17 D13 F13">
    <cfRule type="cellIs" dxfId="102" priority="0" stopIfTrue="1" operator="lessThan">
      <formula>0.05</formula>
    </cfRule>
  </conditionalFormatting>
  <conditionalFormatting sqref="D21">
    <cfRule type="cellIs" dxfId="10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29.xml><?xml version="1.0" encoding="utf-8"?>
<worksheet xmlns="http://schemas.openxmlformats.org/spreadsheetml/2006/main" xmlns:r="http://schemas.openxmlformats.org/officeDocument/2006/relationships">
  <sheetPr published="0" codeName="Sheet154" enableFormatConditionsCalculation="0"/>
  <dimension ref="A1:BC5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17"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2403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I47-O40</f>
        <v>4</v>
      </c>
      <c r="AD7" s="89"/>
    </row>
    <row r="8" spans="2:30">
      <c r="B8" t="s">
        <v>822</v>
      </c>
      <c r="D8">
        <f>SUM(H24:H27)</f>
        <v>72</v>
      </c>
      <c r="E8" t="s">
        <v>298</v>
      </c>
      <c r="F8">
        <f>Summary!C78</f>
        <v>0.8</v>
      </c>
      <c r="AD8" s="89"/>
    </row>
    <row r="9" spans="2:30">
      <c r="B9" t="s">
        <v>823</v>
      </c>
      <c r="D9">
        <f>SUM(I24:I27)</f>
        <v>90</v>
      </c>
      <c r="AD9" s="89"/>
    </row>
    <row r="11" spans="2:30">
      <c r="B11" s="27" t="s">
        <v>516</v>
      </c>
      <c r="C11" s="28"/>
      <c r="D11" s="109">
        <f>P42</f>
        <v>3.0888021508518433</v>
      </c>
      <c r="E11" s="110" t="s">
        <v>1513</v>
      </c>
      <c r="F11" s="103"/>
    </row>
    <row r="12" spans="2:30">
      <c r="B12" s="30" t="s">
        <v>826</v>
      </c>
      <c r="C12" s="31"/>
      <c r="D12" s="112">
        <f>P44</f>
        <v>2.8749705068469034</v>
      </c>
      <c r="E12" s="31"/>
      <c r="F12" s="105"/>
    </row>
    <row r="13" spans="2:30">
      <c r="B13" s="35" t="s">
        <v>825</v>
      </c>
      <c r="C13" s="36"/>
      <c r="D13" s="113">
        <f>P43</f>
        <v>0.37813519929248213</v>
      </c>
      <c r="E13" s="111" t="s">
        <v>825</v>
      </c>
      <c r="F13" s="115">
        <f>Q51</f>
        <v>0.35617347869066096</v>
      </c>
    </row>
    <row r="15" spans="2:30">
      <c r="B15" s="39" t="s">
        <v>879</v>
      </c>
      <c r="C15" s="40"/>
      <c r="D15" s="41">
        <f>AH44</f>
        <v>0.34150320015484376</v>
      </c>
      <c r="E15" s="116"/>
    </row>
    <row r="16" spans="2:30">
      <c r="B16" s="43" t="s">
        <v>1165</v>
      </c>
      <c r="C16" s="31"/>
      <c r="D16" s="33">
        <f>AH44-AH46</f>
        <v>2.1539310288336722E-2</v>
      </c>
      <c r="E16" s="117">
        <f>AH44+AH45</f>
        <v>0.66146709002135085</v>
      </c>
    </row>
    <row r="17" spans="1:43">
      <c r="B17" s="45" t="s">
        <v>1166</v>
      </c>
      <c r="C17" s="46"/>
      <c r="D17" s="123">
        <f>M45</f>
        <v>3.6443600198044601E-2</v>
      </c>
      <c r="E17" s="118"/>
    </row>
    <row r="18" spans="1:43">
      <c r="D18" s="48"/>
      <c r="F18" s="49"/>
    </row>
    <row r="19" spans="1:43">
      <c r="B19" s="50" t="s">
        <v>1167</v>
      </c>
      <c r="C19" s="51"/>
      <c r="D19" s="52">
        <f>AH48</f>
        <v>0.34319517421665341</v>
      </c>
      <c r="E19" s="120"/>
      <c r="F19" s="33"/>
      <c r="G19" s="31"/>
    </row>
    <row r="20" spans="1:43">
      <c r="B20" s="53" t="s">
        <v>1165</v>
      </c>
      <c r="C20" s="31"/>
      <c r="D20" s="33">
        <f>AH48-AH50</f>
        <v>1.7776482881644851E-2</v>
      </c>
      <c r="E20" s="121">
        <f>AH48+AH49</f>
        <v>0.66861386555166202</v>
      </c>
      <c r="F20" s="31"/>
      <c r="G20" s="31"/>
    </row>
    <row r="21" spans="1:43">
      <c r="B21" s="54" t="s">
        <v>1440</v>
      </c>
      <c r="C21" s="55"/>
      <c r="D21" s="114">
        <f>M56</f>
        <v>3.8727753258883002E-2</v>
      </c>
      <c r="E21" s="56"/>
      <c r="F21" s="119"/>
      <c r="G21" s="31"/>
      <c r="L21" s="4" t="s">
        <v>1511</v>
      </c>
      <c r="N21" s="4"/>
      <c r="O21" s="4"/>
      <c r="Q21" s="4" t="str">
        <f>IF(D6=1,F6,CONCATENATE(F6," with ",F5))</f>
        <v>Cohens Effect size with H Correction</v>
      </c>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46.5" customHeight="1">
      <c r="B23" s="57" t="s">
        <v>1162</v>
      </c>
      <c r="C23" s="57" t="s">
        <v>618</v>
      </c>
      <c r="D23" s="57" t="s">
        <v>953</v>
      </c>
      <c r="E23" s="57" t="s">
        <v>617</v>
      </c>
      <c r="F23" s="57" t="s">
        <v>740</v>
      </c>
      <c r="G23" s="57" t="s">
        <v>1033</v>
      </c>
      <c r="H23" s="58" t="s">
        <v>2404</v>
      </c>
      <c r="I23" s="58" t="s">
        <v>2406</v>
      </c>
      <c r="J23" s="58" t="s">
        <v>1036</v>
      </c>
      <c r="K23" s="58" t="s">
        <v>1037</v>
      </c>
      <c r="L23" s="58" t="s">
        <v>2404</v>
      </c>
      <c r="M23" s="58" t="s">
        <v>2405</v>
      </c>
      <c r="N23" s="58" t="s">
        <v>2406</v>
      </c>
      <c r="O23" s="58" t="s">
        <v>2407</v>
      </c>
      <c r="P23" s="58" t="s">
        <v>2404</v>
      </c>
      <c r="Q23" s="58" t="s">
        <v>2405</v>
      </c>
      <c r="R23" s="58" t="s">
        <v>2406</v>
      </c>
      <c r="S23" s="58" t="s">
        <v>2407</v>
      </c>
      <c r="T23" s="58" t="s">
        <v>2404</v>
      </c>
      <c r="U23" s="58" t="s">
        <v>2405</v>
      </c>
      <c r="V23" s="58" t="s">
        <v>2406</v>
      </c>
      <c r="W23" s="58" t="s">
        <v>2407</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B24">
        <v>15598548</v>
      </c>
      <c r="C24" s="1" t="str">
        <f>IF($B24="","",HYPERLINK(IF(LEN(VLOOKUP($B24,Database!$B$1:$IX$10144,2,FALSE))=0,"",VLOOKUP($B24,Database!$B$1:$IX$10144,2,FALSE))))</f>
        <v/>
      </c>
      <c r="D24" s="1" t="str">
        <f>IF($B24="","",HYPERLINK(CONCATENATE("http://www.ncbi.nlm.nih.gov/pubmed/",B24)))</f>
        <v>http://www.ncbi.nlm.nih.gov/pubmed/15598548</v>
      </c>
      <c r="E24" s="22" t="str">
        <f>IF($B24="","",IF(LEN(VLOOKUP($B24,Database!$B$1:$IX$10144,4,FALSE))=0,"",VLOOKUP($B24,Database!$B$1:$IX$10144,4,FALSE)))</f>
        <v>Caetano SC</v>
      </c>
      <c r="F24" s="22">
        <f>IF($B24="","",IF(LEN(VLOOKUP($B24,Database!$B$1:$IX$10144,5,FALSE))=0,"",VLOOKUP($B24,Database!$B$1:$IX$10144,5,FALSE)))</f>
        <v>2004</v>
      </c>
      <c r="G24" s="1" t="str">
        <f>IF($B24="","",HYPERLINK(IF(LEN(VLOOKUP($B24,Database!$B$1:$IX$10144,6,FALSE))=0,"",VLOOKUP($B24,Database!$B$1:$IX$10144,6,FALSE))))</f>
        <v>http://dx.doi.org/10.1016/j.pscychresns.2004.08.002</v>
      </c>
      <c r="H24" s="83">
        <v>10</v>
      </c>
      <c r="I24" s="83">
        <v>21</v>
      </c>
      <c r="J24" t="s">
        <v>2434</v>
      </c>
      <c r="K24" t="s">
        <v>2435</v>
      </c>
      <c r="L24">
        <v>3.44</v>
      </c>
      <c r="M24">
        <v>0.54</v>
      </c>
      <c r="N24">
        <v>3.27</v>
      </c>
      <c r="O24">
        <v>0.46</v>
      </c>
      <c r="P24">
        <v>3.33</v>
      </c>
      <c r="Q24">
        <v>0.41</v>
      </c>
      <c r="R24">
        <v>3.16</v>
      </c>
      <c r="S24">
        <v>0.38</v>
      </c>
      <c r="T24">
        <f>L24+P24</f>
        <v>6.77</v>
      </c>
      <c r="U24">
        <f>2*SQRT(0.25*(M24^2+Q24^2+2*$F$8*M24*Q24))</f>
        <v>0.90218623354604566</v>
      </c>
      <c r="V24">
        <f>N24+R24</f>
        <v>6.43</v>
      </c>
      <c r="W24">
        <f>2*SQRT(0.25*(O24^2+S24^2+2*$F$8*O24*S24))</f>
        <v>0.79729542830747502</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39.200000000000003</v>
      </c>
      <c r="AC24" s="22">
        <f>IF(OR($B24="",AC$22=""),"",IF(LEN(VLOOKUP($B24,Database!$B$1:$IX$10144,AC$22,FALSE))=0,"",VLOOKUP($B24,Database!$B$1:$IX$10144,AC$22,FALSE)))</f>
        <v>11.9</v>
      </c>
      <c r="AD24" s="22">
        <f>IF(OR($B24="",AD$22=""),"",IF(LEN(VLOOKUP($B24,Database!$B$1:$IX$10144,AD$22,FALSE))=0,"",VLOOKUP($B24,Database!$B$1:$IX$10144,AD$22,FALSE)))</f>
        <v>36.700000000000003</v>
      </c>
      <c r="AE24" s="22">
        <f>IF(OR($B24="",AE$22=""),"",IF(LEN(VLOOKUP($B24,Database!$B$1:$IX$10144,AE$22,FALSE))=0,"",VLOOKUP($B24,Database!$B$1:$IX$10144,AE$22,FALSE)))</f>
        <v>10.7</v>
      </c>
      <c r="AF24" s="22">
        <f>IF(OR($B24="",AF$22=""),"",IF(LEN(VLOOKUP($B24,Database!$B$1:$IX$10144,AF$22,FALSE))=0,"",VLOOKUP($B24,Database!$B$1:$IX$10144,AF$22,FALSE)))</f>
        <v>24</v>
      </c>
      <c r="AG24" s="22">
        <f>IF(OR($B24="",AG$22=""),"",IF(LEN(VLOOKUP($B24,Database!$B$1:$IX$10144,AG$22,FALSE))=0,"",VLOOKUP($B24,Database!$B$1:$IX$10144,AG$22,FALSE)))</f>
        <v>24</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t="str">
        <f>IF(OR($B24="",AK$22=""),"",IF(LEN(VLOOKUP($B24,Database!$B$1:$IX$10144,AK$22,FALSE))=0,"",VLOOKUP($B24,Database!$B$1:$IX$10144,AK$22,FALSE)))</f>
        <v>age of onset split into remitted and currently depressed</v>
      </c>
      <c r="AL24" s="22" t="str">
        <f>IF(OR($B24="",AL$22=""),"",IF(LEN(VLOOKUP($B24,Database!$B$1:$IX$10144,AL$22,FALSE))=0,"",VLOOKUP($B24,Database!$B$1:$IX$10144,AL$22,FALSE)))</f>
        <v>split into remitted and currently depressed</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Caetano SC, Hatch JP, Brambilla P, Sassi RB, Nicoletti M, Mallinger AG, Frank E, Kupfer DJ, Keshavan MS, Soares JC.</v>
      </c>
    </row>
    <row r="25" spans="1:43">
      <c r="A25" s="13" t="s">
        <v>2408</v>
      </c>
      <c r="B25">
        <v>15119911</v>
      </c>
      <c r="C25" s="1" t="str">
        <f>IF($B25="","",HYPERLINK(IF(LEN(VLOOKUP($B25,Database!$B$1:$IX$10144,2,FALSE))=0,"",VLOOKUP($B25,Database!$B$1:$IX$10144,2,FALSE))))</f>
        <v/>
      </c>
      <c r="D25" s="1" t="str">
        <f>IF($B25="","",HYPERLINK(CONCATENATE("http://www.ncbi.nlm.nih.gov/pubmed/",B25)))</f>
        <v>http://www.ncbi.nlm.nih.gov/pubmed/15119911</v>
      </c>
      <c r="E25" s="22" t="str">
        <f>IF($B25="","",IF(LEN(VLOOKUP($B25,Database!$B$1:$IX$10144,4,FALSE))=0,"",VLOOKUP($B25,Database!$B$1:$IX$10144,4,FALSE)))</f>
        <v>Frodl T (B)</v>
      </c>
      <c r="F25" s="22">
        <f>IF($B25="","",IF(LEN(VLOOKUP($B25,Database!$B$1:$IX$10144,5,FALSE))=0,"",VLOOKUP($B25,Database!$B$1:$IX$10144,5,FALSE)))</f>
        <v>2004</v>
      </c>
      <c r="G25" s="1" t="str">
        <f>IF($B25="","",HYPERLINK(IF(LEN(VLOOKUP($B25,Database!$B$1:$IX$10144,6,FALSE))=0,"",VLOOKUP($B25,Database!$B$1:$IX$10144,6,FALSE))))</f>
        <v>http://www.psychiatrist.com/abstracts/abstracts.asp?abstract=200404/040405.htm</v>
      </c>
      <c r="H25" s="83">
        <v>18</v>
      </c>
      <c r="I25" s="83">
        <v>12</v>
      </c>
      <c r="J25" s="13" t="s">
        <v>2395</v>
      </c>
      <c r="K25" s="13" t="s">
        <v>2339</v>
      </c>
      <c r="L25" s="13">
        <v>3.81</v>
      </c>
      <c r="M25" s="13">
        <v>0.21</v>
      </c>
      <c r="N25" s="13">
        <v>3.59</v>
      </c>
      <c r="O25" s="13">
        <v>0.34</v>
      </c>
      <c r="P25" s="13">
        <v>3.88</v>
      </c>
      <c r="Q25" s="13">
        <v>0.3</v>
      </c>
      <c r="R25" s="13">
        <v>3.61</v>
      </c>
      <c r="S25" s="13">
        <v>0.26</v>
      </c>
      <c r="T25">
        <f>L25+P25</f>
        <v>7.6899999999999995</v>
      </c>
      <c r="U25">
        <f>2*SQRT(0.25*(M25^2+Q25^2+2*$F$8*M25*Q25))</f>
        <v>0.48466483264210536</v>
      </c>
      <c r="V25">
        <f>N25+R25</f>
        <v>7.1999999999999993</v>
      </c>
      <c r="W25">
        <f>2*SQRT(0.25*(O25^2+S25^2+2*$F$8*O25*S25))</f>
        <v>0.569771884178221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48.4</v>
      </c>
      <c r="AC25" s="22">
        <f>IF(OR($B25="",AC$22=""),"",IF(LEN(VLOOKUP($B25,Database!$B$1:$IX$10144,AC$22,FALSE))=0,"",VLOOKUP($B25,Database!$B$1:$IX$10144,AC$22,FALSE)))</f>
        <v>13.4</v>
      </c>
      <c r="AD25" s="22">
        <f>IF(OR($B25="",AD$22=""),"",IF(LEN(VLOOKUP($B25,Database!$B$1:$IX$10144,AD$22,FALSE))=0,"",VLOOKUP($B25,Database!$B$1:$IX$10144,AD$22,FALSE)))</f>
        <v>45.7</v>
      </c>
      <c r="AE25" s="22">
        <f>IF(OR($B25="",AE$22=""),"",IF(LEN(VLOOKUP($B25,Database!$B$1:$IX$10144,AE$22,FALSE))=0,"",VLOOKUP($B25,Database!$B$1:$IX$10144,AE$22,FALSE)))</f>
        <v>12.9</v>
      </c>
      <c r="AF25" s="22">
        <f>IF(OR($B25="",AF$22=""),"",IF(LEN(VLOOKUP($B25,Database!$B$1:$IX$10144,AF$22,FALSE))=0,"",VLOOKUP($B25,Database!$B$1:$IX$10144,AF$22,FALSE)))</f>
        <v>18</v>
      </c>
      <c r="AG25" s="22">
        <f>IF(OR($B25="",AG$22=""),"",IF(LEN(VLOOKUP($B25,Database!$B$1:$IX$10144,AG$22,FALSE))=0,"",VLOOKUP($B25,Database!$B$1:$IX$10144,AG$22,FALSE)))</f>
        <v>18</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39.299999999999997</v>
      </c>
      <c r="AL25" s="22">
        <f>IF(OR($B25="",AL$22=""),"",IF(LEN(VLOOKUP($B25,Database!$B$1:$IX$10144,AL$22,FALSE))=0,"",VLOOKUP($B25,Database!$B$1:$IX$10144,AL$22,FALSE)))</f>
        <v>23.7</v>
      </c>
      <c r="AM25" s="22" t="str">
        <f>IF(OR($B25="",AM$22=""),"",IF(LEN(VLOOKUP($B25,Database!$B$1:$IX$10144,AM$22,FALSE))=0,"",VLOOKUP($B25,Database!$B$1:$IX$10144,AM$22,FALSE)))</f>
        <v>ns</v>
      </c>
      <c r="AN25" s="22">
        <f>IF(OR($B25="",AN$22=""),"",IF(LEN(VLOOKUP($B25,Database!$B$1:$IX$10144,AN$22,FALSE))=0,"",VLOOKUP($B25,Database!$B$1:$IX$10144,AN$22,FALSE)))</f>
        <v>23.333333333333332</v>
      </c>
      <c r="AO25" s="22" t="str">
        <f>IF(OR($B25="",AO$22=""),"",IF(LEN(VLOOKUP($B25,Database!$B$1:$IX$10144,AO$22,FALSE))=0,"",VLOOKUP($B25,Database!$B$1:$IX$10144,AO$22,FALSE)))</f>
        <v>ns</v>
      </c>
      <c r="AP25" s="22">
        <f>IF(OR($B25="",AP$22=""),"",IF(LEN(VLOOKUP($B25,Database!$B$1:$IX$10144,AP$22,FALSE))=0,"",VLOOKUP($B25,Database!$B$1:$IX$10144,AP$22,FALSE)))</f>
        <v>6.666666666666667</v>
      </c>
      <c r="AQ25" s="22" t="str">
        <f>IF(OR($B25="",AQ$22=""),"",IF(LEN(VLOOKUP($B25,Database!$B$1:$IX$10144,AQ$22,FALSE))=0,"",VLOOKUP($B25,Database!$B$1:$IX$10144,AQ$22,FALSE)))</f>
        <v>Frodl T, Meisenzahl EM, Zetzsche T, Hohne T, Banac S, Schorr C, Jager M, Leinsinger G, Bottlender R, Reiser M, Moller HJ.</v>
      </c>
    </row>
    <row r="26" spans="1:43">
      <c r="A26" t="s">
        <v>2394</v>
      </c>
      <c r="B26">
        <v>18350172</v>
      </c>
      <c r="C26" s="1" t="str">
        <f>IF($B26="","",HYPERLINK(IF(LEN(VLOOKUP($B26,Database!$B$1:$IX$10144,2,FALSE))=0,"",VLOOKUP($B26,Database!$B$1:$IX$10144,2,FALSE))))</f>
        <v/>
      </c>
      <c r="D26" s="1" t="str">
        <f>IF($B26="","",HYPERLINK(CONCATENATE("http://www.ncbi.nlm.nih.gov/pubmed/",B26)))</f>
        <v>http://www.ncbi.nlm.nih.gov/pubmed/18350172</v>
      </c>
      <c r="E26" s="22" t="str">
        <f>IF($B26="","",IF(LEN(VLOOKUP($B26,Database!$B$1:$IX$10144,4,FALSE))=0,"",VLOOKUP($B26,Database!$B$1:$IX$10144,4,FALSE)))</f>
        <v>Zhao Z</v>
      </c>
      <c r="F26" s="22">
        <f>IF($B26="","",IF(LEN(VLOOKUP($B26,Database!$B$1:$IX$10144,5,FALSE))=0,"",VLOOKUP($B26,Database!$B$1:$IX$10144,5,FALSE)))</f>
        <v>2008</v>
      </c>
      <c r="G26" s="1" t="str">
        <f>IF($B26="","",HYPERLINK(IF(LEN(VLOOKUP($B26,Database!$B$1:$IX$10144,6,FALSE))=0,"",VLOOKUP($B26,Database!$B$1:$IX$10144,6,FALSE))))</f>
        <v>http://www.plosone.org/article/info:doi/10.1371/journal.pone.0001837</v>
      </c>
      <c r="H26" s="83">
        <v>24</v>
      </c>
      <c r="I26" s="83">
        <v>37</v>
      </c>
      <c r="J26" s="163" t="s">
        <v>2400</v>
      </c>
      <c r="K26" s="163" t="s">
        <v>2340</v>
      </c>
      <c r="L26">
        <v>3.51</v>
      </c>
      <c r="M26">
        <v>0.62</v>
      </c>
      <c r="N26">
        <v>3.36</v>
      </c>
      <c r="O26">
        <v>0.48</v>
      </c>
      <c r="P26">
        <v>3.72</v>
      </c>
      <c r="Q26">
        <v>0.59</v>
      </c>
      <c r="R26">
        <v>3.6</v>
      </c>
      <c r="S26">
        <v>0.53</v>
      </c>
      <c r="T26">
        <f>L26+P26</f>
        <v>7.23</v>
      </c>
      <c r="U26">
        <f>2*SQRT(0.25*(M26^2+Q26^2+2*$F$8*M26*Q26))</f>
        <v>1.1479459917609365</v>
      </c>
      <c r="V26">
        <f>N26+R26</f>
        <v>6.96</v>
      </c>
      <c r="W26">
        <f>2*SQRT(0.25*(O26^2+S26^2+2*$F$8*O26*S26))</f>
        <v>0.95830057915040423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65.900000000000006</v>
      </c>
      <c r="AC26" s="22">
        <f>IF(OR($B26="",AC$22=""),"",IF(LEN(VLOOKUP($B26,Database!$B$1:$IX$10144,AC$22,FALSE))=0,"",VLOOKUP($B26,Database!$B$1:$IX$10144,AC$22,FALSE)))</f>
        <v>5.5</v>
      </c>
      <c r="AD26" s="22">
        <f>IF(OR($B26="",AD$22=""),"",IF(LEN(VLOOKUP($B26,Database!$B$1:$IX$10144,AD$22,FALSE))=0,"",VLOOKUP($B26,Database!$B$1:$IX$10144,AD$22,FALSE)))</f>
        <v>69</v>
      </c>
      <c r="AE26" s="22">
        <f>IF(OR($B26="",AE$22=""),"",IF(LEN(VLOOKUP($B26,Database!$B$1:$IX$10144,AE$22,FALSE))=0,"",VLOOKUP($B26,Database!$B$1:$IX$10144,AE$22,FALSE)))</f>
        <v>5.5</v>
      </c>
      <c r="AF26" s="22">
        <f>IF(OR($B26="",AF$22=""),"",IF(LEN(VLOOKUP($B26,Database!$B$1:$IX$10144,AF$22,FALSE))=0,"",VLOOKUP($B26,Database!$B$1:$IX$10144,AF$22,FALSE)))</f>
        <v>37</v>
      </c>
      <c r="AG26" s="22">
        <f>IF(OR($B26="",AG$22=""),"",IF(LEN(VLOOKUP($B26,Database!$B$1:$IX$10144,AG$22,FALSE))=0,"",VLOOKUP($B26,Database!$B$1:$IX$10144,AG$22,FALSE)))</f>
        <v>29</v>
      </c>
      <c r="AH26" s="22">
        <f>IF(OR($B26="",AH$22=""),"",IF(LEN(VLOOKUP($B26,Database!$B$1:$IX$10144,AH$22,FALSE))=0,"",VLOOKUP($B26,Database!$B$1:$IX$10144,AH$22,FALSE)))</f>
        <v>3</v>
      </c>
      <c r="AI26" s="22">
        <f>IF(OR($B26="",AI$22=""),"",IF(LEN(VLOOKUP($B26,Database!$B$1:$IX$10144,AI$22,FALSE))=0,"",VLOOKUP($B26,Database!$B$1:$IX$10144,AI$22,FALSE)))</f>
        <v>1</v>
      </c>
      <c r="AJ26" s="22" t="str">
        <f>IF(OR($B26="",AJ$22=""),"",IF(LEN(VLOOKUP($B26,Database!$B$1:$IX$10144,AJ$22,FALSE))=0,"",VLOOKUP($B26,Database!$B$1:$IX$10144,AJ$22,FALSE)))</f>
        <v/>
      </c>
      <c r="AK26" s="22">
        <f>IF(OR($B26="",AK$22=""),"",IF(LEN(VLOOKUP($B26,Database!$B$1:$IX$10144,AK$22,FALSE))=0,"",VLOOKUP($B26,Database!$B$1:$IX$10144,AK$22,FALSE)))</f>
        <v>39.299999999999997</v>
      </c>
      <c r="AL26" s="22" t="str">
        <f>IF(OR($B26="",AL$22=""),"",IF(LEN(VLOOKUP($B26,Database!$B$1:$IX$10144,AL$22,FALSE))=0,"",VLOOKUP($B26,Database!$B$1:$IX$10144,AL$22,FALSE)))</f>
        <v>ns</v>
      </c>
      <c r="AM26" s="22">
        <f>IF(OR($B26="",AM$22=""),"",IF(LEN(VLOOKUP($B26,Database!$B$1:$IX$10144,AM$22,FALSE))=0,"",VLOOKUP($B26,Database!$B$1:$IX$10144,AM$22,FALSE)))</f>
        <v>88.52459016393442</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Zhao Z, Taylor WD, Styner M, Steffens DC, Krishnan KR, MacFall JR.</v>
      </c>
    </row>
    <row r="27" spans="1:43">
      <c r="B27">
        <v>19028381</v>
      </c>
      <c r="C27" s="1" t="str">
        <f>IF($B27="","",HYPERLINK(IF(LEN(VLOOKUP($B27,Database!$B$1:$IX$10144,2,FALSE))=0,"",VLOOKUP($B27,Database!$B$1:$IX$10144,2,FALSE))))</f>
        <v/>
      </c>
      <c r="D27" s="1" t="str">
        <f>IF($B27="","",HYPERLINK(CONCATENATE("http://www.ncbi.nlm.nih.gov/pubmed/",B27)))</f>
        <v>http://www.ncbi.nlm.nih.gov/pubmed/19028381</v>
      </c>
      <c r="E27" s="22" t="str">
        <f>IF($B27="","",IF(LEN(VLOOKUP($B27,Database!$B$1:$IX$10144,4,FALSE))=0,"",VLOOKUP($B27,Database!$B$1:$IX$10144,4,FALSE)))</f>
        <v>van Eijndhoven P</v>
      </c>
      <c r="F27" s="22">
        <f>IF($B27="","",IF(LEN(VLOOKUP($B27,Database!$B$1:$IX$10144,5,FALSE))=0,"",VLOOKUP($B27,Database!$B$1:$IX$10144,5,FALSE)))</f>
        <v>2009</v>
      </c>
      <c r="G27" s="1" t="str">
        <f>IF($B27="","",HYPERLINK(IF(LEN(VLOOKUP($B27,Database!$B$1:$IX$10144,6,FALSE))=0,"",VLOOKUP($B27,Database!$B$1:$IX$10144,6,FALSE))))</f>
        <v>http://dx.doi.org/10.1016/j.biopsych.2008.10.027</v>
      </c>
      <c r="H27" s="83">
        <v>20</v>
      </c>
      <c r="I27" s="83">
        <v>20</v>
      </c>
      <c r="J27" s="163" t="s">
        <v>1379</v>
      </c>
      <c r="K27" s="163" t="s">
        <v>2341</v>
      </c>
      <c r="L27">
        <v>3600</v>
      </c>
      <c r="M27">
        <v>360</v>
      </c>
      <c r="N27">
        <v>3620</v>
      </c>
      <c r="O27">
        <v>385</v>
      </c>
      <c r="P27">
        <v>3815</v>
      </c>
      <c r="Q27">
        <v>459</v>
      </c>
      <c r="R27">
        <v>3752</v>
      </c>
      <c r="S27">
        <v>442</v>
      </c>
      <c r="T27">
        <f>L27+P27</f>
        <v>7415</v>
      </c>
      <c r="U27">
        <f>2*SQRT(0.25*(M27^2+Q27^2+2*$F$8*M27*Q27))</f>
        <v>777.60208333054254</v>
      </c>
      <c r="V27">
        <f>N27+R27</f>
        <v>7372</v>
      </c>
      <c r="W27">
        <f>2*SQRT(0.25*(O27^2+S27^2+2*$F$8*O27*S27))</f>
        <v>784.76811861848716</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f>IF(OR($B27="",AD$22=""),"",IF(LEN(VLOOKUP($B27,Database!$B$1:$IX$10144,AD$22,FALSE))=0,"",VLOOKUP($B27,Database!$B$1:$IX$10144,AD$22,FALSE)))</f>
        <v>37.299999999999997</v>
      </c>
      <c r="AE27" s="22">
        <f>IF(OR($B27="",AE$22=""),"",IF(LEN(VLOOKUP($B27,Database!$B$1:$IX$10144,AE$22,FALSE))=0,"",VLOOKUP($B27,Database!$B$1:$IX$10144,AE$22,FALSE)))</f>
        <v>12.7</v>
      </c>
      <c r="AF27" s="22">
        <f>IF(OR($B27="",AF$22=""),"",IF(LEN(VLOOKUP($B27,Database!$B$1:$IX$10144,AF$22,FALSE))=0,"",VLOOKUP($B27,Database!$B$1:$IX$10144,AF$22,FALSE)))</f>
        <v>27</v>
      </c>
      <c r="AG27" s="22">
        <f>IF(OR($B27="",AG$22=""),"",IF(LEN(VLOOKUP($B27,Database!$B$1:$IX$10144,AG$22,FALSE))=0,"",VLOOKUP($B27,Database!$B$1:$IX$10144,AG$22,FALSE)))</f>
        <v>13</v>
      </c>
      <c r="AH27" s="22">
        <f>IF(OR($B27="",AH$22=""),"",IF(LEN(VLOOKUP($B27,Database!$B$1:$IX$10144,AH$22,FALSE))=0,"",VLOOKUP($B27,Database!$B$1:$IX$10144,AH$22,FALSE)))</f>
        <v>1.5</v>
      </c>
      <c r="AI27" s="22">
        <f>IF(OR($B27="",AI$22=""),"",IF(LEN(VLOOKUP($B27,Database!$B$1:$IX$10144,AI$22,FALSE))=0,"",VLOOKUP($B27,Database!$B$1:$IX$10144,AI$22,FALSE)))</f>
        <v>1</v>
      </c>
      <c r="AJ27" s="22" t="str">
        <f>IF(OR($B27="",AJ$22=""),"",IF(LEN(VLOOKUP($B27,Database!$B$1:$IX$10144,AJ$22,FALSE))=0,"",VLOOKUP($B27,Database!$B$1:$IX$10144,AJ$22,FALSE)))</f>
        <v/>
      </c>
      <c r="AK27" s="22" t="str">
        <f>IF(OR($B27="",AK$22=""),"",IF(LEN(VLOOKUP($B27,Database!$B$1:$IX$10144,AK$22,FALSE))=0,"",VLOOKUP($B27,Database!$B$1:$IX$10144,AK$22,FALSE)))</f>
        <v>split depending on current depression or previous depression</v>
      </c>
      <c r="AL27" s="22" t="str">
        <f>IF(OR($B27="",AL$22=""),"",IF(LEN(VLOOKUP($B27,Database!$B$1:$IX$10144,AL$22,FALSE))=0,"",VLOOKUP($B27,Database!$B$1:$IX$10144,AL$22,FALSE)))</f>
        <v>split depending on current depression or previous depression</v>
      </c>
      <c r="AM27" s="22">
        <f>IF(OR($B27="",AM$22=""),"",IF(LEN(VLOOKUP($B27,Database!$B$1:$IX$10144,AM$22,FALSE))=0,"",VLOOKUP($B27,Database!$B$1:$IX$10144,AM$22,FALSE)))</f>
        <v>0</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van Eijndhoven P, van Wingen G, van Oijen K, Rijpkema M, Goraj B, Jan Verkes R, Oude Voshaar R, Fernández G, Buitelaar J, Tendolkar I.</v>
      </c>
    </row>
    <row r="28" spans="1:43">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43">
      <c r="A29" s="4" t="s">
        <v>2011</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43">
      <c r="A30" s="10" t="s">
        <v>2397</v>
      </c>
      <c r="B30">
        <v>18787661</v>
      </c>
      <c r="C30" s="1" t="str">
        <f>IF($B30="","",HYPERLINK(IF(LEN(VLOOKUP($B30,Database!$B$1:$IX$10144,2,FALSE))=0,"",VLOOKUP($B30,Database!$B$1:$IX$10144,2,FALSE))))</f>
        <v/>
      </c>
      <c r="D30" s="1" t="str">
        <f>IF($B30="","",HYPERLINK(CONCATENATE("http://www.ncbi.nlm.nih.gov/pubmed/",B30)))</f>
        <v>http://www.ncbi.nlm.nih.gov/pubmed/18787661</v>
      </c>
      <c r="E30" s="22" t="str">
        <f>IF($B30="","",IF(LEN(VLOOKUP($B30,Database!$B$1:$IX$10144,4,FALSE))=0,"",VLOOKUP($B30,Database!$B$1:$IX$10144,4,FALSE)))</f>
        <v>Frodl T (C)</v>
      </c>
      <c r="F30" s="22">
        <f>IF($B30="","",IF(LEN(VLOOKUP($B30,Database!$B$1:$IX$10144,5,FALSE))=0,"",VLOOKUP($B30,Database!$B$1:$IX$10144,5,FALSE)))</f>
        <v>2008</v>
      </c>
      <c r="G30" s="1" t="str">
        <f>IF($B30="","",HYPERLINK(IF(LEN(VLOOKUP($B30,Database!$B$1:$IX$10144,6,FALSE))=0,"",VLOOKUP($B30,Database!$B$1:$IX$10144,6,FALSE))))</f>
        <v>http://www.cma.ca/multimedia/staticContent/HTML/N0/l2/jpn/vol-33/issue-5/pdf/pg423.pdf</v>
      </c>
      <c r="H30" s="22">
        <f>IF($B30="","",IF(LEN(VLOOKUP($B30,Database!$B$1:$IX$10144,7,FALSE))=0,"",VLOOKUP($B30,Database!$B$1:$IX$10144,7,FALSE)))</f>
        <v>30</v>
      </c>
      <c r="I30" s="22">
        <f>IF($B30="","",IF(LEN(VLOOKUP($B30,Database!$B$1:$IX$10144,8,FALSE))=0,"",VLOOKUP($B30,Database!$B$1:$IX$10144,8,FALSE)))</f>
        <v>30</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45</v>
      </c>
      <c r="AC30" s="22">
        <f>IF(OR($B30="",AC$22=""),"",IF(LEN(VLOOKUP($B30,Database!$B$1:$IX$10144,AC$22,FALSE))=0,"",VLOOKUP($B30,Database!$B$1:$IX$10144,AC$22,FALSE)))</f>
        <v>11.1</v>
      </c>
      <c r="AD30" s="22">
        <f>IF(OR($B30="",AD$22=""),"",IF(LEN(VLOOKUP($B30,Database!$B$1:$IX$10144,AD$22,FALSE))=0,"",VLOOKUP($B30,Database!$B$1:$IX$10144,AD$22,FALSE)))</f>
        <v>43.6</v>
      </c>
      <c r="AE30" s="22">
        <f>IF(OR($B30="",AE$22=""),"",IF(LEN(VLOOKUP($B30,Database!$B$1:$IX$10144,AE$22,FALSE))=0,"",VLOOKUP($B30,Database!$B$1:$IX$10144,AE$22,FALSE)))</f>
        <v>13.1</v>
      </c>
      <c r="AF30" s="22">
        <f>IF(OR($B30="",AF$22=""),"",IF(LEN(VLOOKUP($B30,Database!$B$1:$IX$10144,AF$22,FALSE))=0,"",VLOOKUP($B30,Database!$B$1:$IX$10144,AF$22,FALSE)))</f>
        <v>19</v>
      </c>
      <c r="AG30" s="22">
        <f>IF(OR($B30="",AG$22=""),"",IF(LEN(VLOOKUP($B30,Database!$B$1:$IX$10144,AG$22,FALSE))=0,"",VLOOKUP($B30,Database!$B$1:$IX$10144,AG$22,FALSE)))</f>
        <v>19</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39.299999999999997</v>
      </c>
      <c r="AL30" s="22">
        <f>IF(OR($B30="",AL$22=""),"",IF(LEN(VLOOKUP($B30,Database!$B$1:$IX$10144,AL$22,FALSE))=0,"",VLOOKUP($B30,Database!$B$1:$IX$10144,AL$22,FALSE)))</f>
        <v>24</v>
      </c>
      <c r="AM30" s="22">
        <f>IF(OR($B30="",AM$22=""),"",IF(LEN(VLOOKUP($B30,Database!$B$1:$IX$10144,AM$22,FALSE))=0,"",VLOOKUP($B30,Database!$B$1:$IX$10144,AM$22,FALSE)))</f>
        <v>96.666666666666671</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Frodl T, Jäger M, Smajstrlova I, Born C, Bottlender R, Palladino T, Reiser M, Möller HJ, Meisenzahl EM.</v>
      </c>
    </row>
    <row r="31" spans="1:43">
      <c r="A31" s="4"/>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43">
      <c r="I32" s="22" t="str">
        <f>IF($B32="","",IF(LEN(VLOOKUP($B32,Database!$B$1:$IX$10144,8,FALSE))=0,"",VLOOKUP($B32,Database!$B$1:$IX$10144,8,FALSE)))</f>
        <v/>
      </c>
      <c r="AF32" t="s">
        <v>602</v>
      </c>
      <c r="AJ32" t="s">
        <v>329</v>
      </c>
      <c r="AN32" t="s">
        <v>330</v>
      </c>
    </row>
    <row r="33" spans="5:55"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5">
      <c r="E34" t="str">
        <f t="shared" ref="E34:F37" si="0">E24</f>
        <v>Caetano SC</v>
      </c>
      <c r="F34">
        <f t="shared" si="0"/>
        <v>2004</v>
      </c>
      <c r="G34">
        <v>4</v>
      </c>
      <c r="H34">
        <f t="shared" ref="H34:I37" si="1">H24</f>
        <v>10</v>
      </c>
      <c r="I34">
        <f t="shared" si="1"/>
        <v>21</v>
      </c>
      <c r="J34">
        <f t="shared" ref="J34:M35" si="2">IF($D$4="Total",T24,IF($D$4="Left",L24,IF($D$4="Right",P24,"error")))</f>
        <v>6.77</v>
      </c>
      <c r="K34">
        <f t="shared" si="2"/>
        <v>0.90218623354604566</v>
      </c>
      <c r="L34">
        <f t="shared" si="2"/>
        <v>6.43</v>
      </c>
      <c r="M34">
        <f t="shared" si="2"/>
        <v>0.79729542830747502</v>
      </c>
      <c r="N34">
        <f>IF($D$3=1,SQRT((((I34-1)*(M34)^2)+((H34-1)*(K34)^2))/(H34+I34-2)),M34)</f>
        <v>0.83126534209331571</v>
      </c>
      <c r="O34" s="59">
        <f>IF($D$6=1,LN(J34/L34),IF($D$5=1,(1-3/(4*(H34+I34)-9))*((J34-L34)/N34),(J34-L34)/N34))</f>
        <v>0.39834505062937742</v>
      </c>
      <c r="P34" s="63">
        <f>IF($D$6=1,(K34^2)/(H34*J34^2)+(M34^2)/(I34*L34^2),(IF($D$5=1,((H34+I34)/(H34*I34))+(O34*O34)/(2*(H34+I34-3.94)),((H34+I34)/(H34*I34))+((O34^2)/(2*(H34+I34-2))))))</f>
        <v>0.15055102802113413</v>
      </c>
      <c r="Q34" s="59">
        <f>$R$54*SQRT(P34)</f>
        <v>0.76049775098023054</v>
      </c>
      <c r="R34" s="59">
        <f>1/P34</f>
        <v>6.6422661681169091</v>
      </c>
      <c r="S34" s="59">
        <f>O34*R34</f>
        <v>2.6459138530323307</v>
      </c>
      <c r="T34" s="59">
        <f>R34*(O34^2)</f>
        <v>1.0539866877471349</v>
      </c>
      <c r="U34" s="23">
        <f>R34^2</f>
        <v>44.119699848110486</v>
      </c>
      <c r="V34" s="59">
        <f>1/((1/R34)+$I$51)</f>
        <v>6.5003802380956754</v>
      </c>
      <c r="W34" s="59">
        <f>V34*O34</f>
        <v>2.5893942950544262</v>
      </c>
      <c r="AF34" s="59">
        <f>IF($D$6=1,100*((EXP(O34))-1),O34)</f>
        <v>0.39834505062937742</v>
      </c>
      <c r="AG34" s="59">
        <f>IF($D$6=1,100*(EXP(O34+Q34)-EXP(O34)),Q34)</f>
        <v>0.76049775098023054</v>
      </c>
      <c r="AH34" s="59">
        <f>IF($D$6=1,100*(EXP(O34)-EXP(O34-Q34)),Q34)</f>
        <v>0.76049775098023054</v>
      </c>
      <c r="AJ34">
        <f>SQRT(P34)</f>
        <v>0.38800905662256663</v>
      </c>
      <c r="AK34">
        <f>1/AJ34</f>
        <v>2.5772594297270328</v>
      </c>
      <c r="AL34">
        <f>O34/AJ34</f>
        <v>1.0266385380196552</v>
      </c>
      <c r="AN34" t="str">
        <f t="shared" ref="AN34:AO37" si="3">E34</f>
        <v>Caetano SC</v>
      </c>
      <c r="AO34">
        <f t="shared" si="3"/>
        <v>2004</v>
      </c>
      <c r="AP34" t="str">
        <f>CONCATENATE(AN34," ",AO34)</f>
        <v>Caetano SC 2004</v>
      </c>
      <c r="AQ34">
        <f>INT(H34)</f>
        <v>10</v>
      </c>
      <c r="AR34">
        <f t="shared" ref="AR34:AS37" si="4">J34</f>
        <v>6.77</v>
      </c>
      <c r="AS34">
        <f t="shared" si="4"/>
        <v>0.90218623354604566</v>
      </c>
      <c r="AT34">
        <f>INT(I34)</f>
        <v>21</v>
      </c>
      <c r="AU34">
        <f t="shared" ref="AU34:AV37" si="5">L34</f>
        <v>6.43</v>
      </c>
      <c r="AV34">
        <f t="shared" si="5"/>
        <v>0.79729542830747502</v>
      </c>
      <c r="AW34" s="65">
        <f>O34</f>
        <v>0.39834505062937742</v>
      </c>
      <c r="AX34">
        <f>SQRT(P34)</f>
        <v>0.38800905662256663</v>
      </c>
      <c r="AY34" t="str">
        <f>$F$4</f>
        <v>Total</v>
      </c>
      <c r="BC34" s="23"/>
    </row>
    <row r="35" spans="5:55">
      <c r="E35" t="str">
        <f t="shared" si="0"/>
        <v>Frodl T (B)</v>
      </c>
      <c r="F35">
        <f t="shared" si="0"/>
        <v>2004</v>
      </c>
      <c r="G35">
        <v>3</v>
      </c>
      <c r="H35">
        <f t="shared" si="1"/>
        <v>18</v>
      </c>
      <c r="I35">
        <f t="shared" si="1"/>
        <v>12</v>
      </c>
      <c r="J35">
        <f t="shared" si="2"/>
        <v>7.6899999999999995</v>
      </c>
      <c r="K35">
        <f t="shared" si="2"/>
        <v>0.48466483264210536</v>
      </c>
      <c r="L35">
        <f t="shared" si="2"/>
        <v>7.1999999999999993</v>
      </c>
      <c r="M35">
        <f t="shared" si="2"/>
        <v>0.569771884178221</v>
      </c>
      <c r="N35">
        <f>IF($D$3=1,SQRT((((I35-1)*(M35)^2)+((H35-1)*(K35)^2))/(H35+I35-2)),M35)</f>
        <v>0.51976436969072826</v>
      </c>
      <c r="O35" s="59">
        <f>IF($D$6=1,LN(J35/L35),IF($D$5=1,(1-3/(4*(H35+I35)-9))*((J35-L35)/N35),(J35-L35)/N35))</f>
        <v>0.91725555762977418</v>
      </c>
      <c r="P35" s="63">
        <f>IF($D$6=1,(K35^2)/(H35*J35^2)+(M35^2)/(I35*L35^2),(IF($D$5=1,((H35+I35)/(H35*I35))+(O35*O35)/(2*(H35+I35-3.94)),((H35+I35)/(H35*I35))+((O35^2)/(2*(H35+I35-2))))))</f>
        <v>0.15503159337858013</v>
      </c>
      <c r="Q35" s="59">
        <f>$R$54*SQRT(P35)</f>
        <v>0.77173140996278844</v>
      </c>
      <c r="R35" s="59">
        <f>1/P35</f>
        <v>6.4502981502489316</v>
      </c>
      <c r="S35" s="59">
        <f>O35*R35</f>
        <v>5.9165718266848843</v>
      </c>
      <c r="T35" s="59">
        <f>R35*(O35^2)</f>
        <v>5.4270083901424551</v>
      </c>
      <c r="U35" s="23">
        <f>R35^2</f>
        <v>41.606346227104787</v>
      </c>
      <c r="V35" s="59">
        <f>1/((1/R35)+$I$51)</f>
        <v>6.3164123379587345</v>
      </c>
      <c r="W35" s="59">
        <f>V35*O35</f>
        <v>5.7937643212739243</v>
      </c>
      <c r="AF35" s="59">
        <f>IF($D$6=1,100*((EXP(O35))-1),O35)</f>
        <v>0.91725555762977418</v>
      </c>
      <c r="AG35" s="59">
        <f>IF($D$6=1,100*(EXP(O35+Q35)-EXP(O35)),Q35)</f>
        <v>0.77173140996278844</v>
      </c>
      <c r="AH35" s="59">
        <f>IF($D$6=1,100*(EXP(O35)-EXP(O35-Q35)),Q35)</f>
        <v>0.77173140996278844</v>
      </c>
      <c r="AJ35">
        <f>SQRT(P35)</f>
        <v>0.39374051528713694</v>
      </c>
      <c r="AK35">
        <f>1/AJ35</f>
        <v>2.5397437174346811</v>
      </c>
      <c r="AL35">
        <f>O35/AJ35</f>
        <v>2.3295940397722639</v>
      </c>
      <c r="AN35" t="str">
        <f t="shared" si="3"/>
        <v>Frodl T (B)</v>
      </c>
      <c r="AO35">
        <f t="shared" si="3"/>
        <v>2004</v>
      </c>
      <c r="AP35" t="str">
        <f>CONCATENATE(AN35," ",AO35)</f>
        <v>Frodl T (B) 2004</v>
      </c>
      <c r="AQ35">
        <f>INT(H35)</f>
        <v>18</v>
      </c>
      <c r="AR35">
        <f t="shared" si="4"/>
        <v>7.6899999999999995</v>
      </c>
      <c r="AS35">
        <f t="shared" si="4"/>
        <v>0.48466483264210536</v>
      </c>
      <c r="AT35">
        <f>INT(I35)</f>
        <v>12</v>
      </c>
      <c r="AU35">
        <f t="shared" si="5"/>
        <v>7.1999999999999993</v>
      </c>
      <c r="AV35">
        <f t="shared" si="5"/>
        <v>0.569771884178221</v>
      </c>
      <c r="AW35" s="65">
        <f>O35</f>
        <v>0.91725555762977418</v>
      </c>
      <c r="AX35">
        <f>SQRT(P35)</f>
        <v>0.39374051528713694</v>
      </c>
      <c r="AY35" t="str">
        <f>F3</f>
        <v>Pooled SD</v>
      </c>
      <c r="BC35" s="23"/>
    </row>
    <row r="36" spans="5:55">
      <c r="E36" t="str">
        <f t="shared" si="0"/>
        <v>Zhao Z</v>
      </c>
      <c r="F36">
        <f t="shared" si="0"/>
        <v>2008</v>
      </c>
      <c r="G36">
        <v>2</v>
      </c>
      <c r="H36">
        <f t="shared" si="1"/>
        <v>24</v>
      </c>
      <c r="I36">
        <f t="shared" si="1"/>
        <v>37</v>
      </c>
      <c r="J36">
        <f t="shared" ref="J36:M37" si="6">IF($D$4="Total",T26,IF($D$4="Left",L26,IF($D$4="Right",P26,"error")))</f>
        <v>7.23</v>
      </c>
      <c r="K36">
        <f t="shared" si="6"/>
        <v>1.1479459917609365</v>
      </c>
      <c r="L36">
        <f t="shared" si="6"/>
        <v>6.96</v>
      </c>
      <c r="M36">
        <f t="shared" si="6"/>
        <v>0.95830057915040423</v>
      </c>
      <c r="N36">
        <f>IF($D$3=1,SQRT((((I36-1)*(M36)^2)+((H36-1)*(K36)^2))/(H36+I36-2)),M36)</f>
        <v>1.0363657164848155</v>
      </c>
      <c r="O36" s="59">
        <f>IF($D$6=1,LN(J36/L36),IF($D$5=1,(1-3/(4*(H36+I36)-9))*((J36-L36)/N36),(J36-L36)/N36))</f>
        <v>0.25719993169348304</v>
      </c>
      <c r="P36" s="63">
        <f>IF($D$6=1,(K36^2)/(H36*J36^2)+(M36^2)/(I36*L36^2),(IF($D$5=1,((H36+I36)/(H36*I36))+(O36*O36)/(2*(H36+I36-3.94)),((H36+I36)/(H36*I36))+((O36^2)/(2*(H36+I36-2))))))</f>
        <v>6.9273362506023992E-2</v>
      </c>
      <c r="Q36" s="59">
        <f>$R$54*SQRT(P36)</f>
        <v>0.51586873272484912</v>
      </c>
      <c r="R36" s="59">
        <f>1/P36</f>
        <v>14.435563163445982</v>
      </c>
      <c r="S36" s="59">
        <f>O36*R36</f>
        <v>3.7128258595952666</v>
      </c>
      <c r="T36" s="59">
        <f>R36*(O36^2)</f>
        <v>0.95493855747769996</v>
      </c>
      <c r="U36" s="23">
        <f>R36^2</f>
        <v>208.38548384583856</v>
      </c>
      <c r="V36" s="59">
        <f>1/((1/R36)+$I$51)</f>
        <v>13.781794936304406</v>
      </c>
      <c r="W36" s="59">
        <f>V36*O36</f>
        <v>3.5446767162310837</v>
      </c>
      <c r="AF36" s="59">
        <f>IF($D$6=1,100*((EXP(O36))-1),O36)</f>
        <v>0.25719993169348304</v>
      </c>
      <c r="AG36" s="59">
        <f>IF($D$6=1,100*(EXP(O36+Q36)-EXP(O36)),Q36)</f>
        <v>0.51586873272484912</v>
      </c>
      <c r="AH36" s="59">
        <f>IF($D$6=1,100*(EXP(O36)-EXP(O36-Q36)),Q36)</f>
        <v>0.51586873272484912</v>
      </c>
      <c r="AJ36">
        <f>SQRT(P36)</f>
        <v>0.2631983330228822</v>
      </c>
      <c r="AK36">
        <f>1/AJ36</f>
        <v>3.7994161608655057</v>
      </c>
      <c r="AL36">
        <f>O36/AJ36</f>
        <v>0.97720957704972367</v>
      </c>
      <c r="AN36" t="str">
        <f t="shared" si="3"/>
        <v>Zhao Z</v>
      </c>
      <c r="AO36">
        <f t="shared" si="3"/>
        <v>2008</v>
      </c>
      <c r="AP36" t="str">
        <f>CONCATENATE(AN36," ",AO36)</f>
        <v>Zhao Z 2008</v>
      </c>
      <c r="AQ36">
        <f>INT(H36)</f>
        <v>24</v>
      </c>
      <c r="AR36">
        <f t="shared" si="4"/>
        <v>7.23</v>
      </c>
      <c r="AS36">
        <f t="shared" si="4"/>
        <v>1.1479459917609365</v>
      </c>
      <c r="AT36">
        <f>INT(I36)</f>
        <v>37</v>
      </c>
      <c r="AU36">
        <f t="shared" si="5"/>
        <v>6.96</v>
      </c>
      <c r="AV36">
        <f t="shared" si="5"/>
        <v>0.95830057915040423</v>
      </c>
      <c r="AW36" s="65">
        <f>O36</f>
        <v>0.25719993169348304</v>
      </c>
      <c r="AX36">
        <f>SQRT(P36)</f>
        <v>0.2631983330228822</v>
      </c>
      <c r="BC36" s="23"/>
    </row>
    <row r="37" spans="5:55">
      <c r="E37" t="str">
        <f t="shared" si="0"/>
        <v>van Eijndhoven P</v>
      </c>
      <c r="F37">
        <f t="shared" si="0"/>
        <v>2009</v>
      </c>
      <c r="G37">
        <v>1</v>
      </c>
      <c r="H37">
        <f t="shared" si="1"/>
        <v>20</v>
      </c>
      <c r="I37">
        <f t="shared" si="1"/>
        <v>20</v>
      </c>
      <c r="J37">
        <f t="shared" si="6"/>
        <v>7415</v>
      </c>
      <c r="K37">
        <f t="shared" si="6"/>
        <v>777.60208333054254</v>
      </c>
      <c r="L37">
        <f t="shared" si="6"/>
        <v>7372</v>
      </c>
      <c r="M37">
        <f t="shared" si="6"/>
        <v>784.76811861848716</v>
      </c>
      <c r="N37">
        <f>IF($D$3=1,SQRT((((I37-1)*(M37)^2)+((H37-1)*(K37)^2))/(H37+I37-2)),M37)</f>
        <v>781.19331794377251</v>
      </c>
      <c r="O37" s="59">
        <f>IF($D$6=1,LN(J37/L37),IF($D$5=1,(1-3/(4*(H37+I37)-9))*((J37-L37)/N37),(J37-L37)/N37))</f>
        <v>5.3950404331635497E-2</v>
      </c>
      <c r="P37" s="63">
        <f>IF($D$6=1,(K37^2)/(H37*J37^2)+(M37^2)/(I37*L37^2),(IF($D$5=1,((H37+I37)/(H37*I37))+(O37*O37)/(2*(H37+I37-3.94)),((H37+I37)/(H37*I37))+((O37^2)/(2*(H37+I37-2))))))</f>
        <v>0.10004035837669921</v>
      </c>
      <c r="Q37" s="59">
        <f>$R$54*SQRT(P37)</f>
        <v>0.6199314806814763</v>
      </c>
      <c r="R37" s="59">
        <f>1/P37</f>
        <v>9.9959657904715566</v>
      </c>
      <c r="S37" s="59">
        <f>O37*R37</f>
        <v>0.53928639608113693</v>
      </c>
      <c r="T37" s="59">
        <f>R37*(O37^2)</f>
        <v>2.9094719119127865E-2</v>
      </c>
      <c r="U37" s="23">
        <f>R37^2</f>
        <v>99.919332084277656</v>
      </c>
      <c r="V37" s="59">
        <f>1/((1/R37)+$I$51)</f>
        <v>9.6780607595821007</v>
      </c>
      <c r="W37" s="59">
        <f>V37*O37</f>
        <v>0.52213529112558965</v>
      </c>
      <c r="AF37" s="59">
        <f>IF($D$6=1,100*((EXP(O37))-1),O37)</f>
        <v>5.3950404331635497E-2</v>
      </c>
      <c r="AG37" s="59">
        <f>IF($D$6=1,100*(EXP(O37+Q37)-EXP(O37)),Q37)</f>
        <v>0.6199314806814763</v>
      </c>
      <c r="AH37" s="59">
        <f>IF($D$6=1,100*(EXP(O37)-EXP(O37-Q37)),Q37)</f>
        <v>0.6199314806814763</v>
      </c>
      <c r="AJ37">
        <f>SQRT(P37)</f>
        <v>0.31629157177626344</v>
      </c>
      <c r="AK37">
        <f>1/AJ37</f>
        <v>3.1616397312900086</v>
      </c>
      <c r="AL37">
        <f>O37/AJ37</f>
        <v>0.17057174185405938</v>
      </c>
      <c r="AN37" t="str">
        <f t="shared" si="3"/>
        <v>van Eijndhoven P</v>
      </c>
      <c r="AO37">
        <f t="shared" si="3"/>
        <v>2009</v>
      </c>
      <c r="AP37" t="str">
        <f>CONCATENATE(AN37," ",AO37)</f>
        <v>van Eijndhoven P 2009</v>
      </c>
      <c r="AQ37">
        <f>INT(H37)</f>
        <v>20</v>
      </c>
      <c r="AR37">
        <f t="shared" si="4"/>
        <v>7415</v>
      </c>
      <c r="AS37">
        <f t="shared" si="4"/>
        <v>777.60208333054254</v>
      </c>
      <c r="AT37">
        <f>INT(I37)</f>
        <v>20</v>
      </c>
      <c r="AU37">
        <f t="shared" si="5"/>
        <v>7372</v>
      </c>
      <c r="AV37">
        <f t="shared" si="5"/>
        <v>784.76811861848716</v>
      </c>
      <c r="AW37" s="65">
        <f>O37</f>
        <v>5.3950404331635497E-2</v>
      </c>
      <c r="AX37">
        <f>SQRT(P37)</f>
        <v>0.31629157177626344</v>
      </c>
      <c r="BC37" s="23"/>
    </row>
    <row r="38" spans="5:55">
      <c r="U38" s="23"/>
    </row>
    <row r="39" spans="5:55">
      <c r="L39" t="s">
        <v>500</v>
      </c>
      <c r="N39" s="7"/>
      <c r="O39" s="66">
        <f>COUNT(O34:O37)</f>
        <v>4</v>
      </c>
      <c r="Q39" t="s">
        <v>885</v>
      </c>
      <c r="R39" s="59">
        <f t="shared" ref="R39:W39" si="7">SUM(R34:R37)</f>
        <v>37.52409327228338</v>
      </c>
      <c r="S39" s="59">
        <f t="shared" si="7"/>
        <v>12.814597935393618</v>
      </c>
      <c r="T39" s="59">
        <f t="shared" si="7"/>
        <v>7.4650283544864173</v>
      </c>
      <c r="U39" s="23">
        <f t="shared" si="7"/>
        <v>394.03086200533147</v>
      </c>
      <c r="V39" s="59">
        <f t="shared" si="7"/>
        <v>36.276648271940921</v>
      </c>
      <c r="W39" s="59">
        <f t="shared" si="7"/>
        <v>12.449970623685024</v>
      </c>
    </row>
    <row r="40" spans="5:55">
      <c r="L40" t="s">
        <v>501</v>
      </c>
      <c r="N40" s="7"/>
      <c r="O40" s="2">
        <v>0</v>
      </c>
    </row>
    <row r="41" spans="5:55">
      <c r="N41" s="7"/>
      <c r="O41" s="7"/>
    </row>
    <row r="42" spans="5:55">
      <c r="G42" s="67" t="s">
        <v>502</v>
      </c>
      <c r="H42" s="40"/>
      <c r="I42" s="40">
        <f>S39/R39</f>
        <v>0.34150320015484376</v>
      </c>
      <c r="J42" s="40"/>
      <c r="K42" s="68" t="s">
        <v>879</v>
      </c>
      <c r="L42" s="40"/>
      <c r="M42" s="42"/>
      <c r="N42" s="7"/>
      <c r="O42" s="69" t="s">
        <v>503</v>
      </c>
      <c r="P42" s="70">
        <f>T39-((S39^2)/R39)</f>
        <v>3.0888021508518433</v>
      </c>
      <c r="Q42" s="71" t="s">
        <v>824</v>
      </c>
      <c r="R42" s="28"/>
      <c r="S42" s="29"/>
      <c r="T42" s="30"/>
      <c r="U42" s="31"/>
      <c r="AF42" s="2" t="s">
        <v>1518</v>
      </c>
    </row>
    <row r="43" spans="5:55">
      <c r="G43" s="43" t="s">
        <v>504</v>
      </c>
      <c r="H43" s="31"/>
      <c r="I43" s="31">
        <f>1/R39</f>
        <v>2.6649544673705287E-2</v>
      </c>
      <c r="J43" s="31"/>
      <c r="K43" s="31"/>
      <c r="L43" s="31"/>
      <c r="M43" s="44"/>
      <c r="N43" s="7"/>
      <c r="O43" s="30" t="s">
        <v>505</v>
      </c>
      <c r="P43" s="31">
        <f>CHIDIST(P42,I47-1)</f>
        <v>0.37813519929248213</v>
      </c>
      <c r="Q43" s="31"/>
      <c r="R43" s="31"/>
      <c r="S43" s="34"/>
      <c r="T43" s="30"/>
      <c r="U43" s="31"/>
      <c r="AF43" s="2"/>
    </row>
    <row r="44" spans="5:55">
      <c r="G44" s="72" t="s">
        <v>506</v>
      </c>
      <c r="H44" s="31"/>
      <c r="I44" s="31">
        <f>$R$54*SQRT(I43)</f>
        <v>0.31996388986650703</v>
      </c>
      <c r="J44" s="31"/>
      <c r="K44" s="31" t="s">
        <v>507</v>
      </c>
      <c r="L44" s="31"/>
      <c r="M44" s="44">
        <f>ABS(I42/SQRT(I43))</f>
        <v>2.0919431645325774</v>
      </c>
      <c r="N44" s="7"/>
      <c r="O44" s="35" t="s">
        <v>508</v>
      </c>
      <c r="P44" s="37">
        <f>IF(((P42-(I47-1))/P42)&lt;0,0,100*((P42-(I47-1))/P42))</f>
        <v>2.8749705068469034</v>
      </c>
      <c r="Q44" s="36"/>
      <c r="R44" s="36"/>
      <c r="S44" s="38"/>
      <c r="T44" s="30"/>
      <c r="U44" s="31"/>
      <c r="AF44" s="2" t="s">
        <v>1535</v>
      </c>
      <c r="AH44">
        <f>IF($D$6=1,100*((EXP(I42))-1),I42)</f>
        <v>0.34150320015484376</v>
      </c>
    </row>
    <row r="45" spans="5:55">
      <c r="G45" s="45" t="s">
        <v>509</v>
      </c>
      <c r="H45" s="46"/>
      <c r="I45" s="46">
        <v>-2</v>
      </c>
      <c r="J45" s="46"/>
      <c r="K45" s="46" t="s">
        <v>825</v>
      </c>
      <c r="L45" s="46"/>
      <c r="M45" s="47">
        <f>2*(1-NORMDIST(M44,0,1,1))</f>
        <v>3.6443600198044601E-2</v>
      </c>
      <c r="N45" s="7"/>
      <c r="O45" s="7"/>
      <c r="AF45" s="79" t="s">
        <v>834</v>
      </c>
      <c r="AH45">
        <f>IF($D$6=1,100*(EXP(I42+I44)-EXP(I42)),I44)</f>
        <v>0.31996388986650703</v>
      </c>
    </row>
    <row r="46" spans="5:55">
      <c r="G46" s="40"/>
      <c r="H46" s="40"/>
      <c r="I46" s="40"/>
      <c r="J46" s="40"/>
      <c r="K46" s="40"/>
      <c r="L46" s="40"/>
      <c r="M46" s="40"/>
      <c r="N46" s="7"/>
      <c r="O46" s="7"/>
      <c r="AF46" s="79" t="s">
        <v>835</v>
      </c>
      <c r="AH46">
        <f>IF($D$6=1,100*(EXP(I42)-EXP(I42-I44)),I44)</f>
        <v>0.31996388986650703</v>
      </c>
    </row>
    <row r="47" spans="5:55">
      <c r="G47" s="73" t="s">
        <v>1110</v>
      </c>
      <c r="H47" s="74"/>
      <c r="I47" s="74">
        <f>O39</f>
        <v>4</v>
      </c>
      <c r="J47" s="74"/>
      <c r="K47" s="75" t="s">
        <v>1167</v>
      </c>
      <c r="L47" s="74"/>
      <c r="M47" s="76"/>
      <c r="N47" s="77"/>
      <c r="O47" s="101" t="s">
        <v>1513</v>
      </c>
      <c r="P47" s="102"/>
      <c r="Q47" s="103"/>
      <c r="AF47" s="7"/>
    </row>
    <row r="48" spans="5:55">
      <c r="G48" s="77" t="s">
        <v>1531</v>
      </c>
      <c r="H48" s="31"/>
      <c r="I48" s="31">
        <f>R39/I47</f>
        <v>9.3810233180708451</v>
      </c>
      <c r="J48" s="31"/>
      <c r="K48" s="31"/>
      <c r="L48" s="31"/>
      <c r="M48" s="78"/>
      <c r="N48" s="77"/>
      <c r="O48" s="104" t="s">
        <v>1514</v>
      </c>
      <c r="P48" s="31"/>
      <c r="Q48" s="105">
        <f>INDEX(LINEST(AL34:AL37,AK34:AK37,TRUE,TRUE),1,2)</f>
        <v>3.3753924090809662</v>
      </c>
      <c r="AF48" s="2" t="s">
        <v>1687</v>
      </c>
      <c r="AH48">
        <f>IF($D$6=1,100*((EXP(I53))-1),I53)</f>
        <v>0.34319517421665341</v>
      </c>
    </row>
    <row r="49" spans="7:34">
      <c r="G49" s="77" t="s">
        <v>1532</v>
      </c>
      <c r="H49" s="31"/>
      <c r="I49" s="31">
        <f>(1/(I47-1))*(U39-(I47*I48^2))</f>
        <v>14.005489342858576</v>
      </c>
      <c r="J49" s="31"/>
      <c r="K49" s="31"/>
      <c r="L49" s="31"/>
      <c r="M49" s="78"/>
      <c r="N49" s="77"/>
      <c r="O49" s="104" t="s">
        <v>1516</v>
      </c>
      <c r="P49" s="31"/>
      <c r="Q49" s="105">
        <f>INDEX(LINEST(AL34:AL37,AK34:AK37,TRUE,TRUE),2,2)</f>
        <v>2.8366071239566861</v>
      </c>
      <c r="AF49" s="79" t="s">
        <v>834</v>
      </c>
      <c r="AG49" s="7"/>
      <c r="AH49">
        <f>IF($D$6=1,100*(EXP(I53+I55)-EXP(I53)),I55)</f>
        <v>0.32541869133500856</v>
      </c>
    </row>
    <row r="50" spans="7:34">
      <c r="G50" s="77" t="s">
        <v>1669</v>
      </c>
      <c r="H50" s="31"/>
      <c r="I50" s="31">
        <f>(I47-1)*(I48-(I49/(I47*I48)))</f>
        <v>27.023350212453693</v>
      </c>
      <c r="J50" s="31"/>
      <c r="K50" s="31"/>
      <c r="L50" s="31"/>
      <c r="M50" s="78"/>
      <c r="N50" s="77"/>
      <c r="O50" s="104" t="s">
        <v>1349</v>
      </c>
      <c r="P50" s="31"/>
      <c r="Q50" s="105">
        <f>ABS(Q48/Q49)</f>
        <v>1.1899400451243127</v>
      </c>
      <c r="AF50" s="79" t="s">
        <v>835</v>
      </c>
      <c r="AH50">
        <f>IF($D$6=1,100*(EXP(I53)-EXP(I53-I55)),I55)</f>
        <v>0.32541869133500856</v>
      </c>
    </row>
    <row r="51" spans="7:34">
      <c r="G51" s="77" t="s">
        <v>1685</v>
      </c>
      <c r="H51" s="31"/>
      <c r="I51" s="31">
        <f>IF(P42&gt;(I47-1),(P42-(I47-1))/I50,0)</f>
        <v>3.2861266332151104E-3</v>
      </c>
      <c r="J51" s="31"/>
      <c r="K51" s="31"/>
      <c r="L51" s="31"/>
      <c r="M51" s="78"/>
      <c r="N51" s="77"/>
      <c r="O51" s="106" t="s">
        <v>1515</v>
      </c>
      <c r="P51" s="107"/>
      <c r="Q51" s="108">
        <f>TDIST(Q50,I47-2,2)</f>
        <v>0.35617347869066096</v>
      </c>
    </row>
    <row r="52" spans="7:34">
      <c r="G52" s="77"/>
      <c r="H52" s="31"/>
      <c r="I52" s="31"/>
      <c r="J52" s="31"/>
      <c r="K52" s="31"/>
      <c r="L52" s="31"/>
      <c r="M52" s="78"/>
      <c r="N52" s="77"/>
    </row>
    <row r="53" spans="7:34">
      <c r="G53" s="77" t="s">
        <v>1686</v>
      </c>
      <c r="H53" s="31"/>
      <c r="I53" s="31">
        <f>W39/V39</f>
        <v>0.34319517421665341</v>
      </c>
      <c r="J53" s="31"/>
      <c r="N53" s="77"/>
    </row>
    <row r="54" spans="7:34">
      <c r="G54" s="77" t="s">
        <v>504</v>
      </c>
      <c r="H54" s="31"/>
      <c r="I54" s="31">
        <f>1/V39</f>
        <v>2.756594249015764E-2</v>
      </c>
      <c r="J54" s="31"/>
      <c r="N54" s="77"/>
      <c r="O54" t="s">
        <v>805</v>
      </c>
      <c r="R54">
        <v>1.96</v>
      </c>
    </row>
    <row r="55" spans="7:34">
      <c r="G55" s="80" t="s">
        <v>506</v>
      </c>
      <c r="H55" s="31"/>
      <c r="I55" s="31">
        <f>$R$54*SQRT(I54)</f>
        <v>0.32541869133500856</v>
      </c>
      <c r="J55" s="31"/>
      <c r="K55" s="31" t="s">
        <v>507</v>
      </c>
      <c r="L55" s="31"/>
      <c r="M55" s="78">
        <f>ABS(I53/(SQRT(I54)))</f>
        <v>2.0670679324075927</v>
      </c>
      <c r="N55" s="77"/>
    </row>
    <row r="56" spans="7:34">
      <c r="G56" s="81" t="s">
        <v>509</v>
      </c>
      <c r="H56" s="82"/>
      <c r="I56" s="82">
        <v>-3</v>
      </c>
      <c r="J56" s="82"/>
      <c r="K56" s="31" t="s">
        <v>825</v>
      </c>
      <c r="L56" s="31"/>
      <c r="M56" s="78">
        <f>2*(1-NORMDIST(M55,0,1,1))</f>
        <v>3.8727753258883002E-2</v>
      </c>
      <c r="N56" s="77"/>
    </row>
    <row r="57" spans="7:34">
      <c r="G57" s="74"/>
      <c r="H57" s="74"/>
      <c r="I57" s="74"/>
      <c r="J57" s="74"/>
      <c r="K57" s="74"/>
      <c r="L57" s="74"/>
      <c r="M57" s="74"/>
      <c r="N57" s="31"/>
      <c r="O57" s="7"/>
    </row>
  </sheetData>
  <phoneticPr fontId="10" type="noConversion"/>
  <conditionalFormatting sqref="D17 D13 F13">
    <cfRule type="cellIs" dxfId="100" priority="0" stopIfTrue="1" operator="lessThan">
      <formula>0.05</formula>
    </cfRule>
  </conditionalFormatting>
  <conditionalFormatting sqref="D21">
    <cfRule type="cellIs" dxfId="9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sheetPr published="0" codeName="Sheet58" enableFormatConditionsCalculation="0"/>
  <dimension ref="B1:T99"/>
  <sheetViews>
    <sheetView zoomScale="80" zoomScaleNormal="80" zoomScalePageLayoutView="70" workbookViewId="0"/>
  </sheetViews>
  <sheetFormatPr defaultColWidth="8.77734375" defaultRowHeight="13.2"/>
  <cols>
    <col min="1" max="1" width="3.77734375" customWidth="1"/>
    <col min="2" max="2" width="31.77734375" customWidth="1"/>
    <col min="3" max="3" width="5.33203125" customWidth="1"/>
    <col min="4" max="4" width="6.44140625" customWidth="1"/>
    <col min="5" max="5" width="6.6640625" customWidth="1"/>
    <col min="7" max="7" width="10.5546875" customWidth="1"/>
    <col min="8" max="8" width="7.44140625" customWidth="1"/>
    <col min="9" max="9" width="10" customWidth="1"/>
    <col min="10" max="10" width="13.21875" customWidth="1"/>
    <col min="12" max="12" width="10.109375" customWidth="1"/>
    <col min="15" max="15" width="7.33203125" customWidth="1"/>
    <col min="16" max="16" width="2.6640625" customWidth="1"/>
    <col min="19" max="19" width="5.44140625" customWidth="1"/>
  </cols>
  <sheetData>
    <row r="1" spans="2:20" ht="26.25" customHeight="1" thickTop="1" thickBot="1">
      <c r="B1" s="192" t="s">
        <v>91</v>
      </c>
      <c r="C1" s="228" t="s">
        <v>92</v>
      </c>
      <c r="D1" s="225"/>
      <c r="E1" s="226" t="s">
        <v>80</v>
      </c>
      <c r="F1" s="227"/>
      <c r="G1" s="200" t="s">
        <v>733</v>
      </c>
      <c r="H1" s="195" t="s">
        <v>81</v>
      </c>
      <c r="T1" s="129" t="s">
        <v>2438</v>
      </c>
    </row>
    <row r="2" spans="2:20" ht="13.8" thickTop="1">
      <c r="B2" s="3"/>
    </row>
    <row r="3" spans="2:20" ht="17.399999999999999">
      <c r="B3" s="128" t="s">
        <v>775</v>
      </c>
      <c r="G3" s="1"/>
      <c r="L3" s="1"/>
    </row>
    <row r="4" spans="2:20">
      <c r="B4" s="2" t="s">
        <v>760</v>
      </c>
      <c r="G4" s="1"/>
      <c r="L4" s="1"/>
    </row>
    <row r="5" spans="2:20">
      <c r="B5" s="2" t="s">
        <v>827</v>
      </c>
      <c r="G5" s="1"/>
      <c r="L5" s="1"/>
    </row>
    <row r="6" spans="2:20">
      <c r="B6" s="7"/>
      <c r="G6" s="1"/>
      <c r="L6" s="1"/>
    </row>
    <row r="7" spans="2:20" ht="15.6">
      <c r="B7" s="129" t="s">
        <v>828</v>
      </c>
      <c r="G7" s="1"/>
      <c r="L7" s="1"/>
    </row>
    <row r="8" spans="2:20">
      <c r="B8" s="2" t="s">
        <v>762</v>
      </c>
      <c r="G8" s="1"/>
      <c r="L8" s="1"/>
    </row>
    <row r="9" spans="2:20">
      <c r="B9" s="4" t="s">
        <v>763</v>
      </c>
      <c r="C9" s="4" t="s">
        <v>764</v>
      </c>
      <c r="D9" s="4" t="s">
        <v>732</v>
      </c>
      <c r="E9" s="4" t="s">
        <v>765</v>
      </c>
      <c r="F9" s="4" t="s">
        <v>766</v>
      </c>
      <c r="G9" s="4" t="s">
        <v>767</v>
      </c>
      <c r="H9" s="4" t="s">
        <v>2107</v>
      </c>
      <c r="I9" s="130" t="s">
        <v>768</v>
      </c>
      <c r="J9" s="4" t="s">
        <v>769</v>
      </c>
      <c r="K9" s="4" t="s">
        <v>770</v>
      </c>
      <c r="L9" s="4" t="s">
        <v>771</v>
      </c>
      <c r="M9" s="4" t="s">
        <v>516</v>
      </c>
      <c r="N9" s="4" t="s">
        <v>253</v>
      </c>
      <c r="O9" s="4" t="s">
        <v>254</v>
      </c>
      <c r="P9" s="4" t="s">
        <v>248</v>
      </c>
      <c r="Q9" s="4" t="s">
        <v>154</v>
      </c>
      <c r="R9" s="4" t="s">
        <v>121</v>
      </c>
    </row>
    <row r="10" spans="2:20">
      <c r="B10" s="1" t="s">
        <v>776</v>
      </c>
      <c r="C10">
        <f>LatVent!$D$7</f>
        <v>15</v>
      </c>
      <c r="D10">
        <f>LatVent!$D$8</f>
        <v>371</v>
      </c>
      <c r="E10">
        <f>LatVent!$D$9</f>
        <v>539</v>
      </c>
      <c r="F10" s="59">
        <f>LatVent!$D$19</f>
        <v>0.43635842628460597</v>
      </c>
      <c r="G10" s="59">
        <f>LatVent!$D$20</f>
        <v>0.24055683504233358</v>
      </c>
      <c r="H10" s="59">
        <f>LatVent!$E$20</f>
        <v>0.63216001752687834</v>
      </c>
      <c r="I10" s="59">
        <f>((H10-F10)+(F10-G10))/2</f>
        <v>0.19580159124227237</v>
      </c>
      <c r="J10" s="131">
        <f>LatVent!$D$21</f>
        <v>1.2538607925494105E-5</v>
      </c>
      <c r="K10" s="49">
        <f>IF((J10*$C$70&gt;1),1,J10*$C$70)</f>
        <v>7.8993229930612863E-4</v>
      </c>
      <c r="L10" t="str">
        <f t="shared" ref="L10:L65" si="0">CONCATENATE(B10,", n=",C10)</f>
        <v>Lateral Ventricles (total), n=15</v>
      </c>
      <c r="M10" s="136">
        <f>LatVent!$D$11</f>
        <v>24.604918339099584</v>
      </c>
      <c r="N10" s="136">
        <f>LatVent!$D$12</f>
        <v>39.03657881211678</v>
      </c>
      <c r="O10" s="59">
        <f>LatVent!$D$13</f>
        <v>5.5507462336169697E-2</v>
      </c>
      <c r="P10" s="159">
        <f>LatVent!$F$13</f>
        <v>0.15373787832499286</v>
      </c>
      <c r="Q10" s="59">
        <f>IF(AND(C10&gt;4,J10&lt;0.05),P10,"-")</f>
        <v>0.15373787832499286</v>
      </c>
      <c r="R10" s="23" t="str">
        <f>IF($C$77=1,100+F10,"")</f>
        <v/>
      </c>
    </row>
    <row r="11" spans="2:20">
      <c r="B11" s="1" t="s">
        <v>777</v>
      </c>
      <c r="C11">
        <f>LatVent_MRI!$D$7</f>
        <v>6</v>
      </c>
      <c r="D11">
        <f>LatVent_MRI!$D$8</f>
        <v>220</v>
      </c>
      <c r="E11">
        <f>LatVent_MRI!$D$9</f>
        <v>224</v>
      </c>
      <c r="F11" s="59">
        <f>LatVent_MRI!$D$19</f>
        <v>0.40717511984122656</v>
      </c>
      <c r="G11" s="59">
        <f>LatVent_MRI!$D$20</f>
        <v>0.13151984297443076</v>
      </c>
      <c r="H11" s="59">
        <f>LatVent_MRI!$E$20</f>
        <v>0.68283039670802237</v>
      </c>
      <c r="I11" s="59">
        <f>((H11-F11)+(F11-G11))/2</f>
        <v>0.27565527686679581</v>
      </c>
      <c r="J11" s="166">
        <f>LatVent_MRI!$D$21</f>
        <v>3.7897800293444917E-3</v>
      </c>
      <c r="K11" s="59">
        <f>IF((J11*$C$70&gt;1),1,J11*$C$70)</f>
        <v>0.23875614184870297</v>
      </c>
      <c r="L11" t="str">
        <f t="shared" si="0"/>
        <v>Lateral Ventricles (MRI), n=6</v>
      </c>
      <c r="M11" s="136">
        <f>LatVent_MRI!$D$11</f>
        <v>8.3225100929894715</v>
      </c>
      <c r="N11" s="136">
        <f>LatVent_MRI!$D$12</f>
        <v>39.921971326754083</v>
      </c>
      <c r="O11" s="59">
        <f>LatVent_MRI!$D$13</f>
        <v>0.13933436428284748</v>
      </c>
      <c r="P11" s="159">
        <f>LatVent_MRI!$F$13</f>
        <v>0.58551028956276796</v>
      </c>
      <c r="Q11" s="59">
        <f t="shared" ref="Q11:Q41" si="1">IF(AND(C11&gt;4,J11&lt;0.05),P11,"-")</f>
        <v>0.58551028956276796</v>
      </c>
      <c r="R11" s="23" t="str">
        <f t="shared" ref="R11:R69" si="2">IF($C$77=1,100+F11,"")</f>
        <v/>
      </c>
    </row>
    <row r="12" spans="2:20">
      <c r="B12" s="1" t="s">
        <v>778</v>
      </c>
      <c r="C12">
        <f>LatVent_CT!$D$7</f>
        <v>9</v>
      </c>
      <c r="D12">
        <f>LatVent_CT!$D$8</f>
        <v>151</v>
      </c>
      <c r="E12">
        <f>LatVent_CT!$D$9</f>
        <v>315</v>
      </c>
      <c r="F12" s="59">
        <f>LatVent_CT!$D$19</f>
        <v>0.47046499659908286</v>
      </c>
      <c r="G12" s="59">
        <f>LatVent_CT!$D$20</f>
        <v>0.17835176834587441</v>
      </c>
      <c r="H12" s="59">
        <f>LatVent_CT!$E$20</f>
        <v>0.76257822485229132</v>
      </c>
      <c r="I12" s="59">
        <f>((H12-F12)+(F12-G12))/2</f>
        <v>0.29211322825320846</v>
      </c>
      <c r="J12" s="65">
        <f>LatVent_CT!$D$21</f>
        <v>1.5956997897688119E-3</v>
      </c>
      <c r="K12" s="59">
        <f>IF((J12*$C$70&gt;1),1,J12*$C$70)</f>
        <v>0.10052908675543515</v>
      </c>
      <c r="L12" t="str">
        <f t="shared" si="0"/>
        <v>Lateral Ventricles (CT), n=9</v>
      </c>
      <c r="M12" s="136">
        <f>LatVent_CT!$D$11</f>
        <v>16.230175393820275</v>
      </c>
      <c r="N12" s="136">
        <f>LatVent_CT!$D$12</f>
        <v>44.547734194993375</v>
      </c>
      <c r="O12" s="59">
        <f>LatVent_CT!$D$13</f>
        <v>6.2227753536068235E-2</v>
      </c>
      <c r="P12" s="159">
        <f>LatVent_CT!$F$13</f>
        <v>0.20101225843482617</v>
      </c>
      <c r="Q12" s="59">
        <f t="shared" si="1"/>
        <v>0.20101225843482617</v>
      </c>
      <c r="R12" s="23" t="str">
        <f t="shared" si="2"/>
        <v/>
      </c>
    </row>
    <row r="13" spans="2:20">
      <c r="B13" s="1" t="s">
        <v>2272</v>
      </c>
      <c r="C13">
        <f>'4v'!$D$7</f>
        <v>3</v>
      </c>
      <c r="D13">
        <f>'4v'!$D$8</f>
        <v>46</v>
      </c>
      <c r="E13">
        <f>'4v'!$D$9</f>
        <v>75</v>
      </c>
      <c r="F13" s="59">
        <f>'4v'!$D$19</f>
        <v>3.3772723339605182E-2</v>
      </c>
      <c r="G13" s="59">
        <f>'4v'!$D$20</f>
        <v>-0.34738564707911168</v>
      </c>
      <c r="H13" s="59">
        <f>'4v'!$E$20</f>
        <v>0.41493109375832204</v>
      </c>
      <c r="I13" s="59">
        <f>((H13-F13)+(F13-G13))/2</f>
        <v>0.38115837041871686</v>
      </c>
      <c r="J13" s="59">
        <f>'4v'!$D$21</f>
        <v>0.86212736525977873</v>
      </c>
      <c r="K13" s="59">
        <f>IF((J13*$C$70&gt;1),1,J13*$C$70)</f>
        <v>1</v>
      </c>
      <c r="L13" t="str">
        <f>CONCATENATE(B13,", n=",C13)</f>
        <v>Fourth Ventricle, n=3</v>
      </c>
      <c r="M13" s="136">
        <f>'4v'!$D$11</f>
        <v>2.028183651266962</v>
      </c>
      <c r="N13" s="136">
        <f>'4v'!$D$12</f>
        <v>1.3896005546320362</v>
      </c>
      <c r="O13" s="59">
        <f>'4v'!$D$13</f>
        <v>0.36273170394127424</v>
      </c>
      <c r="P13" s="159">
        <f>'4v'!$F$13</f>
        <v>0.4016519832374208</v>
      </c>
      <c r="Q13" s="59" t="str">
        <f t="shared" si="1"/>
        <v>-</v>
      </c>
      <c r="R13" s="23" t="str">
        <f t="shared" si="2"/>
        <v/>
      </c>
    </row>
    <row r="14" spans="2:20">
      <c r="B14" s="1" t="s">
        <v>735</v>
      </c>
      <c r="C14">
        <f>CSF!$D$7</f>
        <v>8</v>
      </c>
      <c r="D14">
        <f>CSF!$D$8</f>
        <v>259</v>
      </c>
      <c r="E14">
        <f>CSF!$D$9</f>
        <v>218</v>
      </c>
      <c r="F14" s="59">
        <f>CSF!$D$19</f>
        <v>0.53992471257039887</v>
      </c>
      <c r="G14" s="59">
        <f>CSF!$D$20</f>
        <v>0.26173705757896704</v>
      </c>
      <c r="H14" s="59">
        <f>CSF!$E$20</f>
        <v>0.8181123675618307</v>
      </c>
      <c r="I14" s="59">
        <f t="shared" ref="I14:I34" si="3">((H14-F14)+(F14-G14))/2</f>
        <v>0.27818765499143183</v>
      </c>
      <c r="J14" s="131">
        <f>CSF!$D$21</f>
        <v>1.4232320684670619E-4</v>
      </c>
      <c r="K14" s="49">
        <f t="shared" ref="K14:K43" si="4">IF((J14*$C$70&gt;1),1,J14*$C$70)</f>
        <v>8.9663620313424897E-3</v>
      </c>
      <c r="L14" t="str">
        <f>CONCATENATE(B14,", n=",C14)</f>
        <v>CSF (total), n=8</v>
      </c>
      <c r="M14" s="136">
        <f>CSF!$D$11</f>
        <v>18.925554024373781</v>
      </c>
      <c r="N14" s="136">
        <f>CSF!$D$12</f>
        <v>52.445249484326276</v>
      </c>
      <c r="O14" s="59">
        <f>CSF!$D$13</f>
        <v>2.5833386173568333E-2</v>
      </c>
      <c r="P14" s="159">
        <f>CSF!$F$13</f>
        <v>0.6005570902086943</v>
      </c>
      <c r="Q14" s="59">
        <f t="shared" si="1"/>
        <v>0.6005570902086943</v>
      </c>
      <c r="R14" s="23" t="str">
        <f t="shared" si="2"/>
        <v/>
      </c>
    </row>
    <row r="15" spans="2:20">
      <c r="B15" s="1" t="s">
        <v>1640</v>
      </c>
      <c r="C15">
        <f>ICV!$D$7</f>
        <v>21</v>
      </c>
      <c r="D15">
        <f>ICV!$D$8</f>
        <v>765</v>
      </c>
      <c r="E15">
        <f>ICV!$D$9</f>
        <v>811</v>
      </c>
      <c r="F15" s="59">
        <f>ICV!$D$19</f>
        <v>-6.9966716336546983E-2</v>
      </c>
      <c r="G15" s="59">
        <f>ICV!$D$20</f>
        <v>-0.20319655924465824</v>
      </c>
      <c r="H15" s="59">
        <f>ICV!$E$20</f>
        <v>6.3263126571564285E-2</v>
      </c>
      <c r="I15" s="59">
        <f t="shared" si="3"/>
        <v>0.13322984290811124</v>
      </c>
      <c r="J15" s="59">
        <f>ICV!$D$21</f>
        <v>0.30333418639919518</v>
      </c>
      <c r="K15" s="59">
        <f t="shared" si="4"/>
        <v>1</v>
      </c>
      <c r="L15" t="str">
        <f t="shared" si="0"/>
        <v>Intracranial Volume, n=21</v>
      </c>
      <c r="M15" s="136">
        <f>ICV!$D$11</f>
        <v>37.397202598225611</v>
      </c>
      <c r="N15" s="136">
        <f>ICV!$D$12</f>
        <v>35.824076849163227</v>
      </c>
      <c r="O15" s="59">
        <f>ICV!$D$13</f>
        <v>3.9924565103934273E-2</v>
      </c>
      <c r="P15" s="159">
        <f>ICV!$F$13</f>
        <v>3.6046549673064976E-2</v>
      </c>
      <c r="Q15" s="59" t="str">
        <f t="shared" si="1"/>
        <v>-</v>
      </c>
      <c r="R15" s="23" t="str">
        <f t="shared" si="2"/>
        <v/>
      </c>
    </row>
    <row r="16" spans="2:20">
      <c r="B16" s="1" t="s">
        <v>779</v>
      </c>
      <c r="C16">
        <f>Brain!$D$7</f>
        <v>28</v>
      </c>
      <c r="D16">
        <f>Brain!$D$8</f>
        <v>1187</v>
      </c>
      <c r="E16">
        <f>Brain!$D$9</f>
        <v>1014</v>
      </c>
      <c r="F16" s="59">
        <f>Brain!$D$19</f>
        <v>-5.8573305003196678E-2</v>
      </c>
      <c r="G16" s="59">
        <f>Brain!$D$20</f>
        <v>-0.15559469661014633</v>
      </c>
      <c r="H16" s="59">
        <f>Brain!$E$20</f>
        <v>3.8448086603752978E-2</v>
      </c>
      <c r="I16" s="59">
        <f t="shared" si="3"/>
        <v>9.7021391606949642E-2</v>
      </c>
      <c r="J16" s="59">
        <f>Brain!$D$21</f>
        <v>0.23669735712928675</v>
      </c>
      <c r="K16" s="59">
        <f t="shared" si="4"/>
        <v>1</v>
      </c>
      <c r="L16" t="str">
        <f t="shared" si="0"/>
        <v>Brain, n=28</v>
      </c>
      <c r="M16" s="136">
        <f>Brain!$D$11</f>
        <v>36.78022044286493</v>
      </c>
      <c r="N16" s="136">
        <f>Brain!$D$12</f>
        <v>12.99671504223476</v>
      </c>
      <c r="O16" s="59">
        <f>Brain!$D$13</f>
        <v>0.25700891031789963</v>
      </c>
      <c r="P16" s="159">
        <f>Brain!$F$13</f>
        <v>9.4065336617109765E-2</v>
      </c>
      <c r="Q16" s="59" t="str">
        <f t="shared" si="1"/>
        <v>-</v>
      </c>
      <c r="R16" s="23" t="str">
        <f t="shared" si="2"/>
        <v/>
      </c>
    </row>
    <row r="17" spans="2:18">
      <c r="B17" s="1" t="s">
        <v>688</v>
      </c>
      <c r="C17">
        <f>Cerebrum!$D$7</f>
        <v>7</v>
      </c>
      <c r="D17">
        <f>Cerebrum!$D$8</f>
        <v>392</v>
      </c>
      <c r="E17">
        <f>Cerebrum!$D$9</f>
        <v>283</v>
      </c>
      <c r="F17" s="59">
        <f>Cerebrum!$D$19</f>
        <v>-0.11484379453279246</v>
      </c>
      <c r="G17" s="59">
        <f>Cerebrum!$D$20</f>
        <v>-0.27033235858836241</v>
      </c>
      <c r="H17" s="59">
        <f>Cerebrum!$E$20</f>
        <v>4.0644769522777471E-2</v>
      </c>
      <c r="I17" s="59">
        <f t="shared" si="3"/>
        <v>0.15548856405556993</v>
      </c>
      <c r="J17" s="59">
        <f>Cerebrum!$D$21</f>
        <v>0.14771348886020652</v>
      </c>
      <c r="K17" s="59">
        <f t="shared" si="4"/>
        <v>1</v>
      </c>
      <c r="L17" t="str">
        <f t="shared" si="0"/>
        <v>Cerebrum, n=7</v>
      </c>
      <c r="M17" s="136">
        <f>Cerebrum!$D$11</f>
        <v>4.8870008037195714</v>
      </c>
      <c r="N17" s="136">
        <f>Cerebrum!$D$12</f>
        <v>0</v>
      </c>
      <c r="O17" s="59">
        <f>Cerebrum!$D$13</f>
        <v>0.55838583088464722</v>
      </c>
      <c r="P17" s="159">
        <f>Cerebrum!$F$13</f>
        <v>0.6004565110022333</v>
      </c>
      <c r="Q17" s="59" t="str">
        <f t="shared" si="1"/>
        <v>-</v>
      </c>
      <c r="R17" s="23" t="str">
        <f t="shared" si="2"/>
        <v/>
      </c>
    </row>
    <row r="18" spans="2:18">
      <c r="B18" s="1" t="s">
        <v>780</v>
      </c>
      <c r="C18">
        <f>Gray!$D$7</f>
        <v>8</v>
      </c>
      <c r="D18">
        <f>Gray!$D$8</f>
        <v>261</v>
      </c>
      <c r="E18">
        <f>Gray!$D$9</f>
        <v>253</v>
      </c>
      <c r="F18" s="59">
        <f>Gray!$D$19</f>
        <v>-0.10089517875896792</v>
      </c>
      <c r="G18" s="59">
        <f>Gray!$D$20</f>
        <v>-0.28044828705990255</v>
      </c>
      <c r="H18" s="59">
        <f>Gray!$E$20</f>
        <v>7.8657929541966737E-2</v>
      </c>
      <c r="I18" s="59">
        <f t="shared" si="3"/>
        <v>0.17955310830093463</v>
      </c>
      <c r="J18" s="59">
        <f>Gray!$D$21</f>
        <v>0.27073530902378451</v>
      </c>
      <c r="K18" s="59">
        <f t="shared" si="4"/>
        <v>1</v>
      </c>
      <c r="L18" t="str">
        <f t="shared" si="0"/>
        <v>Gray Matter (total), n=8</v>
      </c>
      <c r="M18" s="136">
        <f>Gray!$D$11</f>
        <v>4.6081430088314095</v>
      </c>
      <c r="N18" s="136">
        <f>Gray!$D$12</f>
        <v>0</v>
      </c>
      <c r="O18" s="59">
        <f>Gray!$D$13</f>
        <v>0.86704342452919758</v>
      </c>
      <c r="P18" s="159">
        <f>Gray!$F$13</f>
        <v>0.76711080424556255</v>
      </c>
      <c r="Q18" s="59" t="str">
        <f t="shared" si="1"/>
        <v>-</v>
      </c>
      <c r="R18" s="23" t="str">
        <f t="shared" si="2"/>
        <v/>
      </c>
    </row>
    <row r="19" spans="2:18">
      <c r="B19" s="1" t="s">
        <v>781</v>
      </c>
      <c r="C19">
        <f>White!$D$7</f>
        <v>6</v>
      </c>
      <c r="D19">
        <f>White!$D$8</f>
        <v>196</v>
      </c>
      <c r="E19">
        <f>White!$D$9</f>
        <v>157</v>
      </c>
      <c r="F19" s="59">
        <f>White!$D$19</f>
        <v>-0.18562401895735811</v>
      </c>
      <c r="G19" s="59">
        <f>White!$D$20</f>
        <v>-0.41691533515287971</v>
      </c>
      <c r="H19" s="59">
        <f>White!$E$20</f>
        <v>4.5667297238163457E-2</v>
      </c>
      <c r="I19" s="59">
        <f t="shared" si="3"/>
        <v>0.23129131619552157</v>
      </c>
      <c r="J19" s="59">
        <f>White!$D$21</f>
        <v>0.11571697938249859</v>
      </c>
      <c r="K19" s="59">
        <f t="shared" si="4"/>
        <v>1</v>
      </c>
      <c r="L19" t="str">
        <f t="shared" si="0"/>
        <v>White matter (total), n=6</v>
      </c>
      <c r="M19" s="136">
        <f>White!$D$11</f>
        <v>7.8595295103877287</v>
      </c>
      <c r="N19" s="136">
        <f>White!$D$12</f>
        <v>10.93614457776018</v>
      </c>
      <c r="O19" s="59">
        <f>White!$D$13</f>
        <v>0.34514338801834171</v>
      </c>
      <c r="P19" s="159">
        <f>White!$F$13</f>
        <v>0.80668863780460909</v>
      </c>
      <c r="Q19" s="59" t="str">
        <f t="shared" si="1"/>
        <v>-</v>
      </c>
      <c r="R19" s="23" t="str">
        <f t="shared" si="2"/>
        <v/>
      </c>
    </row>
    <row r="20" spans="2:18">
      <c r="B20" s="1" t="s">
        <v>384</v>
      </c>
      <c r="C20">
        <f>caud_TLR!$D$7</f>
        <v>13</v>
      </c>
      <c r="D20">
        <f>caud_TLR!$D$8</f>
        <v>586</v>
      </c>
      <c r="E20">
        <f>caud_TLR!$D$9</f>
        <v>391</v>
      </c>
      <c r="F20" s="59">
        <f>caud_TLR!$D$19</f>
        <v>-0.21962274645211641</v>
      </c>
      <c r="G20" s="59">
        <f>caud_TLR!$D$20</f>
        <v>-0.37710523869598778</v>
      </c>
      <c r="H20" s="59">
        <f>caud_TLR!$E$20</f>
        <v>-6.214025420824501E-2</v>
      </c>
      <c r="I20" s="59">
        <f t="shared" si="3"/>
        <v>0.1574824922438714</v>
      </c>
      <c r="J20" s="49">
        <f>caud_TLR!$D$21</f>
        <v>6.2686646094172183E-3</v>
      </c>
      <c r="K20" s="59">
        <f>IF((J20*$C$70&gt;1),1,J20*$C$70)</f>
        <v>0.39492587039328475</v>
      </c>
      <c r="L20" t="str">
        <f t="shared" si="0"/>
        <v>Caudate (total), n=13</v>
      </c>
      <c r="M20" s="136">
        <f>caud_TLR!$D$11</f>
        <v>15.380691302091464</v>
      </c>
      <c r="N20" s="136">
        <f>caud_TLR!$D$12</f>
        <v>21.980099825758533</v>
      </c>
      <c r="O20" s="59">
        <f>caud_TLR!$D$13</f>
        <v>0.22127470838768776</v>
      </c>
      <c r="P20" s="159">
        <f>caud_TLR!$F$13</f>
        <v>0.567144333832865</v>
      </c>
      <c r="Q20" s="59">
        <f t="shared" si="1"/>
        <v>0.567144333832865</v>
      </c>
      <c r="R20" s="23" t="str">
        <f t="shared" si="2"/>
        <v/>
      </c>
    </row>
    <row r="21" spans="2:18">
      <c r="B21" s="1" t="s">
        <v>782</v>
      </c>
      <c r="C21">
        <f>L_caud!$D$7</f>
        <v>8</v>
      </c>
      <c r="D21">
        <f>L_caud!$D$8</f>
        <v>347</v>
      </c>
      <c r="E21">
        <f>L_caud!$D$9</f>
        <v>258</v>
      </c>
      <c r="F21" s="59">
        <f>L_caud!$D$19</f>
        <v>-7.4176348937761941E-2</v>
      </c>
      <c r="G21" s="59">
        <f>L_caud!$D$20</f>
        <v>-0.24573635205684363</v>
      </c>
      <c r="H21" s="59">
        <f>L_caud!$E$20</f>
        <v>9.7383654181319765E-2</v>
      </c>
      <c r="I21" s="59">
        <f t="shared" si="3"/>
        <v>0.17156000311908171</v>
      </c>
      <c r="J21" s="59">
        <f>L_caud!$D$21</f>
        <v>0.39675370097326845</v>
      </c>
      <c r="K21" s="59">
        <f t="shared" si="4"/>
        <v>1</v>
      </c>
      <c r="L21" t="str">
        <f t="shared" si="0"/>
        <v>Caudate (left), n=8</v>
      </c>
      <c r="M21" s="136">
        <f>L_caud!$D$11</f>
        <v>4.2328881248621313</v>
      </c>
      <c r="N21" s="136">
        <f>L_caud!$D$12</f>
        <v>0</v>
      </c>
      <c r="O21" s="59">
        <f>L_caud!$D$13</f>
        <v>0.75259651761986646</v>
      </c>
      <c r="P21" s="159">
        <f>L_caud!$F$13</f>
        <v>0.52388742628746066</v>
      </c>
      <c r="Q21" s="59" t="str">
        <f t="shared" si="1"/>
        <v>-</v>
      </c>
      <c r="R21" s="23" t="str">
        <f t="shared" si="2"/>
        <v/>
      </c>
    </row>
    <row r="22" spans="2:18">
      <c r="B22" s="1" t="s">
        <v>783</v>
      </c>
      <c r="C22">
        <f>R_caud!$D$7</f>
        <v>8</v>
      </c>
      <c r="D22">
        <f>R_caud!$D$8</f>
        <v>347</v>
      </c>
      <c r="E22">
        <f>R_caud!$D$9</f>
        <v>258</v>
      </c>
      <c r="F22" s="59">
        <f>R_caud!$D$19</f>
        <v>-4.7656255192206627E-2</v>
      </c>
      <c r="G22" s="59">
        <f>R_caud!$D$20</f>
        <v>-0.21934588945843614</v>
      </c>
      <c r="H22" s="59">
        <f>R_caud!$E$20</f>
        <v>0.1240333790740229</v>
      </c>
      <c r="I22" s="59">
        <f t="shared" si="3"/>
        <v>0.17168963426622952</v>
      </c>
      <c r="J22" s="59">
        <f>R_caud!$D$21</f>
        <v>0.58641301939949586</v>
      </c>
      <c r="K22" s="59">
        <f t="shared" si="4"/>
        <v>1</v>
      </c>
      <c r="L22" t="str">
        <f t="shared" si="0"/>
        <v>Caudate (right), n=8</v>
      </c>
      <c r="M22" s="136">
        <f>R_caud!$D$11</f>
        <v>5.9132137246851109</v>
      </c>
      <c r="N22" s="136">
        <f>R_caud!$D$12</f>
        <v>0</v>
      </c>
      <c r="O22" s="59">
        <f>R_caud!$D$13</f>
        <v>0.54991881367795925</v>
      </c>
      <c r="P22" s="159">
        <f>R_caud!$F$13</f>
        <v>0.50224546278026327</v>
      </c>
      <c r="Q22" s="59" t="str">
        <f t="shared" si="1"/>
        <v>-</v>
      </c>
      <c r="R22" s="23" t="str">
        <f t="shared" si="2"/>
        <v/>
      </c>
    </row>
    <row r="23" spans="2:18">
      <c r="B23" s="1" t="s">
        <v>558</v>
      </c>
      <c r="C23">
        <f>putamen_TLR!$D$7</f>
        <v>8</v>
      </c>
      <c r="D23">
        <f>putamen_TLR!$D$8</f>
        <v>460</v>
      </c>
      <c r="E23">
        <f>putamen_TLR!$D$9</f>
        <v>298</v>
      </c>
      <c r="F23" s="59">
        <f>putamen_TLR!$D$19</f>
        <v>-0.24851119091648399</v>
      </c>
      <c r="G23" s="59">
        <f>putamen_TLR!$D$20</f>
        <v>-0.43419835978897281</v>
      </c>
      <c r="H23" s="59">
        <f>putamen_TLR!$E$20</f>
        <v>-6.2824022043995204E-2</v>
      </c>
      <c r="I23" s="59">
        <f t="shared" si="3"/>
        <v>0.18568716887248882</v>
      </c>
      <c r="J23" s="131">
        <f>putamen_TLR!$D$21</f>
        <v>8.7125537997891911E-3</v>
      </c>
      <c r="K23" s="49">
        <f t="shared" si="4"/>
        <v>0.54889088938671904</v>
      </c>
      <c r="L23" t="str">
        <f t="shared" si="0"/>
        <v>Putamen (total), n=8</v>
      </c>
      <c r="M23" s="136">
        <f>putamen_TLR!$D$11</f>
        <v>9.6726301292144132</v>
      </c>
      <c r="N23" s="136">
        <f>putamen_TLR!$D$12</f>
        <v>27.630852141675739</v>
      </c>
      <c r="O23" s="59">
        <f>putamen_TLR!$D$13</f>
        <v>0.2078965722230425</v>
      </c>
      <c r="P23" s="159">
        <f>putamen_TLR!$F$13</f>
        <v>0.69161291746769793</v>
      </c>
      <c r="Q23" s="59">
        <f t="shared" si="1"/>
        <v>0.69161291746769793</v>
      </c>
      <c r="R23" s="23" t="str">
        <f t="shared" si="2"/>
        <v/>
      </c>
    </row>
    <row r="24" spans="2:18">
      <c r="B24" s="1" t="s">
        <v>557</v>
      </c>
      <c r="C24">
        <f>L_putamen!$D$7</f>
        <v>6</v>
      </c>
      <c r="D24">
        <f>L_putamen!$D$8</f>
        <v>313</v>
      </c>
      <c r="E24">
        <f>L_putamen!$D$9</f>
        <v>256</v>
      </c>
      <c r="F24" s="59">
        <f>L_putamen!$D$19</f>
        <v>-0.20565904309306324</v>
      </c>
      <c r="G24" s="59">
        <f>L_putamen!$D$20</f>
        <v>-0.48573667512464858</v>
      </c>
      <c r="H24" s="59">
        <f>L_putamen!$E$20</f>
        <v>7.4418588938522073E-2</v>
      </c>
      <c r="I24" s="59">
        <f t="shared" si="3"/>
        <v>0.28007763203158531</v>
      </c>
      <c r="J24" s="59">
        <f>L_putamen!$D$21</f>
        <v>0.15008982379846758</v>
      </c>
      <c r="K24" s="59">
        <f t="shared" si="4"/>
        <v>1</v>
      </c>
      <c r="L24" t="str">
        <f t="shared" si="0"/>
        <v>Putamen (left), n=6</v>
      </c>
      <c r="M24" s="136">
        <f>L_putamen!$D$11</f>
        <v>11.550641611323407</v>
      </c>
      <c r="N24" s="136">
        <f>L_putamen!$D$12</f>
        <v>56.712361371351314</v>
      </c>
      <c r="O24" s="59">
        <f>L_putamen!$D$13</f>
        <v>4.1491718886056746E-2</v>
      </c>
      <c r="P24" s="159">
        <f>L_putamen!$F$13</f>
        <v>0.76576586381220324</v>
      </c>
      <c r="Q24" s="59" t="str">
        <f t="shared" si="1"/>
        <v>-</v>
      </c>
      <c r="R24" s="23" t="str">
        <f t="shared" si="2"/>
        <v/>
      </c>
    </row>
    <row r="25" spans="2:18">
      <c r="B25" s="1" t="s">
        <v>784</v>
      </c>
      <c r="C25">
        <f>R_putamen!$D$7</f>
        <v>6</v>
      </c>
      <c r="D25">
        <f>R_putamen!$D$8</f>
        <v>313</v>
      </c>
      <c r="E25">
        <f>R_putamen!$D$9</f>
        <v>256</v>
      </c>
      <c r="F25" s="59">
        <f>R_putamen!$D$19</f>
        <v>-0.2323499840249757</v>
      </c>
      <c r="G25" s="59">
        <f>R_putamen!$D$20</f>
        <v>-0.51860127094781105</v>
      </c>
      <c r="H25" s="59">
        <f>R_putamen!$E$20</f>
        <v>5.390130289785966E-2</v>
      </c>
      <c r="I25" s="59">
        <f t="shared" si="3"/>
        <v>0.28625128692283536</v>
      </c>
      <c r="J25" s="59">
        <f>R_putamen!$D$21</f>
        <v>0.11162516599395578</v>
      </c>
      <c r="K25" s="59">
        <f t="shared" si="4"/>
        <v>1</v>
      </c>
      <c r="L25" t="str">
        <f t="shared" si="0"/>
        <v>Putamen (right), n=6</v>
      </c>
      <c r="M25" s="136">
        <f>R_putamen!$D$11</f>
        <v>12.043471764872052</v>
      </c>
      <c r="N25" s="136">
        <f>R_putamen!$D$12</f>
        <v>58.483732119638354</v>
      </c>
      <c r="O25" s="59">
        <f>R_putamen!$D$13</f>
        <v>3.4196948216188038E-2</v>
      </c>
      <c r="P25" s="159">
        <f>R_putamen!$F$13</f>
        <v>0.73949687822867305</v>
      </c>
      <c r="Q25" s="59" t="str">
        <f t="shared" si="1"/>
        <v>-</v>
      </c>
      <c r="R25" s="23" t="str">
        <f t="shared" si="2"/>
        <v/>
      </c>
    </row>
    <row r="26" spans="2:18">
      <c r="B26" s="1" t="s">
        <v>293</v>
      </c>
      <c r="C26">
        <f>globus_pallidus!$D$7</f>
        <v>3</v>
      </c>
      <c r="D26">
        <f>globus_pallidus!$D$8</f>
        <v>122</v>
      </c>
      <c r="E26">
        <f>globus_pallidus!$D$9</f>
        <v>111</v>
      </c>
      <c r="F26" s="59">
        <f>globus_pallidus!$D$19</f>
        <v>-0.3138798638350726</v>
      </c>
      <c r="G26" s="59">
        <f>globus_pallidus!$D$20</f>
        <v>-0.60724424201758476</v>
      </c>
      <c r="H26" s="59">
        <f>globus_pallidus!$E$20</f>
        <v>-2.051548565256045E-2</v>
      </c>
      <c r="I26" s="59">
        <f>((H26-F26)+(F26-G26))/2</f>
        <v>0.29336437818251215</v>
      </c>
      <c r="J26" s="59">
        <f>globus_pallidus!$D$21</f>
        <v>3.5987712120582716E-2</v>
      </c>
      <c r="K26" s="59">
        <f t="shared" si="4"/>
        <v>1</v>
      </c>
      <c r="L26" t="str">
        <f>CONCATENATE(B26,", n=",C26)</f>
        <v>Globus Pallidus (total), n=3</v>
      </c>
      <c r="M26" s="136">
        <f>globus_pallidus!$D$11</f>
        <v>2.3054531310647359</v>
      </c>
      <c r="N26" s="136">
        <f>globus_pallidus!$D$12</f>
        <v>13.249158135072015</v>
      </c>
      <c r="O26" s="59">
        <f>globus_pallidus!$D$13</f>
        <v>0.31577461438573534</v>
      </c>
      <c r="P26" s="159">
        <f>globus_pallidus!$F$13</f>
        <v>0.65891356612310537</v>
      </c>
      <c r="Q26" s="59" t="str">
        <f t="shared" si="1"/>
        <v>-</v>
      </c>
      <c r="R26" s="23" t="str">
        <f t="shared" si="2"/>
        <v/>
      </c>
    </row>
    <row r="27" spans="2:18">
      <c r="B27" s="1" t="s">
        <v>785</v>
      </c>
      <c r="C27">
        <f>thalamus!$D$7</f>
        <v>7</v>
      </c>
      <c r="D27">
        <f>thalamus!$D$8</f>
        <v>245</v>
      </c>
      <c r="E27">
        <f>thalamus!$D$9</f>
        <v>205</v>
      </c>
      <c r="F27" s="59">
        <f>thalamus!$D$19</f>
        <v>-0.33582496543497509</v>
      </c>
      <c r="G27" s="59">
        <f>thalamus!$D$20</f>
        <v>-0.59815844109665917</v>
      </c>
      <c r="H27" s="59">
        <f>thalamus!$E$20</f>
        <v>-7.3491489773290952E-2</v>
      </c>
      <c r="I27" s="59">
        <f t="shared" si="3"/>
        <v>0.26233347566168408</v>
      </c>
      <c r="J27" s="59">
        <f>thalamus!$D$21</f>
        <v>1.2104442738354315E-2</v>
      </c>
      <c r="K27" s="59">
        <f t="shared" si="4"/>
        <v>0.76257989251632186</v>
      </c>
      <c r="L27" t="str">
        <f t="shared" si="0"/>
        <v>Thalamus (total), n=7</v>
      </c>
      <c r="M27" s="136">
        <f>thalamus!$D$11</f>
        <v>10.058985077025836</v>
      </c>
      <c r="N27" s="136">
        <f>thalamus!$D$12</f>
        <v>40.351835159755161</v>
      </c>
      <c r="O27" s="59">
        <f>thalamus!$D$13</f>
        <v>0.1221899070077383</v>
      </c>
      <c r="P27" s="159">
        <f>thalamus!$F$13</f>
        <v>0.77694788750175536</v>
      </c>
      <c r="Q27" s="59">
        <f t="shared" si="1"/>
        <v>0.77694788750175536</v>
      </c>
      <c r="R27" s="23" t="str">
        <f t="shared" si="2"/>
        <v/>
      </c>
    </row>
    <row r="28" spans="2:18">
      <c r="B28" s="1" t="s">
        <v>786</v>
      </c>
      <c r="C28" s="13">
        <f>Temporal_TLR!$D$7</f>
        <v>6</v>
      </c>
      <c r="D28" s="13">
        <f>Temporal_TLR!$D$8</f>
        <v>164</v>
      </c>
      <c r="E28" s="13">
        <f>Temporal_TLR!$D$9</f>
        <v>152</v>
      </c>
      <c r="F28" s="150">
        <f>Temporal_TLR!$D$19</f>
        <v>-0.35990529487249584</v>
      </c>
      <c r="G28" s="150">
        <f>Temporal_TLR!$D$20</f>
        <v>-0.76016492556377258</v>
      </c>
      <c r="H28" s="150">
        <f>Temporal_TLR!$E$20</f>
        <v>4.0354335818780951E-2</v>
      </c>
      <c r="I28" s="150">
        <f t="shared" si="3"/>
        <v>0.40025963069127679</v>
      </c>
      <c r="J28" s="153">
        <f>Temporal_TLR!$D$21</f>
        <v>7.8003086450849413E-2</v>
      </c>
      <c r="K28" s="150">
        <f t="shared" si="4"/>
        <v>1</v>
      </c>
      <c r="L28" s="13" t="str">
        <f t="shared" si="0"/>
        <v>Temporal Lobe (total), n=6</v>
      </c>
      <c r="M28" s="149">
        <f>Temporal_TLR!$D$11</f>
        <v>14.095244822348995</v>
      </c>
      <c r="N28" s="149">
        <f>Temporal_TLR!$D$12</f>
        <v>64.527043956894232</v>
      </c>
      <c r="O28" s="150">
        <f>Temporal_TLR!$D$13</f>
        <v>1.5015594393548151E-2</v>
      </c>
      <c r="P28" s="159">
        <f>Temporal_TLR!$F$13</f>
        <v>0.81758488987396338</v>
      </c>
      <c r="Q28" s="59" t="str">
        <f t="shared" si="1"/>
        <v>-</v>
      </c>
      <c r="R28" s="23" t="str">
        <f t="shared" si="2"/>
        <v/>
      </c>
    </row>
    <row r="29" spans="2:18">
      <c r="B29" s="1" t="s">
        <v>1473</v>
      </c>
      <c r="C29">
        <f>L_Temporal!$D$7</f>
        <v>5</v>
      </c>
      <c r="D29">
        <f>L_Temporal!$D$8</f>
        <v>113</v>
      </c>
      <c r="E29">
        <f>L_Temporal!$D$9</f>
        <v>122</v>
      </c>
      <c r="F29" s="59">
        <f>L_Temporal!$D$19</f>
        <v>-0.3198207285188393</v>
      </c>
      <c r="G29" s="59">
        <f>L_Temporal!$D$20</f>
        <v>-0.73973340210095717</v>
      </c>
      <c r="H29" s="59">
        <f>L_Temporal!$E$20</f>
        <v>0.10009194506327862</v>
      </c>
      <c r="I29" s="59">
        <f t="shared" si="3"/>
        <v>0.41991267358211792</v>
      </c>
      <c r="J29" s="59">
        <f>L_Temporal!$D$21</f>
        <v>0.13548768364069419</v>
      </c>
      <c r="K29" s="59">
        <f t="shared" si="4"/>
        <v>1</v>
      </c>
      <c r="L29" t="str">
        <f t="shared" si="0"/>
        <v>Temporal Lobe (left), n=5</v>
      </c>
      <c r="M29" s="136">
        <f>L_Temporal!$D$11</f>
        <v>9.3244978789353183</v>
      </c>
      <c r="N29" s="136">
        <f>L_Temporal!$D$12</f>
        <v>57.102247735652611</v>
      </c>
      <c r="O29" s="59">
        <f>L_Temporal!$D$13</f>
        <v>5.3481055694488716E-2</v>
      </c>
      <c r="P29" s="159">
        <f>L_Temporal!$F$13</f>
        <v>0.83200175603786786</v>
      </c>
      <c r="Q29" s="59" t="str">
        <f t="shared" si="1"/>
        <v>-</v>
      </c>
      <c r="R29" s="23" t="str">
        <f t="shared" si="2"/>
        <v/>
      </c>
    </row>
    <row r="30" spans="2:18">
      <c r="B30" s="1" t="s">
        <v>787</v>
      </c>
      <c r="C30">
        <f>R_Temporal!$D$7</f>
        <v>5</v>
      </c>
      <c r="D30">
        <f>R_Temporal!$D$8</f>
        <v>113</v>
      </c>
      <c r="E30">
        <f>R_Temporal!$D$9</f>
        <v>122</v>
      </c>
      <c r="F30" s="59">
        <f>R_Temporal!$D$19</f>
        <v>-0.14066573329847765</v>
      </c>
      <c r="G30" s="59">
        <f>R_Temporal!$D$20</f>
        <v>-0.58505279695556323</v>
      </c>
      <c r="H30" s="59">
        <f>R_Temporal!$E$20</f>
        <v>0.30372133035860799</v>
      </c>
      <c r="I30" s="59">
        <f t="shared" si="3"/>
        <v>0.44438706365708558</v>
      </c>
      <c r="J30" s="59">
        <f>R_Temporal!$D$21</f>
        <v>0.53498395190224701</v>
      </c>
      <c r="K30" s="59">
        <f t="shared" si="4"/>
        <v>1</v>
      </c>
      <c r="L30" t="str">
        <f t="shared" si="0"/>
        <v>Temporal Lobe (right), n=5</v>
      </c>
      <c r="M30" s="136">
        <f>R_Temporal!$D$11</f>
        <v>10.448974795918334</v>
      </c>
      <c r="N30" s="136">
        <f>R_Temporal!$D$12</f>
        <v>61.718732429496207</v>
      </c>
      <c r="O30" s="59">
        <f>R_Temporal!$D$13</f>
        <v>3.3507154204016731E-2</v>
      </c>
      <c r="P30" s="159">
        <f>R_Temporal!$F$13</f>
        <v>0.84274720118684177</v>
      </c>
      <c r="Q30" s="59" t="str">
        <f t="shared" si="1"/>
        <v>-</v>
      </c>
      <c r="R30" s="23" t="str">
        <f t="shared" si="2"/>
        <v/>
      </c>
    </row>
    <row r="31" spans="2:18">
      <c r="B31" s="1" t="s">
        <v>788</v>
      </c>
      <c r="C31">
        <f>T_hipp_TLR!$D$7</f>
        <v>37</v>
      </c>
      <c r="D31">
        <f>T_hipp_TLR!$D$8</f>
        <v>1377</v>
      </c>
      <c r="E31">
        <f>T_hipp_TLR!$D$9</f>
        <v>1281</v>
      </c>
      <c r="F31" s="59">
        <f>T_hipp_TLR!$D$19</f>
        <v>-0.47022469581966542</v>
      </c>
      <c r="G31" s="59">
        <f>T_hipp_TLR!$D$20</f>
        <v>-0.61848498351529679</v>
      </c>
      <c r="H31" s="59">
        <f>T_hipp_TLR!$E$20</f>
        <v>-0.32196440812403404</v>
      </c>
      <c r="I31" s="59">
        <f t="shared" si="3"/>
        <v>0.14826028769563138</v>
      </c>
      <c r="J31" s="154">
        <f>T_hipp_TLR!$D$21</f>
        <v>5.0879633839429061E-10</v>
      </c>
      <c r="K31" s="65">
        <f t="shared" si="4"/>
        <v>3.2054169318840309E-8</v>
      </c>
      <c r="L31" t="str">
        <f t="shared" si="0"/>
        <v>Hippocampus (total), n=37</v>
      </c>
      <c r="M31" s="136">
        <f>T_hipp_TLR!$D$11</f>
        <v>131.41043404488715</v>
      </c>
      <c r="N31" s="136">
        <f>T_hipp_TLR!$D$12</f>
        <v>67.278093012528927</v>
      </c>
      <c r="O31" s="59">
        <f>T_hipp_TLR!$D$13</f>
        <v>6.9033564129068567E-11</v>
      </c>
      <c r="P31" s="159">
        <f>T_hipp_TLR!$F$13</f>
        <v>0.14204026969492889</v>
      </c>
      <c r="Q31" s="59">
        <f t="shared" si="1"/>
        <v>0.14204026969492889</v>
      </c>
      <c r="R31" s="23" t="str">
        <f t="shared" si="2"/>
        <v/>
      </c>
    </row>
    <row r="32" spans="2:18">
      <c r="B32" s="1" t="s">
        <v>789</v>
      </c>
      <c r="C32">
        <f>L_hipp!$D$7</f>
        <v>35</v>
      </c>
      <c r="D32">
        <f>L_hipp!$D$8</f>
        <v>1248</v>
      </c>
      <c r="E32">
        <f>L_hipp!$D$9</f>
        <v>1214</v>
      </c>
      <c r="F32" s="59">
        <f>L_hipp!$D$19</f>
        <v>-0.4392100194909947</v>
      </c>
      <c r="G32" s="59">
        <f>L_hipp!$D$20</f>
        <v>-0.59551626378829203</v>
      </c>
      <c r="H32" s="59">
        <f>L_hipp!$E$20</f>
        <v>-0.28290377519369736</v>
      </c>
      <c r="I32" s="59">
        <f t="shared" si="3"/>
        <v>0.15630624429729734</v>
      </c>
      <c r="J32" s="132">
        <f>L_hipp!$D$21</f>
        <v>3.6403156267184045E-8</v>
      </c>
      <c r="K32" s="65">
        <f t="shared" si="4"/>
        <v>2.2933988448325948E-6</v>
      </c>
      <c r="L32" t="str">
        <f t="shared" si="0"/>
        <v>Hippocampus (left), n=35</v>
      </c>
      <c r="M32" s="136">
        <f>L_hipp!$D$11</f>
        <v>129.64963669639252</v>
      </c>
      <c r="N32" s="136">
        <f>L_hipp!$D$12</f>
        <v>68.376309379090756</v>
      </c>
      <c r="O32" s="59">
        <f>L_hipp!$D$13</f>
        <v>3.9312787334257957E-11</v>
      </c>
      <c r="P32" s="159">
        <f>L_hipp!$F$13</f>
        <v>0.11084014440475554</v>
      </c>
      <c r="Q32" s="59">
        <f t="shared" si="1"/>
        <v>0.11084014440475554</v>
      </c>
      <c r="R32" s="23" t="str">
        <f t="shared" si="2"/>
        <v/>
      </c>
    </row>
    <row r="33" spans="2:18">
      <c r="B33" s="1" t="s">
        <v>790</v>
      </c>
      <c r="C33">
        <f>R_hipp!$D$7</f>
        <v>34</v>
      </c>
      <c r="D33">
        <f>R_hipp!$D$8</f>
        <v>1220</v>
      </c>
      <c r="E33">
        <f>R_hipp!$D$9</f>
        <v>1200</v>
      </c>
      <c r="F33" s="59">
        <f>R_hipp!$D$19</f>
        <v>-0.44849787563323235</v>
      </c>
      <c r="G33" s="59">
        <f>R_hipp!$D$20</f>
        <v>-0.6017505743178363</v>
      </c>
      <c r="H33" s="59">
        <f>R_hipp!$E$20</f>
        <v>-0.2952451769486284</v>
      </c>
      <c r="I33" s="59">
        <f t="shared" si="3"/>
        <v>0.15325269868460395</v>
      </c>
      <c r="J33" s="133">
        <f>R_hipp!$D$21</f>
        <v>9.6944794414355329E-9</v>
      </c>
      <c r="K33" s="65">
        <f t="shared" si="4"/>
        <v>6.1075220481043857E-7</v>
      </c>
      <c r="L33" t="str">
        <f t="shared" si="0"/>
        <v>Hippocampus (right), n=34</v>
      </c>
      <c r="M33" s="136">
        <f>R_hipp!$D$11</f>
        <v>118.77703677097675</v>
      </c>
      <c r="N33" s="136">
        <f>R_hipp!$D$12</f>
        <v>66.323456884071703</v>
      </c>
      <c r="O33" s="59">
        <f>R_hipp!$D$13</f>
        <v>9.6802283448984344E-10</v>
      </c>
      <c r="P33" s="159">
        <f>R_hipp!$F$13</f>
        <v>0.15447327730773841</v>
      </c>
      <c r="Q33" s="59">
        <f t="shared" si="1"/>
        <v>0.15447327730773841</v>
      </c>
      <c r="R33" s="23" t="str">
        <f t="shared" si="2"/>
        <v/>
      </c>
    </row>
    <row r="34" spans="2:18">
      <c r="B34" s="1" t="s">
        <v>129</v>
      </c>
      <c r="C34">
        <f>amhpc_TLR!$D$7</f>
        <v>4</v>
      </c>
      <c r="D34">
        <f>amhpc_TLR!$D$8</f>
        <v>87</v>
      </c>
      <c r="E34">
        <f>amhpc_TLR!$D$9</f>
        <v>118</v>
      </c>
      <c r="F34" s="59">
        <f>amhpc_TLR!$D$19</f>
        <v>-0.14810938242951482</v>
      </c>
      <c r="G34" s="59">
        <f>amhpc_TLR!$D$20</f>
        <v>-0.43299251805032829</v>
      </c>
      <c r="H34" s="59">
        <f>amhpc_TLR!$E$20</f>
        <v>0.13677375319129864</v>
      </c>
      <c r="I34" s="59">
        <f t="shared" si="3"/>
        <v>0.28488313562081347</v>
      </c>
      <c r="J34" s="59">
        <f>amhpc_TLR!$D$21</f>
        <v>0.30820550895218757</v>
      </c>
      <c r="K34" s="59">
        <f t="shared" si="4"/>
        <v>1</v>
      </c>
      <c r="L34" t="str">
        <f>CONCATENATE(B34,", n=",C34)</f>
        <v>Amygdala-Hippocampal complex (total), n=4</v>
      </c>
      <c r="M34" s="136">
        <f>amhpc_TLR!$D$11</f>
        <v>1.0920881487767022</v>
      </c>
      <c r="N34" s="136">
        <f>amhpc_TLR!$D$12</f>
        <v>0</v>
      </c>
      <c r="O34" s="59">
        <f>amhpc_TLR!$D$13</f>
        <v>0.77898437298272394</v>
      </c>
      <c r="P34" s="159">
        <f>amhpc_TLR!$F$13</f>
        <v>0.48443131216931801</v>
      </c>
      <c r="Q34" s="59" t="str">
        <f t="shared" si="1"/>
        <v>-</v>
      </c>
      <c r="R34" s="23" t="str">
        <f t="shared" si="2"/>
        <v/>
      </c>
    </row>
    <row r="35" spans="2:18">
      <c r="B35" s="218" t="s">
        <v>2304</v>
      </c>
      <c r="C35">
        <f>L_amhpc!$D$7</f>
        <v>3</v>
      </c>
      <c r="D35">
        <f>L_amhpc!$D$8</f>
        <v>47</v>
      </c>
      <c r="E35">
        <f>L_amhpc!$D$9</f>
        <v>72</v>
      </c>
      <c r="F35" s="59">
        <f>L_amhpc!$D$19</f>
        <v>-4.8468431775493072E-2</v>
      </c>
      <c r="G35" s="59">
        <f>L_amhpc!$D$20</f>
        <v>-0.43163370841511822</v>
      </c>
      <c r="H35" s="59">
        <f>L_amhpc!$E$20</f>
        <v>0.33469684486413204</v>
      </c>
      <c r="I35" s="59">
        <f t="shared" ref="I35:I43" si="5">((H35-F35)+(F35-G35))/2</f>
        <v>0.38316527663962513</v>
      </c>
      <c r="J35" s="59">
        <f>L_amhpc!$D$21</f>
        <v>0.8041886500762625</v>
      </c>
      <c r="K35" s="59">
        <f t="shared" si="4"/>
        <v>1</v>
      </c>
      <c r="L35" t="str">
        <f>CONCATENATE(B35,", n=",C35)</f>
        <v>Amygdala-Hippocampal complex (left), n=3</v>
      </c>
      <c r="M35" s="136">
        <f>L_amhpc!$D$11</f>
        <v>0.33812989272856375</v>
      </c>
      <c r="N35" s="136">
        <f>L_amhpc!$D$12</f>
        <v>0</v>
      </c>
      <c r="O35" s="59">
        <f>L_amhpc!$D$13</f>
        <v>0.84445405805344254</v>
      </c>
      <c r="P35" s="159">
        <f>L_amhpc!$F$13</f>
        <v>0.44587070817489804</v>
      </c>
      <c r="Q35" s="59" t="str">
        <f t="shared" si="1"/>
        <v>-</v>
      </c>
      <c r="R35" s="23" t="str">
        <f t="shared" si="2"/>
        <v/>
      </c>
    </row>
    <row r="36" spans="2:18">
      <c r="B36" s="218" t="s">
        <v>2305</v>
      </c>
      <c r="C36">
        <f>R_amhpc!$D$7</f>
        <v>3</v>
      </c>
      <c r="D36">
        <f>R_amhpc!$D$8</f>
        <v>47</v>
      </c>
      <c r="E36">
        <f>R_amhpc!$D$9</f>
        <v>72</v>
      </c>
      <c r="F36" s="59">
        <f>R_amhpc!$D$19</f>
        <v>-3.351408104707209E-2</v>
      </c>
      <c r="G36" s="59">
        <f>R_amhpc!$D$20</f>
        <v>-0.41677119440329263</v>
      </c>
      <c r="H36" s="59">
        <f>R_amhpc!$E$20</f>
        <v>0.34974303230914844</v>
      </c>
      <c r="I36" s="59">
        <f t="shared" si="5"/>
        <v>0.38325711335622054</v>
      </c>
      <c r="J36" s="59">
        <f>R_amhpc!$D$21</f>
        <v>0.86391473304746125</v>
      </c>
      <c r="K36" s="59">
        <f t="shared" si="4"/>
        <v>1</v>
      </c>
      <c r="L36" t="str">
        <f>CONCATENATE(B36,", n=",C36)</f>
        <v>Amygdala-Hippocampal complex (right), n=3</v>
      </c>
      <c r="M36" s="136">
        <f>R_amhpc!$D$11</f>
        <v>0.45603182947706594</v>
      </c>
      <c r="N36" s="136">
        <f>R_amhpc!$D$12</f>
        <v>0</v>
      </c>
      <c r="O36" s="59">
        <f>R_amhpc!$D$13</f>
        <v>0.79611158996634324</v>
      </c>
      <c r="P36" s="159">
        <f>R_amhpc!$F$13</f>
        <v>0.61906346135349977</v>
      </c>
      <c r="Q36" s="59" t="str">
        <f t="shared" si="1"/>
        <v>-</v>
      </c>
      <c r="R36" s="23" t="str">
        <f t="shared" si="2"/>
        <v/>
      </c>
    </row>
    <row r="37" spans="2:18">
      <c r="B37" s="1" t="s">
        <v>820</v>
      </c>
      <c r="C37">
        <f>amyg_TLR!$D$7</f>
        <v>21</v>
      </c>
      <c r="D37">
        <f>amyg_TLR!$D$8</f>
        <v>633</v>
      </c>
      <c r="E37">
        <f>amyg_TLR!$D$9</f>
        <v>583</v>
      </c>
      <c r="F37" s="59">
        <f>amyg_TLR!$D$19</f>
        <v>-7.3685794860872067E-2</v>
      </c>
      <c r="G37" s="59">
        <f>amyg_TLR!$D$20</f>
        <v>-0.30841512244547131</v>
      </c>
      <c r="H37" s="59">
        <f>amyg_TLR!$E$20</f>
        <v>0.16104353272372718</v>
      </c>
      <c r="I37" s="59">
        <f t="shared" si="5"/>
        <v>0.23472932758459925</v>
      </c>
      <c r="J37" s="59">
        <f>amyg_TLR!$D$21</f>
        <v>0.53837011232283638</v>
      </c>
      <c r="K37" s="59">
        <f t="shared" si="4"/>
        <v>1</v>
      </c>
      <c r="L37" t="str">
        <f>CONCATENATE(B37,", n=",C37)</f>
        <v>Amygdala (total), n=21</v>
      </c>
      <c r="M37" s="136">
        <f>amyg_TLR!$D$11</f>
        <v>87.452356697986161</v>
      </c>
      <c r="N37" s="136">
        <f>amyg_TLR!$D$12</f>
        <v>72.556485718408709</v>
      </c>
      <c r="O37" s="59">
        <f>amyg_TLR!$D$13</f>
        <v>3.7904344407110627E-9</v>
      </c>
      <c r="P37" s="159">
        <f>amyg_TLR!$F$13</f>
        <v>0.96371096874919271</v>
      </c>
      <c r="Q37" s="59" t="str">
        <f t="shared" si="1"/>
        <v>-</v>
      </c>
      <c r="R37" s="23" t="str">
        <f t="shared" si="2"/>
        <v/>
      </c>
    </row>
    <row r="38" spans="2:18">
      <c r="B38" s="1" t="s">
        <v>1833</v>
      </c>
      <c r="C38">
        <f>L_amyg!$D$7</f>
        <v>19</v>
      </c>
      <c r="D38">
        <f>L_amyg!$D$8</f>
        <v>517</v>
      </c>
      <c r="E38">
        <f>L_amyg!$D$9</f>
        <v>535</v>
      </c>
      <c r="F38" s="59">
        <f>L_amyg!$D$19</f>
        <v>8.0700775114389514E-2</v>
      </c>
      <c r="G38" s="59">
        <f>L_amyg!$D$20</f>
        <v>-0.13121655019402556</v>
      </c>
      <c r="H38" s="59">
        <f>L_amyg!$E$20</f>
        <v>0.29261810042280456</v>
      </c>
      <c r="I38" s="59">
        <f t="shared" si="5"/>
        <v>0.21191732530841506</v>
      </c>
      <c r="J38" s="59">
        <f>L_amyg!$D$21</f>
        <v>0.45543030009401675</v>
      </c>
      <c r="K38" s="59">
        <f t="shared" si="4"/>
        <v>1</v>
      </c>
      <c r="L38" t="str">
        <f t="shared" si="0"/>
        <v>Amygdala (left), n=19</v>
      </c>
      <c r="M38" s="136">
        <f>L_amyg!$D$11</f>
        <v>57.67454685675591</v>
      </c>
      <c r="N38" s="136">
        <f>L_amyg!$D$12</f>
        <v>61.854923533876104</v>
      </c>
      <c r="O38" s="59">
        <f>L_amyg!$D$13</f>
        <v>4.9011634977337158E-5</v>
      </c>
      <c r="P38" s="159">
        <f>L_amyg!$F$13</f>
        <v>0.51359609638505765</v>
      </c>
      <c r="Q38" s="59" t="str">
        <f t="shared" si="1"/>
        <v>-</v>
      </c>
      <c r="R38" s="23" t="str">
        <f t="shared" si="2"/>
        <v/>
      </c>
    </row>
    <row r="39" spans="2:18">
      <c r="B39" s="1" t="s">
        <v>791</v>
      </c>
      <c r="C39">
        <f>R_amyg!$D$7</f>
        <v>19</v>
      </c>
      <c r="D39">
        <f>R_amyg!$D$8</f>
        <v>517</v>
      </c>
      <c r="E39">
        <f>R_amyg!$D$9</f>
        <v>535</v>
      </c>
      <c r="F39" s="59">
        <f>R_amyg!$D$19</f>
        <v>-8.3288226589092046E-2</v>
      </c>
      <c r="G39" s="59">
        <f>R_amyg!$D$20</f>
        <v>-0.32949140788800452</v>
      </c>
      <c r="H39" s="59">
        <f>R_amyg!$E$20</f>
        <v>0.16291495470982043</v>
      </c>
      <c r="I39" s="59">
        <f t="shared" si="5"/>
        <v>0.24620318129891247</v>
      </c>
      <c r="J39" s="59">
        <f>R_amyg!$D$21</f>
        <v>0.50729877959689929</v>
      </c>
      <c r="K39" s="59">
        <f t="shared" si="4"/>
        <v>1</v>
      </c>
      <c r="L39" t="str">
        <f t="shared" si="0"/>
        <v>Amygdala (right), n=19</v>
      </c>
      <c r="M39" s="136">
        <f>R_amyg!$D$11</f>
        <v>77.067595253439364</v>
      </c>
      <c r="N39" s="136">
        <f>R_amyg!$D$12</f>
        <v>71.453631156321578</v>
      </c>
      <c r="O39" s="59">
        <f>R_amyg!$D$13</f>
        <v>4.8893512235594986E-8</v>
      </c>
      <c r="P39" s="159">
        <f>R_amyg!$F$13</f>
        <v>0.14092186952156549</v>
      </c>
      <c r="Q39" s="59" t="str">
        <f t="shared" si="1"/>
        <v>-</v>
      </c>
      <c r="R39" s="23" t="str">
        <f t="shared" si="2"/>
        <v/>
      </c>
    </row>
    <row r="40" spans="2:18">
      <c r="B40" s="1" t="s">
        <v>2086</v>
      </c>
      <c r="C40">
        <f>Ant_cing!$D$7</f>
        <v>6</v>
      </c>
      <c r="D40">
        <f>Ant_cing!$D$8</f>
        <v>276</v>
      </c>
      <c r="E40">
        <f>Ant_cing!$D$9</f>
        <v>264</v>
      </c>
      <c r="F40" s="59">
        <f>Ant_cing!$D$19</f>
        <v>-0.20663830747560413</v>
      </c>
      <c r="G40" s="59">
        <f>Ant_cing!$D$20</f>
        <v>-0.53455193984095428</v>
      </c>
      <c r="H40" s="59">
        <f>Ant_cing!$E$20</f>
        <v>0.12127532488974602</v>
      </c>
      <c r="I40" s="59">
        <f>((H40-F40)+(F40-G40))/2</f>
        <v>0.32791363236535015</v>
      </c>
      <c r="J40" s="59">
        <f>Ant_cing!$D$21</f>
        <v>0.21678766605062005</v>
      </c>
      <c r="K40" s="59">
        <f t="shared" si="4"/>
        <v>1</v>
      </c>
      <c r="L40" t="str">
        <f>CONCATENATE(B40,", n=",C40)</f>
        <v>Anterior Cingulate (total), n=6</v>
      </c>
      <c r="M40" s="136">
        <f>Ant_cing!$D$11</f>
        <v>16.562007881226261</v>
      </c>
      <c r="N40" s="136">
        <f>Ant_cing!$D$12</f>
        <v>69.81042373692074</v>
      </c>
      <c r="O40" s="59">
        <f>Ant_cing!$D$13</f>
        <v>5.4099197046986675E-3</v>
      </c>
      <c r="P40" s="159">
        <f>Ant_cing!$F$13</f>
        <v>0.18186689707172943</v>
      </c>
      <c r="Q40" s="59" t="str">
        <f t="shared" si="1"/>
        <v>-</v>
      </c>
      <c r="R40" s="23" t="str">
        <f t="shared" si="2"/>
        <v/>
      </c>
    </row>
    <row r="41" spans="2:18">
      <c r="B41" s="1" t="s">
        <v>792</v>
      </c>
      <c r="C41">
        <f>L_Ant_cing!$D$7</f>
        <v>4</v>
      </c>
      <c r="D41">
        <f>L_Ant_cing!$D$8</f>
        <v>190</v>
      </c>
      <c r="E41">
        <f>L_Ant_cing!$D$9</f>
        <v>212</v>
      </c>
      <c r="F41" s="59">
        <f>L_Ant_cing!$D$19</f>
        <v>-8.653158691284131E-2</v>
      </c>
      <c r="G41" s="59">
        <f>L_Ant_cing!$D$20</f>
        <v>-0.69116056247928082</v>
      </c>
      <c r="H41" s="59">
        <f>L_Ant_cing!$E$20</f>
        <v>0.51809738865359811</v>
      </c>
      <c r="I41" s="59">
        <f t="shared" si="5"/>
        <v>0.60462897556643946</v>
      </c>
      <c r="J41" s="59">
        <f>L_Ant_cing!$D$21</f>
        <v>0.77908950689109369</v>
      </c>
      <c r="K41" s="59">
        <f t="shared" si="4"/>
        <v>1</v>
      </c>
      <c r="L41" t="str">
        <f t="shared" si="0"/>
        <v>Anterior Cingulate (left), n=4</v>
      </c>
      <c r="M41" s="136">
        <f>L_Ant_cing!$D$11</f>
        <v>25.708948369806375</v>
      </c>
      <c r="N41" s="136">
        <f>L_Ant_cing!$D$12</f>
        <v>88.330911257640849</v>
      </c>
      <c r="O41" s="59">
        <f>L_Ant_cing!$D$13</f>
        <v>1.0973799566569688E-5</v>
      </c>
      <c r="P41" s="159">
        <f>L_Ant_cing!$F$13</f>
        <v>0.12610545301217208</v>
      </c>
      <c r="Q41" s="59" t="str">
        <f t="shared" si="1"/>
        <v>-</v>
      </c>
      <c r="R41" s="23" t="str">
        <f t="shared" si="2"/>
        <v/>
      </c>
    </row>
    <row r="42" spans="2:18">
      <c r="B42" s="1" t="s">
        <v>793</v>
      </c>
      <c r="C42">
        <f>R_Ant_cing!$D$7</f>
        <v>4</v>
      </c>
      <c r="D42">
        <f>R_Ant_cing!$D$8</f>
        <v>190</v>
      </c>
      <c r="E42">
        <f>R_Ant_cing!$D$9</f>
        <v>212</v>
      </c>
      <c r="F42" s="59">
        <f>R_Ant_cing!$D$19</f>
        <v>-0.18255632350922313</v>
      </c>
      <c r="G42" s="59">
        <f>R_Ant_cing!$D$20</f>
        <v>-0.44483562170195401</v>
      </c>
      <c r="H42" s="59">
        <f>R_Ant_cing!$E$20</f>
        <v>7.9722974683507752E-2</v>
      </c>
      <c r="I42" s="59">
        <f t="shared" si="5"/>
        <v>0.26227929819273088</v>
      </c>
      <c r="J42" s="59">
        <f>R_Ant_cing!$D$21</f>
        <v>0.1724938609818043</v>
      </c>
      <c r="K42" s="59">
        <f t="shared" si="4"/>
        <v>1</v>
      </c>
      <c r="L42" t="str">
        <f t="shared" si="0"/>
        <v>Anterior Cingulate (right), n=4</v>
      </c>
      <c r="M42" s="136">
        <f>R_Ant_cing!$D$11</f>
        <v>5.0140108169719877</v>
      </c>
      <c r="N42" s="136">
        <f>R_Ant_cing!$D$12</f>
        <v>40.167659992968851</v>
      </c>
      <c r="O42" s="59">
        <f>R_Ant_cing!$D$13</f>
        <v>0.17077405365932966</v>
      </c>
      <c r="P42" s="159">
        <f>R_Ant_cing!$F$13</f>
        <v>0.46589895086001032</v>
      </c>
      <c r="Q42" s="59" t="str">
        <f t="shared" ref="Q42:Q65" si="6">IF(AND(C42&gt;4,J42&lt;0.05),P42,"-")</f>
        <v>-</v>
      </c>
      <c r="R42" s="23" t="str">
        <f t="shared" si="2"/>
        <v/>
      </c>
    </row>
    <row r="43" spans="2:18">
      <c r="B43" s="3" t="s">
        <v>2415</v>
      </c>
      <c r="C43">
        <f>Frontal_TLR!$D$7</f>
        <v>7</v>
      </c>
      <c r="D43">
        <f>Frontal_TLR!$D$8</f>
        <v>262</v>
      </c>
      <c r="E43">
        <f>Frontal_TLR!$D$9</f>
        <v>213</v>
      </c>
      <c r="F43" s="59">
        <f>Frontal_TLR!$D$19</f>
        <v>-0.29142957982658096</v>
      </c>
      <c r="G43" s="59">
        <f>Frontal_TLR!$D$20</f>
        <v>-0.53035420978976333</v>
      </c>
      <c r="H43" s="59">
        <f>Frontal_TLR!$E$20</f>
        <v>-5.250494986339857E-2</v>
      </c>
      <c r="I43" s="59">
        <f t="shared" si="5"/>
        <v>0.23892462996318237</v>
      </c>
      <c r="J43" s="49">
        <f>Frontal_TLR!$D$21</f>
        <v>1.6815355100511464E-2</v>
      </c>
      <c r="K43" s="59">
        <f t="shared" si="4"/>
        <v>1</v>
      </c>
      <c r="L43" t="str">
        <f t="shared" si="0"/>
        <v>Frontal (total, GM+WM), n=7</v>
      </c>
      <c r="M43" s="136">
        <f>Frontal_TLR!$D$11</f>
        <v>12.182740296826347</v>
      </c>
      <c r="N43" s="136">
        <f>Frontal_TLR!$D$12</f>
        <v>34.333328913823827</v>
      </c>
      <c r="O43" s="59">
        <f>Frontal_TLR!$D$13</f>
        <v>0.14323480781432932</v>
      </c>
      <c r="P43" s="159">
        <f>Frontal_TLR!$F$13</f>
        <v>0.46151783301642435</v>
      </c>
      <c r="Q43" s="59">
        <f t="shared" si="6"/>
        <v>0.46151783301642435</v>
      </c>
      <c r="R43" s="23" t="str">
        <f t="shared" si="2"/>
        <v/>
      </c>
    </row>
    <row r="44" spans="2:18">
      <c r="B44" s="3" t="s">
        <v>2416</v>
      </c>
      <c r="C44">
        <f>L_Frontal!$D$7</f>
        <v>5</v>
      </c>
      <c r="D44">
        <f>L_Frontal!$D$8</f>
        <v>139</v>
      </c>
      <c r="E44">
        <f>L_Frontal!$D$9</f>
        <v>145</v>
      </c>
      <c r="F44" s="59">
        <f>L_Frontal!$D$19</f>
        <v>-0.11418350396787176</v>
      </c>
      <c r="G44" s="59">
        <f>L_Frontal!$D$20</f>
        <v>-0.35523705422645463</v>
      </c>
      <c r="H44" s="59">
        <f>L_Frontal!$E$20</f>
        <v>0.12687004629071114</v>
      </c>
      <c r="I44" s="59">
        <f t="shared" ref="I44:I60" si="7">((H44-F44)+(F44-G44))/2</f>
        <v>0.24105355025858288</v>
      </c>
      <c r="J44" s="59">
        <f>L_Frontal!$D$21</f>
        <v>0.35318817633790056</v>
      </c>
      <c r="K44" s="59">
        <f t="shared" ref="K44:K65" si="8">IF((J44*$C$70&gt;1),1,J44*$C$70)</f>
        <v>1</v>
      </c>
      <c r="L44" t="str">
        <f t="shared" si="0"/>
        <v>Frontal (left, GM+WM), n=5</v>
      </c>
      <c r="M44" s="136">
        <f>L_Frontal!$D$11</f>
        <v>3.5193304654007562</v>
      </c>
      <c r="N44" s="136">
        <f>L_Frontal!$D$12</f>
        <v>0</v>
      </c>
      <c r="O44" s="59">
        <f>L_Frontal!$D$13</f>
        <v>0.74139611639719316</v>
      </c>
      <c r="P44" s="159">
        <f>L_Frontal!$F$13</f>
        <v>0.28449959489798993</v>
      </c>
      <c r="Q44" s="59" t="str">
        <f t="shared" si="6"/>
        <v>-</v>
      </c>
      <c r="R44" s="23" t="str">
        <f t="shared" si="2"/>
        <v/>
      </c>
    </row>
    <row r="45" spans="2:18">
      <c r="B45" s="3" t="s">
        <v>2417</v>
      </c>
      <c r="C45">
        <f>R_Frontal!$D$7</f>
        <v>5</v>
      </c>
      <c r="D45">
        <f>R_Frontal!$D$8</f>
        <v>139</v>
      </c>
      <c r="E45">
        <f>R_Frontal!$D$9</f>
        <v>145</v>
      </c>
      <c r="F45" s="59">
        <f>R_Frontal!$D$19</f>
        <v>-0.13255975083968533</v>
      </c>
      <c r="G45" s="59">
        <f>R_Frontal!$D$20</f>
        <v>-0.37392414187784417</v>
      </c>
      <c r="H45" s="59">
        <f>R_Frontal!$E$20</f>
        <v>0.10880464019847352</v>
      </c>
      <c r="I45" s="59">
        <f t="shared" si="7"/>
        <v>0.24136439103815885</v>
      </c>
      <c r="J45" s="59">
        <f>R_Frontal!$D$21</f>
        <v>0.28172528630806948</v>
      </c>
      <c r="K45" s="59">
        <f t="shared" si="8"/>
        <v>1</v>
      </c>
      <c r="L45" t="str">
        <f t="shared" si="0"/>
        <v>Frontal (right, GM+WM), n=5</v>
      </c>
      <c r="M45" s="136">
        <f>R_Frontal!$D$11</f>
        <v>3.9756174048525397</v>
      </c>
      <c r="N45" s="136">
        <f>R_Frontal!$D$12</f>
        <v>0</v>
      </c>
      <c r="O45" s="59">
        <f>R_Frontal!$D$13</f>
        <v>0.67997620414216375</v>
      </c>
      <c r="P45" s="159">
        <f>R_Frontal!$F$13</f>
        <v>0.46045600615968429</v>
      </c>
      <c r="Q45" s="59" t="str">
        <f t="shared" si="6"/>
        <v>-</v>
      </c>
      <c r="R45" s="23" t="str">
        <f t="shared" si="2"/>
        <v/>
      </c>
    </row>
    <row r="46" spans="2:18">
      <c r="B46" s="3" t="s">
        <v>2418</v>
      </c>
      <c r="C46">
        <f>Frontal_G_TLR!$D$7</f>
        <v>6</v>
      </c>
      <c r="D46">
        <f>Frontal_G_TLR!$D$8</f>
        <v>171</v>
      </c>
      <c r="E46">
        <f>Frontal_G_TLR!$D$9</f>
        <v>166</v>
      </c>
      <c r="F46" s="59">
        <f>Frontal_G_TLR!$D$19</f>
        <v>-7.8925748750629993E-2</v>
      </c>
      <c r="G46" s="59">
        <f>Frontal_G_TLR!$D$20</f>
        <v>-0.29979254518461929</v>
      </c>
      <c r="H46" s="59">
        <f>Frontal_G_TLR!$E$20</f>
        <v>0.14194104768335927</v>
      </c>
      <c r="I46" s="59">
        <f t="shared" si="7"/>
        <v>0.22086679643398927</v>
      </c>
      <c r="J46" s="59">
        <f>Frontal_G_TLR!$D$21</f>
        <v>0.48367933598077606</v>
      </c>
      <c r="K46" s="59">
        <f t="shared" si="8"/>
        <v>1</v>
      </c>
      <c r="L46" t="str">
        <f t="shared" si="0"/>
        <v>Frontal (total, GM), n=6</v>
      </c>
      <c r="M46" s="136">
        <f>Frontal_G_TLR!$D$11</f>
        <v>6.8903815986842352</v>
      </c>
      <c r="N46" s="136">
        <f>Frontal_G_TLR!$D$12</f>
        <v>0</v>
      </c>
      <c r="O46" s="59">
        <f>Frontal_G_TLR!$D$13</f>
        <v>0.4403819578971343</v>
      </c>
      <c r="P46" s="159">
        <f>Frontal_G_TLR!$F$13</f>
        <v>0.74578989616896729</v>
      </c>
      <c r="Q46" s="59" t="str">
        <f t="shared" si="6"/>
        <v>-</v>
      </c>
      <c r="R46" s="23" t="str">
        <f t="shared" si="2"/>
        <v/>
      </c>
    </row>
    <row r="47" spans="2:18">
      <c r="B47" s="3" t="s">
        <v>2419</v>
      </c>
      <c r="C47">
        <f>L_Frontal_G!$D$7</f>
        <v>5</v>
      </c>
      <c r="D47">
        <f>L_Frontal_G!$D$8</f>
        <v>153</v>
      </c>
      <c r="E47">
        <f>L_Frontal_G!$D$9</f>
        <v>129</v>
      </c>
      <c r="F47" s="59">
        <f>L_Frontal_G!$D$19</f>
        <v>-0.18969212836877866</v>
      </c>
      <c r="G47" s="59">
        <f>L_Frontal_G!$D$20</f>
        <v>-0.42957339860637578</v>
      </c>
      <c r="H47" s="59">
        <f>L_Frontal_G!$E$20</f>
        <v>5.0189141868818482E-2</v>
      </c>
      <c r="I47" s="59">
        <f t="shared" si="7"/>
        <v>0.23988127023759714</v>
      </c>
      <c r="J47" s="59">
        <f>L_Frontal_G!$D$21</f>
        <v>0.12116092554224478</v>
      </c>
      <c r="K47" s="59">
        <f t="shared" si="8"/>
        <v>1</v>
      </c>
      <c r="L47" t="str">
        <f t="shared" si="0"/>
        <v>Frontal (left, GM), n=5</v>
      </c>
      <c r="M47" s="136">
        <f>L_Frontal_G!$D$11</f>
        <v>3.9282757571394371</v>
      </c>
      <c r="N47" s="136">
        <f>L_Frontal_G!$D$12</f>
        <v>0</v>
      </c>
      <c r="O47" s="59">
        <f>L_Frontal_G!$D$13</f>
        <v>0.68638219027093228</v>
      </c>
      <c r="P47" s="159">
        <f>L_Frontal_G!$F$13</f>
        <v>0.52170911990257662</v>
      </c>
      <c r="Q47" s="59" t="str">
        <f t="shared" si="6"/>
        <v>-</v>
      </c>
      <c r="R47" s="23" t="str">
        <f t="shared" si="2"/>
        <v/>
      </c>
    </row>
    <row r="48" spans="2:18">
      <c r="B48" s="3" t="s">
        <v>2420</v>
      </c>
      <c r="C48">
        <f>R_Frontal_G!$D$7</f>
        <v>5</v>
      </c>
      <c r="D48">
        <f>R_Frontal_G!$D$8</f>
        <v>153</v>
      </c>
      <c r="E48">
        <f>R_Frontal_G!$D$9</f>
        <v>129</v>
      </c>
      <c r="F48" s="59">
        <f>R_Frontal_G!$D$19</f>
        <v>-0.10440127854955372</v>
      </c>
      <c r="G48" s="59">
        <f>R_Frontal_G!$D$20</f>
        <v>-0.34391301391243184</v>
      </c>
      <c r="H48" s="59">
        <f>R_Frontal_G!$E$20</f>
        <v>0.1351104568133244</v>
      </c>
      <c r="I48" s="59">
        <f t="shared" si="7"/>
        <v>0.23951173536287812</v>
      </c>
      <c r="J48" s="59">
        <f>R_Frontal_G!$D$21</f>
        <v>0.39291188920057452</v>
      </c>
      <c r="K48" s="59">
        <f t="shared" si="8"/>
        <v>1</v>
      </c>
      <c r="L48" t="str">
        <f t="shared" si="0"/>
        <v>Frontal (right, GM), n=5</v>
      </c>
      <c r="M48" s="136">
        <f>R_Frontal_G!$D$11</f>
        <v>4.0471151576612616</v>
      </c>
      <c r="N48" s="136">
        <f>R_Frontal_G!$D$12</f>
        <v>0</v>
      </c>
      <c r="O48" s="59">
        <f>R_Frontal_G!$D$13</f>
        <v>0.67030037059897651</v>
      </c>
      <c r="P48" s="159">
        <f>R_Frontal_G!$F$13</f>
        <v>0.5398726720069057</v>
      </c>
      <c r="Q48" s="59" t="str">
        <f t="shared" si="6"/>
        <v>-</v>
      </c>
      <c r="R48" s="23" t="str">
        <f t="shared" si="2"/>
        <v/>
      </c>
    </row>
    <row r="49" spans="2:18">
      <c r="B49" s="3" t="s">
        <v>2421</v>
      </c>
      <c r="C49">
        <f>Frontal_W_TLR!$D$7</f>
        <v>5</v>
      </c>
      <c r="D49">
        <f>Frontal_W_TLR!$D$8</f>
        <v>152</v>
      </c>
      <c r="E49">
        <f>Frontal_W_TLR!$D$9</f>
        <v>153</v>
      </c>
      <c r="F49" s="59">
        <f>Frontal_W_TLR!$D$19</f>
        <v>-9.9437835390116913E-2</v>
      </c>
      <c r="G49" s="59">
        <f>Frontal_W_TLR!$D$20</f>
        <v>-0.41464947431256971</v>
      </c>
      <c r="H49" s="59">
        <f>Frontal_W_TLR!$E$20</f>
        <v>0.21577380353233588</v>
      </c>
      <c r="I49" s="59">
        <f t="shared" si="7"/>
        <v>0.3152116389224528</v>
      </c>
      <c r="J49" s="59">
        <f>Frontal_W_TLR!$D$21</f>
        <v>0.53637174540105859</v>
      </c>
      <c r="K49" s="59">
        <f t="shared" si="8"/>
        <v>1</v>
      </c>
      <c r="L49" t="str">
        <f t="shared" si="0"/>
        <v>Frontal (total, WM), n=5</v>
      </c>
      <c r="M49" s="136">
        <f>Frontal_W_TLR!$D$11</f>
        <v>10.373096461544646</v>
      </c>
      <c r="N49" s="136">
        <f>Frontal_W_TLR!$D$12</f>
        <v>42.158062231048156</v>
      </c>
      <c r="O49" s="59">
        <f>Frontal_W_TLR!$D$13</f>
        <v>0.10979409832156338</v>
      </c>
      <c r="P49" s="159">
        <f>Frontal_W_TLR!$F$13</f>
        <v>0.80973048661159253</v>
      </c>
      <c r="Q49" s="59" t="str">
        <f t="shared" si="6"/>
        <v>-</v>
      </c>
      <c r="R49" s="23" t="str">
        <f t="shared" si="2"/>
        <v/>
      </c>
    </row>
    <row r="50" spans="2:18">
      <c r="B50" s="3" t="s">
        <v>2422</v>
      </c>
      <c r="C50">
        <f>L_Frontal_W!$D$7</f>
        <v>4</v>
      </c>
      <c r="D50">
        <f>L_Frontal_W!$D$8</f>
        <v>134</v>
      </c>
      <c r="E50">
        <f>L_Frontal_W!$D$9</f>
        <v>116</v>
      </c>
      <c r="F50" s="59">
        <f>L_Frontal_W!$D$19</f>
        <v>7.9485621605181467E-3</v>
      </c>
      <c r="G50" s="59">
        <f>L_Frontal_W!$D$20</f>
        <v>-0.24794482474319107</v>
      </c>
      <c r="H50" s="59">
        <f>L_Frontal_W!$E$20</f>
        <v>0.26384194906422737</v>
      </c>
      <c r="I50" s="59">
        <f t="shared" si="7"/>
        <v>0.25589338690370922</v>
      </c>
      <c r="J50" s="59">
        <f>L_Frontal_W!$D$21</f>
        <v>0.95145355620804883</v>
      </c>
      <c r="K50" s="59">
        <f t="shared" si="8"/>
        <v>1</v>
      </c>
      <c r="L50" t="str">
        <f t="shared" si="0"/>
        <v>Frontal (left, WM), n=4</v>
      </c>
      <c r="M50" s="136">
        <f>L_Frontal_W!$D$11</f>
        <v>3.6345935942778298</v>
      </c>
      <c r="N50" s="136">
        <f>L_Frontal_W!$D$12</f>
        <v>0</v>
      </c>
      <c r="O50" s="59">
        <f>L_Frontal_W!$D$13</f>
        <v>0.60312681923783007</v>
      </c>
      <c r="P50" s="159">
        <f>L_Frontal_W!$F$13</f>
        <v>0.79634436590649682</v>
      </c>
      <c r="Q50" s="59" t="str">
        <f t="shared" si="6"/>
        <v>-</v>
      </c>
      <c r="R50" s="23" t="str">
        <f t="shared" si="2"/>
        <v/>
      </c>
    </row>
    <row r="51" spans="2:18">
      <c r="B51" s="3" t="s">
        <v>2423</v>
      </c>
      <c r="C51">
        <f>R_Frontal_W!$D$7</f>
        <v>4</v>
      </c>
      <c r="D51">
        <f>R_Frontal_W!$D$8</f>
        <v>134</v>
      </c>
      <c r="E51">
        <f>R_Frontal_W!$D$9</f>
        <v>116</v>
      </c>
      <c r="F51" s="59">
        <f>R_Frontal_W!$D$19</f>
        <v>-7.8829684152245824E-2</v>
      </c>
      <c r="G51" s="59">
        <f>R_Frontal_W!$D$20</f>
        <v>-0.37196591935873435</v>
      </c>
      <c r="H51" s="59">
        <f>R_Frontal_W!$E$20</f>
        <v>0.21430655105424268</v>
      </c>
      <c r="I51" s="59">
        <f t="shared" si="7"/>
        <v>0.29313623520648852</v>
      </c>
      <c r="J51" s="59">
        <f>R_Frontal_W!$D$21</f>
        <v>0.59813819094244836</v>
      </c>
      <c r="K51" s="59">
        <f t="shared" si="8"/>
        <v>1</v>
      </c>
      <c r="L51" t="str">
        <f t="shared" si="0"/>
        <v>Frontal (right, WM), n=4</v>
      </c>
      <c r="M51" s="136">
        <f>R_Frontal_W!$D$11</f>
        <v>6.295510808664579</v>
      </c>
      <c r="N51" s="136">
        <f>R_Frontal_W!$D$12</f>
        <v>20.578327129254607</v>
      </c>
      <c r="O51" s="59">
        <f>R_Frontal_W!$D$13</f>
        <v>0.27851702449610949</v>
      </c>
      <c r="P51" s="159">
        <f>R_Frontal_W!$F$13</f>
        <v>0.58572661356600508</v>
      </c>
      <c r="Q51" s="59" t="str">
        <f t="shared" si="6"/>
        <v>-</v>
      </c>
      <c r="R51" s="23" t="str">
        <f t="shared" si="2"/>
        <v/>
      </c>
    </row>
    <row r="52" spans="2:18">
      <c r="B52" s="1" t="s">
        <v>2424</v>
      </c>
      <c r="C52">
        <f>orb_TLR!$D$7</f>
        <v>3</v>
      </c>
      <c r="D52">
        <f>orb_TLR!$D$8</f>
        <v>140</v>
      </c>
      <c r="E52">
        <f>orb_TLR!$D$9</f>
        <v>105</v>
      </c>
      <c r="F52" s="59">
        <f>orb_TLR!$D$19</f>
        <v>-0.22837856834143849</v>
      </c>
      <c r="G52" s="59">
        <f>orb_TLR!$D$20</f>
        <v>-0.65584457860105183</v>
      </c>
      <c r="H52" s="59">
        <f>orb_TLR!$E$20</f>
        <v>0.19908744191817485</v>
      </c>
      <c r="I52" s="59">
        <f t="shared" si="7"/>
        <v>0.42746601025961334</v>
      </c>
      <c r="J52" s="59">
        <f>orb_TLR!$D$21</f>
        <v>0.2950293646785469</v>
      </c>
      <c r="K52" s="59">
        <f t="shared" si="8"/>
        <v>1</v>
      </c>
      <c r="L52" t="str">
        <f t="shared" si="0"/>
        <v>Orbitofrontal (total GM+WM), n=3</v>
      </c>
      <c r="M52" s="136">
        <f>orb_TLR!$D$11</f>
        <v>7.2894595160043449</v>
      </c>
      <c r="N52" s="136">
        <f>orb_TLR!$D$12</f>
        <v>58.844685351316365</v>
      </c>
      <c r="O52" s="59">
        <f>orb_TLR!$D$13</f>
        <v>6.3222203190268958E-2</v>
      </c>
      <c r="P52" s="159">
        <f>orb_TLR!$F$13</f>
        <v>0.33364443123920978</v>
      </c>
      <c r="Q52" s="59" t="str">
        <f t="shared" si="6"/>
        <v>-</v>
      </c>
      <c r="R52" s="23" t="str">
        <f t="shared" si="2"/>
        <v/>
      </c>
    </row>
    <row r="53" spans="2:18">
      <c r="B53" s="1" t="s">
        <v>2366</v>
      </c>
      <c r="C53">
        <f>orb_G_TLR!$D$7</f>
        <v>6</v>
      </c>
      <c r="D53">
        <f>orb_G_TLR!$D$8</f>
        <v>424</v>
      </c>
      <c r="E53">
        <f>orb_G_TLR!$D$9</f>
        <v>318</v>
      </c>
      <c r="F53" s="59">
        <f>orb_G_TLR!$D$19</f>
        <v>-0.37808107676834923</v>
      </c>
      <c r="G53" s="59">
        <f>orb_G_TLR!$D$20</f>
        <v>-0.64427046465124582</v>
      </c>
      <c r="H53" s="59">
        <f>orb_G_TLR!$E$20</f>
        <v>-0.11189168888545259</v>
      </c>
      <c r="I53" s="59">
        <f t="shared" ref="I53:I58" si="9">((H53-F53)+(F53-G53))/2</f>
        <v>0.26618938788289659</v>
      </c>
      <c r="J53" s="65">
        <f>orb_G_TLR!$D$21</f>
        <v>5.3713152953815957E-3</v>
      </c>
      <c r="K53" s="59">
        <f t="shared" si="8"/>
        <v>0.33839286360904053</v>
      </c>
      <c r="L53" t="str">
        <f t="shared" ref="L53:L58" si="10">CONCATENATE(B53,", n=",C53)</f>
        <v>Orbitofrontal (total GM), n=6</v>
      </c>
      <c r="M53" s="136">
        <f>orb_G_TLR!$D$11</f>
        <v>14.002549784409076</v>
      </c>
      <c r="N53" s="136">
        <f>orb_G_TLR!$D$12</f>
        <v>57.150661184003738</v>
      </c>
      <c r="O53" s="59">
        <f>orb_G_TLR!$D$13</f>
        <v>2.9607694344443675E-2</v>
      </c>
      <c r="P53" s="159">
        <f>orb_G_TLR!$F$13</f>
        <v>0.40984673390596338</v>
      </c>
      <c r="Q53" s="59">
        <f t="shared" si="6"/>
        <v>0.40984673390596338</v>
      </c>
      <c r="R53" s="23" t="str">
        <f t="shared" si="2"/>
        <v/>
      </c>
    </row>
    <row r="54" spans="2:18">
      <c r="B54" s="3" t="s">
        <v>2367</v>
      </c>
      <c r="C54">
        <f>L_orb_G!$D$7</f>
        <v>5</v>
      </c>
      <c r="D54">
        <f>L_orb_G!$D$8</f>
        <v>355</v>
      </c>
      <c r="E54">
        <f>L_orb_G!$D$9</f>
        <v>286</v>
      </c>
      <c r="F54" s="59">
        <f>L_orb_G!$D$19</f>
        <v>-0.29240023570104073</v>
      </c>
      <c r="G54" s="59">
        <f>L_orb_G!$D$20</f>
        <v>-0.5672212631339667</v>
      </c>
      <c r="H54" s="59">
        <f>L_orb_G!$E$20</f>
        <v>-1.7579208268114765E-2</v>
      </c>
      <c r="I54" s="59">
        <f t="shared" si="9"/>
        <v>0.27482102743292597</v>
      </c>
      <c r="J54" s="49">
        <f>L_orb_G!$D$21</f>
        <v>3.703541891140949E-2</v>
      </c>
      <c r="K54" s="59">
        <f t="shared" si="8"/>
        <v>1</v>
      </c>
      <c r="L54" t="str">
        <f t="shared" si="10"/>
        <v>Orbitofrontal (left, GM), n=5</v>
      </c>
      <c r="M54" s="136">
        <f>L_orb_G!$D$11</f>
        <v>8.9466747609603932</v>
      </c>
      <c r="N54" s="136">
        <f>L_orb_G!$D$12</f>
        <v>55.290651478084861</v>
      </c>
      <c r="O54" s="59">
        <f>L_orb_G!$D$13</f>
        <v>6.2446266650883035E-2</v>
      </c>
      <c r="P54" s="159">
        <f>L_orb_G!$F$13</f>
        <v>0.98569446083908652</v>
      </c>
      <c r="Q54" s="59">
        <f t="shared" si="6"/>
        <v>0.98569446083908652</v>
      </c>
      <c r="R54" s="23" t="str">
        <f t="shared" si="2"/>
        <v/>
      </c>
    </row>
    <row r="55" spans="2:18">
      <c r="B55" s="3" t="s">
        <v>2368</v>
      </c>
      <c r="C55">
        <f>R_orb_G!$D$7</f>
        <v>5</v>
      </c>
      <c r="D55">
        <f>R_orb_G!$D$8</f>
        <v>355</v>
      </c>
      <c r="E55">
        <f>R_orb_G!$D$9</f>
        <v>286</v>
      </c>
      <c r="F55" s="59">
        <f>R_orb_G!$D$19</f>
        <v>-0.23708872345555207</v>
      </c>
      <c r="G55" s="59">
        <f>R_orb_G!$D$20</f>
        <v>-0.51299168135470696</v>
      </c>
      <c r="H55" s="59">
        <f>R_orb_G!$E$20</f>
        <v>3.8814234443602852E-2</v>
      </c>
      <c r="I55" s="59">
        <f t="shared" si="9"/>
        <v>0.27590295789915487</v>
      </c>
      <c r="J55" s="49">
        <f>R_orb_G!$D$21</f>
        <v>9.2130324448367995E-2</v>
      </c>
      <c r="K55" s="59">
        <f t="shared" si="8"/>
        <v>1</v>
      </c>
      <c r="L55" t="str">
        <f t="shared" si="10"/>
        <v>Orbitofrontal (right, GM), n=5</v>
      </c>
      <c r="M55" s="136">
        <f>R_orb_G!$D$11</f>
        <v>9.0450279868373311</v>
      </c>
      <c r="N55" s="136">
        <f>R_orb_G!$D$12</f>
        <v>55.776809028994137</v>
      </c>
      <c r="O55" s="59">
        <f>R_orb_G!$D$13</f>
        <v>5.9983797005887296E-2</v>
      </c>
      <c r="P55" s="159">
        <f>R_orb_G!$F$13</f>
        <v>0.87974157626974481</v>
      </c>
      <c r="Q55" s="59" t="str">
        <f t="shared" si="6"/>
        <v>-</v>
      </c>
      <c r="R55" s="23" t="str">
        <f t="shared" si="2"/>
        <v/>
      </c>
    </row>
    <row r="56" spans="2:18">
      <c r="B56" s="3" t="s">
        <v>2369</v>
      </c>
      <c r="C56">
        <f>Gmedorb!$D$7</f>
        <v>3</v>
      </c>
      <c r="D56">
        <f>Gmedorb!$D$8</f>
        <v>86</v>
      </c>
      <c r="E56">
        <f>Gmedorb!$D$9</f>
        <v>101</v>
      </c>
      <c r="F56" s="59">
        <f>Gmedorb!$D$19</f>
        <v>-0.11917689320257341</v>
      </c>
      <c r="G56" s="59">
        <f>Gmedorb!$D$20</f>
        <v>-0.53932190901957433</v>
      </c>
      <c r="H56" s="59">
        <f>Gmedorb!$E$20</f>
        <v>0.30096812261442751</v>
      </c>
      <c r="I56" s="59">
        <f t="shared" si="9"/>
        <v>0.42014501581700092</v>
      </c>
      <c r="J56" s="59">
        <f>Gmedorb!$D$21</f>
        <v>0.57823350107497307</v>
      </c>
      <c r="K56" s="59">
        <f t="shared" si="8"/>
        <v>1</v>
      </c>
      <c r="L56" t="str">
        <f t="shared" si="10"/>
        <v>Medial orbitofrontal (total, GM), n=3</v>
      </c>
      <c r="M56" s="136">
        <f>Gmedorb!$D$11</f>
        <v>4.1547264850541525</v>
      </c>
      <c r="N56" s="136">
        <f>Gmedorb!$D$12</f>
        <v>51.862053803189603</v>
      </c>
      <c r="O56" s="59">
        <f>Gmedorb!$D$13</f>
        <v>0.12526005754439584</v>
      </c>
      <c r="P56" s="159">
        <f>Gmedorb!$F$13</f>
        <v>0.14836505384366219</v>
      </c>
      <c r="Q56" s="59" t="str">
        <f t="shared" si="6"/>
        <v>-</v>
      </c>
      <c r="R56" s="23" t="str">
        <f t="shared" si="2"/>
        <v/>
      </c>
    </row>
    <row r="57" spans="2:18">
      <c r="B57" s="3" t="s">
        <v>2370</v>
      </c>
      <c r="C57">
        <f>Glatorb!$D$7</f>
        <v>3</v>
      </c>
      <c r="D57">
        <f>Glatorb!$D$8</f>
        <v>86</v>
      </c>
      <c r="E57">
        <f>Glatorb!$D$9</f>
        <v>101</v>
      </c>
      <c r="F57" s="59">
        <f>Glatorb!$D$19</f>
        <v>-1.7432782827394844E-2</v>
      </c>
      <c r="G57" s="59">
        <f>Glatorb!$D$20</f>
        <v>-0.5172573832489763</v>
      </c>
      <c r="H57" s="59">
        <f>Glatorb!$E$20</f>
        <v>0.48239181759418664</v>
      </c>
      <c r="I57" s="59">
        <f t="shared" si="9"/>
        <v>0.4998246004215815</v>
      </c>
      <c r="J57" s="59">
        <f>Glatorb!$D$21</f>
        <v>0.94549867304467505</v>
      </c>
      <c r="K57" s="59">
        <f t="shared" si="8"/>
        <v>1</v>
      </c>
      <c r="L57" t="str">
        <f t="shared" si="10"/>
        <v>Lateral orbitofrontal (total, GM), n=3</v>
      </c>
      <c r="M57" s="136">
        <f>Glatorb!$D$11</f>
        <v>5.8573565450748211</v>
      </c>
      <c r="N57" s="136">
        <f>Glatorb!$D$12</f>
        <v>65.85490426254303</v>
      </c>
      <c r="O57" s="59">
        <f>Glatorb!$D$13</f>
        <v>5.3467661141058755E-2</v>
      </c>
      <c r="P57" s="159">
        <f>Glatorb!$F$13</f>
        <v>0.5693591952213759</v>
      </c>
      <c r="Q57" s="59" t="str">
        <f t="shared" si="6"/>
        <v>-</v>
      </c>
      <c r="R57" s="23" t="str">
        <f t="shared" si="2"/>
        <v/>
      </c>
    </row>
    <row r="58" spans="2:18">
      <c r="B58" s="1" t="s">
        <v>413</v>
      </c>
      <c r="C58">
        <f>sgPFC_TLR!$D$7</f>
        <v>7</v>
      </c>
      <c r="D58">
        <f>sgPFC_TLR!$D$8</f>
        <v>234</v>
      </c>
      <c r="E58">
        <f>sgPFC_TLR!$D$9</f>
        <v>265</v>
      </c>
      <c r="F58" s="59">
        <f>sgPFC_TLR!$D$19</f>
        <v>-0.14059433045145497</v>
      </c>
      <c r="G58" s="59">
        <f>sgPFC_TLR!$D$20</f>
        <v>-0.35544234002393432</v>
      </c>
      <c r="H58" s="59">
        <f>sgPFC_TLR!$E$20</f>
        <v>7.4253679121024374E-2</v>
      </c>
      <c r="I58" s="59">
        <f t="shared" si="9"/>
        <v>0.21484800957247935</v>
      </c>
      <c r="J58" s="59">
        <f>sgPFC_TLR!$D$21</f>
        <v>0.1996308950503205</v>
      </c>
      <c r="K58" s="59">
        <f t="shared" si="8"/>
        <v>1</v>
      </c>
      <c r="L58" t="str">
        <f t="shared" si="10"/>
        <v>Subgenual PFC (total), n=7</v>
      </c>
      <c r="M58" s="136">
        <f>sgPFC_TLR!$D$11</f>
        <v>8.4287422527302844</v>
      </c>
      <c r="N58" s="136">
        <f>sgPFC_TLR!$D$12</f>
        <v>16.950835722464742</v>
      </c>
      <c r="O58" s="59">
        <f>sgPFC_TLR!$D$13</f>
        <v>0.29630891039356982</v>
      </c>
      <c r="P58" s="159">
        <f>sgPFC_TLR!$F$13</f>
        <v>9.6746076080109489E-2</v>
      </c>
      <c r="Q58" s="59" t="str">
        <f t="shared" si="6"/>
        <v>-</v>
      </c>
      <c r="R58" s="23" t="str">
        <f t="shared" si="2"/>
        <v/>
      </c>
    </row>
    <row r="59" spans="2:18">
      <c r="B59" s="1" t="s">
        <v>794</v>
      </c>
      <c r="C59">
        <f>L_sgPFC!$D$7</f>
        <v>6</v>
      </c>
      <c r="D59">
        <f>L_sgPFC!$D$8</f>
        <v>171</v>
      </c>
      <c r="E59">
        <f>L_sgPFC!$D$9</f>
        <v>173</v>
      </c>
      <c r="F59" s="59">
        <f>L_sgPFC!$D$19</f>
        <v>-0.34797138663360683</v>
      </c>
      <c r="G59" s="59">
        <f>L_sgPFC!$D$20</f>
        <v>-0.7776669620103307</v>
      </c>
      <c r="H59" s="59">
        <f>L_sgPFC!$E$20</f>
        <v>8.1724188743117043E-2</v>
      </c>
      <c r="I59" s="59">
        <f t="shared" si="7"/>
        <v>0.42969557537672387</v>
      </c>
      <c r="J59" s="59">
        <f>L_sgPFC!$D$21</f>
        <v>0.11246150584124948</v>
      </c>
      <c r="K59" s="59">
        <f t="shared" si="8"/>
        <v>1</v>
      </c>
      <c r="L59" t="str">
        <f t="shared" si="0"/>
        <v>Subgenual PFC (left), n=6</v>
      </c>
      <c r="M59" s="136">
        <f>L_sgPFC!$D$11</f>
        <v>17.026518649031125</v>
      </c>
      <c r="N59" s="136">
        <f>L_sgPFC!$D$12</f>
        <v>64.760852622438918</v>
      </c>
      <c r="O59" s="59">
        <f>L_sgPFC!$D$13</f>
        <v>9.1862769021725174E-3</v>
      </c>
      <c r="P59" s="159">
        <f>L_sgPFC!$F$13</f>
        <v>3.7772581661597332E-2</v>
      </c>
      <c r="Q59" s="59" t="str">
        <f t="shared" si="6"/>
        <v>-</v>
      </c>
      <c r="R59" s="23" t="str">
        <f t="shared" si="2"/>
        <v/>
      </c>
    </row>
    <row r="60" spans="2:18">
      <c r="B60" s="1" t="s">
        <v>795</v>
      </c>
      <c r="C60">
        <f>R_sgPFC!$D$7</f>
        <v>5</v>
      </c>
      <c r="D60">
        <f>R_sgPFC!$D$8</f>
        <v>154</v>
      </c>
      <c r="E60">
        <f>R_sgPFC!$D$9</f>
        <v>152</v>
      </c>
      <c r="F60" s="59">
        <f>R_sgPFC!$D$19</f>
        <v>-6.6205143843077408E-2</v>
      </c>
      <c r="G60" s="59">
        <f>R_sgPFC!$D$20</f>
        <v>-0.30515364153882307</v>
      </c>
      <c r="H60" s="59">
        <f>R_sgPFC!$E$20</f>
        <v>0.17274335385266826</v>
      </c>
      <c r="I60" s="59">
        <f t="shared" si="7"/>
        <v>0.23894849769574567</v>
      </c>
      <c r="J60" s="59">
        <f>R_sgPFC!$D$21</f>
        <v>0.58709220682725261</v>
      </c>
      <c r="K60" s="59">
        <f t="shared" si="8"/>
        <v>1</v>
      </c>
      <c r="L60" t="str">
        <f t="shared" si="0"/>
        <v>Subgenual PFC (right), n=5</v>
      </c>
      <c r="M60" s="136">
        <f>R_sgPFC!$D$11</f>
        <v>5.0974310627583863</v>
      </c>
      <c r="N60" s="136">
        <f>R_sgPFC!$D$12</f>
        <v>1.9113757804438691</v>
      </c>
      <c r="O60" s="59">
        <f>R_sgPFC!$D$13</f>
        <v>0.40410579405259989</v>
      </c>
      <c r="P60" s="159">
        <f>R_sgPFC!$F$13</f>
        <v>8.9567823034950745E-3</v>
      </c>
      <c r="Q60" s="59" t="str">
        <f t="shared" si="6"/>
        <v>-</v>
      </c>
      <c r="R60" s="23" t="str">
        <f t="shared" si="2"/>
        <v/>
      </c>
    </row>
    <row r="61" spans="2:18">
      <c r="B61" s="3" t="s">
        <v>2371</v>
      </c>
      <c r="C61">
        <f>gyrus_rectus!$D$7</f>
        <v>3</v>
      </c>
      <c r="D61">
        <f>gyrus_rectus!$D$8</f>
        <v>112</v>
      </c>
      <c r="E61">
        <f>gyrus_rectus!$D$9</f>
        <v>75</v>
      </c>
      <c r="F61" s="59">
        <f>gyrus_rectus!$D$19</f>
        <v>-0.71840971865669701</v>
      </c>
      <c r="G61" s="59">
        <f>gyrus_rectus!$D$20</f>
        <v>-1.028385972826019</v>
      </c>
      <c r="H61" s="59">
        <f>gyrus_rectus!$E$20</f>
        <v>-0.408433464487375</v>
      </c>
      <c r="I61" s="59">
        <f>((H61-F61)+(F61-G61))/2</f>
        <v>0.30997625416932195</v>
      </c>
      <c r="J61" s="131">
        <f>gyrus_rectus!$D$21</f>
        <v>5.5577456290478722E-6</v>
      </c>
      <c r="K61" s="59">
        <f t="shared" si="8"/>
        <v>3.5013797463001595E-4</v>
      </c>
      <c r="L61" t="str">
        <f>CONCATENATE(B61,", n=",C61)</f>
        <v>Gyrus Rectus (total, GM), n=3</v>
      </c>
      <c r="M61" s="136">
        <f>gyrus_rectus!$D$11</f>
        <v>1.4824261110001586</v>
      </c>
      <c r="N61" s="136">
        <f>gyrus_rectus!$D$12</f>
        <v>0</v>
      </c>
      <c r="O61" s="59">
        <f>gyrus_rectus!$D$13</f>
        <v>0.47653550778024367</v>
      </c>
      <c r="P61" s="159">
        <f>gyrus_rectus!$F$13</f>
        <v>0.42126020714028817</v>
      </c>
      <c r="Q61" s="59" t="str">
        <f t="shared" si="6"/>
        <v>-</v>
      </c>
      <c r="R61" s="23" t="str">
        <f t="shared" si="2"/>
        <v/>
      </c>
    </row>
    <row r="62" spans="2:18">
      <c r="B62" s="1" t="s">
        <v>2306</v>
      </c>
      <c r="C62">
        <f>cc!$D$7</f>
        <v>6</v>
      </c>
      <c r="D62">
        <f>cc!$D$8</f>
        <v>233</v>
      </c>
      <c r="E62">
        <f>cc!$D$9</f>
        <v>175</v>
      </c>
      <c r="F62" s="59">
        <f>cc!$D$19</f>
        <v>5.8153118337531909E-2</v>
      </c>
      <c r="G62" s="59">
        <f>cc!$D$20</f>
        <v>-0.29297659810661447</v>
      </c>
      <c r="H62" s="59">
        <f>cc!$E$20</f>
        <v>0.40928283478167826</v>
      </c>
      <c r="I62" s="59">
        <f>((H62-F62)+(F62-G62))/2</f>
        <v>0.35112971644414637</v>
      </c>
      <c r="J62" s="59">
        <f>cc!$D$21</f>
        <v>0.74547648488749574</v>
      </c>
      <c r="K62" s="59">
        <f t="shared" si="8"/>
        <v>1</v>
      </c>
      <c r="L62" t="str">
        <f t="shared" si="0"/>
        <v>Corpus Callosum (area), n=6</v>
      </c>
      <c r="M62" s="136">
        <f>cc!$D$11</f>
        <v>17.207448185809049</v>
      </c>
      <c r="N62" s="136">
        <f>cc!$D$12</f>
        <v>65.13137837051174</v>
      </c>
      <c r="O62" s="59">
        <f>cc!$D$13</f>
        <v>8.5503295796170754E-3</v>
      </c>
      <c r="P62" s="159">
        <f>cc!$F$13</f>
        <v>0.92459409335894294</v>
      </c>
      <c r="Q62" s="59" t="str">
        <f t="shared" si="6"/>
        <v>-</v>
      </c>
      <c r="R62" s="23" t="str">
        <f t="shared" si="2"/>
        <v/>
      </c>
    </row>
    <row r="63" spans="2:18">
      <c r="B63" s="1" t="s">
        <v>2307</v>
      </c>
      <c r="C63">
        <f>cca!$D$7</f>
        <v>4</v>
      </c>
      <c r="D63">
        <f>cca!$D$8</f>
        <v>133</v>
      </c>
      <c r="E63">
        <f>cca!$D$9</f>
        <v>119</v>
      </c>
      <c r="F63" s="59">
        <f>cca!$D$19</f>
        <v>-0.18326564231070905</v>
      </c>
      <c r="G63" s="59">
        <f>cca!$D$20</f>
        <v>-0.86443690731037004</v>
      </c>
      <c r="H63" s="59">
        <f>cca!$E$20</f>
        <v>0.49790562268895189</v>
      </c>
      <c r="I63" s="59">
        <f>((H63-F63)+(F63-G63))/2</f>
        <v>0.68117126499966096</v>
      </c>
      <c r="J63" s="59">
        <f>cca!$D$21</f>
        <v>0.59796585561214455</v>
      </c>
      <c r="K63" s="59">
        <f t="shared" si="8"/>
        <v>1</v>
      </c>
      <c r="L63" t="str">
        <f>CONCATENATE(B63,", n=",C63)</f>
        <v>Anterior Corpus Callosum (area), n=4</v>
      </c>
      <c r="M63" s="136">
        <f>cca!$D$11</f>
        <v>20.053533803071893</v>
      </c>
      <c r="N63" s="136">
        <f>cca!$D$12</f>
        <v>85.040043169147339</v>
      </c>
      <c r="O63" s="59">
        <f>cca!$D$13</f>
        <v>1.6546091406387665E-4</v>
      </c>
      <c r="P63" s="159">
        <f>cca!$F$13</f>
        <v>0.12420750686959106</v>
      </c>
      <c r="Q63" s="59" t="str">
        <f t="shared" si="6"/>
        <v>-</v>
      </c>
      <c r="R63" s="23" t="str">
        <f t="shared" si="2"/>
        <v/>
      </c>
    </row>
    <row r="64" spans="2:18">
      <c r="B64" s="1" t="s">
        <v>2193</v>
      </c>
      <c r="C64">
        <f>ccl!$D$7</f>
        <v>4</v>
      </c>
      <c r="D64">
        <f>ccl!$D$8</f>
        <v>96</v>
      </c>
      <c r="E64">
        <f>ccl!$D$9</f>
        <v>87</v>
      </c>
      <c r="F64" s="59">
        <f>ccl!$D$19</f>
        <v>-6.3536893030502362E-2</v>
      </c>
      <c r="G64" s="59">
        <f>ccl!$D$20</f>
        <v>-0.57828211628013515</v>
      </c>
      <c r="H64" s="59">
        <f>ccl!$E$20</f>
        <v>0.45120833021913043</v>
      </c>
      <c r="I64" s="59">
        <f>((H64-F64)+(F64-G64))/2</f>
        <v>0.51474522324963279</v>
      </c>
      <c r="J64" s="59">
        <f>ccl!$D$21</f>
        <v>0.80883440615466218</v>
      </c>
      <c r="K64" s="59">
        <f t="shared" si="8"/>
        <v>1</v>
      </c>
      <c r="L64" t="str">
        <f>CONCATENATE(B64,", n=",C64)</f>
        <v>Corpus Callosum (length), n=4</v>
      </c>
      <c r="M64" s="136">
        <f>ccl!$D$11</f>
        <v>8.5095580919641645</v>
      </c>
      <c r="N64" s="136">
        <f>ccl!$D$12</f>
        <v>64.745525354213257</v>
      </c>
      <c r="O64" s="59">
        <f>ccl!$D$13</f>
        <v>3.6574870695420286E-2</v>
      </c>
      <c r="P64" s="159">
        <f>ccl!$F$13</f>
        <v>0.85423311287377546</v>
      </c>
      <c r="Q64" s="59" t="str">
        <f t="shared" si="6"/>
        <v>-</v>
      </c>
      <c r="R64" s="23" t="str">
        <f t="shared" si="2"/>
        <v/>
      </c>
    </row>
    <row r="65" spans="2:18">
      <c r="B65" s="1" t="s">
        <v>1750</v>
      </c>
      <c r="C65">
        <f>pty!$D$7</f>
        <v>5</v>
      </c>
      <c r="D65">
        <f>pty!$D$8</f>
        <v>161</v>
      </c>
      <c r="E65">
        <f>pty!$D$9</f>
        <v>158</v>
      </c>
      <c r="F65" s="59">
        <f>pty!$D$19</f>
        <v>0.24965685923011929</v>
      </c>
      <c r="G65" s="59">
        <f>pty!$D$20</f>
        <v>-4.4207696652611983E-3</v>
      </c>
      <c r="H65" s="59">
        <f>pty!$E$20</f>
        <v>0.50373448812549981</v>
      </c>
      <c r="I65" s="59">
        <f>((H65-F65)+(F65-G65))/2</f>
        <v>0.25407762889538055</v>
      </c>
      <c r="J65" s="49">
        <f>pty!$D$21</f>
        <v>5.4117186559101249E-2</v>
      </c>
      <c r="K65" s="59">
        <f t="shared" si="8"/>
        <v>1</v>
      </c>
      <c r="L65" t="str">
        <f t="shared" si="0"/>
        <v>Pituitary, n=5</v>
      </c>
      <c r="M65" s="136">
        <f>pty!$D$11</f>
        <v>7.2809809192014727</v>
      </c>
      <c r="N65" s="136">
        <f>pty!$D$12</f>
        <v>17.593521167227035</v>
      </c>
      <c r="O65" s="59">
        <f>pty!$D$13</f>
        <v>0.29564211473351482</v>
      </c>
      <c r="P65" s="159">
        <f>pty!$F$13</f>
        <v>0.10587430098359504</v>
      </c>
      <c r="Q65" s="59" t="str">
        <f t="shared" si="6"/>
        <v>-</v>
      </c>
      <c r="R65" s="23" t="str">
        <f t="shared" si="2"/>
        <v/>
      </c>
    </row>
    <row r="66" spans="2:18">
      <c r="B66" s="1"/>
      <c r="F66" s="59"/>
      <c r="G66" s="59"/>
      <c r="H66" s="59"/>
      <c r="I66" s="59"/>
      <c r="J66" s="59"/>
      <c r="K66" s="59"/>
      <c r="M66" s="136"/>
      <c r="N66" s="136"/>
      <c r="O66" s="59"/>
      <c r="P66" s="159"/>
      <c r="Q66" s="59"/>
      <c r="R66" s="23"/>
    </row>
    <row r="67" spans="2:18">
      <c r="B67" s="1" t="s">
        <v>966</v>
      </c>
      <c r="C67">
        <f>DWMH_rating!$D$7</f>
        <v>9</v>
      </c>
      <c r="D67">
        <f>DWMH_rating!$D$8</f>
        <v>357</v>
      </c>
      <c r="E67">
        <f>DWMH_rating!$D$9</f>
        <v>318</v>
      </c>
      <c r="F67" s="59">
        <f>DWMH_rating!$D$19</f>
        <v>0.17470009970475658</v>
      </c>
      <c r="G67" s="59">
        <f>DWMH_rating!$D$20</f>
        <v>-1.1466512522316757E-2</v>
      </c>
      <c r="H67" s="59">
        <f>DWMH_rating!$E$20</f>
        <v>0.36086671193182995</v>
      </c>
      <c r="I67" s="59">
        <f>((H67-F67)+(F67-G67))/2</f>
        <v>0.18616661222707337</v>
      </c>
      <c r="J67" s="59">
        <f>DWMH_rating!$D$21</f>
        <v>6.5874274638805019E-2</v>
      </c>
      <c r="K67" s="59">
        <f>IF((J67*$C$70&gt;1),1,J67*$C$70)</f>
        <v>1</v>
      </c>
      <c r="L67" t="str">
        <f>CONCATENATE(B67,", n=",C67)</f>
        <v>DWMH (rating), n=9</v>
      </c>
      <c r="M67" s="136">
        <f>DWMH_rating!$D$11</f>
        <v>15.041939298205223</v>
      </c>
      <c r="N67" s="136">
        <f>DWMH_rating!$D$12</f>
        <v>26.871131561390492</v>
      </c>
      <c r="O67" s="59">
        <f>DWMH_rating!$D$13</f>
        <v>0.18058496909005881</v>
      </c>
      <c r="P67" s="159">
        <f>DWMH_rating!$F$13</f>
        <v>0.10783981258139852</v>
      </c>
      <c r="Q67" s="59" t="str">
        <f>IF(AND(C67&gt;4,J67&lt;0.05),P67,"-")</f>
        <v>-</v>
      </c>
      <c r="R67" s="23" t="str">
        <f t="shared" si="2"/>
        <v/>
      </c>
    </row>
    <row r="68" spans="2:18">
      <c r="B68" s="1" t="s">
        <v>967</v>
      </c>
      <c r="C68">
        <f>PVH_rating!$D$7</f>
        <v>9</v>
      </c>
      <c r="D68">
        <f>PVH_rating!$D$8</f>
        <v>324</v>
      </c>
      <c r="E68">
        <f>PVH_rating!$D$9</f>
        <v>287</v>
      </c>
      <c r="F68" s="59">
        <f>PVH_rating!$D$19</f>
        <v>0.28936202888451656</v>
      </c>
      <c r="G68" s="59">
        <f>PVH_rating!$D$20</f>
        <v>8.1918849495295543E-2</v>
      </c>
      <c r="H68" s="59">
        <f>PVH_rating!$E$20</f>
        <v>0.49680520827373759</v>
      </c>
      <c r="I68" s="59">
        <f>((H68-F68)+(F68-G68))/2</f>
        <v>0.20744317938922102</v>
      </c>
      <c r="J68" s="49">
        <f>PVH_rating!$D$21</f>
        <v>6.2570113889357515E-3</v>
      </c>
      <c r="K68" s="59">
        <f>IF((J68*$C$70&gt;1),1,J68*$C$70)</f>
        <v>0.39419171750295234</v>
      </c>
      <c r="L68" t="str">
        <f>CONCATENATE(B68,", n=",C68)</f>
        <v>PVH (rating), n=9</v>
      </c>
      <c r="M68" s="136">
        <f>PVH_rating!$D$11</f>
        <v>16.820671983530065</v>
      </c>
      <c r="N68" s="136">
        <f>PVH_rating!$D$12</f>
        <v>34.604277339391473</v>
      </c>
      <c r="O68" s="59">
        <f>PVH_rating!$D$13</f>
        <v>0.11329311632340576</v>
      </c>
      <c r="P68" s="159">
        <f>PVH_rating!$F$13</f>
        <v>0.20699960544559326</v>
      </c>
      <c r="Q68" s="59">
        <f>IF(AND(C68&gt;4,J68&lt;0.05),P68,"-")</f>
        <v>0.20699960544559326</v>
      </c>
      <c r="R68" s="23" t="str">
        <f t="shared" si="2"/>
        <v/>
      </c>
    </row>
    <row r="69" spans="2:18">
      <c r="B69" s="1" t="s">
        <v>968</v>
      </c>
      <c r="C69">
        <f>ScGMH_rating!$D$7</f>
        <v>6</v>
      </c>
      <c r="D69">
        <f>ScGMH_rating!$D$8</f>
        <v>246</v>
      </c>
      <c r="E69">
        <f>ScGMH_rating!$D$9</f>
        <v>241</v>
      </c>
      <c r="F69" s="59">
        <f>ScGMH_rating!$D$19</f>
        <v>0.13973391566740345</v>
      </c>
      <c r="G69" s="59">
        <f>ScGMH_rating!$D$20</f>
        <v>-0.14975227976668715</v>
      </c>
      <c r="H69" s="59">
        <f>ScGMH_rating!$E$20</f>
        <v>0.42922011110149405</v>
      </c>
      <c r="I69" s="59">
        <f>((H69-F69)+(F69-G69))/2</f>
        <v>0.2894861954340906</v>
      </c>
      <c r="J69" s="59">
        <f>ScGMH_rating!$D$21</f>
        <v>0.34410536156974603</v>
      </c>
      <c r="K69" s="59">
        <f>IF((J69*$C$70&gt;1),1,J69*$C$70)</f>
        <v>1</v>
      </c>
      <c r="L69" t="str">
        <f>CONCATENATE(B69,", n=",C69)</f>
        <v>ScGMH (rating), n=6</v>
      </c>
      <c r="M69" s="136">
        <f>ScGMH_rating!$D$11</f>
        <v>16.206877065614115</v>
      </c>
      <c r="N69" s="136">
        <f>ScGMH_rating!$D$12</f>
        <v>56.808458707619906</v>
      </c>
      <c r="O69" s="59">
        <f>ScGMH_rating!$D$13</f>
        <v>2.3292065855713417E-2</v>
      </c>
      <c r="P69" s="159">
        <f>ScGMH_rating!$F$13</f>
        <v>0.26641609842806036</v>
      </c>
      <c r="Q69" s="59" t="str">
        <f>IF(AND(C69&gt;4,J69&lt;0.05),P69,"-")</f>
        <v>-</v>
      </c>
      <c r="R69" s="23" t="str">
        <f t="shared" si="2"/>
        <v/>
      </c>
    </row>
    <row r="70" spans="2:18">
      <c r="B70" t="s">
        <v>1644</v>
      </c>
      <c r="C70">
        <f>COUNT(C10:C69,C87:C91)</f>
        <v>63</v>
      </c>
    </row>
    <row r="71" spans="2:18">
      <c r="B71" t="s">
        <v>233</v>
      </c>
      <c r="N71" s="136"/>
    </row>
    <row r="72" spans="2:18">
      <c r="B72" s="131">
        <f>0.05/C70</f>
        <v>7.9365079365079365E-4</v>
      </c>
      <c r="D72" s="131"/>
      <c r="N72" s="136"/>
    </row>
    <row r="73" spans="2:18">
      <c r="N73" s="136"/>
    </row>
    <row r="74" spans="2:18" ht="15.6">
      <c r="B74" s="129" t="s">
        <v>309</v>
      </c>
      <c r="N74" s="136"/>
    </row>
    <row r="75" spans="2:18">
      <c r="B75" t="s">
        <v>1509</v>
      </c>
      <c r="C75">
        <v>1</v>
      </c>
      <c r="N75" s="136"/>
    </row>
    <row r="76" spans="2:18">
      <c r="B76" t="s">
        <v>1108</v>
      </c>
      <c r="C76">
        <v>1</v>
      </c>
      <c r="D76" s="25"/>
      <c r="N76" s="136"/>
    </row>
    <row r="77" spans="2:18">
      <c r="B77" t="s">
        <v>1109</v>
      </c>
      <c r="C77">
        <v>0</v>
      </c>
      <c r="D77" s="25"/>
    </row>
    <row r="78" spans="2:18">
      <c r="B78" t="s">
        <v>308</v>
      </c>
      <c r="C78">
        <v>0.8</v>
      </c>
      <c r="D78" s="25"/>
      <c r="N78" s="136"/>
    </row>
    <row r="82" spans="2:20">
      <c r="B82" t="s">
        <v>134</v>
      </c>
      <c r="C82">
        <f>SUM(C10:C69,C87:C91)</f>
        <v>553</v>
      </c>
    </row>
    <row r="84" spans="2:20" ht="15.6">
      <c r="B84" s="129" t="s">
        <v>2436</v>
      </c>
    </row>
    <row r="85" spans="2:20">
      <c r="B85" s="213" t="s">
        <v>2437</v>
      </c>
    </row>
    <row r="86" spans="2:20">
      <c r="B86" s="4" t="s">
        <v>763</v>
      </c>
      <c r="C86" s="4" t="s">
        <v>969</v>
      </c>
      <c r="D86" s="4" t="s">
        <v>732</v>
      </c>
      <c r="E86" s="4" t="s">
        <v>765</v>
      </c>
      <c r="F86" s="4" t="s">
        <v>2439</v>
      </c>
      <c r="G86" s="4" t="s">
        <v>970</v>
      </c>
      <c r="H86" s="4" t="s">
        <v>971</v>
      </c>
      <c r="I86" s="130"/>
      <c r="J86" s="4" t="s">
        <v>505</v>
      </c>
      <c r="K86" s="4" t="s">
        <v>972</v>
      </c>
      <c r="L86" s="4" t="s">
        <v>973</v>
      </c>
      <c r="M86" s="4" t="s">
        <v>974</v>
      </c>
      <c r="N86" s="4" t="s">
        <v>975</v>
      </c>
      <c r="P86" s="4" t="s">
        <v>516</v>
      </c>
      <c r="Q86" s="4" t="s">
        <v>253</v>
      </c>
      <c r="S86" s="4" t="s">
        <v>154</v>
      </c>
      <c r="T86" s="4"/>
    </row>
    <row r="87" spans="2:20">
      <c r="B87" s="3" t="s">
        <v>209</v>
      </c>
      <c r="C87">
        <f>All_hyperintensities!$D$7</f>
        <v>10</v>
      </c>
      <c r="D87">
        <f>All_hyperintensities!$D$8</f>
        <v>492</v>
      </c>
      <c r="E87">
        <f>All_hyperintensities!$D$9</f>
        <v>532</v>
      </c>
      <c r="F87" s="59">
        <f>All_hyperintensities!$D$19</f>
        <v>1.6012829423195156</v>
      </c>
      <c r="G87" s="59">
        <f>All_hyperintensities!$D$20</f>
        <v>0.93822538752671525</v>
      </c>
      <c r="H87" s="59">
        <f>All_hyperintensities!$E$20</f>
        <v>2.7329329342949951</v>
      </c>
      <c r="I87" s="59"/>
      <c r="J87" s="49">
        <f>All_hyperintensities!$D$21</f>
        <v>8.4310437791760728E-2</v>
      </c>
      <c r="K87" s="59">
        <f>H87-F87</f>
        <v>1.1316499919754794</v>
      </c>
      <c r="L87" s="59">
        <f>F87-G87</f>
        <v>0.66305755479280037</v>
      </c>
      <c r="M87" s="139"/>
      <c r="N87" t="str">
        <f>CONCATENATE(B87,", n=",C87)</f>
        <v>Any MRI hyperintensities, n=10</v>
      </c>
      <c r="P87" s="136">
        <f>All_hyperintensities!$D$11</f>
        <v>24.28628390025586</v>
      </c>
      <c r="Q87" s="136">
        <f>All_hyperintensities!$D$12</f>
        <v>62.942045654398434</v>
      </c>
      <c r="R87" s="59">
        <f>All_hyperintensities!$F$13</f>
        <v>0.8241948231581292</v>
      </c>
      <c r="S87" s="59" t="str">
        <f>IF(AND(C87&gt;4,J87&lt;0.05),R87,"-")</f>
        <v>-</v>
      </c>
    </row>
    <row r="88" spans="2:20">
      <c r="F88" s="59"/>
      <c r="G88" s="59"/>
      <c r="H88" s="59"/>
      <c r="I88" s="59"/>
      <c r="J88" s="59"/>
      <c r="K88" s="59"/>
      <c r="L88" s="59"/>
      <c r="M88" s="139"/>
      <c r="P88" s="136"/>
      <c r="Q88" s="136"/>
      <c r="S88" s="59"/>
    </row>
    <row r="89" spans="2:20">
      <c r="B89" s="3" t="s">
        <v>2372</v>
      </c>
      <c r="C89">
        <f>DWMH!$D$7</f>
        <v>14</v>
      </c>
      <c r="D89">
        <f>DWMH!$D$8</f>
        <v>765</v>
      </c>
      <c r="E89">
        <f>DWMH!$D$9</f>
        <v>957</v>
      </c>
      <c r="F89" s="59">
        <f>DWMH!$D$19</f>
        <v>1.0928227565586646</v>
      </c>
      <c r="G89" s="59">
        <f>DWMH!$D$20</f>
        <v>0.83975511638647971</v>
      </c>
      <c r="H89" s="59">
        <f>DWMH!$E$20</f>
        <v>1.4221545709557122</v>
      </c>
      <c r="I89" s="59"/>
      <c r="J89" s="59">
        <f>DWMH!$D$21</f>
        <v>0.50894308372357111</v>
      </c>
      <c r="K89" s="59">
        <f>H89-F89</f>
        <v>0.32933181439704762</v>
      </c>
      <c r="L89" s="59">
        <f>F89-G89</f>
        <v>0.25306764017218486</v>
      </c>
      <c r="M89" s="139"/>
      <c r="N89" t="str">
        <f>CONCATENATE(B89,", n=",C89)</f>
        <v>Deep WM hyperintensities, n=14</v>
      </c>
      <c r="P89" s="136">
        <f>DWMH!$D$11</f>
        <v>9.0950085725144358</v>
      </c>
      <c r="Q89" s="136">
        <f>DWMH!$D$12</f>
        <v>0</v>
      </c>
      <c r="R89" s="59">
        <f>DWMH!$F$13</f>
        <v>1.1699144177607064E-2</v>
      </c>
      <c r="S89" s="59" t="str">
        <f>IF(AND(C89&gt;4,J89&lt;0.05),R89,"-")</f>
        <v>-</v>
      </c>
    </row>
    <row r="90" spans="2:20">
      <c r="B90" s="3" t="s">
        <v>2374</v>
      </c>
      <c r="C90">
        <f>PVH!$D$7</f>
        <v>11</v>
      </c>
      <c r="D90">
        <f>PVH!$D$8</f>
        <v>419</v>
      </c>
      <c r="E90">
        <f>PVH!$D$9</f>
        <v>498</v>
      </c>
      <c r="F90" s="59">
        <f>PVH!$D$19</f>
        <v>1.1714939523149086</v>
      </c>
      <c r="G90" s="59">
        <f>PVH!$D$20</f>
        <v>0.72562519696590178</v>
      </c>
      <c r="H90" s="59">
        <f>PVH!$E$20</f>
        <v>1.8913318970301638</v>
      </c>
      <c r="I90" s="59"/>
      <c r="J90" s="59">
        <f>PVH!$D$21</f>
        <v>0.51720711292572141</v>
      </c>
      <c r="K90" s="59">
        <f>H90-F90</f>
        <v>0.7198379447152552</v>
      </c>
      <c r="L90" s="59">
        <f>F90-G90</f>
        <v>0.44586875534900683</v>
      </c>
      <c r="M90" s="139"/>
      <c r="N90" t="str">
        <f>CONCATENATE(B90,", n=",C90)</f>
        <v>Periventricular WM hyperintensities, n=11</v>
      </c>
      <c r="P90" s="136">
        <f>PVH!$D$11</f>
        <v>10.856424320403971</v>
      </c>
      <c r="Q90" s="136">
        <f>PVH!$D$12</f>
        <v>7.8886408188225898</v>
      </c>
      <c r="R90" s="59">
        <f>PVH!$F$13</f>
        <v>0.95892817305240474</v>
      </c>
      <c r="S90" s="59" t="str">
        <f>IF(AND(C90&gt;4,J90&lt;0.05),R90,"-")</f>
        <v>-</v>
      </c>
    </row>
    <row r="91" spans="2:20">
      <c r="B91" s="3" t="s">
        <v>2373</v>
      </c>
      <c r="C91">
        <f>ScGMH!$D$7</f>
        <v>8</v>
      </c>
      <c r="D91">
        <f>ScGMH!$D$8</f>
        <v>503</v>
      </c>
      <c r="E91">
        <f>ScGMH!$D$9</f>
        <v>343</v>
      </c>
      <c r="F91" s="59">
        <f>ScGMH!$D$19</f>
        <v>1.8965192588709316</v>
      </c>
      <c r="G91" s="59">
        <f>ScGMH!$D$20</f>
        <v>1.0542654988799642</v>
      </c>
      <c r="H91" s="59">
        <f>ScGMH!$E$20</f>
        <v>3.411650388910116</v>
      </c>
      <c r="I91" s="59"/>
      <c r="J91" s="59">
        <f>ScGMH!$D$21</f>
        <v>3.2647236762663567E-2</v>
      </c>
      <c r="K91" s="59">
        <f>H91-F91</f>
        <v>1.5151311300391843</v>
      </c>
      <c r="L91" s="59">
        <f>F91-G91</f>
        <v>0.84225375999096741</v>
      </c>
      <c r="M91" s="139"/>
      <c r="N91" t="str">
        <f>CONCATENATE(B91,", n=",C91)</f>
        <v>Subcortical GM hyperintensities, n=8</v>
      </c>
      <c r="P91" s="136">
        <f>ScGMH!$D$11</f>
        <v>11.586033150115476</v>
      </c>
      <c r="Q91" s="136">
        <f>ScGMH!$D$12</f>
        <v>39.582427313094371</v>
      </c>
      <c r="R91" s="59">
        <f>ScGMH!$F$13</f>
        <v>0.99023193790021391</v>
      </c>
      <c r="S91" s="59">
        <f>IF(AND(C91&gt;4,J91&lt;0.05),R91,"-")</f>
        <v>0.99023193790021391</v>
      </c>
    </row>
    <row r="93" spans="2:20">
      <c r="Q93" s="136"/>
    </row>
    <row r="94" spans="2:20">
      <c r="Q94" s="136"/>
    </row>
    <row r="95" spans="2:20">
      <c r="Q95" s="136"/>
    </row>
    <row r="96" spans="2:20">
      <c r="Q96" s="136"/>
    </row>
    <row r="97" spans="17:17">
      <c r="Q97" s="136"/>
    </row>
    <row r="99" spans="17:17">
      <c r="Q99" s="136"/>
    </row>
  </sheetData>
  <mergeCells count="2">
    <mergeCell ref="E1:F1"/>
    <mergeCell ref="C1:D1"/>
  </mergeCells>
  <phoneticPr fontId="10" type="noConversion"/>
  <conditionalFormatting sqref="J87:J91 J10:J69">
    <cfRule type="cellIs" dxfId="152" priority="0" stopIfTrue="1" operator="between">
      <formula>0.05</formula>
      <formula>0.1</formula>
    </cfRule>
    <cfRule type="cellIs" dxfId="151" priority="0" stopIfTrue="1" operator="lessThan">
      <formula>0.05</formula>
    </cfRule>
  </conditionalFormatting>
  <conditionalFormatting sqref="K10:K72">
    <cfRule type="cellIs" dxfId="150" priority="0" stopIfTrue="1" operator="between">
      <formula>0.05</formula>
      <formula>0.1</formula>
    </cfRule>
    <cfRule type="cellIs" dxfId="149" priority="0" stopIfTrue="1" operator="lessThan">
      <formula>0.05</formula>
    </cfRule>
  </conditionalFormatting>
  <hyperlinks>
    <hyperlink ref="B10" location="LatVent!A1" display="Lateral Ventricles (total)"/>
    <hyperlink ref="B15" location="ICV!A1" display="Intracranial Volume"/>
    <hyperlink ref="B16" location="Brain!A1" display="Brain"/>
    <hyperlink ref="B17" location="Cerebrum!A1" display="Cerebrum"/>
    <hyperlink ref="B18" location="Gray!A1" display="Gray Matter (total)"/>
    <hyperlink ref="B19" location="White!A1" display="White matter (total)"/>
    <hyperlink ref="B21" location="L_caud!A1" display="Caudate (left)"/>
    <hyperlink ref="B24" location="L_putamen!A1" display="Putamen (left)"/>
    <hyperlink ref="B27" location="thalamus!A1" display="Thalamus (total)"/>
    <hyperlink ref="B29" location="L_Temporal!A1" display="Temporal Lobe (left)"/>
    <hyperlink ref="B32" location="L_hipp!A1" display="Hippocampus (left)"/>
    <hyperlink ref="B38" location="L_amyg!A1" display="Amygdala (left)"/>
    <hyperlink ref="B59" location="L_sgPFC!A1" display="Subgenual PFC (left)"/>
    <hyperlink ref="B62" location="cc!A1" display="Corpus Callosum (area)"/>
    <hyperlink ref="B14" location="CSF!A1" display="CSF (total)"/>
    <hyperlink ref="B22" location="R_caud!A1" display="Caudate (right)"/>
    <hyperlink ref="B25" location="R_putamen!A1" display="Putamen (right)"/>
    <hyperlink ref="B30" location="R_Temporal!A1" display="Temporal Lobe (right)"/>
    <hyperlink ref="B33" location="R_hipp!A1" display="Hippocampus (right)"/>
    <hyperlink ref="B39" location="R_amyg!A1" display="Amygdala (right)"/>
    <hyperlink ref="B60" location="R_sgPFC!A1" display="Subgenual PFC (right)"/>
    <hyperlink ref="B44" location="L_Frontal!A1" display="Frontal (left, GM+WM)"/>
    <hyperlink ref="B45" location="R_Frontal!A1" display="Frontal (right, GM+WM)"/>
    <hyperlink ref="B47" location="L_Frontal_G!A1" display="Frontal (left, GM)"/>
    <hyperlink ref="B48" location="R_Frontal_G!A1" display="Frontal (right, GM)"/>
    <hyperlink ref="B50" location="L_Frontal_W!A1" display="Frontal (left, WM)"/>
    <hyperlink ref="B51" location="R_Frontal_W!A1" display="Frontal (right, WM)"/>
    <hyperlink ref="B41" location="L_Ant_cing!A1" display="Anterior Cingulate (left)"/>
    <hyperlink ref="B42" location="R_Ant_cing!A1" display="Anterior Cingulate (right)"/>
    <hyperlink ref="B65" location="pty!A1" display="Pituitary"/>
    <hyperlink ref="B67" location="DWMH_rating!A1" display="DWMH (rating)"/>
    <hyperlink ref="B68" location="PVH_rating!A1" display="PVH (rating)"/>
    <hyperlink ref="B69" location="ScGMH_rating!A1" display="ScGMH (rating)"/>
    <hyperlink ref="B87" location="All_hyperintensities!A1" display="Any MRI hyperintensities"/>
    <hyperlink ref="B89" location="DWMH!A1" display="Deep WM hyperintensities"/>
    <hyperlink ref="B90" location="PVH!A1" display="Periventricular WM hyperintensities"/>
    <hyperlink ref="B91" location="ScGMH!A1" display="Subcortical GM hyperintensities"/>
    <hyperlink ref="B11" location="LatVent_MRI!A1" display="Lateral Ventricles (MRI)"/>
    <hyperlink ref="B12" location="LatVent_CT!A1" display="Lateral Ventricles (CT)"/>
    <hyperlink ref="B53" location="orb_G_TLR!A1" display="Orbitofrontal (total GM)"/>
    <hyperlink ref="B54" location="L_orb_G!A1" display="Orbitofrontal (left, GM)"/>
    <hyperlink ref="B55" location="R_orb_G!A1" display="Orbitofrontal (right, GM)"/>
    <hyperlink ref="B13" location="'4v'!A1" display="Fourth Ventricle"/>
    <hyperlink ref="B56" location="Gmedorb!A1" display="Medial orbitofrontal (total, GM)"/>
    <hyperlink ref="B63" location="cca!A1" display="Anterior Corpus Callosum (area)"/>
    <hyperlink ref="B20" location="caud_TLR!A1" display="Caudate (total)"/>
    <hyperlink ref="B23" location="putamen_TLR!A1" display="Putamen (total)"/>
    <hyperlink ref="B28" location="Temporal_TLR!A1" display="Temporal Lobe (total)"/>
    <hyperlink ref="B31" location="T_hipp_TLR!A1" display="Hippocampus (total)"/>
    <hyperlink ref="B37" location="amyg_TLR!A1" display="Amygdala (total)"/>
    <hyperlink ref="B43" location="Frontal_TLR!A1" display="Frontal (total, GM+WM)"/>
    <hyperlink ref="B46" location="Frontal_G_TLR!A1" display="Frontal (total, GM)"/>
    <hyperlink ref="B49" location="Frontal_W_TLR!A1" display="Frontal (total, WM)"/>
    <hyperlink ref="B34" location="amhpc_TLR!A1" display="Amygdala-Hippocampal complex (total)"/>
    <hyperlink ref="B58" location="sgPFC_TLR!A1" display="Subgenual PFC (total)"/>
    <hyperlink ref="B26" location="Globus_pallidus!A1" display="Globus Pallidus (total)"/>
    <hyperlink ref="B40" location="Ant_cing!A1" display="Anterior Cingulate (total)"/>
    <hyperlink ref="B57" location="Glatorb!A1" display="Lateral orbitofrontal (total, GM)"/>
    <hyperlink ref="B61" location="gyrus_rectus!A1" display="Gyrus Rectus (total, GM)"/>
    <hyperlink ref="B64" location="ccl!A1" display="Corpus Callosum (length)"/>
    <hyperlink ref="B52" location="orb_TLR!A1" display="Orbitofrontal (total GM+WM)"/>
    <hyperlink ref="H1" location="Graphs!A1" display="Graphs"/>
    <hyperlink ref="C1" location="Intro!A1" display="Intro"/>
    <hyperlink ref="E1" location="Database!A1" display="Database"/>
    <hyperlink ref="C1:D1" location="Intro!A1" display="Intro"/>
    <hyperlink ref="E1:F1" location="Database!A1" display="Database"/>
    <hyperlink ref="B35" location="L_amhpc!A1" display="Amygdala-Hippocampal complex (left)"/>
    <hyperlink ref="B36" location="R_amhpc!A1" display="Amygdala-Hippocampal complex (right)"/>
  </hyperlinks>
  <pageMargins left="0.75" right="0.75" top="1" bottom="1" header="0.5" footer="0.5"/>
  <pageSetup paperSize="9" orientation="portrait" r:id="rId1"/>
  <drawing r:id="rId2"/>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sheetPr published="0" codeName="Sheet156" enableFormatConditionsCalculation="0"/>
  <dimension ref="A1:BC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17"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141</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119</v>
      </c>
      <c r="E8" t="s">
        <v>298</v>
      </c>
      <c r="F8">
        <f>Summary!C78</f>
        <v>0.8</v>
      </c>
      <c r="AD8" s="89"/>
    </row>
    <row r="9" spans="2:30">
      <c r="B9" t="s">
        <v>823</v>
      </c>
      <c r="D9">
        <f>SUM(I24:I26)</f>
        <v>113</v>
      </c>
      <c r="AD9" s="89"/>
    </row>
    <row r="11" spans="2:30">
      <c r="B11" s="27" t="s">
        <v>516</v>
      </c>
      <c r="C11" s="28"/>
      <c r="D11" s="109">
        <f>P40</f>
        <v>5.7468613278727112</v>
      </c>
      <c r="E11" s="110" t="s">
        <v>1513</v>
      </c>
      <c r="F11" s="103"/>
    </row>
    <row r="12" spans="2:30">
      <c r="B12" s="30" t="s">
        <v>826</v>
      </c>
      <c r="C12" s="31"/>
      <c r="D12" s="112">
        <f>P42</f>
        <v>65.19839463848119</v>
      </c>
      <c r="E12" s="31"/>
      <c r="F12" s="105"/>
    </row>
    <row r="13" spans="2:30">
      <c r="B13" s="35" t="s">
        <v>825</v>
      </c>
      <c r="C13" s="36"/>
      <c r="D13" s="113">
        <f>P41</f>
        <v>5.6504744896061394E-2</v>
      </c>
      <c r="E13" s="111" t="s">
        <v>825</v>
      </c>
      <c r="F13" s="115">
        <f>Q49</f>
        <v>0.28308244138885025</v>
      </c>
    </row>
    <row r="15" spans="2:30">
      <c r="B15" s="39" t="s">
        <v>879</v>
      </c>
      <c r="C15" s="40"/>
      <c r="D15" s="41">
        <f>AH42</f>
        <v>0.17932651220832876</v>
      </c>
      <c r="E15" s="116"/>
    </row>
    <row r="16" spans="2:30">
      <c r="B16" s="43" t="s">
        <v>1165</v>
      </c>
      <c r="C16" s="31"/>
      <c r="D16" s="33">
        <f>AH42-AH44</f>
        <v>-8.0994954285276616E-2</v>
      </c>
      <c r="E16" s="117">
        <f>AH42+AH43</f>
        <v>0.43964797870193417</v>
      </c>
    </row>
    <row r="17" spans="1:51">
      <c r="B17" s="45" t="s">
        <v>1166</v>
      </c>
      <c r="C17" s="46"/>
      <c r="D17" s="123">
        <f>M43</f>
        <v>0.17695932820344851</v>
      </c>
      <c r="E17" s="118"/>
    </row>
    <row r="18" spans="1:51">
      <c r="D18" s="48"/>
      <c r="F18" s="49"/>
    </row>
    <row r="19" spans="1:51">
      <c r="B19" s="50" t="s">
        <v>1167</v>
      </c>
      <c r="C19" s="51"/>
      <c r="D19" s="52">
        <f>AH46</f>
        <v>0.28645943484466163</v>
      </c>
      <c r="E19" s="120"/>
      <c r="F19" s="33"/>
      <c r="G19" s="31"/>
    </row>
    <row r="20" spans="1:51">
      <c r="B20" s="53" t="s">
        <v>1165</v>
      </c>
      <c r="C20" s="31"/>
      <c r="D20" s="33">
        <f>AH46-AH48</f>
        <v>-0.19377880019965615</v>
      </c>
      <c r="E20" s="121">
        <f>AH46+AH47</f>
        <v>0.76669766988897936</v>
      </c>
      <c r="F20" s="31"/>
      <c r="G20" s="31"/>
    </row>
    <row r="21" spans="1:51">
      <c r="B21" s="54" t="s">
        <v>1440</v>
      </c>
      <c r="C21" s="55"/>
      <c r="D21" s="114">
        <f>M54</f>
        <v>0.24235162387248232</v>
      </c>
      <c r="E21" s="56"/>
      <c r="F21" s="119"/>
      <c r="G21" s="31"/>
      <c r="L21" s="4" t="s">
        <v>1511</v>
      </c>
      <c r="N21" s="4"/>
      <c r="O21" s="4"/>
      <c r="Q21" s="4" t="str">
        <f>IF(D6=1,F6,CONCATENATE(F6," with ",F5))</f>
        <v>Cohens Effect size with H Correction</v>
      </c>
    </row>
    <row r="22" spans="1:51">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51" ht="46.5" customHeight="1">
      <c r="B23" s="57" t="s">
        <v>1162</v>
      </c>
      <c r="C23" s="57" t="s">
        <v>618</v>
      </c>
      <c r="D23" s="57" t="s">
        <v>953</v>
      </c>
      <c r="E23" s="57" t="s">
        <v>617</v>
      </c>
      <c r="F23" s="57" t="s">
        <v>740</v>
      </c>
      <c r="G23" s="57" t="s">
        <v>1033</v>
      </c>
      <c r="H23" s="58" t="s">
        <v>135</v>
      </c>
      <c r="I23" s="58" t="s">
        <v>136</v>
      </c>
      <c r="J23" s="58" t="s">
        <v>1036</v>
      </c>
      <c r="K23" s="58" t="s">
        <v>1037</v>
      </c>
      <c r="L23" s="58" t="s">
        <v>137</v>
      </c>
      <c r="M23" s="58" t="s">
        <v>138</v>
      </c>
      <c r="N23" s="58" t="s">
        <v>139</v>
      </c>
      <c r="O23" s="58" t="s">
        <v>140</v>
      </c>
      <c r="P23" s="58" t="s">
        <v>137</v>
      </c>
      <c r="Q23" s="58" t="s">
        <v>138</v>
      </c>
      <c r="R23" s="58" t="s">
        <v>139</v>
      </c>
      <c r="S23" s="58" t="s">
        <v>140</v>
      </c>
      <c r="T23" s="58" t="s">
        <v>137</v>
      </c>
      <c r="U23" s="58" t="s">
        <v>138</v>
      </c>
      <c r="V23" s="58" t="s">
        <v>139</v>
      </c>
      <c r="W23" s="58" t="s">
        <v>140</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51">
      <c r="B24">
        <v>15172942</v>
      </c>
      <c r="C24" s="1" t="str">
        <f>IF($B24="","",HYPERLINK(IF(LEN(VLOOKUP($B24,Database!$B$1:$IX$10144,2,FALSE))=0,"",VLOOKUP($B24,Database!$B$1:$IX$10144,2,FALSE))))</f>
        <v/>
      </c>
      <c r="D24" s="1" t="str">
        <f>IF($B24="","",HYPERLINK(CONCATENATE("http://www.ncbi.nlm.nih.gov/pubmed/",B24)))</f>
        <v>http://www.ncbi.nlm.nih.gov/pubmed/15172942</v>
      </c>
      <c r="E24" s="22" t="str">
        <f>IF($B24="","",IF(LEN(VLOOKUP($B24,Database!$B$1:$IX$10144,4,FALSE))=0,"",VLOOKUP($B24,Database!$B$1:$IX$10144,4,FALSE)))</f>
        <v>Lloyd AJ</v>
      </c>
      <c r="F24" s="22">
        <f>IF($B24="","",IF(LEN(VLOOKUP($B24,Database!$B$1:$IX$10144,5,FALSE))=0,"",VLOOKUP($B24,Database!$B$1:$IX$10144,5,FALSE)))</f>
        <v>2004</v>
      </c>
      <c r="G24" s="1" t="str">
        <f>IF($B24="","",HYPERLINK(IF(LEN(VLOOKUP($B24,Database!$B$1:$IX$10144,6,FALSE))=0,"",VLOOKUP($B24,Database!$B$1:$IX$10144,6,FALSE))))</f>
        <v>http://bjp.rcpsych.org/cgi/reprint/184/6/488</v>
      </c>
      <c r="H24" s="83">
        <v>23</v>
      </c>
      <c r="I24" s="83">
        <v>28</v>
      </c>
      <c r="L24">
        <v>2.9</v>
      </c>
      <c r="M24">
        <v>0.4</v>
      </c>
      <c r="N24">
        <v>2.6</v>
      </c>
      <c r="O24">
        <v>0.4</v>
      </c>
      <c r="P24">
        <v>3</v>
      </c>
      <c r="Q24">
        <v>0.4</v>
      </c>
      <c r="R24">
        <v>2.7</v>
      </c>
      <c r="S24">
        <v>0.5</v>
      </c>
      <c r="T24">
        <f>L24+P24</f>
        <v>5.9</v>
      </c>
      <c r="U24">
        <f>2*SQRT(0.25*(M24^2+Q24^2+2*$F$8*M24*Q24))</f>
        <v>0.7589466384404111</v>
      </c>
      <c r="V24">
        <f>N24+R24</f>
        <v>5.3000000000000007</v>
      </c>
      <c r="W24">
        <f>2*SQRT(0.25*(O24^2+S24^2+2*$F$8*O24*S24))</f>
        <v>0.85440037453175322</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v>
      </c>
      <c r="AC24" s="22">
        <f>IF(OR($B24="",AC$22=""),"",IF(LEN(VLOOKUP($B24,Database!$B$1:$IX$10144,AC$22,FALSE))=0,"",VLOOKUP($B24,Database!$B$1:$IX$10144,AC$22,FALSE)))</f>
        <v>6.3</v>
      </c>
      <c r="AD24" s="22">
        <f>IF(OR($B24="",AD$22=""),"",IF(LEN(VLOOKUP($B24,Database!$B$1:$IX$10144,AD$22,FALSE))=0,"",VLOOKUP($B24,Database!$B$1:$IX$10144,AD$22,FALSE)))</f>
        <v>73.099999999999994</v>
      </c>
      <c r="AE24" s="22">
        <f>IF(OR($B24="",AE$22=""),"",IF(LEN(VLOOKUP($B24,Database!$B$1:$IX$10144,AE$22,FALSE))=0,"",VLOOKUP($B24,Database!$B$1:$IX$10144,AE$22,FALSE)))</f>
        <v>6.7</v>
      </c>
      <c r="AF24" s="22">
        <f>IF(OR($B24="",AF$22=""),"",IF(LEN(VLOOKUP($B24,Database!$B$1:$IX$10144,AF$22,FALSE))=0,"",VLOOKUP($B24,Database!$B$1:$IX$10144,AF$22,FALSE)))</f>
        <v>41</v>
      </c>
      <c r="AG24" s="22">
        <f>IF(OR($B24="",AG$22=""),"",IF(LEN(VLOOKUP($B24,Database!$B$1:$IX$10144,AG$22,FALSE))=0,"",VLOOKUP($B24,Database!$B$1:$IX$10144,AG$22,FALSE)))</f>
        <v>29</v>
      </c>
      <c r="AH24" s="22">
        <f>IF(OR($B24="",AH$22=""),"",IF(LEN(VLOOKUP($B24,Database!$B$1:$IX$10144,AH$22,FALSE))=0,"",VLOOKUP($B24,Database!$B$1:$IX$10144,AH$22,FALSE)))</f>
        <v>1</v>
      </c>
      <c r="AI24" s="22">
        <f>IF(OR($B24="",AI$22=""),"",IF(LEN(VLOOKUP($B24,Database!$B$1:$IX$10144,AI$22,FALSE))=0,"",VLOOKUP($B24,Database!$B$1:$IX$10144,AI$22,FALSE)))</f>
        <v>1</v>
      </c>
      <c r="AJ24" s="22" t="str">
        <f>IF(OR($B24="",AJ$22=""),"",IF(LEN(VLOOKUP($B24,Database!$B$1:$IX$10144,AJ$22,FALSE))=0,"",VLOOKUP($B24,Database!$B$1:$IX$10144,AJ$22,FALSE)))</f>
        <v/>
      </c>
      <c r="AK24" s="22">
        <f>IF(OR($B24="",AK$22=""),"",IF(LEN(VLOOKUP($B24,Database!$B$1:$IX$10144,AK$22,FALSE))=0,"",VLOOKUP($B24,Database!$B$1:$IX$10144,AK$22,FALSE)))</f>
        <v>57</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Lloyd AJ, Ferrier IN, Barber R, Gholkar A, Young AH, O'Brien JT.</v>
      </c>
    </row>
    <row r="25" spans="1:51">
      <c r="A25" s="13"/>
      <c r="B25">
        <v>15867107</v>
      </c>
      <c r="C25" s="1" t="str">
        <f>IF($B25="","",HYPERLINK(IF(LEN(VLOOKUP($B25,Database!$B$1:$IX$10144,2,FALSE))=0,"",VLOOKUP($B25,Database!$B$1:$IX$10144,2,FALSE))))</f>
        <v/>
      </c>
      <c r="D25" s="1" t="str">
        <f>IF($B25="","",HYPERLINK(CONCATENATE("http://www.ncbi.nlm.nih.gov/pubmed/",B25)))</f>
        <v>http://www.ncbi.nlm.nih.gov/pubmed/15867107</v>
      </c>
      <c r="E25" s="22" t="str">
        <f>IF($B25="","",IF(LEN(VLOOKUP($B25,Database!$B$1:$IX$10144,4,FALSE))=0,"",VLOOKUP($B25,Database!$B$1:$IX$10144,4,FALSE)))</f>
        <v>Taylor WD (B)</v>
      </c>
      <c r="F25" s="22">
        <f>IF($B25="","",IF(LEN(VLOOKUP($B25,Database!$B$1:$IX$10144,5,FALSE))=0,"",VLOOKUP($B25,Database!$B$1:$IX$10144,5,FALSE)))</f>
        <v>2005</v>
      </c>
      <c r="G25" s="1" t="str">
        <f>IF($B25="","",HYPERLINK(IF(LEN(VLOOKUP($B25,Database!$B$1:$IX$10144,6,FALSE))=0,"",VLOOKUP($B25,Database!$B$1:$IX$10144,6,FALSE))))</f>
        <v>http://archpsyc.ama-assn.org/cgi/reprint/62/5/537</v>
      </c>
      <c r="H25" s="83">
        <v>72</v>
      </c>
      <c r="I25" s="83">
        <v>63</v>
      </c>
      <c r="J25" s="13" t="s">
        <v>1614</v>
      </c>
      <c r="K25" s="13" t="s">
        <v>142</v>
      </c>
      <c r="L25" s="13">
        <v>2.94</v>
      </c>
      <c r="M25" s="13">
        <v>0.38</v>
      </c>
      <c r="N25" s="13">
        <v>2.96</v>
      </c>
      <c r="O25" s="13">
        <v>0.49</v>
      </c>
      <c r="P25" s="13">
        <v>3.08</v>
      </c>
      <c r="Q25" s="13">
        <v>0.4</v>
      </c>
      <c r="R25" s="13">
        <v>3.1</v>
      </c>
      <c r="S25" s="13">
        <v>0.45</v>
      </c>
      <c r="T25">
        <v>6.02</v>
      </c>
      <c r="U25">
        <v>0.72</v>
      </c>
      <c r="V25">
        <v>6.07</v>
      </c>
      <c r="W25">
        <v>0.87</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70</v>
      </c>
      <c r="AC25" s="22">
        <f>IF(OR($B25="",AC$22=""),"",IF(LEN(VLOOKUP($B25,Database!$B$1:$IX$10144,AC$22,FALSE))=0,"",VLOOKUP($B25,Database!$B$1:$IX$10144,AC$22,FALSE)))</f>
        <v>7.3</v>
      </c>
      <c r="AD25" s="22">
        <f>IF(OR($B25="",AD$22=""),"",IF(LEN(VLOOKUP($B25,Database!$B$1:$IX$10144,AD$22,FALSE))=0,"",VLOOKUP($B25,Database!$B$1:$IX$10144,AD$22,FALSE)))</f>
        <v>69.400000000000006</v>
      </c>
      <c r="AE25" s="22">
        <f>IF(OR($B25="",AE$22=""),"",IF(LEN(VLOOKUP($B25,Database!$B$1:$IX$10144,AE$22,FALSE))=0,"",VLOOKUP($B25,Database!$B$1:$IX$10144,AE$22,FALSE)))</f>
        <v>6.3</v>
      </c>
      <c r="AF25" s="22">
        <f>IF(OR($B25="",AF$22=""),"",IF(LEN(VLOOKUP($B25,Database!$B$1:$IX$10144,AF$22,FALSE))=0,"",VLOOKUP($B25,Database!$B$1:$IX$10144,AF$22,FALSE)))</f>
        <v>90</v>
      </c>
      <c r="AG25" s="22">
        <f>IF(OR($B25="",AG$22=""),"",IF(LEN(VLOOKUP($B25,Database!$B$1:$IX$10144,AG$22,FALSE))=0,"",VLOOKUP($B25,Database!$B$1:$IX$10144,AG$22,FALSE)))</f>
        <v>64</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f>IF(OR($B25="",AK$22=""),"",IF(LEN(VLOOKUP($B25,Database!$B$1:$IX$10144,AK$22,FALSE))=0,"",VLOOKUP($B25,Database!$B$1:$IX$10144,AK$22,FALSE)))</f>
        <v>46.9</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Taylor WD, Steffens DC, Payne ME, MacFall JR, Marchuk DA, Svenson IK, Krishnan KR.</v>
      </c>
    </row>
    <row r="26" spans="1:51">
      <c r="B26">
        <v>17986679</v>
      </c>
      <c r="C26" s="1" t="str">
        <f>IF($B26="","",HYPERLINK(IF(LEN(VLOOKUP($B26,Database!$B$1:$IX$10144,2,FALSE))=0,"",VLOOKUP($B26,Database!$B$1:$IX$10144,2,FALSE))))</f>
        <v/>
      </c>
      <c r="D26" s="1" t="str">
        <f>IF($B26="","",HYPERLINK(CONCATENATE("http://www.ncbi.nlm.nih.gov/pubmed/",B26)))</f>
        <v>http://www.ncbi.nlm.nih.gov/pubmed/17986679</v>
      </c>
      <c r="E26" s="22" t="str">
        <f>IF($B26="","",IF(LEN(VLOOKUP($B26,Database!$B$1:$IX$10144,4,FALSE))=0,"",VLOOKUP($B26,Database!$B$1:$IX$10144,4,FALSE)))</f>
        <v>Ballmaier M (A)</v>
      </c>
      <c r="F26" s="22">
        <f>IF($B26="","",IF(LEN(VLOOKUP($B26,Database!$B$1:$IX$10144,5,FALSE))=0,"",VLOOKUP($B26,Database!$B$1:$IX$10144,5,FALSE)))</f>
        <v>2008</v>
      </c>
      <c r="G26" s="1" t="str">
        <f>IF($B26="","",HYPERLINK(IF(LEN(VLOOKUP($B26,Database!$B$1:$IX$10144,6,FALSE))=0,"",VLOOKUP($B26,Database!$B$1:$IX$10144,6,FALSE))))</f>
        <v>http://ajp.psychiatryonline.org/cgi/reprint/165/2/229</v>
      </c>
      <c r="H26" s="83">
        <v>24</v>
      </c>
      <c r="I26" s="83">
        <v>22</v>
      </c>
      <c r="J26" s="163" t="s">
        <v>887</v>
      </c>
      <c r="K26" s="163"/>
      <c r="L26">
        <v>1159.72</v>
      </c>
      <c r="M26">
        <v>162.09</v>
      </c>
      <c r="N26">
        <v>1068.67</v>
      </c>
      <c r="O26">
        <v>268.85000000000002</v>
      </c>
      <c r="P26">
        <v>1152.04</v>
      </c>
      <c r="Q26">
        <v>210.61</v>
      </c>
      <c r="R26">
        <v>1100.78</v>
      </c>
      <c r="S26">
        <v>253.85</v>
      </c>
      <c r="T26">
        <f>L26+P26</f>
        <v>2311.7600000000002</v>
      </c>
      <c r="U26">
        <f>2*SQRT(0.25*(M26^2+Q26^2+2*$F$8*M26*Q26))</f>
        <v>353.90702174441242</v>
      </c>
      <c r="V26">
        <f>N26+R26</f>
        <v>2169.4499999999998</v>
      </c>
      <c r="W26">
        <f>2*SQRT(0.25*(O26^2+S26^2+2*$F$8*O26*S26))</f>
        <v>495.89944646067113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71.099999999999994</v>
      </c>
      <c r="AC26" s="22">
        <f>IF(OR($B26="",AC$22=""),"",IF(LEN(VLOOKUP($B26,Database!$B$1:$IX$10144,AC$22,FALSE))=0,"",VLOOKUP($B26,Database!$B$1:$IX$10144,AC$22,FALSE)))</f>
        <v>7.66</v>
      </c>
      <c r="AD26" s="22">
        <f>IF(OR($B26="",AD$22=""),"",IF(LEN(VLOOKUP($B26,Database!$B$1:$IX$10144,AD$22,FALSE))=0,"",VLOOKUP($B26,Database!$B$1:$IX$10144,AD$22,FALSE)))</f>
        <v>72.38</v>
      </c>
      <c r="AE26" s="22">
        <f>IF(OR($B26="",AE$22=""),"",IF(LEN(VLOOKUP($B26,Database!$B$1:$IX$10144,AE$22,FALSE))=0,"",VLOOKUP($B26,Database!$B$1:$IX$10144,AE$22,FALSE)))</f>
        <v>6.93</v>
      </c>
      <c r="AF26" s="22">
        <f>IF(OR($B26="",AF$22=""),"",IF(LEN(VLOOKUP($B26,Database!$B$1:$IX$10144,AF$22,FALSE))=0,"",VLOOKUP($B26,Database!$B$1:$IX$10144,AF$22,FALSE)))</f>
        <v>34</v>
      </c>
      <c r="AG26" s="22">
        <f>IF(OR($B26="",AG$22=""),"",IF(LEN(VLOOKUP($B26,Database!$B$1:$IX$10144,AG$22,FALSE))=0,"",VLOOKUP($B26,Database!$B$1:$IX$10144,AG$22,FALSE)))</f>
        <v>19</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51.43</v>
      </c>
      <c r="AL26" s="22">
        <f>IF(OR($B26="",AL$22=""),"",IF(LEN(VLOOKUP($B26,Database!$B$1:$IX$10144,AL$22,FALSE))=0,"",VLOOKUP($B26,Database!$B$1:$IX$10144,AL$22,FALSE)))</f>
        <v>17.73</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Ballmaier M, Narr KL, Toga AW, Elderkin-Thompson V, Thompson PM, Hamilton L, Haroon E, Pham D, Heinz A, Kumar A.</v>
      </c>
    </row>
    <row r="27" spans="1:51">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row>
    <row r="28" spans="1:51">
      <c r="A28" s="4" t="s">
        <v>2011</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51">
      <c r="A29" s="91" t="s">
        <v>118</v>
      </c>
      <c r="B29">
        <v>17210630</v>
      </c>
      <c r="C29" s="1" t="str">
        <f>IF($B29="","",HYPERLINK(IF(LEN(VLOOKUP($B29,Database!$B$1:$IX$10144,2,FALSE))=0,"",VLOOKUP($B29,Database!$B$1:$IX$10144,2,FALSE))))</f>
        <v/>
      </c>
      <c r="D29" s="1" t="str">
        <f>IF($B29="","",HYPERLINK(CONCATENATE("http://www.ncbi.nlm.nih.gov/pubmed/",B29)))</f>
        <v>http://www.ncbi.nlm.nih.gov/pubmed/17210630</v>
      </c>
      <c r="E29" s="22" t="str">
        <f>IF($B29="","",IF(LEN(VLOOKUP($B29,Database!$B$1:$IX$10144,4,FALSE))=0,"",VLOOKUP($B29,Database!$B$1:$IX$10144,4,FALSE)))</f>
        <v>Janssen J</v>
      </c>
      <c r="F29" s="22">
        <f>IF($B29="","",IF(LEN(VLOOKUP($B29,Database!$B$1:$IX$10144,5,FALSE))=0,"",VLOOKUP($B29,Database!$B$1:$IX$10144,5,FALSE)))</f>
        <v>2007</v>
      </c>
      <c r="G29" s="1" t="str">
        <f>IF($B29="","",HYPERLINK(IF(LEN(VLOOKUP($B29,Database!$B$1:$IX$10144,6,FALSE))=0,"",VLOOKUP($B29,Database!$B$1:$IX$10144,6,FALSE))))</f>
        <v>http://jnnp.bmj.com/cgi/reprint/78/6/638</v>
      </c>
      <c r="H29" s="83">
        <v>13</v>
      </c>
      <c r="I29" s="83">
        <v>15</v>
      </c>
      <c r="J29" s="163"/>
      <c r="K29" s="13"/>
      <c r="T29">
        <v>5.51</v>
      </c>
      <c r="U29">
        <v>0.2</v>
      </c>
      <c r="V29">
        <v>5.92</v>
      </c>
      <c r="W29">
        <v>0.2</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f>IF(OR($B29="",AD$22=""),"",IF(LEN(VLOOKUP($B29,Database!$B$1:$IX$10144,AD$22,FALSE))=0,"",VLOOKUP($B29,Database!$B$1:$IX$10144,AD$22,FALSE)))</f>
        <v>71.05</v>
      </c>
      <c r="AE29" s="22">
        <f>IF(OR($B29="",AE$22=""),"",IF(LEN(VLOOKUP($B29,Database!$B$1:$IX$10144,AE$22,FALSE))=0,"",VLOOKUP($B29,Database!$B$1:$IX$10144,AE$22,FALSE)))</f>
        <v>7.5</v>
      </c>
      <c r="AF29" s="22">
        <f>IF(OR($B29="",AF$22=""),"",IF(LEN(VLOOKUP($B29,Database!$B$1:$IX$10144,AF$22,FALSE))=0,"",VLOOKUP($B29,Database!$B$1:$IX$10144,AF$22,FALSE)))</f>
        <v>28</v>
      </c>
      <c r="AG29" s="22">
        <f>IF(OR($B29="",AG$22=""),"",IF(LEN(VLOOKUP($B29,Database!$B$1:$IX$10144,AG$22,FALSE))=0,"",VLOOKUP($B29,Database!$B$1:$IX$10144,AG$22,FALSE)))</f>
        <v>22</v>
      </c>
      <c r="AH29" s="22">
        <f>IF(OR($B29="",AH$22=""),"",IF(LEN(VLOOKUP($B29,Database!$B$1:$IX$10144,AH$22,FALSE))=0,"",VLOOKUP($B29,Database!$B$1:$IX$10144,AH$22,FALSE)))</f>
        <v>1.5</v>
      </c>
      <c r="AI29" s="22" t="str">
        <f>IF(OR($B29="",AI$22=""),"",IF(LEN(VLOOKUP($B29,Database!$B$1:$IX$10144,AI$22,FALSE))=0,"",VLOOKUP($B29,Database!$B$1:$IX$10144,AI$22,FALSE)))</f>
        <v>ns</v>
      </c>
      <c r="AJ29" s="22" t="str">
        <f>IF(OR($B29="",AJ$22=""),"",IF(LEN(VLOOKUP($B29,Database!$B$1:$IX$10144,AJ$22,FALSE))=0,"",VLOOKUP($B29,Database!$B$1:$IX$10144,AJ$22,FALSE)))</f>
        <v/>
      </c>
      <c r="AK29" s="22">
        <f>IF(OR($B29="",AK$22=""),"",IF(LEN(VLOOKUP($B29,Database!$B$1:$IX$10144,AK$22,FALSE))=0,"",VLOOKUP($B29,Database!$B$1:$IX$10144,AK$22,FALSE)))</f>
        <v>33.619999999999997</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Janssen J, Hulshoff Pol HE, de Leeuw FE, Schnack HG, Lampe IK, Kok RM, Kahn RS, Heeren TJ.</v>
      </c>
    </row>
    <row r="30" spans="1:51">
      <c r="A30" s="4"/>
      <c r="C30" s="1"/>
      <c r="D30" s="1"/>
      <c r="E30" s="22"/>
      <c r="F30" s="22"/>
      <c r="G30" s="1"/>
      <c r="H30" s="22"/>
      <c r="I30" s="22"/>
      <c r="AE30" s="22"/>
      <c r="AF30" s="22"/>
      <c r="AG30" s="22"/>
      <c r="AH30" s="22"/>
      <c r="AI30" s="22"/>
      <c r="AJ30" s="22"/>
      <c r="AK30" s="22"/>
      <c r="AL30" s="22"/>
      <c r="AM30" s="22"/>
      <c r="AN30" s="22"/>
      <c r="AO30" s="22"/>
      <c r="AP30" s="22"/>
      <c r="AQ30" s="22"/>
    </row>
    <row r="31" spans="1:51">
      <c r="I31" s="22" t="str">
        <f>IF($B31="","",IF(LEN(VLOOKUP($B31,Database!$B$1:$IX$10144,8,FALSE))=0,"",VLOOKUP($B31,Database!$B$1:$IX$10144,8,FALSE)))</f>
        <v/>
      </c>
      <c r="AF31" t="s">
        <v>602</v>
      </c>
      <c r="AJ31" t="s">
        <v>329</v>
      </c>
      <c r="AN31" t="s">
        <v>330</v>
      </c>
    </row>
    <row r="32" spans="1:51"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5">
      <c r="E33" t="str">
        <f t="shared" ref="E33:F35" si="0">E24</f>
        <v>Lloyd AJ</v>
      </c>
      <c r="F33">
        <f t="shared" si="0"/>
        <v>2004</v>
      </c>
      <c r="G33">
        <v>5</v>
      </c>
      <c r="H33">
        <f t="shared" ref="H33:I35" si="1">H24</f>
        <v>23</v>
      </c>
      <c r="I33">
        <f t="shared" si="1"/>
        <v>28</v>
      </c>
      <c r="J33">
        <f t="shared" ref="J33:M35" si="2">IF($D$4="Total",T24,IF($D$4="Left",L24,IF($D$4="Right",P24,"error")))</f>
        <v>5.9</v>
      </c>
      <c r="K33">
        <f t="shared" si="2"/>
        <v>0.7589466384404111</v>
      </c>
      <c r="L33">
        <f t="shared" si="2"/>
        <v>5.3000000000000007</v>
      </c>
      <c r="M33">
        <f t="shared" si="2"/>
        <v>0.85440037453175322</v>
      </c>
      <c r="N33">
        <f>IF($D$3=1,SQRT((((I33-1)*(M33)^2)+((H33-1)*(K33)^2))/(H33+I33-2)),M33)</f>
        <v>0.8129312042584802</v>
      </c>
      <c r="O33" s="59">
        <f>IF($D$6=1,LN(J33/L33),IF($D$5=1,(1-3/(4*(H33+I33)-9))*((J33-L33)/N33),(J33-L33)/N33))</f>
        <v>0.72671491471176086</v>
      </c>
      <c r="P33" s="63">
        <f>IF($D$6=1,(K33^2)/(H33*J33^2)+(M33^2)/(I33*L33^2),(IF($D$5=1,((H33+I33)/(H33*I33))+(O33*O33)/(2*(H33+I33-3.94)),((H33+I33)/(H33*I33))+((O33^2)/(2*(H33+I33-2))))))</f>
        <v>8.4803623584111462E-2</v>
      </c>
      <c r="Q33" s="59">
        <f>$R$52*SQRT(P33)</f>
        <v>0.57077280975947209</v>
      </c>
      <c r="R33" s="59">
        <f>1/P33</f>
        <v>11.791948949070106</v>
      </c>
      <c r="S33" s="59">
        <f>O33*R33</f>
        <v>8.5693851748089198</v>
      </c>
      <c r="T33" s="59">
        <f>R33*(O33^2)</f>
        <v>6.2275000164434928</v>
      </c>
      <c r="U33" s="23">
        <f>R33^2</f>
        <v>139.05006001747557</v>
      </c>
      <c r="V33" s="59">
        <f>1/((1/R33)+$I$49)</f>
        <v>4.9604952993429672</v>
      </c>
      <c r="W33" s="59">
        <f>V33*O33</f>
        <v>3.6048659183901153</v>
      </c>
      <c r="AF33" s="59">
        <f>IF($D$6=1,100*((EXP(O33))-1),O33)</f>
        <v>0.72671491471176086</v>
      </c>
      <c r="AG33" s="59">
        <f>IF($D$6=1,100*(EXP(O33+Q33)-EXP(O33)),Q33)</f>
        <v>0.57077280975947209</v>
      </c>
      <c r="AH33" s="59">
        <f>IF($D$6=1,100*(EXP(O33)-EXP(O33-Q33)),Q33)</f>
        <v>0.57077280975947209</v>
      </c>
      <c r="AJ33">
        <f>SQRT(P33)</f>
        <v>0.29121061722422048</v>
      </c>
      <c r="AK33">
        <f>1/AJ33</f>
        <v>3.4339407317352038</v>
      </c>
      <c r="AL33">
        <f>O33/AJ33</f>
        <v>2.4954959459881905</v>
      </c>
      <c r="AN33" t="str">
        <f t="shared" ref="AN33:AO35" si="3">E33</f>
        <v>Lloyd AJ</v>
      </c>
      <c r="AO33">
        <f t="shared" si="3"/>
        <v>2004</v>
      </c>
      <c r="AP33" t="str">
        <f>CONCATENATE(AN33," ",AO33)</f>
        <v>Lloyd AJ 2004</v>
      </c>
      <c r="AQ33">
        <f>INT(H33)</f>
        <v>23</v>
      </c>
      <c r="AR33">
        <f t="shared" ref="AR33:AS35" si="4">J33</f>
        <v>5.9</v>
      </c>
      <c r="AS33">
        <f t="shared" si="4"/>
        <v>0.7589466384404111</v>
      </c>
      <c r="AT33">
        <f>INT(I33)</f>
        <v>28</v>
      </c>
      <c r="AU33">
        <f t="shared" ref="AU33:AV35" si="5">L33</f>
        <v>5.3000000000000007</v>
      </c>
      <c r="AV33">
        <f t="shared" si="5"/>
        <v>0.85440037453175322</v>
      </c>
      <c r="AW33" s="65">
        <f>O33</f>
        <v>0.72671491471176086</v>
      </c>
      <c r="AX33">
        <f>SQRT(P33)</f>
        <v>0.29121061722422048</v>
      </c>
      <c r="AY33" t="str">
        <f>$F$4</f>
        <v>Total</v>
      </c>
      <c r="BC33" s="23"/>
    </row>
    <row r="34" spans="5:55">
      <c r="E34" t="str">
        <f t="shared" si="0"/>
        <v>Taylor WD (B)</v>
      </c>
      <c r="F34">
        <f t="shared" si="0"/>
        <v>2005</v>
      </c>
      <c r="G34">
        <v>4</v>
      </c>
      <c r="H34">
        <f t="shared" si="1"/>
        <v>72</v>
      </c>
      <c r="I34">
        <f t="shared" si="1"/>
        <v>63</v>
      </c>
      <c r="J34">
        <f t="shared" si="2"/>
        <v>6.02</v>
      </c>
      <c r="K34">
        <f t="shared" si="2"/>
        <v>0.72</v>
      </c>
      <c r="L34">
        <f t="shared" si="2"/>
        <v>6.07</v>
      </c>
      <c r="M34">
        <f t="shared" si="2"/>
        <v>0.87</v>
      </c>
      <c r="N34">
        <f>IF($D$3=1,SQRT((((I34-1)*(M34)^2)+((H34-1)*(K34)^2))/(H34+I34-2)),M34)</f>
        <v>0.79346105835624947</v>
      </c>
      <c r="O34" s="59">
        <f>IF($D$6=1,LN(J34/L34),IF($D$5=1,(1-3/(4*(H34+I34)-9))*((J34-L34)/N34),(J34-L34)/N34))</f>
        <v>-6.2659047473974758E-2</v>
      </c>
      <c r="P34" s="63">
        <f>IF($D$6=1,(K34^2)/(H34*J34^2)+(M34^2)/(I34*L34^2),(IF($D$5=1,((H34+I34)/(H34*I34))+(O34*O34)/(2*(H34+I34-3.94)),((H34+I34)/(H34*I34))+((O34^2)/(2*(H34+I34-2))))))</f>
        <v>2.9776883230660849E-2</v>
      </c>
      <c r="Q34" s="59">
        <f>$R$52*SQRT(P34)</f>
        <v>0.33821720035933528</v>
      </c>
      <c r="R34" s="59">
        <f>1/P34</f>
        <v>33.583098414084979</v>
      </c>
      <c r="S34" s="59">
        <f>O34*R34</f>
        <v>-2.1042849578513172</v>
      </c>
      <c r="T34" s="59">
        <f>R34*(O34^2)</f>
        <v>0.13185249107277663</v>
      </c>
      <c r="U34" s="23">
        <f>R34^2</f>
        <v>1127.8244990901171</v>
      </c>
      <c r="V34" s="59">
        <f>1/((1/R34)+$I$49)</f>
        <v>6.8228632914477343</v>
      </c>
      <c r="W34" s="59">
        <f>V34*O34</f>
        <v>-0.42751411488726326</v>
      </c>
      <c r="AF34" s="59">
        <f>IF($D$6=1,100*((EXP(O34))-1),O34)</f>
        <v>-6.2659047473974758E-2</v>
      </c>
      <c r="AG34" s="59">
        <f>IF($D$6=1,100*(EXP(O34+Q34)-EXP(O34)),Q34)</f>
        <v>0.33821720035933528</v>
      </c>
      <c r="AH34" s="59">
        <f>IF($D$6=1,100*(EXP(O34)-EXP(O34-Q34)),Q34)</f>
        <v>0.33821720035933528</v>
      </c>
      <c r="AJ34">
        <f>SQRT(P34)</f>
        <v>0.17255979610170166</v>
      </c>
      <c r="AK34">
        <f>1/AJ34</f>
        <v>5.7950926147978841</v>
      </c>
      <c r="AL34">
        <f>O34/AJ34</f>
        <v>-0.36311498326670111</v>
      </c>
      <c r="AN34" t="str">
        <f t="shared" si="3"/>
        <v>Taylor WD (B)</v>
      </c>
      <c r="AO34">
        <f t="shared" si="3"/>
        <v>2005</v>
      </c>
      <c r="AP34" t="str">
        <f>CONCATENATE(AN34," ",AO34)</f>
        <v>Taylor WD (B) 2005</v>
      </c>
      <c r="AQ34">
        <f>INT(H34)</f>
        <v>72</v>
      </c>
      <c r="AR34">
        <f t="shared" si="4"/>
        <v>6.02</v>
      </c>
      <c r="AS34">
        <f t="shared" si="4"/>
        <v>0.72</v>
      </c>
      <c r="AT34">
        <f>INT(I34)</f>
        <v>63</v>
      </c>
      <c r="AU34">
        <f t="shared" si="5"/>
        <v>6.07</v>
      </c>
      <c r="AV34">
        <f t="shared" si="5"/>
        <v>0.87</v>
      </c>
      <c r="AW34" s="65">
        <f>O34</f>
        <v>-6.2659047473974758E-2</v>
      </c>
      <c r="AX34">
        <f>SQRT(P34)</f>
        <v>0.17255979610170166</v>
      </c>
      <c r="AY34" t="str">
        <f>F3</f>
        <v>Pooled SD</v>
      </c>
      <c r="BC34" s="23"/>
    </row>
    <row r="35" spans="5:55">
      <c r="E35" t="str">
        <f t="shared" si="0"/>
        <v>Ballmaier M (A)</v>
      </c>
      <c r="F35">
        <f t="shared" si="0"/>
        <v>2008</v>
      </c>
      <c r="G35">
        <v>2</v>
      </c>
      <c r="H35">
        <f t="shared" si="1"/>
        <v>24</v>
      </c>
      <c r="I35">
        <f t="shared" si="1"/>
        <v>22</v>
      </c>
      <c r="J35">
        <f t="shared" si="2"/>
        <v>2311.7600000000002</v>
      </c>
      <c r="K35">
        <f t="shared" si="2"/>
        <v>353.90702174441242</v>
      </c>
      <c r="L35">
        <f t="shared" si="2"/>
        <v>2169.4499999999998</v>
      </c>
      <c r="M35">
        <f t="shared" si="2"/>
        <v>495.89944646067113</v>
      </c>
      <c r="N35">
        <f>IF($D$3=1,SQRT((((I35-1)*(M35)^2)+((H35-1)*(K35)^2))/(H35+I35-2)),M35)</f>
        <v>427.59888866680996</v>
      </c>
      <c r="O35" s="59">
        <f>IF($D$6=1,LN(J35/L35),IF($D$5=1,(1-3/(4*(H35+I35)-9))*((J35-L35)/N35),(J35-L35)/N35))</f>
        <v>0.32710655641808517</v>
      </c>
      <c r="P35" s="63">
        <f>IF($D$6=1,(K35^2)/(H35*J35^2)+(M35^2)/(I35*L35^2),(IF($D$5=1,((H35+I35)/(H35*I35))+(O35*O35)/(2*(H35+I35-3.94)),((H35+I35)/(H35*I35))+((O35^2)/(2*(H35+I35-2))))))</f>
        <v>8.8393189050024509E-2</v>
      </c>
      <c r="Q35" s="59">
        <f>$R$52*SQRT(P35)</f>
        <v>0.5827274449127775</v>
      </c>
      <c r="R35" s="59">
        <f>1/P35</f>
        <v>11.313088833508068</v>
      </c>
      <c r="S35" s="59">
        <f>O35*R35</f>
        <v>3.7005855307807165</v>
      </c>
      <c r="T35" s="59">
        <f>R35*(O35^2)</f>
        <v>1.210485789704272</v>
      </c>
      <c r="U35" s="23">
        <f>R35^2</f>
        <v>127.98597895484495</v>
      </c>
      <c r="V35" s="59">
        <f>1/((1/R35)+$I$49)</f>
        <v>4.8737138404547391</v>
      </c>
      <c r="W35" s="59">
        <f>V35*O35</f>
        <v>1.5942237513183106</v>
      </c>
      <c r="AF35" s="59">
        <f>IF($D$6=1,100*((EXP(O35))-1),O35)</f>
        <v>0.32710655641808517</v>
      </c>
      <c r="AG35" s="59">
        <f>IF($D$6=1,100*(EXP(O35+Q35)-EXP(O35)),Q35)</f>
        <v>0.5827274449127775</v>
      </c>
      <c r="AH35" s="59">
        <f>IF($D$6=1,100*(EXP(O35)-EXP(O35-Q35)),Q35)</f>
        <v>0.5827274449127775</v>
      </c>
      <c r="AJ35">
        <f>SQRT(P35)</f>
        <v>0.2973099208738661</v>
      </c>
      <c r="AK35">
        <f>1/AJ35</f>
        <v>3.3634935459293018</v>
      </c>
      <c r="AL35">
        <f>O35/AJ35</f>
        <v>1.1002207913433886</v>
      </c>
      <c r="AN35" t="str">
        <f t="shared" si="3"/>
        <v>Ballmaier M (A)</v>
      </c>
      <c r="AO35">
        <f t="shared" si="3"/>
        <v>2008</v>
      </c>
      <c r="AP35" t="str">
        <f>CONCATENATE(AN35," ",AO35)</f>
        <v>Ballmaier M (A) 2008</v>
      </c>
      <c r="AQ35">
        <f>INT(H35)</f>
        <v>24</v>
      </c>
      <c r="AR35">
        <f t="shared" si="4"/>
        <v>2311.7600000000002</v>
      </c>
      <c r="AS35">
        <f t="shared" si="4"/>
        <v>353.90702174441242</v>
      </c>
      <c r="AT35">
        <f>INT(I35)</f>
        <v>22</v>
      </c>
      <c r="AU35">
        <f t="shared" si="5"/>
        <v>2169.4499999999998</v>
      </c>
      <c r="AV35">
        <f t="shared" si="5"/>
        <v>495.89944646067113</v>
      </c>
      <c r="AW35" s="65">
        <f>O35</f>
        <v>0.32710655641808517</v>
      </c>
      <c r="AX35">
        <f>SQRT(P35)</f>
        <v>0.2973099208738661</v>
      </c>
      <c r="BC35" s="23"/>
    </row>
    <row r="36" spans="5:55">
      <c r="U36" s="23"/>
    </row>
    <row r="37" spans="5:55">
      <c r="L37" t="s">
        <v>500</v>
      </c>
      <c r="N37" s="7"/>
      <c r="O37" s="66">
        <f>COUNT(O33:O35)</f>
        <v>3</v>
      </c>
      <c r="Q37" t="s">
        <v>885</v>
      </c>
      <c r="R37" s="59">
        <f t="shared" ref="R37:W37" si="6">SUM(R33:R35)</f>
        <v>56.688136196663152</v>
      </c>
      <c r="S37" s="59">
        <f t="shared" si="6"/>
        <v>10.165685747738319</v>
      </c>
      <c r="T37" s="59">
        <f t="shared" si="6"/>
        <v>7.5698382972205414</v>
      </c>
      <c r="U37" s="23">
        <f t="shared" si="6"/>
        <v>1394.8605380624376</v>
      </c>
      <c r="V37" s="59">
        <f t="shared" si="6"/>
        <v>16.657072431245439</v>
      </c>
      <c r="W37" s="59">
        <f t="shared" si="6"/>
        <v>4.7715755548211627</v>
      </c>
    </row>
    <row r="38" spans="5:55">
      <c r="L38" t="s">
        <v>501</v>
      </c>
      <c r="N38" s="7"/>
      <c r="O38" s="2">
        <v>0</v>
      </c>
    </row>
    <row r="39" spans="5:55">
      <c r="N39" s="7"/>
      <c r="O39" s="7"/>
    </row>
    <row r="40" spans="5:55">
      <c r="G40" s="67" t="s">
        <v>502</v>
      </c>
      <c r="H40" s="40"/>
      <c r="I40" s="40">
        <f>S37/R37</f>
        <v>0.17932651220832876</v>
      </c>
      <c r="J40" s="40"/>
      <c r="K40" s="68" t="s">
        <v>879</v>
      </c>
      <c r="L40" s="40"/>
      <c r="M40" s="42"/>
      <c r="N40" s="7"/>
      <c r="O40" s="69" t="s">
        <v>503</v>
      </c>
      <c r="P40" s="70">
        <f>T37-((S37^2)/R37)</f>
        <v>5.7468613278727112</v>
      </c>
      <c r="Q40" s="71" t="s">
        <v>824</v>
      </c>
      <c r="R40" s="28"/>
      <c r="S40" s="29"/>
      <c r="T40" s="30"/>
      <c r="U40" s="31"/>
      <c r="AF40" s="2" t="s">
        <v>1518</v>
      </c>
    </row>
    <row r="41" spans="5:55">
      <c r="G41" s="43" t="s">
        <v>504</v>
      </c>
      <c r="H41" s="31"/>
      <c r="I41" s="31">
        <f>1/R37</f>
        <v>1.764037534292516E-2</v>
      </c>
      <c r="J41" s="31"/>
      <c r="K41" s="31"/>
      <c r="L41" s="31"/>
      <c r="M41" s="44"/>
      <c r="N41" s="7"/>
      <c r="O41" s="30" t="s">
        <v>505</v>
      </c>
      <c r="P41" s="31">
        <f>CHIDIST(P40,I45-1)</f>
        <v>5.6504744896061394E-2</v>
      </c>
      <c r="Q41" s="31"/>
      <c r="R41" s="31"/>
      <c r="S41" s="34"/>
      <c r="T41" s="30"/>
      <c r="U41" s="31"/>
      <c r="AF41" s="2"/>
    </row>
    <row r="42" spans="5:55">
      <c r="G42" s="72" t="s">
        <v>506</v>
      </c>
      <c r="H42" s="31"/>
      <c r="I42" s="31">
        <f>$R$52*SQRT(I41)</f>
        <v>0.26032146649360538</v>
      </c>
      <c r="J42" s="31"/>
      <c r="K42" s="31" t="s">
        <v>507</v>
      </c>
      <c r="L42" s="31"/>
      <c r="M42" s="44">
        <f>ABS(I40/SQRT(I41))</f>
        <v>1.3501766437573377</v>
      </c>
      <c r="N42" s="7"/>
      <c r="O42" s="35" t="s">
        <v>508</v>
      </c>
      <c r="P42" s="37">
        <f>IF(((P40-(I45-1))/P40)&lt;0,0,100*((P40-(I45-1))/P40))</f>
        <v>65.19839463848119</v>
      </c>
      <c r="Q42" s="36"/>
      <c r="R42" s="36"/>
      <c r="S42" s="38"/>
      <c r="T42" s="30"/>
      <c r="U42" s="31"/>
      <c r="AF42" s="2" t="s">
        <v>1535</v>
      </c>
      <c r="AH42">
        <f>IF($D$6=1,100*((EXP(I40))-1),I40)</f>
        <v>0.17932651220832876</v>
      </c>
    </row>
    <row r="43" spans="5:55">
      <c r="G43" s="45" t="s">
        <v>509</v>
      </c>
      <c r="H43" s="46"/>
      <c r="I43" s="46">
        <v>-2</v>
      </c>
      <c r="J43" s="46"/>
      <c r="K43" s="46" t="s">
        <v>825</v>
      </c>
      <c r="L43" s="46"/>
      <c r="M43" s="47">
        <f>2*(1-NORMDIST(M42,0,1,1))</f>
        <v>0.17695932820344851</v>
      </c>
      <c r="N43" s="7"/>
      <c r="O43" s="7"/>
      <c r="AF43" s="79" t="s">
        <v>834</v>
      </c>
      <c r="AH43">
        <f>IF($D$6=1,100*(EXP(I40+I42)-EXP(I40)),I42)</f>
        <v>0.26032146649360538</v>
      </c>
    </row>
    <row r="44" spans="5:55">
      <c r="G44" s="40"/>
      <c r="H44" s="40"/>
      <c r="I44" s="40"/>
      <c r="J44" s="40"/>
      <c r="K44" s="40"/>
      <c r="L44" s="40"/>
      <c r="M44" s="40"/>
      <c r="N44" s="7"/>
      <c r="O44" s="7"/>
      <c r="AF44" s="79" t="s">
        <v>835</v>
      </c>
      <c r="AH44">
        <f>IF($D$6=1,100*(EXP(I40)-EXP(I40-I42)),I42)</f>
        <v>0.26032146649360538</v>
      </c>
    </row>
    <row r="45" spans="5:55">
      <c r="G45" s="73" t="s">
        <v>1110</v>
      </c>
      <c r="H45" s="74"/>
      <c r="I45" s="74">
        <f>O37</f>
        <v>3</v>
      </c>
      <c r="J45" s="74"/>
      <c r="K45" s="75" t="s">
        <v>1167</v>
      </c>
      <c r="L45" s="74"/>
      <c r="M45" s="76"/>
      <c r="N45" s="77"/>
      <c r="O45" s="101" t="s">
        <v>1513</v>
      </c>
      <c r="P45" s="102"/>
      <c r="Q45" s="103"/>
      <c r="AF45" s="7"/>
    </row>
    <row r="46" spans="5:55">
      <c r="G46" s="77" t="s">
        <v>1531</v>
      </c>
      <c r="H46" s="31"/>
      <c r="I46" s="31">
        <f>R37/I45</f>
        <v>18.896045398887718</v>
      </c>
      <c r="J46" s="31"/>
      <c r="K46" s="31"/>
      <c r="L46" s="31"/>
      <c r="M46" s="78"/>
      <c r="N46" s="77"/>
      <c r="O46" s="104" t="s">
        <v>1514</v>
      </c>
      <c r="P46" s="31"/>
      <c r="Q46" s="105">
        <f>INDEX(LINEST(AL33:AL35,AK33:AK35,TRUE,TRUE),1,2)</f>
        <v>4.8064090468462553</v>
      </c>
      <c r="AF46" s="2" t="s">
        <v>1687</v>
      </c>
      <c r="AH46">
        <f>IF($D$6=1,100*((EXP(I51))-1),I51)</f>
        <v>0.28645943484466163</v>
      </c>
    </row>
    <row r="47" spans="5:55">
      <c r="G47" s="77" t="s">
        <v>1532</v>
      </c>
      <c r="H47" s="31"/>
      <c r="I47" s="31">
        <f>(1/(I45-1))*(U37-(I45*I46^2))</f>
        <v>161.83947145598017</v>
      </c>
      <c r="J47" s="31"/>
      <c r="K47" s="31"/>
      <c r="L47" s="31"/>
      <c r="M47" s="78"/>
      <c r="N47" s="77"/>
      <c r="O47" s="104" t="s">
        <v>1516</v>
      </c>
      <c r="P47" s="31"/>
      <c r="Q47" s="105">
        <f>INDEX(LINEST(AL33:AL35,AK33:AK35,TRUE,TRUE),2,2)</f>
        <v>2.2902148037949543</v>
      </c>
      <c r="AF47" s="79" t="s">
        <v>834</v>
      </c>
      <c r="AG47" s="7"/>
      <c r="AH47">
        <f>IF($D$6=1,100*(EXP(I51+I53)-EXP(I51)),I53)</f>
        <v>0.48023823504431778</v>
      </c>
    </row>
    <row r="48" spans="5:55">
      <c r="G48" s="77" t="s">
        <v>1669</v>
      </c>
      <c r="H48" s="31"/>
      <c r="I48" s="31">
        <f>(I45-1)*(I46-(I47/(I45*I46)))</f>
        <v>32.08227275420721</v>
      </c>
      <c r="J48" s="31"/>
      <c r="K48" s="31"/>
      <c r="L48" s="31"/>
      <c r="M48" s="78"/>
      <c r="N48" s="77"/>
      <c r="O48" s="104" t="s">
        <v>1349</v>
      </c>
      <c r="P48" s="31"/>
      <c r="Q48" s="105">
        <f>ABS(Q46/Q47)</f>
        <v>2.0986717223563014</v>
      </c>
      <c r="AF48" s="79" t="s">
        <v>835</v>
      </c>
      <c r="AH48">
        <f>IF($D$6=1,100*(EXP(I51)-EXP(I51-I53)),I53)</f>
        <v>0.48023823504431778</v>
      </c>
    </row>
    <row r="49" spans="7:18">
      <c r="G49" s="77" t="s">
        <v>1685</v>
      </c>
      <c r="H49" s="31"/>
      <c r="I49" s="31">
        <f>IF(P40&gt;(I45-1),(P40-(I45-1))/I48,0)</f>
        <v>0.11678914884174953</v>
      </c>
      <c r="J49" s="31"/>
      <c r="K49" s="31"/>
      <c r="L49" s="31"/>
      <c r="M49" s="78"/>
      <c r="N49" s="77"/>
      <c r="O49" s="106" t="s">
        <v>1515</v>
      </c>
      <c r="P49" s="107"/>
      <c r="Q49" s="108">
        <f>TDIST(Q48,I45-2,2)</f>
        <v>0.28308244138885025</v>
      </c>
    </row>
    <row r="50" spans="7:18">
      <c r="G50" s="77"/>
      <c r="H50" s="31"/>
      <c r="I50" s="31"/>
      <c r="J50" s="31"/>
      <c r="K50" s="31"/>
      <c r="L50" s="31"/>
      <c r="M50" s="78"/>
      <c r="N50" s="77"/>
    </row>
    <row r="51" spans="7:18">
      <c r="G51" s="77" t="s">
        <v>1686</v>
      </c>
      <c r="H51" s="31"/>
      <c r="I51" s="31">
        <f>W37/V37</f>
        <v>0.28645943484466163</v>
      </c>
      <c r="J51" s="31"/>
      <c r="N51" s="77"/>
    </row>
    <row r="52" spans="7:18">
      <c r="G52" s="77" t="s">
        <v>504</v>
      </c>
      <c r="H52" s="31"/>
      <c r="I52" s="31">
        <f>1/V37</f>
        <v>6.0034559141628863E-2</v>
      </c>
      <c r="J52" s="31"/>
      <c r="N52" s="77"/>
      <c r="O52" t="s">
        <v>805</v>
      </c>
      <c r="R52">
        <v>1.96</v>
      </c>
    </row>
    <row r="53" spans="7:18">
      <c r="G53" s="80" t="s">
        <v>506</v>
      </c>
      <c r="H53" s="31"/>
      <c r="I53" s="31">
        <f>$R$52*SQRT(I52)</f>
        <v>0.48023823504431778</v>
      </c>
      <c r="J53" s="31"/>
      <c r="K53" s="31" t="s">
        <v>507</v>
      </c>
      <c r="L53" s="31"/>
      <c r="M53" s="78">
        <f>ABS(I51/(SQRT(I52)))</f>
        <v>1.1691290932795544</v>
      </c>
      <c r="N53" s="77"/>
    </row>
    <row r="54" spans="7:18">
      <c r="G54" s="81" t="s">
        <v>509</v>
      </c>
      <c r="H54" s="82"/>
      <c r="I54" s="82">
        <v>-3</v>
      </c>
      <c r="J54" s="82"/>
      <c r="K54" s="31" t="s">
        <v>825</v>
      </c>
      <c r="L54" s="31"/>
      <c r="M54" s="78">
        <f>2*(1-NORMDIST(M53,0,1,1))</f>
        <v>0.24235162387248232</v>
      </c>
      <c r="N54" s="77"/>
    </row>
    <row r="55" spans="7:18">
      <c r="G55" s="74"/>
      <c r="H55" s="74"/>
      <c r="I55" s="74"/>
      <c r="J55" s="74"/>
      <c r="K55" s="74"/>
      <c r="L55" s="74"/>
      <c r="M55" s="74"/>
      <c r="N55" s="31"/>
      <c r="O55" s="7"/>
    </row>
  </sheetData>
  <phoneticPr fontId="10" type="noConversion"/>
  <conditionalFormatting sqref="D17 D13 F13">
    <cfRule type="cellIs" dxfId="98" priority="0" stopIfTrue="1" operator="lessThan">
      <formula>0.05</formula>
    </cfRule>
  </conditionalFormatting>
  <conditionalFormatting sqref="D21">
    <cfRule type="cellIs" dxfId="9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1.xml><?xml version="1.0" encoding="utf-8"?>
<worksheet xmlns="http://schemas.openxmlformats.org/spreadsheetml/2006/main" xmlns:r="http://schemas.openxmlformats.org/officeDocument/2006/relationships">
  <sheetPr published="0" codeName="Sheet155" enableFormatConditionsCalculation="0"/>
  <dimension ref="A1:BC58"/>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17"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2347</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I48-O41</f>
        <v>5</v>
      </c>
      <c r="AD7" s="89"/>
    </row>
    <row r="8" spans="2:30">
      <c r="B8" t="s">
        <v>822</v>
      </c>
      <c r="D8">
        <f>SUM(H24:H28)</f>
        <v>100</v>
      </c>
      <c r="E8" t="s">
        <v>298</v>
      </c>
      <c r="F8">
        <f>Summary!C78</f>
        <v>0.8</v>
      </c>
      <c r="AD8" s="89"/>
    </row>
    <row r="9" spans="2:30">
      <c r="B9" t="s">
        <v>823</v>
      </c>
      <c r="D9">
        <f>SUM(I24:I28)</f>
        <v>124</v>
      </c>
      <c r="AD9" s="89"/>
    </row>
    <row r="11" spans="2:30">
      <c r="B11" s="27" t="s">
        <v>516</v>
      </c>
      <c r="C11" s="28"/>
      <c r="D11" s="109">
        <f>P43</f>
        <v>12.443068064664612</v>
      </c>
      <c r="E11" s="110" t="s">
        <v>1513</v>
      </c>
      <c r="F11" s="103"/>
    </row>
    <row r="12" spans="2:30">
      <c r="B12" s="30" t="s">
        <v>826</v>
      </c>
      <c r="C12" s="31"/>
      <c r="D12" s="112">
        <f>P45</f>
        <v>67.853587401333442</v>
      </c>
      <c r="E12" s="31"/>
      <c r="F12" s="105"/>
    </row>
    <row r="13" spans="2:30">
      <c r="B13" s="35" t="s">
        <v>825</v>
      </c>
      <c r="C13" s="36"/>
      <c r="D13" s="113">
        <f>P44</f>
        <v>1.4343381939265073E-2</v>
      </c>
      <c r="E13" s="111" t="s">
        <v>825</v>
      </c>
      <c r="F13" s="115">
        <f>Q52</f>
        <v>0.79331205836168117</v>
      </c>
    </row>
    <row r="15" spans="2:30">
      <c r="B15" s="39" t="s">
        <v>879</v>
      </c>
      <c r="C15" s="40"/>
      <c r="D15" s="41">
        <f>AH45</f>
        <v>0.30029151936545451</v>
      </c>
      <c r="E15" s="116"/>
    </row>
    <row r="16" spans="2:30">
      <c r="B16" s="43" t="s">
        <v>1165</v>
      </c>
      <c r="C16" s="31"/>
      <c r="D16" s="33">
        <f>AH45-AH47</f>
        <v>2.1420907025965386E-2</v>
      </c>
      <c r="E16" s="117">
        <f>AH45+AH46</f>
        <v>0.57916213170494357</v>
      </c>
    </row>
    <row r="17" spans="1:43">
      <c r="B17" s="45" t="s">
        <v>1166</v>
      </c>
      <c r="C17" s="46"/>
      <c r="D17" s="123">
        <f>M46</f>
        <v>3.481069850021834E-2</v>
      </c>
      <c r="E17" s="118"/>
    </row>
    <row r="18" spans="1:43">
      <c r="D18" s="48"/>
      <c r="F18" s="49"/>
    </row>
    <row r="19" spans="1:43">
      <c r="B19" s="50" t="s">
        <v>1167</v>
      </c>
      <c r="C19" s="51"/>
      <c r="D19" s="52">
        <f>AH49</f>
        <v>0.26752529713656942</v>
      </c>
      <c r="E19" s="120"/>
      <c r="F19" s="33"/>
      <c r="G19" s="31"/>
    </row>
    <row r="20" spans="1:43">
      <c r="B20" s="53" t="s">
        <v>1165</v>
      </c>
      <c r="C20" s="31"/>
      <c r="D20" s="33">
        <f>AH49-AH51</f>
        <v>-0.26041788113765402</v>
      </c>
      <c r="E20" s="121">
        <f>AH49+AH50</f>
        <v>0.7954684754107928</v>
      </c>
      <c r="F20" s="31"/>
      <c r="G20" s="31"/>
    </row>
    <row r="21" spans="1:43">
      <c r="B21" s="54" t="s">
        <v>1440</v>
      </c>
      <c r="C21" s="55"/>
      <c r="D21" s="114">
        <f>M57</f>
        <v>0.32061580440390092</v>
      </c>
      <c r="E21" s="56"/>
      <c r="F21" s="119"/>
      <c r="G21" s="31"/>
      <c r="L21" s="4" t="s">
        <v>1511</v>
      </c>
      <c r="N21" s="4"/>
      <c r="O21" s="4"/>
      <c r="Q21" s="4" t="str">
        <f>IF(D6=1,F6,CONCATENATE(F6," with ",F5))</f>
        <v>Cohens Effect size with H Correction</v>
      </c>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46.5" customHeight="1">
      <c r="B23" s="57" t="s">
        <v>1162</v>
      </c>
      <c r="C23" s="57" t="s">
        <v>618</v>
      </c>
      <c r="D23" s="57" t="s">
        <v>953</v>
      </c>
      <c r="E23" s="57" t="s">
        <v>617</v>
      </c>
      <c r="F23" s="57" t="s">
        <v>740</v>
      </c>
      <c r="G23" s="57" t="s">
        <v>1033</v>
      </c>
      <c r="H23" s="58" t="s">
        <v>2342</v>
      </c>
      <c r="I23" s="58" t="s">
        <v>2344</v>
      </c>
      <c r="J23" s="58" t="s">
        <v>1036</v>
      </c>
      <c r="K23" s="58" t="s">
        <v>1037</v>
      </c>
      <c r="L23" s="58" t="s">
        <v>2342</v>
      </c>
      <c r="M23" s="58" t="s">
        <v>2343</v>
      </c>
      <c r="N23" s="58" t="s">
        <v>2344</v>
      </c>
      <c r="O23" s="58" t="s">
        <v>2345</v>
      </c>
      <c r="P23" s="58" t="s">
        <v>2342</v>
      </c>
      <c r="Q23" s="58" t="s">
        <v>2343</v>
      </c>
      <c r="R23" s="58" t="s">
        <v>2344</v>
      </c>
      <c r="S23" s="58" t="s">
        <v>2345</v>
      </c>
      <c r="T23" s="58" t="s">
        <v>2342</v>
      </c>
      <c r="U23" s="58" t="s">
        <v>2343</v>
      </c>
      <c r="V23" s="58" t="s">
        <v>2344</v>
      </c>
      <c r="W23" s="58" t="s">
        <v>2345</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B24">
        <v>12552118</v>
      </c>
      <c r="C24" s="1" t="str">
        <f>IF($B24="","",HYPERLINK(IF(LEN(VLOOKUP($B24,Database!$B$1:$IX$10144,2,FALSE))=0,"",VLOOKUP($B24,Database!$B$1:$IX$10144,2,FALSE))))</f>
        <v/>
      </c>
      <c r="D24" s="1" t="str">
        <f>IF($B24="","",HYPERLINK(CONCATENATE("http://www.ncbi.nlm.nih.gov/pubmed/",B24)))</f>
        <v>http://www.ncbi.nlm.nih.gov/pubmed/12552118</v>
      </c>
      <c r="E24" s="22" t="str">
        <f>IF($B24="","",IF(LEN(VLOOKUP($B24,Database!$B$1:$IX$10144,4,FALSE))=0,"",VLOOKUP($B24,Database!$B$1:$IX$10144,4,FALSE)))</f>
        <v>MacQueen GM</v>
      </c>
      <c r="F24" s="22">
        <f>IF($B24="","",IF(LEN(VLOOKUP($B24,Database!$B$1:$IX$10144,5,FALSE))=0,"",VLOOKUP($B24,Database!$B$1:$IX$10144,5,FALSE)))</f>
        <v>2003</v>
      </c>
      <c r="G24" s="1" t="str">
        <f>IF($B24="","",HYPERLINK(IF(LEN(VLOOKUP($B24,Database!$B$1:$IX$10144,6,FALSE))=0,"",VLOOKUP($B24,Database!$B$1:$IX$10144,6,FALSE))))</f>
        <v>http://www.pnas.org/content/100/3/1387.full.pdf</v>
      </c>
      <c r="H24" s="83">
        <v>20</v>
      </c>
      <c r="I24" s="83">
        <v>17</v>
      </c>
      <c r="J24" t="s">
        <v>2346</v>
      </c>
      <c r="L24">
        <v>2738</v>
      </c>
      <c r="M24">
        <v>301.10000000000002</v>
      </c>
      <c r="N24">
        <v>2381</v>
      </c>
      <c r="O24">
        <v>273.5</v>
      </c>
      <c r="P24">
        <v>2793</v>
      </c>
      <c r="Q24">
        <v>303.8</v>
      </c>
      <c r="R24">
        <v>2392</v>
      </c>
      <c r="S24">
        <v>256.7</v>
      </c>
      <c r="T24">
        <f>L24+P24</f>
        <v>5531</v>
      </c>
      <c r="U24">
        <f>2*SQRT(0.25*(M24^2+Q24^2+2*$F$8*M24*Q24))</f>
        <v>573.85916216437636</v>
      </c>
      <c r="V24">
        <f>N24+R24</f>
        <v>4773</v>
      </c>
      <c r="W24">
        <f>2*SQRT(0.25*(O24^2+S24^2+2*$F$8*O24*S24))</f>
        <v>503.01993996262217</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28.4</v>
      </c>
      <c r="AC24" s="22">
        <f>IF(OR($B24="",AC$22=""),"",IF(LEN(VLOOKUP($B24,Database!$B$1:$IX$10144,AC$22,FALSE))=0,"",VLOOKUP($B24,Database!$B$1:$IX$10144,AC$22,FALSE)))</f>
        <v>11.8</v>
      </c>
      <c r="AD24" s="22">
        <f>IF(OR($B24="",AD$22=""),"",IF(LEN(VLOOKUP($B24,Database!$B$1:$IX$10144,AD$22,FALSE))=0,"",VLOOKUP($B24,Database!$B$1:$IX$10144,AD$22,FALSE)))</f>
        <v>28.4</v>
      </c>
      <c r="AE24" s="22">
        <f>IF(OR($B24="",AE$22=""),"",IF(LEN(VLOOKUP($B24,Database!$B$1:$IX$10144,AE$22,FALSE))=0,"",VLOOKUP($B24,Database!$B$1:$IX$10144,AE$22,FALSE)))</f>
        <v>11.5</v>
      </c>
      <c r="AF24" s="22">
        <f>IF(OR($B24="",AF$22=""),"",IF(LEN(VLOOKUP($B24,Database!$B$1:$IX$10144,AF$22,FALSE))=0,"",VLOOKUP($B24,Database!$B$1:$IX$10144,AF$22,FALSE)))</f>
        <v>13</v>
      </c>
      <c r="AG24" s="22">
        <f>IF(OR($B24="",AG$22=""),"",IF(LEN(VLOOKUP($B24,Database!$B$1:$IX$10144,AG$22,FALSE))=0,"",VLOOKUP($B24,Database!$B$1:$IX$10144,AG$22,FALSE)))</f>
        <v>13</v>
      </c>
      <c r="AH24" s="22">
        <f>IF(OR($B24="",AH$22=""),"",IF(LEN(VLOOKUP($B24,Database!$B$1:$IX$10144,AH$22,FALSE))=0,"",VLOOKUP($B24,Database!$B$1:$IX$10144,AH$22,FALSE)))</f>
        <v>1.5</v>
      </c>
      <c r="AI24" s="22">
        <f>IF(OR($B24="",AI$22=""),"",IF(LEN(VLOOKUP($B24,Database!$B$1:$IX$10144,AI$22,FALSE))=0,"",VLOOKUP($B24,Database!$B$1:$IX$10144,AI$22,FALSE)))</f>
        <v>1.2</v>
      </c>
      <c r="AJ24" s="22" t="str">
        <f>IF(OR($B24="",AJ$22=""),"",IF(LEN(VLOOKUP($B24,Database!$B$1:$IX$10144,AJ$22,FALSE))=0,"",VLOOKUP($B24,Database!$B$1:$IX$10144,AJ$22,FALSE)))</f>
        <v/>
      </c>
      <c r="AK24" s="22">
        <f>IF(OR($B24="",AK$22=""),"",IF(LEN(VLOOKUP($B24,Database!$B$1:$IX$10144,AK$22,FALSE))=0,"",VLOOKUP($B24,Database!$B$1:$IX$10144,AK$22,FALSE)))</f>
        <v>26.3</v>
      </c>
      <c r="AL24" s="22">
        <f>IF(OR($B24="",AL$22=""),"",IF(LEN(VLOOKUP($B24,Database!$B$1:$IX$10144,AL$22,FALSE))=0,"",VLOOKUP($B24,Database!$B$1:$IX$10144,AL$22,FALSE)))</f>
        <v>19.100000000000001</v>
      </c>
      <c r="AM24" s="22" t="str">
        <f>IF(OR($B24="",AM$22=""),"",IF(LEN(VLOOKUP($B24,Database!$B$1:$IX$10144,AM$22,FALSE))=0,"",VLOOKUP($B24,Database!$B$1:$IX$10144,AM$22,FALSE)))</f>
        <v>ns</v>
      </c>
      <c r="AN24" s="22">
        <f>IF(OR($B24="",AN$22=""),"",IF(LEN(VLOOKUP($B24,Database!$B$1:$IX$10144,AN$22,FALSE))=0,"",VLOOKUP($B24,Database!$B$1:$IX$10144,AN$22,FALSE)))</f>
        <v>0</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MacQueen GM, Campbell S, McEwen BS, Macdonald K, Amano S, Joffe RT, Nahmias C, Young LT.</v>
      </c>
    </row>
    <row r="25" spans="1:43">
      <c r="A25" s="13"/>
      <c r="B25">
        <v>15231442</v>
      </c>
      <c r="C25" s="1" t="str">
        <f>IF($B25="","",HYPERLINK(IF(LEN(VLOOKUP($B25,Database!$B$1:$IX$10144,2,FALSE))=0,"",VLOOKUP($B25,Database!$B$1:$IX$10144,2,FALSE))))</f>
        <v/>
      </c>
      <c r="D25" s="1" t="str">
        <f>IF($B25="","",HYPERLINK(CONCATENATE("http://www.ncbi.nlm.nih.gov/pubmed/",B25)))</f>
        <v>http://www.ncbi.nlm.nih.gov/pubmed/15231442</v>
      </c>
      <c r="E25" s="22" t="str">
        <f>IF($B25="","",IF(LEN(VLOOKUP($B25,Database!$B$1:$IX$10144,4,FALSE))=0,"",VLOOKUP($B25,Database!$B$1:$IX$10144,4,FALSE)))</f>
        <v>Vythilingam M</v>
      </c>
      <c r="F25" s="22">
        <f>IF($B25="","",IF(LEN(VLOOKUP($B25,Database!$B$1:$IX$10144,5,FALSE))=0,"",VLOOKUP($B25,Database!$B$1:$IX$10144,5,FALSE)))</f>
        <v>2004</v>
      </c>
      <c r="G25" s="1" t="str">
        <f>IF($B25="","",HYPERLINK(IF(LEN(VLOOKUP($B25,Database!$B$1:$IX$10144,6,FALSE))=0,"",VLOOKUP($B25,Database!$B$1:$IX$10144,6,FALSE))))</f>
        <v>http://dx.doi.org/10.1016/j.biopsych.2004.04.002</v>
      </c>
      <c r="H25" s="83">
        <v>7</v>
      </c>
      <c r="I25" s="83">
        <v>31</v>
      </c>
      <c r="J25" s="13" t="s">
        <v>2348</v>
      </c>
      <c r="K25" s="13"/>
      <c r="L25" s="13"/>
      <c r="M25" s="13"/>
      <c r="N25" s="13"/>
      <c r="O25" s="13"/>
      <c r="P25" s="13"/>
      <c r="Q25" s="13"/>
      <c r="R25" s="13"/>
      <c r="S25" s="13"/>
      <c r="T25">
        <v>3194</v>
      </c>
      <c r="U25">
        <v>412</v>
      </c>
      <c r="V25">
        <v>3224</v>
      </c>
      <c r="W25">
        <v>380</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41</v>
      </c>
      <c r="AC25" s="22">
        <f>IF(OR($B25="",AC$22=""),"",IF(LEN(VLOOKUP($B25,Database!$B$1:$IX$10144,AC$22,FALSE))=0,"",VLOOKUP($B25,Database!$B$1:$IX$10144,AC$22,FALSE)))</f>
        <v>11</v>
      </c>
      <c r="AD25" s="22">
        <f>IF(OR($B25="",AD$22=""),"",IF(LEN(VLOOKUP($B25,Database!$B$1:$IX$10144,AD$22,FALSE))=0,"",VLOOKUP($B25,Database!$B$1:$IX$10144,AD$22,FALSE)))</f>
        <v>34</v>
      </c>
      <c r="AE25" s="22">
        <f>IF(OR($B25="",AE$22=""),"",IF(LEN(VLOOKUP($B25,Database!$B$1:$IX$10144,AE$22,FALSE))=0,"",VLOOKUP($B25,Database!$B$1:$IX$10144,AE$22,FALSE)))</f>
        <v>10</v>
      </c>
      <c r="AF25" s="22">
        <f>IF(OR($B25="",AF$22=""),"",IF(LEN(VLOOKUP($B25,Database!$B$1:$IX$10144,AF$22,FALSE))=0,"",VLOOKUP($B25,Database!$B$1:$IX$10144,AF$22,FALSE)))</f>
        <v>23</v>
      </c>
      <c r="AG25" s="22">
        <f>IF(OR($B25="",AG$22=""),"",IF(LEN(VLOOKUP($B25,Database!$B$1:$IX$10144,AG$22,FALSE))=0,"",VLOOKUP($B25,Database!$B$1:$IX$10144,AG$22,FALSE)))</f>
        <v>21</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39.473684210526315</v>
      </c>
      <c r="AQ25" s="22" t="str">
        <f>IF(OR($B25="",AQ$22=""),"",IF(LEN(VLOOKUP($B25,Database!$B$1:$IX$10144,AQ$22,FALSE))=0,"",VLOOKUP($B25,Database!$B$1:$IX$10144,AQ$22,FALSE)))</f>
        <v>Vythilingam M, Vermetten E, Anderson GM, Luckenbaugh D, Anderson ER, Snow J, Staib LH, Charney DS, Bremner JD.</v>
      </c>
    </row>
    <row r="26" spans="1:43">
      <c r="B26">
        <v>19800203</v>
      </c>
      <c r="C26" s="1" t="str">
        <f>IF($B26="","",HYPERLINK(IF(LEN(VLOOKUP($B26,Database!$B$1:$IX$10144,2,FALSE))=0,"",VLOOKUP($B26,Database!$B$1:$IX$10144,2,FALSE))))</f>
        <v/>
      </c>
      <c r="D26" s="1" t="str">
        <f>IF($B26="","",HYPERLINK(CONCATENATE("http://www.ncbi.nlm.nih.gov/pubmed/",B26)))</f>
        <v>http://www.ncbi.nlm.nih.gov/pubmed/19800203</v>
      </c>
      <c r="E26" s="22" t="str">
        <f>IF($B26="","",IF(LEN(VLOOKUP($B26,Database!$B$1:$IX$10144,4,FALSE))=0,"",VLOOKUP($B26,Database!$B$1:$IX$10144,4,FALSE)))</f>
        <v>Kronmüller KT</v>
      </c>
      <c r="F26" s="22">
        <f>IF($B26="","",IF(LEN(VLOOKUP($B26,Database!$B$1:$IX$10144,5,FALSE))=0,"",VLOOKUP($B26,Database!$B$1:$IX$10144,5,FALSE)))</f>
        <v>2009</v>
      </c>
      <c r="G26" s="1" t="str">
        <f>IF($B26="","",HYPERLINK(IF(LEN(VLOOKUP($B26,Database!$B$1:$IX$10144,6,FALSE))=0,"",VLOOKUP($B26,Database!$B$1:$IX$10144,6,FALSE))))</f>
        <v>http://dx.doi.org/10.1016/j.pscychresns.2008.08.001</v>
      </c>
      <c r="H26" s="83">
        <v>13</v>
      </c>
      <c r="I26" s="83">
        <v>11</v>
      </c>
      <c r="J26" s="163" t="s">
        <v>2346</v>
      </c>
      <c r="K26" s="163" t="s">
        <v>1458</v>
      </c>
      <c r="L26">
        <v>2.81</v>
      </c>
      <c r="M26">
        <v>0.36</v>
      </c>
      <c r="N26">
        <v>3.1</v>
      </c>
      <c r="O26">
        <v>0.39</v>
      </c>
      <c r="P26">
        <v>3</v>
      </c>
      <c r="Q26">
        <v>0.56999999999999995</v>
      </c>
      <c r="R26">
        <v>2.97</v>
      </c>
      <c r="S26">
        <v>0.47</v>
      </c>
      <c r="T26">
        <v>5.81</v>
      </c>
      <c r="U26">
        <v>0.9</v>
      </c>
      <c r="V26">
        <v>6.07</v>
      </c>
      <c r="W26">
        <v>0.85</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43.54</v>
      </c>
      <c r="AC26" s="22">
        <f>IF(OR($B26="",AC$22=""),"",IF(LEN(VLOOKUP($B26,Database!$B$1:$IX$10144,AC$22,FALSE))=0,"",VLOOKUP($B26,Database!$B$1:$IX$10144,AC$22,FALSE)))</f>
        <v>12.82</v>
      </c>
      <c r="AD26" s="22" t="str">
        <f>IF(OR($B26="",AD$22=""),"",IF(LEN(VLOOKUP($B26,Database!$B$1:$IX$10144,AD$22,FALSE))=0,"",VLOOKUP($B26,Database!$B$1:$IX$10144,AD$22,FALSE)))</f>
        <v/>
      </c>
      <c r="AE26" s="22" t="str">
        <f>IF(OR($B26="",AE$22=""),"",IF(LEN(VLOOKUP($B26,Database!$B$1:$IX$10144,AE$22,FALSE))=0,"",VLOOKUP($B26,Database!$B$1:$IX$10144,AE$22,FALSE)))</f>
        <v/>
      </c>
      <c r="AF26" s="22">
        <f>IF(OR($B26="",AF$22=""),"",IF(LEN(VLOOKUP($B26,Database!$B$1:$IX$10144,AF$22,FALSE))=0,"",VLOOKUP($B26,Database!$B$1:$IX$10144,AF$22,FALSE)))</f>
        <v>33</v>
      </c>
      <c r="AG26" s="22">
        <f>IF(OR($B26="",AG$22=""),"",IF(LEN(VLOOKUP($B26,Database!$B$1:$IX$10144,AG$22,FALSE))=0,"",VLOOKUP($B26,Database!$B$1:$IX$10144,AG$22,FALSE)))</f>
        <v>19</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38.54</v>
      </c>
      <c r="AL26" s="22">
        <f>IF(OR($B26="",AL$22=""),"",IF(LEN(VLOOKUP($B26,Database!$B$1:$IX$10144,AL$22,FALSE))=0,"",VLOOKUP($B26,Database!$B$1:$IX$10144,AL$22,FALSE)))</f>
        <v>22.74</v>
      </c>
      <c r="AM26" s="22">
        <f>IF(OR($B26="",AM$22=""),"",IF(LEN(VLOOKUP($B26,Database!$B$1:$IX$10144,AM$22,FALSE))=0,"",VLOOKUP($B26,Database!$B$1:$IX$10144,AM$22,FALSE)))</f>
        <v>100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0</v>
      </c>
      <c r="AQ26" s="22" t="str">
        <f>IF(OR($B26="",AQ$22=""),"",IF(LEN(VLOOKUP($B26,Database!$B$1:$IX$10144,AQ$22,FALSE))=0,"",VLOOKUP($B26,Database!$B$1:$IX$10144,AQ$22,FALSE)))</f>
        <v>Kronmüller KT, Schröder J, Köhler S, Götz B, Victor D, Unger J, Giesel F, Magnotta V, Mundt C, Essig M, Pantel J.</v>
      </c>
    </row>
    <row r="27" spans="1:43">
      <c r="B27">
        <v>19800203</v>
      </c>
      <c r="C27" s="1" t="str">
        <f>IF($B27="","",HYPERLINK(IF(LEN(VLOOKUP($B27,Database!$B$1:$IX$10144,2,FALSE))=0,"",VLOOKUP($B27,Database!$B$1:$IX$10144,2,FALSE))))</f>
        <v/>
      </c>
      <c r="D27" s="1" t="str">
        <f>IF($B27="","",HYPERLINK(CONCATENATE("http://www.ncbi.nlm.nih.gov/pubmed/",B27)))</f>
        <v>http://www.ncbi.nlm.nih.gov/pubmed/19800203</v>
      </c>
      <c r="E27" s="22" t="str">
        <f>IF($B27="","",IF(LEN(VLOOKUP($B27,Database!$B$1:$IX$10144,4,FALSE))=0,"",VLOOKUP($B27,Database!$B$1:$IX$10144,4,FALSE)))</f>
        <v>Kronmüller KT</v>
      </c>
      <c r="F27" s="22">
        <f>IF($B27="","",IF(LEN(VLOOKUP($B27,Database!$B$1:$IX$10144,5,FALSE))=0,"",VLOOKUP($B27,Database!$B$1:$IX$10144,5,FALSE)))</f>
        <v>2009</v>
      </c>
      <c r="G27" s="1" t="str">
        <f>IF($B27="","",HYPERLINK(IF(LEN(VLOOKUP($B27,Database!$B$1:$IX$10144,6,FALSE))=0,"",VLOOKUP($B27,Database!$B$1:$IX$10144,6,FALSE))))</f>
        <v>http://dx.doi.org/10.1016/j.pscychresns.2008.08.001</v>
      </c>
      <c r="H27" s="83">
        <v>13</v>
      </c>
      <c r="I27" s="83">
        <v>20</v>
      </c>
      <c r="J27" s="163" t="s">
        <v>2346</v>
      </c>
      <c r="K27" s="163" t="s">
        <v>1457</v>
      </c>
      <c r="L27">
        <v>2.71</v>
      </c>
      <c r="M27">
        <v>0.26</v>
      </c>
      <c r="N27">
        <v>2.75</v>
      </c>
      <c r="O27">
        <v>0.41</v>
      </c>
      <c r="P27">
        <v>2.82</v>
      </c>
      <c r="Q27">
        <v>0.36</v>
      </c>
      <c r="R27">
        <v>2.83</v>
      </c>
      <c r="S27">
        <v>0.35</v>
      </c>
      <c r="T27">
        <v>5.52</v>
      </c>
      <c r="U27">
        <v>0.56999999999999995</v>
      </c>
      <c r="V27">
        <v>5.59</v>
      </c>
      <c r="W27">
        <v>0.73</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43.54</v>
      </c>
      <c r="AC27" s="22">
        <f>IF(OR($B27="",AC$22=""),"",IF(LEN(VLOOKUP($B27,Database!$B$1:$IX$10144,AC$22,FALSE))=0,"",VLOOKUP($B27,Database!$B$1:$IX$10144,AC$22,FALSE)))</f>
        <v>12.82</v>
      </c>
      <c r="AD27" s="22" t="str">
        <f>IF(OR($B27="",AD$22=""),"",IF(LEN(VLOOKUP($B27,Database!$B$1:$IX$10144,AD$22,FALSE))=0,"",VLOOKUP($B27,Database!$B$1:$IX$10144,AD$22,FALSE)))</f>
        <v/>
      </c>
      <c r="AE27" s="22" t="str">
        <f>IF(OR($B27="",AE$22=""),"",IF(LEN(VLOOKUP($B27,Database!$B$1:$IX$10144,AE$22,FALSE))=0,"",VLOOKUP($B27,Database!$B$1:$IX$10144,AE$22,FALSE)))</f>
        <v/>
      </c>
      <c r="AF27" s="22">
        <f>IF(OR($B27="",AF$22=""),"",IF(LEN(VLOOKUP($B27,Database!$B$1:$IX$10144,AF$22,FALSE))=0,"",VLOOKUP($B27,Database!$B$1:$IX$10144,AF$22,FALSE)))</f>
        <v>33</v>
      </c>
      <c r="AG27" s="22">
        <f>IF(OR($B27="",AG$22=""),"",IF(LEN(VLOOKUP($B27,Database!$B$1:$IX$10144,AG$22,FALSE))=0,"",VLOOKUP($B27,Database!$B$1:$IX$10144,AG$22,FALSE)))</f>
        <v>19</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38.54</v>
      </c>
      <c r="AL27" s="22">
        <f>IF(OR($B27="",AL$22=""),"",IF(LEN(VLOOKUP($B27,Database!$B$1:$IX$10144,AL$22,FALSE))=0,"",VLOOKUP($B27,Database!$B$1:$IX$10144,AL$22,FALSE)))</f>
        <v>22.74</v>
      </c>
      <c r="AM27" s="22">
        <f>IF(OR($B27="",AM$22=""),"",IF(LEN(VLOOKUP($B27,Database!$B$1:$IX$10144,AM$22,FALSE))=0,"",VLOOKUP($B27,Database!$B$1:$IX$10144,AM$22,FALSE)))</f>
        <v>100</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0</v>
      </c>
      <c r="AQ27" s="22" t="str">
        <f>IF(OR($B27="",AQ$22=""),"",IF(LEN(VLOOKUP($B27,Database!$B$1:$IX$10144,AQ$22,FALSE))=0,"",VLOOKUP($B27,Database!$B$1:$IX$10144,AQ$22,FALSE)))</f>
        <v>Kronmüller KT, Schröder J, Köhler S, Götz B, Victor D, Unger J, Giesel F, Magnotta V, Mundt C, Essig M, Pantel J.</v>
      </c>
    </row>
    <row r="28" spans="1:43">
      <c r="B28" s="2">
        <v>19488671</v>
      </c>
      <c r="C28" s="1" t="str">
        <f>IF($B28="","",HYPERLINK(IF(LEN(VLOOKUP($B28,Database!$B$1:$IX$10144,2,FALSE))=0,"",VLOOKUP($B28,Database!$B$1:$IX$10144,2,FALSE))))</f>
        <v/>
      </c>
      <c r="D28" s="1" t="str">
        <f>IF($B28="","",HYPERLINK(CONCATENATE("http://www.ncbi.nlm.nih.gov/pubmed/",B28)))</f>
        <v>http://www.ncbi.nlm.nih.gov/pubmed/19488671</v>
      </c>
      <c r="E28" s="22" t="str">
        <f>IF($B28="","",IF(LEN(VLOOKUP($B28,Database!$B$1:$IX$10144,4,FALSE))=0,"",VLOOKUP($B28,Database!$B$1:$IX$10144,4,FALSE)))</f>
        <v>Meisenzahl EM</v>
      </c>
      <c r="F28" s="22">
        <f>IF($B28="","",IF(LEN(VLOOKUP($B28,Database!$B$1:$IX$10144,5,FALSE))=0,"",VLOOKUP($B28,Database!$B$1:$IX$10144,5,FALSE)))</f>
        <v>2009</v>
      </c>
      <c r="G28" s="1" t="str">
        <f>IF($B28="","",HYPERLINK(IF(LEN(VLOOKUP($B28,Database!$B$1:$IX$10144,6,FALSE))=0,"",VLOOKUP($B28,Database!$B$1:$IX$10144,6,FALSE))))</f>
        <v>http://dx.doi.org/10.1007/s00406-009-0023-3</v>
      </c>
      <c r="H28" s="83">
        <v>47</v>
      </c>
      <c r="I28" s="83">
        <v>45</v>
      </c>
      <c r="J28" s="163" t="s">
        <v>2346</v>
      </c>
      <c r="K28" s="163"/>
      <c r="L28">
        <v>3.73</v>
      </c>
      <c r="M28">
        <v>0.41</v>
      </c>
      <c r="N28">
        <v>3.6</v>
      </c>
      <c r="O28">
        <v>0.4</v>
      </c>
      <c r="P28">
        <v>3.84</v>
      </c>
      <c r="Q28">
        <v>0.44</v>
      </c>
      <c r="R28">
        <v>3.7</v>
      </c>
      <c r="S28">
        <v>0.39</v>
      </c>
      <c r="T28">
        <f>L28+P28</f>
        <v>7.57</v>
      </c>
      <c r="U28">
        <f>2*SQRT(0.25*(M28^2+Q28^2+2*$F$8*M28*Q28))</f>
        <v>0.80643660631199021</v>
      </c>
      <c r="V28">
        <f>N28+R28</f>
        <v>7.3000000000000007</v>
      </c>
      <c r="W28">
        <f>2*SQRT(0.25*(O28^2+S28^2+2*$F$8*O28*S28))</f>
        <v>0.74946647690206936</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44.6</v>
      </c>
      <c r="AC28" s="22">
        <f>IF(OR($B28="",AC$22=""),"",IF(LEN(VLOOKUP($B28,Database!$B$1:$IX$10144,AC$22,FALSE))=0,"",VLOOKUP($B28,Database!$B$1:$IX$10144,AC$22,FALSE)))</f>
        <v>12.3</v>
      </c>
      <c r="AD28" s="22">
        <f>IF(OR($B28="",AD$22=""),"",IF(LEN(VLOOKUP($B28,Database!$B$1:$IX$10144,AD$22,FALSE))=0,"",VLOOKUP($B28,Database!$B$1:$IX$10144,AD$22,FALSE)))</f>
        <v>33.299999999999997</v>
      </c>
      <c r="AE28" s="22">
        <f>IF(OR($B28="",AE$22=""),"",IF(LEN(VLOOKUP($B28,Database!$B$1:$IX$10144,AE$22,FALSE))=0,"",VLOOKUP($B28,Database!$B$1:$IX$10144,AE$22,FALSE)))</f>
        <v>12.2</v>
      </c>
      <c r="AF28" s="22">
        <f>IF(OR($B28="",AF$22=""),"",IF(LEN(VLOOKUP($B28,Database!$B$1:$IX$10144,AF$22,FALSE))=0,"",VLOOKUP($B28,Database!$B$1:$IX$10144,AF$22,FALSE)))</f>
        <v>47</v>
      </c>
      <c r="AG28" s="22">
        <f>IF(OR($B28="",AG$22=""),"",IF(LEN(VLOOKUP($B28,Database!$B$1:$IX$10144,AG$22,FALSE))=0,"",VLOOKUP($B28,Database!$B$1:$IX$10144,AG$22,FALSE)))</f>
        <v>60</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t="str">
        <f>IF(OR($B28="",AK$22=""),"",IF(LEN(VLOOKUP($B28,Database!$B$1:$IX$10144,AK$22,FALSE))=0,"",VLOOKUP($B28,Database!$B$1:$IX$10144,AK$22,FALSE)))</f>
        <v>ns</v>
      </c>
      <c r="AL28" s="22">
        <f>IF(OR($B28="",AL$22=""),"",IF(LEN(VLOOKUP($B28,Database!$B$1:$IX$10144,AL$22,FALSE))=0,"",VLOOKUP($B28,Database!$B$1:$IX$10144,AL$22,FALSE)))</f>
        <v>23.5</v>
      </c>
      <c r="AM28" s="22" t="str">
        <f>IF(OR($B28="",AM$22=""),"",IF(LEN(VLOOKUP($B28,Database!$B$1:$IX$10144,AM$22,FALSE))=0,"",VLOOKUP($B28,Database!$B$1:$IX$10144,AM$22,FALSE)))</f>
        <v>ns</v>
      </c>
      <c r="AN28" s="22">
        <f>IF(OR($B28="",AN$22=""),"",IF(LEN(VLOOKUP($B28,Database!$B$1:$IX$10144,AN$22,FALSE))=0,"",VLOOKUP($B28,Database!$B$1:$IX$10144,AN$22,FALSE)))</f>
        <v>14.130434782608695</v>
      </c>
      <c r="AO28" s="22" t="str">
        <f>IF(OR($B28="",AO$22=""),"",IF(LEN(VLOOKUP($B28,Database!$B$1:$IX$10144,AO$22,FALSE))=0,"",VLOOKUP($B28,Database!$B$1:$IX$10144,AO$22,FALSE)))</f>
        <v>ns</v>
      </c>
      <c r="AP28" s="22">
        <f>IF(OR($B28="",AP$22=""),"",IF(LEN(VLOOKUP($B28,Database!$B$1:$IX$10144,AP$22,FALSE))=0,"",VLOOKUP($B28,Database!$B$1:$IX$10144,AP$22,FALSE)))</f>
        <v>6.5217391304347823</v>
      </c>
      <c r="AQ28" s="22" t="str">
        <f>IF(OR($B28="",AQ$22=""),"",IF(LEN(VLOOKUP($B28,Database!$B$1:$IX$10144,AQ$22,FALSE))=0,"",VLOOKUP($B28,Database!$B$1:$IX$10144,AQ$22,FALSE)))</f>
        <v>Meisenzahl EM, Seifert D, Bottlender R, Teipel S, Zetzsche T, Jäger M, Koutsouleris N, Schmitt G, Scheuerecker J, Burgermeister B, Hampel H, Rupprecht T, Born C, Reiser M, Möller HJ, Frodl T.</v>
      </c>
    </row>
    <row r="29" spans="1:43">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43">
      <c r="A30" s="4" t="s">
        <v>2011</v>
      </c>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43">
      <c r="A31" s="10"/>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43">
      <c r="I32" s="22" t="str">
        <f>IF($B32="","",IF(LEN(VLOOKUP($B32,Database!$B$1:$IX$10144,8,FALSE))=0,"",VLOOKUP($B32,Database!$B$1:$IX$10144,8,FALSE)))</f>
        <v/>
      </c>
      <c r="AF32" t="s">
        <v>602</v>
      </c>
      <c r="AJ32" t="s">
        <v>329</v>
      </c>
      <c r="AN32" t="s">
        <v>330</v>
      </c>
    </row>
    <row r="33" spans="5:55"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5">
      <c r="E34" t="str">
        <f t="shared" ref="E34:F38" si="0">E24</f>
        <v>MacQueen GM</v>
      </c>
      <c r="F34">
        <f t="shared" si="0"/>
        <v>2003</v>
      </c>
      <c r="G34">
        <v>5</v>
      </c>
      <c r="H34">
        <f t="shared" ref="H34:I38" si="1">H24</f>
        <v>20</v>
      </c>
      <c r="I34">
        <f t="shared" si="1"/>
        <v>17</v>
      </c>
      <c r="J34">
        <f t="shared" ref="J34:M38" si="2">IF($D$4="Total",T24,IF($D$4="Left",L24,IF($D$4="Right",P24,"error")))</f>
        <v>5531</v>
      </c>
      <c r="K34">
        <f t="shared" si="2"/>
        <v>573.85916216437636</v>
      </c>
      <c r="L34">
        <f t="shared" si="2"/>
        <v>4773</v>
      </c>
      <c r="M34">
        <f t="shared" si="2"/>
        <v>503.01993996262217</v>
      </c>
      <c r="N34">
        <f>IF($D$3=1,SQRT((((I34-1)*(M34)^2)+((H34-1)*(K34)^2))/(H34+I34-2)),M34)</f>
        <v>542.62424204705678</v>
      </c>
      <c r="O34" s="59">
        <f>IF($D$6=1,LN(J34/L34),IF($D$5=1,(1-3/(4*(H34+I34)-9))*((J34-L34)/N34),(J34-L34)/N34))</f>
        <v>1.3667658580308482</v>
      </c>
      <c r="P34" s="63">
        <f>IF($D$6=1,(K34^2)/(H34*J34^2)+(M34^2)/(I34*L34^2),(IF($D$5=1,((H34+I34)/(H34*I34))+(O34*O34)/(2*(H34+I34-3.94)),((H34+I34)/(H34*I34))+((O34^2)/(2*(H34+I34-2))))))</f>
        <v>0.13707593277956265</v>
      </c>
      <c r="Q34" s="59">
        <f>$R$55*SQRT(P34)</f>
        <v>0.72566583450371136</v>
      </c>
      <c r="R34" s="59">
        <f>1/P34</f>
        <v>7.2952266654142743</v>
      </c>
      <c r="S34" s="59">
        <f>O34*R34</f>
        <v>9.9708667328844633</v>
      </c>
      <c r="T34" s="59">
        <f>R34*(O34^2)</f>
        <v>13.627840225482073</v>
      </c>
      <c r="U34" s="23">
        <f>R34^2</f>
        <v>53.220332099771475</v>
      </c>
      <c r="V34" s="59">
        <f>1/((1/R34)+$I$52)</f>
        <v>2.6591796366016944</v>
      </c>
      <c r="W34" s="59">
        <f>V34*O34</f>
        <v>3.634475937678074</v>
      </c>
      <c r="AF34" s="59">
        <f>IF($D$6=1,100*((EXP(O34))-1),O34)</f>
        <v>1.3667658580308482</v>
      </c>
      <c r="AG34" s="59">
        <f>IF($D$6=1,100*(EXP(O34+Q34)-EXP(O34)),Q34)</f>
        <v>0.72566583450371136</v>
      </c>
      <c r="AH34" s="59">
        <f>IF($D$6=1,100*(EXP(O34)-EXP(O34-Q34)),Q34)</f>
        <v>0.72566583450371136</v>
      </c>
      <c r="AJ34">
        <f>SQRT(P34)</f>
        <v>0.37023767066515889</v>
      </c>
      <c r="AK34">
        <f>1/AJ34</f>
        <v>2.7009677275773352</v>
      </c>
      <c r="AL34">
        <f>O34/AJ34</f>
        <v>3.6915904736958667</v>
      </c>
      <c r="AN34" t="str">
        <f t="shared" ref="AN34:AO36" si="3">E34</f>
        <v>MacQueen GM</v>
      </c>
      <c r="AO34">
        <f t="shared" si="3"/>
        <v>2003</v>
      </c>
      <c r="AP34" t="str">
        <f>CONCATENATE(AN34," ",AO34)</f>
        <v>MacQueen GM 2003</v>
      </c>
      <c r="AQ34">
        <f>INT(H34)</f>
        <v>20</v>
      </c>
      <c r="AR34">
        <f t="shared" ref="AR34:AS36" si="4">J34</f>
        <v>5531</v>
      </c>
      <c r="AS34">
        <f t="shared" si="4"/>
        <v>573.85916216437636</v>
      </c>
      <c r="AT34">
        <f>INT(I34)</f>
        <v>17</v>
      </c>
      <c r="AU34">
        <f t="shared" ref="AU34:AV36" si="5">L34</f>
        <v>4773</v>
      </c>
      <c r="AV34">
        <f t="shared" si="5"/>
        <v>503.01993996262217</v>
      </c>
      <c r="AW34" s="65">
        <f>O34</f>
        <v>1.3667658580308482</v>
      </c>
      <c r="AX34">
        <f>SQRT(P34)</f>
        <v>0.37023767066515889</v>
      </c>
      <c r="AY34" t="str">
        <f>$F$4</f>
        <v>Total</v>
      </c>
      <c r="BC34" s="23"/>
    </row>
    <row r="35" spans="5:55">
      <c r="E35" t="str">
        <f t="shared" si="0"/>
        <v>Vythilingam M</v>
      </c>
      <c r="F35">
        <f t="shared" si="0"/>
        <v>2004</v>
      </c>
      <c r="G35">
        <v>4</v>
      </c>
      <c r="H35">
        <f t="shared" si="1"/>
        <v>7</v>
      </c>
      <c r="I35">
        <f t="shared" si="1"/>
        <v>31</v>
      </c>
      <c r="J35">
        <f t="shared" si="2"/>
        <v>3194</v>
      </c>
      <c r="K35">
        <f t="shared" si="2"/>
        <v>412</v>
      </c>
      <c r="L35">
        <f t="shared" si="2"/>
        <v>3224</v>
      </c>
      <c r="M35">
        <f t="shared" si="2"/>
        <v>380</v>
      </c>
      <c r="N35">
        <f>IF($D$3=1,SQRT((((I35-1)*(M35)^2)+((H35-1)*(K35)^2))/(H35+I35-2)),M35)</f>
        <v>385.51783356934345</v>
      </c>
      <c r="O35" s="59">
        <f>IF($D$6=1,LN(J35/L35),IF($D$5=1,(1-3/(4*(H35+I35)-9))*((J35-L35)/N35),(J35-L35)/N35))</f>
        <v>-7.6184878657102245E-2</v>
      </c>
      <c r="P35" s="63">
        <f>IF($D$6=1,(K35^2)/(H35*J35^2)+(M35^2)/(I35*L35^2),(IF($D$5=1,((H35+I35)/(H35*I35))+(O35*O35)/(2*(H35+I35-3.94)),((H35+I35)/(H35*I35))+((O35^2)/(2*(H35+I35-2))))))</f>
        <v>0.175200411949549</v>
      </c>
      <c r="Q35" s="59">
        <f>$R$55*SQRT(P35)</f>
        <v>0.82039618633035305</v>
      </c>
      <c r="R35" s="59">
        <f>1/P35</f>
        <v>5.7077491363887987</v>
      </c>
      <c r="S35" s="59">
        <f>O35*R35</f>
        <v>-0.43484417536096076</v>
      </c>
      <c r="T35" s="59">
        <f>R35*(O35^2)</f>
        <v>3.3128550734622488E-2</v>
      </c>
      <c r="U35" s="23">
        <f>R35^2</f>
        <v>32.578400203947076</v>
      </c>
      <c r="V35" s="59">
        <f>1/((1/R35)+$I$52)</f>
        <v>2.4144074035577363</v>
      </c>
      <c r="W35" s="59">
        <f>V35*O35</f>
        <v>-0.18394133506885543</v>
      </c>
      <c r="AF35" s="59">
        <f>IF($D$6=1,100*((EXP(O35))-1),O35)</f>
        <v>-7.6184878657102245E-2</v>
      </c>
      <c r="AG35" s="59">
        <f>IF($D$6=1,100*(EXP(O35+Q35)-EXP(O35)),Q35)</f>
        <v>0.82039618633035305</v>
      </c>
      <c r="AH35" s="59">
        <f>IF($D$6=1,100*(EXP(O35)-EXP(O35-Q35)),Q35)</f>
        <v>0.82039618633035305</v>
      </c>
      <c r="AJ35">
        <f>SQRT(P35)</f>
        <v>0.41856948282160872</v>
      </c>
      <c r="AK35">
        <f>1/AJ35</f>
        <v>2.3890896040937433</v>
      </c>
      <c r="AL35">
        <f>O35/AJ35</f>
        <v>-0.18201250158882626</v>
      </c>
      <c r="AN35" t="str">
        <f t="shared" si="3"/>
        <v>Vythilingam M</v>
      </c>
      <c r="AO35">
        <f t="shared" si="3"/>
        <v>2004</v>
      </c>
      <c r="AP35" t="str">
        <f>CONCATENATE(AN35," ",AO35)</f>
        <v>Vythilingam M 2004</v>
      </c>
      <c r="AQ35">
        <f>INT(H35)</f>
        <v>7</v>
      </c>
      <c r="AR35">
        <f t="shared" si="4"/>
        <v>3194</v>
      </c>
      <c r="AS35">
        <f t="shared" si="4"/>
        <v>412</v>
      </c>
      <c r="AT35">
        <f>INT(I35)</f>
        <v>31</v>
      </c>
      <c r="AU35">
        <f t="shared" si="5"/>
        <v>3224</v>
      </c>
      <c r="AV35">
        <f t="shared" si="5"/>
        <v>380</v>
      </c>
      <c r="AW35" s="65">
        <f>O35</f>
        <v>-7.6184878657102245E-2</v>
      </c>
      <c r="AX35">
        <f>SQRT(P35)</f>
        <v>0.41856948282160872</v>
      </c>
      <c r="AY35" t="str">
        <f>F3</f>
        <v>Pooled SD</v>
      </c>
      <c r="BC35" s="23"/>
    </row>
    <row r="36" spans="5:55">
      <c r="E36" t="str">
        <f t="shared" si="0"/>
        <v>Kronmüller KT</v>
      </c>
      <c r="F36">
        <f t="shared" si="0"/>
        <v>2009</v>
      </c>
      <c r="G36">
        <v>3</v>
      </c>
      <c r="H36">
        <f t="shared" si="1"/>
        <v>13</v>
      </c>
      <c r="I36">
        <f t="shared" si="1"/>
        <v>11</v>
      </c>
      <c r="J36">
        <f t="shared" si="2"/>
        <v>5.81</v>
      </c>
      <c r="K36">
        <f t="shared" si="2"/>
        <v>0.9</v>
      </c>
      <c r="L36">
        <f t="shared" si="2"/>
        <v>6.07</v>
      </c>
      <c r="M36">
        <f t="shared" si="2"/>
        <v>0.85</v>
      </c>
      <c r="N36">
        <f>IF($D$3=1,SQRT((((I36-1)*(M36)^2)+((H36-1)*(K36)^2))/(H36+I36-2)),M36)</f>
        <v>0.87762592983985654</v>
      </c>
      <c r="O36" s="59">
        <f>IF($D$6=1,LN(J36/L36),IF($D$5=1,(1-3/(4*(H36+I36)-9))*((J36-L36)/N36),(J36-L36)/N36))</f>
        <v>-0.28603813335874034</v>
      </c>
      <c r="P36" s="63">
        <f>IF($D$6=1,(K36^2)/(H36*J36^2)+(M36^2)/(I36*L36^2),(IF($D$5=1,((H36+I36)/(H36*I36))+(O36*O36)/(2*(H36+I36-3.94)),((H36+I36)/(H36*I36))+((O36^2)/(2*(H36+I36-2))))))</f>
        <v>0.16987149519346775</v>
      </c>
      <c r="Q36" s="59">
        <f>$R$55*SQRT(P36)</f>
        <v>0.80782320834154409</v>
      </c>
      <c r="R36" s="59">
        <f>1/P36</f>
        <v>5.8868028379987676</v>
      </c>
      <c r="S36" s="59">
        <f>O36*R36</f>
        <v>-1.6838500952321025</v>
      </c>
      <c r="T36" s="59">
        <f>R36*(O36^2)</f>
        <v>0.48164533809612775</v>
      </c>
      <c r="U36" s="23">
        <f>R36^2</f>
        <v>34.654447653470342</v>
      </c>
      <c r="V36" s="59">
        <f>1/((1/R36)+$I$52)</f>
        <v>2.4458764810049449</v>
      </c>
      <c r="W36" s="59">
        <f>V36*O36</f>
        <v>-0.69961394305269897</v>
      </c>
      <c r="AF36" s="59">
        <f>IF($D$6=1,100*((EXP(O36))-1),O36)</f>
        <v>-0.28603813335874034</v>
      </c>
      <c r="AG36" s="59">
        <f>IF($D$6=1,100*(EXP(O36+Q36)-EXP(O36)),Q36)</f>
        <v>0.80782320834154409</v>
      </c>
      <c r="AH36" s="59">
        <f>IF($D$6=1,100*(EXP(O36)-EXP(O36-Q36)),Q36)</f>
        <v>0.80782320834154409</v>
      </c>
      <c r="AJ36">
        <f>SQRT(P36)</f>
        <v>0.41215469813344086</v>
      </c>
      <c r="AK36">
        <f>1/AJ36</f>
        <v>2.4262734466664648</v>
      </c>
      <c r="AL36">
        <f>O36/AJ36</f>
        <v>-0.69400672770235294</v>
      </c>
      <c r="AN36" t="str">
        <f t="shared" si="3"/>
        <v>Kronmüller KT</v>
      </c>
      <c r="AO36">
        <f t="shared" si="3"/>
        <v>2009</v>
      </c>
      <c r="AP36" t="str">
        <f>CONCATENATE(AN36," ",AO36)</f>
        <v>Kronmüller KT 2009</v>
      </c>
      <c r="AQ36">
        <f>INT(H36)</f>
        <v>13</v>
      </c>
      <c r="AR36">
        <f t="shared" si="4"/>
        <v>5.81</v>
      </c>
      <c r="AS36">
        <f t="shared" si="4"/>
        <v>0.9</v>
      </c>
      <c r="AT36">
        <f>INT(I36)</f>
        <v>11</v>
      </c>
      <c r="AU36">
        <f t="shared" si="5"/>
        <v>6.07</v>
      </c>
      <c r="AV36">
        <f t="shared" si="5"/>
        <v>0.85</v>
      </c>
      <c r="AW36" s="65">
        <f>O36</f>
        <v>-0.28603813335874034</v>
      </c>
      <c r="AX36">
        <f>SQRT(P36)</f>
        <v>0.41215469813344086</v>
      </c>
      <c r="BC36" s="23"/>
    </row>
    <row r="37" spans="5:55">
      <c r="E37" t="str">
        <f t="shared" si="0"/>
        <v>Kronmüller KT</v>
      </c>
      <c r="F37">
        <f t="shared" si="0"/>
        <v>2009</v>
      </c>
      <c r="G37">
        <v>2</v>
      </c>
      <c r="H37">
        <f t="shared" si="1"/>
        <v>13</v>
      </c>
      <c r="I37">
        <f t="shared" si="1"/>
        <v>20</v>
      </c>
      <c r="J37">
        <f t="shared" si="2"/>
        <v>5.52</v>
      </c>
      <c r="K37">
        <f t="shared" si="2"/>
        <v>0.56999999999999995</v>
      </c>
      <c r="L37">
        <f t="shared" si="2"/>
        <v>5.59</v>
      </c>
      <c r="M37">
        <f t="shared" si="2"/>
        <v>0.73</v>
      </c>
      <c r="N37">
        <f>IF($D$3=1,SQRT((((I37-1)*(M37)^2)+((H37-1)*(K37)^2))/(H37+I37-2)),M37)</f>
        <v>0.67259487878495017</v>
      </c>
      <c r="O37" s="59">
        <f>IF($D$6=1,LN(J37/L37),IF($D$5=1,(1-3/(4*(H37+I37)-9))*((J37-L37)/N37),(J37-L37)/N37))</f>
        <v>-0.10153613279096178</v>
      </c>
      <c r="P37" s="63">
        <f>IF($D$6=1,(K37^2)/(H37*J37^2)+(M37^2)/(I37*L37^2),(IF($D$5=1,((H37+I37)/(H37*I37))+(O37*O37)/(2*(H37+I37-3.94)),((H37+I37)/(H37*I37))+((O37^2)/(2*(H37+I37-2))))))</f>
        <v>0.12710046140797271</v>
      </c>
      <c r="Q37" s="59">
        <f>$R$55*SQRT(P37)</f>
        <v>0.69876257236980577</v>
      </c>
      <c r="R37" s="59">
        <f>1/P37</f>
        <v>7.8677920514399675</v>
      </c>
      <c r="S37" s="59">
        <f>O37*R37</f>
        <v>-0.79886517850668215</v>
      </c>
      <c r="T37" s="59">
        <f>R37*(O37^2)</f>
        <v>8.1113680846929867E-2</v>
      </c>
      <c r="U37" s="23">
        <f>R37^2</f>
        <v>61.902151764701934</v>
      </c>
      <c r="V37" s="59">
        <f>1/((1/R37)+$I$52)</f>
        <v>2.7316406956498103</v>
      </c>
      <c r="W37" s="59">
        <f>V37*O37</f>
        <v>-0.27736023241069435</v>
      </c>
      <c r="AF37" s="59">
        <f>IF($D$6=1,100*((EXP(O37))-1),O37)</f>
        <v>-0.10153613279096178</v>
      </c>
      <c r="AG37" s="59">
        <f>IF($D$6=1,100*(EXP(O37+Q37)-EXP(O37)),Q37)</f>
        <v>0.69876257236980577</v>
      </c>
      <c r="AH37" s="59">
        <f>IF($D$6=1,100*(EXP(O37)-EXP(O37-Q37)),Q37)</f>
        <v>0.69876257236980577</v>
      </c>
      <c r="AJ37">
        <f>SQRT(P37)</f>
        <v>0.35651151651520702</v>
      </c>
      <c r="AK37">
        <f>1/AJ37</f>
        <v>2.804958475885154</v>
      </c>
      <c r="AL37">
        <f>O37/AJ37</f>
        <v>-0.28480463628060876</v>
      </c>
      <c r="AN37" t="str">
        <f>E37</f>
        <v>Kronmüller KT</v>
      </c>
      <c r="AO37">
        <f>F37</f>
        <v>2009</v>
      </c>
      <c r="AP37" t="str">
        <f>CONCATENATE(AN37," ",AO37)</f>
        <v>Kronmüller KT 2009</v>
      </c>
      <c r="AQ37">
        <f>INT(H37)</f>
        <v>13</v>
      </c>
      <c r="AR37">
        <f>J37</f>
        <v>5.52</v>
      </c>
      <c r="AS37">
        <f>K37</f>
        <v>0.56999999999999995</v>
      </c>
      <c r="AT37">
        <f>INT(I37)</f>
        <v>20</v>
      </c>
      <c r="AU37">
        <f>L37</f>
        <v>5.59</v>
      </c>
      <c r="AV37">
        <f>M37</f>
        <v>0.73</v>
      </c>
      <c r="AW37" s="65">
        <f>O37</f>
        <v>-0.10153613279096178</v>
      </c>
      <c r="AX37">
        <f>SQRT(P37)</f>
        <v>0.35651151651520702</v>
      </c>
      <c r="BC37" s="23"/>
    </row>
    <row r="38" spans="5:55">
      <c r="E38" t="str">
        <f t="shared" si="0"/>
        <v>Meisenzahl EM</v>
      </c>
      <c r="F38">
        <f t="shared" si="0"/>
        <v>2009</v>
      </c>
      <c r="G38">
        <v>1</v>
      </c>
      <c r="H38">
        <f t="shared" si="1"/>
        <v>47</v>
      </c>
      <c r="I38">
        <f t="shared" si="1"/>
        <v>45</v>
      </c>
      <c r="J38">
        <f t="shared" si="2"/>
        <v>7.57</v>
      </c>
      <c r="K38">
        <f t="shared" si="2"/>
        <v>0.80643660631199021</v>
      </c>
      <c r="L38">
        <f t="shared" si="2"/>
        <v>7.3000000000000007</v>
      </c>
      <c r="M38">
        <f t="shared" si="2"/>
        <v>0.74946647690206936</v>
      </c>
      <c r="N38">
        <f>IF($D$3=1,SQRT((((I38-1)*(M38)^2)+((H38-1)*(K38)^2))/(H38+I38-2)),M38)</f>
        <v>0.7791051847400895</v>
      </c>
      <c r="O38" s="59">
        <f>IF($D$6=1,LN(J38/L38),IF($D$5=1,(1-3/(4*(H38+I38)-9))*((J38-L38)/N38),(J38-L38)/N38))</f>
        <v>0.34365543681993138</v>
      </c>
      <c r="P38" s="63">
        <f>IF($D$6=1,(K38^2)/(H38*J38^2)+(M38^2)/(I38*L38^2),(IF($D$5=1,((H38+I38)/(H38*I38))+(O38*O38)/(2*(H38+I38-3.94)),((H38+I38)/(H38*I38))+((O38^2)/(2*(H38+I38-2))))))</f>
        <v>4.4169378148914758E-2</v>
      </c>
      <c r="Q38" s="59">
        <f>$R$55*SQRT(P38)</f>
        <v>0.41192363745829264</v>
      </c>
      <c r="R38" s="59">
        <f>1/P38</f>
        <v>22.640119510592882</v>
      </c>
      <c r="S38" s="59">
        <f>O38*R38</f>
        <v>7.7804001600682478</v>
      </c>
      <c r="T38" s="59">
        <f>R38*(O38^2)</f>
        <v>2.673776815642118</v>
      </c>
      <c r="U38" s="23">
        <f>R38^2</f>
        <v>512.57501145392848</v>
      </c>
      <c r="V38" s="59">
        <f>1/((1/R38)+$I$52)</f>
        <v>3.5317060438034455</v>
      </c>
      <c r="W38" s="59">
        <f>V38*O38</f>
        <v>1.2136899832028647</v>
      </c>
      <c r="AF38" s="59">
        <f>IF($D$6=1,100*((EXP(O38))-1),O38)</f>
        <v>0.34365543681993138</v>
      </c>
      <c r="AG38" s="59">
        <f>IF($D$6=1,100*(EXP(O38+Q38)-EXP(O38)),Q38)</f>
        <v>0.41192363745829264</v>
      </c>
      <c r="AH38" s="59">
        <f>IF($D$6=1,100*(EXP(O38)-EXP(O38-Q38)),Q38)</f>
        <v>0.41192363745829264</v>
      </c>
      <c r="AJ38">
        <f>SQRT(P38)</f>
        <v>0.21016512115219013</v>
      </c>
      <c r="AK38">
        <f>1/AJ38</f>
        <v>4.7581634598438169</v>
      </c>
      <c r="AL38">
        <f>O38/AJ38</f>
        <v>1.635168742253263</v>
      </c>
      <c r="AN38" t="str">
        <f>E38</f>
        <v>Meisenzahl EM</v>
      </c>
      <c r="AO38">
        <f>F38</f>
        <v>2009</v>
      </c>
      <c r="AP38" t="str">
        <f>CONCATENATE(AN38," ",AO38)</f>
        <v>Meisenzahl EM 2009</v>
      </c>
      <c r="AQ38">
        <f>INT(H38)</f>
        <v>47</v>
      </c>
      <c r="AR38">
        <f>J38</f>
        <v>7.57</v>
      </c>
      <c r="AS38">
        <f>K38</f>
        <v>0.80643660631199021</v>
      </c>
      <c r="AT38">
        <f>INT(I38)</f>
        <v>45</v>
      </c>
      <c r="AU38">
        <f>L38</f>
        <v>7.3000000000000007</v>
      </c>
      <c r="AV38">
        <f>M38</f>
        <v>0.74946647690206936</v>
      </c>
      <c r="AW38" s="65">
        <f>O38</f>
        <v>0.34365543681993138</v>
      </c>
      <c r="AX38">
        <f>SQRT(P38)</f>
        <v>0.21016512115219013</v>
      </c>
      <c r="BC38" s="23"/>
    </row>
    <row r="39" spans="5:55">
      <c r="U39" s="23"/>
    </row>
    <row r="40" spans="5:55">
      <c r="L40" t="s">
        <v>500</v>
      </c>
      <c r="N40" s="7"/>
      <c r="O40" s="66">
        <f>COUNT(O34:O38)</f>
        <v>5</v>
      </c>
      <c r="Q40" t="s">
        <v>885</v>
      </c>
      <c r="R40" s="59">
        <f t="shared" ref="R40:W40" si="6">SUM(R34:R38)</f>
        <v>49.397690201834692</v>
      </c>
      <c r="S40" s="59">
        <f t="shared" si="6"/>
        <v>14.833707443852965</v>
      </c>
      <c r="T40" s="59">
        <f t="shared" si="6"/>
        <v>16.897504610801871</v>
      </c>
      <c r="U40" s="23">
        <f t="shared" si="6"/>
        <v>694.9303431758193</v>
      </c>
      <c r="V40" s="59">
        <f t="shared" si="6"/>
        <v>13.782810260617632</v>
      </c>
      <c r="W40" s="59">
        <f t="shared" si="6"/>
        <v>3.6872504103486898</v>
      </c>
      <c r="AY40" t="s">
        <v>196</v>
      </c>
    </row>
    <row r="41" spans="5:55">
      <c r="L41" t="s">
        <v>501</v>
      </c>
      <c r="N41" s="7"/>
      <c r="O41" s="2">
        <v>0</v>
      </c>
    </row>
    <row r="42" spans="5:55">
      <c r="N42" s="7"/>
      <c r="O42" s="7"/>
    </row>
    <row r="43" spans="5:55">
      <c r="G43" s="67" t="s">
        <v>502</v>
      </c>
      <c r="H43" s="40"/>
      <c r="I43" s="40">
        <f>S40/R40</f>
        <v>0.30029151936545451</v>
      </c>
      <c r="J43" s="40"/>
      <c r="K43" s="68" t="s">
        <v>879</v>
      </c>
      <c r="L43" s="40"/>
      <c r="M43" s="42"/>
      <c r="N43" s="7"/>
      <c r="O43" s="69" t="s">
        <v>503</v>
      </c>
      <c r="P43" s="70">
        <f>T40-((S40^2)/R40)</f>
        <v>12.443068064664612</v>
      </c>
      <c r="Q43" s="71" t="s">
        <v>824</v>
      </c>
      <c r="R43" s="28"/>
      <c r="S43" s="29"/>
      <c r="T43" s="30"/>
      <c r="U43" s="31"/>
      <c r="AF43" s="2" t="s">
        <v>1518</v>
      </c>
    </row>
    <row r="44" spans="5:55">
      <c r="G44" s="43" t="s">
        <v>504</v>
      </c>
      <c r="H44" s="31"/>
      <c r="I44" s="31">
        <f>1/R40</f>
        <v>2.0243861522959605E-2</v>
      </c>
      <c r="J44" s="31"/>
      <c r="K44" s="31"/>
      <c r="L44" s="31"/>
      <c r="M44" s="44"/>
      <c r="N44" s="7"/>
      <c r="O44" s="30" t="s">
        <v>505</v>
      </c>
      <c r="P44" s="31">
        <f>CHIDIST(P43,I48-1)</f>
        <v>1.4343381939265073E-2</v>
      </c>
      <c r="Q44" s="31"/>
      <c r="R44" s="31"/>
      <c r="S44" s="34"/>
      <c r="T44" s="30"/>
      <c r="U44" s="31"/>
      <c r="AF44" s="2"/>
    </row>
    <row r="45" spans="5:55">
      <c r="G45" s="72" t="s">
        <v>506</v>
      </c>
      <c r="H45" s="31"/>
      <c r="I45" s="31">
        <f>$R$55*SQRT(I44)</f>
        <v>0.27887061233948912</v>
      </c>
      <c r="J45" s="31"/>
      <c r="K45" s="31" t="s">
        <v>507</v>
      </c>
      <c r="L45" s="31"/>
      <c r="M45" s="44">
        <f>ABS(I43/SQRT(I44))</f>
        <v>2.1105536112918948</v>
      </c>
      <c r="N45" s="7"/>
      <c r="O45" s="35" t="s">
        <v>508</v>
      </c>
      <c r="P45" s="37">
        <f>IF(((P43-(I48-1))/P43)&lt;0,0,100*((P43-(I48-1))/P43))</f>
        <v>67.853587401333442</v>
      </c>
      <c r="Q45" s="36"/>
      <c r="R45" s="36"/>
      <c r="S45" s="38"/>
      <c r="T45" s="30"/>
      <c r="U45" s="31"/>
      <c r="AF45" s="2" t="s">
        <v>1535</v>
      </c>
      <c r="AH45">
        <f>IF($D$6=1,100*((EXP(I43))-1),I43)</f>
        <v>0.30029151936545451</v>
      </c>
    </row>
    <row r="46" spans="5:55">
      <c r="G46" s="45" t="s">
        <v>509</v>
      </c>
      <c r="H46" s="46"/>
      <c r="I46" s="46">
        <v>-2</v>
      </c>
      <c r="J46" s="46"/>
      <c r="K46" s="46" t="s">
        <v>825</v>
      </c>
      <c r="L46" s="46"/>
      <c r="M46" s="47">
        <f>2*(1-NORMDIST(M45,0,1,1))</f>
        <v>3.481069850021834E-2</v>
      </c>
      <c r="N46" s="7"/>
      <c r="O46" s="7"/>
      <c r="AF46" s="79" t="s">
        <v>834</v>
      </c>
      <c r="AH46">
        <f>IF($D$6=1,100*(EXP(I43+I45)-EXP(I43)),I45)</f>
        <v>0.27887061233948912</v>
      </c>
    </row>
    <row r="47" spans="5:55">
      <c r="G47" s="40"/>
      <c r="H47" s="40"/>
      <c r="I47" s="40"/>
      <c r="J47" s="40"/>
      <c r="K47" s="40"/>
      <c r="L47" s="40"/>
      <c r="M47" s="40"/>
      <c r="N47" s="7"/>
      <c r="O47" s="7"/>
      <c r="AF47" s="79" t="s">
        <v>835</v>
      </c>
      <c r="AH47">
        <f>IF($D$6=1,100*(EXP(I43)-EXP(I43-I45)),I45)</f>
        <v>0.27887061233948912</v>
      </c>
    </row>
    <row r="48" spans="5:55">
      <c r="G48" s="73" t="s">
        <v>1110</v>
      </c>
      <c r="H48" s="74"/>
      <c r="I48" s="74">
        <f>O40</f>
        <v>5</v>
      </c>
      <c r="J48" s="74"/>
      <c r="K48" s="75" t="s">
        <v>1167</v>
      </c>
      <c r="L48" s="74"/>
      <c r="M48" s="76"/>
      <c r="N48" s="77"/>
      <c r="O48" s="101" t="s">
        <v>1513</v>
      </c>
      <c r="P48" s="102"/>
      <c r="Q48" s="103"/>
      <c r="AF48" s="7"/>
    </row>
    <row r="49" spans="7:34">
      <c r="G49" s="77" t="s">
        <v>1531</v>
      </c>
      <c r="H49" s="31"/>
      <c r="I49" s="31">
        <f>R40/I48</f>
        <v>9.8795380403669384</v>
      </c>
      <c r="J49" s="31"/>
      <c r="K49" s="31"/>
      <c r="L49" s="31"/>
      <c r="M49" s="78"/>
      <c r="N49" s="77"/>
      <c r="O49" s="104" t="s">
        <v>1514</v>
      </c>
      <c r="P49" s="31"/>
      <c r="Q49" s="105">
        <f>INDEX(LINEST(AL34:AL38,AK34:AK38,TRUE,TRUE),1,2)</f>
        <v>-0.91315938560833143</v>
      </c>
      <c r="AF49" s="2" t="s">
        <v>1687</v>
      </c>
      <c r="AH49">
        <f>IF($D$6=1,100*((EXP(I54))-1),I54)</f>
        <v>0.26752529713656942</v>
      </c>
    </row>
    <row r="50" spans="7:34">
      <c r="G50" s="77" t="s">
        <v>1532</v>
      </c>
      <c r="H50" s="31"/>
      <c r="I50" s="31">
        <f>(1/(I48-1))*(U40-(I48*I49^2))</f>
        <v>51.725995930133081</v>
      </c>
      <c r="J50" s="31"/>
      <c r="K50" s="31"/>
      <c r="L50" s="31"/>
      <c r="M50" s="78"/>
      <c r="N50" s="77"/>
      <c r="O50" s="104" t="s">
        <v>1516</v>
      </c>
      <c r="P50" s="31"/>
      <c r="Q50" s="105">
        <f>INDEX(LINEST(AL34:AL38,AK34:AK38,TRUE,TRUE),2,2)</f>
        <v>3.1900153135256204</v>
      </c>
      <c r="AF50" s="79" t="s">
        <v>834</v>
      </c>
      <c r="AG50" s="7"/>
      <c r="AH50">
        <f>IF($D$6=1,100*(EXP(I54+I56)-EXP(I54)),I56)</f>
        <v>0.52794317827422343</v>
      </c>
    </row>
    <row r="51" spans="7:34">
      <c r="G51" s="77" t="s">
        <v>1669</v>
      </c>
      <c r="H51" s="31"/>
      <c r="I51" s="31">
        <f>(I48-1)*(I49-(I50/(I48*I49)))</f>
        <v>35.32961656648061</v>
      </c>
      <c r="J51" s="31"/>
      <c r="K51" s="31"/>
      <c r="L51" s="31"/>
      <c r="M51" s="78"/>
      <c r="N51" s="77"/>
      <c r="O51" s="104" t="s">
        <v>1349</v>
      </c>
      <c r="P51" s="31"/>
      <c r="Q51" s="105">
        <f>ABS(Q49/Q50)</f>
        <v>0.2862554865290296</v>
      </c>
      <c r="AF51" s="79" t="s">
        <v>835</v>
      </c>
      <c r="AH51">
        <f>IF($D$6=1,100*(EXP(I54)-EXP(I54-I56)),I56)</f>
        <v>0.52794317827422343</v>
      </c>
    </row>
    <row r="52" spans="7:34">
      <c r="G52" s="77" t="s">
        <v>1685</v>
      </c>
      <c r="H52" s="31"/>
      <c r="I52" s="31">
        <f>IF(P43&gt;(I48-1),(P43-(I48-1))/I51,0)</f>
        <v>0.23897989520427096</v>
      </c>
      <c r="J52" s="31"/>
      <c r="K52" s="31"/>
      <c r="L52" s="31"/>
      <c r="M52" s="78"/>
      <c r="N52" s="77"/>
      <c r="O52" s="106" t="s">
        <v>1515</v>
      </c>
      <c r="P52" s="107"/>
      <c r="Q52" s="108">
        <f>TDIST(Q51,I48-2,2)</f>
        <v>0.79331205836168117</v>
      </c>
    </row>
    <row r="53" spans="7:34">
      <c r="G53" s="77"/>
      <c r="H53" s="31"/>
      <c r="I53" s="31"/>
      <c r="J53" s="31"/>
      <c r="K53" s="31"/>
      <c r="L53" s="31"/>
      <c r="M53" s="78"/>
      <c r="N53" s="77"/>
    </row>
    <row r="54" spans="7:34">
      <c r="G54" s="77" t="s">
        <v>1686</v>
      </c>
      <c r="H54" s="31"/>
      <c r="I54" s="31">
        <f>W40/V40</f>
        <v>0.26752529713656942</v>
      </c>
      <c r="J54" s="31"/>
      <c r="N54" s="77"/>
    </row>
    <row r="55" spans="7:34">
      <c r="G55" s="77" t="s">
        <v>504</v>
      </c>
      <c r="H55" s="31"/>
      <c r="I55" s="31">
        <f>1/V40</f>
        <v>7.2554143972898916E-2</v>
      </c>
      <c r="J55" s="31"/>
      <c r="N55" s="77"/>
      <c r="O55" t="s">
        <v>805</v>
      </c>
      <c r="R55">
        <v>1.96</v>
      </c>
    </row>
    <row r="56" spans="7:34">
      <c r="G56" s="80" t="s">
        <v>506</v>
      </c>
      <c r="H56" s="31"/>
      <c r="I56" s="31">
        <f>$R$55*SQRT(I55)</f>
        <v>0.52794317827422343</v>
      </c>
      <c r="J56" s="31"/>
      <c r="K56" s="31" t="s">
        <v>507</v>
      </c>
      <c r="L56" s="31"/>
      <c r="M56" s="78">
        <f>ABS(I54/(SQRT(I55)))</f>
        <v>0.99319321465939869</v>
      </c>
      <c r="N56" s="77"/>
    </row>
    <row r="57" spans="7:34">
      <c r="G57" s="81" t="s">
        <v>509</v>
      </c>
      <c r="H57" s="82"/>
      <c r="I57" s="82">
        <v>-3</v>
      </c>
      <c r="J57" s="82"/>
      <c r="K57" s="31" t="s">
        <v>825</v>
      </c>
      <c r="L57" s="31"/>
      <c r="M57" s="78">
        <f>2*(1-NORMDIST(M56,0,1,1))</f>
        <v>0.32061580440390092</v>
      </c>
      <c r="N57" s="77"/>
    </row>
    <row r="58" spans="7:34">
      <c r="G58" s="74"/>
      <c r="H58" s="74"/>
      <c r="I58" s="74"/>
      <c r="J58" s="74"/>
      <c r="K58" s="74"/>
      <c r="L58" s="74"/>
      <c r="M58" s="74"/>
      <c r="N58" s="31"/>
      <c r="O58" s="7"/>
    </row>
  </sheetData>
  <phoneticPr fontId="10" type="noConversion"/>
  <conditionalFormatting sqref="D17 D13 F13">
    <cfRule type="cellIs" dxfId="96" priority="0" stopIfTrue="1" operator="lessThan">
      <formula>0.05</formula>
    </cfRule>
  </conditionalFormatting>
  <conditionalFormatting sqref="D21">
    <cfRule type="cellIs" dxfId="9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sheetPr published="0" codeName="Sheet168" enableFormatConditionsCalculation="0"/>
  <dimension ref="A1:BH68"/>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17"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73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c r="Z4" s="1"/>
    </row>
    <row r="5" spans="2:30">
      <c r="B5" t="s">
        <v>1108</v>
      </c>
      <c r="D5" s="25">
        <f>Summary!C76</f>
        <v>1</v>
      </c>
      <c r="E5" t="s">
        <v>1834</v>
      </c>
      <c r="F5" s="24" t="str">
        <f>IF(D5=1,"H Correction","No H correction")</f>
        <v>H Correction</v>
      </c>
      <c r="Z5" s="1"/>
    </row>
    <row r="6" spans="2:30">
      <c r="B6" t="s">
        <v>1109</v>
      </c>
      <c r="D6" s="25">
        <f>Summary!C77</f>
        <v>0</v>
      </c>
      <c r="E6" t="s">
        <v>1834</v>
      </c>
      <c r="F6" s="24" t="str">
        <f>IF(D6=1,"% Vol Difference","Cohens Effect size")</f>
        <v>Cohens Effect size</v>
      </c>
      <c r="Z6" s="1"/>
      <c r="AD6" s="89"/>
    </row>
    <row r="7" spans="2:30">
      <c r="B7" t="s">
        <v>1110</v>
      </c>
      <c r="D7">
        <f>I58-O51</f>
        <v>6</v>
      </c>
      <c r="AD7" s="89"/>
    </row>
    <row r="8" spans="2:30">
      <c r="B8" t="s">
        <v>822</v>
      </c>
      <c r="D8">
        <f>SUM(H24:H32)</f>
        <v>132</v>
      </c>
      <c r="E8" t="s">
        <v>298</v>
      </c>
      <c r="F8">
        <f>Summary!C78</f>
        <v>0.8</v>
      </c>
      <c r="AD8" s="89"/>
    </row>
    <row r="9" spans="2:30">
      <c r="B9" t="s">
        <v>823</v>
      </c>
      <c r="D9">
        <f>SUM(I24:I32)</f>
        <v>328</v>
      </c>
      <c r="AB9" s="59"/>
      <c r="AD9" s="89"/>
    </row>
    <row r="10" spans="2:30">
      <c r="AB10" s="59"/>
    </row>
    <row r="11" spans="2:30">
      <c r="B11" s="27" t="s">
        <v>516</v>
      </c>
      <c r="C11" s="28"/>
      <c r="D11" s="109">
        <f>P53</f>
        <v>3.4971953692343449</v>
      </c>
      <c r="E11" s="110" t="s">
        <v>1513</v>
      </c>
      <c r="F11" s="103"/>
    </row>
    <row r="12" spans="2:30">
      <c r="B12" s="30" t="s">
        <v>826</v>
      </c>
      <c r="C12" s="31"/>
      <c r="D12" s="112">
        <f>P55</f>
        <v>0</v>
      </c>
      <c r="E12" s="31"/>
      <c r="F12" s="105"/>
    </row>
    <row r="13" spans="2:30">
      <c r="B13" s="35" t="s">
        <v>825</v>
      </c>
      <c r="C13" s="36"/>
      <c r="D13" s="113">
        <f>P54</f>
        <v>0.74434280754679927</v>
      </c>
      <c r="E13" s="111" t="s">
        <v>825</v>
      </c>
      <c r="F13" s="115">
        <f>Q62</f>
        <v>0.80886416456340138</v>
      </c>
    </row>
    <row r="15" spans="2:30">
      <c r="B15" s="39" t="s">
        <v>879</v>
      </c>
      <c r="C15" s="40"/>
      <c r="D15" s="41">
        <f>AH55</f>
        <v>-0.22057316163758112</v>
      </c>
      <c r="E15" s="116"/>
    </row>
    <row r="16" spans="2:30">
      <c r="B16" s="43" t="s">
        <v>1165</v>
      </c>
      <c r="C16" s="31"/>
      <c r="D16" s="33">
        <f>AH55-AH57</f>
        <v>-0.43432584053174439</v>
      </c>
      <c r="E16" s="117">
        <f>AH55+AH56</f>
        <v>-6.8204827434178439E-3</v>
      </c>
    </row>
    <row r="17" spans="1:43">
      <c r="B17" s="45" t="s">
        <v>1166</v>
      </c>
      <c r="C17" s="46"/>
      <c r="D17" s="123">
        <f>M56</f>
        <v>4.3120569695658695E-2</v>
      </c>
      <c r="E17" s="118"/>
    </row>
    <row r="18" spans="1:43">
      <c r="D18" s="48"/>
      <c r="F18" s="49"/>
    </row>
    <row r="19" spans="1:43">
      <c r="B19" s="50" t="s">
        <v>1167</v>
      </c>
      <c r="C19" s="51"/>
      <c r="D19" s="52">
        <f>AH59</f>
        <v>-0.22057316163758112</v>
      </c>
      <c r="E19" s="120"/>
      <c r="F19" s="33"/>
      <c r="G19" s="31"/>
    </row>
    <row r="20" spans="1:43">
      <c r="B20" s="53" t="s">
        <v>1165</v>
      </c>
      <c r="C20" s="31"/>
      <c r="D20" s="33">
        <f>AH59-AH61</f>
        <v>-0.43432584053174439</v>
      </c>
      <c r="E20" s="121">
        <f>AH59+AH60</f>
        <v>-6.8204827434178439E-3</v>
      </c>
      <c r="F20" s="31"/>
      <c r="G20" s="31"/>
    </row>
    <row r="21" spans="1:43">
      <c r="B21" s="54" t="s">
        <v>1440</v>
      </c>
      <c r="C21" s="55"/>
      <c r="D21" s="114">
        <f>M67</f>
        <v>4.3120569695658695E-2</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A24" t="s">
        <v>2014</v>
      </c>
      <c r="B24">
        <v>15231442</v>
      </c>
      <c r="C24" s="1" t="str">
        <f>IF($B24="","",HYPERLINK(IF(LEN(VLOOKUP($B24,Database!$B$1:$IX$10144,2,FALSE))=0,"",VLOOKUP($B24,Database!$B$1:$IX$10144,2,FALSE))))</f>
        <v/>
      </c>
      <c r="D24" s="1" t="str">
        <f>IF($B24="","",HYPERLINK(CONCATENATE("http://www.ncbi.nlm.nih.gov/pubmed/",B24)))</f>
        <v>http://www.ncbi.nlm.nih.gov/pubmed/15231442</v>
      </c>
      <c r="E24" s="22" t="str">
        <f>IF($B24="","",IF(LEN(VLOOKUP($B24,Database!$B$1:$IX$10144,4,FALSE))=0,"",VLOOKUP($B24,Database!$B$1:$IX$10144,4,FALSE)))</f>
        <v>Vythilingam M</v>
      </c>
      <c r="F24" s="22">
        <f>IF($B24="","",IF(LEN(VLOOKUP($B24,Database!$B$1:$IX$10144,5,FALSE))=0,"",VLOOKUP($B24,Database!$B$1:$IX$10144,5,FALSE)))</f>
        <v>2004</v>
      </c>
      <c r="G24" s="1" t="str">
        <f>IF($B24="","",HYPERLINK(IF(LEN(VLOOKUP($B24,Database!$B$1:$IX$10144,6,FALSE))=0,"",VLOOKUP($B24,Database!$B$1:$IX$10144,6,FALSE))))</f>
        <v>http://dx.doi.org/10.1016/j.biopsych.2004.04.002</v>
      </c>
      <c r="H24" s="22">
        <v>7</v>
      </c>
      <c r="I24" s="22">
        <f>IF($B24="","",IF(LEN(VLOOKUP($B24,Database!$B$1:$IX$10144,8,FALSE))=0,"",VLOOKUP($B24,Database!$B$1:$IX$10144,8,FALSE)))</f>
        <v>33</v>
      </c>
      <c r="J24" t="s">
        <v>994</v>
      </c>
      <c r="K24" s="13" t="s">
        <v>110</v>
      </c>
      <c r="T24">
        <v>3194</v>
      </c>
      <c r="U24">
        <v>412</v>
      </c>
      <c r="V24">
        <v>3285</v>
      </c>
      <c r="W24">
        <v>389</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41</v>
      </c>
      <c r="AC24" s="22">
        <f>IF(OR($B24="",AC$22=""),"",IF(LEN(VLOOKUP($B24,Database!$B$1:$IX$10144,AC$22,FALSE))=0,"",VLOOKUP($B24,Database!$B$1:$IX$10144,AC$22,FALSE)))</f>
        <v>11</v>
      </c>
      <c r="AD24" s="22">
        <f>IF(OR($B24="",AD$22=""),"",IF(LEN(VLOOKUP($B24,Database!$B$1:$IX$10144,AD$22,FALSE))=0,"",VLOOKUP($B24,Database!$B$1:$IX$10144,AD$22,FALSE)))</f>
        <v>34</v>
      </c>
      <c r="AE24" s="22">
        <f>IF(OR($B24="",AE$22=""),"",IF(LEN(VLOOKUP($B24,Database!$B$1:$IX$10144,AE$22,FALSE))=0,"",VLOOKUP($B24,Database!$B$1:$IX$10144,AE$22,FALSE)))</f>
        <v>10</v>
      </c>
      <c r="AF24" s="22">
        <f>IF(OR($B24="",AF$22=""),"",IF(LEN(VLOOKUP($B24,Database!$B$1:$IX$10144,AF$22,FALSE))=0,"",VLOOKUP($B24,Database!$B$1:$IX$10144,AF$22,FALSE)))</f>
        <v>23</v>
      </c>
      <c r="AG24" s="22">
        <f>IF(OR($B24="",AG$22=""),"",IF(LEN(VLOOKUP($B24,Database!$B$1:$IX$10144,AG$22,FALSE))=0,"",VLOOKUP($B24,Database!$B$1:$IX$10144,AG$22,FALSE)))</f>
        <v>21</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0</v>
      </c>
      <c r="AN24" s="22" t="str">
        <f>IF(OR($B24="",AN$22=""),"",IF(LEN(VLOOKUP($B24,Database!$B$1:$IX$10144,AN$22,FALSE))=0,"",VLOOKUP($B24,Database!$B$1:$IX$10144,AN$22,FALSE)))</f>
        <v>ns</v>
      </c>
      <c r="AO24" s="22" t="str">
        <f>IF(OR($B24="",AO$22=""),"",IF(LEN(VLOOKUP($B24,Database!$B$1:$IX$10144,AO$22,FALSE))=0,"",VLOOKUP($B24,Database!$B$1:$IX$10144,AO$22,FALSE)))</f>
        <v>ns</v>
      </c>
      <c r="AP24" s="22">
        <f>IF(OR($B24="",AP$22=""),"",IF(LEN(VLOOKUP($B24,Database!$B$1:$IX$10144,AP$22,FALSE))=0,"",VLOOKUP($B24,Database!$B$1:$IX$10144,AP$22,FALSE)))</f>
        <v>39.473684210526315</v>
      </c>
      <c r="AQ24" s="22" t="str">
        <f>IF(OR($B24="",AQ$22=""),"",IF(LEN(VLOOKUP($B24,Database!$B$1:$IX$10144,AQ$22,FALSE))=0,"",VLOOKUP($B24,Database!$B$1:$IX$10144,AQ$22,FALSE)))</f>
        <v>Vythilingam M, Vermetten E, Anderson GM, Luckenbaugh D, Anderson ER, Snow J, Staib LH, Charney DS, Bremner JD.</v>
      </c>
    </row>
    <row r="25" spans="1:43">
      <c r="B25">
        <v>19800203</v>
      </c>
      <c r="C25" s="1" t="str">
        <f>IF($B25="","",HYPERLINK(IF(LEN(VLOOKUP($B25,Database!$B$1:$IX$10144,2,FALSE))=0,"",VLOOKUP($B25,Database!$B$1:$IX$10144,2,FALSE))))</f>
        <v/>
      </c>
      <c r="D25" s="1" t="str">
        <f>IF($B25="","",HYPERLINK(CONCATENATE("http://www.ncbi.nlm.nih.gov/pubmed/",B25)))</f>
        <v>http://www.ncbi.nlm.nih.gov/pubmed/19800203</v>
      </c>
      <c r="E25" s="22" t="str">
        <f>IF($B25="","",IF(LEN(VLOOKUP($B25,Database!$B$1:$IX$10144,4,FALSE))=0,"",VLOOKUP($B25,Database!$B$1:$IX$10144,4,FALSE)))</f>
        <v>Kronmüller KT</v>
      </c>
      <c r="F25" s="22">
        <f>IF($B25="","",IF(LEN(VLOOKUP($B25,Database!$B$1:$IX$10144,5,FALSE))=0,"",VLOOKUP($B25,Database!$B$1:$IX$10144,5,FALSE)))</f>
        <v>2009</v>
      </c>
      <c r="G25" s="1" t="str">
        <f>IF($B25="","",HYPERLINK(IF(LEN(VLOOKUP($B25,Database!$B$1:$IX$10144,6,FALSE))=0,"",VLOOKUP($B25,Database!$B$1:$IX$10144,6,FALSE))))</f>
        <v>http://dx.doi.org/10.1016/j.pscychresns.2008.08.001</v>
      </c>
      <c r="H25" s="83">
        <v>13</v>
      </c>
      <c r="I25" s="83">
        <v>11</v>
      </c>
      <c r="J25" t="s">
        <v>2383</v>
      </c>
      <c r="K25" t="s">
        <v>108</v>
      </c>
      <c r="L25">
        <v>2.81</v>
      </c>
      <c r="M25">
        <v>0.36</v>
      </c>
      <c r="N25">
        <v>3.19</v>
      </c>
      <c r="O25">
        <v>0.25</v>
      </c>
      <c r="P25">
        <v>3</v>
      </c>
      <c r="Q25">
        <v>0.56999999999999995</v>
      </c>
      <c r="R25">
        <v>3.3</v>
      </c>
      <c r="S25">
        <v>0.28999999999999998</v>
      </c>
      <c r="T25">
        <v>5.81</v>
      </c>
      <c r="U25">
        <v>0.9</v>
      </c>
      <c r="V25">
        <v>6.49</v>
      </c>
      <c r="W25">
        <v>0.49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83">
        <v>38.08</v>
      </c>
      <c r="AC25" s="83">
        <v>11.88</v>
      </c>
      <c r="AD25" s="83">
        <v>42</v>
      </c>
      <c r="AE25" s="83">
        <v>11.28</v>
      </c>
      <c r="AF25" s="83">
        <v>0</v>
      </c>
      <c r="AG25" s="22">
        <f>IF(OR($B25="",AG$22=""),"",IF(LEN(VLOOKUP($B25,Database!$B$1:$IX$10144,AG$22,FALSE))=0,"",VLOOKUP($B25,Database!$B$1:$IX$10144,AG$22,FALSE)))</f>
        <v>19</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83">
        <v>38.880000000000003</v>
      </c>
      <c r="AL25" s="83">
        <v>23</v>
      </c>
      <c r="AM25" s="22">
        <f>IF(OR($B25="",AM$22=""),"",IF(LEN(VLOOKUP($B25,Database!$B$1:$IX$10144,AM$22,FALSE))=0,"",VLOOKUP($B25,Database!$B$1:$IX$10144,AM$22,FALSE)))</f>
        <v>100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0</v>
      </c>
      <c r="AQ25" s="22" t="str">
        <f>IF(OR($B25="",AQ$22=""),"",IF(LEN(VLOOKUP($B25,Database!$B$1:$IX$10144,AQ$22,FALSE))=0,"",VLOOKUP($B25,Database!$B$1:$IX$10144,AQ$22,FALSE)))</f>
        <v>Kronmüller KT, Schröder J, Köhler S, Götz B, Victor D, Unger J, Giesel F, Magnotta V, Mundt C, Essig M, Pantel J.</v>
      </c>
    </row>
    <row r="26" spans="1:43">
      <c r="B26">
        <v>19800203</v>
      </c>
      <c r="C26" s="1" t="str">
        <f>IF($B26="","",HYPERLINK(IF(LEN(VLOOKUP($B26,Database!$B$1:$IX$10144,2,FALSE))=0,"",VLOOKUP($B26,Database!$B$1:$IX$10144,2,FALSE))))</f>
        <v/>
      </c>
      <c r="D26" s="1" t="str">
        <f>IF($B26="","",HYPERLINK(CONCATENATE("http://www.ncbi.nlm.nih.gov/pubmed/",B26)))</f>
        <v>http://www.ncbi.nlm.nih.gov/pubmed/19800203</v>
      </c>
      <c r="E26" s="22" t="str">
        <f>IF($B26="","",IF(LEN(VLOOKUP($B26,Database!$B$1:$IX$10144,4,FALSE))=0,"",VLOOKUP($B26,Database!$B$1:$IX$10144,4,FALSE)))</f>
        <v>Kronmüller KT</v>
      </c>
      <c r="F26" s="22">
        <f>IF($B26="","",IF(LEN(VLOOKUP($B26,Database!$B$1:$IX$10144,5,FALSE))=0,"",VLOOKUP($B26,Database!$B$1:$IX$10144,5,FALSE)))</f>
        <v>2009</v>
      </c>
      <c r="G26" s="1" t="str">
        <f>IF($B26="","",HYPERLINK(IF(LEN(VLOOKUP($B26,Database!$B$1:$IX$10144,6,FALSE))=0,"",VLOOKUP($B26,Database!$B$1:$IX$10144,6,FALSE))))</f>
        <v>http://dx.doi.org/10.1016/j.pscychresns.2008.08.001</v>
      </c>
      <c r="H26" s="83">
        <v>13</v>
      </c>
      <c r="I26" s="83">
        <v>19</v>
      </c>
      <c r="J26" t="s">
        <v>2383</v>
      </c>
      <c r="K26" t="s">
        <v>109</v>
      </c>
      <c r="L26">
        <v>2.71</v>
      </c>
      <c r="M26">
        <v>0.26</v>
      </c>
      <c r="N26">
        <v>2.72</v>
      </c>
      <c r="O26">
        <v>0.3</v>
      </c>
      <c r="P26">
        <v>2.82</v>
      </c>
      <c r="Q26">
        <v>0.36</v>
      </c>
      <c r="R26">
        <v>2.79</v>
      </c>
      <c r="S26">
        <v>0.41</v>
      </c>
      <c r="T26">
        <v>5.52</v>
      </c>
      <c r="U26">
        <v>0.56999999999999995</v>
      </c>
      <c r="V26">
        <v>5.51</v>
      </c>
      <c r="W26">
        <v>0.66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83">
        <v>41.46</v>
      </c>
      <c r="AC26" s="83">
        <v>16.64</v>
      </c>
      <c r="AD26" s="83">
        <v>42.68</v>
      </c>
      <c r="AE26" s="83">
        <v>13.98</v>
      </c>
      <c r="AF26" s="83">
        <v>100</v>
      </c>
      <c r="AG26" s="22">
        <f>IF(OR($B26="",AG$22=""),"",IF(LEN(VLOOKUP($B26,Database!$B$1:$IX$10144,AG$22,FALSE))=0,"",VLOOKUP($B26,Database!$B$1:$IX$10144,AG$22,FALSE)))</f>
        <v>19</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83">
        <v>38.880000000000003</v>
      </c>
      <c r="AL26" s="83">
        <v>25.62</v>
      </c>
      <c r="AM26" s="22">
        <f>IF(OR($B26="",AM$22=""),"",IF(LEN(VLOOKUP($B26,Database!$B$1:$IX$10144,AM$22,FALSE))=0,"",VLOOKUP($B26,Database!$B$1:$IX$10144,AM$22,FALSE)))</f>
        <v>100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0</v>
      </c>
      <c r="AQ26" s="22" t="str">
        <f>IF(OR($B26="",AQ$22=""),"",IF(LEN(VLOOKUP($B26,Database!$B$1:$IX$10144,AQ$22,FALSE))=0,"",VLOOKUP($B26,Database!$B$1:$IX$10144,AQ$22,FALSE)))</f>
        <v>Kronmüller KT, Schröder J, Köhler S, Götz B, Victor D, Unger J, Giesel F, Magnotta V, Mundt C, Essig M, Pantel J.</v>
      </c>
    </row>
    <row r="27" spans="1:43">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row>
    <row r="28" spans="1:43">
      <c r="A28" s="4" t="s">
        <v>397</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43">
      <c r="A29" s="10"/>
      <c r="B29">
        <v>12552118</v>
      </c>
      <c r="C29" s="1" t="str">
        <f>IF($B29="","",HYPERLINK(IF(LEN(VLOOKUP($B29,Database!$B$1:$IX$10144,2,FALSE))=0,"",VLOOKUP($B29,Database!$B$1:$IX$10144,2,FALSE))))</f>
        <v/>
      </c>
      <c r="D29" s="1" t="str">
        <f>IF($B29="","",HYPERLINK(CONCATENATE("http://www.ncbi.nlm.nih.gov/pubmed/",B29)))</f>
        <v>http://www.ncbi.nlm.nih.gov/pubmed/12552118</v>
      </c>
      <c r="E29" s="22" t="str">
        <f>IF($B29="","",IF(LEN(VLOOKUP($B29,Database!$B$1:$IX$10144,4,FALSE))=0,"",VLOOKUP($B29,Database!$B$1:$IX$10144,4,FALSE)))</f>
        <v>MacQueen GM</v>
      </c>
      <c r="F29" s="22">
        <f>IF($B29="","",IF(LEN(VLOOKUP($B29,Database!$B$1:$IX$10144,5,FALSE))=0,"",VLOOKUP($B29,Database!$B$1:$IX$10144,5,FALSE)))</f>
        <v>2003</v>
      </c>
      <c r="G29" s="1" t="str">
        <f>IF($B29="","",HYPERLINK(IF(LEN(VLOOKUP($B29,Database!$B$1:$IX$10144,6,FALSE))=0,"",VLOOKUP($B29,Database!$B$1:$IX$10144,6,FALSE))))</f>
        <v>http://www.pnas.org/content/100/3/1387.full.pdf</v>
      </c>
      <c r="H29" s="83">
        <v>20</v>
      </c>
      <c r="I29" s="83">
        <v>20</v>
      </c>
      <c r="J29" t="s">
        <v>1379</v>
      </c>
      <c r="K29" t="s">
        <v>1720</v>
      </c>
      <c r="L29">
        <v>2738</v>
      </c>
      <c r="M29">
        <v>301.10000000000002</v>
      </c>
      <c r="N29">
        <v>2761</v>
      </c>
      <c r="O29">
        <v>368.4</v>
      </c>
      <c r="P29">
        <v>2793</v>
      </c>
      <c r="Q29">
        <v>303.8</v>
      </c>
      <c r="R29">
        <v>2784</v>
      </c>
      <c r="S29">
        <v>342.2</v>
      </c>
      <c r="T29">
        <f>L29+P29</f>
        <v>5531</v>
      </c>
      <c r="U29">
        <f>2*SQRT(0.25*(M29^2+Q29^2+2*$F$8*M29*Q29))</f>
        <v>573.85916216437636</v>
      </c>
      <c r="V29">
        <f>N29+R29</f>
        <v>5545</v>
      </c>
      <c r="W29">
        <f>2*SQRT(0.25*(O29^2+S29^2+2*$F$8*O29*S29))</f>
        <v>674.1852623722948</v>
      </c>
      <c r="Y29" s="22" t="str">
        <f>IF(OR($B29="",Y$22=""),"",IF(LEN(VLOOKUP($B29,Database!$B$1:$IX$10144,Y$22,FALSE))=0,"",VLOOKUP($B29,Database!$B$1:$IX$10144,Y$22,FALSE)))</f>
        <v>DSM-IV</v>
      </c>
      <c r="Z29" s="22" t="str">
        <f>IF(OR($B29="",Z$22=""),"",IF(LEN(VLOOKUP($B29,Database!$B$1:$IX$10144,Z$22,FALSE))=0,"",VLOOKUP($B29,Database!$B$1:$IX$10144,Z$22,FALSE)))</f>
        <v>MRI</v>
      </c>
      <c r="AA29" s="83" t="s">
        <v>748</v>
      </c>
      <c r="AB29" s="83">
        <v>28.4</v>
      </c>
      <c r="AC29" s="83">
        <v>11.8</v>
      </c>
      <c r="AD29" s="83">
        <v>28.4</v>
      </c>
      <c r="AE29" s="83">
        <v>11.5</v>
      </c>
      <c r="AF29" s="83">
        <v>65</v>
      </c>
      <c r="AG29" s="22">
        <f>IF(OR($B29="",AG$22=""),"",IF(LEN(VLOOKUP($B29,Database!$B$1:$IX$10144,AG$22,FALSE))=0,"",VLOOKUP($B29,Database!$B$1:$IX$10144,AG$22,FALSE)))</f>
        <v>13</v>
      </c>
      <c r="AH29" s="22">
        <f>IF(OR($B29="",AH$22=""),"",IF(LEN(VLOOKUP($B29,Database!$B$1:$IX$10144,AH$22,FALSE))=0,"",VLOOKUP($B29,Database!$B$1:$IX$10144,AH$22,FALSE)))</f>
        <v>1.5</v>
      </c>
      <c r="AI29" s="22">
        <f>IF(OR($B29="",AI$22=""),"",IF(LEN(VLOOKUP($B29,Database!$B$1:$IX$10144,AI$22,FALSE))=0,"",VLOOKUP($B29,Database!$B$1:$IX$10144,AI$22,FALSE)))</f>
        <v>1.2</v>
      </c>
      <c r="AJ29" s="22" t="str">
        <f>IF(OR($B29="",AJ$22=""),"",IF(LEN(VLOOKUP($B29,Database!$B$1:$IX$10144,AJ$22,FALSE))=0,"",VLOOKUP($B29,Database!$B$1:$IX$10144,AJ$22,FALSE)))</f>
        <v/>
      </c>
      <c r="AK29" s="83">
        <v>26.3</v>
      </c>
      <c r="AL29" s="83">
        <v>19.100000000000001</v>
      </c>
      <c r="AM29" s="22" t="str">
        <f>IF(OR($B29="",AM$22=""),"",IF(LEN(VLOOKUP($B29,Database!$B$1:$IX$10144,AM$22,FALSE))=0,"",VLOOKUP($B29,Database!$B$1:$IX$10144,AM$22,FALSE)))</f>
        <v>ns</v>
      </c>
      <c r="AN29" s="22">
        <f>IF(OR($B29="",AN$22=""),"",IF(LEN(VLOOKUP($B29,Database!$B$1:$IX$10144,AN$22,FALSE))=0,"",VLOOKUP($B29,Database!$B$1:$IX$10144,AN$22,FALSE)))</f>
        <v>0</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MacQueen GM, Campbell S, McEwen BS, Macdonald K, Amano S, Joffe RT, Nahmias C, Young LT.</v>
      </c>
    </row>
    <row r="30" spans="1:43">
      <c r="B30">
        <v>16461856</v>
      </c>
      <c r="C30" s="1" t="str">
        <f>IF($B30="","",HYPERLINK(IF(LEN(VLOOKUP($B30,Database!$B$1:$IX$10144,2,FALSE))=0,"",VLOOKUP($B30,Database!$B$1:$IX$10144,2,FALSE))))</f>
        <v/>
      </c>
      <c r="D30" s="1" t="str">
        <f>IF($B30="","",HYPERLINK(CONCATENATE("http://www.ncbi.nlm.nih.gov/pubmed/",B30)))</f>
        <v>http://www.ncbi.nlm.nih.gov/pubmed/16461856</v>
      </c>
      <c r="E30" s="22" t="str">
        <f>IF($B30="","",IF(LEN(VLOOKUP($B30,Database!$B$1:$IX$10144,4,FALSE))=0,"",VLOOKUP($B30,Database!$B$1:$IX$10144,4,FALSE)))</f>
        <v>Velakoulis D</v>
      </c>
      <c r="F30" s="22">
        <f>IF($B30="","",IF(LEN(VLOOKUP($B30,Database!$B$1:$IX$10144,5,FALSE))=0,"",VLOOKUP($B30,Database!$B$1:$IX$10144,5,FALSE)))</f>
        <v>2006</v>
      </c>
      <c r="G30" s="1" t="str">
        <f>IF($B30="","",HYPERLINK(IF(LEN(VLOOKUP($B30,Database!$B$1:$IX$10144,6,FALSE))=0,"",VLOOKUP($B30,Database!$B$1:$IX$10144,6,FALSE))))</f>
        <v>http://archpsyc.ama-assn.org/cgi/content/full/63/2/139</v>
      </c>
      <c r="H30" s="22">
        <f>IF($B30="","",IF(LEN(VLOOKUP($B30,Database!$B$1:$IX$10144,7,FALSE))=0,"",VLOOKUP($B30,Database!$B$1:$IX$10144,7,FALSE)))</f>
        <v>12</v>
      </c>
      <c r="I30" s="22">
        <f>IF($B30="","",IF(LEN(VLOOKUP($B30,Database!$B$1:$IX$10144,8,FALSE))=0,"",VLOOKUP($B30,Database!$B$1:$IX$10144,8,FALSE)))</f>
        <v>87</v>
      </c>
      <c r="J30" t="s">
        <v>887</v>
      </c>
      <c r="L30">
        <v>2849</v>
      </c>
      <c r="M30">
        <v>442</v>
      </c>
      <c r="N30">
        <v>2870</v>
      </c>
      <c r="O30">
        <v>358</v>
      </c>
      <c r="P30">
        <v>3092</v>
      </c>
      <c r="Q30">
        <v>383</v>
      </c>
      <c r="R30">
        <v>3122</v>
      </c>
      <c r="S30">
        <v>388</v>
      </c>
      <c r="T30">
        <f>L30+P30</f>
        <v>5941</v>
      </c>
      <c r="U30">
        <f>2*SQRT(0.25*(M30^2+Q30^2+2*$F$8*M30*Q30))</f>
        <v>782.88607089409891</v>
      </c>
      <c r="V30">
        <f>N30+R30</f>
        <v>5992</v>
      </c>
      <c r="W30">
        <f>2*SQRT(0.25*(O30^2+S30^2+2*$F$8*O30*S30))</f>
        <v>707.78132216101892</v>
      </c>
      <c r="X30" s="151"/>
      <c r="Y30" s="22" t="str">
        <f>IF(OR($B30="",Y$22=""),"",IF(LEN(VLOOKUP($B30,Database!$B$1:$IX$10144,Y$22,FALSE))=0,"",VLOOKUP($B30,Database!$B$1:$IX$10144,Y$22,FALSE)))</f>
        <v>DSM-III-R</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22.6</v>
      </c>
      <c r="AC30" s="22">
        <f>IF(OR($B30="",AC$22=""),"",IF(LEN(VLOOKUP($B30,Database!$B$1:$IX$10144,AC$22,FALSE))=0,"",VLOOKUP($B30,Database!$B$1:$IX$10144,AC$22,FALSE)))</f>
        <v>4.0999999999999996</v>
      </c>
      <c r="AD30" s="22">
        <f>IF(OR($B30="",AD$22=""),"",IF(LEN(VLOOKUP($B30,Database!$B$1:$IX$10144,AD$22,FALSE))=0,"",VLOOKUP($B30,Database!$B$1:$IX$10144,AD$22,FALSE)))</f>
        <v>26.9</v>
      </c>
      <c r="AE30" s="22">
        <f>IF(OR($B30="",AE$22=""),"",IF(LEN(VLOOKUP($B30,Database!$B$1:$IX$10144,AE$22,FALSE))=0,"",VLOOKUP($B30,Database!$B$1:$IX$10144,AE$22,FALSE)))</f>
        <v>10</v>
      </c>
      <c r="AF30" s="22">
        <f>IF(OR($B30="",AF$22=""),"",IF(LEN(VLOOKUP($B30,Database!$B$1:$IX$10144,AF$22,FALSE))=0,"",VLOOKUP($B30,Database!$B$1:$IX$10144,AF$22,FALSE)))</f>
        <v>5</v>
      </c>
      <c r="AG30" s="22">
        <f>IF(OR($B30="",AG$22=""),"",IF(LEN(VLOOKUP($B30,Database!$B$1:$IX$10144,AG$22,FALSE))=0,"",VLOOKUP($B30,Database!$B$1:$IX$10144,AG$22,FALSE)))</f>
        <v>32</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21.5</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Velakoulis D, Wood SJ, Wong MT, McGorry PD, Yung A, Phillips L, Smith D, Brewer W, Proffitt T, Desmond P, Pantelis C.</v>
      </c>
    </row>
    <row r="31" spans="1:43">
      <c r="B31">
        <v>19028381</v>
      </c>
      <c r="C31" s="1" t="str">
        <f>IF($B31="","",HYPERLINK(IF(LEN(VLOOKUP($B31,Database!$B$1:$IX$10144,2,FALSE))=0,"",VLOOKUP($B31,Database!$B$1:$IX$10144,2,FALSE))))</f>
        <v/>
      </c>
      <c r="D31" s="1" t="str">
        <f>IF($B31="","",HYPERLINK(CONCATENATE("http://www.ncbi.nlm.nih.gov/pubmed/",B31)))</f>
        <v>http://www.ncbi.nlm.nih.gov/pubmed/19028381</v>
      </c>
      <c r="E31" s="22" t="str">
        <f>IF($B31="","",IF(LEN(VLOOKUP($B31,Database!$B$1:$IX$10144,4,FALSE))=0,"",VLOOKUP($B31,Database!$B$1:$IX$10144,4,FALSE)))</f>
        <v>van Eijndhoven P</v>
      </c>
      <c r="F31" s="22">
        <f>IF($B31="","",IF(LEN(VLOOKUP($B31,Database!$B$1:$IX$10144,5,FALSE))=0,"",VLOOKUP($B31,Database!$B$1:$IX$10144,5,FALSE)))</f>
        <v>2009</v>
      </c>
      <c r="G31" s="1" t="str">
        <f>IF($B31="","",HYPERLINK(IF(LEN(VLOOKUP($B31,Database!$B$1:$IX$10144,6,FALSE))=0,"",VLOOKUP($B31,Database!$B$1:$IX$10144,6,FALSE))))</f>
        <v>http://dx.doi.org/10.1016/j.biopsych.2008.10.027</v>
      </c>
      <c r="H31" s="83">
        <v>20</v>
      </c>
      <c r="I31" s="83">
        <v>20</v>
      </c>
      <c r="J31" t="s">
        <v>887</v>
      </c>
      <c r="K31" t="s">
        <v>864</v>
      </c>
      <c r="L31">
        <v>3620</v>
      </c>
      <c r="M31">
        <v>385</v>
      </c>
      <c r="N31">
        <v>3716</v>
      </c>
      <c r="O31">
        <v>364</v>
      </c>
      <c r="P31">
        <v>3752</v>
      </c>
      <c r="Q31">
        <v>442</v>
      </c>
      <c r="R31">
        <v>3881</v>
      </c>
      <c r="S31">
        <v>429</v>
      </c>
      <c r="T31">
        <f>L31+P31</f>
        <v>7372</v>
      </c>
      <c r="U31">
        <f>2*SQRT(0.25*(M31^2+Q31^2+2*$F$8*M31*Q31))</f>
        <v>784.76811861848716</v>
      </c>
      <c r="V31">
        <f>N31+R31</f>
        <v>7597</v>
      </c>
      <c r="W31">
        <f>2*SQRT(0.25*(O31^2+S31^2+2*$F$8*O31*S31))</f>
        <v>752.5866063118583</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83">
        <v>34.1</v>
      </c>
      <c r="AC31" s="83">
        <v>11.6</v>
      </c>
      <c r="AD31" s="22">
        <f>IF(OR($B31="",AD$22=""),"",IF(LEN(VLOOKUP($B31,Database!$B$1:$IX$10144,AD$22,FALSE))=0,"",VLOOKUP($B31,Database!$B$1:$IX$10144,AD$22,FALSE)))</f>
        <v>37.299999999999997</v>
      </c>
      <c r="AE31" s="22">
        <f>IF(OR($B31="",AE$22=""),"",IF(LEN(VLOOKUP($B31,Database!$B$1:$IX$10144,AE$22,FALSE))=0,"",VLOOKUP($B31,Database!$B$1:$IX$10144,AE$22,FALSE)))</f>
        <v>12.7</v>
      </c>
      <c r="AF31" s="22">
        <f>IF(OR($B31="",AF$22=""),"",IF(LEN(VLOOKUP($B31,Database!$B$1:$IX$10144,AF$22,FALSE))=0,"",VLOOKUP($B31,Database!$B$1:$IX$10144,AF$22,FALSE)))</f>
        <v>27</v>
      </c>
      <c r="AG31" s="22">
        <f>IF(OR($B31="",AG$22=""),"",IF(LEN(VLOOKUP($B31,Database!$B$1:$IX$10144,AG$22,FALSE))=0,"",VLOOKUP($B31,Database!$B$1:$IX$10144,AG$22,FALSE)))</f>
        <v>13</v>
      </c>
      <c r="AH31" s="22">
        <f>IF(OR($B31="",AH$22=""),"",IF(LEN(VLOOKUP($B31,Database!$B$1:$IX$10144,AH$22,FALSE))=0,"",VLOOKUP($B31,Database!$B$1:$IX$10144,AH$22,FALSE)))</f>
        <v>1.5</v>
      </c>
      <c r="AI31" s="22">
        <f>IF(OR($B31="",AI$22=""),"",IF(LEN(VLOOKUP($B31,Database!$B$1:$IX$10144,AI$22,FALSE))=0,"",VLOOKUP($B31,Database!$B$1:$IX$10144,AI$22,FALSE)))</f>
        <v>1</v>
      </c>
      <c r="AJ31" s="22" t="str">
        <f>IF(OR($B31="",AJ$22=""),"",IF(LEN(VLOOKUP($B31,Database!$B$1:$IX$10144,AJ$22,FALSE))=0,"",VLOOKUP($B31,Database!$B$1:$IX$10144,AJ$22,FALSE)))</f>
        <v/>
      </c>
      <c r="AK31" s="83">
        <v>34.1</v>
      </c>
      <c r="AL31" s="83">
        <v>21.08</v>
      </c>
      <c r="AM31" s="22">
        <f>IF(OR($B31="",AM$22=""),"",IF(LEN(VLOOKUP($B31,Database!$B$1:$IX$10144,AM$22,FALSE))=0,"",VLOOKUP($B31,Database!$B$1:$IX$10144,AM$22,FALSE)))</f>
        <v>0</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van Eijndhoven P, van Wingen G, van Oijen K, Rijpkema M, Goraj B, Jan Verkes R, Oude Voshaar R, Fernández G, Buitelaar J, Tendolkar I.</v>
      </c>
    </row>
    <row r="32" spans="1:43">
      <c r="B32" s="2">
        <v>19488671</v>
      </c>
      <c r="C32" s="1" t="str">
        <f>IF($B32="","",HYPERLINK(IF(LEN(VLOOKUP($B32,Database!$B$1:$IX$10144,2,FALSE))=0,"",VLOOKUP($B32,Database!$B$1:$IX$10144,2,FALSE))))</f>
        <v/>
      </c>
      <c r="D32" s="1" t="str">
        <f>IF($B32="","",HYPERLINK(CONCATENATE("http://www.ncbi.nlm.nih.gov/pubmed/",B32)))</f>
        <v>http://www.ncbi.nlm.nih.gov/pubmed/19488671</v>
      </c>
      <c r="E32" s="22" t="str">
        <f>IF($B32="","",IF(LEN(VLOOKUP($B32,Database!$B$1:$IX$10144,4,FALSE))=0,"",VLOOKUP($B32,Database!$B$1:$IX$10144,4,FALSE)))</f>
        <v>Meisenzahl EM</v>
      </c>
      <c r="F32" s="22">
        <f>IF($B32="","",IF(LEN(VLOOKUP($B32,Database!$B$1:$IX$10144,5,FALSE))=0,"",VLOOKUP($B32,Database!$B$1:$IX$10144,5,FALSE)))</f>
        <v>2009</v>
      </c>
      <c r="G32" s="1" t="str">
        <f>IF($B32="","",HYPERLINK(IF(LEN(VLOOKUP($B32,Database!$B$1:$IX$10144,6,FALSE))=0,"",VLOOKUP($B32,Database!$B$1:$IX$10144,6,FALSE))))</f>
        <v>http://dx.doi.org/10.1007/s00406-009-0023-3</v>
      </c>
      <c r="H32" s="22">
        <v>47</v>
      </c>
      <c r="I32" s="22">
        <f>IF($B32="","",IF(LEN(VLOOKUP($B32,Database!$B$1:$IX$10144,8,FALSE))=0,"",VLOOKUP($B32,Database!$B$1:$IX$10144,8,FALSE)))</f>
        <v>138</v>
      </c>
      <c r="J32" t="s">
        <v>2069</v>
      </c>
      <c r="L32">
        <v>3.73</v>
      </c>
      <c r="M32">
        <v>0.41</v>
      </c>
      <c r="N32">
        <v>3.83</v>
      </c>
      <c r="O32">
        <v>0.41</v>
      </c>
      <c r="P32">
        <v>3.84</v>
      </c>
      <c r="Q32">
        <v>0.44</v>
      </c>
      <c r="R32">
        <v>3.94</v>
      </c>
      <c r="S32">
        <v>0.41</v>
      </c>
      <c r="T32">
        <f>L32+P32</f>
        <v>7.57</v>
      </c>
      <c r="U32">
        <f>2*SQRT(0.25*(M32^2+Q32^2+2*$F$8*M32*Q32))</f>
        <v>0.80643660631199021</v>
      </c>
      <c r="V32">
        <f>N32+R32</f>
        <v>7.77</v>
      </c>
      <c r="W32">
        <f>2*SQRT(0.25*(O32^2+S32^2+2*$F$8*O32*S32))</f>
        <v>0.77792030440142124</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44.6</v>
      </c>
      <c r="AC32" s="22">
        <f>IF(OR($B32="",AC$22=""),"",IF(LEN(VLOOKUP($B32,Database!$B$1:$IX$10144,AC$22,FALSE))=0,"",VLOOKUP($B32,Database!$B$1:$IX$10144,AC$22,FALSE)))</f>
        <v>12.3</v>
      </c>
      <c r="AD32" s="22">
        <f>IF(OR($B32="",AD$22=""),"",IF(LEN(VLOOKUP($B32,Database!$B$1:$IX$10144,AD$22,FALSE))=0,"",VLOOKUP($B32,Database!$B$1:$IX$10144,AD$22,FALSE)))</f>
        <v>33.299999999999997</v>
      </c>
      <c r="AE32" s="22">
        <f>IF(OR($B32="",AE$22=""),"",IF(LEN(VLOOKUP($B32,Database!$B$1:$IX$10144,AE$22,FALSE))=0,"",VLOOKUP($B32,Database!$B$1:$IX$10144,AE$22,FALSE)))</f>
        <v>12.2</v>
      </c>
      <c r="AF32" s="22">
        <f>IF(OR($B32="",AF$22=""),"",IF(LEN(VLOOKUP($B32,Database!$B$1:$IX$10144,AF$22,FALSE))=0,"",VLOOKUP($B32,Database!$B$1:$IX$10144,AF$22,FALSE)))</f>
        <v>47</v>
      </c>
      <c r="AG32" s="22">
        <f>IF(OR($B32="",AG$22=""),"",IF(LEN(VLOOKUP($B32,Database!$B$1:$IX$10144,AG$22,FALSE))=0,"",VLOOKUP($B32,Database!$B$1:$IX$10144,AG$22,FALSE)))</f>
        <v>60</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23.5</v>
      </c>
      <c r="AM32" s="22" t="str">
        <f>IF(OR($B32="",AM$22=""),"",IF(LEN(VLOOKUP($B32,Database!$B$1:$IX$10144,AM$22,FALSE))=0,"",VLOOKUP($B32,Database!$B$1:$IX$10144,AM$22,FALSE)))</f>
        <v>ns</v>
      </c>
      <c r="AN32" s="22">
        <f>IF(OR($B32="",AN$22=""),"",IF(LEN(VLOOKUP($B32,Database!$B$1:$IX$10144,AN$22,FALSE))=0,"",VLOOKUP($B32,Database!$B$1:$IX$10144,AN$22,FALSE)))</f>
        <v>14.130434782608695</v>
      </c>
      <c r="AO32" s="22" t="str">
        <f>IF(OR($B32="",AO$22=""),"",IF(LEN(VLOOKUP($B32,Database!$B$1:$IX$10144,AO$22,FALSE))=0,"",VLOOKUP($B32,Database!$B$1:$IX$10144,AO$22,FALSE)))</f>
        <v>ns</v>
      </c>
      <c r="AP32" s="22">
        <f>IF(OR($B32="",AP$22=""),"",IF(LEN(VLOOKUP($B32,Database!$B$1:$IX$10144,AP$22,FALSE))=0,"",VLOOKUP($B32,Database!$B$1:$IX$10144,AP$22,FALSE)))</f>
        <v>6.5217391304347823</v>
      </c>
      <c r="AQ32" s="22" t="str">
        <f>IF(OR($B32="",AQ$22=""),"",IF(LEN(VLOOKUP($B32,Database!$B$1:$IX$10144,AQ$22,FALSE))=0,"",VLOOKUP($B32,Database!$B$1:$IX$10144,AQ$22,FALSE)))</f>
        <v>Meisenzahl EM, Seifert D, Bottlender R, Teipel S, Zetzsche T, Jäger M, Koutsouleris N, Schmitt G, Scheuerecker J, Burgermeister B, Hampel H, Rupprecht T, Born C, Reiser M, Möller HJ, Frodl T.</v>
      </c>
    </row>
    <row r="33" spans="1:60">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60">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60">
      <c r="A35" s="4" t="s">
        <v>351</v>
      </c>
      <c r="C35" s="1"/>
      <c r="D35" s="1"/>
      <c r="E35" s="22"/>
      <c r="F35" s="22"/>
      <c r="G35" s="1"/>
      <c r="H35" s="22"/>
      <c r="I35" s="22"/>
      <c r="Y35" s="22"/>
      <c r="Z35" s="22"/>
      <c r="AA35" s="22"/>
      <c r="AB35" s="22"/>
      <c r="AC35" s="22"/>
      <c r="AD35" s="22"/>
      <c r="AE35" s="22"/>
      <c r="AF35" s="22"/>
      <c r="AG35" s="22"/>
      <c r="AH35" s="22"/>
      <c r="AI35" s="22"/>
      <c r="AJ35" s="22"/>
      <c r="AK35" s="22"/>
      <c r="AL35" s="22"/>
      <c r="AM35" s="22"/>
      <c r="AN35" s="22"/>
      <c r="AO35" s="22"/>
      <c r="AP35" s="22"/>
      <c r="AQ35" s="22"/>
    </row>
    <row r="36" spans="1:60">
      <c r="A36" s="10" t="s">
        <v>2335</v>
      </c>
      <c r="B36">
        <v>12091188</v>
      </c>
      <c r="C36" s="1" t="str">
        <f>IF($B36="","",HYPERLINK(IF(LEN(VLOOKUP($B36,Database!$B$1:$IX$10144,2,FALSE))=0,"",VLOOKUP($B36,Database!$B$1:$IX$10144,2,FALSE))))</f>
        <v/>
      </c>
      <c r="D36" s="1" t="str">
        <f>IF($B36="","",HYPERLINK(CONCATENATE("http://www.ncbi.nlm.nih.gov/pubmed/",B36)))</f>
        <v>http://www.ncbi.nlm.nih.gov/pubmed/12091188</v>
      </c>
      <c r="E36" s="22" t="str">
        <f>IF($B36="","",IF(LEN(VLOOKUP($B36,Database!$B$1:$IX$10144,4,FALSE))=0,"",VLOOKUP($B36,Database!$B$1:$IX$10144,4,FALSE)))</f>
        <v>Frodl T (B)</v>
      </c>
      <c r="F36" s="22">
        <f>IF($B36="","",IF(LEN(VLOOKUP($B36,Database!$B$1:$IX$10144,5,FALSE))=0,"",VLOOKUP($B36,Database!$B$1:$IX$10144,5,FALSE)))</f>
        <v>2002</v>
      </c>
      <c r="G36" s="1" t="str">
        <f>IF($B36="","",HYPERLINK(IF(LEN(VLOOKUP($B36,Database!$B$1:$IX$10144,6,FALSE))=0,"",VLOOKUP($B36,Database!$B$1:$IX$10144,6,FALSE))))</f>
        <v>http://ajp.psychiatryonline.org/cgi/reprint/159/7/1112</v>
      </c>
      <c r="H36" s="22">
        <f>IF($B36="","",IF(LEN(VLOOKUP($B36,Database!$B$1:$IX$10144,7,FALSE))=0,"",VLOOKUP($B36,Database!$B$1:$IX$10144,7,FALSE)))</f>
        <v>30</v>
      </c>
      <c r="I36" s="22">
        <f>IF($B36="","",IF(LEN(VLOOKUP($B36,Database!$B$1:$IX$10144,8,FALSE))=0,"",VLOOKUP($B36,Database!$B$1:$IX$10144,8,FALSE)))</f>
        <v>30</v>
      </c>
      <c r="J36" t="s">
        <v>869</v>
      </c>
      <c r="L36">
        <v>3681</v>
      </c>
      <c r="M36">
        <v>393</v>
      </c>
      <c r="N36">
        <v>3772</v>
      </c>
      <c r="O36">
        <v>397</v>
      </c>
      <c r="P36">
        <v>3847</v>
      </c>
      <c r="Q36">
        <v>400</v>
      </c>
      <c r="R36">
        <v>3763</v>
      </c>
      <c r="S36">
        <v>411</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40.299999999999997</v>
      </c>
      <c r="AC36" s="22">
        <f>IF(OR($B36="",AC$22=""),"",IF(LEN(VLOOKUP($B36,Database!$B$1:$IX$10144,AC$22,FALSE))=0,"",VLOOKUP($B36,Database!$B$1:$IX$10144,AC$22,FALSE)))</f>
        <v>12.6</v>
      </c>
      <c r="AD36" s="22">
        <f>IF(OR($B36="",AD$22=""),"",IF(LEN(VLOOKUP($B36,Database!$B$1:$IX$10144,AD$22,FALSE))=0,"",VLOOKUP($B36,Database!$B$1:$IX$10144,AD$22,FALSE)))</f>
        <v>40.6</v>
      </c>
      <c r="AE36" s="22">
        <f>IF(OR($B36="",AE$22=""),"",IF(LEN(VLOOKUP($B36,Database!$B$1:$IX$10144,AE$22,FALSE))=0,"",VLOOKUP($B36,Database!$B$1:$IX$10144,AE$22,FALSE)))</f>
        <v>12.5</v>
      </c>
      <c r="AF36" s="22">
        <f>IF(OR($B36="",AF$22=""),"",IF(LEN(VLOOKUP($B36,Database!$B$1:$IX$10144,AF$22,FALSE))=0,"",VLOOKUP($B36,Database!$B$1:$IX$10144,AF$22,FALSE)))</f>
        <v>17</v>
      </c>
      <c r="AG36" s="22">
        <f>IF(OR($B36="",AG$22=""),"",IF(LEN(VLOOKUP($B36,Database!$B$1:$IX$10144,AG$22,FALSE))=0,"",VLOOKUP($B36,Database!$B$1:$IX$10144,AG$22,FALSE)))</f>
        <v>17</v>
      </c>
      <c r="AH36" s="22"/>
      <c r="AI36" s="22"/>
      <c r="AJ36" s="22" t="str">
        <f>IF(OR($B36="",AJ$22=""),"",IF(LEN(VLOOKUP($B36,Database!$B$1:$IX$10144,AJ$22,FALSE))=0,"",VLOOKUP($B36,Database!$B$1:$IX$10144,AJ$22,FALSE)))</f>
        <v/>
      </c>
      <c r="AK36" s="22">
        <f>IF(OR($B36="",AK$22=""),"",IF(LEN(VLOOKUP($B36,Database!$B$1:$IX$10144,AK$22,FALSE))=0,"",VLOOKUP($B36,Database!$B$1:$IX$10144,AK$22,FALSE)))</f>
        <v>40</v>
      </c>
      <c r="AL36" s="22">
        <f>IF(OR($B36="",AL$22=""),"",IF(LEN(VLOOKUP($B36,Database!$B$1:$IX$10144,AL$22,FALSE))=0,"",VLOOKUP($B36,Database!$B$1:$IX$10144,AL$22,FALSE)))</f>
        <v>24.8</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Frodl T, Meisenzahl EM, Zetzsche T, Born C, Groll C, Jager M, Leinsinger G, Bottlender R, Hahn K, Moller HJ.</v>
      </c>
    </row>
    <row r="37" spans="1:60">
      <c r="B37">
        <v>19028381</v>
      </c>
      <c r="C37" s="1" t="str">
        <f>IF($B37="","",HYPERLINK(IF(LEN(VLOOKUP($B37,Database!$B$1:$IX$10144,2,FALSE))=0,"",VLOOKUP($B37,Database!$B$1:$IX$10144,2,FALSE))))</f>
        <v/>
      </c>
      <c r="D37" s="1" t="str">
        <f>IF($B37="","",HYPERLINK(CONCATENATE("http://www.ncbi.nlm.nih.gov/pubmed/",B37)))</f>
        <v>http://www.ncbi.nlm.nih.gov/pubmed/19028381</v>
      </c>
      <c r="E37" s="22" t="str">
        <f>IF($B37="","",IF(LEN(VLOOKUP($B37,Database!$B$1:$IX$10144,4,FALSE))=0,"",VLOOKUP($B37,Database!$B$1:$IX$10144,4,FALSE)))</f>
        <v>van Eijndhoven P</v>
      </c>
      <c r="F37" s="22">
        <f>IF($B37="","",IF(LEN(VLOOKUP($B37,Database!$B$1:$IX$10144,5,FALSE))=0,"",VLOOKUP($B37,Database!$B$1:$IX$10144,5,FALSE)))</f>
        <v>2009</v>
      </c>
      <c r="G37" s="1" t="str">
        <f>IF($B37="","",HYPERLINK(IF(LEN(VLOOKUP($B37,Database!$B$1:$IX$10144,6,FALSE))=0,"",VLOOKUP($B37,Database!$B$1:$IX$10144,6,FALSE))))</f>
        <v>http://dx.doi.org/10.1016/j.biopsych.2008.10.027</v>
      </c>
      <c r="H37" s="83">
        <v>20</v>
      </c>
      <c r="I37" s="83">
        <v>10</v>
      </c>
      <c r="J37" t="s">
        <v>887</v>
      </c>
      <c r="K37" t="s">
        <v>357</v>
      </c>
      <c r="L37">
        <v>3600</v>
      </c>
      <c r="M37">
        <v>360</v>
      </c>
      <c r="N37">
        <v>3716</v>
      </c>
      <c r="O37">
        <v>364</v>
      </c>
      <c r="P37">
        <v>3815</v>
      </c>
      <c r="Q37">
        <v>459</v>
      </c>
      <c r="R37">
        <v>3881</v>
      </c>
      <c r="S37">
        <v>429</v>
      </c>
      <c r="T37">
        <f>L37+P37</f>
        <v>7415</v>
      </c>
      <c r="U37">
        <f>2*SQRT(0.25*(M37^2+Q37^2+2*$F$8*M37*Q37))</f>
        <v>777.60208333054254</v>
      </c>
      <c r="V37">
        <f>N37+R37</f>
        <v>7597</v>
      </c>
      <c r="W37">
        <f>2*SQRT(0.25*(O37^2+S37^2+2*$F$8*O37*S37))</f>
        <v>752.5866063118583</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83">
        <v>35.799999999999997</v>
      </c>
      <c r="AC37" s="83">
        <v>11.7</v>
      </c>
      <c r="AD37" s="22">
        <f>IF(OR($B37="",AD$22=""),"",IF(LEN(VLOOKUP($B37,Database!$B$1:$IX$10144,AD$22,FALSE))=0,"",VLOOKUP($B37,Database!$B$1:$IX$10144,AD$22,FALSE)))</f>
        <v>37.299999999999997</v>
      </c>
      <c r="AE37" s="22">
        <f>IF(OR($B37="",AE$22=""),"",IF(LEN(VLOOKUP($B37,Database!$B$1:$IX$10144,AE$22,FALSE))=0,"",VLOOKUP($B37,Database!$B$1:$IX$10144,AE$22,FALSE)))</f>
        <v>12.7</v>
      </c>
      <c r="AF37" s="22">
        <f>IF(OR($B37="",AF$22=""),"",IF(LEN(VLOOKUP($B37,Database!$B$1:$IX$10144,AF$22,FALSE))=0,"",VLOOKUP($B37,Database!$B$1:$IX$10144,AF$22,FALSE)))</f>
        <v>27</v>
      </c>
      <c r="AG37" s="22">
        <f>IF(OR($B37="",AG$22=""),"",IF(LEN(VLOOKUP($B37,Database!$B$1:$IX$10144,AG$22,FALSE))=0,"",VLOOKUP($B37,Database!$B$1:$IX$10144,AG$22,FALSE)))</f>
        <v>13</v>
      </c>
      <c r="AH37" s="22">
        <f>IF(OR($B37="",AH$22=""),"",IF(LEN(VLOOKUP($B37,Database!$B$1:$IX$10144,AH$22,FALSE))=0,"",VLOOKUP($B37,Database!$B$1:$IX$10144,AH$22,FALSE)))</f>
        <v>1.5</v>
      </c>
      <c r="AI37" s="22">
        <f>IF(OR($B37="",AI$22=""),"",IF(LEN(VLOOKUP($B37,Database!$B$1:$IX$10144,AI$22,FALSE))=0,"",VLOOKUP($B37,Database!$B$1:$IX$10144,AI$22,FALSE)))</f>
        <v>1</v>
      </c>
      <c r="AJ37" s="22" t="str">
        <f>IF(OR($B37="",AJ$22=""),"",IF(LEN(VLOOKUP($B37,Database!$B$1:$IX$10144,AJ$22,FALSE))=0,"",VLOOKUP($B37,Database!$B$1:$IX$10144,AJ$22,FALSE)))</f>
        <v/>
      </c>
      <c r="AK37" s="83">
        <v>33.4</v>
      </c>
      <c r="AL37" s="83">
        <v>3.4</v>
      </c>
      <c r="AM37" s="22">
        <f>IF(OR($B37="",AM$22=""),"",IF(LEN(VLOOKUP($B37,Database!$B$1:$IX$10144,AM$22,FALSE))=0,"",VLOOKUP($B37,Database!$B$1:$IX$10144,AM$22,FALSE)))</f>
        <v>0</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van Eijndhoven P, van Wingen G, van Oijen K, Rijpkema M, Goraj B, Jan Verkes R, Oude Voshaar R, Fernández G, Buitelaar J, Tendolkar I.</v>
      </c>
    </row>
    <row r="38" spans="1:60">
      <c r="A38" s="168" t="s">
        <v>2384</v>
      </c>
      <c r="B38">
        <v>19756819</v>
      </c>
      <c r="C38" s="1" t="str">
        <f>IF($B38="","",HYPERLINK(IF(LEN(VLOOKUP($B38,Database!$B$1:$IX$10144,2,FALSE))=0,"",VLOOKUP($B38,Database!$B$1:$IX$10144,2,FALSE))))</f>
        <v/>
      </c>
      <c r="D38" s="1" t="str">
        <f>IF($B38="","",HYPERLINK(CONCATENATE("http://www.ncbi.nlm.nih.gov/pubmed/",B38)))</f>
        <v>http://www.ncbi.nlm.nih.gov/pubmed/19756819</v>
      </c>
      <c r="E38" s="22" t="str">
        <f>IF($B38="","",IF(LEN(VLOOKUP($B38,Database!$B$1:$IX$10144,4,FALSE))=0,"",VLOOKUP($B38,Database!$B$1:$IX$10144,4,FALSE)))</f>
        <v>Kaymak SU</v>
      </c>
      <c r="F38" s="22">
        <f>IF($B38="","",IF(LEN(VLOOKUP($B38,Database!$B$1:$IX$10144,5,FALSE))=0,"",VLOOKUP($B38,Database!$B$1:$IX$10144,5,FALSE)))</f>
        <v>2009</v>
      </c>
      <c r="G38" s="1" t="str">
        <f>IF($B38="","",HYPERLINK(IF(LEN(VLOOKUP($B38,Database!$B$1:$IX$10144,6,FALSE))=0,"",VLOOKUP($B38,Database!$B$1:$IX$10144,6,FALSE))))</f>
        <v>http://dx.doi.org/10.1007/s00406-009-0045-x</v>
      </c>
      <c r="H38" s="22">
        <f>IF($B38="","",IF(LEN(VLOOKUP($B38,Database!$B$1:$IX$10144,7,FALSE))=0,"",VLOOKUP($B38,Database!$B$1:$IX$10144,7,FALSE)))</f>
        <v>20</v>
      </c>
      <c r="I38" s="22">
        <f>IF($B38="","",IF(LEN(VLOOKUP($B38,Database!$B$1:$IX$10144,8,FALSE))=0,"",VLOOKUP($B38,Database!$B$1:$IX$10144,8,FALSE)))</f>
        <v>15</v>
      </c>
      <c r="J38" t="s">
        <v>2378</v>
      </c>
      <c r="L38">
        <v>2.85</v>
      </c>
      <c r="M38">
        <v>0.33</v>
      </c>
      <c r="N38">
        <v>3.52</v>
      </c>
      <c r="O38">
        <v>0.33</v>
      </c>
      <c r="P38">
        <v>2.72</v>
      </c>
      <c r="Q38">
        <v>0.32</v>
      </c>
      <c r="R38">
        <v>3.4</v>
      </c>
      <c r="S38">
        <v>0.25</v>
      </c>
      <c r="T38">
        <f>L38+P38</f>
        <v>5.57</v>
      </c>
      <c r="U38">
        <f>2*SQRT(0.25*(M38^2+Q38^2+2*$F$8*M38*Q38))</f>
        <v>0.61665225208378183</v>
      </c>
      <c r="V38">
        <f>N38+R38</f>
        <v>6.92</v>
      </c>
      <c r="W38">
        <f>2*SQRT(0.25*(O38^2+S38^2+2*$F$8*O38*S38))</f>
        <v>0.55081757415681643</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32</v>
      </c>
      <c r="AC38" s="22">
        <f>IF(OR($B38="",AC$22=""),"",IF(LEN(VLOOKUP($B38,Database!$B$1:$IX$10144,AC$22,FALSE))=0,"",VLOOKUP($B38,Database!$B$1:$IX$10144,AC$22,FALSE)))</f>
        <v>8.52</v>
      </c>
      <c r="AD38" s="22">
        <f>IF(OR($B38="",AD$22=""),"",IF(LEN(VLOOKUP($B38,Database!$B$1:$IX$10144,AD$22,FALSE))=0,"",VLOOKUP($B38,Database!$B$1:$IX$10144,AD$22,FALSE)))</f>
        <v>29.3</v>
      </c>
      <c r="AE38" s="22">
        <f>IF(OR($B38="",AE$22=""),"",IF(LEN(VLOOKUP($B38,Database!$B$1:$IX$10144,AE$22,FALSE))=0,"",VLOOKUP($B38,Database!$B$1:$IX$10144,AE$22,FALSE)))</f>
        <v>5.8</v>
      </c>
      <c r="AF38" s="22">
        <f>IF(OR($B38="",AF$22=""),"",IF(LEN(VLOOKUP($B38,Database!$B$1:$IX$10144,AF$22,FALSE))=0,"",VLOOKUP($B38,Database!$B$1:$IX$10144,AF$22,FALSE)))</f>
        <v>20</v>
      </c>
      <c r="AG38" s="22">
        <f>IF(OR($B38="",AG$22=""),"",IF(LEN(VLOOKUP($B38,Database!$B$1:$IX$10144,AG$22,FALSE))=0,"",VLOOKUP($B38,Database!$B$1:$IX$10144,AG$22,FALSE)))</f>
        <v>15</v>
      </c>
      <c r="AH38" s="22">
        <f>IF(OR($B38="",AH$22=""),"",IF(LEN(VLOOKUP($B38,Database!$B$1:$IX$10144,AH$22,FALSE))=0,"",VLOOKUP($B38,Database!$B$1:$IX$10144,AH$22,FALSE)))</f>
        <v>3</v>
      </c>
      <c r="AI38" s="22">
        <f>IF(OR($B38="",AI$22=""),"",IF(LEN(VLOOKUP($B38,Database!$B$1:$IX$10144,AI$22,FALSE))=0,"",VLOOKUP($B38,Database!$B$1:$IX$10144,AI$22,FALSE)))</f>
        <v>1</v>
      </c>
      <c r="AJ38" s="22" t="str">
        <f>IF(OR($B38="",AJ$22=""),"",IF(LEN(VLOOKUP($B38,Database!$B$1:$IX$10144,AJ$22,FALSE))=0,"",VLOOKUP($B38,Database!$B$1:$IX$10144,AJ$22,FALSE)))</f>
        <v/>
      </c>
      <c r="AK38" s="22" t="str">
        <f>IF(OR($B38="",AK$22=""),"",IF(LEN(VLOOKUP($B38,Database!$B$1:$IX$10144,AK$22,FALSE))=0,"",VLOOKUP($B38,Database!$B$1:$IX$10144,AK$22,FALSE)))</f>
        <v>ns</v>
      </c>
      <c r="AL38" s="22">
        <f>IF(OR($B38="",AL$22=""),"",IF(LEN(VLOOKUP($B38,Database!$B$1:$IX$10144,AL$22,FALSE))=0,"",VLOOKUP($B38,Database!$B$1:$IX$10144,AL$22,FALSE)))</f>
        <v>23.1</v>
      </c>
      <c r="AM38" s="22">
        <f>IF(OR($B38="",AM$22=""),"",IF(LEN(VLOOKUP($B38,Database!$B$1:$IX$10144,AM$22,FALSE))=0,"",VLOOKUP($B38,Database!$B$1:$IX$10144,AM$22,FALSE)))</f>
        <v>0</v>
      </c>
      <c r="AN38" s="22">
        <f>IF(OR($B38="",AN$22=""),"",IF(LEN(VLOOKUP($B38,Database!$B$1:$IX$10144,AN$22,FALSE))=0,"",VLOOKUP($B38,Database!$B$1:$IX$10144,AN$22,FALSE)))</f>
        <v>0</v>
      </c>
      <c r="AO38" s="22">
        <f>IF(OR($B38="",AO$22=""),"",IF(LEN(VLOOKUP($B38,Database!$B$1:$IX$10144,AO$22,FALSE))=0,"",VLOOKUP($B38,Database!$B$1:$IX$10144,AO$22,FALSE)))</f>
        <v>0</v>
      </c>
      <c r="AP38" s="22">
        <f>IF(OR($B38="",AP$22=""),"",IF(LEN(VLOOKUP($B38,Database!$B$1:$IX$10144,AP$22,FALSE))=0,"",VLOOKUP($B38,Database!$B$1:$IX$10144,AP$22,FALSE)))</f>
        <v>100</v>
      </c>
      <c r="AQ38" s="22" t="str">
        <f>IF(OR($B38="",AQ$22=""),"",IF(LEN(VLOOKUP($B38,Database!$B$1:$IX$10144,AQ$22,FALSE))=0,"",VLOOKUP($B38,Database!$B$1:$IX$10144,AQ$22,FALSE)))</f>
        <v>Kaymak SU, Demir B, Sentürk S, Tatar I, Aldur MM, Uluğ B.</v>
      </c>
    </row>
    <row r="39" spans="1:60">
      <c r="A39" s="168"/>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c r="AQ39" s="22"/>
    </row>
    <row r="40" spans="1:60">
      <c r="I40" s="22" t="str">
        <f>IF($B40="","",IF(LEN(VLOOKUP($B40,Database!$B$1:$IX$10144,8,FALSE))=0,"",VLOOKUP($B40,Database!$B$1:$IX$10144,8,FALSE)))</f>
        <v/>
      </c>
      <c r="AF40" t="s">
        <v>602</v>
      </c>
      <c r="AJ40" t="s">
        <v>329</v>
      </c>
      <c r="AN40" t="s">
        <v>330</v>
      </c>
    </row>
    <row r="41" spans="1:60" ht="45" customHeight="1">
      <c r="E41" s="60" t="s">
        <v>617</v>
      </c>
      <c r="F41" s="60" t="s">
        <v>740</v>
      </c>
      <c r="G41" s="60" t="s">
        <v>244</v>
      </c>
      <c r="H41" s="60" t="s">
        <v>245</v>
      </c>
      <c r="I41" s="60" t="s">
        <v>246</v>
      </c>
      <c r="J41" s="60" t="s">
        <v>593</v>
      </c>
      <c r="K41" s="60" t="s">
        <v>1039</v>
      </c>
      <c r="L41" s="60" t="s">
        <v>594</v>
      </c>
      <c r="M41" s="60" t="s">
        <v>1299</v>
      </c>
      <c r="N41" s="61" t="s">
        <v>595</v>
      </c>
      <c r="O41" s="61" t="s">
        <v>596</v>
      </c>
      <c r="P41" s="61" t="s">
        <v>597</v>
      </c>
      <c r="Q41" s="61" t="s">
        <v>598</v>
      </c>
      <c r="R41" s="61" t="s">
        <v>599</v>
      </c>
      <c r="S41" s="61" t="s">
        <v>600</v>
      </c>
      <c r="T41" s="61" t="s">
        <v>601</v>
      </c>
      <c r="U41" s="61" t="s">
        <v>484</v>
      </c>
      <c r="V41" s="61" t="s">
        <v>485</v>
      </c>
      <c r="W41" s="61" t="s">
        <v>486</v>
      </c>
      <c r="AF41" s="61" t="s">
        <v>1517</v>
      </c>
      <c r="AG41" s="62" t="s">
        <v>834</v>
      </c>
      <c r="AH41" s="62" t="s">
        <v>835</v>
      </c>
      <c r="AJ41" s="61" t="s">
        <v>836</v>
      </c>
      <c r="AK41" s="61" t="s">
        <v>837</v>
      </c>
      <c r="AL41" s="61" t="s">
        <v>487</v>
      </c>
      <c r="AN41" s="31" t="s">
        <v>488</v>
      </c>
      <c r="AO41" s="31" t="s">
        <v>489</v>
      </c>
      <c r="AP41" s="31" t="s">
        <v>490</v>
      </c>
      <c r="AQ41" s="31" t="s">
        <v>491</v>
      </c>
      <c r="AR41" s="31" t="s">
        <v>492</v>
      </c>
      <c r="AS41" s="31" t="s">
        <v>493</v>
      </c>
      <c r="AT41" s="31" t="s">
        <v>494</v>
      </c>
      <c r="AU41" s="31" t="s">
        <v>495</v>
      </c>
      <c r="AV41" s="31" t="s">
        <v>496</v>
      </c>
      <c r="AW41" s="31" t="s">
        <v>497</v>
      </c>
      <c r="AX41" s="31" t="s">
        <v>498</v>
      </c>
      <c r="AY41" s="31" t="s">
        <v>499</v>
      </c>
      <c r="AZ41" s="31"/>
      <c r="BA41" s="31"/>
      <c r="BB41" s="31"/>
      <c r="BC41" s="31"/>
      <c r="BD41" s="31"/>
      <c r="BE41" s="31"/>
      <c r="BF41" s="31"/>
      <c r="BG41" s="31"/>
      <c r="BH41" s="31"/>
    </row>
    <row r="42" spans="1:60">
      <c r="E42" t="str">
        <f t="shared" ref="E42:F44" si="0">E24</f>
        <v>Vythilingam M</v>
      </c>
      <c r="F42">
        <f t="shared" si="0"/>
        <v>2004</v>
      </c>
      <c r="G42">
        <v>41</v>
      </c>
      <c r="H42">
        <f t="shared" ref="H42:I44" si="1">H24</f>
        <v>7</v>
      </c>
      <c r="I42">
        <f t="shared" si="1"/>
        <v>33</v>
      </c>
      <c r="J42">
        <f t="shared" ref="J42:M44" si="2">IF($D$4="Total",T24,IF($D$4="Left",L24,IF($D$4="Right",P24,"error")))</f>
        <v>3194</v>
      </c>
      <c r="K42">
        <f t="shared" si="2"/>
        <v>412</v>
      </c>
      <c r="L42">
        <f t="shared" si="2"/>
        <v>3285</v>
      </c>
      <c r="M42">
        <f t="shared" si="2"/>
        <v>389</v>
      </c>
      <c r="N42">
        <f t="shared" ref="N42:N48" si="3">IF($D$3=1,SQRT((((I42-1)*(M42)^2)+((H42-1)*(K42)^2))/(H42+I42-2)),M42)</f>
        <v>392.72114118906575</v>
      </c>
      <c r="O42" s="59">
        <f t="shared" ref="O42:O48" si="4">IF($D$6=1,LN(J42/L42),IF($D$5=1,(1-3/(4*(H42+I42)-9))*((J42-L42)/N42),(J42-L42)/N42))</f>
        <v>-0.2271129400115314</v>
      </c>
      <c r="P42" s="63">
        <f t="shared" ref="P42:P48" si="5">IF($D$6=1,(K42^2)/(H42*J42^2)+(M42^2)/(I42*L42^2),(IF($D$5=1,((H42+I42)/(H42*I42))+(O42*O42)/(2*(H42+I42-3.94)),((H42+I42)/(H42*I42))+((O42^2)/(2*(H42+I42-2))))))</f>
        <v>0.17387537404093689</v>
      </c>
      <c r="Q42" s="59">
        <f t="shared" ref="Q42:Q47" si="6">$R$65*SQRT(P42)</f>
        <v>0.81728797673504483</v>
      </c>
      <c r="R42" s="59">
        <f t="shared" ref="R42:R48" si="7">1/P42</f>
        <v>5.7512457155926056</v>
      </c>
      <c r="S42" s="59">
        <f t="shared" ref="S42:S48" si="8">O42*R42</f>
        <v>-1.3061823231969605</v>
      </c>
      <c r="T42" s="59">
        <f t="shared" ref="T42:T48" si="9">R42*(O42^2)</f>
        <v>0.29665090761235396</v>
      </c>
      <c r="U42" s="23">
        <f t="shared" ref="U42:U48" si="10">R42^2</f>
        <v>33.076827281122299</v>
      </c>
      <c r="V42" s="59">
        <f t="shared" ref="V42:V47" si="11">1/((1/R42)+$I$62)</f>
        <v>5.7512457155926056</v>
      </c>
      <c r="W42" s="59">
        <f t="shared" ref="W42:W48" si="12">V42*O42</f>
        <v>-1.3061823231969605</v>
      </c>
      <c r="AF42" s="59">
        <f t="shared" ref="AF42:AF48" si="13">IF($D$6=1,100*((EXP(O42))-1),O42)</f>
        <v>-0.2271129400115314</v>
      </c>
      <c r="AG42" s="59">
        <f t="shared" ref="AG42:AG48" si="14">IF($D$6=1,100*(EXP(O42+Q42)-EXP(O42)),Q42)</f>
        <v>0.81728797673504483</v>
      </c>
      <c r="AH42" s="59">
        <f t="shared" ref="AH42:AH48" si="15">IF($D$6=1,100*(EXP(O42)-EXP(O42-Q42)),Q42)</f>
        <v>0.81728797673504483</v>
      </c>
      <c r="AJ42">
        <f t="shared" ref="AJ42:AJ48" si="16">SQRT(P42)</f>
        <v>0.41698366159951267</v>
      </c>
      <c r="AK42">
        <f t="shared" ref="AK42:AK48" si="17">1/AJ42</f>
        <v>2.3981754972463141</v>
      </c>
      <c r="AL42">
        <f t="shared" ref="AL42:AL48" si="18">O42/AJ42</f>
        <v>-0.54465668784322663</v>
      </c>
      <c r="AN42" s="31" t="str">
        <f t="shared" ref="AN42:AN48" si="19">E42</f>
        <v>Vythilingam M</v>
      </c>
      <c r="AO42" s="31">
        <f t="shared" ref="AO42:AO48" si="20">F42</f>
        <v>2004</v>
      </c>
      <c r="AP42" s="31" t="str">
        <f t="shared" ref="AP42:AP48" si="21">CONCATENATE(AN42," ",AO42)</f>
        <v>Vythilingam M 2004</v>
      </c>
      <c r="AQ42" s="31">
        <f t="shared" ref="AQ42:AQ48" si="22">INT(H42)</f>
        <v>7</v>
      </c>
      <c r="AR42" s="31">
        <f t="shared" ref="AR42:AR48" si="23">J42</f>
        <v>3194</v>
      </c>
      <c r="AS42" s="31">
        <f t="shared" ref="AS42:AS48" si="24">K42</f>
        <v>412</v>
      </c>
      <c r="AT42" s="31">
        <f t="shared" ref="AT42:AT48" si="25">INT(I42)</f>
        <v>33</v>
      </c>
      <c r="AU42" s="31">
        <f t="shared" ref="AU42:AU48" si="26">L42</f>
        <v>3285</v>
      </c>
      <c r="AV42" s="31">
        <f t="shared" ref="AV42:AV48" si="27">M42</f>
        <v>389</v>
      </c>
      <c r="AW42" s="164">
        <f t="shared" ref="AW42:AW48" si="28">O42</f>
        <v>-0.2271129400115314</v>
      </c>
      <c r="AX42" s="31">
        <f t="shared" ref="AX42:AX48" si="29">SQRT(P42)</f>
        <v>0.41698366159951267</v>
      </c>
      <c r="AY42" s="31" t="str">
        <f>F6</f>
        <v>Cohens Effect size</v>
      </c>
      <c r="AZ42" s="31"/>
      <c r="BA42" s="31"/>
      <c r="BB42" s="31"/>
      <c r="BC42" s="165"/>
      <c r="BD42" s="31"/>
      <c r="BE42" s="31"/>
      <c r="BF42" s="31"/>
      <c r="BG42" s="31"/>
      <c r="BH42" s="31"/>
    </row>
    <row r="43" spans="1:60">
      <c r="E43" t="str">
        <f t="shared" si="0"/>
        <v>Kronmüller KT</v>
      </c>
      <c r="F43">
        <f t="shared" si="0"/>
        <v>2009</v>
      </c>
      <c r="G43">
        <v>35</v>
      </c>
      <c r="H43">
        <f t="shared" si="1"/>
        <v>13</v>
      </c>
      <c r="I43">
        <f t="shared" si="1"/>
        <v>11</v>
      </c>
      <c r="J43">
        <f t="shared" si="2"/>
        <v>5.81</v>
      </c>
      <c r="K43">
        <f t="shared" si="2"/>
        <v>0.9</v>
      </c>
      <c r="L43">
        <f t="shared" si="2"/>
        <v>6.49</v>
      </c>
      <c r="M43">
        <f t="shared" si="2"/>
        <v>0.49</v>
      </c>
      <c r="N43">
        <f t="shared" si="3"/>
        <v>0.74226312413762374</v>
      </c>
      <c r="O43" s="59">
        <f t="shared" si="4"/>
        <v>-0.88452693227987944</v>
      </c>
      <c r="P43" s="63">
        <f t="shared" si="5"/>
        <v>0.18733336159907846</v>
      </c>
      <c r="Q43" s="59">
        <f t="shared" si="6"/>
        <v>0.84832767367274997</v>
      </c>
      <c r="R43" s="59">
        <f t="shared" si="7"/>
        <v>5.3380774863804037</v>
      </c>
      <c r="S43" s="59">
        <f t="shared" si="8"/>
        <v>-4.7216733033003484</v>
      </c>
      <c r="T43" s="59">
        <f t="shared" si="9"/>
        <v>4.1764472021960621</v>
      </c>
      <c r="U43" s="23">
        <f t="shared" si="10"/>
        <v>28.495071250601328</v>
      </c>
      <c r="V43" s="59">
        <f t="shared" si="11"/>
        <v>5.3380774863804037</v>
      </c>
      <c r="W43" s="59">
        <f t="shared" si="12"/>
        <v>-4.7216733033003484</v>
      </c>
      <c r="AF43" s="59">
        <f t="shared" si="13"/>
        <v>-0.88452693227987944</v>
      </c>
      <c r="AG43" s="59">
        <f t="shared" si="14"/>
        <v>0.84832767367274997</v>
      </c>
      <c r="AH43" s="59">
        <f t="shared" si="15"/>
        <v>0.84832767367274997</v>
      </c>
      <c r="AJ43">
        <f t="shared" si="16"/>
        <v>0.4328202416697704</v>
      </c>
      <c r="AK43">
        <f t="shared" si="17"/>
        <v>2.310427987707127</v>
      </c>
      <c r="AL43">
        <f t="shared" si="18"/>
        <v>-2.0436357802201601</v>
      </c>
      <c r="AN43" s="31" t="str">
        <f t="shared" si="19"/>
        <v>Kronmüller KT</v>
      </c>
      <c r="AO43" s="31">
        <f t="shared" si="20"/>
        <v>2009</v>
      </c>
      <c r="AP43" s="31" t="str">
        <f t="shared" si="21"/>
        <v>Kronmüller KT 2009</v>
      </c>
      <c r="AQ43" s="31">
        <f t="shared" si="22"/>
        <v>13</v>
      </c>
      <c r="AR43" s="31">
        <f t="shared" si="23"/>
        <v>5.81</v>
      </c>
      <c r="AS43" s="31">
        <f t="shared" si="24"/>
        <v>0.9</v>
      </c>
      <c r="AT43" s="31">
        <f t="shared" si="25"/>
        <v>11</v>
      </c>
      <c r="AU43" s="31">
        <f t="shared" si="26"/>
        <v>6.49</v>
      </c>
      <c r="AV43" s="31">
        <f t="shared" si="27"/>
        <v>0.49</v>
      </c>
      <c r="AW43" s="164">
        <f t="shared" si="28"/>
        <v>-0.88452693227987944</v>
      </c>
      <c r="AX43" s="31">
        <f t="shared" si="29"/>
        <v>0.4328202416697704</v>
      </c>
      <c r="AY43" s="31"/>
      <c r="AZ43" s="31"/>
      <c r="BA43" s="31"/>
      <c r="BB43" s="31"/>
      <c r="BC43" s="165"/>
      <c r="BD43" s="31"/>
      <c r="BE43" s="31"/>
      <c r="BF43" s="31"/>
      <c r="BG43" s="31"/>
      <c r="BH43" s="31"/>
    </row>
    <row r="44" spans="1:60">
      <c r="E44" t="str">
        <f t="shared" si="0"/>
        <v>Kronmüller KT</v>
      </c>
      <c r="F44">
        <f t="shared" si="0"/>
        <v>2009</v>
      </c>
      <c r="G44">
        <v>34</v>
      </c>
      <c r="H44">
        <f t="shared" si="1"/>
        <v>13</v>
      </c>
      <c r="I44">
        <f t="shared" si="1"/>
        <v>19</v>
      </c>
      <c r="J44">
        <f t="shared" si="2"/>
        <v>5.52</v>
      </c>
      <c r="K44">
        <f t="shared" si="2"/>
        <v>0.56999999999999995</v>
      </c>
      <c r="L44">
        <f t="shared" si="2"/>
        <v>5.51</v>
      </c>
      <c r="M44">
        <f t="shared" si="2"/>
        <v>0.66</v>
      </c>
      <c r="N44">
        <f t="shared" si="3"/>
        <v>0.62555575291096155</v>
      </c>
      <c r="O44" s="59">
        <f t="shared" si="4"/>
        <v>1.5582782372798551E-2</v>
      </c>
      <c r="P44" s="63">
        <f t="shared" si="5"/>
        <v>0.12955898272551444</v>
      </c>
      <c r="Q44" s="59">
        <f t="shared" si="6"/>
        <v>0.70548833302779446</v>
      </c>
      <c r="R44" s="59">
        <f t="shared" si="7"/>
        <v>7.7184922184717566</v>
      </c>
      <c r="S44" s="59">
        <f t="shared" si="8"/>
        <v>0.12027558448658447</v>
      </c>
      <c r="T44" s="59">
        <f t="shared" si="9"/>
        <v>1.8742282578155913E-3</v>
      </c>
      <c r="U44" s="23">
        <f t="shared" si="10"/>
        <v>59.57512212660906</v>
      </c>
      <c r="V44" s="59">
        <f t="shared" si="11"/>
        <v>7.7184922184717566</v>
      </c>
      <c r="W44" s="59">
        <f t="shared" si="12"/>
        <v>0.12027558448658447</v>
      </c>
      <c r="AF44" s="59">
        <f t="shared" si="13"/>
        <v>1.5582782372798551E-2</v>
      </c>
      <c r="AG44" s="59">
        <f t="shared" si="14"/>
        <v>0.70548833302779446</v>
      </c>
      <c r="AH44" s="59">
        <f t="shared" si="15"/>
        <v>0.70548833302779446</v>
      </c>
      <c r="AJ44">
        <f t="shared" si="16"/>
        <v>0.3599430270549972</v>
      </c>
      <c r="AK44">
        <f t="shared" si="17"/>
        <v>2.7782174534171649</v>
      </c>
      <c r="AL44">
        <f t="shared" si="18"/>
        <v>4.3292357960910278E-2</v>
      </c>
      <c r="AN44" s="31" t="str">
        <f t="shared" si="19"/>
        <v>Kronmüller KT</v>
      </c>
      <c r="AO44" s="31">
        <f t="shared" si="20"/>
        <v>2009</v>
      </c>
      <c r="AP44" s="31" t="str">
        <f t="shared" si="21"/>
        <v>Kronmüller KT 2009</v>
      </c>
      <c r="AQ44" s="31">
        <f t="shared" si="22"/>
        <v>13</v>
      </c>
      <c r="AR44" s="31">
        <f t="shared" si="23"/>
        <v>5.52</v>
      </c>
      <c r="AS44" s="31">
        <f t="shared" si="24"/>
        <v>0.56999999999999995</v>
      </c>
      <c r="AT44" s="31">
        <f t="shared" si="25"/>
        <v>19</v>
      </c>
      <c r="AU44" s="31">
        <f t="shared" si="26"/>
        <v>5.51</v>
      </c>
      <c r="AV44" s="31">
        <f t="shared" si="27"/>
        <v>0.66</v>
      </c>
      <c r="AW44" s="164">
        <f t="shared" si="28"/>
        <v>1.5582782372798551E-2</v>
      </c>
      <c r="AX44" s="31">
        <f t="shared" si="29"/>
        <v>0.3599430270549972</v>
      </c>
      <c r="AY44" s="31"/>
      <c r="AZ44" s="31"/>
      <c r="BA44" s="31"/>
      <c r="BB44" s="31"/>
      <c r="BC44" s="165"/>
      <c r="BD44" s="31"/>
      <c r="BE44" s="31"/>
      <c r="BF44" s="31"/>
      <c r="BG44" s="31"/>
      <c r="BH44" s="31"/>
    </row>
    <row r="45" spans="1:60">
      <c r="E45" t="str">
        <f t="shared" ref="E45:F48" si="30">E29</f>
        <v>MacQueen GM</v>
      </c>
      <c r="F45">
        <f t="shared" si="30"/>
        <v>2003</v>
      </c>
      <c r="G45">
        <v>25</v>
      </c>
      <c r="H45">
        <f t="shared" ref="H45:I48" si="31">H29</f>
        <v>20</v>
      </c>
      <c r="I45">
        <f t="shared" si="31"/>
        <v>20</v>
      </c>
      <c r="J45">
        <f t="shared" ref="J45:M47" si="32">IF($D$4="Total",T29,IF($D$4="Left",L29,IF($D$4="Right",P29,"error")))</f>
        <v>5531</v>
      </c>
      <c r="K45">
        <f t="shared" si="32"/>
        <v>573.85916216437636</v>
      </c>
      <c r="L45">
        <f t="shared" si="32"/>
        <v>5545</v>
      </c>
      <c r="M45">
        <f t="shared" si="32"/>
        <v>674.1852623722948</v>
      </c>
      <c r="N45">
        <f t="shared" si="3"/>
        <v>626.03518511342475</v>
      </c>
      <c r="O45" s="59">
        <f t="shared" si="4"/>
        <v>-2.1918663089439044E-2</v>
      </c>
      <c r="P45" s="63">
        <f t="shared" si="5"/>
        <v>0.10000666150570756</v>
      </c>
      <c r="Q45" s="59">
        <f t="shared" si="6"/>
        <v>0.61982706526927822</v>
      </c>
      <c r="R45" s="59">
        <f t="shared" si="7"/>
        <v>9.9993338938019463</v>
      </c>
      <c r="S45" s="59">
        <f t="shared" si="8"/>
        <v>-0.21917203073705352</v>
      </c>
      <c r="T45" s="59">
        <f t="shared" si="9"/>
        <v>4.8039579003536547E-3</v>
      </c>
      <c r="U45" s="23">
        <f t="shared" si="10"/>
        <v>99.986678319736399</v>
      </c>
      <c r="V45" s="59">
        <f t="shared" si="11"/>
        <v>9.9993338938019463</v>
      </c>
      <c r="W45" s="59">
        <f t="shared" si="12"/>
        <v>-0.21917203073705352</v>
      </c>
      <c r="AF45" s="59">
        <f t="shared" si="13"/>
        <v>-2.1918663089439044E-2</v>
      </c>
      <c r="AG45" s="59">
        <f t="shared" si="14"/>
        <v>0.61982706526927822</v>
      </c>
      <c r="AH45" s="59">
        <f t="shared" si="15"/>
        <v>0.61982706526927822</v>
      </c>
      <c r="AJ45">
        <f t="shared" si="16"/>
        <v>0.3162382986067746</v>
      </c>
      <c r="AK45">
        <f t="shared" si="17"/>
        <v>3.1621723377769828</v>
      </c>
      <c r="AL45">
        <f t="shared" si="18"/>
        <v>-6.9310590102477532E-2</v>
      </c>
      <c r="AN45" s="31" t="str">
        <f t="shared" si="19"/>
        <v>MacQueen GM</v>
      </c>
      <c r="AO45" s="31">
        <f t="shared" si="20"/>
        <v>2003</v>
      </c>
      <c r="AP45" s="31" t="str">
        <f t="shared" si="21"/>
        <v>MacQueen GM 2003</v>
      </c>
      <c r="AQ45" s="31">
        <f t="shared" si="22"/>
        <v>20</v>
      </c>
      <c r="AR45" s="31">
        <f t="shared" si="23"/>
        <v>5531</v>
      </c>
      <c r="AS45" s="31">
        <f t="shared" si="24"/>
        <v>573.85916216437636</v>
      </c>
      <c r="AT45" s="31">
        <f t="shared" si="25"/>
        <v>20</v>
      </c>
      <c r="AU45" s="31">
        <f t="shared" si="26"/>
        <v>5545</v>
      </c>
      <c r="AV45" s="31">
        <f t="shared" si="27"/>
        <v>674.1852623722948</v>
      </c>
      <c r="AW45" s="164">
        <f t="shared" si="28"/>
        <v>-2.1918663089439044E-2</v>
      </c>
      <c r="AX45" s="31">
        <f t="shared" si="29"/>
        <v>0.3162382986067746</v>
      </c>
      <c r="AY45" s="31"/>
      <c r="AZ45" s="31"/>
      <c r="BA45" s="31"/>
      <c r="BB45" s="31"/>
      <c r="BC45" s="165"/>
      <c r="BD45" s="31"/>
      <c r="BE45" s="31"/>
      <c r="BF45" s="31"/>
      <c r="BG45" s="31"/>
      <c r="BH45" s="31"/>
    </row>
    <row r="46" spans="1:60">
      <c r="E46" t="str">
        <f t="shared" si="30"/>
        <v>Velakoulis D</v>
      </c>
      <c r="F46">
        <f t="shared" si="30"/>
        <v>2006</v>
      </c>
      <c r="G46">
        <v>15</v>
      </c>
      <c r="H46">
        <f t="shared" si="31"/>
        <v>12</v>
      </c>
      <c r="I46">
        <f t="shared" si="31"/>
        <v>87</v>
      </c>
      <c r="J46">
        <f t="shared" si="32"/>
        <v>5941</v>
      </c>
      <c r="K46">
        <f t="shared" si="32"/>
        <v>782.88607089409891</v>
      </c>
      <c r="L46">
        <f t="shared" si="32"/>
        <v>5992</v>
      </c>
      <c r="M46">
        <f t="shared" si="32"/>
        <v>707.78132216101892</v>
      </c>
      <c r="N46">
        <f t="shared" si="3"/>
        <v>716.69412158711464</v>
      </c>
      <c r="O46" s="59">
        <f t="shared" si="4"/>
        <v>-7.0608436205290781E-2</v>
      </c>
      <c r="P46" s="63">
        <f t="shared" si="5"/>
        <v>9.4853809388378535E-2</v>
      </c>
      <c r="Q46" s="59">
        <f t="shared" si="6"/>
        <v>0.60364757445582018</v>
      </c>
      <c r="R46" s="59">
        <f t="shared" si="7"/>
        <v>10.542539160504393</v>
      </c>
      <c r="S46" s="59">
        <f t="shared" si="8"/>
        <v>-0.74439220375625426</v>
      </c>
      <c r="T46" s="59">
        <f t="shared" si="9"/>
        <v>5.2560369430639298E-2</v>
      </c>
      <c r="U46" s="23">
        <f t="shared" si="10"/>
        <v>111.14513195076869</v>
      </c>
      <c r="V46" s="59">
        <f t="shared" si="11"/>
        <v>10.542539160504393</v>
      </c>
      <c r="W46" s="59">
        <f t="shared" si="12"/>
        <v>-0.74439220375625426</v>
      </c>
      <c r="AF46" s="59">
        <f t="shared" si="13"/>
        <v>-7.0608436205290781E-2</v>
      </c>
      <c r="AG46" s="59">
        <f t="shared" si="14"/>
        <v>0.60364757445582018</v>
      </c>
      <c r="AH46" s="59">
        <f t="shared" si="15"/>
        <v>0.60364757445582018</v>
      </c>
      <c r="AJ46">
        <f t="shared" si="16"/>
        <v>0.30798345635501029</v>
      </c>
      <c r="AK46">
        <f t="shared" si="17"/>
        <v>3.2469276494101917</v>
      </c>
      <c r="AL46">
        <f t="shared" si="18"/>
        <v>-0.22926048379657429</v>
      </c>
      <c r="AN46" s="31" t="str">
        <f t="shared" si="19"/>
        <v>Velakoulis D</v>
      </c>
      <c r="AO46" s="31">
        <f t="shared" si="20"/>
        <v>2006</v>
      </c>
      <c r="AP46" s="31" t="str">
        <f t="shared" si="21"/>
        <v>Velakoulis D 2006</v>
      </c>
      <c r="AQ46" s="31">
        <f t="shared" si="22"/>
        <v>12</v>
      </c>
      <c r="AR46" s="31">
        <f t="shared" si="23"/>
        <v>5941</v>
      </c>
      <c r="AS46" s="31">
        <f t="shared" si="24"/>
        <v>782.88607089409891</v>
      </c>
      <c r="AT46" s="31">
        <f t="shared" si="25"/>
        <v>87</v>
      </c>
      <c r="AU46" s="31">
        <f t="shared" si="26"/>
        <v>5992</v>
      </c>
      <c r="AV46" s="31">
        <f t="shared" si="27"/>
        <v>707.78132216101892</v>
      </c>
      <c r="AW46" s="164">
        <f t="shared" si="28"/>
        <v>-7.0608436205290781E-2</v>
      </c>
      <c r="AX46" s="31">
        <f t="shared" si="29"/>
        <v>0.30798345635501029</v>
      </c>
      <c r="AY46" s="31"/>
      <c r="AZ46" s="31"/>
      <c r="BA46" s="31"/>
      <c r="BB46" s="31"/>
      <c r="BC46" s="165"/>
      <c r="BD46" s="31"/>
      <c r="BE46" s="31"/>
      <c r="BF46" s="31"/>
      <c r="BG46" s="31"/>
      <c r="BH46" s="31"/>
    </row>
    <row r="47" spans="1:60">
      <c r="E47" t="str">
        <f t="shared" si="30"/>
        <v>van Eijndhoven P</v>
      </c>
      <c r="F47">
        <f t="shared" si="30"/>
        <v>2009</v>
      </c>
      <c r="G47">
        <v>5</v>
      </c>
      <c r="H47">
        <f t="shared" si="31"/>
        <v>20</v>
      </c>
      <c r="I47">
        <f t="shared" si="31"/>
        <v>20</v>
      </c>
      <c r="J47">
        <f t="shared" si="32"/>
        <v>7372</v>
      </c>
      <c r="K47">
        <f t="shared" si="32"/>
        <v>784.76811861848716</v>
      </c>
      <c r="L47">
        <f t="shared" si="32"/>
        <v>7597</v>
      </c>
      <c r="M47">
        <f t="shared" si="32"/>
        <v>752.5866063118583</v>
      </c>
      <c r="N47">
        <f t="shared" si="3"/>
        <v>768.84575826364539</v>
      </c>
      <c r="O47" s="59">
        <f t="shared" si="4"/>
        <v>-0.2868323053801401</v>
      </c>
      <c r="P47" s="63">
        <f t="shared" si="5"/>
        <v>0.10114077608721141</v>
      </c>
      <c r="Q47" s="59">
        <f t="shared" si="6"/>
        <v>0.62333169774738018</v>
      </c>
      <c r="R47" s="59">
        <f t="shared" si="7"/>
        <v>9.8872090830875425</v>
      </c>
      <c r="S47" s="59">
        <f t="shared" si="8"/>
        <v>-2.8359709750774611</v>
      </c>
      <c r="T47" s="59">
        <f t="shared" si="9"/>
        <v>0.81344809277263197</v>
      </c>
      <c r="U47" s="23">
        <f t="shared" si="10"/>
        <v>97.756903452688803</v>
      </c>
      <c r="V47" s="59">
        <f t="shared" si="11"/>
        <v>9.8872090830875425</v>
      </c>
      <c r="W47" s="59">
        <f t="shared" si="12"/>
        <v>-2.8359709750774611</v>
      </c>
      <c r="AF47" s="59">
        <f t="shared" si="13"/>
        <v>-0.2868323053801401</v>
      </c>
      <c r="AG47" s="59">
        <f t="shared" si="14"/>
        <v>0.62333169774738018</v>
      </c>
      <c r="AH47" s="59">
        <f t="shared" si="15"/>
        <v>0.62333169774738018</v>
      </c>
      <c r="AJ47">
        <f t="shared" si="16"/>
        <v>0.3180263764017246</v>
      </c>
      <c r="AK47">
        <f t="shared" si="17"/>
        <v>3.1443932774205492</v>
      </c>
      <c r="AL47">
        <f t="shared" si="18"/>
        <v>-0.90191357278435058</v>
      </c>
      <c r="AN47" s="31" t="str">
        <f t="shared" si="19"/>
        <v>van Eijndhoven P</v>
      </c>
      <c r="AO47" s="31">
        <f t="shared" si="20"/>
        <v>2009</v>
      </c>
      <c r="AP47" s="31" t="str">
        <f t="shared" si="21"/>
        <v>van Eijndhoven P 2009</v>
      </c>
      <c r="AQ47" s="31">
        <f t="shared" si="22"/>
        <v>20</v>
      </c>
      <c r="AR47" s="31">
        <f t="shared" si="23"/>
        <v>7372</v>
      </c>
      <c r="AS47" s="31">
        <f t="shared" si="24"/>
        <v>784.76811861848716</v>
      </c>
      <c r="AT47" s="31">
        <f t="shared" si="25"/>
        <v>20</v>
      </c>
      <c r="AU47" s="31">
        <f t="shared" si="26"/>
        <v>7597</v>
      </c>
      <c r="AV47" s="31">
        <f t="shared" si="27"/>
        <v>752.5866063118583</v>
      </c>
      <c r="AW47" s="164">
        <f t="shared" si="28"/>
        <v>-0.2868323053801401</v>
      </c>
      <c r="AX47" s="31">
        <f t="shared" si="29"/>
        <v>0.3180263764017246</v>
      </c>
      <c r="AY47" s="31"/>
      <c r="AZ47" s="31"/>
      <c r="BA47" s="31"/>
      <c r="BB47" s="31"/>
      <c r="BC47" s="165"/>
      <c r="BD47" s="31"/>
      <c r="BE47" s="31"/>
      <c r="BF47" s="31"/>
      <c r="BG47" s="31"/>
      <c r="BH47" s="31"/>
    </row>
    <row r="48" spans="1:60">
      <c r="E48" t="str">
        <f t="shared" si="30"/>
        <v>Meisenzahl EM</v>
      </c>
      <c r="F48">
        <f t="shared" si="30"/>
        <v>2009</v>
      </c>
      <c r="G48">
        <v>3</v>
      </c>
      <c r="H48">
        <f t="shared" si="31"/>
        <v>47</v>
      </c>
      <c r="I48">
        <f t="shared" si="31"/>
        <v>138</v>
      </c>
      <c r="J48">
        <f>IF($D$4="Total",T32,IF($D$4="Left",L32,IF($D$4="Right",P32,"error")))</f>
        <v>7.57</v>
      </c>
      <c r="K48">
        <f>IF($D$4="Total",U32,IF($D$4="Left",M32,IF($D$4="Right",Q32,"error")))</f>
        <v>0.80643660631199021</v>
      </c>
      <c r="L48">
        <f>IF($D$4="Total",V32,IF($D$4="Left",N32,IF($D$4="Right",R32,"error")))</f>
        <v>7.77</v>
      </c>
      <c r="M48">
        <f>IF($D$4="Total",W32,IF($D$4="Left",O32,IF($D$4="Right",S32,"error")))</f>
        <v>0.77792030440142124</v>
      </c>
      <c r="N48">
        <f t="shared" si="3"/>
        <v>0.78518578776712156</v>
      </c>
      <c r="O48" s="59">
        <f t="shared" si="4"/>
        <v>-0.25367143632689054</v>
      </c>
      <c r="P48" s="63">
        <f t="shared" si="5"/>
        <v>2.8700673864151306E-2</v>
      </c>
      <c r="Q48" s="59">
        <f>$R$65*SQRT(P48)</f>
        <v>0.33204895530105749</v>
      </c>
      <c r="R48" s="59">
        <f t="shared" si="7"/>
        <v>34.842387490039187</v>
      </c>
      <c r="S48" s="59">
        <f t="shared" si="8"/>
        <v>-8.8385184796563223</v>
      </c>
      <c r="T48" s="59">
        <f t="shared" si="9"/>
        <v>2.2420796777361844</v>
      </c>
      <c r="U48" s="23">
        <f t="shared" si="10"/>
        <v>1213.9919660060393</v>
      </c>
      <c r="V48" s="59">
        <f>1/((1/R48)+$I$62)</f>
        <v>34.842387490039187</v>
      </c>
      <c r="W48" s="59">
        <f t="shared" si="12"/>
        <v>-8.8385184796563223</v>
      </c>
      <c r="AF48" s="59">
        <f t="shared" si="13"/>
        <v>-0.25367143632689054</v>
      </c>
      <c r="AG48" s="59">
        <f t="shared" si="14"/>
        <v>0.33204895530105749</v>
      </c>
      <c r="AH48" s="59">
        <f t="shared" si="15"/>
        <v>0.33204895530105749</v>
      </c>
      <c r="AJ48">
        <f t="shared" si="16"/>
        <v>0.1694127322964579</v>
      </c>
      <c r="AK48">
        <f t="shared" si="17"/>
        <v>5.9027440644194611</v>
      </c>
      <c r="AL48">
        <f t="shared" si="18"/>
        <v>-1.4973575650913125</v>
      </c>
      <c r="AN48" s="31" t="str">
        <f t="shared" si="19"/>
        <v>Meisenzahl EM</v>
      </c>
      <c r="AO48" s="31">
        <f t="shared" si="20"/>
        <v>2009</v>
      </c>
      <c r="AP48" s="31" t="str">
        <f t="shared" si="21"/>
        <v>Meisenzahl EM 2009</v>
      </c>
      <c r="AQ48" s="31">
        <f t="shared" si="22"/>
        <v>47</v>
      </c>
      <c r="AR48" s="31">
        <f t="shared" si="23"/>
        <v>7.57</v>
      </c>
      <c r="AS48" s="31">
        <f t="shared" si="24"/>
        <v>0.80643660631199021</v>
      </c>
      <c r="AT48" s="31">
        <f t="shared" si="25"/>
        <v>138</v>
      </c>
      <c r="AU48" s="31">
        <f t="shared" si="26"/>
        <v>7.77</v>
      </c>
      <c r="AV48" s="31">
        <f t="shared" si="27"/>
        <v>0.77792030440142124</v>
      </c>
      <c r="AW48" s="164">
        <f t="shared" si="28"/>
        <v>-0.25367143632689054</v>
      </c>
      <c r="AX48" s="31">
        <f t="shared" si="29"/>
        <v>0.1694127322964579</v>
      </c>
      <c r="AY48" s="31"/>
      <c r="AZ48" s="31"/>
      <c r="BA48" s="31"/>
      <c r="BB48" s="31"/>
      <c r="BC48" s="165"/>
      <c r="BD48" s="31"/>
      <c r="BE48" s="31"/>
      <c r="BF48" s="31"/>
      <c r="BG48" s="31"/>
      <c r="BH48" s="31"/>
    </row>
    <row r="49" spans="7:60">
      <c r="U49" s="23"/>
      <c r="AN49" s="31"/>
      <c r="AO49" s="31"/>
      <c r="AP49" s="31"/>
      <c r="AQ49" s="31"/>
      <c r="AR49" s="31"/>
      <c r="AS49" s="31"/>
      <c r="AT49" s="31"/>
      <c r="AU49" s="31"/>
      <c r="AV49" s="31"/>
      <c r="AW49" s="31"/>
      <c r="AX49" s="31"/>
      <c r="AY49" s="31"/>
      <c r="AZ49" s="31"/>
      <c r="BA49" s="31"/>
      <c r="BB49" s="31"/>
      <c r="BC49" s="31"/>
      <c r="BD49" s="31"/>
      <c r="BE49" s="31"/>
      <c r="BF49" s="31"/>
      <c r="BG49" s="31"/>
      <c r="BH49" s="31"/>
    </row>
    <row r="50" spans="7:60">
      <c r="L50" t="s">
        <v>500</v>
      </c>
      <c r="N50" s="7"/>
      <c r="O50" s="66">
        <f>COUNT(O42:O48)</f>
        <v>7</v>
      </c>
      <c r="Q50" t="s">
        <v>885</v>
      </c>
      <c r="R50" s="59">
        <f t="shared" ref="R50:W50" si="33">SUM(R42:R48)</f>
        <v>84.079285047877832</v>
      </c>
      <c r="S50" s="59">
        <f t="shared" si="33"/>
        <v>-18.545633731237814</v>
      </c>
      <c r="T50" s="59">
        <f t="shared" si="33"/>
        <v>7.5878644359060399</v>
      </c>
      <c r="U50" s="23">
        <f t="shared" si="33"/>
        <v>1644.0277003875658</v>
      </c>
      <c r="V50" s="59">
        <f t="shared" si="33"/>
        <v>84.079285047877832</v>
      </c>
      <c r="W50" s="59">
        <f t="shared" si="33"/>
        <v>-18.545633731237814</v>
      </c>
      <c r="AN50" s="31"/>
      <c r="AO50" s="31"/>
      <c r="AP50" s="31"/>
      <c r="AQ50" s="31"/>
      <c r="AR50" s="31"/>
      <c r="AS50" s="31"/>
      <c r="AT50" s="31"/>
      <c r="AU50" s="31"/>
      <c r="AV50" s="31"/>
      <c r="AW50" s="31"/>
      <c r="AX50" s="31"/>
      <c r="AY50" s="31"/>
      <c r="AZ50" s="31"/>
      <c r="BA50" s="31"/>
      <c r="BB50" s="31"/>
      <c r="BC50" s="31"/>
      <c r="BD50" s="31"/>
      <c r="BE50" s="31"/>
      <c r="BF50" s="31"/>
      <c r="BG50" s="31"/>
      <c r="BH50" s="31"/>
    </row>
    <row r="51" spans="7:60">
      <c r="L51" t="s">
        <v>501</v>
      </c>
      <c r="N51" s="7"/>
      <c r="O51" s="2">
        <v>1</v>
      </c>
      <c r="AN51" s="31"/>
      <c r="AO51" s="31"/>
      <c r="AP51" s="31"/>
      <c r="AQ51" s="31"/>
      <c r="AR51" s="31"/>
      <c r="AS51" s="31"/>
      <c r="AT51" s="31"/>
      <c r="AU51" s="31"/>
      <c r="AV51" s="31"/>
      <c r="AW51" s="31"/>
      <c r="AX51" s="31"/>
      <c r="AY51" s="31"/>
      <c r="AZ51" s="31"/>
      <c r="BA51" s="31"/>
      <c r="BB51" s="31"/>
      <c r="BC51" s="31"/>
      <c r="BD51" s="31"/>
      <c r="BE51" s="31"/>
      <c r="BF51" s="31"/>
      <c r="BG51" s="31"/>
      <c r="BH51" s="31"/>
    </row>
    <row r="52" spans="7:60">
      <c r="N52" s="7"/>
      <c r="O52" s="7"/>
      <c r="AN52" s="31"/>
      <c r="AO52" s="31"/>
      <c r="AP52" s="31"/>
      <c r="AQ52" s="31"/>
      <c r="AR52" s="31"/>
      <c r="AS52" s="31"/>
      <c r="AT52" s="31"/>
      <c r="AU52" s="31"/>
      <c r="AV52" s="31"/>
      <c r="AW52" s="31"/>
      <c r="AX52" s="31"/>
      <c r="AY52" s="31"/>
      <c r="AZ52" s="31"/>
      <c r="BA52" s="31"/>
      <c r="BB52" s="31"/>
      <c r="BC52" s="31"/>
      <c r="BD52" s="31"/>
      <c r="BE52" s="31"/>
      <c r="BF52" s="31"/>
      <c r="BG52" s="31"/>
      <c r="BH52" s="31"/>
    </row>
    <row r="53" spans="7:60">
      <c r="G53" s="67" t="s">
        <v>502</v>
      </c>
      <c r="H53" s="40"/>
      <c r="I53" s="40">
        <f>S50/R50</f>
        <v>-0.22057316163758112</v>
      </c>
      <c r="J53" s="40"/>
      <c r="K53" s="68" t="s">
        <v>879</v>
      </c>
      <c r="L53" s="40"/>
      <c r="M53" s="42"/>
      <c r="N53" s="7"/>
      <c r="O53" s="69" t="s">
        <v>503</v>
      </c>
      <c r="P53" s="70">
        <f>T50-((S50^2)/R50)</f>
        <v>3.4971953692343449</v>
      </c>
      <c r="Q53" s="71" t="s">
        <v>824</v>
      </c>
      <c r="R53" s="28"/>
      <c r="S53" s="29"/>
      <c r="T53" s="30"/>
      <c r="U53" s="31"/>
      <c r="AF53" s="2" t="s">
        <v>1518</v>
      </c>
    </row>
    <row r="54" spans="7:60">
      <c r="G54" s="43" t="s">
        <v>504</v>
      </c>
      <c r="H54" s="31"/>
      <c r="I54" s="31">
        <f>1/R50</f>
        <v>1.1893535957525844E-2</v>
      </c>
      <c r="J54" s="31"/>
      <c r="K54" s="31"/>
      <c r="L54" s="31"/>
      <c r="M54" s="44"/>
      <c r="N54" s="7"/>
      <c r="O54" s="30" t="s">
        <v>505</v>
      </c>
      <c r="P54" s="31">
        <f>CHIDIST(P53,I58-1)</f>
        <v>0.74434280754679927</v>
      </c>
      <c r="Q54" s="31"/>
      <c r="R54" s="31"/>
      <c r="S54" s="34"/>
      <c r="T54" s="30"/>
      <c r="U54" s="31"/>
      <c r="AF54" s="2"/>
    </row>
    <row r="55" spans="7:60">
      <c r="G55" s="72" t="s">
        <v>506</v>
      </c>
      <c r="H55" s="31"/>
      <c r="I55" s="31">
        <f>$R$65*SQRT(I54)</f>
        <v>0.21375267889416327</v>
      </c>
      <c r="J55" s="31"/>
      <c r="K55" s="31" t="s">
        <v>507</v>
      </c>
      <c r="L55" s="31"/>
      <c r="M55" s="44">
        <f>ABS(I53/SQRT(I54))</f>
        <v>2.0225402509398163</v>
      </c>
      <c r="N55" s="7"/>
      <c r="O55" s="35" t="s">
        <v>508</v>
      </c>
      <c r="P55" s="37">
        <f>IF(((P53-(I58-1))/P53)&lt;0,0,100*((P53-(I58-1))/P53))</f>
        <v>0</v>
      </c>
      <c r="Q55" s="36"/>
      <c r="R55" s="36"/>
      <c r="S55" s="38"/>
      <c r="T55" s="30"/>
      <c r="U55" s="31"/>
      <c r="AF55" s="2" t="s">
        <v>1535</v>
      </c>
      <c r="AH55">
        <f>IF($D$6=1,100*((EXP(I53))-1),I53)</f>
        <v>-0.22057316163758112</v>
      </c>
    </row>
    <row r="56" spans="7:60">
      <c r="G56" s="45" t="s">
        <v>509</v>
      </c>
      <c r="H56" s="46"/>
      <c r="I56" s="46">
        <v>-2</v>
      </c>
      <c r="J56" s="46"/>
      <c r="K56" s="46" t="s">
        <v>825</v>
      </c>
      <c r="L56" s="46"/>
      <c r="M56" s="47">
        <f>2*(1-NORMDIST(M55,0,1,1))</f>
        <v>4.3120569695658695E-2</v>
      </c>
      <c r="N56" s="7"/>
      <c r="O56" s="7"/>
      <c r="AF56" s="79" t="s">
        <v>834</v>
      </c>
      <c r="AH56">
        <f>IF($D$6=1,100*(EXP(I53+I55)-EXP(I53)),I55)</f>
        <v>0.21375267889416327</v>
      </c>
    </row>
    <row r="57" spans="7:60">
      <c r="G57" s="40"/>
      <c r="H57" s="40"/>
      <c r="I57" s="40"/>
      <c r="J57" s="40"/>
      <c r="K57" s="40"/>
      <c r="L57" s="40"/>
      <c r="M57" s="40"/>
      <c r="N57" s="7"/>
      <c r="O57" s="7"/>
      <c r="AF57" s="79" t="s">
        <v>835</v>
      </c>
      <c r="AH57">
        <f>IF($D$6=1,100*(EXP(I53)-EXP(I53-I55)),I55)</f>
        <v>0.21375267889416327</v>
      </c>
    </row>
    <row r="58" spans="7:60">
      <c r="G58" s="73" t="s">
        <v>1110</v>
      </c>
      <c r="H58" s="74"/>
      <c r="I58" s="74">
        <f>O50</f>
        <v>7</v>
      </c>
      <c r="J58" s="74"/>
      <c r="K58" s="75" t="s">
        <v>1167</v>
      </c>
      <c r="L58" s="74"/>
      <c r="M58" s="76"/>
      <c r="N58" s="77"/>
      <c r="O58" s="101" t="s">
        <v>1513</v>
      </c>
      <c r="P58" s="102"/>
      <c r="Q58" s="103"/>
      <c r="AF58" s="7"/>
    </row>
    <row r="59" spans="7:60">
      <c r="G59" s="77" t="s">
        <v>1531</v>
      </c>
      <c r="H59" s="31"/>
      <c r="I59" s="31">
        <f>R50/I58</f>
        <v>12.011326435411119</v>
      </c>
      <c r="J59" s="31"/>
      <c r="K59" s="31"/>
      <c r="L59" s="31"/>
      <c r="M59" s="78"/>
      <c r="N59" s="77"/>
      <c r="O59" s="104" t="s">
        <v>1514</v>
      </c>
      <c r="P59" s="31"/>
      <c r="Q59" s="105">
        <f>INDEX(LINEST(AL42:AL48,AK42:AK48,TRUE,TRUE),1,2)</f>
        <v>-0.24643098601395397</v>
      </c>
      <c r="AF59" s="2" t="s">
        <v>1687</v>
      </c>
      <c r="AH59">
        <f>IF($D$6=1,100*((EXP(I64))-1),I64)</f>
        <v>-0.22057316163758112</v>
      </c>
    </row>
    <row r="60" spans="7:60">
      <c r="G60" s="77" t="s">
        <v>1532</v>
      </c>
      <c r="H60" s="31"/>
      <c r="I60" s="31">
        <f>(1/(I58-1))*(U50-(I58*I59^2))</f>
        <v>105.68732687025398</v>
      </c>
      <c r="J60" s="31"/>
      <c r="K60" s="31"/>
      <c r="L60" s="31"/>
      <c r="M60" s="78"/>
      <c r="N60" s="77"/>
      <c r="O60" s="104" t="s">
        <v>1516</v>
      </c>
      <c r="P60" s="31"/>
      <c r="Q60" s="105">
        <f>INDEX(LINEST(AL42:AL48,AK42:AK48,TRUE,TRUE),2,2)</f>
        <v>0.96631564650695068</v>
      </c>
      <c r="AF60" s="79" t="s">
        <v>834</v>
      </c>
      <c r="AG60" s="7"/>
      <c r="AH60">
        <f>IF($D$6=1,100*(EXP(I64+I66)-EXP(I64)),I66)</f>
        <v>0.21375267889416327</v>
      </c>
    </row>
    <row r="61" spans="7:60">
      <c r="G61" s="77" t="s">
        <v>1669</v>
      </c>
      <c r="H61" s="31"/>
      <c r="I61" s="31">
        <f>(I58-1)*(I59-(I60/(I58*I59)))</f>
        <v>64.5259824781498</v>
      </c>
      <c r="J61" s="31"/>
      <c r="K61" s="31"/>
      <c r="L61" s="31"/>
      <c r="M61" s="78"/>
      <c r="N61" s="77"/>
      <c r="O61" s="104" t="s">
        <v>1349</v>
      </c>
      <c r="P61" s="31"/>
      <c r="Q61" s="105">
        <f>ABS(Q59/Q60)</f>
        <v>0.25502121062072797</v>
      </c>
      <c r="AF61" s="79" t="s">
        <v>835</v>
      </c>
      <c r="AH61">
        <f>IF($D$6=1,100*(EXP(I64)-EXP(I64-I66)),I66)</f>
        <v>0.21375267889416327</v>
      </c>
    </row>
    <row r="62" spans="7:60">
      <c r="G62" s="77" t="s">
        <v>1685</v>
      </c>
      <c r="H62" s="31"/>
      <c r="I62" s="31">
        <f>IF(P53&gt;(I58-1),(P53-(I58-1))/I61,0)</f>
        <v>0</v>
      </c>
      <c r="J62" s="31"/>
      <c r="K62" s="31"/>
      <c r="L62" s="31"/>
      <c r="M62" s="78"/>
      <c r="N62" s="77"/>
      <c r="O62" s="106" t="s">
        <v>1515</v>
      </c>
      <c r="P62" s="107"/>
      <c r="Q62" s="108">
        <f>TDIST(Q61,I58-2,2)</f>
        <v>0.80886416456340138</v>
      </c>
    </row>
    <row r="63" spans="7:60">
      <c r="G63" s="77"/>
      <c r="H63" s="31"/>
      <c r="I63" s="31"/>
      <c r="J63" s="31"/>
      <c r="K63" s="31"/>
      <c r="L63" s="31"/>
      <c r="M63" s="78"/>
      <c r="N63" s="77"/>
    </row>
    <row r="64" spans="7:60">
      <c r="G64" s="77" t="s">
        <v>1686</v>
      </c>
      <c r="H64" s="31"/>
      <c r="I64" s="31">
        <f>W50/V50</f>
        <v>-0.22057316163758112</v>
      </c>
      <c r="J64" s="31"/>
      <c r="N64" s="77"/>
    </row>
    <row r="65" spans="7:18">
      <c r="G65" s="77" t="s">
        <v>504</v>
      </c>
      <c r="H65" s="31"/>
      <c r="I65" s="31">
        <f>1/V50</f>
        <v>1.1893535957525844E-2</v>
      </c>
      <c r="J65" s="31"/>
      <c r="N65" s="77"/>
      <c r="O65" t="s">
        <v>805</v>
      </c>
      <c r="R65">
        <v>1.96</v>
      </c>
    </row>
    <row r="66" spans="7:18">
      <c r="G66" s="80" t="s">
        <v>506</v>
      </c>
      <c r="H66" s="31"/>
      <c r="I66" s="31">
        <f>$R$65*SQRT(I65)</f>
        <v>0.21375267889416327</v>
      </c>
      <c r="J66" s="31"/>
      <c r="K66" s="31" t="s">
        <v>507</v>
      </c>
      <c r="L66" s="31"/>
      <c r="M66" s="78">
        <f>ABS(I64/(SQRT(I65)))</f>
        <v>2.0225402509398163</v>
      </c>
      <c r="N66" s="77"/>
    </row>
    <row r="67" spans="7:18">
      <c r="G67" s="81" t="s">
        <v>509</v>
      </c>
      <c r="H67" s="82"/>
      <c r="I67" s="82">
        <v>-3</v>
      </c>
      <c r="J67" s="82"/>
      <c r="K67" s="31" t="s">
        <v>825</v>
      </c>
      <c r="L67" s="31"/>
      <c r="M67" s="78">
        <f>2*(1-NORMDIST(M66,0,1,1))</f>
        <v>4.3120569695658695E-2</v>
      </c>
      <c r="N67" s="77"/>
    </row>
    <row r="68" spans="7:18">
      <c r="G68" s="74"/>
      <c r="H68" s="74"/>
      <c r="I68" s="74"/>
      <c r="J68" s="74"/>
      <c r="K68" s="74"/>
      <c r="L68" s="74"/>
      <c r="M68" s="74"/>
      <c r="N68" s="31"/>
      <c r="O68" s="7"/>
    </row>
  </sheetData>
  <phoneticPr fontId="10" type="noConversion"/>
  <conditionalFormatting sqref="D17 D13 F13">
    <cfRule type="cellIs" dxfId="94" priority="0" stopIfTrue="1" operator="lessThan">
      <formula>0.05</formula>
    </cfRule>
  </conditionalFormatting>
  <conditionalFormatting sqref="D21">
    <cfRule type="cellIs" dxfId="9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sheetPr published="0" enableFormatConditionsCalculation="0"/>
  <dimension ref="A1:BK10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76</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I94-O87</f>
        <v>10</v>
      </c>
      <c r="AD7" s="89"/>
    </row>
    <row r="8" spans="2:30">
      <c r="B8" t="s">
        <v>822</v>
      </c>
      <c r="D8">
        <f>SUM(H24:H38)</f>
        <v>361</v>
      </c>
      <c r="E8" t="s">
        <v>298</v>
      </c>
      <c r="F8">
        <f>Summary!C78</f>
        <v>0.8</v>
      </c>
      <c r="AD8" s="89"/>
    </row>
    <row r="9" spans="2:30">
      <c r="B9" t="s">
        <v>823</v>
      </c>
      <c r="D9">
        <f>SUM(I24:I38)</f>
        <v>316</v>
      </c>
      <c r="AB9" s="59"/>
      <c r="AD9" s="89"/>
    </row>
    <row r="10" spans="2:30">
      <c r="AB10" s="59"/>
    </row>
    <row r="11" spans="2:30">
      <c r="B11" s="27" t="s">
        <v>516</v>
      </c>
      <c r="C11" s="28"/>
      <c r="D11" s="109">
        <f>P89</f>
        <v>20.045235831021049</v>
      </c>
      <c r="E11" s="110" t="s">
        <v>1513</v>
      </c>
      <c r="F11" s="103"/>
    </row>
    <row r="12" spans="2:30">
      <c r="B12" s="30" t="s">
        <v>826</v>
      </c>
      <c r="C12" s="31"/>
      <c r="D12" s="112">
        <f>P91</f>
        <v>40.135401243674202</v>
      </c>
      <c r="E12" s="31"/>
      <c r="F12" s="105"/>
    </row>
    <row r="13" spans="2:30">
      <c r="B13" s="35" t="s">
        <v>825</v>
      </c>
      <c r="C13" s="36"/>
      <c r="D13" s="113">
        <f>P90</f>
        <v>6.623507709573187E-2</v>
      </c>
      <c r="E13" s="111" t="s">
        <v>825</v>
      </c>
      <c r="F13" s="115">
        <f>Q98</f>
        <v>6.6137096155748601E-2</v>
      </c>
    </row>
    <row r="15" spans="2:30">
      <c r="B15" s="39" t="s">
        <v>879</v>
      </c>
      <c r="C15" s="40"/>
      <c r="D15" s="41">
        <f>AH91</f>
        <v>-0.35404328087642795</v>
      </c>
      <c r="E15" s="116"/>
    </row>
    <row r="16" spans="2:30">
      <c r="B16" s="43" t="s">
        <v>1165</v>
      </c>
      <c r="C16" s="31"/>
      <c r="D16" s="33">
        <f>AH91-AH93</f>
        <v>-0.51028104405260732</v>
      </c>
      <c r="E16" s="117">
        <f>AH91+AH92</f>
        <v>-0.19780551770024857</v>
      </c>
    </row>
    <row r="17" spans="1:43">
      <c r="B17" s="45" t="s">
        <v>1166</v>
      </c>
      <c r="C17" s="46"/>
      <c r="D17" s="123">
        <f>M92</f>
        <v>8.93477539265497E-6</v>
      </c>
      <c r="E17" s="118"/>
    </row>
    <row r="18" spans="1:43">
      <c r="D18" s="48"/>
      <c r="F18" s="49"/>
    </row>
    <row r="19" spans="1:43">
      <c r="B19" s="50" t="s">
        <v>1167</v>
      </c>
      <c r="C19" s="51"/>
      <c r="D19" s="52">
        <f>AH95</f>
        <v>-0.38965135059301653</v>
      </c>
      <c r="E19" s="120"/>
      <c r="F19" s="33"/>
      <c r="G19" s="31"/>
    </row>
    <row r="20" spans="1:43">
      <c r="B20" s="53" t="s">
        <v>1165</v>
      </c>
      <c r="C20" s="31"/>
      <c r="D20" s="33">
        <f>AH95-AH97</f>
        <v>-0.59813965130980007</v>
      </c>
      <c r="E20" s="121">
        <f>AH95+AH96</f>
        <v>-0.18116304987623294</v>
      </c>
      <c r="F20" s="31"/>
      <c r="G20" s="31"/>
    </row>
    <row r="21" spans="1:43">
      <c r="B21" s="54" t="s">
        <v>1440</v>
      </c>
      <c r="C21" s="55"/>
      <c r="D21" s="169">
        <f>M103</f>
        <v>2.4916648677164588E-4</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52.8"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B24">
        <v>10405084</v>
      </c>
      <c r="C24" s="1" t="str">
        <f>IF($B24="","",HYPERLINK(IF(LEN(VLOOKUP($B24,Database!$B$1:$IX$10144,2,FALSE))=0,"",VLOOKUP($B24,Database!$B$1:$IX$10144,2,FALSE))))</f>
        <v/>
      </c>
      <c r="D24" s="1" t="str">
        <f>IF($B24="","",HYPERLINK(CONCATENATE("http://www.ncbi.nlm.nih.gov/pubmed/",B24)))</f>
        <v>http://www.ncbi.nlm.nih.gov/pubmed/10405084</v>
      </c>
      <c r="E24" s="22" t="str">
        <f>IF($B24="","",IF(LEN(VLOOKUP($B24,Database!$B$1:$IX$10144,4,FALSE))=0,"",VLOOKUP($B24,Database!$B$1:$IX$10144,4,FALSE)))</f>
        <v>Ashtari M</v>
      </c>
      <c r="F24" s="22">
        <f>IF($B24="","",IF(LEN(VLOOKUP($B24,Database!$B$1:$IX$10144,5,FALSE))=0,"",VLOOKUP($B24,Database!$B$1:$IX$10144,5,FALSE)))</f>
        <v>1999</v>
      </c>
      <c r="G24" s="1" t="str">
        <f>IF($B24="","",HYPERLINK(IF(LEN(VLOOKUP($B24,Database!$B$1:$IX$10144,6,FALSE))=0,"",VLOOKUP($B24,Database!$B$1:$IX$10144,6,FALSE))))</f>
        <v>http://dx.doi.org/10.1017/S0033291799008405</v>
      </c>
      <c r="H24" s="22">
        <f>IF($B24="","",IF(LEN(VLOOKUP($B24,Database!$B$1:$IX$10144,7,FALSE))=0,"",VLOOKUP($B24,Database!$B$1:$IX$10144,7,FALSE)))</f>
        <v>40</v>
      </c>
      <c r="I24" s="22">
        <f>IF($B24="","",IF(LEN(VLOOKUP($B24,Database!$B$1:$IX$10144,8,FALSE))=0,"",VLOOKUP($B24,Database!$B$1:$IX$10144,8,FALSE)))</f>
        <v>46</v>
      </c>
      <c r="J24" t="s">
        <v>940</v>
      </c>
      <c r="L24">
        <v>1745</v>
      </c>
      <c r="M24">
        <v>380</v>
      </c>
      <c r="N24">
        <v>1853</v>
      </c>
      <c r="O24">
        <v>348</v>
      </c>
      <c r="P24">
        <v>1742</v>
      </c>
      <c r="Q24">
        <v>345</v>
      </c>
      <c r="R24">
        <v>1843</v>
      </c>
      <c r="S24">
        <v>337</v>
      </c>
      <c r="T24">
        <v>3487</v>
      </c>
      <c r="U24">
        <v>662</v>
      </c>
      <c r="V24">
        <v>3697</v>
      </c>
      <c r="W24">
        <v>597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v>
      </c>
      <c r="AD24" s="22">
        <f>IF(OR($B24="",AD$22=""),"",IF(LEN(VLOOKUP($B24,Database!$B$1:$IX$10144,AD$22,FALSE))=0,"",VLOOKUP($B24,Database!$B$1:$IX$10144,AD$22,FALSE)))</f>
        <v>71.400000000000006</v>
      </c>
      <c r="AE24" s="22">
        <f>IF(OR($B24="",AE$22=""),"",IF(LEN(VLOOKUP($B24,Database!$B$1:$IX$10144,AE$22,FALSE))=0,"",VLOOKUP($B24,Database!$B$1:$IX$10144,AE$22,FALSE)))</f>
        <v>0.3</v>
      </c>
      <c r="AF24" s="22">
        <f>IF(OR($B24="",AF$22=""),"",IF(LEN(VLOOKUP($B24,Database!$B$1:$IX$10144,AF$22,FALSE))=0,"",VLOOKUP($B24,Database!$B$1:$IX$10144,AF$22,FALSE)))</f>
        <v>28</v>
      </c>
      <c r="AG24" s="22">
        <f>IF(OR($B24="",AG$22=""),"",IF(LEN(VLOOKUP($B24,Database!$B$1:$IX$10144,AG$22,FALSE))=0,"",VLOOKUP($B24,Database!$B$1:$IX$10144,AG$22,FALSE)))</f>
        <v>28</v>
      </c>
      <c r="AH24" s="22">
        <f>IF(OR($B24="",AH$22=""),"",IF(LEN(VLOOKUP($B24,Database!$B$1:$IX$10144,AH$22,FALSE))=0,"",VLOOKUP($B24,Database!$B$1:$IX$10144,AH$22,FALSE)))</f>
        <v>1</v>
      </c>
      <c r="AI24" s="22">
        <f>IF(OR($B24="",AI$22=""),"",IF(LEN(VLOOKUP($B24,Database!$B$1:$IX$10144,AI$22,FALSE))=0,"",VLOOKUP($B24,Database!$B$1:$IX$10144,AI$22,FALSE)))</f>
        <v>3.1</v>
      </c>
      <c r="AJ24" s="22" t="str">
        <f>IF(OR($B24="",AJ$22=""),"",IF(LEN(VLOOKUP($B24,Database!$B$1:$IX$10144,AJ$22,FALSE))=0,"",VLOOKUP($B24,Database!$B$1:$IX$10144,AJ$22,FALSE)))</f>
        <v/>
      </c>
      <c r="AK24" s="22">
        <f>IF(OR($B24="",AK$22=""),"",IF(LEN(VLOOKUP($B24,Database!$B$1:$IX$10144,AK$22,FALSE))=0,"",VLOOKUP($B24,Database!$B$1:$IX$10144,AK$22,FALSE)))</f>
        <v>61.5</v>
      </c>
      <c r="AL24" s="22">
        <f>IF(OR($B24="",AL$22=""),"",IF(LEN(VLOOKUP($B24,Database!$B$1:$IX$10144,AL$22,FALSE))=0,"",VLOOKUP($B24,Database!$B$1:$IX$10144,AL$22,FALSE)))</f>
        <v>26.1</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Ashtari M, Greenwald BS, Kramer-Ginsberg E, Hu J, Wu H, Patel M, Aupperle P, Pollack S.</v>
      </c>
    </row>
    <row r="25" spans="1:43">
      <c r="B25">
        <v>17023001</v>
      </c>
      <c r="C25" s="1" t="str">
        <f>IF($B25="","",HYPERLINK(IF(LEN(VLOOKUP($B25,Database!$B$1:$IX$10144,2,FALSE))=0,"",VLOOKUP($B25,Database!$B$1:$IX$10144,2,FALSE))))</f>
        <v/>
      </c>
      <c r="D25" s="1" t="str">
        <f>IF($B25="","",HYPERLINK(CONCATENATE("http://www.ncbi.nlm.nih.gov/pubmed/",B25)))</f>
        <v>http://www.ncbi.nlm.nih.gov/pubmed/17023001</v>
      </c>
      <c r="E25" s="22" t="str">
        <f>IF($B25="","",IF(LEN(VLOOKUP($B25,Database!$B$1:$IX$10144,4,FALSE))=0,"",VLOOKUP($B25,Database!$B$1:$IX$10144,4,FALSE)))</f>
        <v>Colla M</v>
      </c>
      <c r="F25" s="22">
        <f>IF($B25="","",IF(LEN(VLOOKUP($B25,Database!$B$1:$IX$10144,5,FALSE))=0,"",VLOOKUP($B25,Database!$B$1:$IX$10144,5,FALSE)))</f>
        <v>2007</v>
      </c>
      <c r="G25" s="1" t="str">
        <f>IF($B25="","",HYPERLINK(IF(LEN(VLOOKUP($B25,Database!$B$1:$IX$10144,6,FALSE))=0,"",VLOOKUP($B25,Database!$B$1:$IX$10144,6,FALSE))))</f>
        <v>http://dx.doi.org/10.1016/j.jpsychires.2006.06.011</v>
      </c>
      <c r="H25" s="22">
        <f>IF($B25="","",IF(LEN(VLOOKUP($B25,Database!$B$1:$IX$10144,7,FALSE))=0,"",VLOOKUP($B25,Database!$B$1:$IX$10144,7,FALSE)))</f>
        <v>24</v>
      </c>
      <c r="I25" s="22">
        <f>IF($B25="","",IF(LEN(VLOOKUP($B25,Database!$B$1:$IX$10144,8,FALSE))=0,"",VLOOKUP($B25,Database!$B$1:$IX$10144,8,FALSE)))</f>
        <v>14</v>
      </c>
      <c r="J25" t="s">
        <v>1615</v>
      </c>
      <c r="L25">
        <v>1.68</v>
      </c>
      <c r="M25">
        <v>0.27</v>
      </c>
      <c r="N25">
        <v>1.86</v>
      </c>
      <c r="O25">
        <v>0.15</v>
      </c>
      <c r="P25">
        <v>1.78</v>
      </c>
      <c r="Q25">
        <v>0.26</v>
      </c>
      <c r="R25">
        <v>2</v>
      </c>
      <c r="S25">
        <v>0.18</v>
      </c>
      <c r="T25">
        <v>3.46</v>
      </c>
      <c r="U25">
        <v>0.52</v>
      </c>
      <c r="V25">
        <v>3.86</v>
      </c>
      <c r="W25">
        <v>0.32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54.5</v>
      </c>
      <c r="AC25" s="22">
        <f>IF(OR($B25="",AC$22=""),"",IF(LEN(VLOOKUP($B25,Database!$B$1:$IX$10144,AC$22,FALSE))=0,"",VLOOKUP($B25,Database!$B$1:$IX$10144,AC$22,FALSE)))</f>
        <v>11.9</v>
      </c>
      <c r="AD25" s="22">
        <f>IF(OR($B25="",AD$22=""),"",IF(LEN(VLOOKUP($B25,Database!$B$1:$IX$10144,AD$22,FALSE))=0,"",VLOOKUP($B25,Database!$B$1:$IX$10144,AD$22,FALSE)))</f>
        <v>53.8</v>
      </c>
      <c r="AE25" s="22">
        <f>IF(OR($B25="",AE$22=""),"",IF(LEN(VLOOKUP($B25,Database!$B$1:$IX$10144,AE$22,FALSE))=0,"",VLOOKUP($B25,Database!$B$1:$IX$10144,AE$22,FALSE)))</f>
        <v>17.7</v>
      </c>
      <c r="AF25" s="22">
        <f>IF(OR($B25="",AF$22=""),"",IF(LEN(VLOOKUP($B25,Database!$B$1:$IX$10144,AF$22,FALSE))=0,"",VLOOKUP($B25,Database!$B$1:$IX$10144,AF$22,FALSE)))</f>
        <v>15</v>
      </c>
      <c r="AG25" s="22">
        <f>IF(OR($B25="",AG$22=""),"",IF(LEN(VLOOKUP($B25,Database!$B$1:$IX$10144,AG$22,FALSE))=0,"",VLOOKUP($B25,Database!$B$1:$IX$10144,AG$22,FALSE)))</f>
        <v>8</v>
      </c>
      <c r="AH25" s="22">
        <f>IF(OR($B25="",AH$22=""),"",IF(LEN(VLOOKUP($B25,Database!$B$1:$IX$10144,AH$22,FALSE))=0,"",VLOOKUP($B25,Database!$B$1:$IX$10144,AH$22,FALSE)))</f>
        <v>1.5</v>
      </c>
      <c r="AI25" s="22">
        <f>IF(OR($B25="",AI$22=""),"",IF(LEN(VLOOKUP($B25,Database!$B$1:$IX$10144,AI$22,FALSE))=0,"",VLOOKUP($B25,Database!$B$1:$IX$10144,AI$22,FALSE)))</f>
        <v>1.05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25.3</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t="str">
        <f>IF(OR($B25="",AP$22=""),"",IF(LEN(VLOOKUP($B25,Database!$B$1:$IX$10144,AP$22,FALSE))=0,"",VLOOKUP($B25,Database!$B$1:$IX$10144,AP$22,FALSE)))</f>
        <v>ns</v>
      </c>
      <c r="AQ25" s="22" t="str">
        <f>IF(OR($B25="",AQ$22=""),"",IF(LEN(VLOOKUP($B25,Database!$B$1:$IX$10144,AQ$22,FALSE))=0,"",VLOOKUP($B25,Database!$B$1:$IX$10144,AQ$22,FALSE)))</f>
        <v>Colla M, Kronenberg G, Deuschle M, Meichel K, Hagen T, Bohrer M, Heuser I.</v>
      </c>
    </row>
    <row r="26" spans="1:43">
      <c r="B26">
        <v>20018381</v>
      </c>
      <c r="C26" s="1" t="str">
        <f>IF($B26="","",HYPERLINK(IF(LEN(VLOOKUP($B26,Database!$B$1:$IX$10144,2,FALSE))=0,"",VLOOKUP($B26,Database!$B$1:$IX$10144,2,FALSE))))</f>
        <v/>
      </c>
      <c r="D26" s="1" t="str">
        <f>IF($B26="","",HYPERLINK(CONCATENATE("http://www.ncbi.nlm.nih.gov/pubmed/",B26)))</f>
        <v>http://www.ncbi.nlm.nih.gov/pubmed/20018381</v>
      </c>
      <c r="E26" s="22" t="str">
        <f>IF($B26="","",IF(LEN(VLOOKUP($B26,Database!$B$1:$IX$10144,4,FALSE))=0,"",VLOOKUP($B26,Database!$B$1:$IX$10144,4,FALSE)))</f>
        <v>Weber K</v>
      </c>
      <c r="F26" s="22">
        <f>IF($B26="","",IF(LEN(VLOOKUP($B26,Database!$B$1:$IX$10144,5,FALSE))=0,"",VLOOKUP($B26,Database!$B$1:$IX$10144,5,FALSE)))</f>
        <v>2009</v>
      </c>
      <c r="G26" s="1" t="str">
        <f>IF($B26="","",HYPERLINK(IF(LEN(VLOOKUP($B26,Database!$B$1:$IX$10144,6,FALSE))=0,"",VLOOKUP($B26,Database!$B$1:$IX$10144,6,FALSE))))</f>
        <v>http://dx.doi.org/10.1016/j.jad.2009.11.016</v>
      </c>
      <c r="H26" s="22">
        <f>IF($B26="","",IF(LEN(VLOOKUP($B26,Database!$B$1:$IX$10144,7,FALSE))=0,"",VLOOKUP($B26,Database!$B$1:$IX$10144,7,FALSE)))</f>
        <v>38</v>
      </c>
      <c r="I26" s="22">
        <f>IF($B26="","",IF(LEN(VLOOKUP($B26,Database!$B$1:$IX$10144,8,FALSE))=0,"",VLOOKUP($B26,Database!$B$1:$IX$10144,8,FALSE)))</f>
        <v>62</v>
      </c>
      <c r="J26" t="s">
        <v>2389</v>
      </c>
      <c r="L26">
        <v>1.74</v>
      </c>
      <c r="M26">
        <v>0.23</v>
      </c>
      <c r="N26">
        <v>1.76</v>
      </c>
      <c r="O26">
        <v>0.26</v>
      </c>
      <c r="P26">
        <v>1.83</v>
      </c>
      <c r="Q26">
        <v>0.23</v>
      </c>
      <c r="R26">
        <v>1.87</v>
      </c>
      <c r="S26">
        <v>0.27</v>
      </c>
      <c r="T26">
        <v>3.58</v>
      </c>
      <c r="U26">
        <v>0.45</v>
      </c>
      <c r="V26">
        <v>3.63</v>
      </c>
      <c r="W26">
        <v>0.52</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66.11</v>
      </c>
      <c r="AC26" s="22">
        <f>IF(OR($B26="",AC$22=""),"",IF(LEN(VLOOKUP($B26,Database!$B$1:$IX$10144,AC$22,FALSE))=0,"",VLOOKUP($B26,Database!$B$1:$IX$10144,AC$22,FALSE)))</f>
        <v>6.22</v>
      </c>
      <c r="AD26" s="22">
        <f>IF(OR($B26="",AD$22=""),"",IF(LEN(VLOOKUP($B26,Database!$B$1:$IX$10144,AD$22,FALSE))=0,"",VLOOKUP($B26,Database!$B$1:$IX$10144,AD$22,FALSE)))</f>
        <v>71.099999999999994</v>
      </c>
      <c r="AE26" s="22">
        <f>IF(OR($B26="",AE$22=""),"",IF(LEN(VLOOKUP($B26,Database!$B$1:$IX$10144,AE$22,FALSE))=0,"",VLOOKUP($B26,Database!$B$1:$IX$10144,AE$22,FALSE)))</f>
        <v>7.26</v>
      </c>
      <c r="AF26" s="22">
        <f>IF(OR($B26="",AF$22=""),"",IF(LEN(VLOOKUP($B26,Database!$B$1:$IX$10144,AF$22,FALSE))=0,"",VLOOKUP($B26,Database!$B$1:$IX$10144,AF$22,FALSE)))</f>
        <v>31</v>
      </c>
      <c r="AG26" s="22">
        <f>IF(OR($B26="",AG$22=""),"",IF(LEN(VLOOKUP($B26,Database!$B$1:$IX$10144,AG$22,FALSE))=0,"",VLOOKUP($B26,Database!$B$1:$IX$10144,AG$22,FALSE)))</f>
        <v>48</v>
      </c>
      <c r="AH26" s="22">
        <f>IF(OR($B26="",AH$22=""),"",IF(LEN(VLOOKUP($B26,Database!$B$1:$IX$10144,AH$22,FALSE))=0,"",VLOOKUP($B26,Database!$B$1:$IX$10144,AH$22,FALSE)))</f>
        <v>3</v>
      </c>
      <c r="AI26" s="22">
        <f>IF(OR($B26="",AI$22=""),"",IF(LEN(VLOOKUP($B26,Database!$B$1:$IX$10144,AI$22,FALSE))=0,"",VLOOKUP($B26,Database!$B$1:$IX$10144,AI$22,FALSE)))</f>
        <v>0.9</v>
      </c>
      <c r="AJ26" s="22" t="str">
        <f>IF(OR($B26="",AJ$22=""),"",IF(LEN(VLOOKUP($B26,Database!$B$1:$IX$10144,AJ$22,FALSE))=0,"",VLOOKUP($B26,Database!$B$1:$IX$10144,AJ$22,FALSE)))</f>
        <v/>
      </c>
      <c r="AK26" s="22">
        <f>IF(OR($B26="",AK$22=""),"",IF(LEN(VLOOKUP($B26,Database!$B$1:$IX$10144,AK$22,FALSE))=0,"",VLOOKUP($B26,Database!$B$1:$IX$10144,AK$22,FALSE)))</f>
        <v>37.76</v>
      </c>
      <c r="AL26" s="22" t="str">
        <f>IF(OR($B26="",AL$22=""),"",IF(LEN(VLOOKUP($B26,Database!$B$1:$IX$10144,AL$22,FALSE))=0,"",VLOOKUP($B26,Database!$B$1:$IX$10144,AL$22,FALSE)))</f>
        <v>ns</v>
      </c>
      <c r="AM26" s="22">
        <f>IF(OR($B26="",AM$22=""),"",IF(LEN(VLOOKUP($B26,Database!$B$1:$IX$10144,AM$22,FALSE))=0,"",VLOOKUP($B26,Database!$B$1:$IX$10144,AM$22,FALSE)))</f>
        <v>47.368421052631575</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Weber K, Giannakopoulos P, Delaloye C, de Bilbao F, Moy G, Moussa A, Rubio MM, Ebbing K, Meuli R, Lazeyras F, Meiler-Mititelu C, Herrmann FR, Gold G, Canuto A.</v>
      </c>
    </row>
    <row r="27" spans="1:43">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row>
    <row r="28" spans="1:43">
      <c r="A28" s="4" t="s">
        <v>397</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43">
      <c r="A29" t="s">
        <v>2018</v>
      </c>
      <c r="B29">
        <v>10862809</v>
      </c>
      <c r="C29" s="1" t="str">
        <f>IF($B29="","",HYPERLINK(IF(LEN(VLOOKUP($B29,Database!$B$1:$IX$10144,2,FALSE))=0,"",VLOOKUP($B29,Database!$B$1:$IX$10144,2,FALSE))))</f>
        <v/>
      </c>
      <c r="D29" s="1" t="str">
        <f t="shared" ref="D29:D38" si="0">IF($B29="","",HYPERLINK(CONCATENATE("http://www.ncbi.nlm.nih.gov/pubmed/",B29)))</f>
        <v>http://www.ncbi.nlm.nih.gov/pubmed/10862809</v>
      </c>
      <c r="E29" s="22" t="str">
        <f>IF($B29="","",IF(LEN(VLOOKUP($B29,Database!$B$1:$IX$10144,4,FALSE))=0,"",VLOOKUP($B29,Database!$B$1:$IX$10144,4,FALSE)))</f>
        <v>Vakili K</v>
      </c>
      <c r="F29" s="22">
        <f>IF($B29="","",IF(LEN(VLOOKUP($B29,Database!$B$1:$IX$10144,5,FALSE))=0,"",VLOOKUP($B29,Database!$B$1:$IX$10144,5,FALSE)))</f>
        <v>2000</v>
      </c>
      <c r="G29" s="1" t="str">
        <f>IF($B29="","",HYPERLINK(IF(LEN(VLOOKUP($B29,Database!$B$1:$IX$10144,6,FALSE))=0,"",VLOOKUP($B29,Database!$B$1:$IX$10144,6,FALSE))))</f>
        <v>http://dx.doi.org/10.1016/S0006-3223(99)00296-6</v>
      </c>
      <c r="H29" s="22">
        <f>IF($B29="","",IF(LEN(VLOOKUP($B29,Database!$B$1:$IX$10144,7,FALSE))=0,"",VLOOKUP($B29,Database!$B$1:$IX$10144,7,FALSE)))</f>
        <v>38</v>
      </c>
      <c r="I29" s="22">
        <f>IF($B29="","",IF(LEN(VLOOKUP($B29,Database!$B$1:$IX$10144,8,FALSE))=0,"",VLOOKUP($B29,Database!$B$1:$IX$10144,8,FALSE)))</f>
        <v>20</v>
      </c>
      <c r="J29" t="s">
        <v>1046</v>
      </c>
      <c r="L29">
        <v>2.64</v>
      </c>
      <c r="M29">
        <v>0.55000000000000004</v>
      </c>
      <c r="N29">
        <v>2.46</v>
      </c>
      <c r="O29">
        <v>0.38</v>
      </c>
      <c r="P29">
        <v>2.61</v>
      </c>
      <c r="Q29">
        <v>0.57999999999999996</v>
      </c>
      <c r="R29">
        <v>2.6</v>
      </c>
      <c r="S29">
        <v>0.51</v>
      </c>
      <c r="T29">
        <f t="shared" ref="T29:T38" si="1">L29+P29</f>
        <v>5.25</v>
      </c>
      <c r="U29">
        <f t="shared" ref="U29:U38" si="2">2*SQRT(0.25*(M29^2+Q29^2+2*$F$8*M29*Q29))</f>
        <v>1.0720541031123383</v>
      </c>
      <c r="V29">
        <f t="shared" ref="V29:V38" si="3">N29+R29</f>
        <v>5.0600000000000005</v>
      </c>
      <c r="W29">
        <f t="shared" ref="W29:W38" si="4">2*SQRT(0.25*(O29^2+S29^2+2*$F$8*O29*S29))</f>
        <v>0.84532833857620082</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38.5</v>
      </c>
      <c r="AC29" s="22">
        <f>IF(OR($B29="",AC$22=""),"",IF(LEN(VLOOKUP($B29,Database!$B$1:$IX$10144,AC$22,FALSE))=0,"",VLOOKUP($B29,Database!$B$1:$IX$10144,AC$22,FALSE)))</f>
        <v>10</v>
      </c>
      <c r="AD29" s="22">
        <f>IF(OR($B29="",AD$22=""),"",IF(LEN(VLOOKUP($B29,Database!$B$1:$IX$10144,AD$22,FALSE))=0,"",VLOOKUP($B29,Database!$B$1:$IX$10144,AD$22,FALSE)))</f>
        <v>40.299999999999997</v>
      </c>
      <c r="AE29" s="22">
        <f>IF(OR($B29="",AE$22=""),"",IF(LEN(VLOOKUP($B29,Database!$B$1:$IX$10144,AE$22,FALSE))=0,"",VLOOKUP($B29,Database!$B$1:$IX$10144,AE$22,FALSE)))</f>
        <v>10.4</v>
      </c>
      <c r="AF29" s="22">
        <f>IF(OR($B29="",AF$22=""),"",IF(LEN(VLOOKUP($B29,Database!$B$1:$IX$10144,AF$22,FALSE))=0,"",VLOOKUP($B29,Database!$B$1:$IX$10144,AF$22,FALSE)))</f>
        <v>21</v>
      </c>
      <c r="AG29" s="22">
        <f>IF(OR($B29="",AG$22=""),"",IF(LEN(VLOOKUP($B29,Database!$B$1:$IX$10144,AG$22,FALSE))=0,"",VLOOKUP($B29,Database!$B$1:$IX$10144,AG$22,FALSE)))</f>
        <v>11</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Vakili K, Pillay SS, Lafer B, Fava M, Renshaw PF, Bonello-Cintron CM, Yurgelun-Todd DA.</v>
      </c>
    </row>
    <row r="30" spans="1:43">
      <c r="A30" s="10"/>
      <c r="B30">
        <v>12552118</v>
      </c>
      <c r="C30" s="1" t="str">
        <f>IF($B30="","",HYPERLINK(IF(LEN(VLOOKUP($B30,Database!$B$1:$IX$10144,2,FALSE))=0,"",VLOOKUP($B30,Database!$B$1:$IX$10144,2,FALSE))))</f>
        <v/>
      </c>
      <c r="D30" s="1" t="str">
        <f t="shared" si="0"/>
        <v>http://www.ncbi.nlm.nih.gov/pubmed/12552118</v>
      </c>
      <c r="E30" s="22" t="str">
        <f>IF($B30="","",IF(LEN(VLOOKUP($B30,Database!$B$1:$IX$10144,4,FALSE))=0,"",VLOOKUP($B30,Database!$B$1:$IX$10144,4,FALSE)))</f>
        <v>MacQueen GM</v>
      </c>
      <c r="F30" s="22">
        <f>IF($B30="","",IF(LEN(VLOOKUP($B30,Database!$B$1:$IX$10144,5,FALSE))=0,"",VLOOKUP($B30,Database!$B$1:$IX$10144,5,FALSE)))</f>
        <v>2003</v>
      </c>
      <c r="G30" s="1" t="str">
        <f>IF($B30="","",HYPERLINK(IF(LEN(VLOOKUP($B30,Database!$B$1:$IX$10144,6,FALSE))=0,"",VLOOKUP($B30,Database!$B$1:$IX$10144,6,FALSE))))</f>
        <v>http://www.pnas.org/content/100/3/1387.full.pdf</v>
      </c>
      <c r="H30" s="83">
        <v>20</v>
      </c>
      <c r="I30" s="83">
        <v>20</v>
      </c>
      <c r="J30" t="s">
        <v>1379</v>
      </c>
      <c r="K30" t="s">
        <v>1720</v>
      </c>
      <c r="L30">
        <v>2738</v>
      </c>
      <c r="M30">
        <v>301.10000000000002</v>
      </c>
      <c r="N30">
        <v>2761</v>
      </c>
      <c r="O30">
        <v>368.4</v>
      </c>
      <c r="P30">
        <v>2793</v>
      </c>
      <c r="Q30">
        <v>303.8</v>
      </c>
      <c r="R30">
        <v>2784</v>
      </c>
      <c r="S30">
        <v>342.2</v>
      </c>
      <c r="T30">
        <f t="shared" si="1"/>
        <v>5531</v>
      </c>
      <c r="U30">
        <f t="shared" si="2"/>
        <v>573.85916216437636</v>
      </c>
      <c r="V30">
        <f t="shared" si="3"/>
        <v>5545</v>
      </c>
      <c r="W30">
        <f t="shared" si="4"/>
        <v>674.1852623722948</v>
      </c>
      <c r="Y30" s="22" t="str">
        <f>IF(OR($B30="",Y$22=""),"",IF(LEN(VLOOKUP($B30,Database!$B$1:$IX$10144,Y$22,FALSE))=0,"",VLOOKUP($B30,Database!$B$1:$IX$10144,Y$22,FALSE)))</f>
        <v>DSM-IV</v>
      </c>
      <c r="Z30" s="22" t="str">
        <f>IF(OR($B30="",Z$22=""),"",IF(LEN(VLOOKUP($B30,Database!$B$1:$IX$10144,Z$22,FALSE))=0,"",VLOOKUP($B30,Database!$B$1:$IX$10144,Z$22,FALSE)))</f>
        <v>MRI</v>
      </c>
      <c r="AA30" s="83" t="s">
        <v>748</v>
      </c>
      <c r="AB30" s="83">
        <v>28.4</v>
      </c>
      <c r="AC30" s="83">
        <v>11.8</v>
      </c>
      <c r="AD30" s="83">
        <v>28.4</v>
      </c>
      <c r="AE30" s="83">
        <v>11.5</v>
      </c>
      <c r="AF30" s="83">
        <v>65</v>
      </c>
      <c r="AG30" s="22">
        <f>IF(OR($B30="",AG$22=""),"",IF(LEN(VLOOKUP($B30,Database!$B$1:$IX$10144,AG$22,FALSE))=0,"",VLOOKUP($B30,Database!$B$1:$IX$10144,AG$22,FALSE)))</f>
        <v>13</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83">
        <v>26.3</v>
      </c>
      <c r="AL30" s="83">
        <v>19.100000000000001</v>
      </c>
      <c r="AM30" s="22" t="str">
        <f>IF(OR($B30="",AM$22=""),"",IF(LEN(VLOOKUP($B30,Database!$B$1:$IX$10144,AM$22,FALSE))=0,"",VLOOKUP($B30,Database!$B$1:$IX$10144,AM$22,FALSE)))</f>
        <v>ns</v>
      </c>
      <c r="AN30" s="22">
        <f>IF(OR($B30="",AN$22=""),"",IF(LEN(VLOOKUP($B30,Database!$B$1:$IX$10144,AN$22,FALSE))=0,"",VLOOKUP($B30,Database!$B$1:$IX$10144,AN$22,FALSE)))</f>
        <v>0</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MacQueen GM, Campbell S, McEwen BS, Macdonald K, Amano S, Joffe RT, Nahmias C, Young LT.</v>
      </c>
    </row>
    <row r="31" spans="1:43">
      <c r="A31" s="10"/>
      <c r="B31">
        <v>12552118</v>
      </c>
      <c r="C31" s="1" t="str">
        <f>IF($B31="","",HYPERLINK(IF(LEN(VLOOKUP($B31,Database!$B$1:$IX$10144,2,FALSE))=0,"",VLOOKUP($B31,Database!$B$1:$IX$10144,2,FALSE))))</f>
        <v/>
      </c>
      <c r="D31" s="1" t="str">
        <f t="shared" si="0"/>
        <v>http://www.ncbi.nlm.nih.gov/pubmed/12552118</v>
      </c>
      <c r="E31" s="22" t="str">
        <f>IF($B31="","",IF(LEN(VLOOKUP($B31,Database!$B$1:$IX$10144,4,FALSE))=0,"",VLOOKUP($B31,Database!$B$1:$IX$10144,4,FALSE)))</f>
        <v>MacQueen GM</v>
      </c>
      <c r="F31" s="22">
        <f>IF($B31="","",IF(LEN(VLOOKUP($B31,Database!$B$1:$IX$10144,5,FALSE))=0,"",VLOOKUP($B31,Database!$B$1:$IX$10144,5,FALSE)))</f>
        <v>2003</v>
      </c>
      <c r="G31" s="1" t="str">
        <f>IF($B31="","",HYPERLINK(IF(LEN(VLOOKUP($B31,Database!$B$1:$IX$10144,6,FALSE))=0,"",VLOOKUP($B31,Database!$B$1:$IX$10144,6,FALSE))))</f>
        <v>http://www.pnas.org/content/100/3/1387.full.pdf</v>
      </c>
      <c r="H31" s="83">
        <v>17</v>
      </c>
      <c r="I31" s="83">
        <v>17</v>
      </c>
      <c r="J31" t="s">
        <v>1379</v>
      </c>
      <c r="K31" t="s">
        <v>687</v>
      </c>
      <c r="L31">
        <v>2381</v>
      </c>
      <c r="M31">
        <v>273.5</v>
      </c>
      <c r="N31">
        <v>2703</v>
      </c>
      <c r="O31">
        <v>249</v>
      </c>
      <c r="P31">
        <v>2392</v>
      </c>
      <c r="Q31">
        <v>256.7</v>
      </c>
      <c r="R31">
        <v>2692</v>
      </c>
      <c r="S31">
        <v>190.1</v>
      </c>
      <c r="T31">
        <f t="shared" si="1"/>
        <v>4773</v>
      </c>
      <c r="U31">
        <f t="shared" si="2"/>
        <v>503.01993996262217</v>
      </c>
      <c r="V31">
        <f t="shared" si="3"/>
        <v>5395</v>
      </c>
      <c r="W31">
        <f t="shared" si="4"/>
        <v>416.98303322797199</v>
      </c>
      <c r="Y31" s="22" t="str">
        <f>IF(OR($B31="",Y$22=""),"",IF(LEN(VLOOKUP($B31,Database!$B$1:$IX$10144,Y$22,FALSE))=0,"",VLOOKUP($B31,Database!$B$1:$IX$10144,Y$22,FALSE)))</f>
        <v>DSM-IV</v>
      </c>
      <c r="Z31" s="22" t="str">
        <f>IF(OR($B31="",Z$22=""),"",IF(LEN(VLOOKUP($B31,Database!$B$1:$IX$10144,Z$22,FALSE))=0,"",VLOOKUP($B31,Database!$B$1:$IX$10144,Z$22,FALSE)))</f>
        <v>MRI</v>
      </c>
      <c r="AA31" s="83" t="s">
        <v>747</v>
      </c>
      <c r="AB31" s="83">
        <v>35.9</v>
      </c>
      <c r="AC31" s="83">
        <v>11.1</v>
      </c>
      <c r="AD31" s="83">
        <v>36.200000000000003</v>
      </c>
      <c r="AE31" s="83">
        <v>11.9</v>
      </c>
      <c r="AF31" s="83">
        <v>65</v>
      </c>
      <c r="AG31" s="22">
        <f>IF(OR($B31="",AG$22=""),"",IF(LEN(VLOOKUP($B31,Database!$B$1:$IX$10144,AG$22,FALSE))=0,"",VLOOKUP($B31,Database!$B$1:$IX$10144,AG$22,FALSE)))</f>
        <v>13</v>
      </c>
      <c r="AH31" s="22">
        <f>IF(OR($B31="",AH$22=""),"",IF(LEN(VLOOKUP($B31,Database!$B$1:$IX$10144,AH$22,FALSE))=0,"",VLOOKUP($B31,Database!$B$1:$IX$10144,AH$22,FALSE)))</f>
        <v>1.5</v>
      </c>
      <c r="AI31" s="22">
        <f>IF(OR($B31="",AI$22=""),"",IF(LEN(VLOOKUP($B31,Database!$B$1:$IX$10144,AI$22,FALSE))=0,"",VLOOKUP($B31,Database!$B$1:$IX$10144,AI$22,FALSE)))</f>
        <v>1.2</v>
      </c>
      <c r="AJ31" s="22" t="str">
        <f>IF(OR($B31="",AJ$22=""),"",IF(LEN(VLOOKUP($B31,Database!$B$1:$IX$10144,AJ$22,FALSE))=0,"",VLOOKUP($B31,Database!$B$1:$IX$10144,AJ$22,FALSE)))</f>
        <v/>
      </c>
      <c r="AK31" s="83">
        <v>24.9</v>
      </c>
      <c r="AL31" s="83">
        <v>17.5</v>
      </c>
      <c r="AM31" s="22" t="str">
        <f>IF(OR($B31="",AM$22=""),"",IF(LEN(VLOOKUP($B31,Database!$B$1:$IX$10144,AM$22,FALSE))=0,"",VLOOKUP($B31,Database!$B$1:$IX$10144,AM$22,FALSE)))</f>
        <v>ns</v>
      </c>
      <c r="AN31" s="22">
        <f>IF(OR($B31="",AN$22=""),"",IF(LEN(VLOOKUP($B31,Database!$B$1:$IX$10144,AN$22,FALSE))=0,"",VLOOKUP($B31,Database!$B$1:$IX$10144,AN$22,FALSE)))</f>
        <v>0</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MacQueen GM, Campbell S, McEwen BS, Macdonald K, Amano S, Joffe RT, Nahmias C, Young LT.</v>
      </c>
    </row>
    <row r="32" spans="1:43">
      <c r="A32" t="s">
        <v>2337</v>
      </c>
      <c r="B32">
        <v>15598548</v>
      </c>
      <c r="C32" s="1" t="str">
        <f>IF($B32="","",HYPERLINK(IF(LEN(VLOOKUP($B32,Database!$B$1:$IX$10144,2,FALSE))=0,"",VLOOKUP($B32,Database!$B$1:$IX$10144,2,FALSE))))</f>
        <v/>
      </c>
      <c r="D32" s="1" t="str">
        <f t="shared" si="0"/>
        <v>http://www.ncbi.nlm.nih.gov/pubmed/15598548</v>
      </c>
      <c r="E32" s="22" t="str">
        <f>IF($B32="","",IF(LEN(VLOOKUP($B32,Database!$B$1:$IX$10144,4,FALSE))=0,"",VLOOKUP($B32,Database!$B$1:$IX$10144,4,FALSE)))</f>
        <v>Caetano SC</v>
      </c>
      <c r="F32" s="22">
        <f>IF($B32="","",IF(LEN(VLOOKUP($B32,Database!$B$1:$IX$10144,5,FALSE))=0,"",VLOOKUP($B32,Database!$B$1:$IX$10144,5,FALSE)))</f>
        <v>2004</v>
      </c>
      <c r="G32" s="1" t="str">
        <f>IF($B32="","",HYPERLINK(IF(LEN(VLOOKUP($B32,Database!$B$1:$IX$10144,6,FALSE))=0,"",VLOOKUP($B32,Database!$B$1:$IX$10144,6,FALSE))))</f>
        <v>http://dx.doi.org/10.1016/j.pscychresns.2004.08.002</v>
      </c>
      <c r="H32" s="22">
        <f>IF($B32="","",IF(LEN(VLOOKUP($B32,Database!$B$1:$IX$10144,7,FALSE))=0,"",VLOOKUP($B32,Database!$B$1:$IX$10144,7,FALSE)))</f>
        <v>31</v>
      </c>
      <c r="I32" s="22">
        <f>IF($B32="","",IF(LEN(VLOOKUP($B32,Database!$B$1:$IX$10144,8,FALSE))=0,"",VLOOKUP($B32,Database!$B$1:$IX$10144,8,FALSE)))</f>
        <v>31</v>
      </c>
      <c r="J32" t="s">
        <v>1380</v>
      </c>
      <c r="L32">
        <v>3.32</v>
      </c>
      <c r="M32">
        <v>0.48</v>
      </c>
      <c r="N32">
        <v>3.37</v>
      </c>
      <c r="O32">
        <v>0.42</v>
      </c>
      <c r="P32">
        <v>3.22</v>
      </c>
      <c r="Q32">
        <v>0.39</v>
      </c>
      <c r="R32">
        <v>3.32</v>
      </c>
      <c r="S32">
        <v>0.43</v>
      </c>
      <c r="T32">
        <f t="shared" si="1"/>
        <v>6.54</v>
      </c>
      <c r="U32">
        <f t="shared" si="2"/>
        <v>0.82584502178072128</v>
      </c>
      <c r="V32">
        <f t="shared" si="3"/>
        <v>6.6899999999999995</v>
      </c>
      <c r="W32">
        <f t="shared" si="4"/>
        <v>0.80638700386352946</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39.200000000000003</v>
      </c>
      <c r="AC32" s="22">
        <f>IF(OR($B32="",AC$22=""),"",IF(LEN(VLOOKUP($B32,Database!$B$1:$IX$10144,AC$22,FALSE))=0,"",VLOOKUP($B32,Database!$B$1:$IX$10144,AC$22,FALSE)))</f>
        <v>11.9</v>
      </c>
      <c r="AD32" s="22">
        <f>IF(OR($B32="",AD$22=""),"",IF(LEN(VLOOKUP($B32,Database!$B$1:$IX$10144,AD$22,FALSE))=0,"",VLOOKUP($B32,Database!$B$1:$IX$10144,AD$22,FALSE)))</f>
        <v>36.700000000000003</v>
      </c>
      <c r="AE32" s="22">
        <f>IF(OR($B32="",AE$22=""),"",IF(LEN(VLOOKUP($B32,Database!$B$1:$IX$10144,AE$22,FALSE))=0,"",VLOOKUP($B32,Database!$B$1:$IX$10144,AE$22,FALSE)))</f>
        <v>10.7</v>
      </c>
      <c r="AF32" s="22">
        <f>IF(OR($B32="",AF$22=""),"",IF(LEN(VLOOKUP($B32,Database!$B$1:$IX$10144,AF$22,FALSE))=0,"",VLOOKUP($B32,Database!$B$1:$IX$10144,AF$22,FALSE)))</f>
        <v>24</v>
      </c>
      <c r="AG32" s="22">
        <f>IF(OR($B32="",AG$22=""),"",IF(LEN(VLOOKUP($B32,Database!$B$1:$IX$10144,AG$22,FALSE))=0,"",VLOOKUP($B32,Database!$B$1:$IX$10144,AG$22,FALSE)))</f>
        <v>24</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167">
        <f>((10*30.5)+(21*26.7))/31</f>
        <v>27.9258064516129</v>
      </c>
      <c r="AL32" s="167">
        <f>((10*1.5)+(21*16.7))/31</f>
        <v>11.796774193548387</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2" t="str">
        <f>IF(OR($B32="",AQ$22=""),"",IF(LEN(VLOOKUP($B32,Database!$B$1:$IX$10144,AQ$22,FALSE))=0,"",VLOOKUP($B32,Database!$B$1:$IX$10144,AQ$22,FALSE)))</f>
        <v>Caetano SC, Hatch JP, Brambilla P, Sassi RB, Nicoletti M, Mallinger AG, Frank E, Kupfer DJ, Keshavan MS, Soares JC.</v>
      </c>
    </row>
    <row r="33" spans="1:43">
      <c r="A33" s="10"/>
      <c r="B33">
        <v>15172942</v>
      </c>
      <c r="C33" s="1" t="str">
        <f>IF($B33="","",HYPERLINK(IF(LEN(VLOOKUP($B33,Database!$B$1:$IX$10144,2,FALSE))=0,"",VLOOKUP($B33,Database!$B$1:$IX$10144,2,FALSE))))</f>
        <v/>
      </c>
      <c r="D33" s="1" t="str">
        <f t="shared" si="0"/>
        <v>http://www.ncbi.nlm.nih.gov/pubmed/15172942</v>
      </c>
      <c r="E33" s="22" t="str">
        <f>IF($B33="","",IF(LEN(VLOOKUP($B33,Database!$B$1:$IX$10144,4,FALSE))=0,"",VLOOKUP($B33,Database!$B$1:$IX$10144,4,FALSE)))</f>
        <v>Lloyd AJ</v>
      </c>
      <c r="F33" s="22">
        <f>IF($B33="","",IF(LEN(VLOOKUP($B33,Database!$B$1:$IX$10144,5,FALSE))=0,"",VLOOKUP($B33,Database!$B$1:$IX$10144,5,FALSE)))</f>
        <v>2004</v>
      </c>
      <c r="G33" s="1" t="str">
        <f>IF($B33="","",HYPERLINK(IF(LEN(VLOOKUP($B33,Database!$B$1:$IX$10144,6,FALSE))=0,"",VLOOKUP($B33,Database!$B$1:$IX$10144,6,FALSE))))</f>
        <v>http://bjp.rcpsych.org/cgi/reprint/184/6/488</v>
      </c>
      <c r="H33" s="22">
        <f>IF($B33="","",IF(LEN(VLOOKUP($B33,Database!$B$1:$IX$10144,7,FALSE))=0,"",VLOOKUP($B33,Database!$B$1:$IX$10144,7,FALSE)))</f>
        <v>51</v>
      </c>
      <c r="I33" s="22">
        <f>IF($B33="","",IF(LEN(VLOOKUP($B33,Database!$B$1:$IX$10144,8,FALSE))=0,"",VLOOKUP($B33,Database!$B$1:$IX$10144,8,FALSE)))</f>
        <v>39</v>
      </c>
      <c r="J33" t="s">
        <v>1612</v>
      </c>
      <c r="L33">
        <v>2.7</v>
      </c>
      <c r="M33">
        <v>0.4</v>
      </c>
      <c r="N33">
        <v>2.8</v>
      </c>
      <c r="O33">
        <v>0.4</v>
      </c>
      <c r="P33">
        <v>2.8</v>
      </c>
      <c r="Q33">
        <v>0.5</v>
      </c>
      <c r="R33">
        <v>3</v>
      </c>
      <c r="S33">
        <v>0.4</v>
      </c>
      <c r="T33">
        <f t="shared" si="1"/>
        <v>5.5</v>
      </c>
      <c r="U33">
        <f t="shared" si="2"/>
        <v>0.85440037453175322</v>
      </c>
      <c r="V33">
        <f t="shared" si="3"/>
        <v>5.8</v>
      </c>
      <c r="W33">
        <f t="shared" si="4"/>
        <v>0.7589466384404111</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74</v>
      </c>
      <c r="AC33" s="22">
        <f>IF(OR($B33="",AC$22=""),"",IF(LEN(VLOOKUP($B33,Database!$B$1:$IX$10144,AC$22,FALSE))=0,"",VLOOKUP($B33,Database!$B$1:$IX$10144,AC$22,FALSE)))</f>
        <v>6.3</v>
      </c>
      <c r="AD33" s="22">
        <f>IF(OR($B33="",AD$22=""),"",IF(LEN(VLOOKUP($B33,Database!$B$1:$IX$10144,AD$22,FALSE))=0,"",VLOOKUP($B33,Database!$B$1:$IX$10144,AD$22,FALSE)))</f>
        <v>73.099999999999994</v>
      </c>
      <c r="AE33" s="22">
        <f>IF(OR($B33="",AE$22=""),"",IF(LEN(VLOOKUP($B33,Database!$B$1:$IX$10144,AE$22,FALSE))=0,"",VLOOKUP($B33,Database!$B$1:$IX$10144,AE$22,FALSE)))</f>
        <v>6.7</v>
      </c>
      <c r="AF33" s="22">
        <f>IF(OR($B33="",AF$22=""),"",IF(LEN(VLOOKUP($B33,Database!$B$1:$IX$10144,AF$22,FALSE))=0,"",VLOOKUP($B33,Database!$B$1:$IX$10144,AF$22,FALSE)))</f>
        <v>41</v>
      </c>
      <c r="AG33" s="22">
        <f>IF(OR($B33="",AG$22=""),"",IF(LEN(VLOOKUP($B33,Database!$B$1:$IX$10144,AG$22,FALSE))=0,"",VLOOKUP($B33,Database!$B$1:$IX$10144,AG$22,FALSE)))</f>
        <v>29</v>
      </c>
      <c r="AH33" s="22">
        <f>IF(OR($B33="",AH$22=""),"",IF(LEN(VLOOKUP($B33,Database!$B$1:$IX$10144,AH$22,FALSE))=0,"",VLOOKUP($B33,Database!$B$1:$IX$10144,AH$22,FALSE)))</f>
        <v>1</v>
      </c>
      <c r="AI33" s="22">
        <f>IF(OR($B33="",AI$22=""),"",IF(LEN(VLOOKUP($B33,Database!$B$1:$IX$10144,AI$22,FALSE))=0,"",VLOOKUP($B33,Database!$B$1:$IX$10144,AI$22,FALSE)))</f>
        <v>1</v>
      </c>
      <c r="AJ33" s="22" t="str">
        <f>IF(OR($B33="",AJ$22=""),"",IF(LEN(VLOOKUP($B33,Database!$B$1:$IX$10144,AJ$22,FALSE))=0,"",VLOOKUP($B33,Database!$B$1:$IX$10144,AJ$22,FALSE)))</f>
        <v/>
      </c>
      <c r="AK33" s="167">
        <f>((23*38.7)+(28*72))/51</f>
        <v>56.982352941176465</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Lloyd AJ, Ferrier IN, Barber R, Gholkar A, Young AH, O'Brien JT.</v>
      </c>
    </row>
    <row r="34" spans="1:43">
      <c r="A34" t="s">
        <v>2191</v>
      </c>
      <c r="B34">
        <v>14969587</v>
      </c>
      <c r="C34" s="1" t="str">
        <f>IF($B34="","",HYPERLINK(IF(LEN(VLOOKUP($B34,Database!$B$1:$IX$10144,2,FALSE))=0,"",VLOOKUP($B34,Database!$B$1:$IX$10144,2,FALSE))))</f>
        <v/>
      </c>
      <c r="D34" s="1" t="str">
        <f t="shared" si="0"/>
        <v>http://www.ncbi.nlm.nih.gov/pubmed/14969587</v>
      </c>
      <c r="E34" s="22" t="str">
        <f>IF($B34="","",IF(LEN(VLOOKUP($B34,Database!$B$1:$IX$10144,4,FALSE))=0,"",VLOOKUP($B34,Database!$B$1:$IX$10144,4,FALSE)))</f>
        <v>MacMaster FP (A)</v>
      </c>
      <c r="F34" s="22">
        <f>IF($B34="","",IF(LEN(VLOOKUP($B34,Database!$B$1:$IX$10144,5,FALSE))=0,"",VLOOKUP($B34,Database!$B$1:$IX$10144,5,FALSE)))</f>
        <v>2004</v>
      </c>
      <c r="G34" s="1" t="str">
        <f>IF($B34="","",HYPERLINK(IF(LEN(VLOOKUP($B34,Database!$B$1:$IX$10144,6,FALSE))=0,"",VLOOKUP($B34,Database!$B$1:$IX$10144,6,FALSE))))</f>
        <v>http://www.biomedcentral.com/content/pdf/1741-7015-2-2.pdf</v>
      </c>
      <c r="H34" s="22">
        <f>IF($B34="","",IF(LEN(VLOOKUP($B34,Database!$B$1:$IX$10144,7,FALSE))=0,"",VLOOKUP($B34,Database!$B$1:$IX$10144,7,FALSE)))</f>
        <v>17</v>
      </c>
      <c r="I34" s="22">
        <f>IF($B34="","",IF(LEN(VLOOKUP($B34,Database!$B$1:$IX$10144,8,FALSE))=0,"",VLOOKUP($B34,Database!$B$1:$IX$10144,8,FALSE)))</f>
        <v>17</v>
      </c>
      <c r="J34" t="s">
        <v>1378</v>
      </c>
      <c r="L34">
        <v>2.5299999999999998</v>
      </c>
      <c r="M34">
        <v>0.371</v>
      </c>
      <c r="N34">
        <v>3.05</v>
      </c>
      <c r="O34">
        <v>0.45400000000000001</v>
      </c>
      <c r="P34">
        <v>2.54</v>
      </c>
      <c r="Q34">
        <v>0.495</v>
      </c>
      <c r="R34">
        <v>2.88</v>
      </c>
      <c r="S34">
        <v>0.45400000000000001</v>
      </c>
      <c r="T34">
        <f t="shared" si="1"/>
        <v>5.07</v>
      </c>
      <c r="U34">
        <f t="shared" si="2"/>
        <v>0.82249498478714134</v>
      </c>
      <c r="V34">
        <f t="shared" si="3"/>
        <v>5.93</v>
      </c>
      <c r="W34">
        <f t="shared" si="4"/>
        <v>0.8614044346298666</v>
      </c>
      <c r="X34" s="96"/>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16.670000000000002</v>
      </c>
      <c r="AC34" s="22">
        <f>IF(OR($B34="",AC$22=""),"",IF(LEN(VLOOKUP($B34,Database!$B$1:$IX$10144,AC$22,FALSE))=0,"",VLOOKUP($B34,Database!$B$1:$IX$10144,AC$22,FALSE)))</f>
        <v>1.83</v>
      </c>
      <c r="AD34" s="22">
        <f>IF(OR($B34="",AD$22=""),"",IF(LEN(VLOOKUP($B34,Database!$B$1:$IX$10144,AD$22,FALSE))=0,"",VLOOKUP($B34,Database!$B$1:$IX$10144,AD$22,FALSE)))</f>
        <v>16.23</v>
      </c>
      <c r="AE34" s="22">
        <f>IF(OR($B34="",AE$22=""),"",IF(LEN(VLOOKUP($B34,Database!$B$1:$IX$10144,AE$22,FALSE))=0,"",VLOOKUP($B34,Database!$B$1:$IX$10144,AE$22,FALSE)))</f>
        <v>1.61</v>
      </c>
      <c r="AF34" s="22">
        <f>IF(OR($B34="",AF$22=""),"",IF(LEN(VLOOKUP($B34,Database!$B$1:$IX$10144,AF$22,FALSE))=0,"",VLOOKUP($B34,Database!$B$1:$IX$10144,AF$22,FALSE)))</f>
        <v>9</v>
      </c>
      <c r="AG34" s="22">
        <f>IF(OR($B34="",AG$22=""),"",IF(LEN(VLOOKUP($B34,Database!$B$1:$IX$10144,AG$22,FALSE))=0,"",VLOOKUP($B34,Database!$B$1:$IX$10144,AG$22,FALSE)))</f>
        <v>9</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14.06</v>
      </c>
      <c r="AL34" s="22" t="str">
        <f>IF(OR($B34="",AL$22=""),"",IF(LEN(VLOOKUP($B34,Database!$B$1:$IX$10144,AL$22,FALSE))=0,"",VLOOKUP($B34,Database!$B$1:$IX$10144,AL$22,FALSE)))</f>
        <v>ns</v>
      </c>
      <c r="AM34" s="22">
        <f>IF(OR($B34="",AM$22=""),"",IF(LEN(VLOOKUP($B34,Database!$B$1:$IX$10144,AM$22,FALSE))=0,"",VLOOKUP($B34,Database!$B$1:$IX$10144,AM$22,FALSE)))</f>
        <v>5.8823529411764701</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82.35294117647058</v>
      </c>
      <c r="AQ34" s="22" t="str">
        <f>IF(OR($B34="",AQ$22=""),"",IF(LEN(VLOOKUP($B34,Database!$B$1:$IX$10144,AQ$22,FALSE))=0,"",VLOOKUP($B34,Database!$B$1:$IX$10144,AQ$22,FALSE)))</f>
        <v>MacMaster FP, Kusumakar V.</v>
      </c>
    </row>
    <row r="35" spans="1:43">
      <c r="A35" s="10"/>
      <c r="B35">
        <v>17604352</v>
      </c>
      <c r="C35" s="1" t="str">
        <f>IF($B35="","",HYPERLINK(IF(LEN(VLOOKUP($B35,Database!$B$1:$IX$10144,2,FALSE))=0,"",VLOOKUP($B35,Database!$B$1:$IX$10144,2,FALSE))))</f>
        <v/>
      </c>
      <c r="D35" s="1" t="str">
        <f t="shared" si="0"/>
        <v>http://www.ncbi.nlm.nih.gov/pubmed/17604352</v>
      </c>
      <c r="E35" s="22" t="str">
        <f>IF($B35="","",IF(LEN(VLOOKUP($B35,Database!$B$1:$IX$10144,4,FALSE))=0,"",VLOOKUP($B35,Database!$B$1:$IX$10144,4,FALSE)))</f>
        <v>Maller JJ</v>
      </c>
      <c r="F35" s="22">
        <f>IF($B35="","",IF(LEN(VLOOKUP($B35,Database!$B$1:$IX$10144,5,FALSE))=0,"",VLOOKUP($B35,Database!$B$1:$IX$10144,5,FALSE)))</f>
        <v>2007</v>
      </c>
      <c r="G35" s="1" t="str">
        <f>IF($B35="","",HYPERLINK(IF(LEN(VLOOKUP($B35,Database!$B$1:$IX$10144,6,FALSE))=0,"",VLOOKUP($B35,Database!$B$1:$IX$10144,6,FALSE))))</f>
        <v>http://dx.doi.org/10.1002/hipo.20339</v>
      </c>
      <c r="H35" s="83">
        <v>22</v>
      </c>
      <c r="I35" s="83">
        <v>13</v>
      </c>
      <c r="J35" t="s">
        <v>1266</v>
      </c>
      <c r="K35" t="s">
        <v>1367</v>
      </c>
      <c r="L35">
        <v>3010.56</v>
      </c>
      <c r="M35">
        <v>291.39999999999998</v>
      </c>
      <c r="N35">
        <v>3270.01</v>
      </c>
      <c r="O35">
        <v>429.57</v>
      </c>
      <c r="P35">
        <v>2977.8</v>
      </c>
      <c r="Q35">
        <v>276.56</v>
      </c>
      <c r="R35">
        <v>3202.8</v>
      </c>
      <c r="S35">
        <v>487.12</v>
      </c>
      <c r="T35">
        <f t="shared" si="1"/>
        <v>5988.3600000000006</v>
      </c>
      <c r="U35">
        <f t="shared" si="2"/>
        <v>538.83460171002378</v>
      </c>
      <c r="V35">
        <f t="shared" si="3"/>
        <v>6472.81</v>
      </c>
      <c r="W35">
        <f t="shared" si="4"/>
        <v>869.83889355443284</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83">
        <v>37.29</v>
      </c>
      <c r="AC35" s="83">
        <v>8.76</v>
      </c>
      <c r="AD35" s="83">
        <v>39.29</v>
      </c>
      <c r="AE35" s="83">
        <v>12.67</v>
      </c>
      <c r="AF35" s="83">
        <v>0</v>
      </c>
      <c r="AG35" s="22">
        <f>IF(OR($B35="",AG$22=""),"",IF(LEN(VLOOKUP($B35,Database!$B$1:$IX$10144,AG$22,FALSE))=0,"",VLOOKUP($B35,Database!$B$1:$IX$10144,AG$22,FALSE)))</f>
        <v>17</v>
      </c>
      <c r="AH35" s="22">
        <f>IF(OR($B35="",AH$22=""),"",IF(LEN(VLOOKUP($B35,Database!$B$1:$IX$10144,AH$22,FALSE))=0,"",VLOOKUP($B35,Database!$B$1:$IX$10144,AH$22,FALSE)))</f>
        <v>1.5</v>
      </c>
      <c r="AI35" s="22">
        <f>IF(OR($B35="",AI$22=""),"",IF(LEN(VLOOKUP($B35,Database!$B$1:$IX$10144,AI$22,FALSE))=0,"",VLOOKUP($B35,Database!$B$1:$IX$10144,AI$22,FALSE)))</f>
        <v>0.94</v>
      </c>
      <c r="AJ35" s="22" t="str">
        <f>IF(OR($B35="",AJ$22=""),"",IF(LEN(VLOOKUP($B35,Database!$B$1:$IX$10144,AJ$22,FALSE))=0,"",VLOOKUP($B35,Database!$B$1:$IX$10144,AJ$22,FALSE)))</f>
        <v/>
      </c>
      <c r="AK35" s="22" t="str">
        <f>IF(OR($B35="",AK$22=""),"",IF(LEN(VLOOKUP($B35,Database!$B$1:$IX$10144,AK$22,FALSE))=0,"",VLOOKUP($B35,Database!$B$1:$IX$10144,AK$22,FALSE)))</f>
        <v>ns</v>
      </c>
      <c r="AL35" s="22" t="str">
        <f>IF(OR($B35="",AL$22=""),"",IF(LEN(VLOOKUP($B35,Database!$B$1:$IX$10144,AL$22,FALSE))=0,"",VLOOKUP($B35,Database!$B$1:$IX$10144,AL$22,FALSE)))</f>
        <v>ns</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Maller JJ, Daskalakis ZJ, Fitzgerald PB.</v>
      </c>
    </row>
    <row r="36" spans="1:43">
      <c r="A36" t="s">
        <v>2322</v>
      </c>
      <c r="B36">
        <v>17604352</v>
      </c>
      <c r="C36" s="1" t="str">
        <f>IF($B36="","",HYPERLINK(IF(LEN(VLOOKUP($B36,Database!$B$1:$IX$10144,2,FALSE))=0,"",VLOOKUP($B36,Database!$B$1:$IX$10144,2,FALSE))))</f>
        <v/>
      </c>
      <c r="D36" s="1" t="str">
        <f t="shared" si="0"/>
        <v>http://www.ncbi.nlm.nih.gov/pubmed/17604352</v>
      </c>
      <c r="E36" s="22" t="str">
        <f>IF($B36="","",IF(LEN(VLOOKUP($B36,Database!$B$1:$IX$10144,4,FALSE))=0,"",VLOOKUP($B36,Database!$B$1:$IX$10144,4,FALSE)))</f>
        <v>Maller JJ</v>
      </c>
      <c r="F36" s="22">
        <f>IF($B36="","",IF(LEN(VLOOKUP($B36,Database!$B$1:$IX$10144,5,FALSE))=0,"",VLOOKUP($B36,Database!$B$1:$IX$10144,5,FALSE)))</f>
        <v>2007</v>
      </c>
      <c r="G36" s="1" t="str">
        <f>IF($B36="","",HYPERLINK(IF(LEN(VLOOKUP($B36,Database!$B$1:$IX$10144,6,FALSE))=0,"",VLOOKUP($B36,Database!$B$1:$IX$10144,6,FALSE))))</f>
        <v>http://dx.doi.org/10.1002/hipo.20339</v>
      </c>
      <c r="H36" s="83">
        <v>23</v>
      </c>
      <c r="I36" s="83">
        <v>17</v>
      </c>
      <c r="J36" t="s">
        <v>1266</v>
      </c>
      <c r="K36" t="s">
        <v>2188</v>
      </c>
      <c r="L36">
        <v>2781.15</v>
      </c>
      <c r="M36">
        <v>376.58</v>
      </c>
      <c r="N36">
        <v>2989.96</v>
      </c>
      <c r="O36">
        <v>252.14</v>
      </c>
      <c r="P36">
        <v>2817.3</v>
      </c>
      <c r="Q36">
        <v>239.23</v>
      </c>
      <c r="R36">
        <v>2961.03</v>
      </c>
      <c r="S36">
        <v>281.60000000000002</v>
      </c>
      <c r="T36">
        <f t="shared" si="1"/>
        <v>5598.4500000000007</v>
      </c>
      <c r="U36">
        <f t="shared" si="2"/>
        <v>585.82101595965287</v>
      </c>
      <c r="V36">
        <f t="shared" si="3"/>
        <v>5950.99</v>
      </c>
      <c r="W36">
        <f t="shared" si="4"/>
        <v>506.43591697272024</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83">
        <v>37.47</v>
      </c>
      <c r="AC36" s="83">
        <v>12.96</v>
      </c>
      <c r="AD36" s="83">
        <v>35.76</v>
      </c>
      <c r="AE36" s="83">
        <v>11.03</v>
      </c>
      <c r="AF36" s="83">
        <v>100</v>
      </c>
      <c r="AG36" s="22">
        <f>IF(OR($B36="",AG$22=""),"",IF(LEN(VLOOKUP($B36,Database!$B$1:$IX$10144,AG$22,FALSE))=0,"",VLOOKUP($B36,Database!$B$1:$IX$10144,AG$22,FALSE)))</f>
        <v>17</v>
      </c>
      <c r="AH36" s="22">
        <f>IF(OR($B36="",AH$22=""),"",IF(LEN(VLOOKUP($B36,Database!$B$1:$IX$10144,AH$22,FALSE))=0,"",VLOOKUP($B36,Database!$B$1:$IX$10144,AH$22,FALSE)))</f>
        <v>1.5</v>
      </c>
      <c r="AI36" s="22">
        <f>IF(OR($B36="",AI$22=""),"",IF(LEN(VLOOKUP($B36,Database!$B$1:$IX$10144,AI$22,FALSE))=0,"",VLOOKUP($B36,Database!$B$1:$IX$10144,AI$22,FALSE)))</f>
        <v>0.94</v>
      </c>
      <c r="AJ36" s="22" t="str">
        <f>IF(OR($B36="",AJ$22=""),"",IF(LEN(VLOOKUP($B36,Database!$B$1:$IX$10144,AJ$22,FALSE))=0,"",VLOOKUP($B36,Database!$B$1:$IX$10144,AJ$22,FALSE)))</f>
        <v/>
      </c>
      <c r="AK36" s="22" t="str">
        <f>IF(OR($B36="",AK$22=""),"",IF(LEN(VLOOKUP($B36,Database!$B$1:$IX$10144,AK$22,FALSE))=0,"",VLOOKUP($B36,Database!$B$1:$IX$10144,AK$22,FALSE)))</f>
        <v>ns</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Maller JJ, Daskalakis ZJ, Fitzgerald PB.</v>
      </c>
    </row>
    <row r="37" spans="1:43">
      <c r="B37">
        <v>19028381</v>
      </c>
      <c r="C37" s="1" t="str">
        <f>IF($B37="","",HYPERLINK(IF(LEN(VLOOKUP($B37,Database!$B$1:$IX$10144,2,FALSE))=0,"",VLOOKUP($B37,Database!$B$1:$IX$10144,2,FALSE))))</f>
        <v/>
      </c>
      <c r="D37" s="1" t="str">
        <f t="shared" si="0"/>
        <v>http://www.ncbi.nlm.nih.gov/pubmed/19028381</v>
      </c>
      <c r="E37" s="22" t="str">
        <f>IF($B37="","",IF(LEN(VLOOKUP($B37,Database!$B$1:$IX$10144,4,FALSE))=0,"",VLOOKUP($B37,Database!$B$1:$IX$10144,4,FALSE)))</f>
        <v>van Eijndhoven P</v>
      </c>
      <c r="F37" s="22">
        <f>IF($B37="","",IF(LEN(VLOOKUP($B37,Database!$B$1:$IX$10144,5,FALSE))=0,"",VLOOKUP($B37,Database!$B$1:$IX$10144,5,FALSE)))</f>
        <v>2009</v>
      </c>
      <c r="G37" s="1" t="str">
        <f>IF($B37="","",HYPERLINK(IF(LEN(VLOOKUP($B37,Database!$B$1:$IX$10144,6,FALSE))=0,"",VLOOKUP($B37,Database!$B$1:$IX$10144,6,FALSE))))</f>
        <v>http://dx.doi.org/10.1016/j.biopsych.2008.10.027</v>
      </c>
      <c r="H37" s="83">
        <v>20</v>
      </c>
      <c r="I37" s="83">
        <v>10</v>
      </c>
      <c r="J37" t="s">
        <v>887</v>
      </c>
      <c r="K37" t="s">
        <v>864</v>
      </c>
      <c r="L37">
        <v>3620</v>
      </c>
      <c r="M37">
        <v>385</v>
      </c>
      <c r="N37">
        <v>3716</v>
      </c>
      <c r="O37">
        <v>364</v>
      </c>
      <c r="P37">
        <v>3752</v>
      </c>
      <c r="Q37">
        <v>442</v>
      </c>
      <c r="R37">
        <v>3881</v>
      </c>
      <c r="S37">
        <v>429</v>
      </c>
      <c r="T37">
        <f t="shared" si="1"/>
        <v>7372</v>
      </c>
      <c r="U37">
        <f t="shared" si="2"/>
        <v>784.76811861848716</v>
      </c>
      <c r="V37">
        <f t="shared" si="3"/>
        <v>7597</v>
      </c>
      <c r="W37">
        <f t="shared" si="4"/>
        <v>752.5866063118583</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83">
        <v>34.1</v>
      </c>
      <c r="AC37" s="83">
        <v>11.6</v>
      </c>
      <c r="AD37" s="22">
        <f>IF(OR($B37="",AD$22=""),"",IF(LEN(VLOOKUP($B37,Database!$B$1:$IX$10144,AD$22,FALSE))=0,"",VLOOKUP($B37,Database!$B$1:$IX$10144,AD$22,FALSE)))</f>
        <v>37.299999999999997</v>
      </c>
      <c r="AE37" s="22">
        <f>IF(OR($B37="",AE$22=""),"",IF(LEN(VLOOKUP($B37,Database!$B$1:$IX$10144,AE$22,FALSE))=0,"",VLOOKUP($B37,Database!$B$1:$IX$10144,AE$22,FALSE)))</f>
        <v>12.7</v>
      </c>
      <c r="AF37" s="22">
        <f>IF(OR($B37="",AF$22=""),"",IF(LEN(VLOOKUP($B37,Database!$B$1:$IX$10144,AF$22,FALSE))=0,"",VLOOKUP($B37,Database!$B$1:$IX$10144,AF$22,FALSE)))</f>
        <v>27</v>
      </c>
      <c r="AG37" s="22">
        <f>IF(OR($B37="",AG$22=""),"",IF(LEN(VLOOKUP($B37,Database!$B$1:$IX$10144,AG$22,FALSE))=0,"",VLOOKUP($B37,Database!$B$1:$IX$10144,AG$22,FALSE)))</f>
        <v>13</v>
      </c>
      <c r="AH37" s="22">
        <f>IF(OR($B37="",AH$22=""),"",IF(LEN(VLOOKUP($B37,Database!$B$1:$IX$10144,AH$22,FALSE))=0,"",VLOOKUP($B37,Database!$B$1:$IX$10144,AH$22,FALSE)))</f>
        <v>1.5</v>
      </c>
      <c r="AI37" s="22">
        <f>IF(OR($B37="",AI$22=""),"",IF(LEN(VLOOKUP($B37,Database!$B$1:$IX$10144,AI$22,FALSE))=0,"",VLOOKUP($B37,Database!$B$1:$IX$10144,AI$22,FALSE)))</f>
        <v>1</v>
      </c>
      <c r="AJ37" s="22" t="str">
        <f>IF(OR($B37="",AJ$22=""),"",IF(LEN(VLOOKUP($B37,Database!$B$1:$IX$10144,AJ$22,FALSE))=0,"",VLOOKUP($B37,Database!$B$1:$IX$10144,AJ$22,FALSE)))</f>
        <v/>
      </c>
      <c r="AK37" s="83">
        <v>34.1</v>
      </c>
      <c r="AL37" s="83">
        <v>21.08</v>
      </c>
      <c r="AM37" s="22">
        <f>IF(OR($B37="",AM$22=""),"",IF(LEN(VLOOKUP($B37,Database!$B$1:$IX$10144,AM$22,FALSE))=0,"",VLOOKUP($B37,Database!$B$1:$IX$10144,AM$22,FALSE)))</f>
        <v>0</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van Eijndhoven P, van Wingen G, van Oijen K, Rijpkema M, Goraj B, Jan Verkes R, Oude Voshaar R, Fernández G, Buitelaar J, Tendolkar I.</v>
      </c>
    </row>
    <row r="38" spans="1:43">
      <c r="B38">
        <v>19028381</v>
      </c>
      <c r="C38" s="1" t="str">
        <f>IF($B38="","",HYPERLINK(IF(LEN(VLOOKUP($B38,Database!$B$1:$IX$10144,2,FALSE))=0,"",VLOOKUP($B38,Database!$B$1:$IX$10144,2,FALSE))))</f>
        <v/>
      </c>
      <c r="D38" s="1" t="str">
        <f t="shared" si="0"/>
        <v>http://www.ncbi.nlm.nih.gov/pubmed/19028381</v>
      </c>
      <c r="E38" s="22" t="str">
        <f>IF($B38="","",IF(LEN(VLOOKUP($B38,Database!$B$1:$IX$10144,4,FALSE))=0,"",VLOOKUP($B38,Database!$B$1:$IX$10144,4,FALSE)))</f>
        <v>van Eijndhoven P</v>
      </c>
      <c r="F38" s="22">
        <f>IF($B38="","",IF(LEN(VLOOKUP($B38,Database!$B$1:$IX$10144,5,FALSE))=0,"",VLOOKUP($B38,Database!$B$1:$IX$10144,5,FALSE)))</f>
        <v>2009</v>
      </c>
      <c r="G38" s="1" t="str">
        <f>IF($B38="","",HYPERLINK(IF(LEN(VLOOKUP($B38,Database!$B$1:$IX$10144,6,FALSE))=0,"",VLOOKUP($B38,Database!$B$1:$IX$10144,6,FALSE))))</f>
        <v>http://dx.doi.org/10.1016/j.biopsych.2008.10.027</v>
      </c>
      <c r="H38" s="83">
        <v>20</v>
      </c>
      <c r="I38" s="83">
        <v>10</v>
      </c>
      <c r="J38" t="s">
        <v>887</v>
      </c>
      <c r="K38" t="s">
        <v>357</v>
      </c>
      <c r="L38">
        <v>3600</v>
      </c>
      <c r="M38">
        <v>360</v>
      </c>
      <c r="N38">
        <v>3716</v>
      </c>
      <c r="O38">
        <v>364</v>
      </c>
      <c r="P38">
        <v>3815</v>
      </c>
      <c r="Q38">
        <v>459</v>
      </c>
      <c r="R38">
        <v>3881</v>
      </c>
      <c r="S38">
        <v>429</v>
      </c>
      <c r="T38">
        <f t="shared" si="1"/>
        <v>7415</v>
      </c>
      <c r="U38">
        <f t="shared" si="2"/>
        <v>777.60208333054254</v>
      </c>
      <c r="V38">
        <f t="shared" si="3"/>
        <v>7597</v>
      </c>
      <c r="W38">
        <f t="shared" si="4"/>
        <v>752.5866063118583</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83">
        <v>35.799999999999997</v>
      </c>
      <c r="AC38" s="83">
        <v>11.7</v>
      </c>
      <c r="AD38" s="22">
        <f>IF(OR($B38="",AD$22=""),"",IF(LEN(VLOOKUP($B38,Database!$B$1:$IX$10144,AD$22,FALSE))=0,"",VLOOKUP($B38,Database!$B$1:$IX$10144,AD$22,FALSE)))</f>
        <v>37.299999999999997</v>
      </c>
      <c r="AE38" s="22">
        <f>IF(OR($B38="",AE$22=""),"",IF(LEN(VLOOKUP($B38,Database!$B$1:$IX$10144,AE$22,FALSE))=0,"",VLOOKUP($B38,Database!$B$1:$IX$10144,AE$22,FALSE)))</f>
        <v>12.7</v>
      </c>
      <c r="AF38" s="22">
        <f>IF(OR($B38="",AF$22=""),"",IF(LEN(VLOOKUP($B38,Database!$B$1:$IX$10144,AF$22,FALSE))=0,"",VLOOKUP($B38,Database!$B$1:$IX$10144,AF$22,FALSE)))</f>
        <v>27</v>
      </c>
      <c r="AG38" s="22">
        <f>IF(OR($B38="",AG$22=""),"",IF(LEN(VLOOKUP($B38,Database!$B$1:$IX$10144,AG$22,FALSE))=0,"",VLOOKUP($B38,Database!$B$1:$IX$10144,AG$22,FALSE)))</f>
        <v>13</v>
      </c>
      <c r="AH38" s="22">
        <f>IF(OR($B38="",AH$22=""),"",IF(LEN(VLOOKUP($B38,Database!$B$1:$IX$10144,AH$22,FALSE))=0,"",VLOOKUP($B38,Database!$B$1:$IX$10144,AH$22,FALSE)))</f>
        <v>1.5</v>
      </c>
      <c r="AI38" s="22">
        <f>IF(OR($B38="",AI$22=""),"",IF(LEN(VLOOKUP($B38,Database!$B$1:$IX$10144,AI$22,FALSE))=0,"",VLOOKUP($B38,Database!$B$1:$IX$10144,AI$22,FALSE)))</f>
        <v>1</v>
      </c>
      <c r="AJ38" s="22" t="str">
        <f>IF(OR($B38="",AJ$22=""),"",IF(LEN(VLOOKUP($B38,Database!$B$1:$IX$10144,AJ$22,FALSE))=0,"",VLOOKUP($B38,Database!$B$1:$IX$10144,AJ$22,FALSE)))</f>
        <v/>
      </c>
      <c r="AK38" s="83">
        <v>33.4</v>
      </c>
      <c r="AL38" s="83">
        <v>3.4</v>
      </c>
      <c r="AM38" s="22">
        <f>IF(OR($B38="",AM$22=""),"",IF(LEN(VLOOKUP($B38,Database!$B$1:$IX$10144,AM$22,FALSE))=0,"",VLOOKUP($B38,Database!$B$1:$IX$10144,AM$22,FALSE)))</f>
        <v>0</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van Eijndhoven P, van Wingen G, van Oijen K, Rijpkema M, Goraj B, Jan Verkes R, Oude Voshaar R, Fernández G, Buitelaar J, Tendolkar I.</v>
      </c>
    </row>
    <row r="39" spans="1:43">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c r="AQ39" s="22"/>
    </row>
    <row r="40" spans="1:43">
      <c r="C40" s="1"/>
      <c r="D40" s="1"/>
      <c r="E40" s="22"/>
      <c r="F40" s="22"/>
      <c r="G40" s="1"/>
      <c r="H40" s="22"/>
      <c r="I40" s="22"/>
      <c r="Y40" s="22"/>
      <c r="Z40" s="22"/>
      <c r="AA40" s="22"/>
      <c r="AB40" s="22"/>
      <c r="AC40" s="22"/>
      <c r="AD40" s="22"/>
      <c r="AE40" s="22"/>
      <c r="AF40" s="22"/>
      <c r="AG40" s="22"/>
      <c r="AH40" s="22"/>
      <c r="AI40" s="22"/>
      <c r="AJ40" s="22"/>
      <c r="AK40" s="22"/>
      <c r="AL40" s="22"/>
      <c r="AM40" s="22"/>
      <c r="AN40" s="22"/>
      <c r="AO40" s="22"/>
      <c r="AP40" s="22"/>
      <c r="AQ40" s="22"/>
    </row>
    <row r="41" spans="1:43">
      <c r="A41" s="4" t="s">
        <v>350</v>
      </c>
      <c r="C41" s="1"/>
      <c r="D41" s="1" t="str">
        <f t="shared" ref="D41:D48" si="5">IF($B41="","",HYPERLINK(CONCATENATE("http://www.ncbi.nlm.nih.gov/pubmed/",B41)))</f>
        <v/>
      </c>
      <c r="E41" s="22" t="str">
        <f>IF($B41="","",IF(LEN(VLOOKUP($B41,Database!$B$1:$IX$10144,4,FALSE))=0,"",VLOOKUP($B41,Database!$B$1:$IX$10144,4,FALSE)))</f>
        <v/>
      </c>
      <c r="F41" s="22" t="str">
        <f>IF($B41="","",IF(LEN(VLOOKUP($B41,Database!$B$1:$IX$10144,5,FALSE))=0,"",VLOOKUP($B41,Database!$B$1:$IX$10144,5,FALSE)))</f>
        <v/>
      </c>
      <c r="G41" s="1" t="str">
        <f>IF($B41="","",HYPERLINK(IF(LEN(VLOOKUP($B41,Database!$B$1:$IX$10144,6,FALSE))=0,"",VLOOKUP($B41,Database!$B$1:$IX$10144,6,FALSE))))</f>
        <v/>
      </c>
      <c r="H41" s="22" t="str">
        <f>IF($B41="","",IF(LEN(VLOOKUP($B41,Database!$B$1:$IX$10144,7,FALSE))=0,"",VLOOKUP($B41,Database!$B$1:$IX$10144,7,FALSE)))</f>
        <v/>
      </c>
      <c r="I41" s="22" t="str">
        <f>IF($B41="","",IF(LEN(VLOOKUP($B41,Database!$B$1:$IX$10144,8,FALSE))=0,"",VLOOKUP($B41,Database!$B$1:$IX$10144,8,FALSE)))</f>
        <v/>
      </c>
      <c r="Y41" s="22" t="str">
        <f>IF(OR($B41="",Y$22=""),"",IF(LEN(VLOOKUP($B41,Database!$B$1:$IX$10144,Y$22,FALSE))=0,"",VLOOKUP($B41,Database!$B$1:$IX$10144,Y$22,FALSE)))</f>
        <v/>
      </c>
      <c r="Z41" s="22" t="str">
        <f>IF(OR($B41="",Z$22=""),"",IF(LEN(VLOOKUP($B41,Database!$B$1:$IX$10144,Z$22,FALSE))=0,"",VLOOKUP($B41,Database!$B$1:$IX$10144,Z$22,FALSE)))</f>
        <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t="str">
        <f>IF(OR($B41="",AD$22=""),"",IF(LEN(VLOOKUP($B41,Database!$B$1:$IX$10144,AD$22,FALSE))=0,"",VLOOKUP($B41,Database!$B$1:$IX$10144,AD$22,FALSE)))</f>
        <v/>
      </c>
      <c r="AE41" s="22" t="str">
        <f>IF(OR($B41="",AE$22=""),"",IF(LEN(VLOOKUP($B41,Database!$B$1:$IX$10144,AE$22,FALSE))=0,"",VLOOKUP($B41,Database!$B$1:$IX$10144,AE$22,FALSE)))</f>
        <v/>
      </c>
      <c r="AF41" s="22" t="str">
        <f>IF(OR($B41="",AF$22=""),"",IF(LEN(VLOOKUP($B41,Database!$B$1:$IX$10144,AF$22,FALSE))=0,"",VLOOKUP($B41,Database!$B$1:$IX$10144,AF$22,FALSE)))</f>
        <v/>
      </c>
      <c r="AG41" s="22" t="str">
        <f>IF(OR($B41="",AG$22=""),"",IF(LEN(VLOOKUP($B41,Database!$B$1:$IX$10144,AG$22,FALSE))=0,"",VLOOKUP($B41,Database!$B$1:$IX$10144,AG$22,FALSE)))</f>
        <v/>
      </c>
      <c r="AH41" s="22" t="str">
        <f>IF(OR($B41="",AH$22=""),"",IF(LEN(VLOOKUP($B41,Database!$B$1:$IX$10144,AH$22,FALSE))=0,"",VLOOKUP($B41,Database!$B$1:$IX$10144,AH$22,FALSE)))</f>
        <v/>
      </c>
      <c r="AI41" s="22" t="str">
        <f>IF(OR($B41="",AI$22=""),"",IF(LEN(VLOOKUP($B41,Database!$B$1:$IX$10144,AI$22,FALSE))=0,"",VLOOKUP($B41,Database!$B$1:$IX$10144,AI$22,FALSE)))</f>
        <v/>
      </c>
      <c r="AJ41" s="22" t="str">
        <f>IF(OR($B41="",AJ$22=""),"",IF(LEN(VLOOKUP($B41,Database!$B$1:$IX$10144,AJ$22,FALSE))=0,"",VLOOKUP($B41,Database!$B$1:$IX$10144,AJ$22,FALSE)))</f>
        <v/>
      </c>
      <c r="AK41" s="22" t="str">
        <f>IF(OR($B41="",AK$22=""),"",IF(LEN(VLOOKUP($B41,Database!$B$1:$IX$10144,AK$22,FALSE))=0,"",VLOOKUP($B41,Database!$B$1:$IX$10144,AK$22,FALSE)))</f>
        <v/>
      </c>
      <c r="AL41" s="22" t="str">
        <f>IF(OR($B41="",AL$22=""),"",IF(LEN(VLOOKUP($B41,Database!$B$1:$IX$10144,AL$22,FALSE))=0,"",VLOOKUP($B41,Database!$B$1:$IX$10144,AL$22,FALSE)))</f>
        <v/>
      </c>
      <c r="AM41" s="22" t="str">
        <f>IF(OR($B41="",AM$22=""),"",IF(LEN(VLOOKUP($B41,Database!$B$1:$IX$10144,AM$22,FALSE))=0,"",VLOOKUP($B41,Database!$B$1:$IX$10144,AM$22,FALSE)))</f>
        <v/>
      </c>
      <c r="AN41" s="22" t="str">
        <f>IF(OR($B41="",AN$22=""),"",IF(LEN(VLOOKUP($B41,Database!$B$1:$IX$10144,AN$22,FALSE))=0,"",VLOOKUP($B41,Database!$B$1:$IX$10144,AN$22,FALSE)))</f>
        <v/>
      </c>
      <c r="AO41" s="22" t="str">
        <f>IF(OR($B41="",AO$22=""),"",IF(LEN(VLOOKUP($B41,Database!$B$1:$IX$10144,AO$22,FALSE))=0,"",VLOOKUP($B41,Database!$B$1:$IX$10144,AO$22,FALSE)))</f>
        <v/>
      </c>
      <c r="AP41" s="22"/>
      <c r="AQ41" s="22"/>
    </row>
    <row r="42" spans="1:43">
      <c r="A42" s="10" t="s">
        <v>2323</v>
      </c>
      <c r="B42">
        <v>10366636</v>
      </c>
      <c r="C42" s="1" t="str">
        <f>IF($B42="","",HYPERLINK(IF(LEN(VLOOKUP($B42,Database!$B$1:$IX$10144,2,FALSE))=0,"",VLOOKUP($B42,Database!$B$1:$IX$10144,2,FALSE))))</f>
        <v/>
      </c>
      <c r="D42" s="1" t="str">
        <f t="shared" si="5"/>
        <v>http://www.ncbi.nlm.nih.gov/pubmed/10366636</v>
      </c>
      <c r="E42" s="22" t="str">
        <f>IF($B42="","",IF(LEN(VLOOKUP($B42,Database!$B$1:$IX$10144,4,FALSE))=0,"",VLOOKUP($B42,Database!$B$1:$IX$10144,4,FALSE)))</f>
        <v>Sheline YI</v>
      </c>
      <c r="F42" s="22">
        <f>IF($B42="","",IF(LEN(VLOOKUP($B42,Database!$B$1:$IX$10144,5,FALSE))=0,"",VLOOKUP($B42,Database!$B$1:$IX$10144,5,FALSE)))</f>
        <v>1999</v>
      </c>
      <c r="G42" s="1" t="str">
        <f>IF($B42="","",HYPERLINK(IF(LEN(VLOOKUP($B42,Database!$B$1:$IX$10144,6,FALSE))=0,"",VLOOKUP($B42,Database!$B$1:$IX$10144,6,FALSE))))</f>
        <v>http://ajp.psychiatryonline.org/cgi/reprint/156/12/1989</v>
      </c>
      <c r="H42" s="22">
        <f>IF($B42="","",IF(LEN(VLOOKUP($B42,Database!$B$1:$IX$10144,7,FALSE))=0,"",VLOOKUP($B42,Database!$B$1:$IX$10144,7,FALSE)))</f>
        <v>24</v>
      </c>
      <c r="I42" s="22">
        <f>IF($B42="","",IF(LEN(VLOOKUP($B42,Database!$B$1:$IX$10144,8,FALSE))=0,"",VLOOKUP($B42,Database!$B$1:$IX$10144,8,FALSE)))</f>
        <v>24</v>
      </c>
      <c r="J42" t="s">
        <v>939</v>
      </c>
      <c r="L42">
        <v>2230</v>
      </c>
      <c r="M42">
        <v>323</v>
      </c>
      <c r="N42">
        <v>2482</v>
      </c>
      <c r="O42">
        <v>305</v>
      </c>
      <c r="P42">
        <v>2264</v>
      </c>
      <c r="Q42">
        <v>320</v>
      </c>
      <c r="R42">
        <v>2468</v>
      </c>
      <c r="S42">
        <v>309</v>
      </c>
      <c r="T42">
        <v>4496</v>
      </c>
      <c r="U42">
        <v>602</v>
      </c>
      <c r="V42">
        <v>4951</v>
      </c>
      <c r="W42">
        <v>601</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c r="AC42" s="22"/>
      <c r="AD42" s="22">
        <f>IF(OR($B42="",AD$22=""),"",IF(LEN(VLOOKUP($B42,Database!$B$1:$IX$10144,AD$22,FALSE))=0,"",VLOOKUP($B42,Database!$B$1:$IX$10144,AD$22,FALSE)))</f>
        <v>52.8</v>
      </c>
      <c r="AE42" s="22">
        <f>IF(OR($B42="",AE$22=""),"",IF(LEN(VLOOKUP($B42,Database!$B$1:$IX$10144,AE$22,FALSE))=0,"",VLOOKUP($B42,Database!$B$1:$IX$10144,AE$22,FALSE)))</f>
        <v>17.8</v>
      </c>
      <c r="AF42" s="22">
        <f>IF(OR($B42="",AF$22=""),"",IF(LEN(VLOOKUP($B42,Database!$B$1:$IX$10144,AF$22,FALSE))=0,"",VLOOKUP($B42,Database!$B$1:$IX$10144,AF$22,FALSE)))</f>
        <v>24</v>
      </c>
      <c r="AG42" s="22">
        <f>IF(OR($B42="",AG$22=""),"",IF(LEN(VLOOKUP($B42,Database!$B$1:$IX$10144,AG$22,FALSE))=0,"",VLOOKUP($B42,Database!$B$1:$IX$10144,AG$22,FALSE)))</f>
        <v>24</v>
      </c>
      <c r="AH42" s="22">
        <f>IF(OR($B42="",AH$22=""),"",IF(LEN(VLOOKUP($B42,Database!$B$1:$IX$10144,AH$22,FALSE))=0,"",VLOOKUP($B42,Database!$B$1:$IX$10144,AH$22,FALSE)))</f>
        <v>1.5</v>
      </c>
      <c r="AI42" s="22">
        <f>IF(OR($B42="",AI$22=""),"",IF(LEN(VLOOKUP($B42,Database!$B$1:$IX$10144,AI$22,FALSE))=0,"",VLOOKUP($B42,Database!$B$1:$IX$10144,AI$22,FALSE)))</f>
        <v>1.25</v>
      </c>
      <c r="AJ42" s="22" t="str">
        <f>IF(OR($B42="",AJ$22=""),"",IF(LEN(VLOOKUP($B42,Database!$B$1:$IX$10144,AJ$22,FALSE))=0,"",VLOOKUP($B42,Database!$B$1:$IX$10144,AJ$22,FALSE)))</f>
        <v/>
      </c>
      <c r="AK42" s="22" t="str">
        <f>IF(OR($B42="",AK$22=""),"",IF(LEN(VLOOKUP($B42,Database!$B$1:$IX$10144,AK$22,FALSE))=0,"",VLOOKUP($B42,Database!$B$1:$IX$10144,AK$22,FALSE)))</f>
        <v>ns</v>
      </c>
      <c r="AL42" s="22" t="str">
        <f>IF(OR($B42="",AL$22=""),"",IF(LEN(VLOOKUP($B42,Database!$B$1:$IX$10144,AL$22,FALSE))=0,"",VLOOKUP($B42,Database!$B$1:$IX$10144,AL$22,FALSE)))</f>
        <v>ns</v>
      </c>
      <c r="AM42" s="22">
        <f>IF(OR($B42="",AM$22=""),"",IF(LEN(VLOOKUP($B42,Database!$B$1:$IX$10144,AM$22,FALSE))=0,"",VLOOKUP($B42,Database!$B$1:$IX$10144,AM$22,FALSE)))</f>
        <v>66.666666666666657</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Sheline YI, Sanghavi M, Mintun MA, Gado MH.</v>
      </c>
    </row>
    <row r="43" spans="1:43">
      <c r="A43" s="7" t="s">
        <v>71</v>
      </c>
      <c r="B43">
        <v>10618023</v>
      </c>
      <c r="C43" s="1" t="str">
        <f>IF($B43="","",HYPERLINK(IF(LEN(VLOOKUP($B43,Database!$B$1:$IX$10144,2,FALSE))=0,"",VLOOKUP($B43,Database!$B$1:$IX$10144,2,FALSE))))</f>
        <v/>
      </c>
      <c r="D43" s="1" t="str">
        <f t="shared" si="5"/>
        <v>http://www.ncbi.nlm.nih.gov/pubmed/10618023</v>
      </c>
      <c r="E43" s="22" t="str">
        <f>IF($B43="","",IF(LEN(VLOOKUP($B43,Database!$B$1:$IX$10144,4,FALSE))=0,"",VLOOKUP($B43,Database!$B$1:$IX$10144,4,FALSE)))</f>
        <v>Bremner JD</v>
      </c>
      <c r="F43" s="22">
        <f>IF($B43="","",IF(LEN(VLOOKUP($B43,Database!$B$1:$IX$10144,5,FALSE))=0,"",VLOOKUP($B43,Database!$B$1:$IX$10144,5,FALSE)))</f>
        <v>2000</v>
      </c>
      <c r="G43" s="1" t="str">
        <f>IF($B43="","",HYPERLINK(IF(LEN(VLOOKUP($B43,Database!$B$1:$IX$10144,6,FALSE))=0,"",VLOOKUP($B43,Database!$B$1:$IX$10144,6,FALSE))))</f>
        <v>http://ajp.psychiatryonline.org/cgi/reprint/157/1/115</v>
      </c>
      <c r="H43" s="22">
        <f>IF($B43="","",IF(LEN(VLOOKUP($B43,Database!$B$1:$IX$10144,7,FALSE))=0,"",VLOOKUP($B43,Database!$B$1:$IX$10144,7,FALSE)))</f>
        <v>16</v>
      </c>
      <c r="I43" s="22">
        <f>IF($B43="","",IF(LEN(VLOOKUP($B43,Database!$B$1:$IX$10144,8,FALSE))=0,"",VLOOKUP($B43,Database!$B$1:$IX$10144,8,FALSE)))</f>
        <v>16</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43</v>
      </c>
      <c r="AC43" s="22">
        <f>IF(OR($B43="",AC$22=""),"",IF(LEN(VLOOKUP($B43,Database!$B$1:$IX$10144,AC$22,FALSE))=0,"",VLOOKUP($B43,Database!$B$1:$IX$10144,AC$22,FALSE)))</f>
        <v>8</v>
      </c>
      <c r="AD43" s="22">
        <f>IF(OR($B43="",AD$22=""),"",IF(LEN(VLOOKUP($B43,Database!$B$1:$IX$10144,AD$22,FALSE))=0,"",VLOOKUP($B43,Database!$B$1:$IX$10144,AD$22,FALSE)))</f>
        <v>45</v>
      </c>
      <c r="AE43" s="22">
        <f>IF(OR($B43="",AE$22=""),"",IF(LEN(VLOOKUP($B43,Database!$B$1:$IX$10144,AE$22,FALSE))=0,"",VLOOKUP($B43,Database!$B$1:$IX$10144,AE$22,FALSE)))</f>
        <v>10</v>
      </c>
      <c r="AF43" s="22">
        <f>IF(OR($B43="",AF$22=""),"",IF(LEN(VLOOKUP($B43,Database!$B$1:$IX$10144,AF$22,FALSE))=0,"",VLOOKUP($B43,Database!$B$1:$IX$10144,AF$22,FALSE)))</f>
        <v>6</v>
      </c>
      <c r="AG43" s="22">
        <f>IF(OR($B43="",AG$22=""),"",IF(LEN(VLOOKUP($B43,Database!$B$1:$IX$10144,AG$22,FALSE))=0,"",VLOOKUP($B43,Database!$B$1:$IX$10144,AG$22,FALSE)))</f>
        <v>6</v>
      </c>
      <c r="AH43" s="22">
        <f>IF(OR($B43="",AH$22=""),"",IF(LEN(VLOOKUP($B43,Database!$B$1:$IX$10144,AH$22,FALSE))=0,"",VLOOKUP($B43,Database!$B$1:$IX$10144,AH$22,FALSE)))</f>
        <v>1.5</v>
      </c>
      <c r="AI43" s="22">
        <f>IF(OR($B43="",AI$22=""),"",IF(LEN(VLOOKUP($B43,Database!$B$1:$IX$10144,AI$22,FALSE))=0,"",VLOOKUP($B43,Database!$B$1:$IX$10144,AI$22,FALSE)))</f>
        <v>3</v>
      </c>
      <c r="AJ43" s="22" t="str">
        <f>IF(OR($B43="",AJ$22=""),"",IF(LEN(VLOOKUP($B43,Database!$B$1:$IX$10144,AJ$22,FALSE))=0,"",VLOOKUP($B43,Database!$B$1:$IX$10144,AJ$22,FALSE)))</f>
        <v/>
      </c>
      <c r="AK43" s="22" t="str">
        <f>IF(OR($B43="",AK$22=""),"",IF(LEN(VLOOKUP($B43,Database!$B$1:$IX$10144,AK$22,FALSE))=0,"",VLOOKUP($B43,Database!$B$1:$IX$10144,AK$22,FALSE)))</f>
        <v>ns</v>
      </c>
      <c r="AL43" s="22" t="str">
        <f>IF(OR($B43="",AL$22=""),"",IF(LEN(VLOOKUP($B43,Database!$B$1:$IX$10144,AL$22,FALSE))=0,"",VLOOKUP($B43,Database!$B$1:$IX$10144,AL$22,FALSE)))</f>
        <v>ns</v>
      </c>
      <c r="AM43" s="22">
        <f>IF(OR($B43="",AM$22=""),"",IF(LEN(VLOOKUP($B43,Database!$B$1:$IX$10144,AM$22,FALSE))=0,"",VLOOKUP($B43,Database!$B$1:$IX$10144,AM$22,FALSE)))</f>
        <v>100</v>
      </c>
      <c r="AN43" s="22">
        <f>IF(OR($B43="",AN$22=""),"",IF(LEN(VLOOKUP($B43,Database!$B$1:$IX$10144,AN$22,FALSE))=0,"",VLOOKUP($B43,Database!$B$1:$IX$10144,AN$22,FALSE)))</f>
        <v>0</v>
      </c>
      <c r="AO43" s="22">
        <f>IF(OR($B43="",AO$22=""),"",IF(LEN(VLOOKUP($B43,Database!$B$1:$IX$10144,AO$22,FALSE))=0,"",VLOOKUP($B43,Database!$B$1:$IX$10144,AO$22,FALSE)))</f>
        <v>0</v>
      </c>
      <c r="AP43" s="22">
        <f>IF(OR($B43="",AP$22=""),"",IF(LEN(VLOOKUP($B43,Database!$B$1:$IX$10144,AP$22,FALSE))=0,"",VLOOKUP($B43,Database!$B$1:$IX$10144,AP$22,FALSE)))</f>
        <v>0</v>
      </c>
      <c r="AQ43" s="22" t="str">
        <f>IF(OR($B43="",AQ$22=""),"",IF(LEN(VLOOKUP($B43,Database!$B$1:$IX$10144,AQ$22,FALSE))=0,"",VLOOKUP($B43,Database!$B$1:$IX$10144,AQ$22,FALSE)))</f>
        <v>Bremner JD, Narayan M, Anderson ER, Staib LH, Miller HL, Charney DS.</v>
      </c>
    </row>
    <row r="44" spans="1:43">
      <c r="A44" s="10" t="s">
        <v>2015</v>
      </c>
      <c r="B44">
        <v>16930719</v>
      </c>
      <c r="C44" s="1" t="str">
        <f>IF($B44="","",HYPERLINK(IF(LEN(VLOOKUP($B44,Database!$B$1:$IX$10144,2,FALSE))=0,"",VLOOKUP($B44,Database!$B$1:$IX$10144,2,FALSE))))</f>
        <v/>
      </c>
      <c r="D44" s="1" t="str">
        <f t="shared" si="5"/>
        <v>http://www.ncbi.nlm.nih.gov/pubmed/16930719</v>
      </c>
      <c r="E44" s="22" t="str">
        <f>IF($B44="","",IF(LEN(VLOOKUP($B44,Database!$B$1:$IX$10144,4,FALSE))=0,"",VLOOKUP($B44,Database!$B$1:$IX$10144,4,FALSE)))</f>
        <v>Hickie IB (A)</v>
      </c>
      <c r="F44" s="22">
        <f>IF($B44="","",IF(LEN(VLOOKUP($B44,Database!$B$1:$IX$10144,5,FALSE))=0,"",VLOOKUP($B44,Database!$B$1:$IX$10144,5,FALSE)))</f>
        <v>2007</v>
      </c>
      <c r="G44" s="1" t="str">
        <f>IF($B44="","",HYPERLINK(IF(LEN(VLOOKUP($B44,Database!$B$1:$IX$10144,6,FALSE))=0,"",VLOOKUP($B44,Database!$B$1:$IX$10144,6,FALSE))))</f>
        <v>http://dx.doi.org/10.1016/j.jad.2006.07.010</v>
      </c>
      <c r="H44" s="22">
        <f>IF($B44="","",IF(LEN(VLOOKUP($B44,Database!$B$1:$IX$10144,7,FALSE))=0,"",VLOOKUP($B44,Database!$B$1:$IX$10144,7,FALSE)))</f>
        <v>45</v>
      </c>
      <c r="I44" s="22">
        <f>IF($B44="","",IF(LEN(VLOOKUP($B44,Database!$B$1:$IX$10144,8,FALSE))=0,"",VLOOKUP($B44,Database!$B$1:$IX$10144,8,FALSE)))</f>
        <v>16</v>
      </c>
      <c r="J44" t="s">
        <v>1224</v>
      </c>
      <c r="T44">
        <v>5.9</v>
      </c>
      <c r="U44">
        <v>0.7</v>
      </c>
      <c r="V44">
        <v>6.4</v>
      </c>
      <c r="W44">
        <v>0.7</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52</v>
      </c>
      <c r="AC44" s="22">
        <f>IF(OR($B44="",AC$22=""),"",IF(LEN(VLOOKUP($B44,Database!$B$1:$IX$10144,AC$22,FALSE))=0,"",VLOOKUP($B44,Database!$B$1:$IX$10144,AC$22,FALSE)))</f>
        <v>12.8</v>
      </c>
      <c r="AD44" s="22">
        <f>IF(OR($B44="",AD$22=""),"",IF(LEN(VLOOKUP($B44,Database!$B$1:$IX$10144,AD$22,FALSE))=0,"",VLOOKUP($B44,Database!$B$1:$IX$10144,AD$22,FALSE)))</f>
        <v>55.8</v>
      </c>
      <c r="AE44" s="22">
        <f>IF(OR($B44="",AE$22=""),"",IF(LEN(VLOOKUP($B44,Database!$B$1:$IX$10144,AE$22,FALSE))=0,"",VLOOKUP($B44,Database!$B$1:$IX$10144,AE$22,FALSE)))</f>
        <v>10.3</v>
      </c>
      <c r="AF44" s="22">
        <f>IF(OR($B44="",AF$22=""),"",IF(LEN(VLOOKUP($B44,Database!$B$1:$IX$10144,AF$22,FALSE))=0,"",VLOOKUP($B44,Database!$B$1:$IX$10144,AF$22,FALSE)))</f>
        <v>30</v>
      </c>
      <c r="AG44" s="22">
        <f>IF(OR($B44="",AG$22=""),"",IF(LEN(VLOOKUP($B44,Database!$B$1:$IX$10144,AG$22,FALSE))=0,"",VLOOKUP($B44,Database!$B$1:$IX$10144,AG$22,FALSE)))</f>
        <v>9</v>
      </c>
      <c r="AH44" s="22">
        <f>IF(OR($B44="",AH$22=""),"",IF(LEN(VLOOKUP($B44,Database!$B$1:$IX$10144,AH$22,FALSE))=0,"",VLOOKUP($B44,Database!$B$1:$IX$10144,AH$22,FALSE)))</f>
        <v>1.5</v>
      </c>
      <c r="AI44" s="22">
        <f>IF(OR($B44="",AI$22=""),"",IF(LEN(VLOOKUP($B44,Database!$B$1:$IX$10144,AI$22,FALSE))=0,"",VLOOKUP($B44,Database!$B$1:$IX$10144,AI$22,FALSE)))</f>
        <v>1.5</v>
      </c>
      <c r="AJ44" s="22" t="str">
        <f>IF(OR($B44="",AJ$22=""),"",IF(LEN(VLOOKUP($B44,Database!$B$1:$IX$10144,AJ$22,FALSE))=0,"",VLOOKUP($B44,Database!$B$1:$IX$10144,AJ$22,FALSE)))</f>
        <v/>
      </c>
      <c r="AK44" s="22">
        <f>IF(OR($B44="",AK$22=""),"",IF(LEN(VLOOKUP($B44,Database!$B$1:$IX$10144,AK$22,FALSE))=0,"",VLOOKUP($B44,Database!$B$1:$IX$10144,AK$22,FALSE)))</f>
        <v>36.1</v>
      </c>
      <c r="AL44" s="22">
        <f>IF(OR($B44="",AL$22=""),"",IF(LEN(VLOOKUP($B44,Database!$B$1:$IX$10144,AL$22,FALSE))=0,"",VLOOKUP($B44,Database!$B$1:$IX$10144,AL$22,FALSE)))</f>
        <v>26.8</v>
      </c>
      <c r="AM44" s="22">
        <f>IF(OR($B44="",AM$22=""),"",IF(LEN(VLOOKUP($B44,Database!$B$1:$IX$10144,AM$22,FALSE))=0,"",VLOOKUP($B44,Database!$B$1:$IX$10144,AM$22,FALSE)))</f>
        <v>64.444444444444443</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Hickie IB, Naismith SL, Ward PB, Scott EM, Mitchell PB, Schofield PR, Scimone A, Wilhelm K, Parker G.</v>
      </c>
    </row>
    <row r="45" spans="1:43">
      <c r="A45" s="10" t="s">
        <v>2016</v>
      </c>
      <c r="B45">
        <v>17210630</v>
      </c>
      <c r="C45" s="1" t="str">
        <f>IF($B45="","",HYPERLINK(IF(LEN(VLOOKUP($B45,Database!$B$1:$IX$10144,2,FALSE))=0,"",VLOOKUP($B45,Database!$B$1:$IX$10144,2,FALSE))))</f>
        <v/>
      </c>
      <c r="D45" s="1" t="str">
        <f t="shared" si="5"/>
        <v>http://www.ncbi.nlm.nih.gov/pubmed/17210630</v>
      </c>
      <c r="E45" s="22" t="str">
        <f>IF($B45="","",IF(LEN(VLOOKUP($B45,Database!$B$1:$IX$10144,4,FALSE))=0,"",VLOOKUP($B45,Database!$B$1:$IX$10144,4,FALSE)))</f>
        <v>Janssen J</v>
      </c>
      <c r="F45" s="22">
        <f>IF($B45="","",IF(LEN(VLOOKUP($B45,Database!$B$1:$IX$10144,5,FALSE))=0,"",VLOOKUP($B45,Database!$B$1:$IX$10144,5,FALSE)))</f>
        <v>2007</v>
      </c>
      <c r="G45" s="1" t="str">
        <f>IF($B45="","",HYPERLINK(IF(LEN(VLOOKUP($B45,Database!$B$1:$IX$10144,6,FALSE))=0,"",VLOOKUP($B45,Database!$B$1:$IX$10144,6,FALSE))))</f>
        <v>http://jnnp.bmj.com/cgi/reprint/78/6/638</v>
      </c>
      <c r="H45" s="83">
        <v>13</v>
      </c>
      <c r="I45" s="83">
        <v>11</v>
      </c>
      <c r="J45" t="s">
        <v>877</v>
      </c>
      <c r="K45" t="s">
        <v>1225</v>
      </c>
      <c r="M45" s="10"/>
      <c r="T45">
        <v>5.51</v>
      </c>
      <c r="U45" s="10"/>
      <c r="V45">
        <v>6</v>
      </c>
      <c r="W45" s="10"/>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t="str">
        <f>IF(OR($B45="",AB$22=""),"",IF(LEN(VLOOKUP($B45,Database!$B$1:$IX$10144,AB$22,FALSE))=0,"",VLOOKUP($B45,Database!$B$1:$IX$10144,AB$22,FALSE)))</f>
        <v/>
      </c>
      <c r="AC45" s="22" t="str">
        <f>IF(OR($B45="",AC$22=""),"",IF(LEN(VLOOKUP($B45,Database!$B$1:$IX$10144,AC$22,FALSE))=0,"",VLOOKUP($B45,Database!$B$1:$IX$10144,AC$22,FALSE)))</f>
        <v/>
      </c>
      <c r="AD45" s="22">
        <f>IF(OR($B45="",AD$22=""),"",IF(LEN(VLOOKUP($B45,Database!$B$1:$IX$10144,AD$22,FALSE))=0,"",VLOOKUP($B45,Database!$B$1:$IX$10144,AD$22,FALSE)))</f>
        <v>71.05</v>
      </c>
      <c r="AE45" s="22">
        <f>IF(OR($B45="",AE$22=""),"",IF(LEN(VLOOKUP($B45,Database!$B$1:$IX$10144,AE$22,FALSE))=0,"",VLOOKUP($B45,Database!$B$1:$IX$10144,AE$22,FALSE)))</f>
        <v>7.5</v>
      </c>
      <c r="AF45" s="22">
        <f>IF(OR($B45="",AF$22=""),"",IF(LEN(VLOOKUP($B45,Database!$B$1:$IX$10144,AF$22,FALSE))=0,"",VLOOKUP($B45,Database!$B$1:$IX$10144,AF$22,FALSE)))</f>
        <v>28</v>
      </c>
      <c r="AG45" s="22">
        <f>IF(OR($B45="",AG$22=""),"",IF(LEN(VLOOKUP($B45,Database!$B$1:$IX$10144,AG$22,FALSE))=0,"",VLOOKUP($B45,Database!$B$1:$IX$10144,AG$22,FALSE)))</f>
        <v>22</v>
      </c>
      <c r="AH45" s="22">
        <f>IF(OR($B45="",AH$22=""),"",IF(LEN(VLOOKUP($B45,Database!$B$1:$IX$10144,AH$22,FALSE))=0,"",VLOOKUP($B45,Database!$B$1:$IX$10144,AH$22,FALSE)))</f>
        <v>1.5</v>
      </c>
      <c r="AI45" s="22" t="str">
        <f>IF(OR($B45="",AI$22=""),"",IF(LEN(VLOOKUP($B45,Database!$B$1:$IX$10144,AI$22,FALSE))=0,"",VLOOKUP($B45,Database!$B$1:$IX$10144,AI$22,FALSE)))</f>
        <v>ns</v>
      </c>
      <c r="AJ45" s="22" t="str">
        <f>IF(OR($B45="",AJ$22=""),"",IF(LEN(VLOOKUP($B45,Database!$B$1:$IX$10144,AJ$22,FALSE))=0,"",VLOOKUP($B45,Database!$B$1:$IX$10144,AJ$22,FALSE)))</f>
        <v/>
      </c>
      <c r="AK45" s="22">
        <f>IF(OR($B45="",AK$22=""),"",IF(LEN(VLOOKUP($B45,Database!$B$1:$IX$10144,AK$22,FALSE))=0,"",VLOOKUP($B45,Database!$B$1:$IX$10144,AK$22,FALSE)))</f>
        <v>33.619999999999997</v>
      </c>
      <c r="AL45" s="22" t="str">
        <f>IF(OR($B45="",AL$22=""),"",IF(LEN(VLOOKUP($B45,Database!$B$1:$IX$10144,AL$22,FALSE))=0,"",VLOOKUP($B45,Database!$B$1:$IX$10144,AL$22,FALSE)))</f>
        <v>ns</v>
      </c>
      <c r="AM45" s="22" t="str">
        <f>IF(OR($B45="",AM$22=""),"",IF(LEN(VLOOKUP($B45,Database!$B$1:$IX$10144,AM$22,FALSE))=0,"",VLOOKUP($B45,Database!$B$1:$IX$10144,AM$22,FALSE)))</f>
        <v>ns</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Janssen J, Hulshoff Pol HE, de Leeuw FE, Schnack HG, Lampe IK, Kok RM, Kahn RS, Heeren TJ.</v>
      </c>
    </row>
    <row r="46" spans="1:43">
      <c r="A46" s="10" t="s">
        <v>2016</v>
      </c>
      <c r="B46">
        <v>17210630</v>
      </c>
      <c r="C46" s="1" t="str">
        <f>IF($B46="","",HYPERLINK(IF(LEN(VLOOKUP($B46,Database!$B$1:$IX$10144,2,FALSE))=0,"",VLOOKUP($B46,Database!$B$1:$IX$10144,2,FALSE))))</f>
        <v/>
      </c>
      <c r="D46" s="1" t="str">
        <f t="shared" si="5"/>
        <v>http://www.ncbi.nlm.nih.gov/pubmed/17210630</v>
      </c>
      <c r="E46" s="22" t="str">
        <f>IF($B46="","",IF(LEN(VLOOKUP($B46,Database!$B$1:$IX$10144,4,FALSE))=0,"",VLOOKUP($B46,Database!$B$1:$IX$10144,4,FALSE)))</f>
        <v>Janssen J</v>
      </c>
      <c r="F46" s="22">
        <f>IF($B46="","",IF(LEN(VLOOKUP($B46,Database!$B$1:$IX$10144,5,FALSE))=0,"",VLOOKUP($B46,Database!$B$1:$IX$10144,5,FALSE)))</f>
        <v>2007</v>
      </c>
      <c r="G46" s="1" t="str">
        <f>IF($B46="","",HYPERLINK(IF(LEN(VLOOKUP($B46,Database!$B$1:$IX$10144,6,FALSE))=0,"",VLOOKUP($B46,Database!$B$1:$IX$10144,6,FALSE))))</f>
        <v>http://jnnp.bmj.com/cgi/reprint/78/6/638</v>
      </c>
      <c r="H46" s="83">
        <v>15</v>
      </c>
      <c r="I46" s="83">
        <v>11</v>
      </c>
      <c r="J46" t="s">
        <v>877</v>
      </c>
      <c r="K46" t="s">
        <v>1366</v>
      </c>
      <c r="M46" s="10"/>
      <c r="T46">
        <v>5.92</v>
      </c>
      <c r="U46" s="10"/>
      <c r="V46">
        <v>6</v>
      </c>
      <c r="W46" s="10"/>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t="str">
        <f>IF(OR($B46="",AB$22=""),"",IF(LEN(VLOOKUP($B46,Database!$B$1:$IX$10144,AB$22,FALSE))=0,"",VLOOKUP($B46,Database!$B$1:$IX$10144,AB$22,FALSE)))</f>
        <v/>
      </c>
      <c r="AC46" s="22" t="str">
        <f>IF(OR($B46="",AC$22=""),"",IF(LEN(VLOOKUP($B46,Database!$B$1:$IX$10144,AC$22,FALSE))=0,"",VLOOKUP($B46,Database!$B$1:$IX$10144,AC$22,FALSE)))</f>
        <v/>
      </c>
      <c r="AD46" s="22">
        <f>IF(OR($B46="",AD$22=""),"",IF(LEN(VLOOKUP($B46,Database!$B$1:$IX$10144,AD$22,FALSE))=0,"",VLOOKUP($B46,Database!$B$1:$IX$10144,AD$22,FALSE)))</f>
        <v>71.05</v>
      </c>
      <c r="AE46" s="22">
        <f>IF(OR($B46="",AE$22=""),"",IF(LEN(VLOOKUP($B46,Database!$B$1:$IX$10144,AE$22,FALSE))=0,"",VLOOKUP($B46,Database!$B$1:$IX$10144,AE$22,FALSE)))</f>
        <v>7.5</v>
      </c>
      <c r="AF46" s="22">
        <f>IF(OR($B46="",AF$22=""),"",IF(LEN(VLOOKUP($B46,Database!$B$1:$IX$10144,AF$22,FALSE))=0,"",VLOOKUP($B46,Database!$B$1:$IX$10144,AF$22,FALSE)))</f>
        <v>28</v>
      </c>
      <c r="AG46" s="22">
        <f>IF(OR($B46="",AG$22=""),"",IF(LEN(VLOOKUP($B46,Database!$B$1:$IX$10144,AG$22,FALSE))=0,"",VLOOKUP($B46,Database!$B$1:$IX$10144,AG$22,FALSE)))</f>
        <v>22</v>
      </c>
      <c r="AH46" s="22">
        <f>IF(OR($B46="",AH$22=""),"",IF(LEN(VLOOKUP($B46,Database!$B$1:$IX$10144,AH$22,FALSE))=0,"",VLOOKUP($B46,Database!$B$1:$IX$10144,AH$22,FALSE)))</f>
        <v>1.5</v>
      </c>
      <c r="AI46" s="22" t="str">
        <f>IF(OR($B46="",AI$22=""),"",IF(LEN(VLOOKUP($B46,Database!$B$1:$IX$10144,AI$22,FALSE))=0,"",VLOOKUP($B46,Database!$B$1:$IX$10144,AI$22,FALSE)))</f>
        <v>ns</v>
      </c>
      <c r="AJ46" s="22" t="str">
        <f>IF(OR($B46="",AJ$22=""),"",IF(LEN(VLOOKUP($B46,Database!$B$1:$IX$10144,AJ$22,FALSE))=0,"",VLOOKUP($B46,Database!$B$1:$IX$10144,AJ$22,FALSE)))</f>
        <v/>
      </c>
      <c r="AK46" s="22">
        <f>IF(OR($B46="",AK$22=""),"",IF(LEN(VLOOKUP($B46,Database!$B$1:$IX$10144,AK$22,FALSE))=0,"",VLOOKUP($B46,Database!$B$1:$IX$10144,AK$22,FALSE)))</f>
        <v>33.619999999999997</v>
      </c>
      <c r="AL46" s="22" t="str">
        <f>IF(OR($B46="",AL$22=""),"",IF(LEN(VLOOKUP($B46,Database!$B$1:$IX$10144,AL$22,FALSE))=0,"",VLOOKUP($B46,Database!$B$1:$IX$10144,AL$22,FALSE)))</f>
        <v>ns</v>
      </c>
      <c r="AM46" s="22" t="str">
        <f>IF(OR($B46="",AM$22=""),"",IF(LEN(VLOOKUP($B46,Database!$B$1:$IX$10144,AM$22,FALSE))=0,"",VLOOKUP($B46,Database!$B$1:$IX$10144,AM$22,FALSE)))</f>
        <v>ns</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Janssen J, Hulshoff Pol HE, de Leeuw FE, Schnack HG, Lampe IK, Kok RM, Kahn RS, Heeren TJ.</v>
      </c>
    </row>
    <row r="47" spans="1:43">
      <c r="A47" s="10" t="s">
        <v>1001</v>
      </c>
      <c r="B47">
        <v>18515903</v>
      </c>
      <c r="C47" s="1" t="str">
        <f>IF($B47="","",HYPERLINK(IF(LEN(VLOOKUP($B47,Database!$B$1:$IX$10144,2,FALSE))=0,"",VLOOKUP($B47,Database!$B$1:$IX$10144,2,FALSE))))</f>
        <v/>
      </c>
      <c r="D47" s="1" t="str">
        <f t="shared" si="5"/>
        <v>http://www.ncbi.nlm.nih.gov/pubmed/18515903</v>
      </c>
      <c r="E47" s="22" t="str">
        <f>IF($B47="","",IF(LEN(VLOOKUP($B47,Database!$B$1:$IX$10144,4,FALSE))=0,"",VLOOKUP($B47,Database!$B$1:$IX$10144,4,FALSE)))</f>
        <v>Kronmüller KT</v>
      </c>
      <c r="F47" s="22">
        <f>IF($B47="","",IF(LEN(VLOOKUP($B47,Database!$B$1:$IX$10144,5,FALSE))=0,"",VLOOKUP($B47,Database!$B$1:$IX$10144,5,FALSE)))</f>
        <v>2008</v>
      </c>
      <c r="G47" s="1" t="str">
        <f>IF($B47="","",HYPERLINK(IF(LEN(VLOOKUP($B47,Database!$B$1:$IX$10144,6,FALSE))=0,"",VLOOKUP($B47,Database!$B$1:$IX$10144,6,FALSE))))</f>
        <v>http://bjp.rcpsych.org/cgi/content/full/192/6/472</v>
      </c>
      <c r="H47" s="22">
        <f>IF($B47="","",IF(LEN(VLOOKUP($B47,Database!$B$1:$IX$10144,7,FALSE))=0,"",VLOOKUP($B47,Database!$B$1:$IX$10144,7,FALSE)))</f>
        <v>49</v>
      </c>
      <c r="I47" s="22">
        <f>IF($B47="","",IF(LEN(VLOOKUP($B47,Database!$B$1:$IX$10144,8,FALSE))=0,"",VLOOKUP($B47,Database!$B$1:$IX$10144,8,FALSE)))</f>
        <v>30</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t="str">
        <f>IF(OR($B47="",AB$22=""),"",IF(LEN(VLOOKUP($B47,Database!$B$1:$IX$10144,AB$22,FALSE))=0,"",VLOOKUP($B47,Database!$B$1:$IX$10144,AB$22,FALSE)))</f>
        <v/>
      </c>
      <c r="AC47" s="22" t="str">
        <f>IF(OR($B47="",AC$22=""),"",IF(LEN(VLOOKUP($B47,Database!$B$1:$IX$10144,AC$22,FALSE))=0,"",VLOOKUP($B47,Database!$B$1:$IX$10144,AC$22,FALSE)))</f>
        <v/>
      </c>
      <c r="AD47" s="22" t="str">
        <f>IF(OR($B47="",AD$22=""),"",IF(LEN(VLOOKUP($B47,Database!$B$1:$IX$10144,AD$22,FALSE))=0,"",VLOOKUP($B47,Database!$B$1:$IX$10144,AD$22,FALSE)))</f>
        <v/>
      </c>
      <c r="AE47" s="22" t="str">
        <f>IF(OR($B47="",AE$22=""),"",IF(LEN(VLOOKUP($B47,Database!$B$1:$IX$10144,AE$22,FALSE))=0,"",VLOOKUP($B47,Database!$B$1:$IX$10144,AE$22,FALSE)))</f>
        <v/>
      </c>
      <c r="AF47" s="22" t="str">
        <f>IF(OR($B47="",AF$22=""),"",IF(LEN(VLOOKUP($B47,Database!$B$1:$IX$10144,AF$22,FALSE))=0,"",VLOOKUP($B47,Database!$B$1:$IX$10144,AF$22,FALSE)))</f>
        <v/>
      </c>
      <c r="AG47" s="22" t="str">
        <f>IF(OR($B47="",AG$22=""),"",IF(LEN(VLOOKUP($B47,Database!$B$1:$IX$10144,AG$22,FALSE))=0,"",VLOOKUP($B47,Database!$B$1:$IX$10144,AG$22,FALSE)))</f>
        <v/>
      </c>
      <c r="AH47" s="22">
        <f>IF(OR($B47="",AH$22=""),"",IF(LEN(VLOOKUP($B47,Database!$B$1:$IX$10144,AH$22,FALSE))=0,"",VLOOKUP($B47,Database!$B$1:$IX$10144,AH$22,FALSE)))</f>
        <v>1.5</v>
      </c>
      <c r="AI47" s="22" t="str">
        <f>IF(OR($B47="",AI$22=""),"",IF(LEN(VLOOKUP($B47,Database!$B$1:$IX$10144,AI$22,FALSE))=0,"",VLOOKUP($B47,Database!$B$1:$IX$10144,AI$22,FALSE)))</f>
        <v>ns</v>
      </c>
      <c r="AJ47" s="22" t="str">
        <f>IF(OR($B47="",AJ$22=""),"",IF(LEN(VLOOKUP($B47,Database!$B$1:$IX$10144,AJ$22,FALSE))=0,"",VLOOKUP($B47,Database!$B$1:$IX$10144,AJ$22,FALSE)))</f>
        <v/>
      </c>
      <c r="AK47" s="22" t="str">
        <f>IF(OR($B47="",AK$22=""),"",IF(LEN(VLOOKUP($B47,Database!$B$1:$IX$10144,AK$22,FALSE))=0,"",VLOOKUP($B47,Database!$B$1:$IX$10144,AK$22,FALSE)))</f>
        <v>ns</v>
      </c>
      <c r="AL47" s="22">
        <f>IF(OR($B47="",AL$22=""),"",IF(LEN(VLOOKUP($B47,Database!$B$1:$IX$10144,AL$22,FALSE))=0,"",VLOOKUP($B47,Database!$B$1:$IX$10144,AL$22,FALSE)))</f>
        <v>22.74</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Kronmüller KT, Pantel J, Köhler S, Victor D, Giesel F, Magnotta VA, Mundt C, Essig M, Schröder J.</v>
      </c>
    </row>
    <row r="48" spans="1:43">
      <c r="A48" s="10" t="s">
        <v>633</v>
      </c>
      <c r="B48">
        <v>18068956</v>
      </c>
      <c r="C48" s="1" t="str">
        <f>IF($B48="","",HYPERLINK(IF(LEN(VLOOKUP($B48,Database!$B$1:$IX$10144,2,FALSE))=0,"",VLOOKUP($B48,Database!$B$1:$IX$10144,2,FALSE))))</f>
        <v/>
      </c>
      <c r="D48" s="1" t="str">
        <f t="shared" si="5"/>
        <v>http://www.ncbi.nlm.nih.gov/pubmed/18068956</v>
      </c>
      <c r="E48" s="22" t="str">
        <f>IF($B48="","",IF(LEN(VLOOKUP($B48,Database!$B$1:$IX$10144,4,FALSE))=0,"",VLOOKUP($B48,Database!$B$1:$IX$10144,4,FALSE)))</f>
        <v>Lenze SN</v>
      </c>
      <c r="F48" s="22">
        <f>IF($B48="","",IF(LEN(VLOOKUP($B48,Database!$B$1:$IX$10144,5,FALSE))=0,"",VLOOKUP($B48,Database!$B$1:$IX$10144,5,FALSE)))</f>
        <v>2008</v>
      </c>
      <c r="G48" s="1" t="str">
        <f>IF($B48="","",HYPERLINK(IF(LEN(VLOOKUP($B48,Database!$B$1:$IX$10144,6,FALSE))=0,"",VLOOKUP($B48,Database!$B$1:$IX$10144,6,FALSE))))</f>
        <v>http://dx.doi.org/10.1016/j.pscychresns.2007.04.004</v>
      </c>
      <c r="H48" s="22">
        <f>IF($B48="","",IF(LEN(VLOOKUP($B48,Database!$B$1:$IX$10144,7,FALSE))=0,"",VLOOKUP($B48,Database!$B$1:$IX$10144,7,FALSE)))</f>
        <v>31</v>
      </c>
      <c r="I48" s="22">
        <f>IF($B48="","",IF(LEN(VLOOKUP($B48,Database!$B$1:$IX$10144,8,FALSE))=0,"",VLOOKUP($B48,Database!$B$1:$IX$10144,8,FALSE)))</f>
        <v>24</v>
      </c>
      <c r="J48" t="s">
        <v>1002</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22">
        <f>IF(OR($B48="",AB$22=""),"",IF(LEN(VLOOKUP($B48,Database!$B$1:$IX$10144,AB$22,FALSE))=0,"",VLOOKUP($B48,Database!$B$1:$IX$10144,AB$22,FALSE)))</f>
        <v>50</v>
      </c>
      <c r="AC48" s="22">
        <f>IF(OR($B48="",AC$22=""),"",IF(LEN(VLOOKUP($B48,Database!$B$1:$IX$10144,AC$22,FALSE))=0,"",VLOOKUP($B48,Database!$B$1:$IX$10144,AC$22,FALSE)))</f>
        <v>15</v>
      </c>
      <c r="AD48" s="22">
        <f>IF(OR($B48="",AD$22=""),"",IF(LEN(VLOOKUP($B48,Database!$B$1:$IX$10144,AD$22,FALSE))=0,"",VLOOKUP($B48,Database!$B$1:$IX$10144,AD$22,FALSE)))</f>
        <v>46</v>
      </c>
      <c r="AE48" s="22">
        <f>IF(OR($B48="",AE$22=""),"",IF(LEN(VLOOKUP($B48,Database!$B$1:$IX$10144,AE$22,FALSE))=0,"",VLOOKUP($B48,Database!$B$1:$IX$10144,AE$22,FALSE)))</f>
        <v>14</v>
      </c>
      <c r="AF48" s="22">
        <f>IF(OR($B48="",AF$22=""),"",IF(LEN(VLOOKUP($B48,Database!$B$1:$IX$10144,AF$22,FALSE))=0,"",VLOOKUP($B48,Database!$B$1:$IX$10144,AF$22,FALSE)))</f>
        <v>31</v>
      </c>
      <c r="AG48" s="22">
        <f>IF(OR($B48="",AG$22=""),"",IF(LEN(VLOOKUP($B48,Database!$B$1:$IX$10144,AG$22,FALSE))=0,"",VLOOKUP($B48,Database!$B$1:$IX$10144,AG$22,FALSE)))</f>
        <v>24</v>
      </c>
      <c r="AH48" s="22">
        <f>IF(OR($B48="",AH$22=""),"",IF(LEN(VLOOKUP($B48,Database!$B$1:$IX$10144,AH$22,FALSE))=0,"",VLOOKUP($B48,Database!$B$1:$IX$10144,AH$22,FALSE)))</f>
        <v>1.5</v>
      </c>
      <c r="AI48" s="22">
        <f>IF(OR($B48="",AI$22=""),"",IF(LEN(VLOOKUP($B48,Database!$B$1:$IX$10144,AI$22,FALSE))=0,"",VLOOKUP($B48,Database!$B$1:$IX$10144,AI$22,FALSE)))</f>
        <v>1.25</v>
      </c>
      <c r="AJ48" s="22" t="str">
        <f>IF(OR($B48="",AJ$22=""),"",IF(LEN(VLOOKUP($B48,Database!$B$1:$IX$10144,AJ$22,FALSE))=0,"",VLOOKUP($B48,Database!$B$1:$IX$10144,AJ$22,FALSE)))</f>
        <v/>
      </c>
      <c r="AK48" s="22">
        <f>IF(OR($B48="",AK$22=""),"",IF(LEN(VLOOKUP($B48,Database!$B$1:$IX$10144,AK$22,FALSE))=0,"",VLOOKUP($B48,Database!$B$1:$IX$10144,AK$22,FALSE)))</f>
        <v>29</v>
      </c>
      <c r="AL48" s="22">
        <f>IF(OR($B48="",AL$22=""),"",IF(LEN(VLOOKUP($B48,Database!$B$1:$IX$10144,AL$22,FALSE))=0,"",VLOOKUP($B48,Database!$B$1:$IX$10144,AL$22,FALSE)))</f>
        <v>7</v>
      </c>
      <c r="AM48" s="22">
        <f>IF(OR($B48="",AM$22=""),"",IF(LEN(VLOOKUP($B48,Database!$B$1:$IX$10144,AM$22,FALSE))=0,"",VLOOKUP($B48,Database!$B$1:$IX$10144,AM$22,FALSE)))</f>
        <v>77.41935483870968</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Lenze SN, Xiong C, Sheline YI.</v>
      </c>
    </row>
    <row r="49" spans="1:43">
      <c r="A49" s="4" t="s">
        <v>351</v>
      </c>
      <c r="C49" s="1"/>
      <c r="D49" s="1"/>
      <c r="E49" s="22"/>
      <c r="F49" s="22"/>
      <c r="G49" s="1"/>
      <c r="H49" s="22"/>
      <c r="I49" s="22"/>
      <c r="Y49" s="22"/>
      <c r="Z49" s="22"/>
      <c r="AA49" s="22"/>
      <c r="AB49" s="22"/>
      <c r="AC49" s="22"/>
      <c r="AD49" s="22"/>
      <c r="AE49" s="22"/>
      <c r="AF49" s="22"/>
      <c r="AG49" s="22"/>
      <c r="AH49" s="22"/>
      <c r="AI49" s="22"/>
      <c r="AJ49" s="22"/>
      <c r="AK49" s="22"/>
      <c r="AL49" s="22"/>
      <c r="AM49" s="22"/>
      <c r="AN49" s="22"/>
      <c r="AO49" s="22"/>
      <c r="AP49" s="22"/>
      <c r="AQ49" s="22"/>
    </row>
    <row r="50" spans="1:43">
      <c r="A50" s="10" t="s">
        <v>418</v>
      </c>
      <c r="B50">
        <v>8632988</v>
      </c>
      <c r="C50" s="1" t="str">
        <f>IF($B50="","",HYPERLINK(IF(LEN(VLOOKUP($B50,Database!$B$1:$IX$10144,2,FALSE))=0,"",VLOOKUP($B50,Database!$B$1:$IX$10144,2,FALSE))))</f>
        <v/>
      </c>
      <c r="D50" s="1" t="str">
        <f t="shared" ref="D50:D65" si="6">IF($B50="","",HYPERLINK(CONCATENATE("http://www.ncbi.nlm.nih.gov/pubmed/",B50)))</f>
        <v>http://www.ncbi.nlm.nih.gov/pubmed/8632988</v>
      </c>
      <c r="E50" s="22" t="str">
        <f>IF($B50="","",IF(LEN(VLOOKUP($B50,Database!$B$1:$IX$10144,4,FALSE))=0,"",VLOOKUP($B50,Database!$B$1:$IX$10144,4,FALSE)))</f>
        <v>Sheline YI</v>
      </c>
      <c r="F50" s="22">
        <f>IF($B50="","",IF(LEN(VLOOKUP($B50,Database!$B$1:$IX$10144,5,FALSE))=0,"",VLOOKUP($B50,Database!$B$1:$IX$10144,5,FALSE)))</f>
        <v>1996</v>
      </c>
      <c r="G50" s="1" t="str">
        <f>IF($B50="","",HYPERLINK(IF(LEN(VLOOKUP($B50,Database!$B$1:$IX$10144,6,FALSE))=0,"",VLOOKUP($B50,Database!$B$1:$IX$10144,6,FALSE))))</f>
        <v>http://www.pnas.org/content/93/9/3908</v>
      </c>
      <c r="H50" s="22">
        <f>IF($B50="","",IF(LEN(VLOOKUP($B50,Database!$B$1:$IX$10144,7,FALSE))=0,"",VLOOKUP($B50,Database!$B$1:$IX$10144,7,FALSE)))</f>
        <v>10</v>
      </c>
      <c r="I50" s="22">
        <f>IF($B50="","",IF(LEN(VLOOKUP($B50,Database!$B$1:$IX$10144,8,FALSE))=0,"",VLOOKUP($B50,Database!$B$1:$IX$10144,8,FALSE)))</f>
        <v>10</v>
      </c>
      <c r="J50" t="s">
        <v>939</v>
      </c>
      <c r="L50">
        <v>2159</v>
      </c>
      <c r="M50">
        <v>301</v>
      </c>
      <c r="N50">
        <v>2544</v>
      </c>
      <c r="O50">
        <v>333</v>
      </c>
      <c r="P50">
        <v>2283</v>
      </c>
      <c r="Q50">
        <v>324</v>
      </c>
      <c r="R50">
        <v>2577</v>
      </c>
      <c r="S50">
        <v>259</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68.5</v>
      </c>
      <c r="AC50" s="22">
        <f>IF(OR($B50="",AC$22=""),"",IF(LEN(VLOOKUP($B50,Database!$B$1:$IX$10144,AC$22,FALSE))=0,"",VLOOKUP($B50,Database!$B$1:$IX$10144,AC$22,FALSE)))</f>
        <v>10.4</v>
      </c>
      <c r="AD50" s="22">
        <f>IF(OR($B50="",AD$22=""),"",IF(LEN(VLOOKUP($B50,Database!$B$1:$IX$10144,AD$22,FALSE))=0,"",VLOOKUP($B50,Database!$B$1:$IX$10144,AD$22,FALSE)))</f>
        <v>68</v>
      </c>
      <c r="AE50" s="22">
        <f>IF(OR($B50="",AE$22=""),"",IF(LEN(VLOOKUP($B50,Database!$B$1:$IX$10144,AE$22,FALSE))=0,"",VLOOKUP($B50,Database!$B$1:$IX$10144,AE$22,FALSE)))</f>
        <v>9.5</v>
      </c>
      <c r="AF50" s="22">
        <f>IF(OR($B50="",AF$22=""),"",IF(LEN(VLOOKUP($B50,Database!$B$1:$IX$10144,AF$22,FALSE))=0,"",VLOOKUP($B50,Database!$B$1:$IX$10144,AF$22,FALSE)))</f>
        <v>10</v>
      </c>
      <c r="AG50" s="22">
        <f>IF(OR($B50="",AG$22=""),"",IF(LEN(VLOOKUP($B50,Database!$B$1:$IX$10144,AG$22,FALSE))=0,"",VLOOKUP($B50,Database!$B$1:$IX$10144,AG$22,FALSE)))</f>
        <v>10</v>
      </c>
      <c r="AH50" s="22"/>
      <c r="AI50" s="22"/>
      <c r="AJ50" s="22" t="str">
        <f>IF(OR($B50="",AJ$22=""),"",IF(LEN(VLOOKUP($B50,Database!$B$1:$IX$10144,AJ$22,FALSE))=0,"",VLOOKUP($B50,Database!$B$1:$IX$10144,AJ$22,FALSE)))</f>
        <v/>
      </c>
      <c r="AK50" s="22" t="str">
        <f>IF(OR($B50="",AK$22=""),"",IF(LEN(VLOOKUP($B50,Database!$B$1:$IX$10144,AK$22,FALSE))=0,"",VLOOKUP($B50,Database!$B$1:$IX$10144,AK$22,FALSE)))</f>
        <v>ns</v>
      </c>
      <c r="AL50" s="22" t="str">
        <f>IF(OR($B50="",AL$22=""),"",IF(LEN(VLOOKUP($B50,Database!$B$1:$IX$10144,AL$22,FALSE))=0,"",VLOOKUP($B50,Database!$B$1:$IX$10144,AL$22,FALSE)))</f>
        <v>ns</v>
      </c>
      <c r="AM50" s="22">
        <f>IF(OR($B50="",AM$22=""),"",IF(LEN(VLOOKUP($B50,Database!$B$1:$IX$10144,AM$22,FALSE))=0,"",VLOOKUP($B50,Database!$B$1:$IX$10144,AM$22,FALSE)))</f>
        <v>80</v>
      </c>
      <c r="AN50" s="22" t="str">
        <f>IF(OR($B50="",AN$22=""),"",IF(LEN(VLOOKUP($B50,Database!$B$1:$IX$10144,AN$22,FALSE))=0,"",VLOOKUP($B50,Database!$B$1:$IX$10144,AN$22,FALSE)))</f>
        <v/>
      </c>
      <c r="AO50" s="22" t="str">
        <f>IF(OR($B50="",AO$22=""),"",IF(LEN(VLOOKUP($B50,Database!$B$1:$IX$10144,AO$22,FALSE))=0,"",VLOOKUP($B50,Database!$B$1:$IX$10144,AO$22,FALSE)))</f>
        <v/>
      </c>
      <c r="AP50" s="22" t="str">
        <f>IF(OR($B50="",AP$22=""),"",IF(LEN(VLOOKUP($B50,Database!$B$1:$IX$10144,AP$22,FALSE))=0,"",VLOOKUP($B50,Database!$B$1:$IX$10144,AP$22,FALSE)))</f>
        <v/>
      </c>
      <c r="AQ50" s="22" t="str">
        <f>IF(OR($B50="",AQ$22=""),"",IF(LEN(VLOOKUP($B50,Database!$B$1:$IX$10144,AQ$22,FALSE))=0,"",VLOOKUP($B50,Database!$B$1:$IX$10144,AQ$22,FALSE)))</f>
        <v>Sheline YI, Wang PW, Gado MH, Csernansky JG, Vannier MW.</v>
      </c>
    </row>
    <row r="51" spans="1:43">
      <c r="A51" s="10" t="s">
        <v>418</v>
      </c>
      <c r="B51">
        <v>10366636</v>
      </c>
      <c r="C51" s="1" t="str">
        <f>IF($B51="","",HYPERLINK(IF(LEN(VLOOKUP($B51,Database!$B$1:$IX$10144,2,FALSE))=0,"",VLOOKUP($B51,Database!$B$1:$IX$10144,2,FALSE))))</f>
        <v/>
      </c>
      <c r="D51" s="1" t="str">
        <f t="shared" si="6"/>
        <v>http://www.ncbi.nlm.nih.gov/pubmed/10366636</v>
      </c>
      <c r="E51" s="22" t="str">
        <f>IF($B51="","",IF(LEN(VLOOKUP($B51,Database!$B$1:$IX$10144,4,FALSE))=0,"",VLOOKUP($B51,Database!$B$1:$IX$10144,4,FALSE)))</f>
        <v>Sheline YI</v>
      </c>
      <c r="F51" s="22">
        <f>IF($B51="","",IF(LEN(VLOOKUP($B51,Database!$B$1:$IX$10144,5,FALSE))=0,"",VLOOKUP($B51,Database!$B$1:$IX$10144,5,FALSE)))</f>
        <v>1999</v>
      </c>
      <c r="G51" s="1" t="str">
        <f>IF($B51="","",HYPERLINK(IF(LEN(VLOOKUP($B51,Database!$B$1:$IX$10144,6,FALSE))=0,"",VLOOKUP($B51,Database!$B$1:$IX$10144,6,FALSE))))</f>
        <v>http://ajp.psychiatryonline.org/cgi/reprint/156/12/1989</v>
      </c>
      <c r="H51" s="22">
        <f>IF($B51="","",IF(LEN(VLOOKUP($B51,Database!$B$1:$IX$10144,7,FALSE))=0,"",VLOOKUP($B51,Database!$B$1:$IX$10144,7,FALSE)))</f>
        <v>24</v>
      </c>
      <c r="I51" s="22">
        <f>IF($B51="","",IF(LEN(VLOOKUP($B51,Database!$B$1:$IX$10144,8,FALSE))=0,"",VLOOKUP($B51,Database!$B$1:$IX$10144,8,FALSE)))</f>
        <v>24</v>
      </c>
      <c r="J51" t="s">
        <v>939</v>
      </c>
      <c r="L51">
        <v>2230</v>
      </c>
      <c r="M51">
        <v>323</v>
      </c>
      <c r="N51">
        <v>2482</v>
      </c>
      <c r="O51">
        <v>305</v>
      </c>
      <c r="P51">
        <v>2264</v>
      </c>
      <c r="Q51">
        <v>320</v>
      </c>
      <c r="R51">
        <v>2468</v>
      </c>
      <c r="S51">
        <v>309</v>
      </c>
      <c r="T51">
        <v>4496</v>
      </c>
      <c r="U51">
        <v>602</v>
      </c>
      <c r="V51">
        <v>4951</v>
      </c>
      <c r="W51">
        <v>601</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c r="AC51" s="22"/>
      <c r="AD51" s="22">
        <f>IF(OR($B51="",AD$22=""),"",IF(LEN(VLOOKUP($B51,Database!$B$1:$IX$10144,AD$22,FALSE))=0,"",VLOOKUP($B51,Database!$B$1:$IX$10144,AD$22,FALSE)))</f>
        <v>52.8</v>
      </c>
      <c r="AE51" s="22">
        <f>IF(OR($B51="",AE$22=""),"",IF(LEN(VLOOKUP($B51,Database!$B$1:$IX$10144,AE$22,FALSE))=0,"",VLOOKUP($B51,Database!$B$1:$IX$10144,AE$22,FALSE)))</f>
        <v>17.8</v>
      </c>
      <c r="AF51" s="22">
        <f>IF(OR($B51="",AF$22=""),"",IF(LEN(VLOOKUP($B51,Database!$B$1:$IX$10144,AF$22,FALSE))=0,"",VLOOKUP($B51,Database!$B$1:$IX$10144,AF$22,FALSE)))</f>
        <v>24</v>
      </c>
      <c r="AG51" s="22">
        <f>IF(OR($B51="",AG$22=""),"",IF(LEN(VLOOKUP($B51,Database!$B$1:$IX$10144,AG$22,FALSE))=0,"",VLOOKUP($B51,Database!$B$1:$IX$10144,AG$22,FALSE)))</f>
        <v>24</v>
      </c>
      <c r="AH51" s="22"/>
      <c r="AI51" s="22"/>
      <c r="AJ51" s="22" t="str">
        <f>IF(OR($B51="",AJ$22=""),"",IF(LEN(VLOOKUP($B51,Database!$B$1:$IX$10144,AJ$22,FALSE))=0,"",VLOOKUP($B51,Database!$B$1:$IX$10144,AJ$22,FALSE)))</f>
        <v/>
      </c>
      <c r="AK51" s="22" t="str">
        <f>IF(OR($B51="",AK$22=""),"",IF(LEN(VLOOKUP($B51,Database!$B$1:$IX$10144,AK$22,FALSE))=0,"",VLOOKUP($B51,Database!$B$1:$IX$10144,AK$22,FALSE)))</f>
        <v>ns</v>
      </c>
      <c r="AL51" s="22" t="str">
        <f>IF(OR($B51="",AL$22=""),"",IF(LEN(VLOOKUP($B51,Database!$B$1:$IX$10144,AL$22,FALSE))=0,"",VLOOKUP($B51,Database!$B$1:$IX$10144,AL$22,FALSE)))</f>
        <v>ns</v>
      </c>
      <c r="AM51" s="22">
        <f>IF(OR($B51="",AM$22=""),"",IF(LEN(VLOOKUP($B51,Database!$B$1:$IX$10144,AM$22,FALSE))=0,"",VLOOKUP($B51,Database!$B$1:$IX$10144,AM$22,FALSE)))</f>
        <v>66.666666666666657</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2" t="str">
        <f>IF(OR($B51="",AQ$22=""),"",IF(LEN(VLOOKUP($B51,Database!$B$1:$IX$10144,AQ$22,FALSE))=0,"",VLOOKUP($B51,Database!$B$1:$IX$10144,AQ$22,FALSE)))</f>
        <v>Sheline YI, Sanghavi M, Mintun MA, Gado MH.</v>
      </c>
    </row>
    <row r="52" spans="1:43">
      <c r="A52" s="10" t="s">
        <v>1188</v>
      </c>
      <c r="B52">
        <v>10960161</v>
      </c>
      <c r="C52" s="1" t="str">
        <f>IF($B52="","",HYPERLINK(IF(LEN(VLOOKUP($B52,Database!$B$1:$IX$10144,2,FALSE))=0,"",VLOOKUP($B52,Database!$B$1:$IX$10144,2,FALSE))))</f>
        <v/>
      </c>
      <c r="D52" s="1" t="str">
        <f t="shared" si="6"/>
        <v>http://www.ncbi.nlm.nih.gov/pubmed/10960161</v>
      </c>
      <c r="E52" s="22" t="str">
        <f>IF($B52="","",IF(LEN(VLOOKUP($B52,Database!$B$1:$IX$10144,4,FALSE))=0,"",VLOOKUP($B52,Database!$B$1:$IX$10144,4,FALSE)))</f>
        <v>Steffens DC</v>
      </c>
      <c r="F52" s="22">
        <f>IF($B52="","",IF(LEN(VLOOKUP($B52,Database!$B$1:$IX$10144,5,FALSE))=0,"",VLOOKUP($B52,Database!$B$1:$IX$10144,5,FALSE)))</f>
        <v>2000</v>
      </c>
      <c r="G52" s="1" t="str">
        <f>IF($B52="","",HYPERLINK(IF(LEN(VLOOKUP($B52,Database!$B$1:$IX$10144,6,FALSE))=0,"",VLOOKUP($B52,Database!$B$1:$IX$10144,6,FALSE))))</f>
        <v>http://dx.doi.org/10.1016/S0006-3223(00)00829-5</v>
      </c>
      <c r="H52" s="22">
        <f>IF($B52="","",IF(LEN(VLOOKUP($B52,Database!$B$1:$IX$10144,7,FALSE))=0,"",VLOOKUP($B52,Database!$B$1:$IX$10144,7,FALSE)))</f>
        <v>66</v>
      </c>
      <c r="I52" s="22">
        <f>IF($B52="","",IF(LEN(VLOOKUP($B52,Database!$B$1:$IX$10144,8,FALSE))=0,"",VLOOKUP($B52,Database!$B$1:$IX$10144,8,FALSE)))</f>
        <v>18</v>
      </c>
      <c r="J52" t="s">
        <v>1045</v>
      </c>
      <c r="L52">
        <v>2.92</v>
      </c>
      <c r="M52">
        <v>0.36</v>
      </c>
      <c r="N52">
        <v>3.17</v>
      </c>
      <c r="O52">
        <v>0.44</v>
      </c>
      <c r="P52">
        <v>2.98</v>
      </c>
      <c r="Q52">
        <v>0.39</v>
      </c>
      <c r="R52">
        <v>3.3</v>
      </c>
      <c r="S52">
        <v>0.44</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71.739999999999995</v>
      </c>
      <c r="AC52" s="22">
        <f>IF(OR($B52="",AC$22=""),"",IF(LEN(VLOOKUP($B52,Database!$B$1:$IX$10144,AC$22,FALSE))=0,"",VLOOKUP($B52,Database!$B$1:$IX$10144,AC$22,FALSE)))</f>
        <v>8.42</v>
      </c>
      <c r="AD52" s="22">
        <f>IF(OR($B52="",AD$22=""),"",IF(LEN(VLOOKUP($B52,Database!$B$1:$IX$10144,AD$22,FALSE))=0,"",VLOOKUP($B52,Database!$B$1:$IX$10144,AD$22,FALSE)))</f>
        <v>67.11</v>
      </c>
      <c r="AE52" s="22">
        <f>IF(OR($B52="",AE$22=""),"",IF(LEN(VLOOKUP($B52,Database!$B$1:$IX$10144,AE$22,FALSE))=0,"",VLOOKUP($B52,Database!$B$1:$IX$10144,AE$22,FALSE)))</f>
        <v>5.04</v>
      </c>
      <c r="AF52" s="22">
        <f>IF(OR($B52="",AF$22=""),"",IF(LEN(VLOOKUP($B52,Database!$B$1:$IX$10144,AF$22,FALSE))=0,"",VLOOKUP($B52,Database!$B$1:$IX$10144,AF$22,FALSE)))</f>
        <v>51</v>
      </c>
      <c r="AG52" s="22">
        <f>IF(OR($B52="",AG$22=""),"",IF(LEN(VLOOKUP($B52,Database!$B$1:$IX$10144,AG$22,FALSE))=0,"",VLOOKUP($B52,Database!$B$1:$IX$10144,AG$22,FALSE)))</f>
        <v>9</v>
      </c>
      <c r="AH52" s="22"/>
      <c r="AI52" s="22"/>
      <c r="AJ52" s="22" t="str">
        <f>IF(OR($B52="",AJ$22=""),"",IF(LEN(VLOOKUP($B52,Database!$B$1:$IX$10144,AJ$22,FALSE))=0,"",VLOOKUP($B52,Database!$B$1:$IX$10144,AJ$22,FALSE)))</f>
        <v/>
      </c>
      <c r="AK52" s="22" t="str">
        <f>IF(OR($B52="",AK$22=""),"",IF(LEN(VLOOKUP($B52,Database!$B$1:$IX$10144,AK$22,FALSE))=0,"",VLOOKUP($B52,Database!$B$1:$IX$10144,AK$22,FALSE)))</f>
        <v>ns</v>
      </c>
      <c r="AL52" s="22" t="str">
        <f>IF(OR($B52="",AL$22=""),"",IF(LEN(VLOOKUP($B52,Database!$B$1:$IX$10144,AL$22,FALSE))=0,"",VLOOKUP($B52,Database!$B$1:$IX$10144,AL$22,FALSE)))</f>
        <v>ns</v>
      </c>
      <c r="AM52" s="22" t="str">
        <f>IF(OR($B52="",AM$22=""),"",IF(LEN(VLOOKUP($B52,Database!$B$1:$IX$10144,AM$22,FALSE))=0,"",VLOOKUP($B52,Database!$B$1:$IX$10144,AM$22,FALSE)))</f>
        <v>ns</v>
      </c>
      <c r="AN52" s="22" t="str">
        <f>IF(OR($B52="",AN$22=""),"",IF(LEN(VLOOKUP($B52,Database!$B$1:$IX$10144,AN$22,FALSE))=0,"",VLOOKUP($B52,Database!$B$1:$IX$10144,AN$22,FALSE)))</f>
        <v>ns</v>
      </c>
      <c r="AO52" s="22" t="str">
        <f>IF(OR($B52="",AO$22=""),"",IF(LEN(VLOOKUP($B52,Database!$B$1:$IX$10144,AO$22,FALSE))=0,"",VLOOKUP($B52,Database!$B$1:$IX$10144,AO$22,FALSE)))</f>
        <v>ns</v>
      </c>
      <c r="AP52" s="22" t="str">
        <f>IF(OR($B52="",AP$22=""),"",IF(LEN(VLOOKUP($B52,Database!$B$1:$IX$10144,AP$22,FALSE))=0,"",VLOOKUP($B52,Database!$B$1:$IX$10144,AP$22,FALSE)))</f>
        <v>ns</v>
      </c>
      <c r="AQ52" s="22" t="str">
        <f>IF(OR($B52="",AQ$22=""),"",IF(LEN(VLOOKUP($B52,Database!$B$1:$IX$10144,AQ$22,FALSE))=0,"",VLOOKUP($B52,Database!$B$1:$IX$10144,AQ$22,FALSE)))</f>
        <v>Steffens DC, Byrum CE, McQuoid DR, Greenberg DL, Payne ME, Blitchington TF, MacFall JR, Krishnan KR.</v>
      </c>
    </row>
    <row r="53" spans="1:43">
      <c r="A53" s="10" t="s">
        <v>2335</v>
      </c>
      <c r="B53">
        <v>12091188</v>
      </c>
      <c r="C53" s="1" t="str">
        <f>IF($B53="","",HYPERLINK(IF(LEN(VLOOKUP($B53,Database!$B$1:$IX$10144,2,FALSE))=0,"",VLOOKUP($B53,Database!$B$1:$IX$10144,2,FALSE))))</f>
        <v/>
      </c>
      <c r="D53" s="1" t="str">
        <f t="shared" si="6"/>
        <v>http://www.ncbi.nlm.nih.gov/pubmed/12091188</v>
      </c>
      <c r="E53" s="22" t="str">
        <f>IF($B53="","",IF(LEN(VLOOKUP($B53,Database!$B$1:$IX$10144,4,FALSE))=0,"",VLOOKUP($B53,Database!$B$1:$IX$10144,4,FALSE)))</f>
        <v>Frodl T (B)</v>
      </c>
      <c r="F53" s="22">
        <f>IF($B53="","",IF(LEN(VLOOKUP($B53,Database!$B$1:$IX$10144,5,FALSE))=0,"",VLOOKUP($B53,Database!$B$1:$IX$10144,5,FALSE)))</f>
        <v>2002</v>
      </c>
      <c r="G53" s="1" t="str">
        <f>IF($B53="","",HYPERLINK(IF(LEN(VLOOKUP($B53,Database!$B$1:$IX$10144,6,FALSE))=0,"",VLOOKUP($B53,Database!$B$1:$IX$10144,6,FALSE))))</f>
        <v>http://ajp.psychiatryonline.org/cgi/reprint/159/7/1112</v>
      </c>
      <c r="H53" s="22">
        <f>IF($B53="","",IF(LEN(VLOOKUP($B53,Database!$B$1:$IX$10144,7,FALSE))=0,"",VLOOKUP($B53,Database!$B$1:$IX$10144,7,FALSE)))</f>
        <v>30</v>
      </c>
      <c r="I53" s="22">
        <f>IF($B53="","",IF(LEN(VLOOKUP($B53,Database!$B$1:$IX$10144,8,FALSE))=0,"",VLOOKUP($B53,Database!$B$1:$IX$10144,8,FALSE)))</f>
        <v>30</v>
      </c>
      <c r="J53" t="s">
        <v>869</v>
      </c>
      <c r="L53">
        <v>3681</v>
      </c>
      <c r="M53">
        <v>393</v>
      </c>
      <c r="N53">
        <v>3772</v>
      </c>
      <c r="O53">
        <v>397</v>
      </c>
      <c r="P53">
        <v>3847</v>
      </c>
      <c r="Q53">
        <v>400</v>
      </c>
      <c r="R53">
        <v>3763</v>
      </c>
      <c r="S53">
        <v>411</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40.299999999999997</v>
      </c>
      <c r="AC53" s="22">
        <f>IF(OR($B53="",AC$22=""),"",IF(LEN(VLOOKUP($B53,Database!$B$1:$IX$10144,AC$22,FALSE))=0,"",VLOOKUP($B53,Database!$B$1:$IX$10144,AC$22,FALSE)))</f>
        <v>12.6</v>
      </c>
      <c r="AD53" s="22">
        <f>IF(OR($B53="",AD$22=""),"",IF(LEN(VLOOKUP($B53,Database!$B$1:$IX$10144,AD$22,FALSE))=0,"",VLOOKUP($B53,Database!$B$1:$IX$10144,AD$22,FALSE)))</f>
        <v>40.6</v>
      </c>
      <c r="AE53" s="22">
        <f>IF(OR($B53="",AE$22=""),"",IF(LEN(VLOOKUP($B53,Database!$B$1:$IX$10144,AE$22,FALSE))=0,"",VLOOKUP($B53,Database!$B$1:$IX$10144,AE$22,FALSE)))</f>
        <v>12.5</v>
      </c>
      <c r="AF53" s="22">
        <f>IF(OR($B53="",AF$22=""),"",IF(LEN(VLOOKUP($B53,Database!$B$1:$IX$10144,AF$22,FALSE))=0,"",VLOOKUP($B53,Database!$B$1:$IX$10144,AF$22,FALSE)))</f>
        <v>17</v>
      </c>
      <c r="AG53" s="22">
        <f>IF(OR($B53="",AG$22=""),"",IF(LEN(VLOOKUP($B53,Database!$B$1:$IX$10144,AG$22,FALSE))=0,"",VLOOKUP($B53,Database!$B$1:$IX$10144,AG$22,FALSE)))</f>
        <v>17</v>
      </c>
      <c r="AH53" s="22"/>
      <c r="AI53" s="22"/>
      <c r="AJ53" s="22" t="str">
        <f>IF(OR($B53="",AJ$22=""),"",IF(LEN(VLOOKUP($B53,Database!$B$1:$IX$10144,AJ$22,FALSE))=0,"",VLOOKUP($B53,Database!$B$1:$IX$10144,AJ$22,FALSE)))</f>
        <v/>
      </c>
      <c r="AK53" s="22">
        <f>IF(OR($B53="",AK$22=""),"",IF(LEN(VLOOKUP($B53,Database!$B$1:$IX$10144,AK$22,FALSE))=0,"",VLOOKUP($B53,Database!$B$1:$IX$10144,AK$22,FALSE)))</f>
        <v>40</v>
      </c>
      <c r="AL53" s="22">
        <f>IF(OR($B53="",AL$22=""),"",IF(LEN(VLOOKUP($B53,Database!$B$1:$IX$10144,AL$22,FALSE))=0,"",VLOOKUP($B53,Database!$B$1:$IX$10144,AL$22,FALSE)))</f>
        <v>24.8</v>
      </c>
      <c r="AM53" s="22" t="str">
        <f>IF(OR($B53="",AM$22=""),"",IF(LEN(VLOOKUP($B53,Database!$B$1:$IX$10144,AM$22,FALSE))=0,"",VLOOKUP($B53,Database!$B$1:$IX$10144,AM$22,FALSE)))</f>
        <v>ns</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Frodl T, Meisenzahl EM, Zetzsche T, Born C, Groll C, Jager M, Leinsinger G, Bottlender R, Hahn K, Moller HJ.</v>
      </c>
    </row>
    <row r="54" spans="1:43">
      <c r="A54" s="10" t="s">
        <v>2335</v>
      </c>
      <c r="B54">
        <v>15119911</v>
      </c>
      <c r="C54" s="1" t="str">
        <f>IF($B54="","",HYPERLINK(IF(LEN(VLOOKUP($B54,Database!$B$1:$IX$10144,2,FALSE))=0,"",VLOOKUP($B54,Database!$B$1:$IX$10144,2,FALSE))))</f>
        <v/>
      </c>
      <c r="D54" s="1" t="str">
        <f t="shared" si="6"/>
        <v>http://www.ncbi.nlm.nih.gov/pubmed/15119911</v>
      </c>
      <c r="E54" s="22" t="str">
        <f>IF($B54="","",IF(LEN(VLOOKUP($B54,Database!$B$1:$IX$10144,4,FALSE))=0,"",VLOOKUP($B54,Database!$B$1:$IX$10144,4,FALSE)))</f>
        <v>Frodl T (B)</v>
      </c>
      <c r="F54" s="22">
        <f>IF($B54="","",IF(LEN(VLOOKUP($B54,Database!$B$1:$IX$10144,5,FALSE))=0,"",VLOOKUP($B54,Database!$B$1:$IX$10144,5,FALSE)))</f>
        <v>2004</v>
      </c>
      <c r="G54" s="1" t="str">
        <f>IF($B54="","",HYPERLINK(IF(LEN(VLOOKUP($B54,Database!$B$1:$IX$10144,6,FALSE))=0,"",VLOOKUP($B54,Database!$B$1:$IX$10144,6,FALSE))))</f>
        <v>http://www.psychiatrist.com/abstracts/abstracts.asp?abstract=200404/040405.htm</v>
      </c>
      <c r="H54" s="22">
        <f>IF($B54="","",IF(LEN(VLOOKUP($B54,Database!$B$1:$IX$10144,7,FALSE))=0,"",VLOOKUP($B54,Database!$B$1:$IX$10144,7,FALSE)))</f>
        <v>30</v>
      </c>
      <c r="I54" s="22">
        <f>IF($B54="","",IF(LEN(VLOOKUP($B54,Database!$B$1:$IX$10144,8,FALSE))=0,"",VLOOKUP($B54,Database!$B$1:$IX$10144,8,FALSE)))</f>
        <v>30</v>
      </c>
      <c r="J54" t="s">
        <v>1381</v>
      </c>
      <c r="L54">
        <v>3.7</v>
      </c>
      <c r="M54">
        <v>0.33</v>
      </c>
      <c r="N54">
        <v>3.82</v>
      </c>
      <c r="O54">
        <v>0.34</v>
      </c>
      <c r="P54">
        <v>3.8</v>
      </c>
      <c r="Q54">
        <v>0.31</v>
      </c>
      <c r="R54">
        <v>3.93</v>
      </c>
      <c r="S54">
        <v>0.35</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48.4</v>
      </c>
      <c r="AC54" s="22">
        <f>IF(OR($B54="",AC$22=""),"",IF(LEN(VLOOKUP($B54,Database!$B$1:$IX$10144,AC$22,FALSE))=0,"",VLOOKUP($B54,Database!$B$1:$IX$10144,AC$22,FALSE)))</f>
        <v>13.4</v>
      </c>
      <c r="AD54" s="22">
        <f>IF(OR($B54="",AD$22=""),"",IF(LEN(VLOOKUP($B54,Database!$B$1:$IX$10144,AD$22,FALSE))=0,"",VLOOKUP($B54,Database!$B$1:$IX$10144,AD$22,FALSE)))</f>
        <v>45.7</v>
      </c>
      <c r="AE54" s="22">
        <f>IF(OR($B54="",AE$22=""),"",IF(LEN(VLOOKUP($B54,Database!$B$1:$IX$10144,AE$22,FALSE))=0,"",VLOOKUP($B54,Database!$B$1:$IX$10144,AE$22,FALSE)))</f>
        <v>12.9</v>
      </c>
      <c r="AF54" s="22">
        <f>IF(OR($B54="",AF$22=""),"",IF(LEN(VLOOKUP($B54,Database!$B$1:$IX$10144,AF$22,FALSE))=0,"",VLOOKUP($B54,Database!$B$1:$IX$10144,AF$22,FALSE)))</f>
        <v>18</v>
      </c>
      <c r="AG54" s="22">
        <f>IF(OR($B54="",AG$22=""),"",IF(LEN(VLOOKUP($B54,Database!$B$1:$IX$10144,AG$22,FALSE))=0,"",VLOOKUP($B54,Database!$B$1:$IX$10144,AG$22,FALSE)))</f>
        <v>18</v>
      </c>
      <c r="AH54" s="22"/>
      <c r="AI54" s="22"/>
      <c r="AJ54" s="22" t="str">
        <f>IF(OR($B54="",AJ$22=""),"",IF(LEN(VLOOKUP($B54,Database!$B$1:$IX$10144,AJ$22,FALSE))=0,"",VLOOKUP($B54,Database!$B$1:$IX$10144,AJ$22,FALSE)))</f>
        <v/>
      </c>
      <c r="AK54" s="22">
        <f>IF(OR($B54="",AK$22=""),"",IF(LEN(VLOOKUP($B54,Database!$B$1:$IX$10144,AK$22,FALSE))=0,"",VLOOKUP($B54,Database!$B$1:$IX$10144,AK$22,FALSE)))</f>
        <v>39.299999999999997</v>
      </c>
      <c r="AL54" s="22">
        <f>IF(OR($B54="",AL$22=""),"",IF(LEN(VLOOKUP($B54,Database!$B$1:$IX$10144,AL$22,FALSE))=0,"",VLOOKUP($B54,Database!$B$1:$IX$10144,AL$22,FALSE)))</f>
        <v>23.7</v>
      </c>
      <c r="AM54" s="22" t="str">
        <f>IF(OR($B54="",AM$22=""),"",IF(LEN(VLOOKUP($B54,Database!$B$1:$IX$10144,AM$22,FALSE))=0,"",VLOOKUP($B54,Database!$B$1:$IX$10144,AM$22,FALSE)))</f>
        <v>ns</v>
      </c>
      <c r="AN54" s="22">
        <f>IF(OR($B54="",AN$22=""),"",IF(LEN(VLOOKUP($B54,Database!$B$1:$IX$10144,AN$22,FALSE))=0,"",VLOOKUP($B54,Database!$B$1:$IX$10144,AN$22,FALSE)))</f>
        <v>23.333333333333332</v>
      </c>
      <c r="AO54" s="22" t="str">
        <f>IF(OR($B54="",AO$22=""),"",IF(LEN(VLOOKUP($B54,Database!$B$1:$IX$10144,AO$22,FALSE))=0,"",VLOOKUP($B54,Database!$B$1:$IX$10144,AO$22,FALSE)))</f>
        <v>ns</v>
      </c>
      <c r="AP54" s="22">
        <f>IF(OR($B54="",AP$22=""),"",IF(LEN(VLOOKUP($B54,Database!$B$1:$IX$10144,AP$22,FALSE))=0,"",VLOOKUP($B54,Database!$B$1:$IX$10144,AP$22,FALSE)))</f>
        <v>6.666666666666667</v>
      </c>
      <c r="AQ54" s="22" t="str">
        <f>IF(OR($B54="",AQ$22=""),"",IF(LEN(VLOOKUP($B54,Database!$B$1:$IX$10144,AQ$22,FALSE))=0,"",VLOOKUP($B54,Database!$B$1:$IX$10144,AQ$22,FALSE)))</f>
        <v>Frodl T, Meisenzahl EM, Zetzsche T, Hohne T, Banac S, Schorr C, Jager M, Leinsinger G, Bottlender R, Reiser M, Moller HJ.</v>
      </c>
    </row>
    <row r="55" spans="1:43">
      <c r="A55" s="7" t="s">
        <v>74</v>
      </c>
      <c r="B55">
        <v>15738499</v>
      </c>
      <c r="C55" s="1" t="str">
        <f>IF($B55="","",HYPERLINK(IF(LEN(VLOOKUP($B55,Database!$B$1:$IX$10144,2,FALSE))=0,"",VLOOKUP($B55,Database!$B$1:$IX$10144,2,FALSE))))</f>
        <v/>
      </c>
      <c r="D55" s="1" t="str">
        <f t="shared" si="6"/>
        <v>http://www.ncbi.nlm.nih.gov/pubmed/15738499</v>
      </c>
      <c r="E55" s="22" t="str">
        <f>IF($B55="","",IF(LEN(VLOOKUP($B55,Database!$B$1:$IX$10144,4,FALSE))=0,"",VLOOKUP($B55,Database!$B$1:$IX$10144,4,FALSE)))</f>
        <v>Hickie I (A)</v>
      </c>
      <c r="F55" s="22">
        <f>IF($B55="","",IF(LEN(VLOOKUP($B55,Database!$B$1:$IX$10144,5,FALSE))=0,"",VLOOKUP($B55,Database!$B$1:$IX$10144,5,FALSE)))</f>
        <v>2005</v>
      </c>
      <c r="G55" s="1" t="str">
        <f>IF($B55="","",HYPERLINK(IF(LEN(VLOOKUP($B55,Database!$B$1:$IX$10144,6,FALSE))=0,"",VLOOKUP($B55,Database!$B$1:$IX$10144,6,FALSE))))</f>
        <v>http://bjp.rcpsych.org/cgi/content/full/186/3/197</v>
      </c>
      <c r="H55" s="22">
        <f>IF($B55="","",IF(LEN(VLOOKUP($B55,Database!$B$1:$IX$10144,7,FALSE))=0,"",VLOOKUP($B55,Database!$B$1:$IX$10144,7,FALSE)))</f>
        <v>51</v>
      </c>
      <c r="I55" s="22">
        <f>IF($B55="","",IF(LEN(VLOOKUP($B55,Database!$B$1:$IX$10144,8,FALSE))=0,"",VLOOKUP($B55,Database!$B$1:$IX$10144,8,FALSE)))</f>
        <v>20</v>
      </c>
      <c r="J55" t="s">
        <v>1054</v>
      </c>
      <c r="L55">
        <v>2.9</v>
      </c>
      <c r="M55">
        <v>0.4</v>
      </c>
      <c r="N55">
        <v>3.3</v>
      </c>
      <c r="O55">
        <v>0.5</v>
      </c>
      <c r="P55">
        <v>3</v>
      </c>
      <c r="Q55">
        <v>0.4</v>
      </c>
      <c r="R55">
        <v>3.3</v>
      </c>
      <c r="S55">
        <v>0.6</v>
      </c>
      <c r="T55">
        <v>5.9</v>
      </c>
      <c r="U55">
        <v>0.7</v>
      </c>
      <c r="V55">
        <v>6.6</v>
      </c>
      <c r="W55">
        <v>1.1000000000000001</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53.5</v>
      </c>
      <c r="AC55" s="22">
        <f>IF(OR($B55="",AC$22=""),"",IF(LEN(VLOOKUP($B55,Database!$B$1:$IX$10144,AC$22,FALSE))=0,"",VLOOKUP($B55,Database!$B$1:$IX$10144,AC$22,FALSE)))</f>
        <v>13.5</v>
      </c>
      <c r="AD55" s="22">
        <f>IF(OR($B55="",AD$22=""),"",IF(LEN(VLOOKUP($B55,Database!$B$1:$IX$10144,AD$22,FALSE))=0,"",VLOOKUP($B55,Database!$B$1:$IX$10144,AD$22,FALSE)))</f>
        <v>55.8</v>
      </c>
      <c r="AE55" s="22">
        <f>IF(OR($B55="",AE$22=""),"",IF(LEN(VLOOKUP($B55,Database!$B$1:$IX$10144,AE$22,FALSE))=0,"",VLOOKUP($B55,Database!$B$1:$IX$10144,AE$22,FALSE)))</f>
        <v>10</v>
      </c>
      <c r="AF55" s="22">
        <f>IF(OR($B55="",AF$22=""),"",IF(LEN(VLOOKUP($B55,Database!$B$1:$IX$10144,AF$22,FALSE))=0,"",VLOOKUP($B55,Database!$B$1:$IX$10144,AF$22,FALSE)))</f>
        <v>44</v>
      </c>
      <c r="AG55" s="22">
        <f>IF(OR($B55="",AG$22=""),"",IF(LEN(VLOOKUP($B55,Database!$B$1:$IX$10144,AG$22,FALSE))=0,"",VLOOKUP($B55,Database!$B$1:$IX$10144,AG$22,FALSE)))</f>
        <v>11</v>
      </c>
      <c r="AH55" s="22">
        <f>IF(OR($B55="",AH$22=""),"",IF(LEN(VLOOKUP($B55,Database!$B$1:$IX$10144,AH$22,FALSE))=0,"",VLOOKUP($B55,Database!$B$1:$IX$10144,AH$22,FALSE)))</f>
        <v>1.5</v>
      </c>
      <c r="AI55" s="22">
        <f>IF(OR($B55="",AI$22=""),"",IF(LEN(VLOOKUP($B55,Database!$B$1:$IX$10144,AI$22,FALSE))=0,"",VLOOKUP($B55,Database!$B$1:$IX$10144,AI$22,FALSE)))</f>
        <v>1.5</v>
      </c>
      <c r="AJ55" s="22" t="str">
        <f>IF(OR($B55="",AJ$22=""),"",IF(LEN(VLOOKUP($B55,Database!$B$1:$IX$10144,AJ$22,FALSE))=0,"",VLOOKUP($B55,Database!$B$1:$IX$10144,AJ$22,FALSE)))</f>
        <v/>
      </c>
      <c r="AK55" s="22">
        <f>IF(OR($B55="",AK$22=""),"",IF(LEN(VLOOKUP($B55,Database!$B$1:$IX$10144,AK$22,FALSE))=0,"",VLOOKUP($B55,Database!$B$1:$IX$10144,AK$22,FALSE)))</f>
        <v>38.4</v>
      </c>
      <c r="AL55" s="22">
        <f>IF(OR($B55="",AL$22=""),"",IF(LEN(VLOOKUP($B55,Database!$B$1:$IX$10144,AL$22,FALSE))=0,"",VLOOKUP($B55,Database!$B$1:$IX$10144,AL$22,FALSE)))</f>
        <v>24.9</v>
      </c>
      <c r="AM55" s="22" t="str">
        <f>IF(OR($B55="",AM$22=""),"",IF(LEN(VLOOKUP($B55,Database!$B$1:$IX$10144,AM$22,FALSE))=0,"",VLOOKUP($B55,Database!$B$1:$IX$10144,AM$22,FALSE)))</f>
        <v>ns</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Hickie I, Naismith S, Ward PB, Turner K, Scott E, Mitchell P, Wilhelm K, Parker G.</v>
      </c>
    </row>
    <row r="56" spans="1:43">
      <c r="A56" s="10" t="s">
        <v>2335</v>
      </c>
      <c r="B56">
        <v>16951734</v>
      </c>
      <c r="C56" s="1" t="str">
        <f>IF($B56="","",HYPERLINK(IF(LEN(VLOOKUP($B56,Database!$B$1:$IX$10144,2,FALSE))=0,"",VLOOKUP($B56,Database!$B$1:$IX$10144,2,FALSE))))</f>
        <v/>
      </c>
      <c r="D56" s="1" t="str">
        <f t="shared" si="6"/>
        <v>http://www.ncbi.nlm.nih.gov/pubmed/16951734</v>
      </c>
      <c r="E56" s="22" t="str">
        <f>IF($B56="","",IF(LEN(VLOOKUP($B56,Database!$B$1:$IX$10144,4,FALSE))=0,"",VLOOKUP($B56,Database!$B$1:$IX$10144,4,FALSE)))</f>
        <v>Frodl T</v>
      </c>
      <c r="F56" s="22">
        <f>IF($B56="","",IF(LEN(VLOOKUP($B56,Database!$B$1:$IX$10144,5,FALSE))=0,"",VLOOKUP($B56,Database!$B$1:$IX$10144,5,FALSE)))</f>
        <v>2006</v>
      </c>
      <c r="G56" s="1" t="str">
        <f>IF($B56="","",HYPERLINK(IF(LEN(VLOOKUP($B56,Database!$B$1:$IX$10144,6,FALSE))=0,"",VLOOKUP($B56,Database!$B$1:$IX$10144,6,FALSE))))</f>
        <v>http://www.cma.ca/multimedia/staticContent/HTML/N0/l2/jpn/vol-31/issue-5/pdf/pg316.pdf</v>
      </c>
      <c r="H56" s="22">
        <f>IF($B56="","",IF(LEN(VLOOKUP($B56,Database!$B$1:$IX$10144,7,FALSE))=0,"",VLOOKUP($B56,Database!$B$1:$IX$10144,7,FALSE)))</f>
        <v>34</v>
      </c>
      <c r="I56" s="22">
        <f>IF($B56="","",IF(LEN(VLOOKUP($B56,Database!$B$1:$IX$10144,8,FALSE))=0,"",VLOOKUP($B56,Database!$B$1:$IX$10144,8,FALSE)))</f>
        <v>34</v>
      </c>
      <c r="J56" t="s">
        <v>878</v>
      </c>
      <c r="L56">
        <v>2.79</v>
      </c>
      <c r="M56">
        <v>0.31</v>
      </c>
      <c r="N56">
        <v>3.06</v>
      </c>
      <c r="O56">
        <v>0.3</v>
      </c>
      <c r="P56">
        <v>2.92</v>
      </c>
      <c r="Q56">
        <v>0.28999999999999998</v>
      </c>
      <c r="R56">
        <v>3.14</v>
      </c>
      <c r="S56">
        <v>0.3</v>
      </c>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f>IF(OR($B56="",AB$22=""),"",IF(LEN(VLOOKUP($B56,Database!$B$1:$IX$10144,AB$22,FALSE))=0,"",VLOOKUP($B56,Database!$B$1:$IX$10144,AB$22,FALSE)))</f>
        <v>45.5</v>
      </c>
      <c r="AC56" s="22">
        <f>IF(OR($B56="",AC$22=""),"",IF(LEN(VLOOKUP($B56,Database!$B$1:$IX$10144,AC$22,FALSE))=0,"",VLOOKUP($B56,Database!$B$1:$IX$10144,AC$22,FALSE)))</f>
        <v>11.9</v>
      </c>
      <c r="AD56" s="22">
        <f>IF(OR($B56="",AD$22=""),"",IF(LEN(VLOOKUP($B56,Database!$B$1:$IX$10144,AD$22,FALSE))=0,"",VLOOKUP($B56,Database!$B$1:$IX$10144,AD$22,FALSE)))</f>
        <v>43.6</v>
      </c>
      <c r="AE56" s="22">
        <f>IF(OR($B56="",AE$22=""),"",IF(LEN(VLOOKUP($B56,Database!$B$1:$IX$10144,AE$22,FALSE))=0,"",VLOOKUP($B56,Database!$B$1:$IX$10144,AE$22,FALSE)))</f>
        <v>13.2</v>
      </c>
      <c r="AF56" s="22">
        <f>IF(OR($B56="",AF$22=""),"",IF(LEN(VLOOKUP($B56,Database!$B$1:$IX$10144,AF$22,FALSE))=0,"",VLOOKUP($B56,Database!$B$1:$IX$10144,AF$22,FALSE)))</f>
        <v>15</v>
      </c>
      <c r="AG56" s="22">
        <f>IF(OR($B56="",AG$22=""),"",IF(LEN(VLOOKUP($B56,Database!$B$1:$IX$10144,AG$22,FALSE))=0,"",VLOOKUP($B56,Database!$B$1:$IX$10144,AG$22,FALSE)))</f>
        <v>15</v>
      </c>
      <c r="AH56" s="22"/>
      <c r="AI56" s="22"/>
      <c r="AJ56" s="22" t="str">
        <f>IF(OR($B56="",AJ$22=""),"",IF(LEN(VLOOKUP($B56,Database!$B$1:$IX$10144,AJ$22,FALSE))=0,"",VLOOKUP($B56,Database!$B$1:$IX$10144,AJ$22,FALSE)))</f>
        <v/>
      </c>
      <c r="AK56" s="22">
        <f>IF(OR($B56="",AK$22=""),"",IF(LEN(VLOOKUP($B56,Database!$B$1:$IX$10144,AK$22,FALSE))=0,"",VLOOKUP($B56,Database!$B$1:$IX$10144,AK$22,FALSE)))</f>
        <v>38.799999999999997</v>
      </c>
      <c r="AL56" s="22">
        <f>IF(OR($B56="",AL$22=""),"",IF(LEN(VLOOKUP($B56,Database!$B$1:$IX$10144,AL$22,FALSE))=0,"",VLOOKUP($B56,Database!$B$1:$IX$10144,AL$22,FALSE)))</f>
        <v>24.8</v>
      </c>
      <c r="AM56" s="22">
        <f>IF(OR($B56="",AM$22=""),"",IF(LEN(VLOOKUP($B56,Database!$B$1:$IX$10144,AM$22,FALSE))=0,"",VLOOKUP($B56,Database!$B$1:$IX$10144,AM$22,FALSE)))</f>
        <v>91.17647058823529</v>
      </c>
      <c r="AN56" s="22" t="str">
        <f>IF(OR($B56="",AN$22=""),"",IF(LEN(VLOOKUP($B56,Database!$B$1:$IX$10144,AN$22,FALSE))=0,"",VLOOKUP($B56,Database!$B$1:$IX$10144,AN$22,FALSE)))</f>
        <v>ns</v>
      </c>
      <c r="AO56" s="22">
        <f>IF(OR($B56="",AO$22=""),"",IF(LEN(VLOOKUP($B56,Database!$B$1:$IX$10144,AO$22,FALSE))=0,"",VLOOKUP($B56,Database!$B$1:$IX$10144,AO$22,FALSE)))</f>
        <v>11.76470588235294</v>
      </c>
      <c r="AP56" s="22">
        <f>IF(OR($B56="",AP$22=""),"",IF(LEN(VLOOKUP($B56,Database!$B$1:$IX$10144,AP$22,FALSE))=0,"",VLOOKUP($B56,Database!$B$1:$IX$10144,AP$22,FALSE)))</f>
        <v>8.8235294117647065</v>
      </c>
      <c r="AQ56" s="22" t="str">
        <f>IF(OR($B56="",AQ$22=""),"",IF(LEN(VLOOKUP($B56,Database!$B$1:$IX$10144,AQ$22,FALSE))=0,"",VLOOKUP($B56,Database!$B$1:$IX$10144,AQ$22,FALSE)))</f>
        <v>Frodl T, Schaub A, Banac S, Charypar M, Jager M, Kummler P, Bottlender R, Zetzsche T, Born C, Leinsinger G, Reiser M, Moller HJ, Meisenzahl EM.</v>
      </c>
    </row>
    <row r="57" spans="1:43">
      <c r="A57" s="10" t="s">
        <v>2336</v>
      </c>
      <c r="B57">
        <v>17389903</v>
      </c>
      <c r="C57" s="1" t="str">
        <f>IF($B57="","",HYPERLINK(IF(LEN(VLOOKUP($B57,Database!$B$1:$IX$10144,2,FALSE))=0,"",VLOOKUP($B57,Database!$B$1:$IX$10144,2,FALSE))))</f>
        <v/>
      </c>
      <c r="D57" s="1" t="str">
        <f t="shared" si="6"/>
        <v>http://www.ncbi.nlm.nih.gov/pubmed/17389903</v>
      </c>
      <c r="E57" s="22" t="str">
        <f>IF($B57="","",IF(LEN(VLOOKUP($B57,Database!$B$1:$IX$10144,4,FALSE))=0,"",VLOOKUP($B57,Database!$B$1:$IX$10144,4,FALSE)))</f>
        <v>Monkul ES</v>
      </c>
      <c r="F57" s="22">
        <f>IF($B57="","",IF(LEN(VLOOKUP($B57,Database!$B$1:$IX$10144,5,FALSE))=0,"",VLOOKUP($B57,Database!$B$1:$IX$10144,5,FALSE)))</f>
        <v>2007</v>
      </c>
      <c r="G57" s="1" t="str">
        <f>IF($B57="","",HYPERLINK(IF(LEN(VLOOKUP($B57,Database!$B$1:$IX$10144,6,FALSE))=0,"",VLOOKUP($B57,Database!$B$1:$IX$10144,6,FALSE))))</f>
        <v>http://www.nature.com/mp/journal/v12/n4/pdf/4001919a.pdf</v>
      </c>
      <c r="H57" s="83">
        <v>7</v>
      </c>
      <c r="I57" s="83">
        <v>8.5</v>
      </c>
      <c r="J57" t="s">
        <v>1378</v>
      </c>
      <c r="K57" t="s">
        <v>988</v>
      </c>
      <c r="L57">
        <v>3.44</v>
      </c>
      <c r="M57">
        <v>0.7</v>
      </c>
      <c r="N57">
        <v>3.32</v>
      </c>
      <c r="O57">
        <v>0.27</v>
      </c>
      <c r="P57">
        <v>3.35</v>
      </c>
      <c r="Q57">
        <v>0.49</v>
      </c>
      <c r="R57">
        <v>3.29</v>
      </c>
      <c r="S57">
        <v>0.34</v>
      </c>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83">
        <v>31.4</v>
      </c>
      <c r="AC57" s="83">
        <v>13.9</v>
      </c>
      <c r="AD57" s="83">
        <f>IF(OR($B57="",AD$22=""),"",IF(LEN(VLOOKUP($B57,Database!$B$1:$IX$10144,AD$22,FALSE))=0,"",VLOOKUP($B57,Database!$B$1:$IX$10144,AD$22,FALSE)))</f>
        <v>31.3</v>
      </c>
      <c r="AE57" s="83">
        <f>IF(OR($B57="",AE$22=""),"",IF(LEN(VLOOKUP($B57,Database!$B$1:$IX$10144,AE$22,FALSE))=0,"",VLOOKUP($B57,Database!$B$1:$IX$10144,AE$22,FALSE)))</f>
        <v>8.3000000000000007</v>
      </c>
      <c r="AF57" s="83">
        <v>7</v>
      </c>
      <c r="AG57" s="83">
        <v>8.5</v>
      </c>
      <c r="AH57" s="22"/>
      <c r="AI57" s="22"/>
      <c r="AJ57" s="22" t="str">
        <f>IF(OR($B57="",AJ$22=""),"",IF(LEN(VLOOKUP($B57,Database!$B$1:$IX$10144,AJ$22,FALSE))=0,"",VLOOKUP($B57,Database!$B$1:$IX$10144,AJ$22,FALSE)))</f>
        <v/>
      </c>
      <c r="AK57" s="83">
        <v>16</v>
      </c>
      <c r="AL57" s="83">
        <v>13.7</v>
      </c>
      <c r="AM57" s="22">
        <f>IF(OR($B57="",AM$22=""),"",IF(LEN(VLOOKUP($B57,Database!$B$1:$IX$10144,AM$22,FALSE))=0,"",VLOOKUP($B57,Database!$B$1:$IX$10144,AM$22,FALSE)))</f>
        <v>0</v>
      </c>
      <c r="AN57" s="22">
        <f>IF(OR($B57="",AN$22=""),"",IF(LEN(VLOOKUP($B57,Database!$B$1:$IX$10144,AN$22,FALSE))=0,"",VLOOKUP($B57,Database!$B$1:$IX$10144,AN$22,FALSE)))</f>
        <v>0</v>
      </c>
      <c r="AO57" s="22">
        <f>IF(OR($B57="",AO$22=""),"",IF(LEN(VLOOKUP($B57,Database!$B$1:$IX$10144,AO$22,FALSE))=0,"",VLOOKUP($B57,Database!$B$1:$IX$10144,AO$22,FALSE)))</f>
        <v>0</v>
      </c>
      <c r="AP57" s="22">
        <f>IF(OR($B57="",AP$22=""),"",IF(LEN(VLOOKUP($B57,Database!$B$1:$IX$10144,AP$22,FALSE))=0,"",VLOOKUP($B57,Database!$B$1:$IX$10144,AP$22,FALSE)))</f>
        <v>100</v>
      </c>
      <c r="AQ57" s="22" t="str">
        <f>IF(OR($B57="",AQ$22=""),"",IF(LEN(VLOOKUP($B57,Database!$B$1:$IX$10144,AQ$22,FALSE))=0,"",VLOOKUP($B57,Database!$B$1:$IX$10144,AQ$22,FALSE)))</f>
        <v>Monkul ES, Hatch JP, Nicoletti MA, Spence S, Brambilla P, Lacerda AL, Sassi RB, Mallinger AG, Keshavan MS, Soares JC.</v>
      </c>
    </row>
    <row r="58" spans="1:43">
      <c r="A58" s="10" t="s">
        <v>2336</v>
      </c>
      <c r="B58">
        <v>17389903</v>
      </c>
      <c r="C58" s="1" t="str">
        <f>IF($B58="","",HYPERLINK(IF(LEN(VLOOKUP($B58,Database!$B$1:$IX$10144,2,FALSE))=0,"",VLOOKUP($B58,Database!$B$1:$IX$10144,2,FALSE))))</f>
        <v/>
      </c>
      <c r="D58" s="1" t="str">
        <f t="shared" si="6"/>
        <v>http://www.ncbi.nlm.nih.gov/pubmed/17389903</v>
      </c>
      <c r="E58" s="22" t="str">
        <f>IF($B58="","",IF(LEN(VLOOKUP($B58,Database!$B$1:$IX$10144,4,FALSE))=0,"",VLOOKUP($B58,Database!$B$1:$IX$10144,4,FALSE)))</f>
        <v>Monkul ES</v>
      </c>
      <c r="F58" s="22">
        <f>IF($B58="","",IF(LEN(VLOOKUP($B58,Database!$B$1:$IX$10144,5,FALSE))=0,"",VLOOKUP($B58,Database!$B$1:$IX$10144,5,FALSE)))</f>
        <v>2007</v>
      </c>
      <c r="G58" s="1" t="str">
        <f>IF($B58="","",HYPERLINK(IF(LEN(VLOOKUP($B58,Database!$B$1:$IX$10144,6,FALSE))=0,"",VLOOKUP($B58,Database!$B$1:$IX$10144,6,FALSE))))</f>
        <v>http://www.nature.com/mp/journal/v12/n4/pdf/4001919a.pdf</v>
      </c>
      <c r="H58" s="83">
        <v>10</v>
      </c>
      <c r="I58" s="83">
        <v>8.5</v>
      </c>
      <c r="J58" t="s">
        <v>1378</v>
      </c>
      <c r="K58" t="s">
        <v>989</v>
      </c>
      <c r="L58">
        <v>3.38</v>
      </c>
      <c r="M58">
        <v>0.43</v>
      </c>
      <c r="N58">
        <v>3.32</v>
      </c>
      <c r="O58">
        <v>0.27</v>
      </c>
      <c r="P58">
        <v>3.47</v>
      </c>
      <c r="Q58">
        <v>0.42</v>
      </c>
      <c r="R58">
        <v>3.29</v>
      </c>
      <c r="S58">
        <v>0.34</v>
      </c>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83">
        <v>36.5</v>
      </c>
      <c r="AC58" s="83">
        <v>7.5</v>
      </c>
      <c r="AD58" s="83">
        <f>IF(OR($B58="",AD$22=""),"",IF(LEN(VLOOKUP($B58,Database!$B$1:$IX$10144,AD$22,FALSE))=0,"",VLOOKUP($B58,Database!$B$1:$IX$10144,AD$22,FALSE)))</f>
        <v>31.3</v>
      </c>
      <c r="AE58" s="83">
        <f>IF(OR($B58="",AE$22=""),"",IF(LEN(VLOOKUP($B58,Database!$B$1:$IX$10144,AE$22,FALSE))=0,"",VLOOKUP($B58,Database!$B$1:$IX$10144,AE$22,FALSE)))</f>
        <v>8.3000000000000007</v>
      </c>
      <c r="AF58" s="83">
        <v>10</v>
      </c>
      <c r="AG58" s="83">
        <v>8.5</v>
      </c>
      <c r="AH58" s="22"/>
      <c r="AI58" s="22"/>
      <c r="AJ58" s="22" t="str">
        <f>IF(OR($B58="",AJ$22=""),"",IF(LEN(VLOOKUP($B58,Database!$B$1:$IX$10144,AJ$22,FALSE))=0,"",VLOOKUP($B58,Database!$B$1:$IX$10144,AJ$22,FALSE)))</f>
        <v/>
      </c>
      <c r="AK58" s="83">
        <v>26.9</v>
      </c>
      <c r="AL58" s="83">
        <v>10.9</v>
      </c>
      <c r="AM58" s="22">
        <f>IF(OR($B58="",AM$22=""),"",IF(LEN(VLOOKUP($B58,Database!$B$1:$IX$10144,AM$22,FALSE))=0,"",VLOOKUP($B58,Database!$B$1:$IX$10144,AM$22,FALSE)))</f>
        <v>0</v>
      </c>
      <c r="AN58" s="22">
        <f>IF(OR($B58="",AN$22=""),"",IF(LEN(VLOOKUP($B58,Database!$B$1:$IX$10144,AN$22,FALSE))=0,"",VLOOKUP($B58,Database!$B$1:$IX$10144,AN$22,FALSE)))</f>
        <v>0</v>
      </c>
      <c r="AO58" s="22">
        <f>IF(OR($B58="",AO$22=""),"",IF(LEN(VLOOKUP($B58,Database!$B$1:$IX$10144,AO$22,FALSE))=0,"",VLOOKUP($B58,Database!$B$1:$IX$10144,AO$22,FALSE)))</f>
        <v>0</v>
      </c>
      <c r="AP58" s="22">
        <f>IF(OR($B58="",AP$22=""),"",IF(LEN(VLOOKUP($B58,Database!$B$1:$IX$10144,AP$22,FALSE))=0,"",VLOOKUP($B58,Database!$B$1:$IX$10144,AP$22,FALSE)))</f>
        <v>100</v>
      </c>
      <c r="AQ58" s="22" t="str">
        <f>IF(OR($B58="",AQ$22=""),"",IF(LEN(VLOOKUP($B58,Database!$B$1:$IX$10144,AQ$22,FALSE))=0,"",VLOOKUP($B58,Database!$B$1:$IX$10144,AQ$22,FALSE)))</f>
        <v>Monkul ES, Hatch JP, Nicoletti MA, Spence S, Brambilla P, Lacerda AL, Sassi RB, Mallinger AG, Keshavan MS, Soares JC.</v>
      </c>
    </row>
    <row r="59" spans="1:43">
      <c r="A59" s="10" t="s">
        <v>2335</v>
      </c>
      <c r="B59">
        <v>18787661</v>
      </c>
      <c r="C59" s="1" t="str">
        <f>IF($B59="","",HYPERLINK(IF(LEN(VLOOKUP($B59,Database!$B$1:$IX$10144,2,FALSE))=0,"",VLOOKUP($B59,Database!$B$1:$IX$10144,2,FALSE))))</f>
        <v/>
      </c>
      <c r="D59" s="1" t="str">
        <f t="shared" si="6"/>
        <v>http://www.ncbi.nlm.nih.gov/pubmed/18787661</v>
      </c>
      <c r="E59" s="22" t="str">
        <f>IF($B59="","",IF(LEN(VLOOKUP($B59,Database!$B$1:$IX$10144,4,FALSE))=0,"",VLOOKUP($B59,Database!$B$1:$IX$10144,4,FALSE)))</f>
        <v>Frodl T (C)</v>
      </c>
      <c r="F59" s="22">
        <f>IF($B59="","",IF(LEN(VLOOKUP($B59,Database!$B$1:$IX$10144,5,FALSE))=0,"",VLOOKUP($B59,Database!$B$1:$IX$10144,5,FALSE)))</f>
        <v>2008</v>
      </c>
      <c r="G59" s="1" t="str">
        <f>IF($B59="","",HYPERLINK(IF(LEN(VLOOKUP($B59,Database!$B$1:$IX$10144,6,FALSE))=0,"",VLOOKUP($B59,Database!$B$1:$IX$10144,6,FALSE))))</f>
        <v>http://www.cma.ca/multimedia/staticContent/HTML/N0/l2/jpn/vol-33/issue-5/pdf/pg423.pdf</v>
      </c>
      <c r="H59" s="22">
        <f>IF($B59="","",IF(LEN(VLOOKUP($B59,Database!$B$1:$IX$10144,7,FALSE))=0,"",VLOOKUP($B59,Database!$B$1:$IX$10144,7,FALSE)))</f>
        <v>30</v>
      </c>
      <c r="I59" s="22">
        <f>IF($B59="","",IF(LEN(VLOOKUP($B59,Database!$B$1:$IX$10144,8,FALSE))=0,"",VLOOKUP($B59,Database!$B$1:$IX$10144,8,FALSE)))</f>
        <v>30</v>
      </c>
      <c r="J59" t="s">
        <v>652</v>
      </c>
      <c r="L59">
        <v>3.71</v>
      </c>
      <c r="M59">
        <v>0.34</v>
      </c>
      <c r="N59">
        <v>3.72</v>
      </c>
      <c r="O59">
        <v>0.37</v>
      </c>
      <c r="P59">
        <v>3.85</v>
      </c>
      <c r="Q59">
        <v>0.34</v>
      </c>
      <c r="R59">
        <v>3.82</v>
      </c>
      <c r="S59">
        <v>0.47</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45</v>
      </c>
      <c r="AC59" s="22">
        <f>IF(OR($B59="",AC$22=""),"",IF(LEN(VLOOKUP($B59,Database!$B$1:$IX$10144,AC$22,FALSE))=0,"",VLOOKUP($B59,Database!$B$1:$IX$10144,AC$22,FALSE)))</f>
        <v>11.1</v>
      </c>
      <c r="AD59" s="22">
        <f>IF(OR($B59="",AD$22=""),"",IF(LEN(VLOOKUP($B59,Database!$B$1:$IX$10144,AD$22,FALSE))=0,"",VLOOKUP($B59,Database!$B$1:$IX$10144,AD$22,FALSE)))</f>
        <v>43.6</v>
      </c>
      <c r="AE59" s="22">
        <f>IF(OR($B59="",AE$22=""),"",IF(LEN(VLOOKUP($B59,Database!$B$1:$IX$10144,AE$22,FALSE))=0,"",VLOOKUP($B59,Database!$B$1:$IX$10144,AE$22,FALSE)))</f>
        <v>13.1</v>
      </c>
      <c r="AF59" s="22">
        <f>IF(OR($B59="",AF$22=""),"",IF(LEN(VLOOKUP($B59,Database!$B$1:$IX$10144,AF$22,FALSE))=0,"",VLOOKUP($B59,Database!$B$1:$IX$10144,AF$22,FALSE)))</f>
        <v>19</v>
      </c>
      <c r="AG59" s="22">
        <f>IF(OR($B59="",AG$22=""),"",IF(LEN(VLOOKUP($B59,Database!$B$1:$IX$10144,AG$22,FALSE))=0,"",VLOOKUP($B59,Database!$B$1:$IX$10144,AG$22,FALSE)))</f>
        <v>19</v>
      </c>
      <c r="AH59" s="22"/>
      <c r="AI59" s="22"/>
      <c r="AJ59" s="22" t="str">
        <f>IF(OR($B59="",AJ$22=""),"",IF(LEN(VLOOKUP($B59,Database!$B$1:$IX$10144,AJ$22,FALSE))=0,"",VLOOKUP($B59,Database!$B$1:$IX$10144,AJ$22,FALSE)))</f>
        <v/>
      </c>
      <c r="AK59" s="22">
        <f>IF(OR($B59="",AK$22=""),"",IF(LEN(VLOOKUP($B59,Database!$B$1:$IX$10144,AK$22,FALSE))=0,"",VLOOKUP($B59,Database!$B$1:$IX$10144,AK$22,FALSE)))</f>
        <v>39.299999999999997</v>
      </c>
      <c r="AL59" s="22">
        <f>IF(OR($B59="",AL$22=""),"",IF(LEN(VLOOKUP($B59,Database!$B$1:$IX$10144,AL$22,FALSE))=0,"",VLOOKUP($B59,Database!$B$1:$IX$10144,AL$22,FALSE)))</f>
        <v>24</v>
      </c>
      <c r="AM59" s="22">
        <f>IF(OR($B59="",AM$22=""),"",IF(LEN(VLOOKUP($B59,Database!$B$1:$IX$10144,AM$22,FALSE))=0,"",VLOOKUP($B59,Database!$B$1:$IX$10144,AM$22,FALSE)))</f>
        <v>96.666666666666671</v>
      </c>
      <c r="AN59" s="22" t="str">
        <f>IF(OR($B59="",AN$22=""),"",IF(LEN(VLOOKUP($B59,Database!$B$1:$IX$10144,AN$22,FALSE))=0,"",VLOOKUP($B59,Database!$B$1:$IX$10144,AN$22,FALSE)))</f>
        <v>ns</v>
      </c>
      <c r="AO59" s="22" t="str">
        <f>IF(OR($B59="",AO$22=""),"",IF(LEN(VLOOKUP($B59,Database!$B$1:$IX$10144,AO$22,FALSE))=0,"",VLOOKUP($B59,Database!$B$1:$IX$10144,AO$22,FALSE)))</f>
        <v>ns</v>
      </c>
      <c r="AP59" s="22" t="str">
        <f>IF(OR($B59="",AP$22=""),"",IF(LEN(VLOOKUP($B59,Database!$B$1:$IX$10144,AP$22,FALSE))=0,"",VLOOKUP($B59,Database!$B$1:$IX$10144,AP$22,FALSE)))</f>
        <v>ns</v>
      </c>
      <c r="AQ59" s="22" t="str">
        <f>IF(OR($B59="",AQ$22=""),"",IF(LEN(VLOOKUP($B59,Database!$B$1:$IX$10144,AQ$22,FALSE))=0,"",VLOOKUP($B59,Database!$B$1:$IX$10144,AQ$22,FALSE)))</f>
        <v>Frodl T, Jäger M, Smajstrlova I, Born C, Bottlender R, Palladino T, Reiser M, Möller HJ, Meisenzahl EM.</v>
      </c>
    </row>
    <row r="60" spans="1:43">
      <c r="A60" s="10" t="s">
        <v>1188</v>
      </c>
      <c r="B60">
        <v>18508244</v>
      </c>
      <c r="C60" s="1" t="str">
        <f>IF($B60="","",HYPERLINK(IF(LEN(VLOOKUP($B60,Database!$B$1:$IX$10144,2,FALSE))=0,"",VLOOKUP($B60,Database!$B$1:$IX$10144,2,FALSE))))</f>
        <v/>
      </c>
      <c r="D60" s="1" t="str">
        <f t="shared" si="6"/>
        <v>http://www.ncbi.nlm.nih.gov/pubmed/18508244</v>
      </c>
      <c r="E60" s="22" t="str">
        <f>IF($B60="","",IF(LEN(VLOOKUP($B60,Database!$B$1:$IX$10144,4,FALSE))=0,"",VLOOKUP($B60,Database!$B$1:$IX$10144,4,FALSE)))</f>
        <v>Greenberg DL</v>
      </c>
      <c r="F60" s="22">
        <f>IF($B60="","",IF(LEN(VLOOKUP($B60,Database!$B$1:$IX$10144,5,FALSE))=0,"",VLOOKUP($B60,Database!$B$1:$IX$10144,5,FALSE)))</f>
        <v>2008</v>
      </c>
      <c r="G60" s="1" t="str">
        <f>IF($B60="","",HYPERLINK(IF(LEN(VLOOKUP($B60,Database!$B$1:$IX$10144,6,FALSE))=0,"",VLOOKUP($B60,Database!$B$1:$IX$10144,6,FALSE))))</f>
        <v>http://dx.doi.org/10.1016/j.pscychresns.2007.12.009</v>
      </c>
      <c r="H60" s="83">
        <v>56</v>
      </c>
      <c r="I60" s="83">
        <v>41.5</v>
      </c>
      <c r="J60" t="s">
        <v>609</v>
      </c>
      <c r="K60" t="s">
        <v>607</v>
      </c>
      <c r="L60">
        <v>2.91</v>
      </c>
      <c r="M60">
        <v>0.45</v>
      </c>
      <c r="N60">
        <v>2.95</v>
      </c>
      <c r="O60">
        <v>0.45</v>
      </c>
      <c r="P60">
        <v>3.13</v>
      </c>
      <c r="Q60">
        <v>0.36</v>
      </c>
      <c r="R60">
        <v>3.13</v>
      </c>
      <c r="S60">
        <v>0.44</v>
      </c>
      <c r="Y60" s="22" t="str">
        <f>IF(OR($B60="",Y$22=""),"",IF(LEN(VLOOKUP($B60,Database!$B$1:$IX$10144,Y$22,FALSE))=0,"",VLOOKUP($B60,Database!$B$1:$IX$10144,Y$22,FALSE)))</f>
        <v>DSM-IV</v>
      </c>
      <c r="Z60" s="22" t="str">
        <f>IF(OR($B60="",Z$22=""),"",IF(LEN(VLOOKUP($B60,Database!$B$1:$IX$10144,Z$22,FALSE))=0,"",VLOOKUP($B60,Database!$B$1:$IX$10144,Z$22,FALSE)))</f>
        <v>MRI</v>
      </c>
      <c r="AA60" s="83" t="s">
        <v>751</v>
      </c>
      <c r="AB60" s="83">
        <v>71</v>
      </c>
      <c r="AC60" s="83">
        <v>7</v>
      </c>
      <c r="AD60" s="22">
        <f>IF(OR($B60="",AD$22=""),"",IF(LEN(VLOOKUP($B60,Database!$B$1:$IX$10144,AD$22,FALSE))=0,"",VLOOKUP($B60,Database!$B$1:$IX$10144,AD$22,FALSE)))</f>
        <v>69</v>
      </c>
      <c r="AE60" s="22">
        <f>IF(OR($B60="",AE$22=""),"",IF(LEN(VLOOKUP($B60,Database!$B$1:$IX$10144,AE$22,FALSE))=0,"",VLOOKUP($B60,Database!$B$1:$IX$10144,AE$22,FALSE)))</f>
        <v>7</v>
      </c>
      <c r="AF60" s="83">
        <v>37</v>
      </c>
      <c r="AG60" s="83">
        <v>31.5</v>
      </c>
      <c r="AH60" s="22"/>
      <c r="AI60" s="22"/>
      <c r="AJ60" s="22" t="str">
        <f>IF(OR($B60="",AJ$22=""),"",IF(LEN(VLOOKUP($B60,Database!$B$1:$IX$10144,AJ$22,FALSE))=0,"",VLOOKUP($B60,Database!$B$1:$IX$10144,AJ$22,FALSE)))</f>
        <v/>
      </c>
      <c r="AK60" s="83">
        <v>49</v>
      </c>
      <c r="AL60" s="83">
        <v>21</v>
      </c>
      <c r="AM60" s="22" t="str">
        <f>IF(OR($B60="",AM$22=""),"",IF(LEN(VLOOKUP($B60,Database!$B$1:$IX$10144,AM$22,FALSE))=0,"",VLOOKUP($B60,Database!$B$1:$IX$10144,AM$22,FALSE)))</f>
        <v>ns</v>
      </c>
      <c r="AN60" s="22" t="str">
        <f>IF(OR($B60="",AN$22=""),"",IF(LEN(VLOOKUP($B60,Database!$B$1:$IX$10144,AN$22,FALSE))=0,"",VLOOKUP($B60,Database!$B$1:$IX$10144,AN$22,FALSE)))</f>
        <v>ns</v>
      </c>
      <c r="AO60" s="22" t="str">
        <f>IF(OR($B60="",AO$22=""),"",IF(LEN(VLOOKUP($B60,Database!$B$1:$IX$10144,AO$22,FALSE))=0,"",VLOOKUP($B60,Database!$B$1:$IX$10144,AO$22,FALSE)))</f>
        <v>ns</v>
      </c>
      <c r="AP60" s="22" t="str">
        <f>IF(OR($B60="",AP$22=""),"",IF(LEN(VLOOKUP($B60,Database!$B$1:$IX$10144,AP$22,FALSE))=0,"",VLOOKUP($B60,Database!$B$1:$IX$10144,AP$22,FALSE)))</f>
        <v>ns</v>
      </c>
      <c r="AQ60" s="22" t="str">
        <f>IF(OR($B60="",AQ$22=""),"",IF(LEN(VLOOKUP($B60,Database!$B$1:$IX$10144,AQ$22,FALSE))=0,"",VLOOKUP($B60,Database!$B$1:$IX$10144,AQ$22,FALSE)))</f>
        <v>Greenberg DL, Payne ME, MacFall JR, Steffens DC, Krishnan RR.</v>
      </c>
    </row>
    <row r="61" spans="1:43">
      <c r="A61" s="10" t="s">
        <v>1188</v>
      </c>
      <c r="B61">
        <v>18508244</v>
      </c>
      <c r="C61" s="1" t="str">
        <f>IF($B61="","",HYPERLINK(IF(LEN(VLOOKUP($B61,Database!$B$1:$IX$10144,2,FALSE))=0,"",VLOOKUP($B61,Database!$B$1:$IX$10144,2,FALSE))))</f>
        <v/>
      </c>
      <c r="D61" s="1" t="str">
        <f t="shared" si="6"/>
        <v>http://www.ncbi.nlm.nih.gov/pubmed/18508244</v>
      </c>
      <c r="E61" s="22" t="str">
        <f>IF($B61="","",IF(LEN(VLOOKUP($B61,Database!$B$1:$IX$10144,4,FALSE))=0,"",VLOOKUP($B61,Database!$B$1:$IX$10144,4,FALSE)))</f>
        <v>Greenberg DL</v>
      </c>
      <c r="F61" s="22">
        <f>IF($B61="","",IF(LEN(VLOOKUP($B61,Database!$B$1:$IX$10144,5,FALSE))=0,"",VLOOKUP($B61,Database!$B$1:$IX$10144,5,FALSE)))</f>
        <v>2008</v>
      </c>
      <c r="G61" s="1" t="str">
        <f>IF($B61="","",HYPERLINK(IF(LEN(VLOOKUP($B61,Database!$B$1:$IX$10144,6,FALSE))=0,"",VLOOKUP($B61,Database!$B$1:$IX$10144,6,FALSE))))</f>
        <v>http://dx.doi.org/10.1016/j.pscychresns.2007.12.009</v>
      </c>
      <c r="H61" s="83">
        <v>68</v>
      </c>
      <c r="I61" s="83">
        <v>41.5</v>
      </c>
      <c r="J61" t="s">
        <v>609</v>
      </c>
      <c r="K61" t="s">
        <v>608</v>
      </c>
      <c r="L61">
        <v>2.99</v>
      </c>
      <c r="M61">
        <v>0.48</v>
      </c>
      <c r="N61">
        <v>2.95</v>
      </c>
      <c r="O61">
        <v>0.45</v>
      </c>
      <c r="P61">
        <v>3.07</v>
      </c>
      <c r="Q61">
        <v>0.46</v>
      </c>
      <c r="R61">
        <v>3.13</v>
      </c>
      <c r="S61">
        <v>0.44</v>
      </c>
      <c r="Y61" s="22" t="str">
        <f>IF(OR($B61="",Y$22=""),"",IF(LEN(VLOOKUP($B61,Database!$B$1:$IX$10144,Y$22,FALSE))=0,"",VLOOKUP($B61,Database!$B$1:$IX$10144,Y$22,FALSE)))</f>
        <v>DSM-IV</v>
      </c>
      <c r="Z61" s="22" t="str">
        <f>IF(OR($B61="",Z$22=""),"",IF(LEN(VLOOKUP($B61,Database!$B$1:$IX$10144,Z$22,FALSE))=0,"",VLOOKUP($B61,Database!$B$1:$IX$10144,Z$22,FALSE)))</f>
        <v>MRI</v>
      </c>
      <c r="AA61" s="83" t="s">
        <v>752</v>
      </c>
      <c r="AB61" s="83">
        <v>70</v>
      </c>
      <c r="AC61" s="83">
        <v>8</v>
      </c>
      <c r="AD61" s="22">
        <f>IF(OR($B61="",AD$22=""),"",IF(LEN(VLOOKUP($B61,Database!$B$1:$IX$10144,AD$22,FALSE))=0,"",VLOOKUP($B61,Database!$B$1:$IX$10144,AD$22,FALSE)))</f>
        <v>69</v>
      </c>
      <c r="AE61" s="22">
        <f>IF(OR($B61="",AE$22=""),"",IF(LEN(VLOOKUP($B61,Database!$B$1:$IX$10144,AE$22,FALSE))=0,"",VLOOKUP($B61,Database!$B$1:$IX$10144,AE$22,FALSE)))</f>
        <v>7</v>
      </c>
      <c r="AF61" s="83">
        <v>48</v>
      </c>
      <c r="AG61" s="83">
        <v>31.5</v>
      </c>
      <c r="AH61" s="22"/>
      <c r="AI61" s="22"/>
      <c r="AJ61" s="22" t="str">
        <f>IF(OR($B61="",AJ$22=""),"",IF(LEN(VLOOKUP($B61,Database!$B$1:$IX$10144,AJ$22,FALSE))=0,"",VLOOKUP($B61,Database!$B$1:$IX$10144,AJ$22,FALSE)))</f>
        <v/>
      </c>
      <c r="AK61" s="83">
        <v>40</v>
      </c>
      <c r="AL61" s="83">
        <v>21</v>
      </c>
      <c r="AM61" s="22" t="str">
        <f>IF(OR($B61="",AM$22=""),"",IF(LEN(VLOOKUP($B61,Database!$B$1:$IX$10144,AM$22,FALSE))=0,"",VLOOKUP($B61,Database!$B$1:$IX$10144,AM$22,FALSE)))</f>
        <v>ns</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Greenberg DL, Payne ME, MacFall JR, Steffens DC, Krishnan RR.</v>
      </c>
    </row>
    <row r="62" spans="1:43">
      <c r="A62" s="10" t="s">
        <v>1001</v>
      </c>
      <c r="B62">
        <v>18515903</v>
      </c>
      <c r="C62" s="1" t="str">
        <f>IF($B62="","",HYPERLINK(IF(LEN(VLOOKUP($B62,Database!$B$1:$IX$10144,2,FALSE))=0,"",VLOOKUP($B62,Database!$B$1:$IX$10144,2,FALSE))))</f>
        <v/>
      </c>
      <c r="D62" s="1" t="str">
        <f t="shared" si="6"/>
        <v>http://www.ncbi.nlm.nih.gov/pubmed/18515903</v>
      </c>
      <c r="E62" s="22" t="str">
        <f>IF($B62="","",IF(LEN(VLOOKUP($B62,Database!$B$1:$IX$10144,4,FALSE))=0,"",VLOOKUP($B62,Database!$B$1:$IX$10144,4,FALSE)))</f>
        <v>Kronmüller KT</v>
      </c>
      <c r="F62" s="22">
        <f>IF($B62="","",IF(LEN(VLOOKUP($B62,Database!$B$1:$IX$10144,5,FALSE))=0,"",VLOOKUP($B62,Database!$B$1:$IX$10144,5,FALSE)))</f>
        <v>2008</v>
      </c>
      <c r="G62" s="1" t="str">
        <f>IF($B62="","",HYPERLINK(IF(LEN(VLOOKUP($B62,Database!$B$1:$IX$10144,6,FALSE))=0,"",VLOOKUP($B62,Database!$B$1:$IX$10144,6,FALSE))))</f>
        <v>http://bjp.rcpsych.org/cgi/content/full/192/6/472</v>
      </c>
      <c r="H62" s="22">
        <f>IF($B62="","",IF(LEN(VLOOKUP($B62,Database!$B$1:$IX$10144,7,FALSE))=0,"",VLOOKUP($B62,Database!$B$1:$IX$10144,7,FALSE)))</f>
        <v>49</v>
      </c>
      <c r="I62" s="22">
        <f>IF($B62="","",IF(LEN(VLOOKUP($B62,Database!$B$1:$IX$10144,8,FALSE))=0,"",VLOOKUP($B62,Database!$B$1:$IX$10144,8,FALSE)))</f>
        <v>30</v>
      </c>
      <c r="K62" s="10"/>
      <c r="Y62" s="22" t="str">
        <f>IF(OR($B62="",Y$22=""),"",IF(LEN(VLOOKUP($B62,Database!$B$1:$IX$10144,Y$22,FALSE))=0,"",VLOOKUP($B62,Database!$B$1:$IX$10144,Y$22,FALSE)))</f>
        <v>DSM-IV</v>
      </c>
      <c r="Z62" s="22" t="str">
        <f>IF(OR($B62="",Z$22=""),"",IF(LEN(VLOOKUP($B62,Database!$B$1:$IX$10144,Z$22,FALSE))=0,"",VLOOKUP($B62,Database!$B$1:$IX$10144,Z$22,FALSE)))</f>
        <v>MRI</v>
      </c>
      <c r="AA62" s="22" t="str">
        <f>IF(OR($B62="",AA$22=""),"",IF(LEN(VLOOKUP($B62,Database!$B$1:$IX$10144,AA$22,FALSE))=0,"",VLOOKUP($B62,Database!$B$1:$IX$10144,AA$22,FALSE)))</f>
        <v/>
      </c>
      <c r="AB62" s="22" t="str">
        <f>IF(OR($B62="",AB$22=""),"",IF(LEN(VLOOKUP($B62,Database!$B$1:$IX$10144,AB$22,FALSE))=0,"",VLOOKUP($B62,Database!$B$1:$IX$10144,AB$22,FALSE)))</f>
        <v/>
      </c>
      <c r="AC62" s="22" t="str">
        <f>IF(OR($B62="",AC$22=""),"",IF(LEN(VLOOKUP($B62,Database!$B$1:$IX$10144,AC$22,FALSE))=0,"",VLOOKUP($B62,Database!$B$1:$IX$10144,AC$22,FALSE)))</f>
        <v/>
      </c>
      <c r="AD62" s="22" t="str">
        <f>IF(OR($B62="",AD$22=""),"",IF(LEN(VLOOKUP($B62,Database!$B$1:$IX$10144,AD$22,FALSE))=0,"",VLOOKUP($B62,Database!$B$1:$IX$10144,AD$22,FALSE)))</f>
        <v/>
      </c>
      <c r="AE62" s="22" t="str">
        <f>IF(OR($B62="",AE$22=""),"",IF(LEN(VLOOKUP($B62,Database!$B$1:$IX$10144,AE$22,FALSE))=0,"",VLOOKUP($B62,Database!$B$1:$IX$10144,AE$22,FALSE)))</f>
        <v/>
      </c>
      <c r="AF62" s="22" t="str">
        <f>IF(OR($B62="",AF$22=""),"",IF(LEN(VLOOKUP($B62,Database!$B$1:$IX$10144,AF$22,FALSE))=0,"",VLOOKUP($B62,Database!$B$1:$IX$10144,AF$22,FALSE)))</f>
        <v/>
      </c>
      <c r="AG62" s="22" t="str">
        <f>IF(OR($B62="",AG$22=""),"",IF(LEN(VLOOKUP($B62,Database!$B$1:$IX$10144,AG$22,FALSE))=0,"",VLOOKUP($B62,Database!$B$1:$IX$10144,AG$22,FALSE)))</f>
        <v/>
      </c>
      <c r="AH62" s="22">
        <f>IF(OR($B62="",AH$22=""),"",IF(LEN(VLOOKUP($B62,Database!$B$1:$IX$10144,AH$22,FALSE))=0,"",VLOOKUP($B62,Database!$B$1:$IX$10144,AH$22,FALSE)))</f>
        <v>1.5</v>
      </c>
      <c r="AI62" s="22" t="str">
        <f>IF(OR($B62="",AI$22=""),"",IF(LEN(VLOOKUP($B62,Database!$B$1:$IX$10144,AI$22,FALSE))=0,"",VLOOKUP($B62,Database!$B$1:$IX$10144,AI$22,FALSE)))</f>
        <v>ns</v>
      </c>
      <c r="AJ62" s="22" t="str">
        <f>IF(OR($B62="",AJ$22=""),"",IF(LEN(VLOOKUP($B62,Database!$B$1:$IX$10144,AJ$22,FALSE))=0,"",VLOOKUP($B62,Database!$B$1:$IX$10144,AJ$22,FALSE)))</f>
        <v/>
      </c>
      <c r="AK62" s="22" t="str">
        <f>IF(OR($B62="",AK$22=""),"",IF(LEN(VLOOKUP($B62,Database!$B$1:$IX$10144,AK$22,FALSE))=0,"",VLOOKUP($B62,Database!$B$1:$IX$10144,AK$22,FALSE)))</f>
        <v>ns</v>
      </c>
      <c r="AL62" s="22">
        <f>IF(OR($B62="",AL$22=""),"",IF(LEN(VLOOKUP($B62,Database!$B$1:$IX$10144,AL$22,FALSE))=0,"",VLOOKUP($B62,Database!$B$1:$IX$10144,AL$22,FALSE)))</f>
        <v>22.74</v>
      </c>
      <c r="AM62" s="22" t="str">
        <f>IF(OR($B62="",AM$22=""),"",IF(LEN(VLOOKUP($B62,Database!$B$1:$IX$10144,AM$22,FALSE))=0,"",VLOOKUP($B62,Database!$B$1:$IX$10144,AM$22,FALSE)))</f>
        <v>ns</v>
      </c>
      <c r="AN62" s="22" t="str">
        <f>IF(OR($B62="",AN$22=""),"",IF(LEN(VLOOKUP($B62,Database!$B$1:$IX$10144,AN$22,FALSE))=0,"",VLOOKUP($B62,Database!$B$1:$IX$10144,AN$22,FALSE)))</f>
        <v>ns</v>
      </c>
      <c r="AO62" s="22" t="str">
        <f>IF(OR($B62="",AO$22=""),"",IF(LEN(VLOOKUP($B62,Database!$B$1:$IX$10144,AO$22,FALSE))=0,"",VLOOKUP($B62,Database!$B$1:$IX$10144,AO$22,FALSE)))</f>
        <v>ns</v>
      </c>
      <c r="AP62" s="22" t="str">
        <f>IF(OR($B62="",AP$22=""),"",IF(LEN(VLOOKUP($B62,Database!$B$1:$IX$10144,AP$22,FALSE))=0,"",VLOOKUP($B62,Database!$B$1:$IX$10144,AP$22,FALSE)))</f>
        <v>ns</v>
      </c>
      <c r="AQ62" s="22" t="str">
        <f>IF(OR($B62="",AQ$22=""),"",IF(LEN(VLOOKUP($B62,Database!$B$1:$IX$10144,AQ$22,FALSE))=0,"",VLOOKUP($B62,Database!$B$1:$IX$10144,AQ$22,FALSE)))</f>
        <v>Kronmüller KT, Pantel J, Köhler S, Victor D, Giesel F, Magnotta VA, Mundt C, Essig M, Schröder J.</v>
      </c>
    </row>
    <row r="63" spans="1:43">
      <c r="A63" s="7" t="s">
        <v>75</v>
      </c>
      <c r="B63">
        <v>18068956</v>
      </c>
      <c r="C63" s="1" t="str">
        <f>IF($B63="","",HYPERLINK(IF(LEN(VLOOKUP($B63,Database!$B$1:$IX$10144,2,FALSE))=0,"",VLOOKUP($B63,Database!$B$1:$IX$10144,2,FALSE))))</f>
        <v/>
      </c>
      <c r="D63" s="1" t="str">
        <f t="shared" si="6"/>
        <v>http://www.ncbi.nlm.nih.gov/pubmed/18068956</v>
      </c>
      <c r="E63" s="22" t="str">
        <f>IF($B63="","",IF(LEN(VLOOKUP($B63,Database!$B$1:$IX$10144,4,FALSE))=0,"",VLOOKUP($B63,Database!$B$1:$IX$10144,4,FALSE)))</f>
        <v>Lenze SN</v>
      </c>
      <c r="F63" s="22">
        <f>IF($B63="","",IF(LEN(VLOOKUP($B63,Database!$B$1:$IX$10144,5,FALSE))=0,"",VLOOKUP($B63,Database!$B$1:$IX$10144,5,FALSE)))</f>
        <v>2008</v>
      </c>
      <c r="G63" s="1" t="str">
        <f>IF($B63="","",HYPERLINK(IF(LEN(VLOOKUP($B63,Database!$B$1:$IX$10144,6,FALSE))=0,"",VLOOKUP($B63,Database!$B$1:$IX$10144,6,FALSE))))</f>
        <v>http://dx.doi.org/10.1016/j.pscychresns.2007.04.004</v>
      </c>
      <c r="H63" s="22">
        <f>IF($B63="","",IF(LEN(VLOOKUP($B63,Database!$B$1:$IX$10144,7,FALSE))=0,"",VLOOKUP($B63,Database!$B$1:$IX$10144,7,FALSE)))</f>
        <v>31</v>
      </c>
      <c r="I63" s="22">
        <f>IF($B63="","",IF(LEN(VLOOKUP($B63,Database!$B$1:$IX$10144,8,FALSE))=0,"",VLOOKUP($B63,Database!$B$1:$IX$10144,8,FALSE)))</f>
        <v>24</v>
      </c>
      <c r="J63" t="s">
        <v>1002</v>
      </c>
      <c r="K63" s="10"/>
      <c r="Y63" s="22" t="str">
        <f>IF(OR($B63="",Y$22=""),"",IF(LEN(VLOOKUP($B63,Database!$B$1:$IX$10144,Y$22,FALSE))=0,"",VLOOKUP($B63,Database!$B$1:$IX$10144,Y$22,FALSE)))</f>
        <v>DSM-IV</v>
      </c>
      <c r="Z63" s="22" t="str">
        <f>IF(OR($B63="",Z$22=""),"",IF(LEN(VLOOKUP($B63,Database!$B$1:$IX$10144,Z$22,FALSE))=0,"",VLOOKUP($B63,Database!$B$1:$IX$10144,Z$22,FALSE)))</f>
        <v>MRI</v>
      </c>
      <c r="AA63" s="22" t="str">
        <f>IF(OR($B63="",AA$22=""),"",IF(LEN(VLOOKUP($B63,Database!$B$1:$IX$10144,AA$22,FALSE))=0,"",VLOOKUP($B63,Database!$B$1:$IX$10144,AA$22,FALSE)))</f>
        <v/>
      </c>
      <c r="AB63" s="22">
        <f>IF(OR($B63="",AB$22=""),"",IF(LEN(VLOOKUP($B63,Database!$B$1:$IX$10144,AB$22,FALSE))=0,"",VLOOKUP($B63,Database!$B$1:$IX$10144,AB$22,FALSE)))</f>
        <v>50</v>
      </c>
      <c r="AC63" s="22">
        <f>IF(OR($B63="",AC$22=""),"",IF(LEN(VLOOKUP($B63,Database!$B$1:$IX$10144,AC$22,FALSE))=0,"",VLOOKUP($B63,Database!$B$1:$IX$10144,AC$22,FALSE)))</f>
        <v>15</v>
      </c>
      <c r="AD63" s="22">
        <f>IF(OR($B63="",AD$22=""),"",IF(LEN(VLOOKUP($B63,Database!$B$1:$IX$10144,AD$22,FALSE))=0,"",VLOOKUP($B63,Database!$B$1:$IX$10144,AD$22,FALSE)))</f>
        <v>46</v>
      </c>
      <c r="AE63" s="22">
        <f>IF(OR($B63="",AE$22=""),"",IF(LEN(VLOOKUP($B63,Database!$B$1:$IX$10144,AE$22,FALSE))=0,"",VLOOKUP($B63,Database!$B$1:$IX$10144,AE$22,FALSE)))</f>
        <v>14</v>
      </c>
      <c r="AF63" s="22">
        <f>IF(OR($B63="",AF$22=""),"",IF(LEN(VLOOKUP($B63,Database!$B$1:$IX$10144,AF$22,FALSE))=0,"",VLOOKUP($B63,Database!$B$1:$IX$10144,AF$22,FALSE)))</f>
        <v>31</v>
      </c>
      <c r="AG63" s="22">
        <f>IF(OR($B63="",AG$22=""),"",IF(LEN(VLOOKUP($B63,Database!$B$1:$IX$10144,AG$22,FALSE))=0,"",VLOOKUP($B63,Database!$B$1:$IX$10144,AG$22,FALSE)))</f>
        <v>24</v>
      </c>
      <c r="AH63" s="22">
        <f>IF(OR($B63="",AH$22=""),"",IF(LEN(VLOOKUP($B63,Database!$B$1:$IX$10144,AH$22,FALSE))=0,"",VLOOKUP($B63,Database!$B$1:$IX$10144,AH$22,FALSE)))</f>
        <v>1.5</v>
      </c>
      <c r="AI63" s="22">
        <f>IF(OR($B63="",AI$22=""),"",IF(LEN(VLOOKUP($B63,Database!$B$1:$IX$10144,AI$22,FALSE))=0,"",VLOOKUP($B63,Database!$B$1:$IX$10144,AI$22,FALSE)))</f>
        <v>1.25</v>
      </c>
      <c r="AJ63" s="22" t="str">
        <f>IF(OR($B63="",AJ$22=""),"",IF(LEN(VLOOKUP($B63,Database!$B$1:$IX$10144,AJ$22,FALSE))=0,"",VLOOKUP($B63,Database!$B$1:$IX$10144,AJ$22,FALSE)))</f>
        <v/>
      </c>
      <c r="AK63" s="22">
        <f>IF(OR($B63="",AK$22=""),"",IF(LEN(VLOOKUP($B63,Database!$B$1:$IX$10144,AK$22,FALSE))=0,"",VLOOKUP($B63,Database!$B$1:$IX$10144,AK$22,FALSE)))</f>
        <v>29</v>
      </c>
      <c r="AL63" s="22">
        <f>IF(OR($B63="",AL$22=""),"",IF(LEN(VLOOKUP($B63,Database!$B$1:$IX$10144,AL$22,FALSE))=0,"",VLOOKUP($B63,Database!$B$1:$IX$10144,AL$22,FALSE)))</f>
        <v>7</v>
      </c>
      <c r="AM63" s="22">
        <f>IF(OR($B63="",AM$22=""),"",IF(LEN(VLOOKUP($B63,Database!$B$1:$IX$10144,AM$22,FALSE))=0,"",VLOOKUP($B63,Database!$B$1:$IX$10144,AM$22,FALSE)))</f>
        <v>77.41935483870968</v>
      </c>
      <c r="AN63" s="22" t="str">
        <f>IF(OR($B63="",AN$22=""),"",IF(LEN(VLOOKUP($B63,Database!$B$1:$IX$10144,AN$22,FALSE))=0,"",VLOOKUP($B63,Database!$B$1:$IX$10144,AN$22,FALSE)))</f>
        <v>ns</v>
      </c>
      <c r="AO63" s="22" t="str">
        <f>IF(OR($B63="",AO$22=""),"",IF(LEN(VLOOKUP($B63,Database!$B$1:$IX$10144,AO$22,FALSE))=0,"",VLOOKUP($B63,Database!$B$1:$IX$10144,AO$22,FALSE)))</f>
        <v>ns</v>
      </c>
      <c r="AP63" s="22" t="str">
        <f>IF(OR($B63="",AP$22=""),"",IF(LEN(VLOOKUP($B63,Database!$B$1:$IX$10144,AP$22,FALSE))=0,"",VLOOKUP($B63,Database!$B$1:$IX$10144,AP$22,FALSE)))</f>
        <v>ns</v>
      </c>
      <c r="AQ63" s="22" t="str">
        <f>IF(OR($B63="",AQ$22=""),"",IF(LEN(VLOOKUP($B63,Database!$B$1:$IX$10144,AQ$22,FALSE))=0,"",VLOOKUP($B63,Database!$B$1:$IX$10144,AQ$22,FALSE)))</f>
        <v>Lenze SN, Xiong C, Sheline YI.</v>
      </c>
    </row>
    <row r="64" spans="1:43">
      <c r="A64" s="10" t="s">
        <v>1188</v>
      </c>
      <c r="B64">
        <v>18350172</v>
      </c>
      <c r="C64" s="1" t="str">
        <f>IF($B64="","",HYPERLINK(IF(LEN(VLOOKUP($B64,Database!$B$1:$IX$10144,2,FALSE))=0,"",VLOOKUP($B64,Database!$B$1:$IX$10144,2,FALSE))))</f>
        <v/>
      </c>
      <c r="D64" s="1" t="str">
        <f t="shared" si="6"/>
        <v>http://www.ncbi.nlm.nih.gov/pubmed/18350172</v>
      </c>
      <c r="E64" s="22" t="str">
        <f>IF($B64="","",IF(LEN(VLOOKUP($B64,Database!$B$1:$IX$10144,4,FALSE))=0,"",VLOOKUP($B64,Database!$B$1:$IX$10144,4,FALSE)))</f>
        <v>Zhao Z</v>
      </c>
      <c r="F64" s="22">
        <f>IF($B64="","",IF(LEN(VLOOKUP($B64,Database!$B$1:$IX$10144,5,FALSE))=0,"",VLOOKUP($B64,Database!$B$1:$IX$10144,5,FALSE)))</f>
        <v>2008</v>
      </c>
      <c r="G64" s="1" t="str">
        <f>IF($B64="","",HYPERLINK(IF(LEN(VLOOKUP($B64,Database!$B$1:$IX$10144,6,FALSE))=0,"",VLOOKUP($B64,Database!$B$1:$IX$10144,6,FALSE))))</f>
        <v>http://www.plosone.org/article/info:doi/10.1371/journal.pone.0001837</v>
      </c>
      <c r="H64" s="22">
        <f>IF($B64="","",IF(LEN(VLOOKUP($B64,Database!$B$1:$IX$10144,7,FALSE))=0,"",VLOOKUP($B64,Database!$B$1:$IX$10144,7,FALSE)))</f>
        <v>61</v>
      </c>
      <c r="I64" s="22">
        <f>IF($B64="","",IF(LEN(VLOOKUP($B64,Database!$B$1:$IX$10144,8,FALSE))=0,"",VLOOKUP($B64,Database!$B$1:$IX$10144,8,FALSE)))</f>
        <v>43</v>
      </c>
      <c r="J64" t="s">
        <v>1614</v>
      </c>
      <c r="L64">
        <v>3.42</v>
      </c>
      <c r="M64">
        <v>0.54</v>
      </c>
      <c r="N64">
        <v>3.55</v>
      </c>
      <c r="O64">
        <v>0.48</v>
      </c>
      <c r="P64">
        <v>3.65</v>
      </c>
      <c r="Q64">
        <v>0.55000000000000004</v>
      </c>
      <c r="R64">
        <v>3.66</v>
      </c>
      <c r="S64">
        <v>0.56999999999999995</v>
      </c>
      <c r="Y64" s="22" t="str">
        <f>IF(OR($B64="",Y$22=""),"",IF(LEN(VLOOKUP($B64,Database!$B$1:$IX$10144,Y$22,FALSE))=0,"",VLOOKUP($B64,Database!$B$1:$IX$10144,Y$22,FALSE)))</f>
        <v>DSM-IV</v>
      </c>
      <c r="Z64" s="22" t="str">
        <f>IF(OR($B64="",Z$22=""),"",IF(LEN(VLOOKUP($B64,Database!$B$1:$IX$10144,Z$22,FALSE))=0,"",VLOOKUP($B64,Database!$B$1:$IX$10144,Z$22,FALSE)))</f>
        <v>MRI</v>
      </c>
      <c r="AA64" s="22" t="str">
        <f>IF(OR($B64="",AA$22=""),"",IF(LEN(VLOOKUP($B64,Database!$B$1:$IX$10144,AA$22,FALSE))=0,"",VLOOKUP($B64,Database!$B$1:$IX$10144,AA$22,FALSE)))</f>
        <v/>
      </c>
      <c r="AB64" s="22">
        <f>IF(OR($B64="",AB$22=""),"",IF(LEN(VLOOKUP($B64,Database!$B$1:$IX$10144,AB$22,FALSE))=0,"",VLOOKUP($B64,Database!$B$1:$IX$10144,AB$22,FALSE)))</f>
        <v>65.900000000000006</v>
      </c>
      <c r="AC64" s="22">
        <f>IF(OR($B64="",AC$22=""),"",IF(LEN(VLOOKUP($B64,Database!$B$1:$IX$10144,AC$22,FALSE))=0,"",VLOOKUP($B64,Database!$B$1:$IX$10144,AC$22,FALSE)))</f>
        <v>5.5</v>
      </c>
      <c r="AD64" s="22">
        <f>IF(OR($B64="",AD$22=""),"",IF(LEN(VLOOKUP($B64,Database!$B$1:$IX$10144,AD$22,FALSE))=0,"",VLOOKUP($B64,Database!$B$1:$IX$10144,AD$22,FALSE)))</f>
        <v>69</v>
      </c>
      <c r="AE64" s="22">
        <f>IF(OR($B64="",AE$22=""),"",IF(LEN(VLOOKUP($B64,Database!$B$1:$IX$10144,AE$22,FALSE))=0,"",VLOOKUP($B64,Database!$B$1:$IX$10144,AE$22,FALSE)))</f>
        <v>5.5</v>
      </c>
      <c r="AF64" s="22">
        <f>IF(OR($B64="",AF$22=""),"",IF(LEN(VLOOKUP($B64,Database!$B$1:$IX$10144,AF$22,FALSE))=0,"",VLOOKUP($B64,Database!$B$1:$IX$10144,AF$22,FALSE)))</f>
        <v>37</v>
      </c>
      <c r="AG64" s="22">
        <f>IF(OR($B64="",AG$22=""),"",IF(LEN(VLOOKUP($B64,Database!$B$1:$IX$10144,AG$22,FALSE))=0,"",VLOOKUP($B64,Database!$B$1:$IX$10144,AG$22,FALSE)))</f>
        <v>29</v>
      </c>
      <c r="AH64" s="22"/>
      <c r="AI64" s="22"/>
      <c r="AJ64" s="22" t="str">
        <f>IF(OR($B64="",AJ$22=""),"",IF(LEN(VLOOKUP($B64,Database!$B$1:$IX$10144,AJ$22,FALSE))=0,"",VLOOKUP($B64,Database!$B$1:$IX$10144,AJ$22,FALSE)))</f>
        <v/>
      </c>
      <c r="AK64" s="22">
        <f>IF(OR($B64="",AK$22=""),"",IF(LEN(VLOOKUP($B64,Database!$B$1:$IX$10144,AK$22,FALSE))=0,"",VLOOKUP($B64,Database!$B$1:$IX$10144,AK$22,FALSE)))</f>
        <v>39.299999999999997</v>
      </c>
      <c r="AL64" s="22" t="str">
        <f>IF(OR($B64="",AL$22=""),"",IF(LEN(VLOOKUP($B64,Database!$B$1:$IX$10144,AL$22,FALSE))=0,"",VLOOKUP($B64,Database!$B$1:$IX$10144,AL$22,FALSE)))</f>
        <v>ns</v>
      </c>
      <c r="AM64" s="22">
        <f>IF(OR($B64="",AM$22=""),"",IF(LEN(VLOOKUP($B64,Database!$B$1:$IX$10144,AM$22,FALSE))=0,"",VLOOKUP($B64,Database!$B$1:$IX$10144,AM$22,FALSE)))</f>
        <v>88.52459016393442</v>
      </c>
      <c r="AN64" s="22" t="str">
        <f>IF(OR($B64="",AN$22=""),"",IF(LEN(VLOOKUP($B64,Database!$B$1:$IX$10144,AN$22,FALSE))=0,"",VLOOKUP($B64,Database!$B$1:$IX$10144,AN$22,FALSE)))</f>
        <v>ns</v>
      </c>
      <c r="AO64" s="22" t="str">
        <f>IF(OR($B64="",AO$22=""),"",IF(LEN(VLOOKUP($B64,Database!$B$1:$IX$10144,AO$22,FALSE))=0,"",VLOOKUP($B64,Database!$B$1:$IX$10144,AO$22,FALSE)))</f>
        <v>ns</v>
      </c>
      <c r="AP64" s="22" t="str">
        <f>IF(OR($B64="",AP$22=""),"",IF(LEN(VLOOKUP($B64,Database!$B$1:$IX$10144,AP$22,FALSE))=0,"",VLOOKUP($B64,Database!$B$1:$IX$10144,AP$22,FALSE)))</f>
        <v>ns</v>
      </c>
      <c r="AQ64" s="22" t="str">
        <f>IF(OR($B64="",AQ$22=""),"",IF(LEN(VLOOKUP($B64,Database!$B$1:$IX$10144,AQ$22,FALSE))=0,"",VLOOKUP($B64,Database!$B$1:$IX$10144,AQ$22,FALSE)))</f>
        <v>Zhao Z, Taylor WD, Styner M, Steffens DC, Krishnan KR, MacFall JR.</v>
      </c>
    </row>
    <row r="65" spans="1:63">
      <c r="A65" s="10" t="s">
        <v>1188</v>
      </c>
      <c r="B65">
        <v>19010425</v>
      </c>
      <c r="C65" s="1" t="str">
        <f>IF($B65="","",HYPERLINK(IF(LEN(VLOOKUP($B65,Database!$B$1:$IX$10144,2,FALSE))=0,"",VLOOKUP($B65,Database!$B$1:$IX$10144,2,FALSE))))</f>
        <v/>
      </c>
      <c r="D65" s="1" t="str">
        <f t="shared" si="6"/>
        <v>http://www.ncbi.nlm.nih.gov/pubmed/19010425</v>
      </c>
      <c r="E65" s="22" t="str">
        <f>IF($B65="","",IF(LEN(VLOOKUP($B65,Database!$B$1:$IX$10144,4,FALSE))=0,"",VLOOKUP($B65,Database!$B$1:$IX$10144,4,FALSE)))</f>
        <v>Qiu A</v>
      </c>
      <c r="F65" s="22">
        <f>IF($B65="","",IF(LEN(VLOOKUP($B65,Database!$B$1:$IX$10144,5,FALSE))=0,"",VLOOKUP($B65,Database!$B$1:$IX$10144,5,FALSE)))</f>
        <v>2009</v>
      </c>
      <c r="G65" s="1" t="str">
        <f>IF($B65="","",HYPERLINK(IF(LEN(VLOOKUP($B65,Database!$B$1:$IX$10144,6,FALSE))=0,"",VLOOKUP($B65,Database!$B$1:$IX$10144,6,FALSE))))</f>
        <v>http://dx.doi.org/10.1016/j.neuroimage.2008.10.010</v>
      </c>
      <c r="H65" s="83">
        <v>38</v>
      </c>
      <c r="I65" s="22">
        <f>IF($B65="","",IF(LEN(VLOOKUP($B65,Database!$B$1:$IX$10144,8,FALSE))=0,"",VLOOKUP($B65,Database!$B$1:$IX$10144,8,FALSE)))</f>
        <v>31</v>
      </c>
      <c r="J65" t="s">
        <v>887</v>
      </c>
      <c r="K65" t="s">
        <v>644</v>
      </c>
      <c r="L65">
        <v>3381.6</v>
      </c>
      <c r="M65">
        <v>414.9</v>
      </c>
      <c r="N65">
        <v>3520.2</v>
      </c>
      <c r="O65">
        <v>481.1</v>
      </c>
      <c r="P65">
        <v>3620.4</v>
      </c>
      <c r="Q65">
        <v>451.1</v>
      </c>
      <c r="R65">
        <v>3607.9</v>
      </c>
      <c r="S65">
        <v>542</v>
      </c>
      <c r="Y65" s="22" t="str">
        <f>IF(OR($B65="",Y$22=""),"",IF(LEN(VLOOKUP($B65,Database!$B$1:$IX$10144,Y$22,FALSE))=0,"",VLOOKUP($B65,Database!$B$1:$IX$10144,Y$22,FALSE)))</f>
        <v>DSM-IV</v>
      </c>
      <c r="Z65" s="22" t="str">
        <f>IF(OR($B65="",Z$22=""),"",IF(LEN(VLOOKUP($B65,Database!$B$1:$IX$10144,Z$22,FALSE))=0,"",VLOOKUP($B65,Database!$B$1:$IX$10144,Z$22,FALSE)))</f>
        <v>MRI</v>
      </c>
      <c r="AA65" s="22" t="str">
        <f>IF(OR($B65="",AA$22=""),"",IF(LEN(VLOOKUP($B65,Database!$B$1:$IX$10144,AA$22,FALSE))=0,"",VLOOKUP($B65,Database!$B$1:$IX$10144,AA$22,FALSE)))</f>
        <v/>
      </c>
      <c r="AB65" s="22" t="str">
        <f>IF(OR($B65="",AB$22=""),"",IF(LEN(VLOOKUP($B65,Database!$B$1:$IX$10144,AB$22,FALSE))=0,"",VLOOKUP($B65,Database!$B$1:$IX$10144,AB$22,FALSE)))</f>
        <v/>
      </c>
      <c r="AC65" s="22" t="str">
        <f>IF(OR($B65="",AC$22=""),"",IF(LEN(VLOOKUP($B65,Database!$B$1:$IX$10144,AC$22,FALSE))=0,"",VLOOKUP($B65,Database!$B$1:$IX$10144,AC$22,FALSE)))</f>
        <v/>
      </c>
      <c r="AD65" s="22">
        <f>IF(OR($B65="",AD$22=""),"",IF(LEN(VLOOKUP($B65,Database!$B$1:$IX$10144,AD$22,FALSE))=0,"",VLOOKUP($B65,Database!$B$1:$IX$10144,AD$22,FALSE)))</f>
        <v>68.900000000000006</v>
      </c>
      <c r="AE65" s="22">
        <f>IF(OR($B65="",AE$22=""),"",IF(LEN(VLOOKUP($B65,Database!$B$1:$IX$10144,AE$22,FALSE))=0,"",VLOOKUP($B65,Database!$B$1:$IX$10144,AE$22,FALSE)))</f>
        <v>5.9</v>
      </c>
      <c r="AF65" s="22">
        <f>IF(OR($B65="",AF$22=""),"",IF(LEN(VLOOKUP($B65,Database!$B$1:$IX$10144,AF$22,FALSE))=0,"",VLOOKUP($B65,Database!$B$1:$IX$10144,AF$22,FALSE)))</f>
        <v>34</v>
      </c>
      <c r="AG65" s="22">
        <f>IF(OR($B65="",AG$22=""),"",IF(LEN(VLOOKUP($B65,Database!$B$1:$IX$10144,AG$22,FALSE))=0,"",VLOOKUP($B65,Database!$B$1:$IX$10144,AG$22,FALSE)))</f>
        <v>21</v>
      </c>
      <c r="AH65" s="22"/>
      <c r="AI65" s="22"/>
      <c r="AJ65" s="22" t="str">
        <f>IF(OR($B65="",AJ$22=""),"",IF(LEN(VLOOKUP($B65,Database!$B$1:$IX$10144,AJ$22,FALSE))=0,"",VLOOKUP($B65,Database!$B$1:$IX$10144,AJ$22,FALSE)))</f>
        <v/>
      </c>
      <c r="AK65" s="22" t="str">
        <f>IF(OR($B65="",AK$22=""),"",IF(LEN(VLOOKUP($B65,Database!$B$1:$IX$10144,AK$22,FALSE))=0,"",VLOOKUP($B65,Database!$B$1:$IX$10144,AK$22,FALSE)))</f>
        <v>ns</v>
      </c>
      <c r="AL65" s="22" t="str">
        <f>IF(OR($B65="",AL$22=""),"",IF(LEN(VLOOKUP($B65,Database!$B$1:$IX$10144,AL$22,FALSE))=0,"",VLOOKUP($B65,Database!$B$1:$IX$10144,AL$22,FALSE)))</f>
        <v>ns</v>
      </c>
      <c r="AM65" s="22">
        <f>IF(OR($B65="",AM$22=""),"",IF(LEN(VLOOKUP($B65,Database!$B$1:$IX$10144,AM$22,FALSE))=0,"",VLOOKUP($B65,Database!$B$1:$IX$10144,AM$22,FALSE)))</f>
        <v>90.384615384615387</v>
      </c>
      <c r="AN65" s="22" t="str">
        <f>IF(OR($B65="",AN$22=""),"",IF(LEN(VLOOKUP($B65,Database!$B$1:$IX$10144,AN$22,FALSE))=0,"",VLOOKUP($B65,Database!$B$1:$IX$10144,AN$22,FALSE)))</f>
        <v>ns</v>
      </c>
      <c r="AO65" s="22" t="str">
        <f>IF(OR($B65="",AO$22=""),"",IF(LEN(VLOOKUP($B65,Database!$B$1:$IX$10144,AO$22,FALSE))=0,"",VLOOKUP($B65,Database!$B$1:$IX$10144,AO$22,FALSE)))</f>
        <v>ns</v>
      </c>
      <c r="AP65" s="22" t="str">
        <f>IF(OR($B65="",AP$22=""),"",IF(LEN(VLOOKUP($B65,Database!$B$1:$IX$10144,AP$22,FALSE))=0,"",VLOOKUP($B65,Database!$B$1:$IX$10144,AP$22,FALSE)))</f>
        <v>ns</v>
      </c>
      <c r="AQ65" s="22" t="str">
        <f>IF(OR($B65="",AQ$22=""),"",IF(LEN(VLOOKUP($B65,Database!$B$1:$IX$10144,AQ$22,FALSE))=0,"",VLOOKUP($B65,Database!$B$1:$IX$10144,AQ$22,FALSE)))</f>
        <v>Qiu A, Taylor WD, Zhao Z, MacFall JR, Miller MI, Key CR, Payne ME, Steffens DC, Krishnan KR.</v>
      </c>
    </row>
    <row r="66" spans="1:63">
      <c r="A66" s="7" t="s">
        <v>2385</v>
      </c>
      <c r="B66">
        <v>19756819</v>
      </c>
      <c r="C66" s="1" t="str">
        <f>IF($B66="","",HYPERLINK(IF(LEN(VLOOKUP($B66,Database!$B$1:$IX$10144,2,FALSE))=0,"",VLOOKUP($B66,Database!$B$1:$IX$10144,2,FALSE))))</f>
        <v/>
      </c>
      <c r="D66" s="1" t="str">
        <f>IF($B66="","",HYPERLINK(CONCATENATE("http://www.ncbi.nlm.nih.gov/pubmed/",B66)))</f>
        <v>http://www.ncbi.nlm.nih.gov/pubmed/19756819</v>
      </c>
      <c r="E66" s="22" t="str">
        <f>IF($B66="","",IF(LEN(VLOOKUP($B66,Database!$B$1:$IX$10144,4,FALSE))=0,"",VLOOKUP($B66,Database!$B$1:$IX$10144,4,FALSE)))</f>
        <v>Kaymak SU</v>
      </c>
      <c r="F66" s="22">
        <f>IF($B66="","",IF(LEN(VLOOKUP($B66,Database!$B$1:$IX$10144,5,FALSE))=0,"",VLOOKUP($B66,Database!$B$1:$IX$10144,5,FALSE)))</f>
        <v>2009</v>
      </c>
      <c r="G66" s="1" t="str">
        <f>IF($B66="","",HYPERLINK(IF(LEN(VLOOKUP($B66,Database!$B$1:$IX$10144,6,FALSE))=0,"",VLOOKUP($B66,Database!$B$1:$IX$10144,6,FALSE))))</f>
        <v>http://dx.doi.org/10.1007/s00406-009-0045-x</v>
      </c>
      <c r="H66" s="22">
        <f>IF($B66="","",IF(LEN(VLOOKUP($B66,Database!$B$1:$IX$10144,7,FALSE))=0,"",VLOOKUP($B66,Database!$B$1:$IX$10144,7,FALSE)))</f>
        <v>20</v>
      </c>
      <c r="I66" s="22">
        <f>IF($B66="","",IF(LEN(VLOOKUP($B66,Database!$B$1:$IX$10144,8,FALSE))=0,"",VLOOKUP($B66,Database!$B$1:$IX$10144,8,FALSE)))</f>
        <v>15</v>
      </c>
      <c r="J66" t="s">
        <v>2378</v>
      </c>
      <c r="L66">
        <v>2.85</v>
      </c>
      <c r="M66">
        <v>0.33</v>
      </c>
      <c r="N66">
        <v>3.52</v>
      </c>
      <c r="O66">
        <v>0.33</v>
      </c>
      <c r="P66">
        <v>2.72</v>
      </c>
      <c r="Q66">
        <v>0.32</v>
      </c>
      <c r="R66">
        <v>3.4</v>
      </c>
      <c r="S66">
        <v>0.25</v>
      </c>
      <c r="T66">
        <f>L66+P66</f>
        <v>5.57</v>
      </c>
      <c r="U66">
        <f>2*SQRT(0.25*(M66^2+Q66^2+2*$F$8*M66*Q66))</f>
        <v>0.61665225208378183</v>
      </c>
      <c r="V66">
        <f>N66+R66</f>
        <v>6.92</v>
      </c>
      <c r="W66">
        <f>2*SQRT(0.25*(O66^2+S66^2+2*$F$8*O66*S66))</f>
        <v>0.55081757415681643</v>
      </c>
      <c r="Y66" s="22" t="str">
        <f>IF(OR($B66="",Y$22=""),"",IF(LEN(VLOOKUP($B66,Database!$B$1:$IX$10144,Y$22,FALSE))=0,"",VLOOKUP($B66,Database!$B$1:$IX$10144,Y$22,FALSE)))</f>
        <v>DSM-IV</v>
      </c>
      <c r="Z66" s="22" t="str">
        <f>IF(OR($B66="",Z$22=""),"",IF(LEN(VLOOKUP($B66,Database!$B$1:$IX$10144,Z$22,FALSE))=0,"",VLOOKUP($B66,Database!$B$1:$IX$10144,Z$22,FALSE)))</f>
        <v>MRI</v>
      </c>
      <c r="AA66" s="22" t="str">
        <f>IF(OR($B66="",AA$22=""),"",IF(LEN(VLOOKUP($B66,Database!$B$1:$IX$10144,AA$22,FALSE))=0,"",VLOOKUP($B66,Database!$B$1:$IX$10144,AA$22,FALSE)))</f>
        <v/>
      </c>
      <c r="AB66" s="22">
        <f>IF(OR($B66="",AB$22=""),"",IF(LEN(VLOOKUP($B66,Database!$B$1:$IX$10144,AB$22,FALSE))=0,"",VLOOKUP($B66,Database!$B$1:$IX$10144,AB$22,FALSE)))</f>
        <v>32</v>
      </c>
      <c r="AC66" s="22">
        <f>IF(OR($B66="",AC$22=""),"",IF(LEN(VLOOKUP($B66,Database!$B$1:$IX$10144,AC$22,FALSE))=0,"",VLOOKUP($B66,Database!$B$1:$IX$10144,AC$22,FALSE)))</f>
        <v>8.52</v>
      </c>
      <c r="AD66" s="22">
        <f>IF(OR($B66="",AD$22=""),"",IF(LEN(VLOOKUP($B66,Database!$B$1:$IX$10144,AD$22,FALSE))=0,"",VLOOKUP($B66,Database!$B$1:$IX$10144,AD$22,FALSE)))</f>
        <v>29.3</v>
      </c>
      <c r="AE66" s="22">
        <f>IF(OR($B66="",AE$22=""),"",IF(LEN(VLOOKUP($B66,Database!$B$1:$IX$10144,AE$22,FALSE))=0,"",VLOOKUP($B66,Database!$B$1:$IX$10144,AE$22,FALSE)))</f>
        <v>5.8</v>
      </c>
      <c r="AF66" s="22">
        <f>IF(OR($B66="",AF$22=""),"",IF(LEN(VLOOKUP($B66,Database!$B$1:$IX$10144,AF$22,FALSE))=0,"",VLOOKUP($B66,Database!$B$1:$IX$10144,AF$22,FALSE)))</f>
        <v>20</v>
      </c>
      <c r="AG66" s="22">
        <f>IF(OR($B66="",AG$22=""),"",IF(LEN(VLOOKUP($B66,Database!$B$1:$IX$10144,AG$22,FALSE))=0,"",VLOOKUP($B66,Database!$B$1:$IX$10144,AG$22,FALSE)))</f>
        <v>15</v>
      </c>
      <c r="AH66" s="22">
        <f>IF(OR($B66="",AH$22=""),"",IF(LEN(VLOOKUP($B66,Database!$B$1:$IX$10144,AH$22,FALSE))=0,"",VLOOKUP($B66,Database!$B$1:$IX$10144,AH$22,FALSE)))</f>
        <v>3</v>
      </c>
      <c r="AI66" s="22">
        <f>IF(OR($B66="",AI$22=""),"",IF(LEN(VLOOKUP($B66,Database!$B$1:$IX$10144,AI$22,FALSE))=0,"",VLOOKUP($B66,Database!$B$1:$IX$10144,AI$22,FALSE)))</f>
        <v>1</v>
      </c>
      <c r="AJ66" s="22" t="str">
        <f>IF(OR($B66="",AJ$22=""),"",IF(LEN(VLOOKUP($B66,Database!$B$1:$IX$10144,AJ$22,FALSE))=0,"",VLOOKUP($B66,Database!$B$1:$IX$10144,AJ$22,FALSE)))</f>
        <v/>
      </c>
      <c r="AK66" s="22" t="str">
        <f>IF(OR($B66="",AK$22=""),"",IF(LEN(VLOOKUP($B66,Database!$B$1:$IX$10144,AK$22,FALSE))=0,"",VLOOKUP($B66,Database!$B$1:$IX$10144,AK$22,FALSE)))</f>
        <v>ns</v>
      </c>
      <c r="AL66" s="22">
        <f>IF(OR($B66="",AL$22=""),"",IF(LEN(VLOOKUP($B66,Database!$B$1:$IX$10144,AL$22,FALSE))=0,"",VLOOKUP($B66,Database!$B$1:$IX$10144,AL$22,FALSE)))</f>
        <v>23.1</v>
      </c>
      <c r="AM66" s="22">
        <f>IF(OR($B66="",AM$22=""),"",IF(LEN(VLOOKUP($B66,Database!$B$1:$IX$10144,AM$22,FALSE))=0,"",VLOOKUP($B66,Database!$B$1:$IX$10144,AM$22,FALSE)))</f>
        <v>0</v>
      </c>
      <c r="AN66" s="22">
        <f>IF(OR($B66="",AN$22=""),"",IF(LEN(VLOOKUP($B66,Database!$B$1:$IX$10144,AN$22,FALSE))=0,"",VLOOKUP($B66,Database!$B$1:$IX$10144,AN$22,FALSE)))</f>
        <v>0</v>
      </c>
      <c r="AO66" s="22">
        <f>IF(OR($B66="",AO$22=""),"",IF(LEN(VLOOKUP($B66,Database!$B$1:$IX$10144,AO$22,FALSE))=0,"",VLOOKUP($B66,Database!$B$1:$IX$10144,AO$22,FALSE)))</f>
        <v>0</v>
      </c>
      <c r="AP66" s="22">
        <f>IF(OR($B66="",AP$22=""),"",IF(LEN(VLOOKUP($B66,Database!$B$1:$IX$10144,AP$22,FALSE))=0,"",VLOOKUP($B66,Database!$B$1:$IX$10144,AP$22,FALSE)))</f>
        <v>100</v>
      </c>
      <c r="AQ66" s="22" t="str">
        <f>IF(OR($B66="",AQ$22=""),"",IF(LEN(VLOOKUP($B66,Database!$B$1:$IX$10144,AQ$22,FALSE))=0,"",VLOOKUP($B66,Database!$B$1:$IX$10144,AQ$22,FALSE)))</f>
        <v>Kaymak SU, Demir B, Sentürk S, Tatar I, Aldur MM, Uluğ B.</v>
      </c>
    </row>
    <row r="67" spans="1:63">
      <c r="A67" s="4" t="s">
        <v>2011</v>
      </c>
      <c r="C67" s="1"/>
      <c r="D67" s="1"/>
      <c r="E67" s="22"/>
      <c r="F67" s="22"/>
      <c r="G67" s="1"/>
      <c r="H67" s="22"/>
      <c r="I67" s="22"/>
      <c r="Y67" s="22"/>
      <c r="Z67" s="22"/>
      <c r="AA67" s="22"/>
      <c r="AB67" s="22"/>
      <c r="AC67" s="22"/>
      <c r="AD67" s="22"/>
      <c r="AE67" s="22"/>
      <c r="AF67" s="22"/>
      <c r="AG67" s="22"/>
      <c r="AH67" s="22"/>
      <c r="AI67" s="22"/>
      <c r="AJ67" s="22"/>
      <c r="AK67" s="22"/>
      <c r="AL67" s="22"/>
      <c r="AM67" s="22"/>
      <c r="AN67" s="22"/>
      <c r="AO67" s="22"/>
      <c r="AP67" s="22"/>
      <c r="AQ67" s="22"/>
    </row>
    <row r="68" spans="1:63">
      <c r="A68" s="10" t="s">
        <v>2012</v>
      </c>
      <c r="B68">
        <v>10366636</v>
      </c>
      <c r="C68" s="1" t="str">
        <f>IF($B68="","",HYPERLINK(IF(LEN(VLOOKUP($B68,Database!$B$1:$IX$10144,2,FALSE))=0,"",VLOOKUP($B68,Database!$B$1:$IX$10144,2,FALSE))))</f>
        <v/>
      </c>
      <c r="D68" s="1" t="str">
        <f>IF($B68="","",HYPERLINK(CONCATENATE("http://www.ncbi.nlm.nih.gov/pubmed/",B68)))</f>
        <v>http://www.ncbi.nlm.nih.gov/pubmed/10366636</v>
      </c>
      <c r="E68" s="22" t="str">
        <f>IF($B68="","",IF(LEN(VLOOKUP($B68,Database!$B$1:$IX$10144,4,FALSE))=0,"",VLOOKUP($B68,Database!$B$1:$IX$10144,4,FALSE)))</f>
        <v>Sheline YI</v>
      </c>
      <c r="F68" s="22">
        <f>IF($B68="","",IF(LEN(VLOOKUP($B68,Database!$B$1:$IX$10144,5,FALSE))=0,"",VLOOKUP($B68,Database!$B$1:$IX$10144,5,FALSE)))</f>
        <v>1999</v>
      </c>
      <c r="G68" s="1" t="str">
        <f>IF($B68="","",HYPERLINK(IF(LEN(VLOOKUP($B68,Database!$B$1:$IX$10144,6,FALSE))=0,"",VLOOKUP($B68,Database!$B$1:$IX$10144,6,FALSE))))</f>
        <v>http://ajp.psychiatryonline.org/cgi/reprint/156/12/1989</v>
      </c>
      <c r="H68" s="22">
        <f>IF($B68="","",IF(LEN(VLOOKUP($B68,Database!$B$1:$IX$10144,7,FALSE))=0,"",VLOOKUP($B68,Database!$B$1:$IX$10144,7,FALSE)))</f>
        <v>24</v>
      </c>
      <c r="I68" s="22">
        <f>IF($B68="","",IF(LEN(VLOOKUP($B68,Database!$B$1:$IX$10144,8,FALSE))=0,"",VLOOKUP($B68,Database!$B$1:$IX$10144,8,FALSE)))</f>
        <v>24</v>
      </c>
      <c r="J68" t="s">
        <v>939</v>
      </c>
      <c r="L68">
        <v>2230</v>
      </c>
      <c r="M68">
        <v>323</v>
      </c>
      <c r="N68">
        <v>2482</v>
      </c>
      <c r="O68">
        <v>305</v>
      </c>
      <c r="P68">
        <v>2264</v>
      </c>
      <c r="Q68">
        <v>320</v>
      </c>
      <c r="R68">
        <v>2468</v>
      </c>
      <c r="S68">
        <v>309</v>
      </c>
      <c r="T68">
        <v>4496</v>
      </c>
      <c r="U68">
        <v>602</v>
      </c>
      <c r="V68">
        <v>4951</v>
      </c>
      <c r="W68">
        <v>601</v>
      </c>
      <c r="Y68" s="22" t="str">
        <f>IF(OR($B68="",Y$22=""),"",IF(LEN(VLOOKUP($B68,Database!$B$1:$IX$10144,Y$22,FALSE))=0,"",VLOOKUP($B68,Database!$B$1:$IX$10144,Y$22,FALSE)))</f>
        <v>DSM-IV</v>
      </c>
      <c r="Z68" s="22" t="str">
        <f>IF(OR($B68="",Z$22=""),"",IF(LEN(VLOOKUP($B68,Database!$B$1:$IX$10144,Z$22,FALSE))=0,"",VLOOKUP($B68,Database!$B$1:$IX$10144,Z$22,FALSE)))</f>
        <v>MRI</v>
      </c>
      <c r="AA68" s="22" t="str">
        <f>IF(OR($B68="",AA$22=""),"",IF(LEN(VLOOKUP($B68,Database!$B$1:$IX$10144,AA$22,FALSE))=0,"",VLOOKUP($B68,Database!$B$1:$IX$10144,AA$22,FALSE)))</f>
        <v/>
      </c>
      <c r="AB68" s="22"/>
      <c r="AC68" s="22"/>
      <c r="AD68" s="22">
        <f>IF(OR($B68="",AD$22=""),"",IF(LEN(VLOOKUP($B68,Database!$B$1:$IX$10144,AD$22,FALSE))=0,"",VLOOKUP($B68,Database!$B$1:$IX$10144,AD$22,FALSE)))</f>
        <v>52.8</v>
      </c>
      <c r="AE68" s="22">
        <f>IF(OR($B68="",AE$22=""),"",IF(LEN(VLOOKUP($B68,Database!$B$1:$IX$10144,AE$22,FALSE))=0,"",VLOOKUP($B68,Database!$B$1:$IX$10144,AE$22,FALSE)))</f>
        <v>17.8</v>
      </c>
      <c r="AF68" s="22">
        <f>IF(OR($B68="",AF$22=""),"",IF(LEN(VLOOKUP($B68,Database!$B$1:$IX$10144,AF$22,FALSE))=0,"",VLOOKUP($B68,Database!$B$1:$IX$10144,AF$22,FALSE)))</f>
        <v>24</v>
      </c>
      <c r="AG68" s="22">
        <f>IF(OR($B68="",AG$22=""),"",IF(LEN(VLOOKUP($B68,Database!$B$1:$IX$10144,AG$22,FALSE))=0,"",VLOOKUP($B68,Database!$B$1:$IX$10144,AG$22,FALSE)))</f>
        <v>24</v>
      </c>
      <c r="AH68" s="22">
        <f>IF(OR($B68="",AH$22=""),"",IF(LEN(VLOOKUP($B68,Database!$B$1:$IX$10144,AH$22,FALSE))=0,"",VLOOKUP($B68,Database!$B$1:$IX$10144,AH$22,FALSE)))</f>
        <v>1.5</v>
      </c>
      <c r="AI68" s="22">
        <f>IF(OR($B68="",AI$22=""),"",IF(LEN(VLOOKUP($B68,Database!$B$1:$IX$10144,AI$22,FALSE))=0,"",VLOOKUP($B68,Database!$B$1:$IX$10144,AI$22,FALSE)))</f>
        <v>1.25</v>
      </c>
      <c r="AJ68" s="22" t="str">
        <f>IF(OR($B68="",AJ$22=""),"",IF(LEN(VLOOKUP($B68,Database!$B$1:$IX$10144,AJ$22,FALSE))=0,"",VLOOKUP($B68,Database!$B$1:$IX$10144,AJ$22,FALSE)))</f>
        <v/>
      </c>
      <c r="AK68" s="22" t="str">
        <f>IF(OR($B68="",AK$22=""),"",IF(LEN(VLOOKUP($B68,Database!$B$1:$IX$10144,AK$22,FALSE))=0,"",VLOOKUP($B68,Database!$B$1:$IX$10144,AK$22,FALSE)))</f>
        <v>ns</v>
      </c>
      <c r="AL68" s="22" t="str">
        <f>IF(OR($B68="",AL$22=""),"",IF(LEN(VLOOKUP($B68,Database!$B$1:$IX$10144,AL$22,FALSE))=0,"",VLOOKUP($B68,Database!$B$1:$IX$10144,AL$22,FALSE)))</f>
        <v>ns</v>
      </c>
      <c r="AM68" s="22">
        <f>IF(OR($B68="",AM$22=""),"",IF(LEN(VLOOKUP($B68,Database!$B$1:$IX$10144,AM$22,FALSE))=0,"",VLOOKUP($B68,Database!$B$1:$IX$10144,AM$22,FALSE)))</f>
        <v>66.666666666666657</v>
      </c>
      <c r="AN68" s="22" t="str">
        <f>IF(OR($B68="",AN$22=""),"",IF(LEN(VLOOKUP($B68,Database!$B$1:$IX$10144,AN$22,FALSE))=0,"",VLOOKUP($B68,Database!$B$1:$IX$10144,AN$22,FALSE)))</f>
        <v>ns</v>
      </c>
      <c r="AO68" s="22" t="str">
        <f>IF(OR($B68="",AO$22=""),"",IF(LEN(VLOOKUP($B68,Database!$B$1:$IX$10144,AO$22,FALSE))=0,"",VLOOKUP($B68,Database!$B$1:$IX$10144,AO$22,FALSE)))</f>
        <v>ns</v>
      </c>
      <c r="AP68" s="22"/>
      <c r="AQ68" s="22"/>
    </row>
    <row r="69" spans="1:63">
      <c r="A69" s="4"/>
      <c r="C69" s="1"/>
      <c r="D69" s="1"/>
      <c r="E69" s="22"/>
      <c r="F69" s="22"/>
      <c r="G69" s="1"/>
      <c r="H69" s="22"/>
      <c r="I69" s="22"/>
      <c r="Y69" s="22"/>
      <c r="Z69" s="22"/>
      <c r="AA69" s="22"/>
      <c r="AB69" s="22"/>
      <c r="AC69" s="22"/>
      <c r="AD69" s="22"/>
      <c r="AE69" s="22"/>
      <c r="AF69" s="22"/>
      <c r="AG69" s="22"/>
      <c r="AH69" s="22"/>
      <c r="AI69" s="22"/>
      <c r="AJ69" s="22"/>
      <c r="AK69" s="22"/>
      <c r="AL69" s="22"/>
      <c r="AM69" s="22"/>
      <c r="AN69" s="22"/>
      <c r="AO69" s="22"/>
      <c r="AP69" s="22"/>
      <c r="AQ69" s="22"/>
    </row>
    <row r="70" spans="1:63">
      <c r="I70" s="22" t="str">
        <f>IF($B70="","",IF(LEN(VLOOKUP($B70,Database!$B$1:$IX$10144,8,FALSE))=0,"",VLOOKUP($B70,Database!$B$1:$IX$10144,8,FALSE)))</f>
        <v/>
      </c>
      <c r="AF70" t="s">
        <v>602</v>
      </c>
      <c r="AJ70" t="s">
        <v>329</v>
      </c>
      <c r="AN70" t="s">
        <v>330</v>
      </c>
    </row>
    <row r="71" spans="1:63" ht="45" customHeight="1">
      <c r="E71" s="60" t="s">
        <v>617</v>
      </c>
      <c r="F71" s="60" t="s">
        <v>740</v>
      </c>
      <c r="G71" s="60" t="s">
        <v>244</v>
      </c>
      <c r="H71" s="60" t="s">
        <v>245</v>
      </c>
      <c r="I71" s="60" t="s">
        <v>246</v>
      </c>
      <c r="J71" s="60" t="s">
        <v>593</v>
      </c>
      <c r="K71" s="60" t="s">
        <v>1039</v>
      </c>
      <c r="L71" s="60" t="s">
        <v>594</v>
      </c>
      <c r="M71" s="60" t="s">
        <v>1299</v>
      </c>
      <c r="N71" s="61" t="s">
        <v>595</v>
      </c>
      <c r="O71" s="61" t="s">
        <v>596</v>
      </c>
      <c r="P71" s="61" t="s">
        <v>597</v>
      </c>
      <c r="Q71" s="61" t="s">
        <v>598</v>
      </c>
      <c r="R71" s="61" t="s">
        <v>599</v>
      </c>
      <c r="S71" s="61" t="s">
        <v>600</v>
      </c>
      <c r="T71" s="61" t="s">
        <v>601</v>
      </c>
      <c r="U71" s="61" t="s">
        <v>484</v>
      </c>
      <c r="V71" s="61" t="s">
        <v>485</v>
      </c>
      <c r="W71" s="61" t="s">
        <v>486</v>
      </c>
      <c r="AF71" s="61" t="s">
        <v>1517</v>
      </c>
      <c r="AG71" s="62" t="s">
        <v>834</v>
      </c>
      <c r="AH71" s="62" t="s">
        <v>835</v>
      </c>
      <c r="AJ71" s="61" t="s">
        <v>836</v>
      </c>
      <c r="AK71" s="61" t="s">
        <v>837</v>
      </c>
      <c r="AL71" s="61" t="s">
        <v>487</v>
      </c>
      <c r="AN71" s="31" t="s">
        <v>488</v>
      </c>
      <c r="AO71" s="31" t="s">
        <v>489</v>
      </c>
      <c r="AP71" s="31" t="s">
        <v>490</v>
      </c>
      <c r="AQ71" s="31" t="s">
        <v>491</v>
      </c>
      <c r="AR71" s="31" t="s">
        <v>492</v>
      </c>
      <c r="AS71" s="31" t="s">
        <v>493</v>
      </c>
      <c r="AT71" s="31" t="s">
        <v>494</v>
      </c>
      <c r="AU71" s="31" t="s">
        <v>495</v>
      </c>
      <c r="AV71" s="31" t="s">
        <v>496</v>
      </c>
      <c r="AW71" s="31" t="s">
        <v>497</v>
      </c>
      <c r="AX71" s="31" t="s">
        <v>498</v>
      </c>
      <c r="AY71" s="31" t="s">
        <v>499</v>
      </c>
      <c r="AZ71" s="31"/>
      <c r="BA71" s="31"/>
      <c r="BB71" s="31"/>
      <c r="BC71" s="31"/>
      <c r="BD71" s="31"/>
      <c r="BE71" s="31"/>
      <c r="BF71" s="31"/>
      <c r="BG71" s="31"/>
      <c r="BH71" s="31"/>
      <c r="BI71" s="31"/>
      <c r="BJ71" s="207"/>
      <c r="BK71" s="31"/>
    </row>
    <row r="72" spans="1:63">
      <c r="E72" t="str">
        <f t="shared" ref="E72:F74" si="7">E24</f>
        <v>Ashtari M</v>
      </c>
      <c r="F72">
        <f t="shared" si="7"/>
        <v>1999</v>
      </c>
      <c r="G72">
        <v>44</v>
      </c>
      <c r="H72">
        <f t="shared" ref="H72:I74" si="8">H24</f>
        <v>40</v>
      </c>
      <c r="I72">
        <f t="shared" si="8"/>
        <v>46</v>
      </c>
      <c r="J72">
        <f t="shared" ref="J72:M74" si="9">IF($D$4="Total",T24,IF($D$4="Left",L24,IF($D$4="Right",P24,"error")))</f>
        <v>3487</v>
      </c>
      <c r="K72">
        <f t="shared" si="9"/>
        <v>662</v>
      </c>
      <c r="L72">
        <f t="shared" si="9"/>
        <v>3697</v>
      </c>
      <c r="M72">
        <f t="shared" si="9"/>
        <v>597</v>
      </c>
      <c r="N72">
        <f t="shared" ref="N72:N84" si="10">IF($D$3=1,SQRT((((I72-1)*(M72)^2)+((H72-1)*(K72)^2))/(H72+I72-2)),M72)</f>
        <v>628.01578119388955</v>
      </c>
      <c r="O72" s="59">
        <f t="shared" ref="O72:O84" si="11">IF($D$6=1,LN(J72/L72),IF($D$5=1,(1-3/(4*(H72+I72)-9))*((J72-L72)/N72),(J72-L72)/N72))</f>
        <v>-0.33139199557920213</v>
      </c>
      <c r="P72" s="63">
        <f t="shared" ref="P72:P84" si="12">IF($D$6=1,(K72^2)/(H72*J72^2)+(M72^2)/(I72*L72^2),(IF($D$5=1,((H72+I72)/(H72*I72))+(O72*O72)/(2*(H72+I72-3.94)),((H72+I72)/(H72*I72))+((O72^2)/(2*(H72+I72-2))))))</f>
        <v>4.74082789525377E-2</v>
      </c>
      <c r="Q72" s="59">
        <f t="shared" ref="Q72:Q84" si="13">$R$101*SQRT(P72)</f>
        <v>0.42675946905027057</v>
      </c>
      <c r="R72" s="59">
        <f t="shared" ref="R72:R84" si="14">1/P72</f>
        <v>21.093362216357601</v>
      </c>
      <c r="S72" s="59">
        <f t="shared" ref="S72:S84" si="15">O72*R72</f>
        <v>-6.9901713983536871</v>
      </c>
      <c r="T72" s="59">
        <f t="shared" ref="T72:T84" si="16">R72*(O72^2)</f>
        <v>2.3164868491410902</v>
      </c>
      <c r="U72" s="23">
        <f t="shared" ref="U72:U84" si="17">R72^2</f>
        <v>444.92992959046245</v>
      </c>
      <c r="V72" s="59">
        <f t="shared" ref="V72:V84" si="18">1/((1/R72)+$I$98)</f>
        <v>9.6189296586493427</v>
      </c>
      <c r="W72" s="59">
        <f t="shared" ref="W72:W84" si="19">V72*O72</f>
        <v>-3.1876362949157793</v>
      </c>
      <c r="AF72" s="59">
        <f t="shared" ref="AF72:AF84" si="20">IF($D$6=1,100*((EXP(O72))-1),O72)</f>
        <v>-0.33139199557920213</v>
      </c>
      <c r="AG72" s="59">
        <f t="shared" ref="AG72:AG84" si="21">IF($D$6=1,100*(EXP(O72+Q72)-EXP(O72)),Q72)</f>
        <v>0.42675946905027057</v>
      </c>
      <c r="AH72" s="59">
        <f t="shared" ref="AH72:AH84" si="22">IF($D$6=1,100*(EXP(O72)-EXP(O72-Q72)),Q72)</f>
        <v>0.42675946905027057</v>
      </c>
      <c r="AJ72">
        <f t="shared" ref="AJ72:AJ84" si="23">SQRT(P72)</f>
        <v>0.21773442298483192</v>
      </c>
      <c r="AK72">
        <f t="shared" ref="AK72:AK84" si="24">1/AJ72</f>
        <v>4.5927510509886771</v>
      </c>
      <c r="AL72">
        <f t="shared" ref="AL72:AL84" si="25">O72/AJ72</f>
        <v>-1.5220009359856157</v>
      </c>
      <c r="AN72" s="31" t="str">
        <f t="shared" ref="AN72:AO74" si="26">E72</f>
        <v>Ashtari M</v>
      </c>
      <c r="AO72" s="31">
        <f t="shared" si="26"/>
        <v>1999</v>
      </c>
      <c r="AP72" s="31" t="str">
        <f t="shared" ref="AP72:AP84" si="27">CONCATENATE(AN72," ",AO72)</f>
        <v>Ashtari M 1999</v>
      </c>
      <c r="AQ72" s="31">
        <f>INT(H72)</f>
        <v>40</v>
      </c>
      <c r="AR72" s="31">
        <f t="shared" ref="AR72:AS74" si="28">J72</f>
        <v>3487</v>
      </c>
      <c r="AS72" s="31">
        <f t="shared" si="28"/>
        <v>662</v>
      </c>
      <c r="AT72" s="31">
        <f t="shared" ref="AT72:AT84" si="29">INT(I72)</f>
        <v>46</v>
      </c>
      <c r="AU72" s="31">
        <f t="shared" ref="AU72:AV74" si="30">L72</f>
        <v>3697</v>
      </c>
      <c r="AV72" s="31">
        <f t="shared" si="30"/>
        <v>597</v>
      </c>
      <c r="AW72" s="164">
        <f t="shared" ref="AW72:AW84" si="31">O72</f>
        <v>-0.33139199557920213</v>
      </c>
      <c r="AX72" s="31">
        <f t="shared" ref="AX72:AX84" si="32">SQRT(P72)</f>
        <v>0.21773442298483192</v>
      </c>
      <c r="AY72" s="31" t="str">
        <f>$F$4</f>
        <v>Total</v>
      </c>
      <c r="AZ72" s="31"/>
      <c r="BA72" s="31"/>
      <c r="BB72" s="31"/>
      <c r="BC72" s="165"/>
      <c r="BD72" s="31"/>
      <c r="BE72" s="31"/>
      <c r="BF72" s="31"/>
      <c r="BG72" s="31"/>
      <c r="BH72" s="31"/>
      <c r="BI72" s="32"/>
      <c r="BJ72" s="32"/>
      <c r="BK72" s="31"/>
    </row>
    <row r="73" spans="1:63">
      <c r="E73" t="str">
        <f t="shared" si="7"/>
        <v>Colla M</v>
      </c>
      <c r="F73">
        <f t="shared" si="7"/>
        <v>2007</v>
      </c>
      <c r="G73">
        <v>37</v>
      </c>
      <c r="H73">
        <f t="shared" si="8"/>
        <v>24</v>
      </c>
      <c r="I73">
        <f t="shared" si="8"/>
        <v>14</v>
      </c>
      <c r="J73">
        <f t="shared" si="9"/>
        <v>3.46</v>
      </c>
      <c r="K73">
        <f t="shared" si="9"/>
        <v>0.52</v>
      </c>
      <c r="L73">
        <f t="shared" si="9"/>
        <v>3.86</v>
      </c>
      <c r="M73">
        <f t="shared" si="9"/>
        <v>0.32</v>
      </c>
      <c r="N73">
        <f t="shared" si="10"/>
        <v>0.45796651988254922</v>
      </c>
      <c r="O73" s="59">
        <f t="shared" si="11"/>
        <v>-0.85510266494769971</v>
      </c>
      <c r="P73" s="63">
        <f t="shared" si="12"/>
        <v>0.1238292452532043</v>
      </c>
      <c r="Q73" s="59">
        <f t="shared" si="13"/>
        <v>0.68971184458780288</v>
      </c>
      <c r="R73" s="59">
        <f t="shared" si="14"/>
        <v>8.0756367201884665</v>
      </c>
      <c r="S73" s="59">
        <f t="shared" si="15"/>
        <v>-6.9054984805826587</v>
      </c>
      <c r="T73" s="59">
        <f t="shared" si="16"/>
        <v>5.9049101535385224</v>
      </c>
      <c r="U73" s="23">
        <f t="shared" si="17"/>
        <v>65.215908436456331</v>
      </c>
      <c r="V73" s="59">
        <f t="shared" si="18"/>
        <v>5.5437708156305199</v>
      </c>
      <c r="W73" s="59">
        <f t="shared" si="19"/>
        <v>-4.7404931983049403</v>
      </c>
      <c r="AF73" s="59">
        <f t="shared" si="20"/>
        <v>-0.85510266494769971</v>
      </c>
      <c r="AG73" s="59">
        <f t="shared" si="21"/>
        <v>0.68971184458780288</v>
      </c>
      <c r="AH73" s="59">
        <f t="shared" si="22"/>
        <v>0.68971184458780288</v>
      </c>
      <c r="AJ73">
        <f t="shared" si="23"/>
        <v>0.35189379825908312</v>
      </c>
      <c r="AK73">
        <f t="shared" si="24"/>
        <v>2.841766478827644</v>
      </c>
      <c r="AL73">
        <f t="shared" si="25"/>
        <v>-2.4300020892045593</v>
      </c>
      <c r="AN73" s="31" t="str">
        <f t="shared" si="26"/>
        <v>Colla M</v>
      </c>
      <c r="AO73" s="31">
        <f t="shared" si="26"/>
        <v>2007</v>
      </c>
      <c r="AP73" s="31" t="str">
        <f t="shared" si="27"/>
        <v>Colla M 2007</v>
      </c>
      <c r="AQ73" s="31">
        <f t="shared" ref="AQ73:AQ84" si="33">INT(H73)</f>
        <v>24</v>
      </c>
      <c r="AR73" s="31">
        <f t="shared" si="28"/>
        <v>3.46</v>
      </c>
      <c r="AS73" s="31">
        <f t="shared" si="28"/>
        <v>0.52</v>
      </c>
      <c r="AT73" s="31">
        <f t="shared" si="29"/>
        <v>14</v>
      </c>
      <c r="AU73" s="31">
        <f t="shared" si="30"/>
        <v>3.86</v>
      </c>
      <c r="AV73" s="31">
        <f t="shared" si="30"/>
        <v>0.32</v>
      </c>
      <c r="AW73" s="164">
        <f t="shared" si="31"/>
        <v>-0.85510266494769971</v>
      </c>
      <c r="AX73" s="31">
        <f t="shared" si="32"/>
        <v>0.35189379825908312</v>
      </c>
      <c r="AY73" s="31"/>
      <c r="AZ73" s="31"/>
      <c r="BA73" s="31"/>
      <c r="BB73" s="31"/>
      <c r="BC73" s="165"/>
      <c r="BD73" s="31"/>
      <c r="BE73" s="31"/>
      <c r="BF73" s="31"/>
      <c r="BG73" s="31"/>
      <c r="BH73" s="31"/>
      <c r="BI73" s="32"/>
      <c r="BJ73" s="32"/>
      <c r="BK73" s="31"/>
    </row>
    <row r="74" spans="1:63">
      <c r="E74" t="str">
        <f t="shared" si="7"/>
        <v>Weber K</v>
      </c>
      <c r="F74">
        <f t="shared" si="7"/>
        <v>2009</v>
      </c>
      <c r="G74">
        <v>31</v>
      </c>
      <c r="H74">
        <f t="shared" si="8"/>
        <v>38</v>
      </c>
      <c r="I74">
        <f t="shared" si="8"/>
        <v>62</v>
      </c>
      <c r="J74">
        <f t="shared" si="9"/>
        <v>3.58</v>
      </c>
      <c r="K74">
        <f t="shared" si="9"/>
        <v>0.45</v>
      </c>
      <c r="L74">
        <f t="shared" si="9"/>
        <v>3.63</v>
      </c>
      <c r="M74">
        <f t="shared" si="9"/>
        <v>0.52</v>
      </c>
      <c r="N74">
        <f t="shared" si="10"/>
        <v>0.49473658214678823</v>
      </c>
      <c r="O74" s="59">
        <f t="shared" si="11"/>
        <v>-0.10028845667960666</v>
      </c>
      <c r="P74" s="63">
        <f t="shared" si="12"/>
        <v>4.2497173254459411E-2</v>
      </c>
      <c r="Q74" s="59">
        <f t="shared" si="13"/>
        <v>0.40405091359175427</v>
      </c>
      <c r="R74" s="59">
        <f t="shared" si="14"/>
        <v>23.530976849032321</v>
      </c>
      <c r="S74" s="59">
        <f t="shared" si="15"/>
        <v>-2.3598853523530052</v>
      </c>
      <c r="T74" s="59">
        <f t="shared" si="16"/>
        <v>0.23666925992829266</v>
      </c>
      <c r="U74" s="23">
        <f t="shared" si="17"/>
        <v>553.7068714696951</v>
      </c>
      <c r="V74" s="59">
        <f t="shared" si="18"/>
        <v>10.095853542314396</v>
      </c>
      <c r="W74" s="59">
        <f t="shared" si="19"/>
        <v>-1.0124975706220507</v>
      </c>
      <c r="AF74" s="59">
        <f t="shared" si="20"/>
        <v>-0.10028845667960666</v>
      </c>
      <c r="AG74" s="59">
        <f t="shared" si="21"/>
        <v>0.40405091359175427</v>
      </c>
      <c r="AH74" s="59">
        <f t="shared" si="22"/>
        <v>0.40405091359175427</v>
      </c>
      <c r="AJ74">
        <f t="shared" si="23"/>
        <v>0.20614842530191543</v>
      </c>
      <c r="AK74">
        <f t="shared" si="24"/>
        <v>4.850873823243842</v>
      </c>
      <c r="AL74">
        <f t="shared" si="25"/>
        <v>-0.48648664928062796</v>
      </c>
      <c r="AN74" s="31" t="str">
        <f t="shared" si="26"/>
        <v>Weber K</v>
      </c>
      <c r="AO74" s="31">
        <f t="shared" si="26"/>
        <v>2009</v>
      </c>
      <c r="AP74" s="31" t="str">
        <f t="shared" si="27"/>
        <v>Weber K 2009</v>
      </c>
      <c r="AQ74" s="31">
        <f t="shared" si="33"/>
        <v>38</v>
      </c>
      <c r="AR74" s="31">
        <f t="shared" si="28"/>
        <v>3.58</v>
      </c>
      <c r="AS74" s="31">
        <f t="shared" si="28"/>
        <v>0.45</v>
      </c>
      <c r="AT74" s="31">
        <f t="shared" si="29"/>
        <v>62</v>
      </c>
      <c r="AU74" s="31">
        <f t="shared" si="30"/>
        <v>3.63</v>
      </c>
      <c r="AV74" s="31">
        <f t="shared" si="30"/>
        <v>0.52</v>
      </c>
      <c r="AW74" s="164">
        <f t="shared" si="31"/>
        <v>-0.10028845667960666</v>
      </c>
      <c r="AX74" s="31">
        <f t="shared" si="32"/>
        <v>0.20614842530191543</v>
      </c>
      <c r="AY74" s="31"/>
      <c r="AZ74" s="31"/>
      <c r="BA74" s="31"/>
      <c r="BB74" s="31"/>
      <c r="BC74" s="165"/>
      <c r="BD74" s="31"/>
      <c r="BE74" s="31"/>
      <c r="BF74" s="31"/>
      <c r="BG74" s="31"/>
      <c r="BH74" s="31"/>
      <c r="BI74" s="32"/>
      <c r="BJ74" s="32"/>
      <c r="BK74" s="31"/>
    </row>
    <row r="75" spans="1:63">
      <c r="E75" t="str">
        <f t="shared" ref="E75:F84" si="34">E29</f>
        <v>Vakili K</v>
      </c>
      <c r="F75">
        <f t="shared" si="34"/>
        <v>2000</v>
      </c>
      <c r="G75">
        <v>28</v>
      </c>
      <c r="H75">
        <f t="shared" ref="H75:I84" si="35">H29</f>
        <v>38</v>
      </c>
      <c r="I75">
        <f t="shared" si="35"/>
        <v>20</v>
      </c>
      <c r="J75">
        <f t="shared" ref="J75:J84" si="36">IF($D$4="Total",T29,IF($D$4="Left",L29,IF($D$4="Right",P29,"error")))</f>
        <v>5.25</v>
      </c>
      <c r="K75">
        <f t="shared" ref="K75:K84" si="37">IF($D$4="Total",U29,IF($D$4="Left",M29,IF($D$4="Right",Q29,"error")))</f>
        <v>1.0720541031123383</v>
      </c>
      <c r="L75">
        <f t="shared" ref="L75:L84" si="38">IF($D$4="Total",V29,IF($D$4="Left",N29,IF($D$4="Right",R29,"error")))</f>
        <v>5.0600000000000005</v>
      </c>
      <c r="M75">
        <f t="shared" ref="M75:M84" si="39">IF($D$4="Total",W29,IF($D$4="Left",O29,IF($D$4="Right",S29,"error")))</f>
        <v>0.84532833857620082</v>
      </c>
      <c r="N75">
        <f t="shared" si="10"/>
        <v>1.0009024499349146</v>
      </c>
      <c r="O75" s="59">
        <f t="shared" si="11"/>
        <v>0.18727493993098845</v>
      </c>
      <c r="P75" s="63">
        <f t="shared" si="12"/>
        <v>7.664016889586471E-2</v>
      </c>
      <c r="Q75" s="59">
        <f t="shared" si="13"/>
        <v>0.54260563287746455</v>
      </c>
      <c r="R75" s="59">
        <f t="shared" si="14"/>
        <v>13.047987946878823</v>
      </c>
      <c r="S75" s="59">
        <f t="shared" si="15"/>
        <v>2.4435611589719932</v>
      </c>
      <c r="T75" s="59">
        <f t="shared" si="16"/>
        <v>0.45761776926417647</v>
      </c>
      <c r="U75" s="23">
        <f t="shared" si="17"/>
        <v>170.24998946189504</v>
      </c>
      <c r="V75" s="59">
        <f t="shared" si="18"/>
        <v>7.5078704506639466</v>
      </c>
      <c r="W75" s="59">
        <f t="shared" si="19"/>
        <v>1.4060359876577337</v>
      </c>
      <c r="AF75" s="59">
        <f t="shared" si="20"/>
        <v>0.18727493993098845</v>
      </c>
      <c r="AG75" s="59">
        <f t="shared" si="21"/>
        <v>0.54260563287746455</v>
      </c>
      <c r="AH75" s="59">
        <f t="shared" si="22"/>
        <v>0.54260563287746455</v>
      </c>
      <c r="AJ75">
        <f t="shared" si="23"/>
        <v>0.2768396086109513</v>
      </c>
      <c r="AK75">
        <f t="shared" si="24"/>
        <v>3.6121998763743437</v>
      </c>
      <c r="AL75">
        <f t="shared" si="25"/>
        <v>0.67647451486672916</v>
      </c>
      <c r="AN75" s="31" t="str">
        <f t="shared" ref="AN75:AO82" si="40">E75</f>
        <v>Vakili K</v>
      </c>
      <c r="AO75" s="31">
        <f t="shared" si="40"/>
        <v>2000</v>
      </c>
      <c r="AP75" s="31" t="str">
        <f t="shared" si="27"/>
        <v>Vakili K 2000</v>
      </c>
      <c r="AQ75" s="31">
        <f t="shared" si="33"/>
        <v>38</v>
      </c>
      <c r="AR75" s="31">
        <f t="shared" ref="AR75:AS82" si="41">J75</f>
        <v>5.25</v>
      </c>
      <c r="AS75" s="31">
        <f t="shared" si="41"/>
        <v>1.0720541031123383</v>
      </c>
      <c r="AT75" s="31">
        <f t="shared" si="29"/>
        <v>20</v>
      </c>
      <c r="AU75" s="31">
        <f t="shared" ref="AU75:AV82" si="42">L75</f>
        <v>5.0600000000000005</v>
      </c>
      <c r="AV75" s="31">
        <f t="shared" si="42"/>
        <v>0.84532833857620082</v>
      </c>
      <c r="AW75" s="164">
        <f t="shared" si="31"/>
        <v>0.18727493993098845</v>
      </c>
      <c r="AX75" s="31">
        <f t="shared" si="32"/>
        <v>0.2768396086109513</v>
      </c>
      <c r="AY75" s="31"/>
      <c r="AZ75" s="31"/>
      <c r="BA75" s="31"/>
      <c r="BB75" s="31"/>
      <c r="BC75" s="165"/>
      <c r="BD75" s="31"/>
      <c r="BE75" s="31"/>
      <c r="BF75" s="31"/>
      <c r="BG75" s="31"/>
      <c r="BH75" s="31"/>
      <c r="BI75" s="32"/>
      <c r="BJ75" s="32"/>
      <c r="BK75" s="31"/>
    </row>
    <row r="76" spans="1:63">
      <c r="E76" t="str">
        <f t="shared" si="34"/>
        <v>MacQueen GM</v>
      </c>
      <c r="F76">
        <f t="shared" si="34"/>
        <v>2003</v>
      </c>
      <c r="G76">
        <v>25</v>
      </c>
      <c r="H76">
        <f t="shared" si="35"/>
        <v>20</v>
      </c>
      <c r="I76">
        <f t="shared" si="35"/>
        <v>20</v>
      </c>
      <c r="J76">
        <f t="shared" si="36"/>
        <v>5531</v>
      </c>
      <c r="K76">
        <f t="shared" si="37"/>
        <v>573.85916216437636</v>
      </c>
      <c r="L76">
        <f t="shared" si="38"/>
        <v>5545</v>
      </c>
      <c r="M76">
        <f t="shared" si="39"/>
        <v>674.1852623722948</v>
      </c>
      <c r="N76">
        <f t="shared" si="10"/>
        <v>626.03518511342475</v>
      </c>
      <c r="O76" s="59">
        <f t="shared" si="11"/>
        <v>-2.1918663089439044E-2</v>
      </c>
      <c r="P76" s="63">
        <f t="shared" si="12"/>
        <v>0.10000666150570756</v>
      </c>
      <c r="Q76" s="59">
        <f t="shared" si="13"/>
        <v>0.61982706526927822</v>
      </c>
      <c r="R76" s="59">
        <f t="shared" si="14"/>
        <v>9.9993338938019463</v>
      </c>
      <c r="S76" s="59">
        <f t="shared" si="15"/>
        <v>-0.21917203073705352</v>
      </c>
      <c r="T76" s="59">
        <f t="shared" si="16"/>
        <v>4.8039579003536547E-3</v>
      </c>
      <c r="U76" s="23">
        <f t="shared" si="17"/>
        <v>99.986678319736399</v>
      </c>
      <c r="V76" s="59">
        <f t="shared" si="18"/>
        <v>6.3873253596074653</v>
      </c>
      <c r="W76" s="59">
        <f t="shared" si="19"/>
        <v>-0.14000163259986612</v>
      </c>
      <c r="AF76" s="59">
        <f t="shared" si="20"/>
        <v>-2.1918663089439044E-2</v>
      </c>
      <c r="AG76" s="59">
        <f t="shared" si="21"/>
        <v>0.61982706526927822</v>
      </c>
      <c r="AH76" s="59">
        <f t="shared" si="22"/>
        <v>0.61982706526927822</v>
      </c>
      <c r="AJ76">
        <f t="shared" si="23"/>
        <v>0.3162382986067746</v>
      </c>
      <c r="AK76">
        <f t="shared" si="24"/>
        <v>3.1621723377769828</v>
      </c>
      <c r="AL76">
        <f t="shared" si="25"/>
        <v>-6.9310590102477532E-2</v>
      </c>
      <c r="AN76" s="31" t="str">
        <f t="shared" si="40"/>
        <v>MacQueen GM</v>
      </c>
      <c r="AO76" s="31">
        <f t="shared" si="40"/>
        <v>2003</v>
      </c>
      <c r="AP76" s="31" t="str">
        <f t="shared" si="27"/>
        <v>MacQueen GM 2003</v>
      </c>
      <c r="AQ76" s="31">
        <f t="shared" si="33"/>
        <v>20</v>
      </c>
      <c r="AR76" s="31">
        <f t="shared" si="41"/>
        <v>5531</v>
      </c>
      <c r="AS76" s="31">
        <f t="shared" si="41"/>
        <v>573.85916216437636</v>
      </c>
      <c r="AT76" s="31">
        <f t="shared" si="29"/>
        <v>20</v>
      </c>
      <c r="AU76" s="31">
        <f t="shared" si="42"/>
        <v>5545</v>
      </c>
      <c r="AV76" s="31">
        <f t="shared" si="42"/>
        <v>674.1852623722948</v>
      </c>
      <c r="AW76" s="164">
        <f t="shared" si="31"/>
        <v>-2.1918663089439044E-2</v>
      </c>
      <c r="AX76" s="31">
        <f t="shared" si="32"/>
        <v>0.3162382986067746</v>
      </c>
      <c r="AY76" s="31"/>
      <c r="AZ76" s="31"/>
      <c r="BA76" s="31"/>
      <c r="BB76" s="31"/>
      <c r="BC76" s="165"/>
      <c r="BD76" s="31"/>
      <c r="BE76" s="31"/>
      <c r="BF76" s="31"/>
      <c r="BG76" s="31"/>
      <c r="BH76" s="31"/>
      <c r="BI76" s="32"/>
      <c r="BJ76" s="32"/>
      <c r="BK76" s="31"/>
    </row>
    <row r="77" spans="1:63">
      <c r="E77" t="str">
        <f t="shared" si="34"/>
        <v>MacQueen GM</v>
      </c>
      <c r="F77">
        <f t="shared" si="34"/>
        <v>2003</v>
      </c>
      <c r="G77">
        <v>24</v>
      </c>
      <c r="H77">
        <f t="shared" si="35"/>
        <v>17</v>
      </c>
      <c r="I77">
        <f t="shared" si="35"/>
        <v>17</v>
      </c>
      <c r="J77">
        <f t="shared" si="36"/>
        <v>4773</v>
      </c>
      <c r="K77">
        <f t="shared" si="37"/>
        <v>503.01993996262217</v>
      </c>
      <c r="L77">
        <f t="shared" si="38"/>
        <v>5395</v>
      </c>
      <c r="M77">
        <f t="shared" si="39"/>
        <v>416.98303322797199</v>
      </c>
      <c r="N77">
        <f t="shared" si="10"/>
        <v>462.00860922714418</v>
      </c>
      <c r="O77" s="59">
        <f t="shared" si="11"/>
        <v>-1.3144930083231281</v>
      </c>
      <c r="P77" s="63">
        <f t="shared" si="12"/>
        <v>0.14638777520627039</v>
      </c>
      <c r="Q77" s="59">
        <f t="shared" si="13"/>
        <v>0.74990884594889817</v>
      </c>
      <c r="R77" s="59">
        <f t="shared" si="14"/>
        <v>6.831171514089422</v>
      </c>
      <c r="S77" s="59">
        <f t="shared" si="15"/>
        <v>-8.9795271939266623</v>
      </c>
      <c r="T77" s="59">
        <f t="shared" si="16"/>
        <v>11.803525714463994</v>
      </c>
      <c r="U77" s="23">
        <f t="shared" si="17"/>
        <v>46.664904254906766</v>
      </c>
      <c r="V77" s="59">
        <f t="shared" si="18"/>
        <v>4.927536457049797</v>
      </c>
      <c r="W77" s="59">
        <f t="shared" si="19"/>
        <v>-6.4772122210492764</v>
      </c>
      <c r="AF77" s="59">
        <f t="shared" si="20"/>
        <v>-1.3144930083231281</v>
      </c>
      <c r="AG77" s="59">
        <f t="shared" si="21"/>
        <v>0.74990884594889817</v>
      </c>
      <c r="AH77" s="59">
        <f t="shared" si="22"/>
        <v>0.74990884594889817</v>
      </c>
      <c r="AJ77">
        <f t="shared" si="23"/>
        <v>0.38260655405556032</v>
      </c>
      <c r="AK77">
        <f t="shared" si="24"/>
        <v>2.6136509931682581</v>
      </c>
      <c r="AL77">
        <f t="shared" si="25"/>
        <v>-3.4356259567164749</v>
      </c>
      <c r="AN77" s="31" t="str">
        <f t="shared" si="40"/>
        <v>MacQueen GM</v>
      </c>
      <c r="AO77" s="31">
        <f t="shared" si="40"/>
        <v>2003</v>
      </c>
      <c r="AP77" s="31" t="str">
        <f t="shared" si="27"/>
        <v>MacQueen GM 2003</v>
      </c>
      <c r="AQ77" s="31">
        <f t="shared" si="33"/>
        <v>17</v>
      </c>
      <c r="AR77" s="31">
        <f t="shared" si="41"/>
        <v>4773</v>
      </c>
      <c r="AS77" s="31">
        <f t="shared" si="41"/>
        <v>503.01993996262217</v>
      </c>
      <c r="AT77" s="31">
        <f t="shared" si="29"/>
        <v>17</v>
      </c>
      <c r="AU77" s="31">
        <f t="shared" si="42"/>
        <v>5395</v>
      </c>
      <c r="AV77" s="31">
        <f t="shared" si="42"/>
        <v>416.98303322797199</v>
      </c>
      <c r="AW77" s="164">
        <f t="shared" si="31"/>
        <v>-1.3144930083231281</v>
      </c>
      <c r="AX77" s="31">
        <f t="shared" si="32"/>
        <v>0.38260655405556032</v>
      </c>
      <c r="AY77" s="31"/>
      <c r="AZ77" s="31"/>
      <c r="BA77" s="31"/>
      <c r="BB77" s="31"/>
      <c r="BC77" s="165"/>
      <c r="BD77" s="31"/>
      <c r="BE77" s="31"/>
      <c r="BF77" s="31"/>
      <c r="BG77" s="31"/>
      <c r="BH77" s="31"/>
      <c r="BI77" s="32"/>
      <c r="BJ77" s="32"/>
      <c r="BK77" s="31"/>
    </row>
    <row r="78" spans="1:63">
      <c r="E78" t="str">
        <f t="shared" si="34"/>
        <v>Caetano SC</v>
      </c>
      <c r="F78">
        <f t="shared" si="34"/>
        <v>2004</v>
      </c>
      <c r="G78">
        <v>21</v>
      </c>
      <c r="H78">
        <f t="shared" si="35"/>
        <v>31</v>
      </c>
      <c r="I78">
        <f t="shared" si="35"/>
        <v>31</v>
      </c>
      <c r="J78">
        <f t="shared" si="36"/>
        <v>6.54</v>
      </c>
      <c r="K78">
        <f t="shared" si="37"/>
        <v>0.82584502178072128</v>
      </c>
      <c r="L78">
        <f t="shared" si="38"/>
        <v>6.6899999999999995</v>
      </c>
      <c r="M78">
        <f t="shared" si="39"/>
        <v>0.80638700386352946</v>
      </c>
      <c r="N78">
        <f t="shared" si="10"/>
        <v>0.81617400105614735</v>
      </c>
      <c r="O78" s="59">
        <f t="shared" si="11"/>
        <v>-0.18147742346613352</v>
      </c>
      <c r="P78" s="63">
        <f t="shared" si="12"/>
        <v>6.4799749900565903E-2</v>
      </c>
      <c r="Q78" s="59">
        <f t="shared" si="13"/>
        <v>0.4989335819706005</v>
      </c>
      <c r="R78" s="59">
        <f t="shared" si="14"/>
        <v>15.432158326760254</v>
      </c>
      <c r="S78" s="59">
        <f t="shared" si="15"/>
        <v>-2.8005883316618889</v>
      </c>
      <c r="T78" s="59">
        <f t="shared" si="16"/>
        <v>0.50824355461931703</v>
      </c>
      <c r="U78" s="23">
        <f t="shared" si="17"/>
        <v>238.15151062219584</v>
      </c>
      <c r="V78" s="59">
        <f t="shared" si="18"/>
        <v>8.2404129338065228</v>
      </c>
      <c r="W78" s="59">
        <f t="shared" si="19"/>
        <v>-1.4954489075242101</v>
      </c>
      <c r="AF78" s="59">
        <f t="shared" si="20"/>
        <v>-0.18147742346613352</v>
      </c>
      <c r="AG78" s="59">
        <f t="shared" si="21"/>
        <v>0.4989335819706005</v>
      </c>
      <c r="AH78" s="59">
        <f t="shared" si="22"/>
        <v>0.4989335819706005</v>
      </c>
      <c r="AJ78">
        <f t="shared" si="23"/>
        <v>0.25455794998500025</v>
      </c>
      <c r="AK78">
        <f t="shared" si="24"/>
        <v>3.9283785875040427</v>
      </c>
      <c r="AL78">
        <f t="shared" si="25"/>
        <v>-0.71291202445976254</v>
      </c>
      <c r="AN78" s="31" t="str">
        <f t="shared" si="40"/>
        <v>Caetano SC</v>
      </c>
      <c r="AO78" s="31">
        <f t="shared" si="40"/>
        <v>2004</v>
      </c>
      <c r="AP78" s="31" t="str">
        <f t="shared" si="27"/>
        <v>Caetano SC 2004</v>
      </c>
      <c r="AQ78" s="31">
        <f t="shared" si="33"/>
        <v>31</v>
      </c>
      <c r="AR78" s="31">
        <f t="shared" si="41"/>
        <v>6.54</v>
      </c>
      <c r="AS78" s="31">
        <f t="shared" si="41"/>
        <v>0.82584502178072128</v>
      </c>
      <c r="AT78" s="31">
        <f t="shared" si="29"/>
        <v>31</v>
      </c>
      <c r="AU78" s="31">
        <f t="shared" si="42"/>
        <v>6.6899999999999995</v>
      </c>
      <c r="AV78" s="31">
        <f t="shared" si="42"/>
        <v>0.80638700386352946</v>
      </c>
      <c r="AW78" s="164">
        <f t="shared" si="31"/>
        <v>-0.18147742346613352</v>
      </c>
      <c r="AX78" s="31">
        <f t="shared" si="32"/>
        <v>0.25455794998500025</v>
      </c>
      <c r="AY78" s="31"/>
      <c r="AZ78" s="31"/>
      <c r="BA78" s="31"/>
      <c r="BB78" s="32"/>
      <c r="BC78" s="165"/>
      <c r="BD78" s="31"/>
      <c r="BE78" s="31"/>
      <c r="BF78" s="31"/>
      <c r="BG78" s="31"/>
      <c r="BH78" s="31"/>
      <c r="BI78" s="32"/>
      <c r="BJ78" s="32"/>
      <c r="BK78" s="31"/>
    </row>
    <row r="79" spans="1:63">
      <c r="E79" t="str">
        <f t="shared" si="34"/>
        <v>Lloyd AJ</v>
      </c>
      <c r="F79">
        <f t="shared" si="34"/>
        <v>2004</v>
      </c>
      <c r="G79">
        <v>20</v>
      </c>
      <c r="H79">
        <f t="shared" si="35"/>
        <v>51</v>
      </c>
      <c r="I79">
        <f t="shared" si="35"/>
        <v>39</v>
      </c>
      <c r="J79">
        <f t="shared" si="36"/>
        <v>5.5</v>
      </c>
      <c r="K79">
        <f t="shared" si="37"/>
        <v>0.85440037453175322</v>
      </c>
      <c r="L79">
        <f t="shared" si="38"/>
        <v>5.8</v>
      </c>
      <c r="M79">
        <f t="shared" si="39"/>
        <v>0.7589466384404111</v>
      </c>
      <c r="N79">
        <f t="shared" si="10"/>
        <v>0.81455509328712694</v>
      </c>
      <c r="O79" s="59">
        <f t="shared" si="11"/>
        <v>-0.36515135671867005</v>
      </c>
      <c r="P79" s="63">
        <f t="shared" si="12"/>
        <v>4.6023534786376552E-2</v>
      </c>
      <c r="Q79" s="59">
        <f t="shared" si="13"/>
        <v>0.42048069068073046</v>
      </c>
      <c r="R79" s="59">
        <f t="shared" si="14"/>
        <v>21.728013822528261</v>
      </c>
      <c r="S79" s="59">
        <f t="shared" si="15"/>
        <v>-7.9340137260982111</v>
      </c>
      <c r="T79" s="59">
        <f t="shared" si="16"/>
        <v>2.8971158763093121</v>
      </c>
      <c r="U79" s="23">
        <f t="shared" si="17"/>
        <v>472.10658467197919</v>
      </c>
      <c r="V79" s="59">
        <f t="shared" si="18"/>
        <v>9.7487810506534913</v>
      </c>
      <c r="W79" s="59">
        <f t="shared" si="19"/>
        <v>-3.5597806269993839</v>
      </c>
      <c r="AF79" s="59">
        <f t="shared" si="20"/>
        <v>-0.36515135671867005</v>
      </c>
      <c r="AG79" s="59">
        <f t="shared" si="21"/>
        <v>0.42048069068073046</v>
      </c>
      <c r="AH79" s="59">
        <f t="shared" si="22"/>
        <v>0.42048069068073046</v>
      </c>
      <c r="AJ79">
        <f t="shared" si="23"/>
        <v>0.21453096463302576</v>
      </c>
      <c r="AK79">
        <f t="shared" si="24"/>
        <v>4.6613317649067056</v>
      </c>
      <c r="AL79">
        <f t="shared" si="25"/>
        <v>-1.7020916180715162</v>
      </c>
      <c r="AN79" s="31" t="str">
        <f t="shared" si="40"/>
        <v>Lloyd AJ</v>
      </c>
      <c r="AO79" s="31">
        <f t="shared" si="40"/>
        <v>2004</v>
      </c>
      <c r="AP79" s="31" t="str">
        <f t="shared" si="27"/>
        <v>Lloyd AJ 2004</v>
      </c>
      <c r="AQ79" s="31">
        <f t="shared" si="33"/>
        <v>51</v>
      </c>
      <c r="AR79" s="31">
        <f t="shared" si="41"/>
        <v>5.5</v>
      </c>
      <c r="AS79" s="31">
        <f t="shared" si="41"/>
        <v>0.85440037453175322</v>
      </c>
      <c r="AT79" s="31">
        <f t="shared" si="29"/>
        <v>39</v>
      </c>
      <c r="AU79" s="31">
        <f t="shared" si="42"/>
        <v>5.8</v>
      </c>
      <c r="AV79" s="31">
        <f t="shared" si="42"/>
        <v>0.7589466384404111</v>
      </c>
      <c r="AW79" s="164">
        <f t="shared" si="31"/>
        <v>-0.36515135671867005</v>
      </c>
      <c r="AX79" s="31">
        <f t="shared" si="32"/>
        <v>0.21453096463302576</v>
      </c>
      <c r="AY79" s="31"/>
      <c r="AZ79" s="31"/>
      <c r="BA79" s="31"/>
      <c r="BB79" s="31"/>
      <c r="BC79" s="165"/>
      <c r="BD79" s="31"/>
      <c r="BE79" s="31"/>
      <c r="BF79" s="31"/>
      <c r="BG79" s="31"/>
      <c r="BH79" s="31"/>
      <c r="BI79" s="32"/>
      <c r="BJ79" s="32"/>
      <c r="BK79" s="31"/>
    </row>
    <row r="80" spans="1:63">
      <c r="E80" t="str">
        <f t="shared" si="34"/>
        <v>MacMaster FP (A)</v>
      </c>
      <c r="F80">
        <f t="shared" si="34"/>
        <v>2004</v>
      </c>
      <c r="G80">
        <v>19</v>
      </c>
      <c r="H80">
        <f t="shared" si="35"/>
        <v>17</v>
      </c>
      <c r="I80">
        <f t="shared" si="35"/>
        <v>17</v>
      </c>
      <c r="J80">
        <f t="shared" si="36"/>
        <v>5.07</v>
      </c>
      <c r="K80">
        <f t="shared" si="37"/>
        <v>0.82249498478714134</v>
      </c>
      <c r="L80">
        <f t="shared" si="38"/>
        <v>5.93</v>
      </c>
      <c r="M80">
        <f t="shared" si="39"/>
        <v>0.8614044346298666</v>
      </c>
      <c r="N80">
        <f t="shared" si="10"/>
        <v>0.84217444748698</v>
      </c>
      <c r="O80" s="59">
        <f t="shared" si="11"/>
        <v>-0.99704407070966095</v>
      </c>
      <c r="P80" s="63">
        <f t="shared" si="12"/>
        <v>0.13418226971736327</v>
      </c>
      <c r="Q80" s="59">
        <f t="shared" si="13"/>
        <v>0.71796560317763325</v>
      </c>
      <c r="R80" s="59">
        <f t="shared" si="14"/>
        <v>7.4525494471539657</v>
      </c>
      <c r="S80" s="59">
        <f t="shared" si="15"/>
        <v>-7.4305202379554229</v>
      </c>
      <c r="T80" s="59">
        <f t="shared" si="16"/>
        <v>7.4085561455415938</v>
      </c>
      <c r="U80" s="23">
        <f t="shared" si="17"/>
        <v>55.540493262274879</v>
      </c>
      <c r="V80" s="59">
        <f t="shared" si="18"/>
        <v>5.2428580530988933</v>
      </c>
      <c r="W80" s="59">
        <f t="shared" si="19"/>
        <v>-5.2273605354146486</v>
      </c>
      <c r="AF80" s="59">
        <f t="shared" si="20"/>
        <v>-0.99704407070966095</v>
      </c>
      <c r="AG80" s="59">
        <f t="shared" si="21"/>
        <v>0.71796560317763325</v>
      </c>
      <c r="AH80" s="59">
        <f t="shared" si="22"/>
        <v>0.71796560317763325</v>
      </c>
      <c r="AJ80">
        <f t="shared" si="23"/>
        <v>0.3663089812130782</v>
      </c>
      <c r="AK80">
        <f t="shared" si="24"/>
        <v>2.7299357954270582</v>
      </c>
      <c r="AL80">
        <f t="shared" si="25"/>
        <v>-2.7218662982486106</v>
      </c>
      <c r="AN80" s="31" t="str">
        <f t="shared" si="40"/>
        <v>MacMaster FP (A)</v>
      </c>
      <c r="AO80" s="31">
        <f t="shared" si="40"/>
        <v>2004</v>
      </c>
      <c r="AP80" s="31" t="str">
        <f t="shared" si="27"/>
        <v>MacMaster FP (A) 2004</v>
      </c>
      <c r="AQ80" s="31">
        <f t="shared" si="33"/>
        <v>17</v>
      </c>
      <c r="AR80" s="31">
        <f t="shared" si="41"/>
        <v>5.07</v>
      </c>
      <c r="AS80" s="31">
        <f t="shared" si="41"/>
        <v>0.82249498478714134</v>
      </c>
      <c r="AT80" s="31">
        <f t="shared" si="29"/>
        <v>17</v>
      </c>
      <c r="AU80" s="31">
        <f t="shared" si="42"/>
        <v>5.93</v>
      </c>
      <c r="AV80" s="31">
        <f t="shared" si="42"/>
        <v>0.8614044346298666</v>
      </c>
      <c r="AW80" s="164">
        <f t="shared" si="31"/>
        <v>-0.99704407070966095</v>
      </c>
      <c r="AX80" s="31">
        <f t="shared" si="32"/>
        <v>0.3663089812130782</v>
      </c>
      <c r="AY80" s="31"/>
      <c r="AZ80" s="31"/>
      <c r="BA80" s="31"/>
      <c r="BB80" s="31"/>
      <c r="BC80" s="165"/>
      <c r="BD80" s="31"/>
      <c r="BE80" s="31"/>
      <c r="BF80" s="31"/>
      <c r="BG80" s="31"/>
      <c r="BH80" s="31"/>
      <c r="BI80" s="32"/>
      <c r="BJ80" s="32"/>
      <c r="BK80" s="31"/>
    </row>
    <row r="81" spans="5:63">
      <c r="E81" t="str">
        <f t="shared" si="34"/>
        <v>Maller JJ</v>
      </c>
      <c r="F81">
        <f t="shared" si="34"/>
        <v>2007</v>
      </c>
      <c r="G81">
        <v>13</v>
      </c>
      <c r="H81">
        <f t="shared" si="35"/>
        <v>22</v>
      </c>
      <c r="I81">
        <f t="shared" si="35"/>
        <v>13</v>
      </c>
      <c r="J81">
        <f t="shared" si="36"/>
        <v>5988.3600000000006</v>
      </c>
      <c r="K81">
        <f t="shared" si="37"/>
        <v>538.83460171002378</v>
      </c>
      <c r="L81">
        <f t="shared" si="38"/>
        <v>6472.81</v>
      </c>
      <c r="M81">
        <f t="shared" si="39"/>
        <v>869.83889355443284</v>
      </c>
      <c r="N81">
        <f t="shared" si="10"/>
        <v>678.15779197362713</v>
      </c>
      <c r="O81" s="59">
        <f t="shared" si="11"/>
        <v>-0.6980023392686282</v>
      </c>
      <c r="P81" s="63">
        <f t="shared" si="12"/>
        <v>0.13022062407795201</v>
      </c>
      <c r="Q81" s="59">
        <f t="shared" si="13"/>
        <v>0.70728745885803779</v>
      </c>
      <c r="R81" s="59">
        <f t="shared" si="14"/>
        <v>7.6792751308071221</v>
      </c>
      <c r="S81" s="59">
        <f t="shared" si="15"/>
        <v>-5.3601520051907716</v>
      </c>
      <c r="T81" s="59">
        <f t="shared" si="16"/>
        <v>3.7413986384585871</v>
      </c>
      <c r="U81" s="23">
        <f t="shared" si="17"/>
        <v>58.97126653463274</v>
      </c>
      <c r="V81" s="59">
        <f t="shared" si="18"/>
        <v>5.3540638095594781</v>
      </c>
      <c r="W81" s="59">
        <f t="shared" si="19"/>
        <v>-3.7371490636660187</v>
      </c>
      <c r="AF81" s="59">
        <f t="shared" si="20"/>
        <v>-0.6980023392686282</v>
      </c>
      <c r="AG81" s="59">
        <f t="shared" si="21"/>
        <v>0.70728745885803779</v>
      </c>
      <c r="AH81" s="59">
        <f t="shared" si="22"/>
        <v>0.70728745885803779</v>
      </c>
      <c r="AJ81">
        <f t="shared" si="23"/>
        <v>0.36086094839695804</v>
      </c>
      <c r="AK81">
        <f t="shared" si="24"/>
        <v>2.7711505067042319</v>
      </c>
      <c r="AL81">
        <f t="shared" si="25"/>
        <v>-1.9342695361449984</v>
      </c>
      <c r="AN81" s="31" t="str">
        <f t="shared" si="40"/>
        <v>Maller JJ</v>
      </c>
      <c r="AO81" s="31">
        <f t="shared" si="40"/>
        <v>2007</v>
      </c>
      <c r="AP81" s="31" t="str">
        <f t="shared" si="27"/>
        <v>Maller JJ 2007</v>
      </c>
      <c r="AQ81" s="31">
        <f t="shared" si="33"/>
        <v>22</v>
      </c>
      <c r="AR81" s="31">
        <f t="shared" si="41"/>
        <v>5988.3600000000006</v>
      </c>
      <c r="AS81" s="31">
        <f t="shared" si="41"/>
        <v>538.83460171002378</v>
      </c>
      <c r="AT81" s="31">
        <f t="shared" si="29"/>
        <v>13</v>
      </c>
      <c r="AU81" s="31">
        <f t="shared" si="42"/>
        <v>6472.81</v>
      </c>
      <c r="AV81" s="31">
        <f t="shared" si="42"/>
        <v>869.83889355443284</v>
      </c>
      <c r="AW81" s="164">
        <f t="shared" si="31"/>
        <v>-0.6980023392686282</v>
      </c>
      <c r="AX81" s="31">
        <f t="shared" si="32"/>
        <v>0.36086094839695804</v>
      </c>
      <c r="AY81" s="31"/>
      <c r="AZ81" s="31"/>
      <c r="BA81" s="31"/>
      <c r="BB81" s="31"/>
      <c r="BC81" s="165"/>
      <c r="BD81" s="31"/>
      <c r="BE81" s="31"/>
      <c r="BF81" s="31"/>
      <c r="BG81" s="31"/>
      <c r="BH81" s="31"/>
      <c r="BI81" s="32"/>
      <c r="BJ81" s="32"/>
      <c r="BK81" s="31"/>
    </row>
    <row r="82" spans="5:63">
      <c r="E82" t="str">
        <f t="shared" si="34"/>
        <v>Maller JJ</v>
      </c>
      <c r="F82">
        <f t="shared" si="34"/>
        <v>2007</v>
      </c>
      <c r="G82">
        <v>12</v>
      </c>
      <c r="H82">
        <f t="shared" si="35"/>
        <v>23</v>
      </c>
      <c r="I82">
        <f t="shared" si="35"/>
        <v>17</v>
      </c>
      <c r="J82">
        <f t="shared" si="36"/>
        <v>5598.4500000000007</v>
      </c>
      <c r="K82">
        <f t="shared" si="37"/>
        <v>585.82101595965287</v>
      </c>
      <c r="L82">
        <f t="shared" si="38"/>
        <v>5950.99</v>
      </c>
      <c r="M82">
        <f t="shared" si="39"/>
        <v>506.43591697272024</v>
      </c>
      <c r="N82">
        <f t="shared" si="10"/>
        <v>553.78447233273164</v>
      </c>
      <c r="O82" s="59">
        <f t="shared" si="11"/>
        <v>-0.62395374248074797</v>
      </c>
      <c r="P82" s="63">
        <f t="shared" si="12"/>
        <v>0.1076999915119973</v>
      </c>
      <c r="Q82" s="59">
        <f t="shared" si="13"/>
        <v>0.64322646664490479</v>
      </c>
      <c r="R82" s="59">
        <f t="shared" si="14"/>
        <v>9.2850517995500912</v>
      </c>
      <c r="S82" s="59">
        <f t="shared" si="15"/>
        <v>-5.7934428194568834</v>
      </c>
      <c r="T82" s="59">
        <f t="shared" si="16"/>
        <v>3.6148403290483384</v>
      </c>
      <c r="U82" s="23">
        <f t="shared" si="17"/>
        <v>86.212186920328392</v>
      </c>
      <c r="V82" s="59">
        <f t="shared" si="18"/>
        <v>6.0881546466452283</v>
      </c>
      <c r="W82" s="59">
        <f t="shared" si="19"/>
        <v>-3.798726876575846</v>
      </c>
      <c r="AF82" s="59">
        <f t="shared" si="20"/>
        <v>-0.62395374248074797</v>
      </c>
      <c r="AG82" s="59">
        <f t="shared" si="21"/>
        <v>0.64322646664490479</v>
      </c>
      <c r="AH82" s="59">
        <f t="shared" si="22"/>
        <v>0.64322646664490479</v>
      </c>
      <c r="AJ82">
        <f t="shared" si="23"/>
        <v>0.32817676869638002</v>
      </c>
      <c r="AK82">
        <f t="shared" si="24"/>
        <v>3.0471382967548566</v>
      </c>
      <c r="AL82">
        <f t="shared" si="25"/>
        <v>-1.901273344116605</v>
      </c>
      <c r="AN82" s="31" t="str">
        <f t="shared" si="40"/>
        <v>Maller JJ</v>
      </c>
      <c r="AO82" s="31">
        <f t="shared" si="40"/>
        <v>2007</v>
      </c>
      <c r="AP82" s="31" t="str">
        <f t="shared" si="27"/>
        <v>Maller JJ 2007</v>
      </c>
      <c r="AQ82" s="31">
        <f t="shared" si="33"/>
        <v>23</v>
      </c>
      <c r="AR82" s="31">
        <f t="shared" si="41"/>
        <v>5598.4500000000007</v>
      </c>
      <c r="AS82" s="31">
        <f t="shared" si="41"/>
        <v>585.82101595965287</v>
      </c>
      <c r="AT82" s="31">
        <f t="shared" si="29"/>
        <v>17</v>
      </c>
      <c r="AU82" s="31">
        <f t="shared" si="42"/>
        <v>5950.99</v>
      </c>
      <c r="AV82" s="31">
        <f t="shared" si="42"/>
        <v>506.43591697272024</v>
      </c>
      <c r="AW82" s="164">
        <f t="shared" si="31"/>
        <v>-0.62395374248074797</v>
      </c>
      <c r="AX82" s="31">
        <f t="shared" si="32"/>
        <v>0.32817676869638002</v>
      </c>
      <c r="AY82" s="31"/>
      <c r="AZ82" s="31"/>
      <c r="BA82" s="31"/>
      <c r="BB82" s="31"/>
      <c r="BC82" s="165"/>
      <c r="BD82" s="31"/>
      <c r="BE82" s="31"/>
      <c r="BF82" s="31"/>
      <c r="BG82" s="31"/>
      <c r="BH82" s="31"/>
      <c r="BI82" s="32"/>
      <c r="BJ82" s="32"/>
      <c r="BK82" s="31"/>
    </row>
    <row r="83" spans="5:63">
      <c r="E83" t="str">
        <f t="shared" si="34"/>
        <v>van Eijndhoven P</v>
      </c>
      <c r="F83">
        <f t="shared" si="34"/>
        <v>2009</v>
      </c>
      <c r="G83">
        <v>5</v>
      </c>
      <c r="H83">
        <f t="shared" si="35"/>
        <v>20</v>
      </c>
      <c r="I83">
        <f t="shared" si="35"/>
        <v>10</v>
      </c>
      <c r="J83">
        <f t="shared" si="36"/>
        <v>7372</v>
      </c>
      <c r="K83">
        <f t="shared" si="37"/>
        <v>784.76811861848716</v>
      </c>
      <c r="L83">
        <f t="shared" si="38"/>
        <v>7597</v>
      </c>
      <c r="M83">
        <f t="shared" si="39"/>
        <v>752.5866063118583</v>
      </c>
      <c r="N83">
        <f t="shared" si="10"/>
        <v>774.56988986515239</v>
      </c>
      <c r="O83" s="59">
        <f t="shared" si="11"/>
        <v>-0.28263288023890432</v>
      </c>
      <c r="P83" s="63">
        <f t="shared" si="12"/>
        <v>0.15153264284328738</v>
      </c>
      <c r="Q83" s="59">
        <f t="shared" si="13"/>
        <v>0.76297300132230939</v>
      </c>
      <c r="R83" s="59">
        <f t="shared" si="14"/>
        <v>6.5992381656946613</v>
      </c>
      <c r="S83" s="59">
        <f t="shared" si="15"/>
        <v>-1.8651616901527859</v>
      </c>
      <c r="T83" s="59">
        <f t="shared" si="16"/>
        <v>0.52715602059914468</v>
      </c>
      <c r="U83" s="23">
        <f t="shared" si="17"/>
        <v>43.549944367561039</v>
      </c>
      <c r="V83" s="59">
        <f t="shared" si="18"/>
        <v>4.8057045288845766</v>
      </c>
      <c r="W83" s="59">
        <f t="shared" si="19"/>
        <v>-1.3582501125757946</v>
      </c>
      <c r="AF83" s="59">
        <f t="shared" si="20"/>
        <v>-0.28263288023890432</v>
      </c>
      <c r="AG83" s="59">
        <f t="shared" si="21"/>
        <v>0.76297300132230939</v>
      </c>
      <c r="AH83" s="59">
        <f t="shared" si="22"/>
        <v>0.76297300132230939</v>
      </c>
      <c r="AJ83">
        <f t="shared" si="23"/>
        <v>0.38927193945015787</v>
      </c>
      <c r="AK83">
        <f t="shared" si="24"/>
        <v>2.5688982396534632</v>
      </c>
      <c r="AL83">
        <f t="shared" si="25"/>
        <v>-0.72605510851390931</v>
      </c>
      <c r="AN83" s="31" t="str">
        <f>E83</f>
        <v>van Eijndhoven P</v>
      </c>
      <c r="AO83" s="31">
        <f>F83</f>
        <v>2009</v>
      </c>
      <c r="AP83" s="31" t="str">
        <f t="shared" si="27"/>
        <v>van Eijndhoven P 2009</v>
      </c>
      <c r="AQ83" s="31">
        <f t="shared" si="33"/>
        <v>20</v>
      </c>
      <c r="AR83" s="31">
        <f>J83</f>
        <v>7372</v>
      </c>
      <c r="AS83" s="31">
        <f>K83</f>
        <v>784.76811861848716</v>
      </c>
      <c r="AT83" s="31">
        <f t="shared" si="29"/>
        <v>10</v>
      </c>
      <c r="AU83" s="31">
        <f>L83</f>
        <v>7597</v>
      </c>
      <c r="AV83" s="31">
        <f>M83</f>
        <v>752.5866063118583</v>
      </c>
      <c r="AW83" s="164">
        <f t="shared" si="31"/>
        <v>-0.28263288023890432</v>
      </c>
      <c r="AX83" s="31">
        <f t="shared" si="32"/>
        <v>0.38927193945015787</v>
      </c>
      <c r="AY83" s="31"/>
      <c r="AZ83" s="31"/>
      <c r="BA83" s="31"/>
      <c r="BB83" s="31"/>
      <c r="BC83" s="165"/>
      <c r="BD83" s="31"/>
      <c r="BE83" s="31"/>
      <c r="BF83" s="31"/>
      <c r="BG83" s="31"/>
      <c r="BH83" s="31"/>
      <c r="BI83" s="32"/>
      <c r="BJ83" s="32"/>
      <c r="BK83" s="31"/>
    </row>
    <row r="84" spans="5:63">
      <c r="E84" t="str">
        <f t="shared" si="34"/>
        <v>van Eijndhoven P</v>
      </c>
      <c r="F84">
        <f t="shared" si="34"/>
        <v>2009</v>
      </c>
      <c r="G84">
        <v>4</v>
      </c>
      <c r="H84">
        <f t="shared" si="35"/>
        <v>20</v>
      </c>
      <c r="I84">
        <f t="shared" si="35"/>
        <v>10</v>
      </c>
      <c r="J84">
        <f t="shared" si="36"/>
        <v>7415</v>
      </c>
      <c r="K84">
        <f t="shared" si="37"/>
        <v>777.60208333054254</v>
      </c>
      <c r="L84">
        <f t="shared" si="38"/>
        <v>7597</v>
      </c>
      <c r="M84">
        <f t="shared" si="39"/>
        <v>752.5866063118583</v>
      </c>
      <c r="N84">
        <f t="shared" si="10"/>
        <v>769.65006890887014</v>
      </c>
      <c r="O84" s="59">
        <f t="shared" si="11"/>
        <v>-0.23007999119928391</v>
      </c>
      <c r="P84" s="63">
        <f t="shared" si="12"/>
        <v>0.15101567157233811</v>
      </c>
      <c r="Q84" s="59">
        <f t="shared" si="13"/>
        <v>0.76167040372610917</v>
      </c>
      <c r="R84" s="59">
        <f t="shared" si="14"/>
        <v>6.6218293080992545</v>
      </c>
      <c r="S84" s="59">
        <f t="shared" si="15"/>
        <v>-1.5235504289306367</v>
      </c>
      <c r="T84" s="59">
        <f t="shared" si="16"/>
        <v>0.35053846928002613</v>
      </c>
      <c r="U84" s="23">
        <f t="shared" si="17"/>
        <v>43.848623385602252</v>
      </c>
      <c r="V84" s="59">
        <f t="shared" si="18"/>
        <v>4.8176736110563425</v>
      </c>
      <c r="W84" s="59">
        <f t="shared" si="19"/>
        <v>-1.1084503020328655</v>
      </c>
      <c r="AF84" s="59">
        <f t="shared" si="20"/>
        <v>-0.23007999119928391</v>
      </c>
      <c r="AG84" s="59">
        <f t="shared" si="21"/>
        <v>0.76167040372610917</v>
      </c>
      <c r="AH84" s="59">
        <f t="shared" si="22"/>
        <v>0.76167040372610917</v>
      </c>
      <c r="AJ84">
        <f t="shared" si="23"/>
        <v>0.3886073488398516</v>
      </c>
      <c r="AK84">
        <f t="shared" si="24"/>
        <v>2.5732915318904803</v>
      </c>
      <c r="AL84">
        <f t="shared" si="25"/>
        <v>-0.59206289301055348</v>
      </c>
      <c r="AN84" s="31" t="str">
        <f>E84</f>
        <v>van Eijndhoven P</v>
      </c>
      <c r="AO84" s="31">
        <f>F84</f>
        <v>2009</v>
      </c>
      <c r="AP84" s="31" t="str">
        <f t="shared" si="27"/>
        <v>van Eijndhoven P 2009</v>
      </c>
      <c r="AQ84" s="31">
        <f t="shared" si="33"/>
        <v>20</v>
      </c>
      <c r="AR84" s="31">
        <f>J84</f>
        <v>7415</v>
      </c>
      <c r="AS84" s="31">
        <f>K84</f>
        <v>777.60208333054254</v>
      </c>
      <c r="AT84" s="31">
        <f t="shared" si="29"/>
        <v>10</v>
      </c>
      <c r="AU84" s="31">
        <f>L84</f>
        <v>7597</v>
      </c>
      <c r="AV84" s="31">
        <f>M84</f>
        <v>752.5866063118583</v>
      </c>
      <c r="AW84" s="164">
        <f t="shared" si="31"/>
        <v>-0.23007999119928391</v>
      </c>
      <c r="AX84" s="31">
        <f t="shared" si="32"/>
        <v>0.3886073488398516</v>
      </c>
      <c r="AY84" s="31"/>
      <c r="AZ84" s="31"/>
      <c r="BA84" s="31"/>
      <c r="BB84" s="31"/>
      <c r="BC84" s="165"/>
      <c r="BD84" s="31"/>
      <c r="BE84" s="31"/>
      <c r="BF84" s="31"/>
      <c r="BG84" s="31"/>
      <c r="BH84" s="31"/>
      <c r="BI84" s="32"/>
      <c r="BJ84" s="32"/>
      <c r="BK84" s="31"/>
    </row>
    <row r="85" spans="5:63">
      <c r="U85" s="23"/>
      <c r="BI85" s="23"/>
      <c r="BJ85" s="59"/>
    </row>
    <row r="86" spans="5:63">
      <c r="L86" t="s">
        <v>500</v>
      </c>
      <c r="N86" s="7"/>
      <c r="O86" s="66">
        <f>COUNT(O72:O84)</f>
        <v>13</v>
      </c>
      <c r="Q86" t="s">
        <v>885</v>
      </c>
      <c r="R86" s="59">
        <f t="shared" ref="R86:W86" si="43">SUM(R72:R84)</f>
        <v>157.37658514094218</v>
      </c>
      <c r="S86" s="59">
        <f t="shared" si="43"/>
        <v>-55.718122536427671</v>
      </c>
      <c r="T86" s="59">
        <f t="shared" si="43"/>
        <v>39.771862738092743</v>
      </c>
      <c r="U86" s="23">
        <f t="shared" si="43"/>
        <v>2379.1348912977273</v>
      </c>
      <c r="V86" s="59">
        <f t="shared" si="43"/>
        <v>88.378934917620001</v>
      </c>
      <c r="W86" s="59">
        <f t="shared" si="43"/>
        <v>-34.436971354622941</v>
      </c>
      <c r="BI86" s="23"/>
    </row>
    <row r="87" spans="5:63">
      <c r="L87" t="s">
        <v>501</v>
      </c>
      <c r="N87" s="7"/>
      <c r="O87" s="2">
        <v>3</v>
      </c>
      <c r="BI87" s="23"/>
    </row>
    <row r="88" spans="5:63">
      <c r="N88" s="7"/>
      <c r="O88" s="7"/>
    </row>
    <row r="89" spans="5:63">
      <c r="G89" s="67" t="s">
        <v>502</v>
      </c>
      <c r="H89" s="40"/>
      <c r="I89" s="40">
        <f>S86/R86</f>
        <v>-0.35404328087642795</v>
      </c>
      <c r="J89" s="40"/>
      <c r="K89" s="68" t="s">
        <v>879</v>
      </c>
      <c r="L89" s="40"/>
      <c r="M89" s="42"/>
      <c r="N89" s="7"/>
      <c r="O89" s="69" t="s">
        <v>503</v>
      </c>
      <c r="P89" s="70">
        <f>T86-((S86^2)/R86)</f>
        <v>20.045235831021049</v>
      </c>
      <c r="Q89" s="71" t="s">
        <v>824</v>
      </c>
      <c r="R89" s="28"/>
      <c r="S89" s="29"/>
      <c r="T89" s="30"/>
      <c r="U89" s="31"/>
      <c r="AF89" s="2" t="s">
        <v>1518</v>
      </c>
    </row>
    <row r="90" spans="5:63">
      <c r="G90" s="43" t="s">
        <v>504</v>
      </c>
      <c r="H90" s="31"/>
      <c r="I90" s="31">
        <f>1/R86</f>
        <v>6.3541854025135139E-3</v>
      </c>
      <c r="J90" s="31"/>
      <c r="K90" s="31"/>
      <c r="L90" s="31"/>
      <c r="M90" s="44"/>
      <c r="N90" s="7"/>
      <c r="O90" s="30" t="s">
        <v>505</v>
      </c>
      <c r="P90" s="31">
        <f>CHIDIST(P89,I94-1)</f>
        <v>6.623507709573187E-2</v>
      </c>
      <c r="Q90" s="31"/>
      <c r="R90" s="31"/>
      <c r="S90" s="34"/>
      <c r="T90" s="30"/>
      <c r="U90" s="31"/>
      <c r="AF90" s="2"/>
    </row>
    <row r="91" spans="5:63">
      <c r="G91" s="72" t="s">
        <v>506</v>
      </c>
      <c r="H91" s="31"/>
      <c r="I91" s="31">
        <f>$R$101*SQRT(I90)</f>
        <v>0.15623776317617938</v>
      </c>
      <c r="J91" s="31"/>
      <c r="K91" s="31" t="s">
        <v>507</v>
      </c>
      <c r="L91" s="31"/>
      <c r="M91" s="44">
        <f>ABS(I89/SQRT(I90))</f>
        <v>4.4414667517692505</v>
      </c>
      <c r="N91" s="7"/>
      <c r="O91" s="35" t="s">
        <v>508</v>
      </c>
      <c r="P91" s="37">
        <f>IF(((P89-(I94-1))/P89)&lt;0,0,100*((P89-(I94-1))/P89))</f>
        <v>40.135401243674202</v>
      </c>
      <c r="Q91" s="36"/>
      <c r="R91" s="36"/>
      <c r="S91" s="38"/>
      <c r="T91" s="30"/>
      <c r="U91" s="31"/>
      <c r="AF91" s="2" t="s">
        <v>1535</v>
      </c>
      <c r="AH91">
        <f>IF($D$6=1,100*((EXP(I89))-1),I89)</f>
        <v>-0.35404328087642795</v>
      </c>
    </row>
    <row r="92" spans="5:63">
      <c r="G92" s="45" t="s">
        <v>509</v>
      </c>
      <c r="H92" s="46"/>
      <c r="I92" s="46">
        <v>-2</v>
      </c>
      <c r="J92" s="46"/>
      <c r="K92" s="46" t="s">
        <v>825</v>
      </c>
      <c r="L92" s="46"/>
      <c r="M92" s="47">
        <f>2*(1-NORMDIST(M91,0,1,1))</f>
        <v>8.93477539265497E-6</v>
      </c>
      <c r="N92" s="7"/>
      <c r="O92" s="7"/>
      <c r="AF92" s="79" t="s">
        <v>834</v>
      </c>
      <c r="AH92">
        <f>IF($D$6=1,100*(EXP(I89+I91)-EXP(I89)),I91)</f>
        <v>0.15623776317617938</v>
      </c>
    </row>
    <row r="93" spans="5:63">
      <c r="G93" s="40"/>
      <c r="H93" s="40"/>
      <c r="I93" s="40"/>
      <c r="J93" s="40"/>
      <c r="K93" s="40"/>
      <c r="L93" s="40"/>
      <c r="M93" s="40"/>
      <c r="N93" s="7"/>
      <c r="O93" s="7"/>
      <c r="AF93" s="79" t="s">
        <v>835</v>
      </c>
      <c r="AH93">
        <f>IF($D$6=1,100*(EXP(I89)-EXP(I89-I91)),I91)</f>
        <v>0.15623776317617938</v>
      </c>
    </row>
    <row r="94" spans="5:63">
      <c r="G94" s="73" t="s">
        <v>1110</v>
      </c>
      <c r="H94" s="74"/>
      <c r="I94" s="74">
        <f>O86</f>
        <v>13</v>
      </c>
      <c r="J94" s="74"/>
      <c r="K94" s="75" t="s">
        <v>1167</v>
      </c>
      <c r="L94" s="74"/>
      <c r="M94" s="76"/>
      <c r="N94" s="77"/>
      <c r="O94" s="101" t="s">
        <v>1513</v>
      </c>
      <c r="P94" s="102"/>
      <c r="Q94" s="103"/>
      <c r="AF94" s="7"/>
    </row>
    <row r="95" spans="5:63">
      <c r="G95" s="77" t="s">
        <v>1531</v>
      </c>
      <c r="H95" s="31"/>
      <c r="I95" s="31">
        <f>R86/I94</f>
        <v>12.10589116468786</v>
      </c>
      <c r="J95" s="31"/>
      <c r="K95" s="31"/>
      <c r="L95" s="31"/>
      <c r="M95" s="78"/>
      <c r="N95" s="77"/>
      <c r="O95" s="104" t="s">
        <v>1514</v>
      </c>
      <c r="P95" s="31"/>
      <c r="Q95" s="105">
        <f>INDEX(LINEST(AL72:AL84,AK72:AK84,TRUE,TRUE),1,2)</f>
        <v>-2.7559437484802274</v>
      </c>
      <c r="AF95" s="2" t="s">
        <v>1687</v>
      </c>
      <c r="AH95">
        <f>IF($D$6=1,100*((EXP(I100))-1),I100)</f>
        <v>-0.38965135059301653</v>
      </c>
    </row>
    <row r="96" spans="5:63">
      <c r="G96" s="77" t="s">
        <v>1532</v>
      </c>
      <c r="H96" s="31"/>
      <c r="I96" s="31">
        <f>(1/(I94-1))*(U86-(I94*I95^2))</f>
        <v>39.495923309270722</v>
      </c>
      <c r="J96" s="31"/>
      <c r="K96" s="31"/>
      <c r="L96" s="31"/>
      <c r="M96" s="78"/>
      <c r="N96" s="77"/>
      <c r="O96" s="104" t="s">
        <v>1516</v>
      </c>
      <c r="P96" s="31"/>
      <c r="Q96" s="105">
        <f>INDEX(LINEST(AL72:AL84,AK72:AK84,TRUE,TRUE),2,2)</f>
        <v>1.3511450125841584</v>
      </c>
      <c r="AF96" s="79" t="s">
        <v>834</v>
      </c>
      <c r="AG96" s="7"/>
      <c r="AH96">
        <f>IF($D$6=1,100*(EXP(I100+I102)-EXP(I100)),I102)</f>
        <v>0.20848830071678359</v>
      </c>
    </row>
    <row r="97" spans="7:34">
      <c r="G97" s="77" t="s">
        <v>1669</v>
      </c>
      <c r="H97" s="31"/>
      <c r="I97" s="31">
        <f>(I94-1)*(I95-(I96/(I94*I95)))</f>
        <v>142.2591209440476</v>
      </c>
      <c r="J97" s="31"/>
      <c r="K97" s="31"/>
      <c r="L97" s="31"/>
      <c r="M97" s="78"/>
      <c r="N97" s="77"/>
      <c r="O97" s="104" t="s">
        <v>1349</v>
      </c>
      <c r="P97" s="31"/>
      <c r="Q97" s="105">
        <f>ABS(Q95/Q96)</f>
        <v>2.0397098185703206</v>
      </c>
      <c r="AF97" s="79" t="s">
        <v>835</v>
      </c>
      <c r="AH97">
        <f>IF($D$6=1,100*(EXP(I100)-EXP(I100-I102)),I102)</f>
        <v>0.20848830071678359</v>
      </c>
    </row>
    <row r="98" spans="7:34">
      <c r="G98" s="77" t="s">
        <v>1685</v>
      </c>
      <c r="H98" s="31"/>
      <c r="I98" s="31">
        <f>IF(P89&gt;(I94-1),(P89-(I94-1))/I97,0)</f>
        <v>5.6553391990840064E-2</v>
      </c>
      <c r="J98" s="31"/>
      <c r="K98" s="31"/>
      <c r="L98" s="31"/>
      <c r="M98" s="78"/>
      <c r="N98" s="77"/>
      <c r="O98" s="106" t="s">
        <v>1515</v>
      </c>
      <c r="P98" s="107"/>
      <c r="Q98" s="108">
        <f>TDIST(Q97,I94-2,2)</f>
        <v>6.6137096155748601E-2</v>
      </c>
    </row>
    <row r="99" spans="7:34">
      <c r="G99" s="77"/>
      <c r="H99" s="31"/>
      <c r="I99" s="31"/>
      <c r="J99" s="31"/>
      <c r="K99" s="31"/>
      <c r="L99" s="31"/>
      <c r="M99" s="78"/>
      <c r="N99" s="77"/>
    </row>
    <row r="100" spans="7:34">
      <c r="G100" s="77" t="s">
        <v>1686</v>
      </c>
      <c r="H100" s="31"/>
      <c r="I100" s="31">
        <f>W86/V86</f>
        <v>-0.38965135059301653</v>
      </c>
      <c r="J100" s="31"/>
      <c r="N100" s="77"/>
    </row>
    <row r="101" spans="7:34">
      <c r="G101" s="77" t="s">
        <v>504</v>
      </c>
      <c r="H101" s="31"/>
      <c r="I101" s="31">
        <f>1/V86</f>
        <v>1.1314913456833607E-2</v>
      </c>
      <c r="J101" s="31"/>
      <c r="N101" s="77"/>
      <c r="O101" t="s">
        <v>805</v>
      </c>
      <c r="R101">
        <v>1.96</v>
      </c>
    </row>
    <row r="102" spans="7:34">
      <c r="G102" s="80" t="s">
        <v>506</v>
      </c>
      <c r="H102" s="31"/>
      <c r="I102" s="31">
        <f>$R$101*SQRT(I101)</f>
        <v>0.20848830071678359</v>
      </c>
      <c r="J102" s="31"/>
      <c r="K102" s="31" t="s">
        <v>507</v>
      </c>
      <c r="L102" s="31"/>
      <c r="M102" s="78">
        <f>ABS(I100/(SQRT(I101)))</f>
        <v>3.6631151222234131</v>
      </c>
      <c r="N102" s="77"/>
    </row>
    <row r="103" spans="7:34">
      <c r="G103" s="81" t="s">
        <v>509</v>
      </c>
      <c r="H103" s="82"/>
      <c r="I103" s="82">
        <v>-3</v>
      </c>
      <c r="J103" s="82"/>
      <c r="K103" s="31" t="s">
        <v>825</v>
      </c>
      <c r="L103" s="31"/>
      <c r="M103" s="78">
        <f>2*(1-NORMDIST(M102,0,1,1))</f>
        <v>2.4916648677164588E-4</v>
      </c>
      <c r="N103" s="77"/>
    </row>
    <row r="104" spans="7:34">
      <c r="G104" s="74"/>
      <c r="H104" s="74"/>
      <c r="I104" s="74"/>
      <c r="J104" s="74"/>
      <c r="K104" s="74"/>
      <c r="L104" s="74"/>
      <c r="M104" s="74"/>
      <c r="N104" s="31"/>
      <c r="O104" s="7"/>
    </row>
  </sheetData>
  <phoneticPr fontId="31" type="noConversion"/>
  <conditionalFormatting sqref="D17 D13 F13">
    <cfRule type="cellIs" dxfId="92" priority="0" stopIfTrue="1" operator="lessThan">
      <formula>0.05</formula>
    </cfRule>
  </conditionalFormatting>
  <conditionalFormatting sqref="D21">
    <cfRule type="cellIs" dxfId="9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4.xml><?xml version="1.0" encoding="utf-8"?>
<worksheet xmlns="http://schemas.openxmlformats.org/spreadsheetml/2006/main" xmlns:r="http://schemas.openxmlformats.org/officeDocument/2006/relationships">
  <sheetPr published="0" enableFormatConditionsCalculation="0"/>
  <dimension ref="A1:BJ9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34</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I85-O78</f>
        <v>6</v>
      </c>
      <c r="AD7" s="89"/>
    </row>
    <row r="8" spans="2:30">
      <c r="B8" t="s">
        <v>822</v>
      </c>
      <c r="D8">
        <f>SUM(H24:H34)</f>
        <v>255</v>
      </c>
      <c r="E8" t="s">
        <v>298</v>
      </c>
      <c r="F8">
        <f>Summary!C78</f>
        <v>0.8</v>
      </c>
      <c r="AD8" s="89"/>
    </row>
    <row r="9" spans="2:30">
      <c r="B9" t="s">
        <v>823</v>
      </c>
      <c r="D9">
        <f>SUM(I24:I34)</f>
        <v>337</v>
      </c>
      <c r="AB9" s="59"/>
      <c r="AD9" s="89"/>
    </row>
    <row r="10" spans="2:30">
      <c r="AB10" s="59"/>
    </row>
    <row r="11" spans="2:30">
      <c r="B11" s="27" t="s">
        <v>516</v>
      </c>
      <c r="C11" s="28"/>
      <c r="D11" s="109">
        <f>P80</f>
        <v>5.7233290681215099</v>
      </c>
      <c r="E11" s="110" t="s">
        <v>1513</v>
      </c>
      <c r="F11" s="103"/>
    </row>
    <row r="12" spans="2:30">
      <c r="B12" s="30" t="s">
        <v>826</v>
      </c>
      <c r="C12" s="31"/>
      <c r="D12" s="112">
        <f>P82</f>
        <v>0</v>
      </c>
      <c r="E12" s="31"/>
      <c r="F12" s="105"/>
    </row>
    <row r="13" spans="2:30">
      <c r="B13" s="35" t="s">
        <v>825</v>
      </c>
      <c r="C13" s="36"/>
      <c r="D13" s="113">
        <f>P81</f>
        <v>0.6781911293033559</v>
      </c>
      <c r="E13" s="111" t="s">
        <v>825</v>
      </c>
      <c r="F13" s="115">
        <f>Q89</f>
        <v>0.65215529202379818</v>
      </c>
    </row>
    <row r="15" spans="2:30">
      <c r="B15" s="39" t="s">
        <v>879</v>
      </c>
      <c r="C15" s="40"/>
      <c r="D15" s="41">
        <f>AH82</f>
        <v>-0.32019102225183965</v>
      </c>
      <c r="E15" s="116"/>
    </row>
    <row r="16" spans="2:30">
      <c r="B16" s="43" t="s">
        <v>1165</v>
      </c>
      <c r="C16" s="31"/>
      <c r="D16" s="33">
        <f>AH82-AH84</f>
        <v>-0.49441465817874097</v>
      </c>
      <c r="E16" s="117">
        <f>AH82+AH83</f>
        <v>-0.14596738632493836</v>
      </c>
    </row>
    <row r="17" spans="1:43">
      <c r="B17" s="45" t="s">
        <v>1166</v>
      </c>
      <c r="C17" s="46"/>
      <c r="D17" s="123">
        <f>M83</f>
        <v>3.1563287106539661E-4</v>
      </c>
      <c r="E17" s="118"/>
    </row>
    <row r="18" spans="1:43">
      <c r="D18" s="48"/>
      <c r="F18" s="49"/>
    </row>
    <row r="19" spans="1:43">
      <c r="B19" s="50" t="s">
        <v>1167</v>
      </c>
      <c r="C19" s="51"/>
      <c r="D19" s="52">
        <f>AH86</f>
        <v>-0.32019102225183965</v>
      </c>
      <c r="E19" s="120"/>
      <c r="F19" s="33"/>
      <c r="G19" s="31"/>
    </row>
    <row r="20" spans="1:43">
      <c r="B20" s="53" t="s">
        <v>1165</v>
      </c>
      <c r="C20" s="31"/>
      <c r="D20" s="33">
        <f>AH86-AH88</f>
        <v>-0.49441465817874097</v>
      </c>
      <c r="E20" s="121">
        <f>AH86+AH87</f>
        <v>-0.14596738632493836</v>
      </c>
      <c r="F20" s="31"/>
      <c r="G20" s="31"/>
    </row>
    <row r="21" spans="1:43">
      <c r="B21" s="54" t="s">
        <v>1440</v>
      </c>
      <c r="C21" s="55"/>
      <c r="D21" s="169">
        <f>M94</f>
        <v>3.1563287106539661E-4</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52.8"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A24" t="s">
        <v>2014</v>
      </c>
      <c r="B24">
        <v>15231442</v>
      </c>
      <c r="C24" s="1" t="str">
        <f>IF($B24="","",HYPERLINK(IF(LEN(VLOOKUP($B24,Database!$B$1:$IX$10144,2,FALSE))=0,"",VLOOKUP($B24,Database!$B$1:$IX$10144,2,FALSE))))</f>
        <v/>
      </c>
      <c r="D24" s="1" t="str">
        <f t="shared" ref="D24:D29" si="0">IF($B24="","",HYPERLINK(CONCATENATE("http://www.ncbi.nlm.nih.gov/pubmed/",B24)))</f>
        <v>http://www.ncbi.nlm.nih.gov/pubmed/15231442</v>
      </c>
      <c r="E24" s="22" t="str">
        <f>IF($B24="","",IF(LEN(VLOOKUP($B24,Database!$B$1:$IX$10144,4,FALSE))=0,"",VLOOKUP($B24,Database!$B$1:$IX$10144,4,FALSE)))</f>
        <v>Vythilingam M</v>
      </c>
      <c r="F24" s="22">
        <f>IF($B24="","",IF(LEN(VLOOKUP($B24,Database!$B$1:$IX$10144,5,FALSE))=0,"",VLOOKUP($B24,Database!$B$1:$IX$10144,5,FALSE)))</f>
        <v>2004</v>
      </c>
      <c r="G24" s="1" t="str">
        <f>IF($B24="","",HYPERLINK(IF(LEN(VLOOKUP($B24,Database!$B$1:$IX$10144,6,FALSE))=0,"",VLOOKUP($B24,Database!$B$1:$IX$10144,6,FALSE))))</f>
        <v>http://dx.doi.org/10.1016/j.biopsych.2004.04.002</v>
      </c>
      <c r="H24" s="22">
        <f>IF($B24="","",IF(LEN(VLOOKUP($B24,Database!$B$1:$IX$10144,7,FALSE))=0,"",VLOOKUP($B24,Database!$B$1:$IX$10144,7,FALSE)))</f>
        <v>38</v>
      </c>
      <c r="I24" s="22">
        <f>IF($B24="","",IF(LEN(VLOOKUP($B24,Database!$B$1:$IX$10144,8,FALSE))=0,"",VLOOKUP($B24,Database!$B$1:$IX$10144,8,FALSE)))</f>
        <v>33</v>
      </c>
      <c r="J24" t="s">
        <v>994</v>
      </c>
      <c r="K24" s="10"/>
      <c r="L24">
        <v>3305</v>
      </c>
      <c r="M24">
        <v>380</v>
      </c>
      <c r="N24">
        <v>3334</v>
      </c>
      <c r="O24">
        <v>390</v>
      </c>
      <c r="P24">
        <v>3132</v>
      </c>
      <c r="Q24">
        <v>417</v>
      </c>
      <c r="R24">
        <v>3235</v>
      </c>
      <c r="S24">
        <v>407</v>
      </c>
      <c r="T24">
        <v>3219</v>
      </c>
      <c r="U24">
        <v>380</v>
      </c>
      <c r="V24">
        <v>3285</v>
      </c>
      <c r="W24">
        <v>389</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41</v>
      </c>
      <c r="AC24" s="22">
        <f>IF(OR($B24="",AC$22=""),"",IF(LEN(VLOOKUP($B24,Database!$B$1:$IX$10144,AC$22,FALSE))=0,"",VLOOKUP($B24,Database!$B$1:$IX$10144,AC$22,FALSE)))</f>
        <v>11</v>
      </c>
      <c r="AD24" s="22">
        <f>IF(OR($B24="",AD$22=""),"",IF(LEN(VLOOKUP($B24,Database!$B$1:$IX$10144,AD$22,FALSE))=0,"",VLOOKUP($B24,Database!$B$1:$IX$10144,AD$22,FALSE)))</f>
        <v>34</v>
      </c>
      <c r="AE24" s="22">
        <f>IF(OR($B24="",AE$22=""),"",IF(LEN(VLOOKUP($B24,Database!$B$1:$IX$10144,AE$22,FALSE))=0,"",VLOOKUP($B24,Database!$B$1:$IX$10144,AE$22,FALSE)))</f>
        <v>10</v>
      </c>
      <c r="AF24" s="22">
        <f>IF(OR($B24="",AF$22=""),"",IF(LEN(VLOOKUP($B24,Database!$B$1:$IX$10144,AF$22,FALSE))=0,"",VLOOKUP($B24,Database!$B$1:$IX$10144,AF$22,FALSE)))</f>
        <v>23</v>
      </c>
      <c r="AG24" s="22">
        <f>IF(OR($B24="",AG$22=""),"",IF(LEN(VLOOKUP($B24,Database!$B$1:$IX$10144,AG$22,FALSE))=0,"",VLOOKUP($B24,Database!$B$1:$IX$10144,AG$22,FALSE)))</f>
        <v>21</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0</v>
      </c>
      <c r="AN24" s="22" t="str">
        <f>IF(OR($B24="",AN$22=""),"",IF(LEN(VLOOKUP($B24,Database!$B$1:$IX$10144,AN$22,FALSE))=0,"",VLOOKUP($B24,Database!$B$1:$IX$10144,AN$22,FALSE)))</f>
        <v>ns</v>
      </c>
      <c r="AO24" s="22" t="str">
        <f>IF(OR($B24="",AO$22=""),"",IF(LEN(VLOOKUP($B24,Database!$B$1:$IX$10144,AO$22,FALSE))=0,"",VLOOKUP($B24,Database!$B$1:$IX$10144,AO$22,FALSE)))</f>
        <v>ns</v>
      </c>
      <c r="AP24" s="22">
        <f>IF(OR($B24="",AP$22=""),"",IF(LEN(VLOOKUP($B24,Database!$B$1:$IX$10144,AP$22,FALSE))=0,"",VLOOKUP($B24,Database!$B$1:$IX$10144,AP$22,FALSE)))</f>
        <v>39.473684210526315</v>
      </c>
      <c r="AQ24" s="22" t="str">
        <f>IF(OR($B24="",AQ$22=""),"",IF(LEN(VLOOKUP($B24,Database!$B$1:$IX$10144,AQ$22,FALSE))=0,"",VLOOKUP($B24,Database!$B$1:$IX$10144,AQ$22,FALSE)))</f>
        <v>Vythilingam M, Vermetten E, Anderson GM, Luckenbaugh D, Anderson ER, Snow J, Staib LH, Charney DS, Bremner JD.</v>
      </c>
    </row>
    <row r="25" spans="1:43">
      <c r="B25">
        <v>19800203</v>
      </c>
      <c r="C25" s="1" t="str">
        <f>IF($B25="","",HYPERLINK(IF(LEN(VLOOKUP($B25,Database!$B$1:$IX$10144,2,FALSE))=0,"",VLOOKUP($B25,Database!$B$1:$IX$10144,2,FALSE))))</f>
        <v/>
      </c>
      <c r="D25" s="1" t="str">
        <f t="shared" si="0"/>
        <v>http://www.ncbi.nlm.nih.gov/pubmed/19800203</v>
      </c>
      <c r="E25" s="22" t="str">
        <f>IF($B25="","",IF(LEN(VLOOKUP($B25,Database!$B$1:$IX$10144,4,FALSE))=0,"",VLOOKUP($B25,Database!$B$1:$IX$10144,4,FALSE)))</f>
        <v>Kronmüller KT</v>
      </c>
      <c r="F25" s="22">
        <f>IF($B25="","",IF(LEN(VLOOKUP($B25,Database!$B$1:$IX$10144,5,FALSE))=0,"",VLOOKUP($B25,Database!$B$1:$IX$10144,5,FALSE)))</f>
        <v>2009</v>
      </c>
      <c r="G25" s="1" t="str">
        <f>IF($B25="","",HYPERLINK(IF(LEN(VLOOKUP($B25,Database!$B$1:$IX$10144,6,FALSE))=0,"",VLOOKUP($B25,Database!$B$1:$IX$10144,6,FALSE))))</f>
        <v>http://dx.doi.org/10.1016/j.pscychresns.2008.08.001</v>
      </c>
      <c r="H25" s="83">
        <v>13</v>
      </c>
      <c r="I25" s="83">
        <v>5.5</v>
      </c>
      <c r="J25" t="s">
        <v>2383</v>
      </c>
      <c r="K25" t="s">
        <v>2379</v>
      </c>
      <c r="L25">
        <v>2.81</v>
      </c>
      <c r="M25">
        <v>0.36</v>
      </c>
      <c r="N25">
        <v>3.19</v>
      </c>
      <c r="O25">
        <v>0.25</v>
      </c>
      <c r="P25">
        <v>3</v>
      </c>
      <c r="Q25">
        <v>0.56999999999999995</v>
      </c>
      <c r="R25">
        <v>3.3</v>
      </c>
      <c r="S25">
        <v>0.28999999999999998</v>
      </c>
      <c r="T25">
        <v>5.81</v>
      </c>
      <c r="U25">
        <v>0.9</v>
      </c>
      <c r="V25">
        <v>6.49</v>
      </c>
      <c r="W25">
        <v>0.49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83">
        <v>38.08</v>
      </c>
      <c r="AC25" s="83">
        <v>11.88</v>
      </c>
      <c r="AD25" s="83">
        <v>42</v>
      </c>
      <c r="AE25" s="83">
        <v>11.28</v>
      </c>
      <c r="AF25" s="83">
        <v>0</v>
      </c>
      <c r="AG25" s="22">
        <f>IF(OR($B25="",AG$22=""),"",IF(LEN(VLOOKUP($B25,Database!$B$1:$IX$10144,AG$22,FALSE))=0,"",VLOOKUP($B25,Database!$B$1:$IX$10144,AG$22,FALSE)))</f>
        <v>19</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83">
        <v>38.880000000000003</v>
      </c>
      <c r="AL25" s="83">
        <v>23</v>
      </c>
      <c r="AM25" s="22">
        <f>IF(OR($B25="",AM$22=""),"",IF(LEN(VLOOKUP($B25,Database!$B$1:$IX$10144,AM$22,FALSE))=0,"",VLOOKUP($B25,Database!$B$1:$IX$10144,AM$22,FALSE)))</f>
        <v>100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0</v>
      </c>
      <c r="AQ25" s="22" t="str">
        <f>IF(OR($B25="",AQ$22=""),"",IF(LEN(VLOOKUP($B25,Database!$B$1:$IX$10144,AQ$22,FALSE))=0,"",VLOOKUP($B25,Database!$B$1:$IX$10144,AQ$22,FALSE)))</f>
        <v>Kronmüller KT, Schröder J, Köhler S, Götz B, Victor D, Unger J, Giesel F, Magnotta V, Mundt C, Essig M, Pantel J.</v>
      </c>
    </row>
    <row r="26" spans="1:43">
      <c r="B26">
        <v>19800203</v>
      </c>
      <c r="C26" s="1" t="str">
        <f>IF($B26="","",HYPERLINK(IF(LEN(VLOOKUP($B26,Database!$B$1:$IX$10144,2,FALSE))=0,"",VLOOKUP($B26,Database!$B$1:$IX$10144,2,FALSE))))</f>
        <v/>
      </c>
      <c r="D26" s="1" t="str">
        <f t="shared" si="0"/>
        <v>http://www.ncbi.nlm.nih.gov/pubmed/19800203</v>
      </c>
      <c r="E26" s="22" t="str">
        <f>IF($B26="","",IF(LEN(VLOOKUP($B26,Database!$B$1:$IX$10144,4,FALSE))=0,"",VLOOKUP($B26,Database!$B$1:$IX$10144,4,FALSE)))</f>
        <v>Kronmüller KT</v>
      </c>
      <c r="F26" s="22">
        <f>IF($B26="","",IF(LEN(VLOOKUP($B26,Database!$B$1:$IX$10144,5,FALSE))=0,"",VLOOKUP($B26,Database!$B$1:$IX$10144,5,FALSE)))</f>
        <v>2009</v>
      </c>
      <c r="G26" s="1" t="str">
        <f>IF($B26="","",HYPERLINK(IF(LEN(VLOOKUP($B26,Database!$B$1:$IX$10144,6,FALSE))=0,"",VLOOKUP($B26,Database!$B$1:$IX$10144,6,FALSE))))</f>
        <v>http://dx.doi.org/10.1016/j.pscychresns.2008.08.001</v>
      </c>
      <c r="H26" s="83">
        <v>13</v>
      </c>
      <c r="I26" s="83">
        <v>9.5</v>
      </c>
      <c r="J26" t="s">
        <v>2383</v>
      </c>
      <c r="K26" t="s">
        <v>2380</v>
      </c>
      <c r="L26">
        <v>2.71</v>
      </c>
      <c r="M26">
        <v>0.26</v>
      </c>
      <c r="N26">
        <v>2.72</v>
      </c>
      <c r="O26">
        <v>0.3</v>
      </c>
      <c r="P26">
        <v>2.82</v>
      </c>
      <c r="Q26">
        <v>0.36</v>
      </c>
      <c r="R26">
        <v>2.79</v>
      </c>
      <c r="S26">
        <v>0.41</v>
      </c>
      <c r="T26">
        <v>5.52</v>
      </c>
      <c r="U26">
        <v>0.56999999999999995</v>
      </c>
      <c r="V26">
        <v>5.51</v>
      </c>
      <c r="W26">
        <v>0.66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83">
        <v>41.46</v>
      </c>
      <c r="AC26" s="83">
        <v>16.64</v>
      </c>
      <c r="AD26" s="83">
        <v>42.68</v>
      </c>
      <c r="AE26" s="83">
        <v>13.98</v>
      </c>
      <c r="AF26" s="83">
        <v>100</v>
      </c>
      <c r="AG26" s="22">
        <f>IF(OR($B26="",AG$22=""),"",IF(LEN(VLOOKUP($B26,Database!$B$1:$IX$10144,AG$22,FALSE))=0,"",VLOOKUP($B26,Database!$B$1:$IX$10144,AG$22,FALSE)))</f>
        <v>19</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83">
        <v>38.880000000000003</v>
      </c>
      <c r="AL26" s="83">
        <v>25.62</v>
      </c>
      <c r="AM26" s="22">
        <f>IF(OR($B26="",AM$22=""),"",IF(LEN(VLOOKUP($B26,Database!$B$1:$IX$10144,AM$22,FALSE))=0,"",VLOOKUP($B26,Database!$B$1:$IX$10144,AM$22,FALSE)))</f>
        <v>100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0</v>
      </c>
      <c r="AQ26" s="22" t="str">
        <f>IF(OR($B26="",AQ$22=""),"",IF(LEN(VLOOKUP($B26,Database!$B$1:$IX$10144,AQ$22,FALSE))=0,"",VLOOKUP($B26,Database!$B$1:$IX$10144,AQ$22,FALSE)))</f>
        <v>Kronmüller KT, Schröder J, Köhler S, Götz B, Victor D, Unger J, Giesel F, Magnotta V, Mundt C, Essig M, Pantel J.</v>
      </c>
    </row>
    <row r="27" spans="1:43">
      <c r="B27">
        <v>19800203</v>
      </c>
      <c r="C27" s="1" t="str">
        <f>IF($B27="","",HYPERLINK(IF(LEN(VLOOKUP($B27,Database!$B$1:$IX$10144,2,FALSE))=0,"",VLOOKUP($B27,Database!$B$1:$IX$10144,2,FALSE))))</f>
        <v/>
      </c>
      <c r="D27" s="1" t="str">
        <f t="shared" si="0"/>
        <v>http://www.ncbi.nlm.nih.gov/pubmed/19800203</v>
      </c>
      <c r="E27" s="22" t="str">
        <f>IF($B27="","",IF(LEN(VLOOKUP($B27,Database!$B$1:$IX$10144,4,FALSE))=0,"",VLOOKUP($B27,Database!$B$1:$IX$10144,4,FALSE)))</f>
        <v>Kronmüller KT</v>
      </c>
      <c r="F27" s="22">
        <f>IF($B27="","",IF(LEN(VLOOKUP($B27,Database!$B$1:$IX$10144,5,FALSE))=0,"",VLOOKUP($B27,Database!$B$1:$IX$10144,5,FALSE)))</f>
        <v>2009</v>
      </c>
      <c r="G27" s="1" t="str">
        <f>IF($B27="","",HYPERLINK(IF(LEN(VLOOKUP($B27,Database!$B$1:$IX$10144,6,FALSE))=0,"",VLOOKUP($B27,Database!$B$1:$IX$10144,6,FALSE))))</f>
        <v>http://dx.doi.org/10.1016/j.pscychresns.2008.08.001</v>
      </c>
      <c r="H27" s="83">
        <v>11</v>
      </c>
      <c r="I27" s="83">
        <v>5.5</v>
      </c>
      <c r="J27" t="s">
        <v>2383</v>
      </c>
      <c r="K27" t="s">
        <v>2381</v>
      </c>
      <c r="L27">
        <v>3.1</v>
      </c>
      <c r="M27">
        <v>0.39</v>
      </c>
      <c r="N27">
        <v>3.19</v>
      </c>
      <c r="O27">
        <v>0.25</v>
      </c>
      <c r="P27">
        <v>2.97</v>
      </c>
      <c r="Q27">
        <v>0.47</v>
      </c>
      <c r="R27">
        <v>3.3</v>
      </c>
      <c r="S27">
        <v>0.28999999999999998</v>
      </c>
      <c r="T27">
        <v>6.07</v>
      </c>
      <c r="U27">
        <v>0.85</v>
      </c>
      <c r="V27">
        <v>6.49</v>
      </c>
      <c r="W27">
        <v>0.49</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83">
        <v>48.27</v>
      </c>
      <c r="AC27" s="83">
        <v>8.73</v>
      </c>
      <c r="AD27" s="83">
        <v>42</v>
      </c>
      <c r="AE27" s="83">
        <v>11.28</v>
      </c>
      <c r="AF27" s="83">
        <v>0</v>
      </c>
      <c r="AG27" s="22">
        <f>IF(OR($B27="",AG$22=""),"",IF(LEN(VLOOKUP($B27,Database!$B$1:$IX$10144,AG$22,FALSE))=0,"",VLOOKUP($B27,Database!$B$1:$IX$10144,AG$22,FALSE)))</f>
        <v>19</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83">
        <v>38.26</v>
      </c>
      <c r="AL27" s="83">
        <v>18.72</v>
      </c>
      <c r="AM27" s="22">
        <f>IF(OR($B27="",AM$22=""),"",IF(LEN(VLOOKUP($B27,Database!$B$1:$IX$10144,AM$22,FALSE))=0,"",VLOOKUP($B27,Database!$B$1:$IX$10144,AM$22,FALSE)))</f>
        <v>100</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0</v>
      </c>
      <c r="AQ27" s="22" t="str">
        <f>IF(OR($B27="",AQ$22=""),"",IF(LEN(VLOOKUP($B27,Database!$B$1:$IX$10144,AQ$22,FALSE))=0,"",VLOOKUP($B27,Database!$B$1:$IX$10144,AQ$22,FALSE)))</f>
        <v>Kronmüller KT, Schröder J, Köhler S, Götz B, Victor D, Unger J, Giesel F, Magnotta V, Mundt C, Essig M, Pantel J.</v>
      </c>
    </row>
    <row r="28" spans="1:43">
      <c r="B28">
        <v>19800203</v>
      </c>
      <c r="C28" s="1" t="str">
        <f>IF($B28="","",HYPERLINK(IF(LEN(VLOOKUP($B28,Database!$B$1:$IX$10144,2,FALSE))=0,"",VLOOKUP($B28,Database!$B$1:$IX$10144,2,FALSE))))</f>
        <v/>
      </c>
      <c r="D28" s="1" t="str">
        <f t="shared" si="0"/>
        <v>http://www.ncbi.nlm.nih.gov/pubmed/19800203</v>
      </c>
      <c r="E28" s="22" t="str">
        <f>IF($B28="","",IF(LEN(VLOOKUP($B28,Database!$B$1:$IX$10144,4,FALSE))=0,"",VLOOKUP($B28,Database!$B$1:$IX$10144,4,FALSE)))</f>
        <v>Kronmüller KT</v>
      </c>
      <c r="F28" s="22">
        <f>IF($B28="","",IF(LEN(VLOOKUP($B28,Database!$B$1:$IX$10144,5,FALSE))=0,"",VLOOKUP($B28,Database!$B$1:$IX$10144,5,FALSE)))</f>
        <v>2009</v>
      </c>
      <c r="G28" s="1" t="str">
        <f>IF($B28="","",HYPERLINK(IF(LEN(VLOOKUP($B28,Database!$B$1:$IX$10144,6,FALSE))=0,"",VLOOKUP($B28,Database!$B$1:$IX$10144,6,FALSE))))</f>
        <v>http://dx.doi.org/10.1016/j.pscychresns.2008.08.001</v>
      </c>
      <c r="H28" s="83">
        <v>20</v>
      </c>
      <c r="I28" s="83">
        <v>9.5</v>
      </c>
      <c r="J28" t="s">
        <v>2383</v>
      </c>
      <c r="K28" t="s">
        <v>2382</v>
      </c>
      <c r="L28">
        <v>2.75</v>
      </c>
      <c r="M28">
        <v>0.41</v>
      </c>
      <c r="N28">
        <v>2.72</v>
      </c>
      <c r="O28">
        <v>0.3</v>
      </c>
      <c r="P28">
        <v>2.83</v>
      </c>
      <c r="Q28">
        <v>0.35</v>
      </c>
      <c r="R28">
        <v>2.79</v>
      </c>
      <c r="S28">
        <v>0.41</v>
      </c>
      <c r="T28">
        <v>5.59</v>
      </c>
      <c r="U28">
        <v>0.73</v>
      </c>
      <c r="V28">
        <v>5.51</v>
      </c>
      <c r="W28">
        <v>0.66</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83">
        <v>45.85</v>
      </c>
      <c r="AC28" s="83">
        <v>11.78</v>
      </c>
      <c r="AD28" s="83">
        <v>42.68</v>
      </c>
      <c r="AE28" s="83">
        <v>13.98</v>
      </c>
      <c r="AF28" s="83">
        <v>100</v>
      </c>
      <c r="AG28" s="22">
        <f>IF(OR($B28="",AG$22=""),"",IF(LEN(VLOOKUP($B28,Database!$B$1:$IX$10144,AG$22,FALSE))=0,"",VLOOKUP($B28,Database!$B$1:$IX$10144,AG$22,FALSE)))</f>
        <v>19</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83">
        <v>38.26</v>
      </c>
      <c r="AL28" s="83">
        <v>22.9</v>
      </c>
      <c r="AM28" s="22">
        <f>IF(OR($B28="",AM$22=""),"",IF(LEN(VLOOKUP($B28,Database!$B$1:$IX$10144,AM$22,FALSE))=0,"",VLOOKUP($B28,Database!$B$1:$IX$10144,AM$22,FALSE)))</f>
        <v>100</v>
      </c>
      <c r="AN28" s="22" t="str">
        <f>IF(OR($B28="",AN$22=""),"",IF(LEN(VLOOKUP($B28,Database!$B$1:$IX$10144,AN$22,FALSE))=0,"",VLOOKUP($B28,Database!$B$1:$IX$10144,AN$22,FALSE)))</f>
        <v>ns</v>
      </c>
      <c r="AO28" s="22" t="str">
        <f>IF(OR($B28="",AO$22=""),"",IF(LEN(VLOOKUP($B28,Database!$B$1:$IX$10144,AO$22,FALSE))=0,"",VLOOKUP($B28,Database!$B$1:$IX$10144,AO$22,FALSE)))</f>
        <v>ns</v>
      </c>
      <c r="AP28" s="22">
        <f>IF(OR($B28="",AP$22=""),"",IF(LEN(VLOOKUP($B28,Database!$B$1:$IX$10144,AP$22,FALSE))=0,"",VLOOKUP($B28,Database!$B$1:$IX$10144,AP$22,FALSE)))</f>
        <v>0</v>
      </c>
      <c r="AQ28" s="22" t="str">
        <f>IF(OR($B28="",AQ$22=""),"",IF(LEN(VLOOKUP($B28,Database!$B$1:$IX$10144,AQ$22,FALSE))=0,"",VLOOKUP($B28,Database!$B$1:$IX$10144,AQ$22,FALSE)))</f>
        <v>Kronmüller KT, Schröder J, Köhler S, Götz B, Victor D, Unger J, Giesel F, Magnotta V, Mundt C, Essig M, Pantel J.</v>
      </c>
    </row>
    <row r="29" spans="1:43">
      <c r="A29" s="10"/>
      <c r="B29">
        <v>20118461</v>
      </c>
      <c r="C29" s="1" t="str">
        <f>IF($B29="","",HYPERLINK(IF(LEN(VLOOKUP($B29,Database!$B$1:$IX$10144,2,FALSE))=0,"",VLOOKUP($B29,Database!$B$1:$IX$10144,2,FALSE))))</f>
        <v/>
      </c>
      <c r="D29" s="1" t="str">
        <f t="shared" si="0"/>
        <v>http://www.ncbi.nlm.nih.gov/pubmed/20118461</v>
      </c>
      <c r="E29" s="22" t="str">
        <f>IF($B29="","",IF(LEN(VLOOKUP($B29,Database!$B$1:$IX$10144,4,FALSE))=0,"",VLOOKUP($B29,Database!$B$1:$IX$10144,4,FALSE)))</f>
        <v>Köhler S</v>
      </c>
      <c r="F29" s="22">
        <f>IF($B29="","",IF(LEN(VLOOKUP($B29,Database!$B$1:$IX$10144,5,FALSE))=0,"",VLOOKUP($B29,Database!$B$1:$IX$10144,5,FALSE)))</f>
        <v>2010</v>
      </c>
      <c r="G29" s="1" t="str">
        <f>IF($B29="","",HYPERLINK(IF(LEN(VLOOKUP($B29,Database!$B$1:$IX$10144,6,FALSE))=0,"",VLOOKUP($B29,Database!$B$1:$IX$10144,6,FALSE))))</f>
        <v>http://bjp.rcpsych.org/cgi/reprint/196/2/143</v>
      </c>
      <c r="H29" s="22">
        <f>IF($B29="","",IF(LEN(VLOOKUP($B29,Database!$B$1:$IX$10144,7,FALSE))=0,"",VLOOKUP($B29,Database!$B$1:$IX$10144,7,FALSE)))</f>
        <v>35</v>
      </c>
      <c r="I29" s="22">
        <f>IF($B29="","",IF(LEN(VLOOKUP($B29,Database!$B$1:$IX$10144,8,FALSE))=0,"",VLOOKUP($B29,Database!$B$1:$IX$10144,8,FALSE)))</f>
        <v>29</v>
      </c>
      <c r="J29" t="s">
        <v>2390</v>
      </c>
      <c r="T29">
        <v>5.6</v>
      </c>
      <c r="U29">
        <v>0.9</v>
      </c>
      <c r="V29">
        <v>5.8</v>
      </c>
      <c r="W29">
        <v>0.8</v>
      </c>
      <c r="X29" s="170"/>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74.099999999999994</v>
      </c>
      <c r="AC29" s="22">
        <f>IF(OR($B29="",AC$22=""),"",IF(LEN(VLOOKUP($B29,Database!$B$1:$IX$10144,AC$22,FALSE))=0,"",VLOOKUP($B29,Database!$B$1:$IX$10144,AC$22,FALSE)))</f>
        <v>6.5</v>
      </c>
      <c r="AD29" s="22">
        <f>IF(OR($B29="",AD$22=""),"",IF(LEN(VLOOKUP($B29,Database!$B$1:$IX$10144,AD$22,FALSE))=0,"",VLOOKUP($B29,Database!$B$1:$IX$10144,AD$22,FALSE)))</f>
        <v>72.8</v>
      </c>
      <c r="AE29" s="22">
        <f>IF(OR($B29="",AE$22=""),"",IF(LEN(VLOOKUP($B29,Database!$B$1:$IX$10144,AE$22,FALSE))=0,"",VLOOKUP($B29,Database!$B$1:$IX$10144,AE$22,FALSE)))</f>
        <v>6.9</v>
      </c>
      <c r="AF29" s="22">
        <f>IF(OR($B29="",AF$22=""),"",IF(LEN(VLOOKUP($B29,Database!$B$1:$IX$10144,AF$22,FALSE))=0,"",VLOOKUP($B29,Database!$B$1:$IX$10144,AF$22,FALSE)))</f>
        <v>28</v>
      </c>
      <c r="AG29" s="22">
        <f>IF(OR($B29="",AG$22=""),"",IF(LEN(VLOOKUP($B29,Database!$B$1:$IX$10144,AG$22,FALSE))=0,"",VLOOKUP($B29,Database!$B$1:$IX$10144,AG$22,FALSE)))</f>
        <v>22</v>
      </c>
      <c r="AH29" s="22">
        <f>IF(OR($B29="",AH$22=""),"",IF(LEN(VLOOKUP($B29,Database!$B$1:$IX$10144,AH$22,FALSE))=0,"",VLOOKUP($B29,Database!$B$1:$IX$10144,AH$22,FALSE)))</f>
        <v>1</v>
      </c>
      <c r="AI29" s="22">
        <f>IF(OR($B29="",AI$22=""),"",IF(LEN(VLOOKUP($B29,Database!$B$1:$IX$10144,AI$22,FALSE))=0,"",VLOOKUP($B29,Database!$B$1:$IX$10144,AI$22,FALSE)))</f>
        <v>1</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80</v>
      </c>
      <c r="AN29" s="22" t="str">
        <f>IF(OR($B29="",AN$22=""),"",IF(LEN(VLOOKUP($B29,Database!$B$1:$IX$10144,AN$22,FALSE))=0,"",VLOOKUP($B29,Database!$B$1:$IX$10144,AN$22,FALSE)))</f>
        <v>ns</v>
      </c>
      <c r="AO29" s="22">
        <f>IF(OR($B29="",AO$22=""),"",IF(LEN(VLOOKUP($B29,Database!$B$1:$IX$10144,AO$22,FALSE))=0,"",VLOOKUP($B29,Database!$B$1:$IX$10144,AO$22,FALSE)))</f>
        <v>0</v>
      </c>
      <c r="AP29" s="22" t="str">
        <f>IF(OR($B29="",AP$22=""),"",IF(LEN(VLOOKUP($B29,Database!$B$1:$IX$10144,AP$22,FALSE))=0,"",VLOOKUP($B29,Database!$B$1:$IX$10144,AP$22,FALSE)))</f>
        <v>ns</v>
      </c>
      <c r="AQ29" s="22" t="str">
        <f>IF(OR($B29="",AQ$22=""),"",IF(LEN(VLOOKUP($B29,Database!$B$1:$IX$10144,AQ$22,FALSE))=0,"",VLOOKUP($B29,Database!$B$1:$IX$10144,AQ$22,FALSE)))</f>
        <v>Köhler S, Thomas AJ, Lloyd A, Barber R, Almeida OP, O'Brien JT.</v>
      </c>
    </row>
    <row r="30" spans="1:43">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43">
      <c r="A31" s="4" t="s">
        <v>397</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43">
      <c r="B32">
        <v>16461856</v>
      </c>
      <c r="C32" s="1" t="str">
        <f>IF($B32="","",HYPERLINK(IF(LEN(VLOOKUP($B32,Database!$B$1:$IX$10144,2,FALSE))=0,"",VLOOKUP($B32,Database!$B$1:$IX$10144,2,FALSE))))</f>
        <v/>
      </c>
      <c r="D32" s="1" t="str">
        <f>IF($B32="","",HYPERLINK(CONCATENATE("http://www.ncbi.nlm.nih.gov/pubmed/",B32)))</f>
        <v>http://www.ncbi.nlm.nih.gov/pubmed/16461856</v>
      </c>
      <c r="E32" s="22" t="str">
        <f>IF($B32="","",IF(LEN(VLOOKUP($B32,Database!$B$1:$IX$10144,4,FALSE))=0,"",VLOOKUP($B32,Database!$B$1:$IX$10144,4,FALSE)))</f>
        <v>Velakoulis D</v>
      </c>
      <c r="F32" s="22">
        <f>IF($B32="","",IF(LEN(VLOOKUP($B32,Database!$B$1:$IX$10144,5,FALSE))=0,"",VLOOKUP($B32,Database!$B$1:$IX$10144,5,FALSE)))</f>
        <v>2006</v>
      </c>
      <c r="G32" s="1" t="str">
        <f>IF($B32="","",HYPERLINK(IF(LEN(VLOOKUP($B32,Database!$B$1:$IX$10144,6,FALSE))=0,"",VLOOKUP($B32,Database!$B$1:$IX$10144,6,FALSE))))</f>
        <v>http://archpsyc.ama-assn.org/cgi/content/full/63/2/139</v>
      </c>
      <c r="H32" s="22">
        <f>IF($B32="","",IF(LEN(VLOOKUP($B32,Database!$B$1:$IX$10144,7,FALSE))=0,"",VLOOKUP($B32,Database!$B$1:$IX$10144,7,FALSE)))</f>
        <v>12</v>
      </c>
      <c r="I32" s="22">
        <f>IF($B32="","",IF(LEN(VLOOKUP($B32,Database!$B$1:$IX$10144,8,FALSE))=0,"",VLOOKUP($B32,Database!$B$1:$IX$10144,8,FALSE)))</f>
        <v>87</v>
      </c>
      <c r="J32" t="s">
        <v>887</v>
      </c>
      <c r="L32">
        <v>2849</v>
      </c>
      <c r="M32">
        <v>442</v>
      </c>
      <c r="N32">
        <v>2870</v>
      </c>
      <c r="O32">
        <v>358</v>
      </c>
      <c r="P32">
        <v>3092</v>
      </c>
      <c r="Q32">
        <v>383</v>
      </c>
      <c r="R32">
        <v>3122</v>
      </c>
      <c r="S32">
        <v>388</v>
      </c>
      <c r="T32">
        <f>L32+P32</f>
        <v>5941</v>
      </c>
      <c r="U32">
        <f>2*SQRT(0.25*(M32^2+Q32^2+2*$F$8*M32*Q32))</f>
        <v>782.88607089409891</v>
      </c>
      <c r="V32">
        <f>N32+R32</f>
        <v>5992</v>
      </c>
      <c r="W32">
        <f>2*SQRT(0.25*(O32^2+S32^2+2*$F$8*O32*S32))</f>
        <v>707.78132216101892</v>
      </c>
      <c r="X32" s="151"/>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22.6</v>
      </c>
      <c r="AC32" s="22">
        <f>IF(OR($B32="",AC$22=""),"",IF(LEN(VLOOKUP($B32,Database!$B$1:$IX$10144,AC$22,FALSE))=0,"",VLOOKUP($B32,Database!$B$1:$IX$10144,AC$22,FALSE)))</f>
        <v>4.0999999999999996</v>
      </c>
      <c r="AD32" s="22">
        <f>IF(OR($B32="",AD$22=""),"",IF(LEN(VLOOKUP($B32,Database!$B$1:$IX$10144,AD$22,FALSE))=0,"",VLOOKUP($B32,Database!$B$1:$IX$10144,AD$22,FALSE)))</f>
        <v>26.9</v>
      </c>
      <c r="AE32" s="22">
        <f>IF(OR($B32="",AE$22=""),"",IF(LEN(VLOOKUP($B32,Database!$B$1:$IX$10144,AE$22,FALSE))=0,"",VLOOKUP($B32,Database!$B$1:$IX$10144,AE$22,FALSE)))</f>
        <v>10</v>
      </c>
      <c r="AF32" s="22">
        <f>IF(OR($B32="",AF$22=""),"",IF(LEN(VLOOKUP($B32,Database!$B$1:$IX$10144,AF$22,FALSE))=0,"",VLOOKUP($B32,Database!$B$1:$IX$10144,AF$22,FALSE)))</f>
        <v>5</v>
      </c>
      <c r="AG32" s="22">
        <f>IF(OR($B32="",AG$22=""),"",IF(LEN(VLOOKUP($B32,Database!$B$1:$IX$10144,AG$22,FALSE))=0,"",VLOOKUP($B32,Database!$B$1:$IX$10144,AG$22,FALSE)))</f>
        <v>32</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21.5</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Velakoulis D, Wood SJ, Wong MT, McGorry PD, Yung A, Phillips L, Smith D, Brewer W, Proffitt T, Desmond P, Pantelis C.</v>
      </c>
    </row>
    <row r="33" spans="1:47">
      <c r="B33">
        <v>18414838</v>
      </c>
      <c r="C33" s="1" t="str">
        <f>IF($B33="","",HYPERLINK(IF(LEN(VLOOKUP($B33,Database!$B$1:$IX$10144,2,FALSE))=0,"",VLOOKUP($B33,Database!$B$1:$IX$10144,2,FALSE))))</f>
        <v/>
      </c>
      <c r="D33" s="1" t="str">
        <f>IF($B33="","",HYPERLINK(CONCATENATE("http://www.ncbi.nlm.nih.gov/pubmed/",B33)))</f>
        <v>http://www.ncbi.nlm.nih.gov/pubmed/18414838</v>
      </c>
      <c r="E33" s="22" t="str">
        <f>IF($B33="","",IF(LEN(VLOOKUP($B33,Database!$B$1:$IX$10144,4,FALSE))=0,"",VLOOKUP($B33,Database!$B$1:$IX$10144,4,FALSE)))</f>
        <v>Tae WS</v>
      </c>
      <c r="F33" s="22">
        <f>IF($B33="","",IF(LEN(VLOOKUP($B33,Database!$B$1:$IX$10144,5,FALSE))=0,"",VLOOKUP($B33,Database!$B$1:$IX$10144,5,FALSE)))</f>
        <v>2008</v>
      </c>
      <c r="G33" s="1" t="str">
        <f>IF($B33="","",HYPERLINK(IF(LEN(VLOOKUP($B33,Database!$B$1:$IX$10144,6,FALSE))=0,"",VLOOKUP($B33,Database!$B$1:$IX$10144,6,FALSE))))</f>
        <v>http://dx.doi.org/10.1007/s00234-008-0383-9</v>
      </c>
      <c r="H33" s="22">
        <f>IF($B33="","",IF(LEN(VLOOKUP($B33,Database!$B$1:$IX$10144,7,FALSE))=0,"",VLOOKUP($B33,Database!$B$1:$IX$10144,7,FALSE)))</f>
        <v>21</v>
      </c>
      <c r="I33" s="22">
        <f>IF($B33="","",IF(LEN(VLOOKUP($B33,Database!$B$1:$IX$10144,8,FALSE))=0,"",VLOOKUP($B33,Database!$B$1:$IX$10144,8,FALSE)))</f>
        <v>20</v>
      </c>
      <c r="J33" t="s">
        <v>643</v>
      </c>
      <c r="L33">
        <v>2589.3000000000002</v>
      </c>
      <c r="M33">
        <v>377.24</v>
      </c>
      <c r="N33">
        <v>2811.1</v>
      </c>
      <c r="O33">
        <v>226.51</v>
      </c>
      <c r="P33">
        <v>2658.5</v>
      </c>
      <c r="Q33">
        <v>412.31</v>
      </c>
      <c r="R33">
        <v>2871.9</v>
      </c>
      <c r="S33">
        <v>278.20999999999998</v>
      </c>
      <c r="T33">
        <f>L33+P33</f>
        <v>5247.8</v>
      </c>
      <c r="U33">
        <f>2*SQRT(0.25*(M33^2+Q33^2+2*$F$8*M33*Q33))</f>
        <v>749.11499300174205</v>
      </c>
      <c r="V33">
        <f>N33+R33</f>
        <v>5683</v>
      </c>
      <c r="W33">
        <f>2*SQRT(0.25*(O33^2+S33^2+2*$F$8*O33*S33))</f>
        <v>479.09846541186079</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41.7</v>
      </c>
      <c r="AC33" s="22">
        <f>IF(OR($B33="",AC$22=""),"",IF(LEN(VLOOKUP($B33,Database!$B$1:$IX$10144,AC$22,FALSE))=0,"",VLOOKUP($B33,Database!$B$1:$IX$10144,AC$22,FALSE)))</f>
        <v>11</v>
      </c>
      <c r="AD33" s="22">
        <f>IF(OR($B33="",AD$22=""),"",IF(LEN(VLOOKUP($B33,Database!$B$1:$IX$10144,AD$22,FALSE))=0,"",VLOOKUP($B33,Database!$B$1:$IX$10144,AD$22,FALSE)))</f>
        <v>41.9</v>
      </c>
      <c r="AE33" s="22">
        <f>IF(OR($B33="",AE$22=""),"",IF(LEN(VLOOKUP($B33,Database!$B$1:$IX$10144,AE$22,FALSE))=0,"",VLOOKUP($B33,Database!$B$1:$IX$10144,AE$22,FALSE)))</f>
        <v>10.26</v>
      </c>
      <c r="AF33" s="22">
        <f>IF(OR($B33="",AF$22=""),"",IF(LEN(VLOOKUP($B33,Database!$B$1:$IX$10144,AF$22,FALSE))=0,"",VLOOKUP($B33,Database!$B$1:$IX$10144,AF$22,FALSE)))</f>
        <v>21</v>
      </c>
      <c r="AG33" s="22">
        <f>IF(OR($B33="",AG$22=""),"",IF(LEN(VLOOKUP($B33,Database!$B$1:$IX$10144,AG$22,FALSE))=0,"",VLOOKUP($B33,Database!$B$1:$IX$10144,AG$22,FALSE)))</f>
        <v>20</v>
      </c>
      <c r="AH33" s="22">
        <f>IF(OR($B33="",AH$22=""),"",IF(LEN(VLOOKUP($B33,Database!$B$1:$IX$10144,AH$22,FALSE))=0,"",VLOOKUP($B33,Database!$B$1:$IX$10144,AH$22,FALSE)))</f>
        <v>1.5</v>
      </c>
      <c r="AI33" s="22">
        <f>IF(OR($B33="",AI$22=""),"",IF(LEN(VLOOKUP($B33,Database!$B$1:$IX$10144,AI$22,FALSE))=0,"",VLOOKUP($B33,Database!$B$1:$IX$10144,AI$22,FALSE)))</f>
        <v>1.3</v>
      </c>
      <c r="AJ33" s="22" t="str">
        <f>IF(OR($B33="",AJ$22=""),"",IF(LEN(VLOOKUP($B33,Database!$B$1:$IX$10144,AJ$22,FALSE))=0,"",VLOOKUP($B33,Database!$B$1:$IX$10144,AJ$22,FALSE)))</f>
        <v/>
      </c>
      <c r="AK33" s="22">
        <f>IF(OR($B33="",AK$22=""),"",IF(LEN(VLOOKUP($B33,Database!$B$1:$IX$10144,AK$22,FALSE))=0,"",VLOOKUP($B33,Database!$B$1:$IX$10144,AK$22,FALSE)))</f>
        <v>33.200000000000003</v>
      </c>
      <c r="AL33" s="22" t="str">
        <f>IF(OR($B33="",AL$22=""),"",IF(LEN(VLOOKUP($B33,Database!$B$1:$IX$10144,AL$22,FALSE))=0,"",VLOOKUP($B33,Database!$B$1:$IX$10144,AL$22,FALSE)))</f>
        <v>ns</v>
      </c>
      <c r="AM33" s="22">
        <f>IF(OR($B33="",AM$22=""),"",IF(LEN(VLOOKUP($B33,Database!$B$1:$IX$10144,AM$22,FALSE))=0,"",VLOOKUP($B33,Database!$B$1:$IX$10144,AM$22,FALSE)))</f>
        <v>100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0</v>
      </c>
      <c r="AQ33" s="22" t="str">
        <f>IF(OR($B33="",AQ$22=""),"",IF(LEN(VLOOKUP($B33,Database!$B$1:$IX$10144,AQ$22,FALSE))=0,"",VLOOKUP($B33,Database!$B$1:$IX$10144,AQ$22,FALSE)))</f>
        <v>Tae WS, Kim SS, Lee KU, Nam EC, Kim KW.</v>
      </c>
    </row>
    <row r="34" spans="1:47">
      <c r="B34" s="2">
        <v>19488671</v>
      </c>
      <c r="C34" s="1" t="str">
        <f>IF($B34="","",HYPERLINK(IF(LEN(VLOOKUP($B34,Database!$B$1:$IX$10144,2,FALSE))=0,"",VLOOKUP($B34,Database!$B$1:$IX$10144,2,FALSE))))</f>
        <v/>
      </c>
      <c r="D34" s="1" t="str">
        <f>IF($B34="","",HYPERLINK(CONCATENATE("http://www.ncbi.nlm.nih.gov/pubmed/",B34)))</f>
        <v>http://www.ncbi.nlm.nih.gov/pubmed/19488671</v>
      </c>
      <c r="E34" s="22" t="str">
        <f>IF($B34="","",IF(LEN(VLOOKUP($B34,Database!$B$1:$IX$10144,4,FALSE))=0,"",VLOOKUP($B34,Database!$B$1:$IX$10144,4,FALSE)))</f>
        <v>Meisenzahl EM</v>
      </c>
      <c r="F34" s="22">
        <f>IF($B34="","",IF(LEN(VLOOKUP($B34,Database!$B$1:$IX$10144,5,FALSE))=0,"",VLOOKUP($B34,Database!$B$1:$IX$10144,5,FALSE)))</f>
        <v>2009</v>
      </c>
      <c r="G34" s="1" t="str">
        <f>IF($B34="","",HYPERLINK(IF(LEN(VLOOKUP($B34,Database!$B$1:$IX$10144,6,FALSE))=0,"",VLOOKUP($B34,Database!$B$1:$IX$10144,6,FALSE))))</f>
        <v>http://dx.doi.org/10.1007/s00406-009-0023-3</v>
      </c>
      <c r="H34" s="22">
        <f>IF($B34="","",IF(LEN(VLOOKUP($B34,Database!$B$1:$IX$10144,7,FALSE))=0,"",VLOOKUP($B34,Database!$B$1:$IX$10144,7,FALSE)))</f>
        <v>92</v>
      </c>
      <c r="I34" s="22">
        <f>IF($B34="","",IF(LEN(VLOOKUP($B34,Database!$B$1:$IX$10144,8,FALSE))=0,"",VLOOKUP($B34,Database!$B$1:$IX$10144,8,FALSE)))</f>
        <v>138</v>
      </c>
      <c r="J34" t="s">
        <v>2069</v>
      </c>
      <c r="L34">
        <v>3.67</v>
      </c>
      <c r="M34">
        <v>0.41</v>
      </c>
      <c r="N34">
        <v>3.83</v>
      </c>
      <c r="O34">
        <v>0.41</v>
      </c>
      <c r="P34">
        <v>3.77</v>
      </c>
      <c r="Q34">
        <v>0.42</v>
      </c>
      <c r="R34">
        <v>3.94</v>
      </c>
      <c r="S34">
        <v>0.41</v>
      </c>
      <c r="T34">
        <f>L34+P34</f>
        <v>7.4399999999999995</v>
      </c>
      <c r="U34">
        <f>2*SQRT(0.25*(M34^2+Q34^2+2*$F$8*M34*Q34))</f>
        <v>0.78741348731146321</v>
      </c>
      <c r="V34">
        <f>N34+R34</f>
        <v>7.77</v>
      </c>
      <c r="W34">
        <f>2*SQRT(0.25*(O34^2+S34^2+2*$F$8*O34*S34))</f>
        <v>0.77792030440142124</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44.6</v>
      </c>
      <c r="AC34" s="22">
        <f>IF(OR($B34="",AC$22=""),"",IF(LEN(VLOOKUP($B34,Database!$B$1:$IX$10144,AC$22,FALSE))=0,"",VLOOKUP($B34,Database!$B$1:$IX$10144,AC$22,FALSE)))</f>
        <v>12.3</v>
      </c>
      <c r="AD34" s="22">
        <f>IF(OR($B34="",AD$22=""),"",IF(LEN(VLOOKUP($B34,Database!$B$1:$IX$10144,AD$22,FALSE))=0,"",VLOOKUP($B34,Database!$B$1:$IX$10144,AD$22,FALSE)))</f>
        <v>33.299999999999997</v>
      </c>
      <c r="AE34" s="22">
        <f>IF(OR($B34="",AE$22=""),"",IF(LEN(VLOOKUP($B34,Database!$B$1:$IX$10144,AE$22,FALSE))=0,"",VLOOKUP($B34,Database!$B$1:$IX$10144,AE$22,FALSE)))</f>
        <v>12.2</v>
      </c>
      <c r="AF34" s="22">
        <f>IF(OR($B34="",AF$22=""),"",IF(LEN(VLOOKUP($B34,Database!$B$1:$IX$10144,AF$22,FALSE))=0,"",VLOOKUP($B34,Database!$B$1:$IX$10144,AF$22,FALSE)))</f>
        <v>47</v>
      </c>
      <c r="AG34" s="22">
        <f>IF(OR($B34="",AG$22=""),"",IF(LEN(VLOOKUP($B34,Database!$B$1:$IX$10144,AG$22,FALSE))=0,"",VLOOKUP($B34,Database!$B$1:$IX$10144,AG$22,FALSE)))</f>
        <v>60</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t="str">
        <f>IF(OR($B34="",AK$22=""),"",IF(LEN(VLOOKUP($B34,Database!$B$1:$IX$10144,AK$22,FALSE))=0,"",VLOOKUP($B34,Database!$B$1:$IX$10144,AK$22,FALSE)))</f>
        <v>ns</v>
      </c>
      <c r="AL34" s="22">
        <f>IF(OR($B34="",AL$22=""),"",IF(LEN(VLOOKUP($B34,Database!$B$1:$IX$10144,AL$22,FALSE))=0,"",VLOOKUP($B34,Database!$B$1:$IX$10144,AL$22,FALSE)))</f>
        <v>23.5</v>
      </c>
      <c r="AM34" s="22" t="str">
        <f>IF(OR($B34="",AM$22=""),"",IF(LEN(VLOOKUP($B34,Database!$B$1:$IX$10144,AM$22,FALSE))=0,"",VLOOKUP($B34,Database!$B$1:$IX$10144,AM$22,FALSE)))</f>
        <v>ns</v>
      </c>
      <c r="AN34" s="22">
        <f>IF(OR($B34="",AN$22=""),"",IF(LEN(VLOOKUP($B34,Database!$B$1:$IX$10144,AN$22,FALSE))=0,"",VLOOKUP($B34,Database!$B$1:$IX$10144,AN$22,FALSE)))</f>
        <v>14.130434782608695</v>
      </c>
      <c r="AO34" s="22" t="str">
        <f>IF(OR($B34="",AO$22=""),"",IF(LEN(VLOOKUP($B34,Database!$B$1:$IX$10144,AO$22,FALSE))=0,"",VLOOKUP($B34,Database!$B$1:$IX$10144,AO$22,FALSE)))</f>
        <v>ns</v>
      </c>
      <c r="AP34" s="22">
        <f>IF(OR($B34="",AP$22=""),"",IF(LEN(VLOOKUP($B34,Database!$B$1:$IX$10144,AP$22,FALSE))=0,"",VLOOKUP($B34,Database!$B$1:$IX$10144,AP$22,FALSE)))</f>
        <v>6.5217391304347823</v>
      </c>
      <c r="AQ34" s="22" t="str">
        <f>IF(OR($B34="",AQ$22=""),"",IF(LEN(VLOOKUP($B34,Database!$B$1:$IX$10144,AQ$22,FALSE))=0,"",VLOOKUP($B34,Database!$B$1:$IX$10144,AQ$22,FALSE)))</f>
        <v>Meisenzahl EM, Seifert D, Bottlender R, Teipel S, Zetzsche T, Jäger M, Koutsouleris N, Schmitt G, Scheuerecker J, Burgermeister B, Hampel H, Rupprecht T, Born C, Reiser M, Möller HJ, Frodl T.</v>
      </c>
    </row>
    <row r="35" spans="1:47">
      <c r="C35" s="1"/>
      <c r="D35" s="1"/>
      <c r="E35" s="22"/>
      <c r="F35" s="22"/>
      <c r="G35" s="1"/>
      <c r="H35" s="22"/>
      <c r="I35" s="22"/>
      <c r="Y35" s="22"/>
      <c r="Z35" s="22"/>
      <c r="AA35" s="22"/>
      <c r="AB35" s="22"/>
      <c r="AC35" s="22"/>
      <c r="AD35" s="22"/>
      <c r="AE35" s="22"/>
      <c r="AF35" s="22"/>
      <c r="AG35" s="22"/>
      <c r="AH35" s="22"/>
      <c r="AI35" s="22"/>
      <c r="AJ35" s="22"/>
      <c r="AK35" s="22"/>
      <c r="AL35" s="22"/>
      <c r="AM35" s="22"/>
      <c r="AN35" s="22"/>
      <c r="AO35" s="22" t="str">
        <f>IF(OR($B35="",AO$22=""),"",IF(LEN(VLOOKUP($B35,Database!$B$1:$IX$10144,AO$22,FALSE))=0,"",VLOOKUP($B35,Database!$B$1:$IX$10144,AO$22,FALSE)))</f>
        <v/>
      </c>
      <c r="AP35" s="22" t="str">
        <f>IF(OR($B35="",AP$22=""),"",IF(LEN(VLOOKUP($B35,Database!$B$1:$IX$10144,AP$22,FALSE))=0,"",VLOOKUP($B35,Database!$B$1:$IX$10144,AP$22,FALSE)))</f>
        <v/>
      </c>
      <c r="AQ35" s="22" t="str">
        <f>IF(OR($B35="",AQ$22=""),"",IF(LEN(VLOOKUP($B35,Database!$B$1:$IX$10144,AQ$22,FALSE))=0,"",VLOOKUP($B35,Database!$B$1:$IX$10144,AQ$22,FALSE)))</f>
        <v/>
      </c>
      <c r="AR35" s="22"/>
      <c r="AS35" s="22"/>
      <c r="AT35" s="22"/>
    </row>
    <row r="36" spans="1:47">
      <c r="C36" s="1"/>
      <c r="D36" s="1"/>
      <c r="E36" s="22"/>
      <c r="F36" s="22"/>
      <c r="G36" s="1"/>
      <c r="H36" s="22"/>
      <c r="I36" s="22"/>
      <c r="Y36" s="22"/>
      <c r="Z36" s="22"/>
      <c r="AA36" s="22"/>
      <c r="AB36" s="22"/>
      <c r="AC36" s="22"/>
      <c r="AD36" s="22"/>
      <c r="AE36" s="22"/>
      <c r="AF36" s="22"/>
      <c r="AG36" s="22"/>
      <c r="AH36" s="22"/>
      <c r="AI36" s="22"/>
      <c r="AJ36" s="22"/>
      <c r="AK36" s="22"/>
      <c r="AL36" s="22"/>
      <c r="AM36" s="22"/>
      <c r="AN36" s="22"/>
      <c r="AO36" s="22" t="str">
        <f>IF(OR($B36="",AO$22=""),"",IF(LEN(VLOOKUP($B36,Database!$B$1:$IX$10144,AO$22,FALSE))=0,"",VLOOKUP($B36,Database!$B$1:$IX$10144,AO$22,FALSE)))</f>
        <v/>
      </c>
      <c r="AP36" s="22" t="str">
        <f>IF(OR($B36="",AP$22=""),"",IF(LEN(VLOOKUP($B36,Database!$B$1:$IX$10144,AP$22,FALSE))=0,"",VLOOKUP($B36,Database!$B$1:$IX$10144,AP$22,FALSE)))</f>
        <v/>
      </c>
      <c r="AQ36" s="22" t="str">
        <f>IF(OR($B36="",AQ$22=""),"",IF(LEN(VLOOKUP($B36,Database!$B$1:$IX$10144,AQ$22,FALSE))=0,"",VLOOKUP($B36,Database!$B$1:$IX$10144,AQ$22,FALSE)))</f>
        <v/>
      </c>
      <c r="AR36" s="22"/>
      <c r="AS36" s="22"/>
      <c r="AT36" s="22"/>
    </row>
    <row r="37" spans="1:47">
      <c r="A37" s="4" t="s">
        <v>350</v>
      </c>
      <c r="C37" s="1"/>
      <c r="D37" s="1" t="str">
        <f t="shared" ref="D37:D44" si="1">IF($B37="","",HYPERLINK(CONCATENATE("http://www.ncbi.nlm.nih.gov/pubmed/",B37)))</f>
        <v/>
      </c>
      <c r="E37" s="22" t="str">
        <f>IF($B37="","",IF(LEN(VLOOKUP($B37,Database!$B$1:$IX$10144,4,FALSE))=0,"",VLOOKUP($B37,Database!$B$1:$IX$10144,4,FALSE)))</f>
        <v/>
      </c>
      <c r="F37" s="22" t="str">
        <f>IF($B37="","",IF(LEN(VLOOKUP($B37,Database!$B$1:$IX$10144,5,FALSE))=0,"",VLOOKUP($B37,Database!$B$1:$IX$10144,5,FALSE)))</f>
        <v/>
      </c>
      <c r="G37" s="1" t="str">
        <f>IF($B37="","",HYPERLINK(IF(LEN(VLOOKUP($B37,Database!$B$1:$IX$10144,6,FALSE))=0,"",VLOOKUP($B37,Database!$B$1:$IX$10144,6,FALSE))))</f>
        <v/>
      </c>
      <c r="H37" s="22" t="str">
        <f>IF($B37="","",IF(LEN(VLOOKUP($B37,Database!$B$1:$IX$10144,7,FALSE))=0,"",VLOOKUP($B37,Database!$B$1:$IX$10144,7,FALSE)))</f>
        <v/>
      </c>
      <c r="I37" s="22" t="str">
        <f>IF($B37="","",IF(LEN(VLOOKUP($B37,Database!$B$1:$IX$10144,8,FALSE))=0,"",VLOOKUP($B37,Database!$B$1:$IX$10144,8,FALSE)))</f>
        <v/>
      </c>
      <c r="Y37" s="22" t="str">
        <f>IF(OR($B37="",Y$22=""),"",IF(LEN(VLOOKUP($B37,Database!$B$1:$IX$10144,Y$22,FALSE))=0,"",VLOOKUP($B37,Database!$B$1:$IX$10144,Y$22,FALSE)))</f>
        <v/>
      </c>
      <c r="Z37" s="22" t="str">
        <f>IF(OR($B37="",Z$22=""),"",IF(LEN(VLOOKUP($B37,Database!$B$1:$IX$10144,Z$22,FALSE))=0,"",VLOOKUP($B37,Database!$B$1:$IX$10144,Z$22,FALSE)))</f>
        <v/>
      </c>
      <c r="AA37" s="22" t="str">
        <f>IF(OR($B37="",AA$22=""),"",IF(LEN(VLOOKUP($B37,Database!$B$1:$IX$10144,AA$22,FALSE))=0,"",VLOOKUP($B37,Database!$B$1:$IX$10144,AA$22,FALSE)))</f>
        <v/>
      </c>
      <c r="AB37" s="22" t="str">
        <f>IF(OR($B37="",AB$22=""),"",IF(LEN(VLOOKUP($B37,Database!$B$1:$IX$10144,AB$22,FALSE))=0,"",VLOOKUP($B37,Database!$B$1:$IX$10144,AB$22,FALSE)))</f>
        <v/>
      </c>
      <c r="AC37" s="22" t="str">
        <f>IF(OR($B37="",AC$22=""),"",IF(LEN(VLOOKUP($B37,Database!$B$1:$IX$10144,AC$22,FALSE))=0,"",VLOOKUP($B37,Database!$B$1:$IX$10144,AC$22,FALSE)))</f>
        <v/>
      </c>
      <c r="AD37" s="22" t="str">
        <f>IF(OR($B37="",AD$22=""),"",IF(LEN(VLOOKUP($B37,Database!$B$1:$IX$10144,AD$22,FALSE))=0,"",VLOOKUP($B37,Database!$B$1:$IX$10144,AD$22,FALSE)))</f>
        <v/>
      </c>
      <c r="AE37" s="22" t="str">
        <f>IF(OR($B37="",AE$22=""),"",IF(LEN(VLOOKUP($B37,Database!$B$1:$IX$10144,AE$22,FALSE))=0,"",VLOOKUP($B37,Database!$B$1:$IX$10144,AE$22,FALSE)))</f>
        <v/>
      </c>
      <c r="AF37" s="22" t="str">
        <f>IF(OR($B37="",AF$22=""),"",IF(LEN(VLOOKUP($B37,Database!$B$1:$IX$10144,AF$22,FALSE))=0,"",VLOOKUP($B37,Database!$B$1:$IX$10144,AF$22,FALSE)))</f>
        <v/>
      </c>
      <c r="AG37" s="22" t="str">
        <f>IF(OR($B37="",AG$22=""),"",IF(LEN(VLOOKUP($B37,Database!$B$1:$IX$10144,AG$22,FALSE))=0,"",VLOOKUP($B37,Database!$B$1:$IX$10144,AG$22,FALSE)))</f>
        <v/>
      </c>
      <c r="AH37" s="22" t="str">
        <f>IF(OR($B37="",AH$22=""),"",IF(LEN(VLOOKUP($B37,Database!$B$1:$IX$10144,AH$22,FALSE))=0,"",VLOOKUP($B37,Database!$B$1:$IX$10144,AH$22,FALSE)))</f>
        <v/>
      </c>
      <c r="AI37" s="22" t="str">
        <f>IF(OR($B37="",AI$22=""),"",IF(LEN(VLOOKUP($B37,Database!$B$1:$IX$10144,AI$22,FALSE))=0,"",VLOOKUP($B37,Database!$B$1:$IX$10144,AI$22,FALSE)))</f>
        <v/>
      </c>
      <c r="AJ37" s="22" t="str">
        <f>IF(OR($B37="",AJ$22=""),"",IF(LEN(VLOOKUP($B37,Database!$B$1:$IX$10144,AJ$22,FALSE))=0,"",VLOOKUP($B37,Database!$B$1:$IX$10144,AJ$22,FALSE)))</f>
        <v/>
      </c>
      <c r="AK37" s="22" t="str">
        <f>IF(OR($B37="",AK$22=""),"",IF(LEN(VLOOKUP($B37,Database!$B$1:$IX$10144,AK$22,FALSE))=0,"",VLOOKUP($B37,Database!$B$1:$IX$10144,AK$22,FALSE)))</f>
        <v/>
      </c>
      <c r="AL37" s="22" t="str">
        <f>IF(OR($B37="",AL$22=""),"",IF(LEN(VLOOKUP($B37,Database!$B$1:$IX$10144,AL$22,FALSE))=0,"",VLOOKUP($B37,Database!$B$1:$IX$10144,AL$22,FALSE)))</f>
        <v/>
      </c>
      <c r="AM37" s="22" t="str">
        <f>IF(OR($B37="",AM$22=""),"",IF(LEN(VLOOKUP($B37,Database!$B$1:$IX$10144,AM$22,FALSE))=0,"",VLOOKUP($B37,Database!$B$1:$IX$10144,AM$22,FALSE)))</f>
        <v/>
      </c>
      <c r="AN37" s="22" t="str">
        <f>IF(OR($B37="",AN$22=""),"",IF(LEN(VLOOKUP($B37,Database!$B$1:$IX$10144,AN$22,FALSE))=0,"",VLOOKUP($B37,Database!$B$1:$IX$10144,AN$22,FALSE)))</f>
        <v/>
      </c>
      <c r="AO37" s="22" t="str">
        <f>IF(OR($B37="",AO$22=""),"",IF(LEN(VLOOKUP($B37,Database!$B$1:$IX$10144,AO$22,FALSE))=0,"",VLOOKUP($B37,Database!$B$1:$IX$10144,AO$22,FALSE)))</f>
        <v/>
      </c>
      <c r="AP37" s="22" t="str">
        <f>IF(OR($B37="",AP$22=""),"",IF(LEN(VLOOKUP($B37,Database!$B$1:$IX$10144,AP$22,FALSE))=0,"",VLOOKUP($B37,Database!$B$1:$IX$10144,AP$22,FALSE)))</f>
        <v/>
      </c>
      <c r="AQ37" s="22" t="str">
        <f>IF(OR($B37="",AQ$22=""),"",IF(LEN(VLOOKUP($B37,Database!$B$1:$IX$10144,AQ$22,FALSE))=0,"",VLOOKUP($B37,Database!$B$1:$IX$10144,AQ$22,FALSE)))</f>
        <v/>
      </c>
      <c r="AR37" s="22"/>
      <c r="AS37" s="22"/>
      <c r="AT37" s="22"/>
    </row>
    <row r="38" spans="1:47">
      <c r="A38" s="10" t="s">
        <v>2323</v>
      </c>
      <c r="B38">
        <v>10366636</v>
      </c>
      <c r="C38" s="1" t="str">
        <f>IF($B38="","",HYPERLINK(IF(LEN(VLOOKUP($B38,Database!$B$1:$IX$10144,2,FALSE))=0,"",VLOOKUP($B38,Database!$B$1:$IX$10144,2,FALSE))))</f>
        <v/>
      </c>
      <c r="D38" s="1" t="str">
        <f t="shared" si="1"/>
        <v>http://www.ncbi.nlm.nih.gov/pubmed/10366636</v>
      </c>
      <c r="E38" s="22" t="str">
        <f>IF($B38="","",IF(LEN(VLOOKUP($B38,Database!$B$1:$IX$10144,4,FALSE))=0,"",VLOOKUP($B38,Database!$B$1:$IX$10144,4,FALSE)))</f>
        <v>Sheline YI</v>
      </c>
      <c r="F38" s="22">
        <f>IF($B38="","",IF(LEN(VLOOKUP($B38,Database!$B$1:$IX$10144,5,FALSE))=0,"",VLOOKUP($B38,Database!$B$1:$IX$10144,5,FALSE)))</f>
        <v>1999</v>
      </c>
      <c r="G38" s="1" t="str">
        <f>IF($B38="","",HYPERLINK(IF(LEN(VLOOKUP($B38,Database!$B$1:$IX$10144,6,FALSE))=0,"",VLOOKUP($B38,Database!$B$1:$IX$10144,6,FALSE))))</f>
        <v>http://ajp.psychiatryonline.org/cgi/reprint/156/12/1989</v>
      </c>
      <c r="H38" s="22">
        <f>IF($B38="","",IF(LEN(VLOOKUP($B38,Database!$B$1:$IX$10144,7,FALSE))=0,"",VLOOKUP($B38,Database!$B$1:$IX$10144,7,FALSE)))</f>
        <v>24</v>
      </c>
      <c r="I38" s="22">
        <f>IF($B38="","",IF(LEN(VLOOKUP($B38,Database!$B$1:$IX$10144,8,FALSE))=0,"",VLOOKUP($B38,Database!$B$1:$IX$10144,8,FALSE)))</f>
        <v>24</v>
      </c>
      <c r="J38" t="s">
        <v>939</v>
      </c>
      <c r="L38">
        <v>2230</v>
      </c>
      <c r="M38">
        <v>323</v>
      </c>
      <c r="N38">
        <v>2482</v>
      </c>
      <c r="O38">
        <v>305</v>
      </c>
      <c r="P38">
        <v>2264</v>
      </c>
      <c r="Q38">
        <v>320</v>
      </c>
      <c r="R38">
        <v>2468</v>
      </c>
      <c r="S38">
        <v>309</v>
      </c>
      <c r="T38">
        <v>4496</v>
      </c>
      <c r="U38">
        <v>602</v>
      </c>
      <c r="V38">
        <v>4951</v>
      </c>
      <c r="W38">
        <v>601</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c r="AC38" s="22"/>
      <c r="AD38" s="22">
        <f>IF(OR($B38="",AD$22=""),"",IF(LEN(VLOOKUP($B38,Database!$B$1:$IX$10144,AD$22,FALSE))=0,"",VLOOKUP($B38,Database!$B$1:$IX$10144,AD$22,FALSE)))</f>
        <v>52.8</v>
      </c>
      <c r="AE38" s="22">
        <f>IF(OR($B38="",AE$22=""),"",IF(LEN(VLOOKUP($B38,Database!$B$1:$IX$10144,AE$22,FALSE))=0,"",VLOOKUP($B38,Database!$B$1:$IX$10144,AE$22,FALSE)))</f>
        <v>17.8</v>
      </c>
      <c r="AF38" s="22">
        <f>IF(OR($B38="",AF$22=""),"",IF(LEN(VLOOKUP($B38,Database!$B$1:$IX$10144,AF$22,FALSE))=0,"",VLOOKUP($B38,Database!$B$1:$IX$10144,AF$22,FALSE)))</f>
        <v>24</v>
      </c>
      <c r="AG38" s="22">
        <f>IF(OR($B38="",AG$22=""),"",IF(LEN(VLOOKUP($B38,Database!$B$1:$IX$10144,AG$22,FALSE))=0,"",VLOOKUP($B38,Database!$B$1:$IX$10144,AG$22,FALSE)))</f>
        <v>24</v>
      </c>
      <c r="AH38" s="22">
        <f>IF(OR($B38="",AH$22=""),"",IF(LEN(VLOOKUP($B38,Database!$B$1:$IX$10144,AH$22,FALSE))=0,"",VLOOKUP($B38,Database!$B$1:$IX$10144,AH$22,FALSE)))</f>
        <v>1.5</v>
      </c>
      <c r="AI38" s="22">
        <f>IF(OR($B38="",AI$22=""),"",IF(LEN(VLOOKUP($B38,Database!$B$1:$IX$10144,AI$22,FALSE))=0,"",VLOOKUP($B38,Database!$B$1:$IX$10144,AI$22,FALSE)))</f>
        <v>1.25</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f>IF(OR($B38="",AM$22=""),"",IF(LEN(VLOOKUP($B38,Database!$B$1:$IX$10144,AM$22,FALSE))=0,"",VLOOKUP($B38,Database!$B$1:$IX$10144,AM$22,FALSE)))</f>
        <v>66.666666666666657</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Sheline YI, Sanghavi M, Mintun MA, Gado MH.</v>
      </c>
      <c r="AR38" s="22"/>
      <c r="AS38" s="22"/>
      <c r="AT38" s="22"/>
      <c r="AU38" s="22"/>
    </row>
    <row r="39" spans="1:47">
      <c r="A39" s="7" t="s">
        <v>25</v>
      </c>
      <c r="B39">
        <v>10618023</v>
      </c>
      <c r="C39" s="1" t="str">
        <f>IF($B39="","",HYPERLINK(IF(LEN(VLOOKUP($B39,Database!$B$1:$IX$10144,2,FALSE))=0,"",VLOOKUP($B39,Database!$B$1:$IX$10144,2,FALSE))))</f>
        <v/>
      </c>
      <c r="D39" s="1" t="str">
        <f t="shared" si="1"/>
        <v>http://www.ncbi.nlm.nih.gov/pubmed/10618023</v>
      </c>
      <c r="E39" s="22" t="str">
        <f>IF($B39="","",IF(LEN(VLOOKUP($B39,Database!$B$1:$IX$10144,4,FALSE))=0,"",VLOOKUP($B39,Database!$B$1:$IX$10144,4,FALSE)))</f>
        <v>Bremner JD</v>
      </c>
      <c r="F39" s="22">
        <f>IF($B39="","",IF(LEN(VLOOKUP($B39,Database!$B$1:$IX$10144,5,FALSE))=0,"",VLOOKUP($B39,Database!$B$1:$IX$10144,5,FALSE)))</f>
        <v>2000</v>
      </c>
      <c r="G39" s="1" t="str">
        <f>IF($B39="","",HYPERLINK(IF(LEN(VLOOKUP($B39,Database!$B$1:$IX$10144,6,FALSE))=0,"",VLOOKUP($B39,Database!$B$1:$IX$10144,6,FALSE))))</f>
        <v>http://ajp.psychiatryonline.org/cgi/reprint/157/1/115</v>
      </c>
      <c r="H39" s="22">
        <f>IF($B39="","",IF(LEN(VLOOKUP($B39,Database!$B$1:$IX$10144,7,FALSE))=0,"",VLOOKUP($B39,Database!$B$1:$IX$10144,7,FALSE)))</f>
        <v>16</v>
      </c>
      <c r="I39" s="22">
        <f>IF($B39="","",IF(LEN(VLOOKUP($B39,Database!$B$1:$IX$10144,8,FALSE))=0,"",VLOOKUP($B39,Database!$B$1:$IX$10144,8,FALSE)))</f>
        <v>16</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43</v>
      </c>
      <c r="AC39" s="22">
        <f>IF(OR($B39="",AC$22=""),"",IF(LEN(VLOOKUP($B39,Database!$B$1:$IX$10144,AC$22,FALSE))=0,"",VLOOKUP($B39,Database!$B$1:$IX$10144,AC$22,FALSE)))</f>
        <v>8</v>
      </c>
      <c r="AD39" s="22">
        <f>IF(OR($B39="",AD$22=""),"",IF(LEN(VLOOKUP($B39,Database!$B$1:$IX$10144,AD$22,FALSE))=0,"",VLOOKUP($B39,Database!$B$1:$IX$10144,AD$22,FALSE)))</f>
        <v>45</v>
      </c>
      <c r="AE39" s="22">
        <f>IF(OR($B39="",AE$22=""),"",IF(LEN(VLOOKUP($B39,Database!$B$1:$IX$10144,AE$22,FALSE))=0,"",VLOOKUP($B39,Database!$B$1:$IX$10144,AE$22,FALSE)))</f>
        <v>10</v>
      </c>
      <c r="AF39" s="22">
        <f>IF(OR($B39="",AF$22=""),"",IF(LEN(VLOOKUP($B39,Database!$B$1:$IX$10144,AF$22,FALSE))=0,"",VLOOKUP($B39,Database!$B$1:$IX$10144,AF$22,FALSE)))</f>
        <v>6</v>
      </c>
      <c r="AG39" s="22">
        <f>IF(OR($B39="",AG$22=""),"",IF(LEN(VLOOKUP($B39,Database!$B$1:$IX$10144,AG$22,FALSE))=0,"",VLOOKUP($B39,Database!$B$1:$IX$10144,AG$22,FALSE)))</f>
        <v>6</v>
      </c>
      <c r="AH39" s="22">
        <f>IF(OR($B39="",AH$22=""),"",IF(LEN(VLOOKUP($B39,Database!$B$1:$IX$10144,AH$22,FALSE))=0,"",VLOOKUP($B39,Database!$B$1:$IX$10144,AH$22,FALSE)))</f>
        <v>1.5</v>
      </c>
      <c r="AI39" s="22">
        <f>IF(OR($B39="",AI$22=""),"",IF(LEN(VLOOKUP($B39,Database!$B$1:$IX$10144,AI$22,FALSE))=0,"",VLOOKUP($B39,Database!$B$1:$IX$10144,AI$22,FALSE)))</f>
        <v>3</v>
      </c>
      <c r="AJ39" s="22" t="str">
        <f>IF(OR($B39="",AJ$22=""),"",IF(LEN(VLOOKUP($B39,Database!$B$1:$IX$10144,AJ$22,FALSE))=0,"",VLOOKUP($B39,Database!$B$1:$IX$10144,AJ$22,FALSE)))</f>
        <v/>
      </c>
      <c r="AK39" s="22" t="str">
        <f>IF(OR($B39="",AK$22=""),"",IF(LEN(VLOOKUP($B39,Database!$B$1:$IX$10144,AK$22,FALSE))=0,"",VLOOKUP($B39,Database!$B$1:$IX$10144,AK$22,FALSE)))</f>
        <v>ns</v>
      </c>
      <c r="AL39" s="22" t="str">
        <f>IF(OR($B39="",AL$22=""),"",IF(LEN(VLOOKUP($B39,Database!$B$1:$IX$10144,AL$22,FALSE))=0,"",VLOOKUP($B39,Database!$B$1:$IX$10144,AL$22,FALSE)))</f>
        <v>ns</v>
      </c>
      <c r="AM39" s="22">
        <f>IF(OR($B39="",AM$22=""),"",IF(LEN(VLOOKUP($B39,Database!$B$1:$IX$10144,AM$22,FALSE))=0,"",VLOOKUP($B39,Database!$B$1:$IX$10144,AM$22,FALSE)))</f>
        <v>100</v>
      </c>
      <c r="AN39" s="22">
        <f>IF(OR($B39="",AN$22=""),"",IF(LEN(VLOOKUP($B39,Database!$B$1:$IX$10144,AN$22,FALSE))=0,"",VLOOKUP($B39,Database!$B$1:$IX$10144,AN$22,FALSE)))</f>
        <v>0</v>
      </c>
      <c r="AO39" s="22">
        <f>IF(OR($B39="",AO$22=""),"",IF(LEN(VLOOKUP($B39,Database!$B$1:$IX$10144,AO$22,FALSE))=0,"",VLOOKUP($B39,Database!$B$1:$IX$10144,AO$22,FALSE)))</f>
        <v>0</v>
      </c>
      <c r="AP39" s="22">
        <f>IF(OR($B39="",AP$22=""),"",IF(LEN(VLOOKUP($B39,Database!$B$1:$IX$10144,AP$22,FALSE))=0,"",VLOOKUP($B39,Database!$B$1:$IX$10144,AP$22,FALSE)))</f>
        <v>0</v>
      </c>
      <c r="AQ39" s="22" t="str">
        <f>IF(OR($B39="",AQ$22=""),"",IF(LEN(VLOOKUP($B39,Database!$B$1:$IX$10144,AQ$22,FALSE))=0,"",VLOOKUP($B39,Database!$B$1:$IX$10144,AQ$22,FALSE)))</f>
        <v>Bremner JD, Narayan M, Anderson ER, Staib LH, Miller HL, Charney DS.</v>
      </c>
      <c r="AR39" s="22"/>
      <c r="AS39" s="22"/>
      <c r="AT39" s="22"/>
      <c r="AU39" s="22"/>
    </row>
    <row r="40" spans="1:47">
      <c r="A40" s="10" t="s">
        <v>2015</v>
      </c>
      <c r="B40">
        <v>16930719</v>
      </c>
      <c r="C40" s="1" t="str">
        <f>IF($B40="","",HYPERLINK(IF(LEN(VLOOKUP($B40,Database!$B$1:$IX$10144,2,FALSE))=0,"",VLOOKUP($B40,Database!$B$1:$IX$10144,2,FALSE))))</f>
        <v/>
      </c>
      <c r="D40" s="1" t="str">
        <f t="shared" si="1"/>
        <v>http://www.ncbi.nlm.nih.gov/pubmed/16930719</v>
      </c>
      <c r="E40" s="22" t="str">
        <f>IF($B40="","",IF(LEN(VLOOKUP($B40,Database!$B$1:$IX$10144,4,FALSE))=0,"",VLOOKUP($B40,Database!$B$1:$IX$10144,4,FALSE)))</f>
        <v>Hickie IB (A)</v>
      </c>
      <c r="F40" s="22">
        <f>IF($B40="","",IF(LEN(VLOOKUP($B40,Database!$B$1:$IX$10144,5,FALSE))=0,"",VLOOKUP($B40,Database!$B$1:$IX$10144,5,FALSE)))</f>
        <v>2007</v>
      </c>
      <c r="G40" s="1" t="str">
        <f>IF($B40="","",HYPERLINK(IF(LEN(VLOOKUP($B40,Database!$B$1:$IX$10144,6,FALSE))=0,"",VLOOKUP($B40,Database!$B$1:$IX$10144,6,FALSE))))</f>
        <v>http://dx.doi.org/10.1016/j.jad.2006.07.010</v>
      </c>
      <c r="H40" s="22">
        <f>IF($B40="","",IF(LEN(VLOOKUP($B40,Database!$B$1:$IX$10144,7,FALSE))=0,"",VLOOKUP($B40,Database!$B$1:$IX$10144,7,FALSE)))</f>
        <v>45</v>
      </c>
      <c r="I40" s="22">
        <f>IF($B40="","",IF(LEN(VLOOKUP($B40,Database!$B$1:$IX$10144,8,FALSE))=0,"",VLOOKUP($B40,Database!$B$1:$IX$10144,8,FALSE)))</f>
        <v>16</v>
      </c>
      <c r="J40" t="s">
        <v>1224</v>
      </c>
      <c r="T40">
        <v>5.9</v>
      </c>
      <c r="U40">
        <v>0.7</v>
      </c>
      <c r="V40">
        <v>6.4</v>
      </c>
      <c r="W40">
        <v>0.7</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52</v>
      </c>
      <c r="AC40" s="22">
        <f>IF(OR($B40="",AC$22=""),"",IF(LEN(VLOOKUP($B40,Database!$B$1:$IX$10144,AC$22,FALSE))=0,"",VLOOKUP($B40,Database!$B$1:$IX$10144,AC$22,FALSE)))</f>
        <v>12.8</v>
      </c>
      <c r="AD40" s="22">
        <f>IF(OR($B40="",AD$22=""),"",IF(LEN(VLOOKUP($B40,Database!$B$1:$IX$10144,AD$22,FALSE))=0,"",VLOOKUP($B40,Database!$B$1:$IX$10144,AD$22,FALSE)))</f>
        <v>55.8</v>
      </c>
      <c r="AE40" s="22">
        <f>IF(OR($B40="",AE$22=""),"",IF(LEN(VLOOKUP($B40,Database!$B$1:$IX$10144,AE$22,FALSE))=0,"",VLOOKUP($B40,Database!$B$1:$IX$10144,AE$22,FALSE)))</f>
        <v>10.3</v>
      </c>
      <c r="AF40" s="22">
        <f>IF(OR($B40="",AF$22=""),"",IF(LEN(VLOOKUP($B40,Database!$B$1:$IX$10144,AF$22,FALSE))=0,"",VLOOKUP($B40,Database!$B$1:$IX$10144,AF$22,FALSE)))</f>
        <v>30</v>
      </c>
      <c r="AG40" s="22">
        <f>IF(OR($B40="",AG$22=""),"",IF(LEN(VLOOKUP($B40,Database!$B$1:$IX$10144,AG$22,FALSE))=0,"",VLOOKUP($B40,Database!$B$1:$IX$10144,AG$22,FALSE)))</f>
        <v>9</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f>IF(OR($B40="",AK$22=""),"",IF(LEN(VLOOKUP($B40,Database!$B$1:$IX$10144,AK$22,FALSE))=0,"",VLOOKUP($B40,Database!$B$1:$IX$10144,AK$22,FALSE)))</f>
        <v>36.1</v>
      </c>
      <c r="AL40" s="22">
        <f>IF(OR($B40="",AL$22=""),"",IF(LEN(VLOOKUP($B40,Database!$B$1:$IX$10144,AL$22,FALSE))=0,"",VLOOKUP($B40,Database!$B$1:$IX$10144,AL$22,FALSE)))</f>
        <v>26.8</v>
      </c>
      <c r="AM40" s="22">
        <f>IF(OR($B40="",AM$22=""),"",IF(LEN(VLOOKUP($B40,Database!$B$1:$IX$10144,AM$22,FALSE))=0,"",VLOOKUP($B40,Database!$B$1:$IX$10144,AM$22,FALSE)))</f>
        <v>64.444444444444443</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Hickie IB, Naismith SL, Ward PB, Scott EM, Mitchell PB, Schofield PR, Scimone A, Wilhelm K, Parker G.</v>
      </c>
      <c r="AR40" s="22"/>
      <c r="AS40" s="22"/>
      <c r="AT40" s="22"/>
      <c r="AU40" s="22"/>
    </row>
    <row r="41" spans="1:47">
      <c r="A41" s="10" t="s">
        <v>2016</v>
      </c>
      <c r="B41">
        <v>17210630</v>
      </c>
      <c r="C41" s="1" t="str">
        <f>IF($B41="","",HYPERLINK(IF(LEN(VLOOKUP($B41,Database!$B$1:$IX$10144,2,FALSE))=0,"",VLOOKUP($B41,Database!$B$1:$IX$10144,2,FALSE))))</f>
        <v/>
      </c>
      <c r="D41" s="1" t="str">
        <f t="shared" si="1"/>
        <v>http://www.ncbi.nlm.nih.gov/pubmed/17210630</v>
      </c>
      <c r="E41" s="22" t="str">
        <f>IF($B41="","",IF(LEN(VLOOKUP($B41,Database!$B$1:$IX$10144,4,FALSE))=0,"",VLOOKUP($B41,Database!$B$1:$IX$10144,4,FALSE)))</f>
        <v>Janssen J</v>
      </c>
      <c r="F41" s="22">
        <f>IF($B41="","",IF(LEN(VLOOKUP($B41,Database!$B$1:$IX$10144,5,FALSE))=0,"",VLOOKUP($B41,Database!$B$1:$IX$10144,5,FALSE)))</f>
        <v>2007</v>
      </c>
      <c r="G41" s="1" t="str">
        <f>IF($B41="","",HYPERLINK(IF(LEN(VLOOKUP($B41,Database!$B$1:$IX$10144,6,FALSE))=0,"",VLOOKUP($B41,Database!$B$1:$IX$10144,6,FALSE))))</f>
        <v>http://jnnp.bmj.com/cgi/reprint/78/6/638</v>
      </c>
      <c r="H41" s="83">
        <v>13</v>
      </c>
      <c r="I41" s="83">
        <v>11</v>
      </c>
      <c r="J41" t="s">
        <v>877</v>
      </c>
      <c r="K41" t="s">
        <v>1225</v>
      </c>
      <c r="M41" s="10"/>
      <c r="T41">
        <v>5.51</v>
      </c>
      <c r="U41" s="10"/>
      <c r="V41">
        <v>6</v>
      </c>
      <c r="W41" s="10"/>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f>IF(OR($B41="",AD$22=""),"",IF(LEN(VLOOKUP($B41,Database!$B$1:$IX$10144,AD$22,FALSE))=0,"",VLOOKUP($B41,Database!$B$1:$IX$10144,AD$22,FALSE)))</f>
        <v>71.05</v>
      </c>
      <c r="AE41" s="22">
        <f>IF(OR($B41="",AE$22=""),"",IF(LEN(VLOOKUP($B41,Database!$B$1:$IX$10144,AE$22,FALSE))=0,"",VLOOKUP($B41,Database!$B$1:$IX$10144,AE$22,FALSE)))</f>
        <v>7.5</v>
      </c>
      <c r="AF41" s="22">
        <f>IF(OR($B41="",AF$22=""),"",IF(LEN(VLOOKUP($B41,Database!$B$1:$IX$10144,AF$22,FALSE))=0,"",VLOOKUP($B41,Database!$B$1:$IX$10144,AF$22,FALSE)))</f>
        <v>28</v>
      </c>
      <c r="AG41" s="22">
        <f>IF(OR($B41="",AG$22=""),"",IF(LEN(VLOOKUP($B41,Database!$B$1:$IX$10144,AG$22,FALSE))=0,"",VLOOKUP($B41,Database!$B$1:$IX$10144,AG$22,FALSE)))</f>
        <v>22</v>
      </c>
      <c r="AH41" s="22">
        <f>IF(OR($B41="",AH$22=""),"",IF(LEN(VLOOKUP($B41,Database!$B$1:$IX$10144,AH$22,FALSE))=0,"",VLOOKUP($B41,Database!$B$1:$IX$10144,AH$22,FALSE)))</f>
        <v>1.5</v>
      </c>
      <c r="AI41" s="22" t="str">
        <f>IF(OR($B41="",AI$22=""),"",IF(LEN(VLOOKUP($B41,Database!$B$1:$IX$10144,AI$22,FALSE))=0,"",VLOOKUP($B41,Database!$B$1:$IX$10144,AI$22,FALSE)))</f>
        <v>ns</v>
      </c>
      <c r="AJ41" s="22" t="str">
        <f>IF(OR($B41="",AJ$22=""),"",IF(LEN(VLOOKUP($B41,Database!$B$1:$IX$10144,AJ$22,FALSE))=0,"",VLOOKUP($B41,Database!$B$1:$IX$10144,AJ$22,FALSE)))</f>
        <v/>
      </c>
      <c r="AK41" s="22">
        <f>IF(OR($B41="",AK$22=""),"",IF(LEN(VLOOKUP($B41,Database!$B$1:$IX$10144,AK$22,FALSE))=0,"",VLOOKUP($B41,Database!$B$1:$IX$10144,AK$22,FALSE)))</f>
        <v>33.619999999999997</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Janssen J, Hulshoff Pol HE, de Leeuw FE, Schnack HG, Lampe IK, Kok RM, Kahn RS, Heeren TJ.</v>
      </c>
      <c r="AR41" s="22"/>
      <c r="AS41" s="22"/>
      <c r="AT41" s="22"/>
      <c r="AU41" s="22"/>
    </row>
    <row r="42" spans="1:47">
      <c r="A42" s="10" t="s">
        <v>2016</v>
      </c>
      <c r="B42">
        <v>17210630</v>
      </c>
      <c r="C42" s="1" t="str">
        <f>IF($B42="","",HYPERLINK(IF(LEN(VLOOKUP($B42,Database!$B$1:$IX$10144,2,FALSE))=0,"",VLOOKUP($B42,Database!$B$1:$IX$10144,2,FALSE))))</f>
        <v/>
      </c>
      <c r="D42" s="1" t="str">
        <f t="shared" si="1"/>
        <v>http://www.ncbi.nlm.nih.gov/pubmed/17210630</v>
      </c>
      <c r="E42" s="22" t="str">
        <f>IF($B42="","",IF(LEN(VLOOKUP($B42,Database!$B$1:$IX$10144,4,FALSE))=0,"",VLOOKUP($B42,Database!$B$1:$IX$10144,4,FALSE)))</f>
        <v>Janssen J</v>
      </c>
      <c r="F42" s="22">
        <f>IF($B42="","",IF(LEN(VLOOKUP($B42,Database!$B$1:$IX$10144,5,FALSE))=0,"",VLOOKUP($B42,Database!$B$1:$IX$10144,5,FALSE)))</f>
        <v>2007</v>
      </c>
      <c r="G42" s="1" t="str">
        <f>IF($B42="","",HYPERLINK(IF(LEN(VLOOKUP($B42,Database!$B$1:$IX$10144,6,FALSE))=0,"",VLOOKUP($B42,Database!$B$1:$IX$10144,6,FALSE))))</f>
        <v>http://jnnp.bmj.com/cgi/reprint/78/6/638</v>
      </c>
      <c r="H42" s="83">
        <v>15</v>
      </c>
      <c r="I42" s="83">
        <v>11</v>
      </c>
      <c r="J42" t="s">
        <v>877</v>
      </c>
      <c r="K42" t="s">
        <v>1366</v>
      </c>
      <c r="M42" s="10"/>
      <c r="T42">
        <v>5.92</v>
      </c>
      <c r="U42" s="10"/>
      <c r="V42">
        <v>6</v>
      </c>
      <c r="W42" s="10"/>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t="str">
        <f>IF(OR($B42="",AB$22=""),"",IF(LEN(VLOOKUP($B42,Database!$B$1:$IX$10144,AB$22,FALSE))=0,"",VLOOKUP($B42,Database!$B$1:$IX$10144,AB$22,FALSE)))</f>
        <v/>
      </c>
      <c r="AC42" s="22" t="str">
        <f>IF(OR($B42="",AC$22=""),"",IF(LEN(VLOOKUP($B42,Database!$B$1:$IX$10144,AC$22,FALSE))=0,"",VLOOKUP($B42,Database!$B$1:$IX$10144,AC$22,FALSE)))</f>
        <v/>
      </c>
      <c r="AD42" s="22">
        <f>IF(OR($B42="",AD$22=""),"",IF(LEN(VLOOKUP($B42,Database!$B$1:$IX$10144,AD$22,FALSE))=0,"",VLOOKUP($B42,Database!$B$1:$IX$10144,AD$22,FALSE)))</f>
        <v>71.05</v>
      </c>
      <c r="AE42" s="22">
        <f>IF(OR($B42="",AE$22=""),"",IF(LEN(VLOOKUP($B42,Database!$B$1:$IX$10144,AE$22,FALSE))=0,"",VLOOKUP($B42,Database!$B$1:$IX$10144,AE$22,FALSE)))</f>
        <v>7.5</v>
      </c>
      <c r="AF42" s="22">
        <f>IF(OR($B42="",AF$22=""),"",IF(LEN(VLOOKUP($B42,Database!$B$1:$IX$10144,AF$22,FALSE))=0,"",VLOOKUP($B42,Database!$B$1:$IX$10144,AF$22,FALSE)))</f>
        <v>28</v>
      </c>
      <c r="AG42" s="22">
        <f>IF(OR($B42="",AG$22=""),"",IF(LEN(VLOOKUP($B42,Database!$B$1:$IX$10144,AG$22,FALSE))=0,"",VLOOKUP($B42,Database!$B$1:$IX$10144,AG$22,FALSE)))</f>
        <v>22</v>
      </c>
      <c r="AH42" s="22">
        <f>IF(OR($B42="",AH$22=""),"",IF(LEN(VLOOKUP($B42,Database!$B$1:$IX$10144,AH$22,FALSE))=0,"",VLOOKUP($B42,Database!$B$1:$IX$10144,AH$22,FALSE)))</f>
        <v>1.5</v>
      </c>
      <c r="AI42" s="22" t="str">
        <f>IF(OR($B42="",AI$22=""),"",IF(LEN(VLOOKUP($B42,Database!$B$1:$IX$10144,AI$22,FALSE))=0,"",VLOOKUP($B42,Database!$B$1:$IX$10144,AI$22,FALSE)))</f>
        <v>ns</v>
      </c>
      <c r="AJ42" s="22" t="str">
        <f>IF(OR($B42="",AJ$22=""),"",IF(LEN(VLOOKUP($B42,Database!$B$1:$IX$10144,AJ$22,FALSE))=0,"",VLOOKUP($B42,Database!$B$1:$IX$10144,AJ$22,FALSE)))</f>
        <v/>
      </c>
      <c r="AK42" s="22">
        <f>IF(OR($B42="",AK$22=""),"",IF(LEN(VLOOKUP($B42,Database!$B$1:$IX$10144,AK$22,FALSE))=0,"",VLOOKUP($B42,Database!$B$1:$IX$10144,AK$22,FALSE)))</f>
        <v>33.619999999999997</v>
      </c>
      <c r="AL42" s="22" t="str">
        <f>IF(OR($B42="",AL$22=""),"",IF(LEN(VLOOKUP($B42,Database!$B$1:$IX$10144,AL$22,FALSE))=0,"",VLOOKUP($B42,Database!$B$1:$IX$10144,AL$22,FALSE)))</f>
        <v>ns</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Janssen J, Hulshoff Pol HE, de Leeuw FE, Schnack HG, Lampe IK, Kok RM, Kahn RS, Heeren TJ.</v>
      </c>
      <c r="AR42" s="22"/>
      <c r="AS42" s="22"/>
      <c r="AT42" s="22"/>
      <c r="AU42" s="22"/>
    </row>
    <row r="43" spans="1:47">
      <c r="A43" s="7" t="s">
        <v>26</v>
      </c>
      <c r="B43">
        <v>18515903</v>
      </c>
      <c r="C43" s="1" t="str">
        <f>IF($B43="","",HYPERLINK(IF(LEN(VLOOKUP($B43,Database!$B$1:$IX$10144,2,FALSE))=0,"",VLOOKUP($B43,Database!$B$1:$IX$10144,2,FALSE))))</f>
        <v/>
      </c>
      <c r="D43" s="1" t="str">
        <f t="shared" si="1"/>
        <v>http://www.ncbi.nlm.nih.gov/pubmed/18515903</v>
      </c>
      <c r="E43" s="22" t="str">
        <f>IF($B43="","",IF(LEN(VLOOKUP($B43,Database!$B$1:$IX$10144,4,FALSE))=0,"",VLOOKUP($B43,Database!$B$1:$IX$10144,4,FALSE)))</f>
        <v>Kronmüller KT</v>
      </c>
      <c r="F43" s="22">
        <f>IF($B43="","",IF(LEN(VLOOKUP($B43,Database!$B$1:$IX$10144,5,FALSE))=0,"",VLOOKUP($B43,Database!$B$1:$IX$10144,5,FALSE)))</f>
        <v>2008</v>
      </c>
      <c r="G43" s="1" t="str">
        <f>IF($B43="","",HYPERLINK(IF(LEN(VLOOKUP($B43,Database!$B$1:$IX$10144,6,FALSE))=0,"",VLOOKUP($B43,Database!$B$1:$IX$10144,6,FALSE))))</f>
        <v>http://bjp.rcpsych.org/cgi/content/full/192/6/472</v>
      </c>
      <c r="H43" s="22">
        <f>IF($B43="","",IF(LEN(VLOOKUP($B43,Database!$B$1:$IX$10144,7,FALSE))=0,"",VLOOKUP($B43,Database!$B$1:$IX$10144,7,FALSE)))</f>
        <v>49</v>
      </c>
      <c r="I43" s="22">
        <f>IF($B43="","",IF(LEN(VLOOKUP($B43,Database!$B$1:$IX$10144,8,FALSE))=0,"",VLOOKUP($B43,Database!$B$1:$IX$10144,8,FALSE)))</f>
        <v>30</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t="str">
        <f>IF(OR($B43="",AB$22=""),"",IF(LEN(VLOOKUP($B43,Database!$B$1:$IX$10144,AB$22,FALSE))=0,"",VLOOKUP($B43,Database!$B$1:$IX$10144,AB$22,FALSE)))</f>
        <v/>
      </c>
      <c r="AC43" s="22" t="str">
        <f>IF(OR($B43="",AC$22=""),"",IF(LEN(VLOOKUP($B43,Database!$B$1:$IX$10144,AC$22,FALSE))=0,"",VLOOKUP($B43,Database!$B$1:$IX$10144,AC$22,FALSE)))</f>
        <v/>
      </c>
      <c r="AD43" s="22" t="str">
        <f>IF(OR($B43="",AD$22=""),"",IF(LEN(VLOOKUP($B43,Database!$B$1:$IX$10144,AD$22,FALSE))=0,"",VLOOKUP($B43,Database!$B$1:$IX$10144,AD$22,FALSE)))</f>
        <v/>
      </c>
      <c r="AE43" s="22" t="str">
        <f>IF(OR($B43="",AE$22=""),"",IF(LEN(VLOOKUP($B43,Database!$B$1:$IX$10144,AE$22,FALSE))=0,"",VLOOKUP($B43,Database!$B$1:$IX$10144,AE$22,FALSE)))</f>
        <v/>
      </c>
      <c r="AF43" s="22" t="str">
        <f>IF(OR($B43="",AF$22=""),"",IF(LEN(VLOOKUP($B43,Database!$B$1:$IX$10144,AF$22,FALSE))=0,"",VLOOKUP($B43,Database!$B$1:$IX$10144,AF$22,FALSE)))</f>
        <v/>
      </c>
      <c r="AG43" s="22" t="str">
        <f>IF(OR($B43="",AG$22=""),"",IF(LEN(VLOOKUP($B43,Database!$B$1:$IX$10144,AG$22,FALSE))=0,"",VLOOKUP($B43,Database!$B$1:$IX$10144,AG$22,FALSE)))</f>
        <v/>
      </c>
      <c r="AH43" s="22">
        <f>IF(OR($B43="",AH$22=""),"",IF(LEN(VLOOKUP($B43,Database!$B$1:$IX$10144,AH$22,FALSE))=0,"",VLOOKUP($B43,Database!$B$1:$IX$10144,AH$22,FALSE)))</f>
        <v>1.5</v>
      </c>
      <c r="AI43" s="22" t="str">
        <f>IF(OR($B43="",AI$22=""),"",IF(LEN(VLOOKUP($B43,Database!$B$1:$IX$10144,AI$22,FALSE))=0,"",VLOOKUP($B43,Database!$B$1:$IX$10144,AI$22,FALSE)))</f>
        <v>ns</v>
      </c>
      <c r="AJ43" s="22" t="str">
        <f>IF(OR($B43="",AJ$22=""),"",IF(LEN(VLOOKUP($B43,Database!$B$1:$IX$10144,AJ$22,FALSE))=0,"",VLOOKUP($B43,Database!$B$1:$IX$10144,AJ$22,FALSE)))</f>
        <v/>
      </c>
      <c r="AK43" s="22" t="str">
        <f>IF(OR($B43="",AK$22=""),"",IF(LEN(VLOOKUP($B43,Database!$B$1:$IX$10144,AK$22,FALSE))=0,"",VLOOKUP($B43,Database!$B$1:$IX$10144,AK$22,FALSE)))</f>
        <v>ns</v>
      </c>
      <c r="AL43" s="22">
        <f>IF(OR($B43="",AL$22=""),"",IF(LEN(VLOOKUP($B43,Database!$B$1:$IX$10144,AL$22,FALSE))=0,"",VLOOKUP($B43,Database!$B$1:$IX$10144,AL$22,FALSE)))</f>
        <v>22.74</v>
      </c>
      <c r="AM43" s="22"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t="str">
        <f>IF(OR($B43="",AP$22=""),"",IF(LEN(VLOOKUP($B43,Database!$B$1:$IX$10144,AP$22,FALSE))=0,"",VLOOKUP($B43,Database!$B$1:$IX$10144,AP$22,FALSE)))</f>
        <v>ns</v>
      </c>
      <c r="AQ43" s="22" t="str">
        <f>IF(OR($B43="",AQ$22=""),"",IF(LEN(VLOOKUP($B43,Database!$B$1:$IX$10144,AQ$22,FALSE))=0,"",VLOOKUP($B43,Database!$B$1:$IX$10144,AQ$22,FALSE)))</f>
        <v>Kronmüller KT, Pantel J, Köhler S, Victor D, Giesel F, Magnotta VA, Mundt C, Essig M, Schröder J.</v>
      </c>
      <c r="AR43" s="22"/>
      <c r="AS43" s="22"/>
      <c r="AT43" s="22"/>
      <c r="AU43" s="22"/>
    </row>
    <row r="44" spans="1:47">
      <c r="A44" s="7" t="s">
        <v>2210</v>
      </c>
      <c r="B44">
        <v>18068956</v>
      </c>
      <c r="C44" s="1" t="str">
        <f>IF($B44="","",HYPERLINK(IF(LEN(VLOOKUP($B44,Database!$B$1:$IX$10144,2,FALSE))=0,"",VLOOKUP($B44,Database!$B$1:$IX$10144,2,FALSE))))</f>
        <v/>
      </c>
      <c r="D44" s="1" t="str">
        <f t="shared" si="1"/>
        <v>http://www.ncbi.nlm.nih.gov/pubmed/18068956</v>
      </c>
      <c r="E44" s="22" t="str">
        <f>IF($B44="","",IF(LEN(VLOOKUP($B44,Database!$B$1:$IX$10144,4,FALSE))=0,"",VLOOKUP($B44,Database!$B$1:$IX$10144,4,FALSE)))</f>
        <v>Lenze SN</v>
      </c>
      <c r="F44" s="22">
        <f>IF($B44="","",IF(LEN(VLOOKUP($B44,Database!$B$1:$IX$10144,5,FALSE))=0,"",VLOOKUP($B44,Database!$B$1:$IX$10144,5,FALSE)))</f>
        <v>2008</v>
      </c>
      <c r="G44" s="1" t="str">
        <f>IF($B44="","",HYPERLINK(IF(LEN(VLOOKUP($B44,Database!$B$1:$IX$10144,6,FALSE))=0,"",VLOOKUP($B44,Database!$B$1:$IX$10144,6,FALSE))))</f>
        <v>http://dx.doi.org/10.1016/j.pscychresns.2007.04.004</v>
      </c>
      <c r="H44" s="22">
        <f>IF($B44="","",IF(LEN(VLOOKUP($B44,Database!$B$1:$IX$10144,7,FALSE))=0,"",VLOOKUP($B44,Database!$B$1:$IX$10144,7,FALSE)))</f>
        <v>31</v>
      </c>
      <c r="I44" s="22">
        <f>IF($B44="","",IF(LEN(VLOOKUP($B44,Database!$B$1:$IX$10144,8,FALSE))=0,"",VLOOKUP($B44,Database!$B$1:$IX$10144,8,FALSE)))</f>
        <v>24</v>
      </c>
      <c r="J44" t="s">
        <v>1002</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50</v>
      </c>
      <c r="AC44" s="22">
        <f>IF(OR($B44="",AC$22=""),"",IF(LEN(VLOOKUP($B44,Database!$B$1:$IX$10144,AC$22,FALSE))=0,"",VLOOKUP($B44,Database!$B$1:$IX$10144,AC$22,FALSE)))</f>
        <v>15</v>
      </c>
      <c r="AD44" s="22">
        <f>IF(OR($B44="",AD$22=""),"",IF(LEN(VLOOKUP($B44,Database!$B$1:$IX$10144,AD$22,FALSE))=0,"",VLOOKUP($B44,Database!$B$1:$IX$10144,AD$22,FALSE)))</f>
        <v>46</v>
      </c>
      <c r="AE44" s="22">
        <f>IF(OR($B44="",AE$22=""),"",IF(LEN(VLOOKUP($B44,Database!$B$1:$IX$10144,AE$22,FALSE))=0,"",VLOOKUP($B44,Database!$B$1:$IX$10144,AE$22,FALSE)))</f>
        <v>14</v>
      </c>
      <c r="AF44" s="22">
        <f>IF(OR($B44="",AF$22=""),"",IF(LEN(VLOOKUP($B44,Database!$B$1:$IX$10144,AF$22,FALSE))=0,"",VLOOKUP($B44,Database!$B$1:$IX$10144,AF$22,FALSE)))</f>
        <v>31</v>
      </c>
      <c r="AG44" s="22">
        <f>IF(OR($B44="",AG$22=""),"",IF(LEN(VLOOKUP($B44,Database!$B$1:$IX$10144,AG$22,FALSE))=0,"",VLOOKUP($B44,Database!$B$1:$IX$10144,AG$22,FALSE)))</f>
        <v>24</v>
      </c>
      <c r="AH44" s="22">
        <f>IF(OR($B44="",AH$22=""),"",IF(LEN(VLOOKUP($B44,Database!$B$1:$IX$10144,AH$22,FALSE))=0,"",VLOOKUP($B44,Database!$B$1:$IX$10144,AH$22,FALSE)))</f>
        <v>1.5</v>
      </c>
      <c r="AI44" s="22">
        <f>IF(OR($B44="",AI$22=""),"",IF(LEN(VLOOKUP($B44,Database!$B$1:$IX$10144,AI$22,FALSE))=0,"",VLOOKUP($B44,Database!$B$1:$IX$10144,AI$22,FALSE)))</f>
        <v>1.25</v>
      </c>
      <c r="AJ44" s="22" t="str">
        <f>IF(OR($B44="",AJ$22=""),"",IF(LEN(VLOOKUP($B44,Database!$B$1:$IX$10144,AJ$22,FALSE))=0,"",VLOOKUP($B44,Database!$B$1:$IX$10144,AJ$22,FALSE)))</f>
        <v/>
      </c>
      <c r="AK44" s="22">
        <f>IF(OR($B44="",AK$22=""),"",IF(LEN(VLOOKUP($B44,Database!$B$1:$IX$10144,AK$22,FALSE))=0,"",VLOOKUP($B44,Database!$B$1:$IX$10144,AK$22,FALSE)))</f>
        <v>29</v>
      </c>
      <c r="AL44" s="22">
        <f>IF(OR($B44="",AL$22=""),"",IF(LEN(VLOOKUP($B44,Database!$B$1:$IX$10144,AL$22,FALSE))=0,"",VLOOKUP($B44,Database!$B$1:$IX$10144,AL$22,FALSE)))</f>
        <v>7</v>
      </c>
      <c r="AM44" s="22">
        <f>IF(OR($B44="",AM$22=""),"",IF(LEN(VLOOKUP($B44,Database!$B$1:$IX$10144,AM$22,FALSE))=0,"",VLOOKUP($B44,Database!$B$1:$IX$10144,AM$22,FALSE)))</f>
        <v>77.41935483870968</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Lenze SN, Xiong C, Sheline YI.</v>
      </c>
      <c r="AR44" s="22"/>
      <c r="AS44" s="22"/>
      <c r="AT44" s="22"/>
      <c r="AU44" s="22"/>
    </row>
    <row r="45" spans="1:47">
      <c r="A45" s="4" t="s">
        <v>351</v>
      </c>
      <c r="C45" s="1"/>
      <c r="D45" s="1"/>
      <c r="E45" s="22"/>
      <c r="F45" s="22"/>
      <c r="G45" s="1"/>
      <c r="H45" s="22"/>
      <c r="I45" s="22"/>
      <c r="Y45" s="22"/>
      <c r="Z45" s="22"/>
      <c r="AA45" s="22"/>
      <c r="AB45" s="22"/>
      <c r="AC45" s="22"/>
      <c r="AD45" s="22"/>
      <c r="AE45" s="22"/>
      <c r="AF45" s="22"/>
      <c r="AG45" s="22"/>
      <c r="AH45" s="22"/>
      <c r="AI45" s="22"/>
      <c r="AJ45" s="22"/>
      <c r="AK45" s="22"/>
      <c r="AL45" s="22"/>
      <c r="AM45" s="22"/>
      <c r="AN45" s="22"/>
      <c r="AO45" s="22" t="str">
        <f>IF(OR($B45="",AO$22=""),"",IF(LEN(VLOOKUP($B45,Database!$B$1:$IX$10144,AO$22,FALSE))=0,"",VLOOKUP($B45,Database!$B$1:$IX$10144,AO$22,FALSE)))</f>
        <v/>
      </c>
      <c r="AP45" s="22" t="str">
        <f>IF(OR($B45="",AP$22=""),"",IF(LEN(VLOOKUP($B45,Database!$B$1:$IX$10144,AP$22,FALSE))=0,"",VLOOKUP($B45,Database!$B$1:$IX$10144,AP$22,FALSE)))</f>
        <v/>
      </c>
      <c r="AQ45" s="22" t="str">
        <f>IF(OR($B45="",AQ$22=""),"",IF(LEN(VLOOKUP($B45,Database!$B$1:$IX$10144,AQ$22,FALSE))=0,"",VLOOKUP($B45,Database!$B$1:$IX$10144,AQ$22,FALSE)))</f>
        <v/>
      </c>
      <c r="AR45" s="22"/>
      <c r="AS45" s="22"/>
      <c r="AT45" s="22"/>
      <c r="AU45" s="22"/>
    </row>
    <row r="46" spans="1:47">
      <c r="A46" s="10" t="s">
        <v>418</v>
      </c>
      <c r="B46">
        <v>8632988</v>
      </c>
      <c r="C46" s="1" t="str">
        <f>IF($B46="","",HYPERLINK(IF(LEN(VLOOKUP($B46,Database!$B$1:$IX$10144,2,FALSE))=0,"",VLOOKUP($B46,Database!$B$1:$IX$10144,2,FALSE))))</f>
        <v/>
      </c>
      <c r="D46" s="1" t="str">
        <f t="shared" ref="D46:D61" si="2">IF($B46="","",HYPERLINK(CONCATENATE("http://www.ncbi.nlm.nih.gov/pubmed/",B46)))</f>
        <v>http://www.ncbi.nlm.nih.gov/pubmed/8632988</v>
      </c>
      <c r="E46" s="22" t="str">
        <f>IF($B46="","",IF(LEN(VLOOKUP($B46,Database!$B$1:$IX$10144,4,FALSE))=0,"",VLOOKUP($B46,Database!$B$1:$IX$10144,4,FALSE)))</f>
        <v>Sheline YI</v>
      </c>
      <c r="F46" s="22">
        <f>IF($B46="","",IF(LEN(VLOOKUP($B46,Database!$B$1:$IX$10144,5,FALSE))=0,"",VLOOKUP($B46,Database!$B$1:$IX$10144,5,FALSE)))</f>
        <v>1996</v>
      </c>
      <c r="G46" s="1" t="str">
        <f>IF($B46="","",HYPERLINK(IF(LEN(VLOOKUP($B46,Database!$B$1:$IX$10144,6,FALSE))=0,"",VLOOKUP($B46,Database!$B$1:$IX$10144,6,FALSE))))</f>
        <v>http://www.pnas.org/content/93/9/3908</v>
      </c>
      <c r="H46" s="22">
        <f>IF($B46="","",IF(LEN(VLOOKUP($B46,Database!$B$1:$IX$10144,7,FALSE))=0,"",VLOOKUP($B46,Database!$B$1:$IX$10144,7,FALSE)))</f>
        <v>10</v>
      </c>
      <c r="I46" s="22">
        <f>IF($B46="","",IF(LEN(VLOOKUP($B46,Database!$B$1:$IX$10144,8,FALSE))=0,"",VLOOKUP($B46,Database!$B$1:$IX$10144,8,FALSE)))</f>
        <v>10</v>
      </c>
      <c r="J46" t="s">
        <v>939</v>
      </c>
      <c r="L46">
        <v>2159</v>
      </c>
      <c r="M46">
        <v>301</v>
      </c>
      <c r="N46">
        <v>2544</v>
      </c>
      <c r="O46">
        <v>333</v>
      </c>
      <c r="P46">
        <v>2283</v>
      </c>
      <c r="Q46">
        <v>324</v>
      </c>
      <c r="R46">
        <v>2577</v>
      </c>
      <c r="S46">
        <v>259</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68.5</v>
      </c>
      <c r="AC46" s="22">
        <f>IF(OR($B46="",AC$22=""),"",IF(LEN(VLOOKUP($B46,Database!$B$1:$IX$10144,AC$22,FALSE))=0,"",VLOOKUP($B46,Database!$B$1:$IX$10144,AC$22,FALSE)))</f>
        <v>10.4</v>
      </c>
      <c r="AD46" s="22">
        <f>IF(OR($B46="",AD$22=""),"",IF(LEN(VLOOKUP($B46,Database!$B$1:$IX$10144,AD$22,FALSE))=0,"",VLOOKUP($B46,Database!$B$1:$IX$10144,AD$22,FALSE)))</f>
        <v>68</v>
      </c>
      <c r="AE46" s="22">
        <f>IF(OR($B46="",AE$22=""),"",IF(LEN(VLOOKUP($B46,Database!$B$1:$IX$10144,AE$22,FALSE))=0,"",VLOOKUP($B46,Database!$B$1:$IX$10144,AE$22,FALSE)))</f>
        <v>9.5</v>
      </c>
      <c r="AF46" s="22">
        <f>IF(OR($B46="",AF$22=""),"",IF(LEN(VLOOKUP($B46,Database!$B$1:$IX$10144,AF$22,FALSE))=0,"",VLOOKUP($B46,Database!$B$1:$IX$10144,AF$22,FALSE)))</f>
        <v>10</v>
      </c>
      <c r="AG46" s="22">
        <f>IF(OR($B46="",AG$22=""),"",IF(LEN(VLOOKUP($B46,Database!$B$1:$IX$10144,AG$22,FALSE))=0,"",VLOOKUP($B46,Database!$B$1:$IX$10144,AG$22,FALSE)))</f>
        <v>10</v>
      </c>
      <c r="AH46" s="22"/>
      <c r="AI46" s="22"/>
      <c r="AJ46" s="22" t="str">
        <f>IF(OR($B46="",AJ$22=""),"",IF(LEN(VLOOKUP($B46,Database!$B$1:$IX$10144,AJ$22,FALSE))=0,"",VLOOKUP($B46,Database!$B$1:$IX$10144,AJ$22,FALSE)))</f>
        <v/>
      </c>
      <c r="AK46" s="22" t="str">
        <f>IF(OR($B46="",AK$22=""),"",IF(LEN(VLOOKUP($B46,Database!$B$1:$IX$10144,AK$22,FALSE))=0,"",VLOOKUP($B46,Database!$B$1:$IX$10144,AK$22,FALSE)))</f>
        <v>ns</v>
      </c>
      <c r="AL46" s="22" t="str">
        <f>IF(OR($B46="",AL$22=""),"",IF(LEN(VLOOKUP($B46,Database!$B$1:$IX$10144,AL$22,FALSE))=0,"",VLOOKUP($B46,Database!$B$1:$IX$10144,AL$22,FALSE)))</f>
        <v>ns</v>
      </c>
      <c r="AM46" s="22">
        <f>IF(OR($B46="",AM$22=""),"",IF(LEN(VLOOKUP($B46,Database!$B$1:$IX$10144,AM$22,FALSE))=0,"",VLOOKUP($B46,Database!$B$1:$IX$10144,AM$22,FALSE)))</f>
        <v>80</v>
      </c>
      <c r="AN46" s="22" t="str">
        <f>IF(OR($B46="",AN$22=""),"",IF(LEN(VLOOKUP($B46,Database!$B$1:$IX$10144,AN$22,FALSE))=0,"",VLOOKUP($B46,Database!$B$1:$IX$10144,AN$22,FALSE)))</f>
        <v/>
      </c>
      <c r="AO46" s="22" t="str">
        <f>IF(OR($B46="",AO$22=""),"",IF(LEN(VLOOKUP($B46,Database!$B$1:$IX$10144,AO$22,FALSE))=0,"",VLOOKUP($B46,Database!$B$1:$IX$10144,AO$22,FALSE)))</f>
        <v/>
      </c>
      <c r="AP46" s="22" t="str">
        <f>IF(OR($B46="",AP$22=""),"",IF(LEN(VLOOKUP($B46,Database!$B$1:$IX$10144,AP$22,FALSE))=0,"",VLOOKUP($B46,Database!$B$1:$IX$10144,AP$22,FALSE)))</f>
        <v/>
      </c>
      <c r="AQ46" s="22" t="str">
        <f>IF(OR($B46="",AQ$22=""),"",IF(LEN(VLOOKUP($B46,Database!$B$1:$IX$10144,AQ$22,FALSE))=0,"",VLOOKUP($B46,Database!$B$1:$IX$10144,AQ$22,FALSE)))</f>
        <v>Sheline YI, Wang PW, Gado MH, Csernansky JG, Vannier MW.</v>
      </c>
      <c r="AR46" s="22"/>
      <c r="AS46" s="22"/>
      <c r="AT46" s="22"/>
      <c r="AU46" s="22"/>
    </row>
    <row r="47" spans="1:47">
      <c r="A47" s="10" t="s">
        <v>418</v>
      </c>
      <c r="B47">
        <v>10366636</v>
      </c>
      <c r="C47" s="1" t="str">
        <f>IF($B47="","",HYPERLINK(IF(LEN(VLOOKUP($B47,Database!$B$1:$IX$10144,2,FALSE))=0,"",VLOOKUP($B47,Database!$B$1:$IX$10144,2,FALSE))))</f>
        <v/>
      </c>
      <c r="D47" s="1" t="str">
        <f t="shared" si="2"/>
        <v>http://www.ncbi.nlm.nih.gov/pubmed/10366636</v>
      </c>
      <c r="E47" s="22" t="str">
        <f>IF($B47="","",IF(LEN(VLOOKUP($B47,Database!$B$1:$IX$10144,4,FALSE))=0,"",VLOOKUP($B47,Database!$B$1:$IX$10144,4,FALSE)))</f>
        <v>Sheline YI</v>
      </c>
      <c r="F47" s="22">
        <f>IF($B47="","",IF(LEN(VLOOKUP($B47,Database!$B$1:$IX$10144,5,FALSE))=0,"",VLOOKUP($B47,Database!$B$1:$IX$10144,5,FALSE)))</f>
        <v>1999</v>
      </c>
      <c r="G47" s="1" t="str">
        <f>IF($B47="","",HYPERLINK(IF(LEN(VLOOKUP($B47,Database!$B$1:$IX$10144,6,FALSE))=0,"",VLOOKUP($B47,Database!$B$1:$IX$10144,6,FALSE))))</f>
        <v>http://ajp.psychiatryonline.org/cgi/reprint/156/12/1989</v>
      </c>
      <c r="H47" s="22">
        <f>IF($B47="","",IF(LEN(VLOOKUP($B47,Database!$B$1:$IX$10144,7,FALSE))=0,"",VLOOKUP($B47,Database!$B$1:$IX$10144,7,FALSE)))</f>
        <v>24</v>
      </c>
      <c r="I47" s="22">
        <f>IF($B47="","",IF(LEN(VLOOKUP($B47,Database!$B$1:$IX$10144,8,FALSE))=0,"",VLOOKUP($B47,Database!$B$1:$IX$10144,8,FALSE)))</f>
        <v>24</v>
      </c>
      <c r="J47" t="s">
        <v>939</v>
      </c>
      <c r="L47">
        <v>2230</v>
      </c>
      <c r="M47">
        <v>323</v>
      </c>
      <c r="N47">
        <v>2482</v>
      </c>
      <c r="O47">
        <v>305</v>
      </c>
      <c r="P47">
        <v>2264</v>
      </c>
      <c r="Q47">
        <v>320</v>
      </c>
      <c r="R47">
        <v>2468</v>
      </c>
      <c r="S47">
        <v>309</v>
      </c>
      <c r="T47">
        <v>4496</v>
      </c>
      <c r="U47">
        <v>602</v>
      </c>
      <c r="V47">
        <v>4951</v>
      </c>
      <c r="W47">
        <v>601</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c r="AC47" s="22"/>
      <c r="AD47" s="22">
        <f>IF(OR($B47="",AD$22=""),"",IF(LEN(VLOOKUP($B47,Database!$B$1:$IX$10144,AD$22,FALSE))=0,"",VLOOKUP($B47,Database!$B$1:$IX$10144,AD$22,FALSE)))</f>
        <v>52.8</v>
      </c>
      <c r="AE47" s="22">
        <f>IF(OR($B47="",AE$22=""),"",IF(LEN(VLOOKUP($B47,Database!$B$1:$IX$10144,AE$22,FALSE))=0,"",VLOOKUP($B47,Database!$B$1:$IX$10144,AE$22,FALSE)))</f>
        <v>17.8</v>
      </c>
      <c r="AF47" s="22">
        <f>IF(OR($B47="",AF$22=""),"",IF(LEN(VLOOKUP($B47,Database!$B$1:$IX$10144,AF$22,FALSE))=0,"",VLOOKUP($B47,Database!$B$1:$IX$10144,AF$22,FALSE)))</f>
        <v>24</v>
      </c>
      <c r="AG47" s="22">
        <f>IF(OR($B47="",AG$22=""),"",IF(LEN(VLOOKUP($B47,Database!$B$1:$IX$10144,AG$22,FALSE))=0,"",VLOOKUP($B47,Database!$B$1:$IX$10144,AG$22,FALSE)))</f>
        <v>24</v>
      </c>
      <c r="AH47" s="22"/>
      <c r="AI47" s="22"/>
      <c r="AJ47" s="22" t="str">
        <f>IF(OR($B47="",AJ$22=""),"",IF(LEN(VLOOKUP($B47,Database!$B$1:$IX$10144,AJ$22,FALSE))=0,"",VLOOKUP($B47,Database!$B$1:$IX$10144,AJ$22,FALSE)))</f>
        <v/>
      </c>
      <c r="AK47" s="22" t="str">
        <f>IF(OR($B47="",AK$22=""),"",IF(LEN(VLOOKUP($B47,Database!$B$1:$IX$10144,AK$22,FALSE))=0,"",VLOOKUP($B47,Database!$B$1:$IX$10144,AK$22,FALSE)))</f>
        <v>ns</v>
      </c>
      <c r="AL47" s="22" t="str">
        <f>IF(OR($B47="",AL$22=""),"",IF(LEN(VLOOKUP($B47,Database!$B$1:$IX$10144,AL$22,FALSE))=0,"",VLOOKUP($B47,Database!$B$1:$IX$10144,AL$22,FALSE)))</f>
        <v>ns</v>
      </c>
      <c r="AM47" s="22">
        <f>IF(OR($B47="",AM$22=""),"",IF(LEN(VLOOKUP($B47,Database!$B$1:$IX$10144,AM$22,FALSE))=0,"",VLOOKUP($B47,Database!$B$1:$IX$10144,AM$22,FALSE)))</f>
        <v>66.666666666666657</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Sheline YI, Sanghavi M, Mintun MA, Gado MH.</v>
      </c>
      <c r="AR47" s="22"/>
      <c r="AS47" s="22"/>
      <c r="AT47" s="22"/>
      <c r="AU47" s="22"/>
    </row>
    <row r="48" spans="1:47">
      <c r="A48" s="10" t="s">
        <v>1188</v>
      </c>
      <c r="B48">
        <v>10960161</v>
      </c>
      <c r="C48" s="1" t="str">
        <f>IF($B48="","",HYPERLINK(IF(LEN(VLOOKUP($B48,Database!$B$1:$IX$10144,2,FALSE))=0,"",VLOOKUP($B48,Database!$B$1:$IX$10144,2,FALSE))))</f>
        <v/>
      </c>
      <c r="D48" s="1" t="str">
        <f t="shared" si="2"/>
        <v>http://www.ncbi.nlm.nih.gov/pubmed/10960161</v>
      </c>
      <c r="E48" s="22" t="str">
        <f>IF($B48="","",IF(LEN(VLOOKUP($B48,Database!$B$1:$IX$10144,4,FALSE))=0,"",VLOOKUP($B48,Database!$B$1:$IX$10144,4,FALSE)))</f>
        <v>Steffens DC</v>
      </c>
      <c r="F48" s="22">
        <f>IF($B48="","",IF(LEN(VLOOKUP($B48,Database!$B$1:$IX$10144,5,FALSE))=0,"",VLOOKUP($B48,Database!$B$1:$IX$10144,5,FALSE)))</f>
        <v>2000</v>
      </c>
      <c r="G48" s="1" t="str">
        <f>IF($B48="","",HYPERLINK(IF(LEN(VLOOKUP($B48,Database!$B$1:$IX$10144,6,FALSE))=0,"",VLOOKUP($B48,Database!$B$1:$IX$10144,6,FALSE))))</f>
        <v>http://dx.doi.org/10.1016/S0006-3223(00)00829-5</v>
      </c>
      <c r="H48" s="22">
        <f>IF($B48="","",IF(LEN(VLOOKUP($B48,Database!$B$1:$IX$10144,7,FALSE))=0,"",VLOOKUP($B48,Database!$B$1:$IX$10144,7,FALSE)))</f>
        <v>66</v>
      </c>
      <c r="I48" s="22">
        <f>IF($B48="","",IF(LEN(VLOOKUP($B48,Database!$B$1:$IX$10144,8,FALSE))=0,"",VLOOKUP($B48,Database!$B$1:$IX$10144,8,FALSE)))</f>
        <v>18</v>
      </c>
      <c r="J48" t="s">
        <v>1045</v>
      </c>
      <c r="L48">
        <v>2.92</v>
      </c>
      <c r="M48">
        <v>0.36</v>
      </c>
      <c r="N48">
        <v>3.17</v>
      </c>
      <c r="O48">
        <v>0.44</v>
      </c>
      <c r="P48">
        <v>2.98</v>
      </c>
      <c r="Q48">
        <v>0.39</v>
      </c>
      <c r="R48">
        <v>3.3</v>
      </c>
      <c r="S48">
        <v>0.44</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22">
        <f>IF(OR($B48="",AB$22=""),"",IF(LEN(VLOOKUP($B48,Database!$B$1:$IX$10144,AB$22,FALSE))=0,"",VLOOKUP($B48,Database!$B$1:$IX$10144,AB$22,FALSE)))</f>
        <v>71.739999999999995</v>
      </c>
      <c r="AC48" s="22">
        <f>IF(OR($B48="",AC$22=""),"",IF(LEN(VLOOKUP($B48,Database!$B$1:$IX$10144,AC$22,FALSE))=0,"",VLOOKUP($B48,Database!$B$1:$IX$10144,AC$22,FALSE)))</f>
        <v>8.42</v>
      </c>
      <c r="AD48" s="22">
        <f>IF(OR($B48="",AD$22=""),"",IF(LEN(VLOOKUP($B48,Database!$B$1:$IX$10144,AD$22,FALSE))=0,"",VLOOKUP($B48,Database!$B$1:$IX$10144,AD$22,FALSE)))</f>
        <v>67.11</v>
      </c>
      <c r="AE48" s="22">
        <f>IF(OR($B48="",AE$22=""),"",IF(LEN(VLOOKUP($B48,Database!$B$1:$IX$10144,AE$22,FALSE))=0,"",VLOOKUP($B48,Database!$B$1:$IX$10144,AE$22,FALSE)))</f>
        <v>5.04</v>
      </c>
      <c r="AF48" s="22">
        <f>IF(OR($B48="",AF$22=""),"",IF(LEN(VLOOKUP($B48,Database!$B$1:$IX$10144,AF$22,FALSE))=0,"",VLOOKUP($B48,Database!$B$1:$IX$10144,AF$22,FALSE)))</f>
        <v>51</v>
      </c>
      <c r="AG48" s="22">
        <f>IF(OR($B48="",AG$22=""),"",IF(LEN(VLOOKUP($B48,Database!$B$1:$IX$10144,AG$22,FALSE))=0,"",VLOOKUP($B48,Database!$B$1:$IX$10144,AG$22,FALSE)))</f>
        <v>9</v>
      </c>
      <c r="AH48" s="22"/>
      <c r="AI48" s="22"/>
      <c r="AJ48" s="22" t="str">
        <f>IF(OR($B48="",AJ$22=""),"",IF(LEN(VLOOKUP($B48,Database!$B$1:$IX$10144,AJ$22,FALSE))=0,"",VLOOKUP($B48,Database!$B$1:$IX$10144,AJ$22,FALSE)))</f>
        <v/>
      </c>
      <c r="AK48" s="22" t="str">
        <f>IF(OR($B48="",AK$22=""),"",IF(LEN(VLOOKUP($B48,Database!$B$1:$IX$10144,AK$22,FALSE))=0,"",VLOOKUP($B48,Database!$B$1:$IX$10144,AK$22,FALSE)))</f>
        <v>ns</v>
      </c>
      <c r="AL48" s="22" t="str">
        <f>IF(OR($B48="",AL$22=""),"",IF(LEN(VLOOKUP($B48,Database!$B$1:$IX$10144,AL$22,FALSE))=0,"",VLOOKUP($B48,Database!$B$1:$IX$10144,AL$22,FALSE)))</f>
        <v>ns</v>
      </c>
      <c r="AM48" s="22" t="str">
        <f>IF(OR($B48="",AM$22=""),"",IF(LEN(VLOOKUP($B48,Database!$B$1:$IX$10144,AM$22,FALSE))=0,"",VLOOKUP($B48,Database!$B$1:$IX$10144,AM$22,FALSE)))</f>
        <v>ns</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Steffens DC, Byrum CE, McQuoid DR, Greenberg DL, Payne ME, Blitchington TF, MacFall JR, Krishnan KR.</v>
      </c>
      <c r="AR48" s="22"/>
      <c r="AS48" s="22"/>
      <c r="AT48" s="22"/>
      <c r="AU48" s="22"/>
    </row>
    <row r="49" spans="1:47">
      <c r="A49" s="10" t="s">
        <v>2335</v>
      </c>
      <c r="B49">
        <v>12091188</v>
      </c>
      <c r="C49" s="1" t="str">
        <f>IF($B49="","",HYPERLINK(IF(LEN(VLOOKUP($B49,Database!$B$1:$IX$10144,2,FALSE))=0,"",VLOOKUP($B49,Database!$B$1:$IX$10144,2,FALSE))))</f>
        <v/>
      </c>
      <c r="D49" s="1" t="str">
        <f t="shared" si="2"/>
        <v>http://www.ncbi.nlm.nih.gov/pubmed/12091188</v>
      </c>
      <c r="E49" s="22" t="str">
        <f>IF($B49="","",IF(LEN(VLOOKUP($B49,Database!$B$1:$IX$10144,4,FALSE))=0,"",VLOOKUP($B49,Database!$B$1:$IX$10144,4,FALSE)))</f>
        <v>Frodl T (B)</v>
      </c>
      <c r="F49" s="22">
        <f>IF($B49="","",IF(LEN(VLOOKUP($B49,Database!$B$1:$IX$10144,5,FALSE))=0,"",VLOOKUP($B49,Database!$B$1:$IX$10144,5,FALSE)))</f>
        <v>2002</v>
      </c>
      <c r="G49" s="1" t="str">
        <f>IF($B49="","",HYPERLINK(IF(LEN(VLOOKUP($B49,Database!$B$1:$IX$10144,6,FALSE))=0,"",VLOOKUP($B49,Database!$B$1:$IX$10144,6,FALSE))))</f>
        <v>http://ajp.psychiatryonline.org/cgi/reprint/159/7/1112</v>
      </c>
      <c r="H49" s="22">
        <f>IF($B49="","",IF(LEN(VLOOKUP($B49,Database!$B$1:$IX$10144,7,FALSE))=0,"",VLOOKUP($B49,Database!$B$1:$IX$10144,7,FALSE)))</f>
        <v>30</v>
      </c>
      <c r="I49" s="22">
        <f>IF($B49="","",IF(LEN(VLOOKUP($B49,Database!$B$1:$IX$10144,8,FALSE))=0,"",VLOOKUP($B49,Database!$B$1:$IX$10144,8,FALSE)))</f>
        <v>30</v>
      </c>
      <c r="J49" t="s">
        <v>869</v>
      </c>
      <c r="L49">
        <v>3681</v>
      </c>
      <c r="M49">
        <v>393</v>
      </c>
      <c r="N49">
        <v>3772</v>
      </c>
      <c r="O49">
        <v>397</v>
      </c>
      <c r="P49">
        <v>3847</v>
      </c>
      <c r="Q49">
        <v>400</v>
      </c>
      <c r="R49">
        <v>3763</v>
      </c>
      <c r="S49">
        <v>411</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40.299999999999997</v>
      </c>
      <c r="AC49" s="22">
        <f>IF(OR($B49="",AC$22=""),"",IF(LEN(VLOOKUP($B49,Database!$B$1:$IX$10144,AC$22,FALSE))=0,"",VLOOKUP($B49,Database!$B$1:$IX$10144,AC$22,FALSE)))</f>
        <v>12.6</v>
      </c>
      <c r="AD49" s="22">
        <f>IF(OR($B49="",AD$22=""),"",IF(LEN(VLOOKUP($B49,Database!$B$1:$IX$10144,AD$22,FALSE))=0,"",VLOOKUP($B49,Database!$B$1:$IX$10144,AD$22,FALSE)))</f>
        <v>40.6</v>
      </c>
      <c r="AE49" s="22">
        <f>IF(OR($B49="",AE$22=""),"",IF(LEN(VLOOKUP($B49,Database!$B$1:$IX$10144,AE$22,FALSE))=0,"",VLOOKUP($B49,Database!$B$1:$IX$10144,AE$22,FALSE)))</f>
        <v>12.5</v>
      </c>
      <c r="AF49" s="22">
        <f>IF(OR($B49="",AF$22=""),"",IF(LEN(VLOOKUP($B49,Database!$B$1:$IX$10144,AF$22,FALSE))=0,"",VLOOKUP($B49,Database!$B$1:$IX$10144,AF$22,FALSE)))</f>
        <v>17</v>
      </c>
      <c r="AG49" s="22">
        <f>IF(OR($B49="",AG$22=""),"",IF(LEN(VLOOKUP($B49,Database!$B$1:$IX$10144,AG$22,FALSE))=0,"",VLOOKUP($B49,Database!$B$1:$IX$10144,AG$22,FALSE)))</f>
        <v>17</v>
      </c>
      <c r="AH49" s="22"/>
      <c r="AI49" s="22"/>
      <c r="AJ49" s="22" t="str">
        <f>IF(OR($B49="",AJ$22=""),"",IF(LEN(VLOOKUP($B49,Database!$B$1:$IX$10144,AJ$22,FALSE))=0,"",VLOOKUP($B49,Database!$B$1:$IX$10144,AJ$22,FALSE)))</f>
        <v/>
      </c>
      <c r="AK49" s="22">
        <f>IF(OR($B49="",AK$22=""),"",IF(LEN(VLOOKUP($B49,Database!$B$1:$IX$10144,AK$22,FALSE))=0,"",VLOOKUP($B49,Database!$B$1:$IX$10144,AK$22,FALSE)))</f>
        <v>40</v>
      </c>
      <c r="AL49" s="22">
        <f>IF(OR($B49="",AL$22=""),"",IF(LEN(VLOOKUP($B49,Database!$B$1:$IX$10144,AL$22,FALSE))=0,"",VLOOKUP($B49,Database!$B$1:$IX$10144,AL$22,FALSE)))</f>
        <v>24.8</v>
      </c>
      <c r="AM49" s="22" t="str">
        <f>IF(OR($B49="",AM$22=""),"",IF(LEN(VLOOKUP($B49,Database!$B$1:$IX$10144,AM$22,FALSE))=0,"",VLOOKUP($B49,Database!$B$1:$IX$10144,AM$22,FALSE)))</f>
        <v>ns</v>
      </c>
      <c r="AN49" s="22" t="str">
        <f>IF(OR($B49="",AN$22=""),"",IF(LEN(VLOOKUP($B49,Database!$B$1:$IX$10144,AN$22,FALSE))=0,"",VLOOKUP($B49,Database!$B$1:$IX$10144,AN$22,FALSE)))</f>
        <v>ns</v>
      </c>
      <c r="AO49" s="22" t="str">
        <f>IF(OR($B49="",AO$22=""),"",IF(LEN(VLOOKUP($B49,Database!$B$1:$IX$10144,AO$22,FALSE))=0,"",VLOOKUP($B49,Database!$B$1:$IX$10144,AO$22,FALSE)))</f>
        <v>ns</v>
      </c>
      <c r="AP49" s="22" t="str">
        <f>IF(OR($B49="",AP$22=""),"",IF(LEN(VLOOKUP($B49,Database!$B$1:$IX$10144,AP$22,FALSE))=0,"",VLOOKUP($B49,Database!$B$1:$IX$10144,AP$22,FALSE)))</f>
        <v>ns</v>
      </c>
      <c r="AQ49" s="22" t="str">
        <f>IF(OR($B49="",AQ$22=""),"",IF(LEN(VLOOKUP($B49,Database!$B$1:$IX$10144,AQ$22,FALSE))=0,"",VLOOKUP($B49,Database!$B$1:$IX$10144,AQ$22,FALSE)))</f>
        <v>Frodl T, Meisenzahl EM, Zetzsche T, Born C, Groll C, Jager M, Leinsinger G, Bottlender R, Hahn K, Moller HJ.</v>
      </c>
      <c r="AR49" s="22"/>
      <c r="AS49" s="22"/>
      <c r="AT49" s="22"/>
      <c r="AU49" s="22"/>
    </row>
    <row r="50" spans="1:47">
      <c r="A50" s="10" t="s">
        <v>2335</v>
      </c>
      <c r="B50">
        <v>15119911</v>
      </c>
      <c r="C50" s="1" t="str">
        <f>IF($B50="","",HYPERLINK(IF(LEN(VLOOKUP($B50,Database!$B$1:$IX$10144,2,FALSE))=0,"",VLOOKUP($B50,Database!$B$1:$IX$10144,2,FALSE))))</f>
        <v/>
      </c>
      <c r="D50" s="1" t="str">
        <f t="shared" si="2"/>
        <v>http://www.ncbi.nlm.nih.gov/pubmed/15119911</v>
      </c>
      <c r="E50" s="22" t="str">
        <f>IF($B50="","",IF(LEN(VLOOKUP($B50,Database!$B$1:$IX$10144,4,FALSE))=0,"",VLOOKUP($B50,Database!$B$1:$IX$10144,4,FALSE)))</f>
        <v>Frodl T (B)</v>
      </c>
      <c r="F50" s="22">
        <f>IF($B50="","",IF(LEN(VLOOKUP($B50,Database!$B$1:$IX$10144,5,FALSE))=0,"",VLOOKUP($B50,Database!$B$1:$IX$10144,5,FALSE)))</f>
        <v>2004</v>
      </c>
      <c r="G50" s="1" t="str">
        <f>IF($B50="","",HYPERLINK(IF(LEN(VLOOKUP($B50,Database!$B$1:$IX$10144,6,FALSE))=0,"",VLOOKUP($B50,Database!$B$1:$IX$10144,6,FALSE))))</f>
        <v>http://www.psychiatrist.com/abstracts/abstracts.asp?abstract=200404/040405.htm</v>
      </c>
      <c r="H50" s="22">
        <f>IF($B50="","",IF(LEN(VLOOKUP($B50,Database!$B$1:$IX$10144,7,FALSE))=0,"",VLOOKUP($B50,Database!$B$1:$IX$10144,7,FALSE)))</f>
        <v>30</v>
      </c>
      <c r="I50" s="22">
        <f>IF($B50="","",IF(LEN(VLOOKUP($B50,Database!$B$1:$IX$10144,8,FALSE))=0,"",VLOOKUP($B50,Database!$B$1:$IX$10144,8,FALSE)))</f>
        <v>30</v>
      </c>
      <c r="J50" t="s">
        <v>1381</v>
      </c>
      <c r="L50">
        <v>3.7</v>
      </c>
      <c r="M50">
        <v>0.33</v>
      </c>
      <c r="N50">
        <v>3.82</v>
      </c>
      <c r="O50">
        <v>0.34</v>
      </c>
      <c r="P50">
        <v>3.8</v>
      </c>
      <c r="Q50">
        <v>0.31</v>
      </c>
      <c r="R50">
        <v>3.93</v>
      </c>
      <c r="S50">
        <v>0.35</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48.4</v>
      </c>
      <c r="AC50" s="22">
        <f>IF(OR($B50="",AC$22=""),"",IF(LEN(VLOOKUP($B50,Database!$B$1:$IX$10144,AC$22,FALSE))=0,"",VLOOKUP($B50,Database!$B$1:$IX$10144,AC$22,FALSE)))</f>
        <v>13.4</v>
      </c>
      <c r="AD50" s="22">
        <f>IF(OR($B50="",AD$22=""),"",IF(LEN(VLOOKUP($B50,Database!$B$1:$IX$10144,AD$22,FALSE))=0,"",VLOOKUP($B50,Database!$B$1:$IX$10144,AD$22,FALSE)))</f>
        <v>45.7</v>
      </c>
      <c r="AE50" s="22">
        <f>IF(OR($B50="",AE$22=""),"",IF(LEN(VLOOKUP($B50,Database!$B$1:$IX$10144,AE$22,FALSE))=0,"",VLOOKUP($B50,Database!$B$1:$IX$10144,AE$22,FALSE)))</f>
        <v>12.9</v>
      </c>
      <c r="AF50" s="22">
        <f>IF(OR($B50="",AF$22=""),"",IF(LEN(VLOOKUP($B50,Database!$B$1:$IX$10144,AF$22,FALSE))=0,"",VLOOKUP($B50,Database!$B$1:$IX$10144,AF$22,FALSE)))</f>
        <v>18</v>
      </c>
      <c r="AG50" s="22">
        <f>IF(OR($B50="",AG$22=""),"",IF(LEN(VLOOKUP($B50,Database!$B$1:$IX$10144,AG$22,FALSE))=0,"",VLOOKUP($B50,Database!$B$1:$IX$10144,AG$22,FALSE)))</f>
        <v>18</v>
      </c>
      <c r="AH50" s="22"/>
      <c r="AI50" s="22"/>
      <c r="AJ50" s="22" t="str">
        <f>IF(OR($B50="",AJ$22=""),"",IF(LEN(VLOOKUP($B50,Database!$B$1:$IX$10144,AJ$22,FALSE))=0,"",VLOOKUP($B50,Database!$B$1:$IX$10144,AJ$22,FALSE)))</f>
        <v/>
      </c>
      <c r="AK50" s="22">
        <f>IF(OR($B50="",AK$22=""),"",IF(LEN(VLOOKUP($B50,Database!$B$1:$IX$10144,AK$22,FALSE))=0,"",VLOOKUP($B50,Database!$B$1:$IX$10144,AK$22,FALSE)))</f>
        <v>39.299999999999997</v>
      </c>
      <c r="AL50" s="22">
        <f>IF(OR($B50="",AL$22=""),"",IF(LEN(VLOOKUP($B50,Database!$B$1:$IX$10144,AL$22,FALSE))=0,"",VLOOKUP($B50,Database!$B$1:$IX$10144,AL$22,FALSE)))</f>
        <v>23.7</v>
      </c>
      <c r="AM50" s="22" t="str">
        <f>IF(OR($B50="",AM$22=""),"",IF(LEN(VLOOKUP($B50,Database!$B$1:$IX$10144,AM$22,FALSE))=0,"",VLOOKUP($B50,Database!$B$1:$IX$10144,AM$22,FALSE)))</f>
        <v>ns</v>
      </c>
      <c r="AN50" s="22">
        <f>IF(OR($B50="",AN$22=""),"",IF(LEN(VLOOKUP($B50,Database!$B$1:$IX$10144,AN$22,FALSE))=0,"",VLOOKUP($B50,Database!$B$1:$IX$10144,AN$22,FALSE)))</f>
        <v>23.333333333333332</v>
      </c>
      <c r="AO50" s="22" t="str">
        <f>IF(OR($B50="",AO$22=""),"",IF(LEN(VLOOKUP($B50,Database!$B$1:$IX$10144,AO$22,FALSE))=0,"",VLOOKUP($B50,Database!$B$1:$IX$10144,AO$22,FALSE)))</f>
        <v>ns</v>
      </c>
      <c r="AP50" s="22">
        <f>IF(OR($B50="",AP$22=""),"",IF(LEN(VLOOKUP($B50,Database!$B$1:$IX$10144,AP$22,FALSE))=0,"",VLOOKUP($B50,Database!$B$1:$IX$10144,AP$22,FALSE)))</f>
        <v>6.666666666666667</v>
      </c>
      <c r="AQ50" s="22" t="str">
        <f>IF(OR($B50="",AQ$22=""),"",IF(LEN(VLOOKUP($B50,Database!$B$1:$IX$10144,AQ$22,FALSE))=0,"",VLOOKUP($B50,Database!$B$1:$IX$10144,AQ$22,FALSE)))</f>
        <v>Frodl T, Meisenzahl EM, Zetzsche T, Hohne T, Banac S, Schorr C, Jager M, Leinsinger G, Bottlender R, Reiser M, Moller HJ.</v>
      </c>
      <c r="AR50" s="22"/>
      <c r="AS50" s="22"/>
      <c r="AT50" s="22"/>
      <c r="AU50" s="22"/>
    </row>
    <row r="51" spans="1:47">
      <c r="A51" s="7" t="s">
        <v>27</v>
      </c>
      <c r="B51">
        <v>15738499</v>
      </c>
      <c r="C51" s="1" t="str">
        <f>IF($B51="","",HYPERLINK(IF(LEN(VLOOKUP($B51,Database!$B$1:$IX$10144,2,FALSE))=0,"",VLOOKUP($B51,Database!$B$1:$IX$10144,2,FALSE))))</f>
        <v/>
      </c>
      <c r="D51" s="1" t="str">
        <f t="shared" si="2"/>
        <v>http://www.ncbi.nlm.nih.gov/pubmed/15738499</v>
      </c>
      <c r="E51" s="22" t="str">
        <f>IF($B51="","",IF(LEN(VLOOKUP($B51,Database!$B$1:$IX$10144,4,FALSE))=0,"",VLOOKUP($B51,Database!$B$1:$IX$10144,4,FALSE)))</f>
        <v>Hickie I (A)</v>
      </c>
      <c r="F51" s="22">
        <f>IF($B51="","",IF(LEN(VLOOKUP($B51,Database!$B$1:$IX$10144,5,FALSE))=0,"",VLOOKUP($B51,Database!$B$1:$IX$10144,5,FALSE)))</f>
        <v>2005</v>
      </c>
      <c r="G51" s="1" t="str">
        <f>IF($B51="","",HYPERLINK(IF(LEN(VLOOKUP($B51,Database!$B$1:$IX$10144,6,FALSE))=0,"",VLOOKUP($B51,Database!$B$1:$IX$10144,6,FALSE))))</f>
        <v>http://bjp.rcpsych.org/cgi/content/full/186/3/197</v>
      </c>
      <c r="H51" s="22">
        <f>IF($B51="","",IF(LEN(VLOOKUP($B51,Database!$B$1:$IX$10144,7,FALSE))=0,"",VLOOKUP($B51,Database!$B$1:$IX$10144,7,FALSE)))</f>
        <v>51</v>
      </c>
      <c r="I51" s="22">
        <f>IF($B51="","",IF(LEN(VLOOKUP($B51,Database!$B$1:$IX$10144,8,FALSE))=0,"",VLOOKUP($B51,Database!$B$1:$IX$10144,8,FALSE)))</f>
        <v>20</v>
      </c>
      <c r="J51" t="s">
        <v>1054</v>
      </c>
      <c r="L51">
        <v>2.9</v>
      </c>
      <c r="M51">
        <v>0.4</v>
      </c>
      <c r="N51">
        <v>3.3</v>
      </c>
      <c r="O51">
        <v>0.5</v>
      </c>
      <c r="P51">
        <v>3</v>
      </c>
      <c r="Q51">
        <v>0.4</v>
      </c>
      <c r="R51">
        <v>3.3</v>
      </c>
      <c r="S51">
        <v>0.6</v>
      </c>
      <c r="T51">
        <v>5.9</v>
      </c>
      <c r="U51">
        <v>0.7</v>
      </c>
      <c r="V51">
        <v>6.6</v>
      </c>
      <c r="W51">
        <v>1.1000000000000001</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f>IF(OR($B51="",AB$22=""),"",IF(LEN(VLOOKUP($B51,Database!$B$1:$IX$10144,AB$22,FALSE))=0,"",VLOOKUP($B51,Database!$B$1:$IX$10144,AB$22,FALSE)))</f>
        <v>53.5</v>
      </c>
      <c r="AC51" s="22">
        <f>IF(OR($B51="",AC$22=""),"",IF(LEN(VLOOKUP($B51,Database!$B$1:$IX$10144,AC$22,FALSE))=0,"",VLOOKUP($B51,Database!$B$1:$IX$10144,AC$22,FALSE)))</f>
        <v>13.5</v>
      </c>
      <c r="AD51" s="22">
        <f>IF(OR($B51="",AD$22=""),"",IF(LEN(VLOOKUP($B51,Database!$B$1:$IX$10144,AD$22,FALSE))=0,"",VLOOKUP($B51,Database!$B$1:$IX$10144,AD$22,FALSE)))</f>
        <v>55.8</v>
      </c>
      <c r="AE51" s="22">
        <f>IF(OR($B51="",AE$22=""),"",IF(LEN(VLOOKUP($B51,Database!$B$1:$IX$10144,AE$22,FALSE))=0,"",VLOOKUP($B51,Database!$B$1:$IX$10144,AE$22,FALSE)))</f>
        <v>10</v>
      </c>
      <c r="AF51" s="22">
        <f>IF(OR($B51="",AF$22=""),"",IF(LEN(VLOOKUP($B51,Database!$B$1:$IX$10144,AF$22,FALSE))=0,"",VLOOKUP($B51,Database!$B$1:$IX$10144,AF$22,FALSE)))</f>
        <v>44</v>
      </c>
      <c r="AG51" s="22">
        <f>IF(OR($B51="",AG$22=""),"",IF(LEN(VLOOKUP($B51,Database!$B$1:$IX$10144,AG$22,FALSE))=0,"",VLOOKUP($B51,Database!$B$1:$IX$10144,AG$22,FALSE)))</f>
        <v>11</v>
      </c>
      <c r="AH51" s="22">
        <f>IF(OR($B51="",AH$22=""),"",IF(LEN(VLOOKUP($B51,Database!$B$1:$IX$10144,AH$22,FALSE))=0,"",VLOOKUP($B51,Database!$B$1:$IX$10144,AH$22,FALSE)))</f>
        <v>1.5</v>
      </c>
      <c r="AI51" s="22">
        <f>IF(OR($B51="",AI$22=""),"",IF(LEN(VLOOKUP($B51,Database!$B$1:$IX$10144,AI$22,FALSE))=0,"",VLOOKUP($B51,Database!$B$1:$IX$10144,AI$22,FALSE)))</f>
        <v>1.5</v>
      </c>
      <c r="AJ51" s="22" t="str">
        <f>IF(OR($B51="",AJ$22=""),"",IF(LEN(VLOOKUP($B51,Database!$B$1:$IX$10144,AJ$22,FALSE))=0,"",VLOOKUP($B51,Database!$B$1:$IX$10144,AJ$22,FALSE)))</f>
        <v/>
      </c>
      <c r="AK51" s="22">
        <f>IF(OR($B51="",AK$22=""),"",IF(LEN(VLOOKUP($B51,Database!$B$1:$IX$10144,AK$22,FALSE))=0,"",VLOOKUP($B51,Database!$B$1:$IX$10144,AK$22,FALSE)))</f>
        <v>38.4</v>
      </c>
      <c r="AL51" s="22">
        <f>IF(OR($B51="",AL$22=""),"",IF(LEN(VLOOKUP($B51,Database!$B$1:$IX$10144,AL$22,FALSE))=0,"",VLOOKUP($B51,Database!$B$1:$IX$10144,AL$22,FALSE)))</f>
        <v>24.9</v>
      </c>
      <c r="AM51" s="22" t="str">
        <f>IF(OR($B51="",AM$22=""),"",IF(LEN(VLOOKUP($B51,Database!$B$1:$IX$10144,AM$22,FALSE))=0,"",VLOOKUP($B51,Database!$B$1:$IX$10144,AM$22,FALSE)))</f>
        <v>ns</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2" t="str">
        <f>IF(OR($B51="",AQ$22=""),"",IF(LEN(VLOOKUP($B51,Database!$B$1:$IX$10144,AQ$22,FALSE))=0,"",VLOOKUP($B51,Database!$B$1:$IX$10144,AQ$22,FALSE)))</f>
        <v>Hickie I, Naismith S, Ward PB, Turner K, Scott E, Mitchell P, Wilhelm K, Parker G.</v>
      </c>
      <c r="AR51" s="22"/>
      <c r="AS51" s="22"/>
      <c r="AT51" s="22"/>
      <c r="AU51" s="22"/>
    </row>
    <row r="52" spans="1:47">
      <c r="A52" s="10" t="s">
        <v>2335</v>
      </c>
      <c r="B52">
        <v>16951734</v>
      </c>
      <c r="C52" s="1" t="str">
        <f>IF($B52="","",HYPERLINK(IF(LEN(VLOOKUP($B52,Database!$B$1:$IX$10144,2,FALSE))=0,"",VLOOKUP($B52,Database!$B$1:$IX$10144,2,FALSE))))</f>
        <v/>
      </c>
      <c r="D52" s="1" t="str">
        <f t="shared" si="2"/>
        <v>http://www.ncbi.nlm.nih.gov/pubmed/16951734</v>
      </c>
      <c r="E52" s="22" t="str">
        <f>IF($B52="","",IF(LEN(VLOOKUP($B52,Database!$B$1:$IX$10144,4,FALSE))=0,"",VLOOKUP($B52,Database!$B$1:$IX$10144,4,FALSE)))</f>
        <v>Frodl T</v>
      </c>
      <c r="F52" s="22">
        <f>IF($B52="","",IF(LEN(VLOOKUP($B52,Database!$B$1:$IX$10144,5,FALSE))=0,"",VLOOKUP($B52,Database!$B$1:$IX$10144,5,FALSE)))</f>
        <v>2006</v>
      </c>
      <c r="G52" s="1" t="str">
        <f>IF($B52="","",HYPERLINK(IF(LEN(VLOOKUP($B52,Database!$B$1:$IX$10144,6,FALSE))=0,"",VLOOKUP($B52,Database!$B$1:$IX$10144,6,FALSE))))</f>
        <v>http://www.cma.ca/multimedia/staticContent/HTML/N0/l2/jpn/vol-31/issue-5/pdf/pg316.pdf</v>
      </c>
      <c r="H52" s="22">
        <f>IF($B52="","",IF(LEN(VLOOKUP($B52,Database!$B$1:$IX$10144,7,FALSE))=0,"",VLOOKUP($B52,Database!$B$1:$IX$10144,7,FALSE)))</f>
        <v>34</v>
      </c>
      <c r="I52" s="22">
        <f>IF($B52="","",IF(LEN(VLOOKUP($B52,Database!$B$1:$IX$10144,8,FALSE))=0,"",VLOOKUP($B52,Database!$B$1:$IX$10144,8,FALSE)))</f>
        <v>34</v>
      </c>
      <c r="J52" t="s">
        <v>878</v>
      </c>
      <c r="L52">
        <v>2.79</v>
      </c>
      <c r="M52">
        <v>0.31</v>
      </c>
      <c r="N52">
        <v>3.06</v>
      </c>
      <c r="O52">
        <v>0.3</v>
      </c>
      <c r="P52">
        <v>2.92</v>
      </c>
      <c r="Q52">
        <v>0.28999999999999998</v>
      </c>
      <c r="R52">
        <v>3.14</v>
      </c>
      <c r="S52">
        <v>0.3</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45.5</v>
      </c>
      <c r="AC52" s="22">
        <f>IF(OR($B52="",AC$22=""),"",IF(LEN(VLOOKUP($B52,Database!$B$1:$IX$10144,AC$22,FALSE))=0,"",VLOOKUP($B52,Database!$B$1:$IX$10144,AC$22,FALSE)))</f>
        <v>11.9</v>
      </c>
      <c r="AD52" s="22">
        <f>IF(OR($B52="",AD$22=""),"",IF(LEN(VLOOKUP($B52,Database!$B$1:$IX$10144,AD$22,FALSE))=0,"",VLOOKUP($B52,Database!$B$1:$IX$10144,AD$22,FALSE)))</f>
        <v>43.6</v>
      </c>
      <c r="AE52" s="22">
        <f>IF(OR($B52="",AE$22=""),"",IF(LEN(VLOOKUP($B52,Database!$B$1:$IX$10144,AE$22,FALSE))=0,"",VLOOKUP($B52,Database!$B$1:$IX$10144,AE$22,FALSE)))</f>
        <v>13.2</v>
      </c>
      <c r="AF52" s="22">
        <f>IF(OR($B52="",AF$22=""),"",IF(LEN(VLOOKUP($B52,Database!$B$1:$IX$10144,AF$22,FALSE))=0,"",VLOOKUP($B52,Database!$B$1:$IX$10144,AF$22,FALSE)))</f>
        <v>15</v>
      </c>
      <c r="AG52" s="22">
        <f>IF(OR($B52="",AG$22=""),"",IF(LEN(VLOOKUP($B52,Database!$B$1:$IX$10144,AG$22,FALSE))=0,"",VLOOKUP($B52,Database!$B$1:$IX$10144,AG$22,FALSE)))</f>
        <v>15</v>
      </c>
      <c r="AH52" s="22"/>
      <c r="AI52" s="22"/>
      <c r="AJ52" s="22" t="str">
        <f>IF(OR($B52="",AJ$22=""),"",IF(LEN(VLOOKUP($B52,Database!$B$1:$IX$10144,AJ$22,FALSE))=0,"",VLOOKUP($B52,Database!$B$1:$IX$10144,AJ$22,FALSE)))</f>
        <v/>
      </c>
      <c r="AK52" s="22">
        <f>IF(OR($B52="",AK$22=""),"",IF(LEN(VLOOKUP($B52,Database!$B$1:$IX$10144,AK$22,FALSE))=0,"",VLOOKUP($B52,Database!$B$1:$IX$10144,AK$22,FALSE)))</f>
        <v>38.799999999999997</v>
      </c>
      <c r="AL52" s="22">
        <f>IF(OR($B52="",AL$22=""),"",IF(LEN(VLOOKUP($B52,Database!$B$1:$IX$10144,AL$22,FALSE))=0,"",VLOOKUP($B52,Database!$B$1:$IX$10144,AL$22,FALSE)))</f>
        <v>24.8</v>
      </c>
      <c r="AM52" s="22">
        <f>IF(OR($B52="",AM$22=""),"",IF(LEN(VLOOKUP($B52,Database!$B$1:$IX$10144,AM$22,FALSE))=0,"",VLOOKUP($B52,Database!$B$1:$IX$10144,AM$22,FALSE)))</f>
        <v>91.17647058823529</v>
      </c>
      <c r="AN52" s="22" t="str">
        <f>IF(OR($B52="",AN$22=""),"",IF(LEN(VLOOKUP($B52,Database!$B$1:$IX$10144,AN$22,FALSE))=0,"",VLOOKUP($B52,Database!$B$1:$IX$10144,AN$22,FALSE)))</f>
        <v>ns</v>
      </c>
      <c r="AO52" s="22">
        <f>IF(OR($B52="",AO$22=""),"",IF(LEN(VLOOKUP($B52,Database!$B$1:$IX$10144,AO$22,FALSE))=0,"",VLOOKUP($B52,Database!$B$1:$IX$10144,AO$22,FALSE)))</f>
        <v>11.76470588235294</v>
      </c>
      <c r="AP52" s="22">
        <f>IF(OR($B52="",AP$22=""),"",IF(LEN(VLOOKUP($B52,Database!$B$1:$IX$10144,AP$22,FALSE))=0,"",VLOOKUP($B52,Database!$B$1:$IX$10144,AP$22,FALSE)))</f>
        <v>8.8235294117647065</v>
      </c>
      <c r="AQ52" s="22" t="str">
        <f>IF(OR($B52="",AQ$22=""),"",IF(LEN(VLOOKUP($B52,Database!$B$1:$IX$10144,AQ$22,FALSE))=0,"",VLOOKUP($B52,Database!$B$1:$IX$10144,AQ$22,FALSE)))</f>
        <v>Frodl T, Schaub A, Banac S, Charypar M, Jager M, Kummler P, Bottlender R, Zetzsche T, Born C, Leinsinger G, Reiser M, Moller HJ, Meisenzahl EM.</v>
      </c>
      <c r="AR52" s="22"/>
      <c r="AS52" s="22"/>
      <c r="AT52" s="22"/>
      <c r="AU52" s="22"/>
    </row>
    <row r="53" spans="1:47">
      <c r="A53" s="10" t="s">
        <v>2336</v>
      </c>
      <c r="B53">
        <v>17389903</v>
      </c>
      <c r="C53" s="1" t="str">
        <f>IF($B53="","",HYPERLINK(IF(LEN(VLOOKUP($B53,Database!$B$1:$IX$10144,2,FALSE))=0,"",VLOOKUP($B53,Database!$B$1:$IX$10144,2,FALSE))))</f>
        <v/>
      </c>
      <c r="D53" s="1" t="str">
        <f t="shared" si="2"/>
        <v>http://www.ncbi.nlm.nih.gov/pubmed/17389903</v>
      </c>
      <c r="E53" s="22" t="str">
        <f>IF($B53="","",IF(LEN(VLOOKUP($B53,Database!$B$1:$IX$10144,4,FALSE))=0,"",VLOOKUP($B53,Database!$B$1:$IX$10144,4,FALSE)))</f>
        <v>Monkul ES</v>
      </c>
      <c r="F53" s="22">
        <f>IF($B53="","",IF(LEN(VLOOKUP($B53,Database!$B$1:$IX$10144,5,FALSE))=0,"",VLOOKUP($B53,Database!$B$1:$IX$10144,5,FALSE)))</f>
        <v>2007</v>
      </c>
      <c r="G53" s="1" t="str">
        <f>IF($B53="","",HYPERLINK(IF(LEN(VLOOKUP($B53,Database!$B$1:$IX$10144,6,FALSE))=0,"",VLOOKUP($B53,Database!$B$1:$IX$10144,6,FALSE))))</f>
        <v>http://www.nature.com/mp/journal/v12/n4/pdf/4001919a.pdf</v>
      </c>
      <c r="H53" s="83">
        <v>7</v>
      </c>
      <c r="I53" s="83">
        <v>8.5</v>
      </c>
      <c r="J53" t="s">
        <v>1378</v>
      </c>
      <c r="K53" t="s">
        <v>988</v>
      </c>
      <c r="L53">
        <v>3.44</v>
      </c>
      <c r="M53">
        <v>0.7</v>
      </c>
      <c r="N53">
        <v>3.32</v>
      </c>
      <c r="O53">
        <v>0.27</v>
      </c>
      <c r="P53">
        <v>3.35</v>
      </c>
      <c r="Q53">
        <v>0.49</v>
      </c>
      <c r="R53">
        <v>3.29</v>
      </c>
      <c r="S53">
        <v>0.34</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83">
        <v>31.4</v>
      </c>
      <c r="AC53" s="83">
        <v>13.9</v>
      </c>
      <c r="AD53" s="83">
        <f>IF(OR($B53="",AD$22=""),"",IF(LEN(VLOOKUP($B53,Database!$B$1:$IX$10144,AD$22,FALSE))=0,"",VLOOKUP($B53,Database!$B$1:$IX$10144,AD$22,FALSE)))</f>
        <v>31.3</v>
      </c>
      <c r="AE53" s="83">
        <f>IF(OR($B53="",AE$22=""),"",IF(LEN(VLOOKUP($B53,Database!$B$1:$IX$10144,AE$22,FALSE))=0,"",VLOOKUP($B53,Database!$B$1:$IX$10144,AE$22,FALSE)))</f>
        <v>8.3000000000000007</v>
      </c>
      <c r="AF53" s="83">
        <v>7</v>
      </c>
      <c r="AG53" s="83">
        <v>8.5</v>
      </c>
      <c r="AH53" s="22"/>
      <c r="AI53" s="22"/>
      <c r="AJ53" s="22" t="str">
        <f>IF(OR($B53="",AJ$22=""),"",IF(LEN(VLOOKUP($B53,Database!$B$1:$IX$10144,AJ$22,FALSE))=0,"",VLOOKUP($B53,Database!$B$1:$IX$10144,AJ$22,FALSE)))</f>
        <v/>
      </c>
      <c r="AK53" s="83">
        <v>16</v>
      </c>
      <c r="AL53" s="83">
        <v>13.7</v>
      </c>
      <c r="AM53" s="22">
        <f>IF(OR($B53="",AM$22=""),"",IF(LEN(VLOOKUP($B53,Database!$B$1:$IX$10144,AM$22,FALSE))=0,"",VLOOKUP($B53,Database!$B$1:$IX$10144,AM$22,FALSE)))</f>
        <v>0</v>
      </c>
      <c r="AN53" s="22">
        <f>IF(OR($B53="",AN$22=""),"",IF(LEN(VLOOKUP($B53,Database!$B$1:$IX$10144,AN$22,FALSE))=0,"",VLOOKUP($B53,Database!$B$1:$IX$10144,AN$22,FALSE)))</f>
        <v>0</v>
      </c>
      <c r="AO53" s="22">
        <f>IF(OR($B53="",AO$22=""),"",IF(LEN(VLOOKUP($B53,Database!$B$1:$IX$10144,AO$22,FALSE))=0,"",VLOOKUP($B53,Database!$B$1:$IX$10144,AO$22,FALSE)))</f>
        <v>0</v>
      </c>
      <c r="AP53" s="22">
        <f>IF(OR($B53="",AP$22=""),"",IF(LEN(VLOOKUP($B53,Database!$B$1:$IX$10144,AP$22,FALSE))=0,"",VLOOKUP($B53,Database!$B$1:$IX$10144,AP$22,FALSE)))</f>
        <v>100</v>
      </c>
      <c r="AQ53" s="22" t="str">
        <f>IF(OR($B53="",AQ$22=""),"",IF(LEN(VLOOKUP($B53,Database!$B$1:$IX$10144,AQ$22,FALSE))=0,"",VLOOKUP($B53,Database!$B$1:$IX$10144,AQ$22,FALSE)))</f>
        <v>Monkul ES, Hatch JP, Nicoletti MA, Spence S, Brambilla P, Lacerda AL, Sassi RB, Mallinger AG, Keshavan MS, Soares JC.</v>
      </c>
      <c r="AR53" s="22"/>
      <c r="AS53" s="22"/>
      <c r="AT53" s="22"/>
      <c r="AU53" s="22"/>
    </row>
    <row r="54" spans="1:47">
      <c r="A54" s="10" t="s">
        <v>2336</v>
      </c>
      <c r="B54">
        <v>17389903</v>
      </c>
      <c r="C54" s="1" t="str">
        <f>IF($B54="","",HYPERLINK(IF(LEN(VLOOKUP($B54,Database!$B$1:$IX$10144,2,FALSE))=0,"",VLOOKUP($B54,Database!$B$1:$IX$10144,2,FALSE))))</f>
        <v/>
      </c>
      <c r="D54" s="1" t="str">
        <f t="shared" si="2"/>
        <v>http://www.ncbi.nlm.nih.gov/pubmed/17389903</v>
      </c>
      <c r="E54" s="22" t="str">
        <f>IF($B54="","",IF(LEN(VLOOKUP($B54,Database!$B$1:$IX$10144,4,FALSE))=0,"",VLOOKUP($B54,Database!$B$1:$IX$10144,4,FALSE)))</f>
        <v>Monkul ES</v>
      </c>
      <c r="F54" s="22">
        <f>IF($B54="","",IF(LEN(VLOOKUP($B54,Database!$B$1:$IX$10144,5,FALSE))=0,"",VLOOKUP($B54,Database!$B$1:$IX$10144,5,FALSE)))</f>
        <v>2007</v>
      </c>
      <c r="G54" s="1" t="str">
        <f>IF($B54="","",HYPERLINK(IF(LEN(VLOOKUP($B54,Database!$B$1:$IX$10144,6,FALSE))=0,"",VLOOKUP($B54,Database!$B$1:$IX$10144,6,FALSE))))</f>
        <v>http://www.nature.com/mp/journal/v12/n4/pdf/4001919a.pdf</v>
      </c>
      <c r="H54" s="83">
        <v>10</v>
      </c>
      <c r="I54" s="83">
        <v>8.5</v>
      </c>
      <c r="J54" t="s">
        <v>1378</v>
      </c>
      <c r="K54" t="s">
        <v>989</v>
      </c>
      <c r="L54">
        <v>3.38</v>
      </c>
      <c r="M54">
        <v>0.43</v>
      </c>
      <c r="N54">
        <v>3.32</v>
      </c>
      <c r="O54">
        <v>0.27</v>
      </c>
      <c r="P54">
        <v>3.47</v>
      </c>
      <c r="Q54">
        <v>0.42</v>
      </c>
      <c r="R54">
        <v>3.29</v>
      </c>
      <c r="S54">
        <v>0.34</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83">
        <v>36.5</v>
      </c>
      <c r="AC54" s="83">
        <v>7.5</v>
      </c>
      <c r="AD54" s="83">
        <f>IF(OR($B54="",AD$22=""),"",IF(LEN(VLOOKUP($B54,Database!$B$1:$IX$10144,AD$22,FALSE))=0,"",VLOOKUP($B54,Database!$B$1:$IX$10144,AD$22,FALSE)))</f>
        <v>31.3</v>
      </c>
      <c r="AE54" s="83">
        <f>IF(OR($B54="",AE$22=""),"",IF(LEN(VLOOKUP($B54,Database!$B$1:$IX$10144,AE$22,FALSE))=0,"",VLOOKUP($B54,Database!$B$1:$IX$10144,AE$22,FALSE)))</f>
        <v>8.3000000000000007</v>
      </c>
      <c r="AF54" s="83">
        <v>10</v>
      </c>
      <c r="AG54" s="83">
        <v>8.5</v>
      </c>
      <c r="AH54" s="22"/>
      <c r="AI54" s="22"/>
      <c r="AJ54" s="22" t="str">
        <f>IF(OR($B54="",AJ$22=""),"",IF(LEN(VLOOKUP($B54,Database!$B$1:$IX$10144,AJ$22,FALSE))=0,"",VLOOKUP($B54,Database!$B$1:$IX$10144,AJ$22,FALSE)))</f>
        <v/>
      </c>
      <c r="AK54" s="83">
        <v>26.9</v>
      </c>
      <c r="AL54" s="83">
        <v>10.9</v>
      </c>
      <c r="AM54" s="22">
        <f>IF(OR($B54="",AM$22=""),"",IF(LEN(VLOOKUP($B54,Database!$B$1:$IX$10144,AM$22,FALSE))=0,"",VLOOKUP($B54,Database!$B$1:$IX$10144,AM$22,FALSE)))</f>
        <v>0</v>
      </c>
      <c r="AN54" s="22">
        <f>IF(OR($B54="",AN$22=""),"",IF(LEN(VLOOKUP($B54,Database!$B$1:$IX$10144,AN$22,FALSE))=0,"",VLOOKUP($B54,Database!$B$1:$IX$10144,AN$22,FALSE)))</f>
        <v>0</v>
      </c>
      <c r="AO54" s="22">
        <f>IF(OR($B54="",AO$22=""),"",IF(LEN(VLOOKUP($B54,Database!$B$1:$IX$10144,AO$22,FALSE))=0,"",VLOOKUP($B54,Database!$B$1:$IX$10144,AO$22,FALSE)))</f>
        <v>0</v>
      </c>
      <c r="AP54" s="22">
        <f>IF(OR($B54="",AP$22=""),"",IF(LEN(VLOOKUP($B54,Database!$B$1:$IX$10144,AP$22,FALSE))=0,"",VLOOKUP($B54,Database!$B$1:$IX$10144,AP$22,FALSE)))</f>
        <v>100</v>
      </c>
      <c r="AQ54" s="22" t="str">
        <f>IF(OR($B54="",AQ$22=""),"",IF(LEN(VLOOKUP($B54,Database!$B$1:$IX$10144,AQ$22,FALSE))=0,"",VLOOKUP($B54,Database!$B$1:$IX$10144,AQ$22,FALSE)))</f>
        <v>Monkul ES, Hatch JP, Nicoletti MA, Spence S, Brambilla P, Lacerda AL, Sassi RB, Mallinger AG, Keshavan MS, Soares JC.</v>
      </c>
      <c r="AR54" s="22"/>
      <c r="AS54" s="22"/>
      <c r="AT54" s="22"/>
      <c r="AU54" s="22"/>
    </row>
    <row r="55" spans="1:47">
      <c r="A55" s="10" t="s">
        <v>2335</v>
      </c>
      <c r="B55">
        <v>18787661</v>
      </c>
      <c r="C55" s="1" t="str">
        <f>IF($B55="","",HYPERLINK(IF(LEN(VLOOKUP($B55,Database!$B$1:$IX$10144,2,FALSE))=0,"",VLOOKUP($B55,Database!$B$1:$IX$10144,2,FALSE))))</f>
        <v/>
      </c>
      <c r="D55" s="1" t="str">
        <f t="shared" si="2"/>
        <v>http://www.ncbi.nlm.nih.gov/pubmed/18787661</v>
      </c>
      <c r="E55" s="22" t="str">
        <f>IF($B55="","",IF(LEN(VLOOKUP($B55,Database!$B$1:$IX$10144,4,FALSE))=0,"",VLOOKUP($B55,Database!$B$1:$IX$10144,4,FALSE)))</f>
        <v>Frodl T (C)</v>
      </c>
      <c r="F55" s="22">
        <f>IF($B55="","",IF(LEN(VLOOKUP($B55,Database!$B$1:$IX$10144,5,FALSE))=0,"",VLOOKUP($B55,Database!$B$1:$IX$10144,5,FALSE)))</f>
        <v>2008</v>
      </c>
      <c r="G55" s="1" t="str">
        <f>IF($B55="","",HYPERLINK(IF(LEN(VLOOKUP($B55,Database!$B$1:$IX$10144,6,FALSE))=0,"",VLOOKUP($B55,Database!$B$1:$IX$10144,6,FALSE))))</f>
        <v>http://www.cma.ca/multimedia/staticContent/HTML/N0/l2/jpn/vol-33/issue-5/pdf/pg423.pdf</v>
      </c>
      <c r="H55" s="22">
        <f>IF($B55="","",IF(LEN(VLOOKUP($B55,Database!$B$1:$IX$10144,7,FALSE))=0,"",VLOOKUP($B55,Database!$B$1:$IX$10144,7,FALSE)))</f>
        <v>30</v>
      </c>
      <c r="I55" s="22">
        <f>IF($B55="","",IF(LEN(VLOOKUP($B55,Database!$B$1:$IX$10144,8,FALSE))=0,"",VLOOKUP($B55,Database!$B$1:$IX$10144,8,FALSE)))</f>
        <v>30</v>
      </c>
      <c r="J55" t="s">
        <v>652</v>
      </c>
      <c r="L55">
        <v>3.71</v>
      </c>
      <c r="M55">
        <v>0.34</v>
      </c>
      <c r="N55">
        <v>3.72</v>
      </c>
      <c r="O55">
        <v>0.37</v>
      </c>
      <c r="P55">
        <v>3.85</v>
      </c>
      <c r="Q55">
        <v>0.34</v>
      </c>
      <c r="R55">
        <v>3.82</v>
      </c>
      <c r="S55">
        <v>0.47</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45</v>
      </c>
      <c r="AC55" s="22">
        <f>IF(OR($B55="",AC$22=""),"",IF(LEN(VLOOKUP($B55,Database!$B$1:$IX$10144,AC$22,FALSE))=0,"",VLOOKUP($B55,Database!$B$1:$IX$10144,AC$22,FALSE)))</f>
        <v>11.1</v>
      </c>
      <c r="AD55" s="22">
        <f>IF(OR($B55="",AD$22=""),"",IF(LEN(VLOOKUP($B55,Database!$B$1:$IX$10144,AD$22,FALSE))=0,"",VLOOKUP($B55,Database!$B$1:$IX$10144,AD$22,FALSE)))</f>
        <v>43.6</v>
      </c>
      <c r="AE55" s="22">
        <f>IF(OR($B55="",AE$22=""),"",IF(LEN(VLOOKUP($B55,Database!$B$1:$IX$10144,AE$22,FALSE))=0,"",VLOOKUP($B55,Database!$B$1:$IX$10144,AE$22,FALSE)))</f>
        <v>13.1</v>
      </c>
      <c r="AF55" s="22">
        <f>IF(OR($B55="",AF$22=""),"",IF(LEN(VLOOKUP($B55,Database!$B$1:$IX$10144,AF$22,FALSE))=0,"",VLOOKUP($B55,Database!$B$1:$IX$10144,AF$22,FALSE)))</f>
        <v>19</v>
      </c>
      <c r="AG55" s="22">
        <f>IF(OR($B55="",AG$22=""),"",IF(LEN(VLOOKUP($B55,Database!$B$1:$IX$10144,AG$22,FALSE))=0,"",VLOOKUP($B55,Database!$B$1:$IX$10144,AG$22,FALSE)))</f>
        <v>19</v>
      </c>
      <c r="AH55" s="22"/>
      <c r="AI55" s="22"/>
      <c r="AJ55" s="22" t="str">
        <f>IF(OR($B55="",AJ$22=""),"",IF(LEN(VLOOKUP($B55,Database!$B$1:$IX$10144,AJ$22,FALSE))=0,"",VLOOKUP($B55,Database!$B$1:$IX$10144,AJ$22,FALSE)))</f>
        <v/>
      </c>
      <c r="AK55" s="22">
        <f>IF(OR($B55="",AK$22=""),"",IF(LEN(VLOOKUP($B55,Database!$B$1:$IX$10144,AK$22,FALSE))=0,"",VLOOKUP($B55,Database!$B$1:$IX$10144,AK$22,FALSE)))</f>
        <v>39.299999999999997</v>
      </c>
      <c r="AL55" s="22">
        <f>IF(OR($B55="",AL$22=""),"",IF(LEN(VLOOKUP($B55,Database!$B$1:$IX$10144,AL$22,FALSE))=0,"",VLOOKUP($B55,Database!$B$1:$IX$10144,AL$22,FALSE)))</f>
        <v>24</v>
      </c>
      <c r="AM55" s="22">
        <f>IF(OR($B55="",AM$22=""),"",IF(LEN(VLOOKUP($B55,Database!$B$1:$IX$10144,AM$22,FALSE))=0,"",VLOOKUP($B55,Database!$B$1:$IX$10144,AM$22,FALSE)))</f>
        <v>96.666666666666671</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Frodl T, Jäger M, Smajstrlova I, Born C, Bottlender R, Palladino T, Reiser M, Möller HJ, Meisenzahl EM.</v>
      </c>
      <c r="AR55" s="22"/>
      <c r="AS55" s="22"/>
      <c r="AT55" s="22"/>
      <c r="AU55" s="22"/>
    </row>
    <row r="56" spans="1:47">
      <c r="A56" s="10" t="s">
        <v>1188</v>
      </c>
      <c r="B56">
        <v>18508244</v>
      </c>
      <c r="C56" s="1" t="str">
        <f>IF($B56="","",HYPERLINK(IF(LEN(VLOOKUP($B56,Database!$B$1:$IX$10144,2,FALSE))=0,"",VLOOKUP($B56,Database!$B$1:$IX$10144,2,FALSE))))</f>
        <v/>
      </c>
      <c r="D56" s="1" t="str">
        <f t="shared" si="2"/>
        <v>http://www.ncbi.nlm.nih.gov/pubmed/18508244</v>
      </c>
      <c r="E56" s="22" t="str">
        <f>IF($B56="","",IF(LEN(VLOOKUP($B56,Database!$B$1:$IX$10144,4,FALSE))=0,"",VLOOKUP($B56,Database!$B$1:$IX$10144,4,FALSE)))</f>
        <v>Greenberg DL</v>
      </c>
      <c r="F56" s="22">
        <f>IF($B56="","",IF(LEN(VLOOKUP($B56,Database!$B$1:$IX$10144,5,FALSE))=0,"",VLOOKUP($B56,Database!$B$1:$IX$10144,5,FALSE)))</f>
        <v>2008</v>
      </c>
      <c r="G56" s="1" t="str">
        <f>IF($B56="","",HYPERLINK(IF(LEN(VLOOKUP($B56,Database!$B$1:$IX$10144,6,FALSE))=0,"",VLOOKUP($B56,Database!$B$1:$IX$10144,6,FALSE))))</f>
        <v>http://dx.doi.org/10.1016/j.pscychresns.2007.12.009</v>
      </c>
      <c r="H56" s="83">
        <v>56</v>
      </c>
      <c r="I56" s="83">
        <v>41.5</v>
      </c>
      <c r="J56" t="s">
        <v>609</v>
      </c>
      <c r="K56" t="s">
        <v>607</v>
      </c>
      <c r="L56">
        <v>2.91</v>
      </c>
      <c r="M56">
        <v>0.45</v>
      </c>
      <c r="N56">
        <v>2.95</v>
      </c>
      <c r="O56">
        <v>0.45</v>
      </c>
      <c r="P56">
        <v>3.13</v>
      </c>
      <c r="Q56">
        <v>0.36</v>
      </c>
      <c r="R56">
        <v>3.13</v>
      </c>
      <c r="S56">
        <v>0.44</v>
      </c>
      <c r="Y56" s="22" t="str">
        <f>IF(OR($B56="",Y$22=""),"",IF(LEN(VLOOKUP($B56,Database!$B$1:$IX$10144,Y$22,FALSE))=0,"",VLOOKUP($B56,Database!$B$1:$IX$10144,Y$22,FALSE)))</f>
        <v>DSM-IV</v>
      </c>
      <c r="Z56" s="22" t="str">
        <f>IF(OR($B56="",Z$22=""),"",IF(LEN(VLOOKUP($B56,Database!$B$1:$IX$10144,Z$22,FALSE))=0,"",VLOOKUP($B56,Database!$B$1:$IX$10144,Z$22,FALSE)))</f>
        <v>MRI</v>
      </c>
      <c r="AA56" s="83" t="s">
        <v>751</v>
      </c>
      <c r="AB56" s="83">
        <v>71</v>
      </c>
      <c r="AC56" s="83">
        <v>7</v>
      </c>
      <c r="AD56" s="22">
        <f>IF(OR($B56="",AD$22=""),"",IF(LEN(VLOOKUP($B56,Database!$B$1:$IX$10144,AD$22,FALSE))=0,"",VLOOKUP($B56,Database!$B$1:$IX$10144,AD$22,FALSE)))</f>
        <v>69</v>
      </c>
      <c r="AE56" s="22">
        <f>IF(OR($B56="",AE$22=""),"",IF(LEN(VLOOKUP($B56,Database!$B$1:$IX$10144,AE$22,FALSE))=0,"",VLOOKUP($B56,Database!$B$1:$IX$10144,AE$22,FALSE)))</f>
        <v>7</v>
      </c>
      <c r="AF56" s="83">
        <v>37</v>
      </c>
      <c r="AG56" s="83">
        <v>31.5</v>
      </c>
      <c r="AH56" s="22"/>
      <c r="AI56" s="22"/>
      <c r="AJ56" s="22" t="str">
        <f>IF(OR($B56="",AJ$22=""),"",IF(LEN(VLOOKUP($B56,Database!$B$1:$IX$10144,AJ$22,FALSE))=0,"",VLOOKUP($B56,Database!$B$1:$IX$10144,AJ$22,FALSE)))</f>
        <v/>
      </c>
      <c r="AK56" s="83">
        <v>49</v>
      </c>
      <c r="AL56" s="83">
        <v>21</v>
      </c>
      <c r="AM56" s="22" t="str">
        <f>IF(OR($B56="",AM$22=""),"",IF(LEN(VLOOKUP($B56,Database!$B$1:$IX$10144,AM$22,FALSE))=0,"",VLOOKUP($B56,Database!$B$1:$IX$10144,AM$22,FALSE)))</f>
        <v>ns</v>
      </c>
      <c r="AN56" s="22" t="str">
        <f>IF(OR($B56="",AN$22=""),"",IF(LEN(VLOOKUP($B56,Database!$B$1:$IX$10144,AN$22,FALSE))=0,"",VLOOKUP($B56,Database!$B$1:$IX$10144,AN$22,FALSE)))</f>
        <v>ns</v>
      </c>
      <c r="AO56" s="22" t="str">
        <f>IF(OR($B56="",AO$22=""),"",IF(LEN(VLOOKUP($B56,Database!$B$1:$IX$10144,AO$22,FALSE))=0,"",VLOOKUP($B56,Database!$B$1:$IX$10144,AO$22,FALSE)))</f>
        <v>ns</v>
      </c>
      <c r="AP56" s="22" t="str">
        <f>IF(OR($B56="",AP$22=""),"",IF(LEN(VLOOKUP($B56,Database!$B$1:$IX$10144,AP$22,FALSE))=0,"",VLOOKUP($B56,Database!$B$1:$IX$10144,AP$22,FALSE)))</f>
        <v>ns</v>
      </c>
      <c r="AQ56" s="22" t="str">
        <f>IF(OR($B56="",AQ$22=""),"",IF(LEN(VLOOKUP($B56,Database!$B$1:$IX$10144,AQ$22,FALSE))=0,"",VLOOKUP($B56,Database!$B$1:$IX$10144,AQ$22,FALSE)))</f>
        <v>Greenberg DL, Payne ME, MacFall JR, Steffens DC, Krishnan RR.</v>
      </c>
      <c r="AR56" s="22"/>
      <c r="AS56" s="22"/>
      <c r="AT56" s="22"/>
      <c r="AU56" s="22"/>
    </row>
    <row r="57" spans="1:47">
      <c r="A57" s="10" t="s">
        <v>1188</v>
      </c>
      <c r="B57">
        <v>18508244</v>
      </c>
      <c r="C57" s="1" t="str">
        <f>IF($B57="","",HYPERLINK(IF(LEN(VLOOKUP($B57,Database!$B$1:$IX$10144,2,FALSE))=0,"",VLOOKUP($B57,Database!$B$1:$IX$10144,2,FALSE))))</f>
        <v/>
      </c>
      <c r="D57" s="1" t="str">
        <f t="shared" si="2"/>
        <v>http://www.ncbi.nlm.nih.gov/pubmed/18508244</v>
      </c>
      <c r="E57" s="22" t="str">
        <f>IF($B57="","",IF(LEN(VLOOKUP($B57,Database!$B$1:$IX$10144,4,FALSE))=0,"",VLOOKUP($B57,Database!$B$1:$IX$10144,4,FALSE)))</f>
        <v>Greenberg DL</v>
      </c>
      <c r="F57" s="22">
        <f>IF($B57="","",IF(LEN(VLOOKUP($B57,Database!$B$1:$IX$10144,5,FALSE))=0,"",VLOOKUP($B57,Database!$B$1:$IX$10144,5,FALSE)))</f>
        <v>2008</v>
      </c>
      <c r="G57" s="1" t="str">
        <f>IF($B57="","",HYPERLINK(IF(LEN(VLOOKUP($B57,Database!$B$1:$IX$10144,6,FALSE))=0,"",VLOOKUP($B57,Database!$B$1:$IX$10144,6,FALSE))))</f>
        <v>http://dx.doi.org/10.1016/j.pscychresns.2007.12.009</v>
      </c>
      <c r="H57" s="83">
        <v>68</v>
      </c>
      <c r="I57" s="83">
        <v>41.5</v>
      </c>
      <c r="J57" t="s">
        <v>609</v>
      </c>
      <c r="K57" t="s">
        <v>608</v>
      </c>
      <c r="L57">
        <v>2.99</v>
      </c>
      <c r="M57">
        <v>0.48</v>
      </c>
      <c r="N57">
        <v>2.95</v>
      </c>
      <c r="O57">
        <v>0.45</v>
      </c>
      <c r="P57">
        <v>3.07</v>
      </c>
      <c r="Q57">
        <v>0.46</v>
      </c>
      <c r="R57">
        <v>3.13</v>
      </c>
      <c r="S57">
        <v>0.44</v>
      </c>
      <c r="Y57" s="22" t="str">
        <f>IF(OR($B57="",Y$22=""),"",IF(LEN(VLOOKUP($B57,Database!$B$1:$IX$10144,Y$22,FALSE))=0,"",VLOOKUP($B57,Database!$B$1:$IX$10144,Y$22,FALSE)))</f>
        <v>DSM-IV</v>
      </c>
      <c r="Z57" s="22" t="str">
        <f>IF(OR($B57="",Z$22=""),"",IF(LEN(VLOOKUP($B57,Database!$B$1:$IX$10144,Z$22,FALSE))=0,"",VLOOKUP($B57,Database!$B$1:$IX$10144,Z$22,FALSE)))</f>
        <v>MRI</v>
      </c>
      <c r="AA57" s="83" t="s">
        <v>752</v>
      </c>
      <c r="AB57" s="83">
        <v>70</v>
      </c>
      <c r="AC57" s="83">
        <v>8</v>
      </c>
      <c r="AD57" s="22">
        <f>IF(OR($B57="",AD$22=""),"",IF(LEN(VLOOKUP($B57,Database!$B$1:$IX$10144,AD$22,FALSE))=0,"",VLOOKUP($B57,Database!$B$1:$IX$10144,AD$22,FALSE)))</f>
        <v>69</v>
      </c>
      <c r="AE57" s="22">
        <f>IF(OR($B57="",AE$22=""),"",IF(LEN(VLOOKUP($B57,Database!$B$1:$IX$10144,AE$22,FALSE))=0,"",VLOOKUP($B57,Database!$B$1:$IX$10144,AE$22,FALSE)))</f>
        <v>7</v>
      </c>
      <c r="AF57" s="83">
        <v>48</v>
      </c>
      <c r="AG57" s="83">
        <v>31.5</v>
      </c>
      <c r="AH57" s="22"/>
      <c r="AI57" s="22"/>
      <c r="AJ57" s="22" t="str">
        <f>IF(OR($B57="",AJ$22=""),"",IF(LEN(VLOOKUP($B57,Database!$B$1:$IX$10144,AJ$22,FALSE))=0,"",VLOOKUP($B57,Database!$B$1:$IX$10144,AJ$22,FALSE)))</f>
        <v/>
      </c>
      <c r="AK57" s="83">
        <v>40</v>
      </c>
      <c r="AL57" s="83">
        <v>21</v>
      </c>
      <c r="AM57" s="22" t="str">
        <f>IF(OR($B57="",AM$22=""),"",IF(LEN(VLOOKUP($B57,Database!$B$1:$IX$10144,AM$22,FALSE))=0,"",VLOOKUP($B57,Database!$B$1:$IX$10144,AM$22,FALSE)))</f>
        <v>ns</v>
      </c>
      <c r="AN57" s="22" t="str">
        <f>IF(OR($B57="",AN$22=""),"",IF(LEN(VLOOKUP($B57,Database!$B$1:$IX$10144,AN$22,FALSE))=0,"",VLOOKUP($B57,Database!$B$1:$IX$10144,AN$22,FALSE)))</f>
        <v>ns</v>
      </c>
      <c r="AO57" s="22" t="str">
        <f>IF(OR($B57="",AO$22=""),"",IF(LEN(VLOOKUP($B57,Database!$B$1:$IX$10144,AO$22,FALSE))=0,"",VLOOKUP($B57,Database!$B$1:$IX$10144,AO$22,FALSE)))</f>
        <v>ns</v>
      </c>
      <c r="AP57" s="22" t="str">
        <f>IF(OR($B57="",AP$22=""),"",IF(LEN(VLOOKUP($B57,Database!$B$1:$IX$10144,AP$22,FALSE))=0,"",VLOOKUP($B57,Database!$B$1:$IX$10144,AP$22,FALSE)))</f>
        <v>ns</v>
      </c>
      <c r="AQ57" s="22" t="str">
        <f>IF(OR($B57="",AQ$22=""),"",IF(LEN(VLOOKUP($B57,Database!$B$1:$IX$10144,AQ$22,FALSE))=0,"",VLOOKUP($B57,Database!$B$1:$IX$10144,AQ$22,FALSE)))</f>
        <v>Greenberg DL, Payne ME, MacFall JR, Steffens DC, Krishnan RR.</v>
      </c>
      <c r="AR57" s="22"/>
      <c r="AS57" s="22"/>
      <c r="AT57" s="22"/>
      <c r="AU57" s="22"/>
    </row>
    <row r="58" spans="1:47">
      <c r="A58" s="7" t="s">
        <v>28</v>
      </c>
      <c r="B58">
        <v>18515903</v>
      </c>
      <c r="C58" s="1" t="str">
        <f>IF($B58="","",HYPERLINK(IF(LEN(VLOOKUP($B58,Database!$B$1:$IX$10144,2,FALSE))=0,"",VLOOKUP($B58,Database!$B$1:$IX$10144,2,FALSE))))</f>
        <v/>
      </c>
      <c r="D58" s="1" t="str">
        <f t="shared" si="2"/>
        <v>http://www.ncbi.nlm.nih.gov/pubmed/18515903</v>
      </c>
      <c r="E58" s="22" t="str">
        <f>IF($B58="","",IF(LEN(VLOOKUP($B58,Database!$B$1:$IX$10144,4,FALSE))=0,"",VLOOKUP($B58,Database!$B$1:$IX$10144,4,FALSE)))</f>
        <v>Kronmüller KT</v>
      </c>
      <c r="F58" s="22">
        <f>IF($B58="","",IF(LEN(VLOOKUP($B58,Database!$B$1:$IX$10144,5,FALSE))=0,"",VLOOKUP($B58,Database!$B$1:$IX$10144,5,FALSE)))</f>
        <v>2008</v>
      </c>
      <c r="G58" s="1" t="str">
        <f>IF($B58="","",HYPERLINK(IF(LEN(VLOOKUP($B58,Database!$B$1:$IX$10144,6,FALSE))=0,"",VLOOKUP($B58,Database!$B$1:$IX$10144,6,FALSE))))</f>
        <v>http://bjp.rcpsych.org/cgi/content/full/192/6/472</v>
      </c>
      <c r="H58" s="22">
        <f>IF($B58="","",IF(LEN(VLOOKUP($B58,Database!$B$1:$IX$10144,7,FALSE))=0,"",VLOOKUP($B58,Database!$B$1:$IX$10144,7,FALSE)))</f>
        <v>49</v>
      </c>
      <c r="I58" s="22">
        <f>IF($B58="","",IF(LEN(VLOOKUP($B58,Database!$B$1:$IX$10144,8,FALSE))=0,"",VLOOKUP($B58,Database!$B$1:$IX$10144,8,FALSE)))</f>
        <v>30</v>
      </c>
      <c r="K58" s="10"/>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t="str">
        <f>IF(OR($B58="",AB$22=""),"",IF(LEN(VLOOKUP($B58,Database!$B$1:$IX$10144,AB$22,FALSE))=0,"",VLOOKUP($B58,Database!$B$1:$IX$10144,AB$22,FALSE)))</f>
        <v/>
      </c>
      <c r="AC58" s="22" t="str">
        <f>IF(OR($B58="",AC$22=""),"",IF(LEN(VLOOKUP($B58,Database!$B$1:$IX$10144,AC$22,FALSE))=0,"",VLOOKUP($B58,Database!$B$1:$IX$10144,AC$22,FALSE)))</f>
        <v/>
      </c>
      <c r="AD58" s="22" t="str">
        <f>IF(OR($B58="",AD$22=""),"",IF(LEN(VLOOKUP($B58,Database!$B$1:$IX$10144,AD$22,FALSE))=0,"",VLOOKUP($B58,Database!$B$1:$IX$10144,AD$22,FALSE)))</f>
        <v/>
      </c>
      <c r="AE58" s="22" t="str">
        <f>IF(OR($B58="",AE$22=""),"",IF(LEN(VLOOKUP($B58,Database!$B$1:$IX$10144,AE$22,FALSE))=0,"",VLOOKUP($B58,Database!$B$1:$IX$10144,AE$22,FALSE)))</f>
        <v/>
      </c>
      <c r="AF58" s="22" t="str">
        <f>IF(OR($B58="",AF$22=""),"",IF(LEN(VLOOKUP($B58,Database!$B$1:$IX$10144,AF$22,FALSE))=0,"",VLOOKUP($B58,Database!$B$1:$IX$10144,AF$22,FALSE)))</f>
        <v/>
      </c>
      <c r="AG58" s="22" t="str">
        <f>IF(OR($B58="",AG$22=""),"",IF(LEN(VLOOKUP($B58,Database!$B$1:$IX$10144,AG$22,FALSE))=0,"",VLOOKUP($B58,Database!$B$1:$IX$10144,AG$22,FALSE)))</f>
        <v/>
      </c>
      <c r="AH58" s="22">
        <f>IF(OR($B58="",AH$22=""),"",IF(LEN(VLOOKUP($B58,Database!$B$1:$IX$10144,AH$22,FALSE))=0,"",VLOOKUP($B58,Database!$B$1:$IX$10144,AH$22,FALSE)))</f>
        <v>1.5</v>
      </c>
      <c r="AI58" s="22" t="str">
        <f>IF(OR($B58="",AI$22=""),"",IF(LEN(VLOOKUP($B58,Database!$B$1:$IX$10144,AI$22,FALSE))=0,"",VLOOKUP($B58,Database!$B$1:$IX$10144,AI$22,FALSE)))</f>
        <v>ns</v>
      </c>
      <c r="AJ58" s="22" t="str">
        <f>IF(OR($B58="",AJ$22=""),"",IF(LEN(VLOOKUP($B58,Database!$B$1:$IX$10144,AJ$22,FALSE))=0,"",VLOOKUP($B58,Database!$B$1:$IX$10144,AJ$22,FALSE)))</f>
        <v/>
      </c>
      <c r="AK58" s="22" t="str">
        <f>IF(OR($B58="",AK$22=""),"",IF(LEN(VLOOKUP($B58,Database!$B$1:$IX$10144,AK$22,FALSE))=0,"",VLOOKUP($B58,Database!$B$1:$IX$10144,AK$22,FALSE)))</f>
        <v>ns</v>
      </c>
      <c r="AL58" s="22">
        <f>IF(OR($B58="",AL$22=""),"",IF(LEN(VLOOKUP($B58,Database!$B$1:$IX$10144,AL$22,FALSE))=0,"",VLOOKUP($B58,Database!$B$1:$IX$10144,AL$22,FALSE)))</f>
        <v>22.74</v>
      </c>
      <c r="AM58" s="22" t="str">
        <f>IF(OR($B58="",AM$22=""),"",IF(LEN(VLOOKUP($B58,Database!$B$1:$IX$10144,AM$22,FALSE))=0,"",VLOOKUP($B58,Database!$B$1:$IX$10144,AM$22,FALSE)))</f>
        <v>ns</v>
      </c>
      <c r="AN58" s="22" t="str">
        <f>IF(OR($B58="",AN$22=""),"",IF(LEN(VLOOKUP($B58,Database!$B$1:$IX$10144,AN$22,FALSE))=0,"",VLOOKUP($B58,Database!$B$1:$IX$10144,AN$22,FALSE)))</f>
        <v>ns</v>
      </c>
      <c r="AO58" s="22" t="str">
        <f>IF(OR($B58="",AO$22=""),"",IF(LEN(VLOOKUP($B58,Database!$B$1:$IX$10144,AO$22,FALSE))=0,"",VLOOKUP($B58,Database!$B$1:$IX$10144,AO$22,FALSE)))</f>
        <v>ns</v>
      </c>
      <c r="AP58" s="22" t="str">
        <f>IF(OR($B58="",AP$22=""),"",IF(LEN(VLOOKUP($B58,Database!$B$1:$IX$10144,AP$22,FALSE))=0,"",VLOOKUP($B58,Database!$B$1:$IX$10144,AP$22,FALSE)))</f>
        <v>ns</v>
      </c>
      <c r="AQ58" s="22" t="str">
        <f>IF(OR($B58="",AQ$22=""),"",IF(LEN(VLOOKUP($B58,Database!$B$1:$IX$10144,AQ$22,FALSE))=0,"",VLOOKUP($B58,Database!$B$1:$IX$10144,AQ$22,FALSE)))</f>
        <v>Kronmüller KT, Pantel J, Köhler S, Victor D, Giesel F, Magnotta VA, Mundt C, Essig M, Schröder J.</v>
      </c>
      <c r="AR58" s="22"/>
      <c r="AS58" s="22"/>
      <c r="AT58" s="22"/>
      <c r="AU58" s="22"/>
    </row>
    <row r="59" spans="1:47">
      <c r="A59" s="7" t="s">
        <v>2210</v>
      </c>
      <c r="B59">
        <v>18068956</v>
      </c>
      <c r="C59" s="1" t="str">
        <f>IF($B59="","",HYPERLINK(IF(LEN(VLOOKUP($B59,Database!$B$1:$IX$10144,2,FALSE))=0,"",VLOOKUP($B59,Database!$B$1:$IX$10144,2,FALSE))))</f>
        <v/>
      </c>
      <c r="D59" s="1" t="str">
        <f t="shared" si="2"/>
        <v>http://www.ncbi.nlm.nih.gov/pubmed/18068956</v>
      </c>
      <c r="E59" s="22" t="str">
        <f>IF($B59="","",IF(LEN(VLOOKUP($B59,Database!$B$1:$IX$10144,4,FALSE))=0,"",VLOOKUP($B59,Database!$B$1:$IX$10144,4,FALSE)))</f>
        <v>Lenze SN</v>
      </c>
      <c r="F59" s="22">
        <f>IF($B59="","",IF(LEN(VLOOKUP($B59,Database!$B$1:$IX$10144,5,FALSE))=0,"",VLOOKUP($B59,Database!$B$1:$IX$10144,5,FALSE)))</f>
        <v>2008</v>
      </c>
      <c r="G59" s="1" t="str">
        <f>IF($B59="","",HYPERLINK(IF(LEN(VLOOKUP($B59,Database!$B$1:$IX$10144,6,FALSE))=0,"",VLOOKUP($B59,Database!$B$1:$IX$10144,6,FALSE))))</f>
        <v>http://dx.doi.org/10.1016/j.pscychresns.2007.04.004</v>
      </c>
      <c r="H59" s="22">
        <f>IF($B59="","",IF(LEN(VLOOKUP($B59,Database!$B$1:$IX$10144,7,FALSE))=0,"",VLOOKUP($B59,Database!$B$1:$IX$10144,7,FALSE)))</f>
        <v>31</v>
      </c>
      <c r="I59" s="22">
        <f>IF($B59="","",IF(LEN(VLOOKUP($B59,Database!$B$1:$IX$10144,8,FALSE))=0,"",VLOOKUP($B59,Database!$B$1:$IX$10144,8,FALSE)))</f>
        <v>24</v>
      </c>
      <c r="J59" t="s">
        <v>1002</v>
      </c>
      <c r="K59" s="10"/>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50</v>
      </c>
      <c r="AC59" s="22">
        <f>IF(OR($B59="",AC$22=""),"",IF(LEN(VLOOKUP($B59,Database!$B$1:$IX$10144,AC$22,FALSE))=0,"",VLOOKUP($B59,Database!$B$1:$IX$10144,AC$22,FALSE)))</f>
        <v>15</v>
      </c>
      <c r="AD59" s="22">
        <f>IF(OR($B59="",AD$22=""),"",IF(LEN(VLOOKUP($B59,Database!$B$1:$IX$10144,AD$22,FALSE))=0,"",VLOOKUP($B59,Database!$B$1:$IX$10144,AD$22,FALSE)))</f>
        <v>46</v>
      </c>
      <c r="AE59" s="22">
        <f>IF(OR($B59="",AE$22=""),"",IF(LEN(VLOOKUP($B59,Database!$B$1:$IX$10144,AE$22,FALSE))=0,"",VLOOKUP($B59,Database!$B$1:$IX$10144,AE$22,FALSE)))</f>
        <v>14</v>
      </c>
      <c r="AF59" s="22">
        <f>IF(OR($B59="",AF$22=""),"",IF(LEN(VLOOKUP($B59,Database!$B$1:$IX$10144,AF$22,FALSE))=0,"",VLOOKUP($B59,Database!$B$1:$IX$10144,AF$22,FALSE)))</f>
        <v>31</v>
      </c>
      <c r="AG59" s="22">
        <f>IF(OR($B59="",AG$22=""),"",IF(LEN(VLOOKUP($B59,Database!$B$1:$IX$10144,AG$22,FALSE))=0,"",VLOOKUP($B59,Database!$B$1:$IX$10144,AG$22,FALSE)))</f>
        <v>24</v>
      </c>
      <c r="AH59" s="22">
        <f>IF(OR($B59="",AH$22=""),"",IF(LEN(VLOOKUP($B59,Database!$B$1:$IX$10144,AH$22,FALSE))=0,"",VLOOKUP($B59,Database!$B$1:$IX$10144,AH$22,FALSE)))</f>
        <v>1.5</v>
      </c>
      <c r="AI59" s="22">
        <f>IF(OR($B59="",AI$22=""),"",IF(LEN(VLOOKUP($B59,Database!$B$1:$IX$10144,AI$22,FALSE))=0,"",VLOOKUP($B59,Database!$B$1:$IX$10144,AI$22,FALSE)))</f>
        <v>1.25</v>
      </c>
      <c r="AJ59" s="22" t="str">
        <f>IF(OR($B59="",AJ$22=""),"",IF(LEN(VLOOKUP($B59,Database!$B$1:$IX$10144,AJ$22,FALSE))=0,"",VLOOKUP($B59,Database!$B$1:$IX$10144,AJ$22,FALSE)))</f>
        <v/>
      </c>
      <c r="AK59" s="22">
        <f>IF(OR($B59="",AK$22=""),"",IF(LEN(VLOOKUP($B59,Database!$B$1:$IX$10144,AK$22,FALSE))=0,"",VLOOKUP($B59,Database!$B$1:$IX$10144,AK$22,FALSE)))</f>
        <v>29</v>
      </c>
      <c r="AL59" s="22">
        <f>IF(OR($B59="",AL$22=""),"",IF(LEN(VLOOKUP($B59,Database!$B$1:$IX$10144,AL$22,FALSE))=0,"",VLOOKUP($B59,Database!$B$1:$IX$10144,AL$22,FALSE)))</f>
        <v>7</v>
      </c>
      <c r="AM59" s="22">
        <f>IF(OR($B59="",AM$22=""),"",IF(LEN(VLOOKUP($B59,Database!$B$1:$IX$10144,AM$22,FALSE))=0,"",VLOOKUP($B59,Database!$B$1:$IX$10144,AM$22,FALSE)))</f>
        <v>77.41935483870968</v>
      </c>
      <c r="AN59" s="22" t="str">
        <f>IF(OR($B59="",AN$22=""),"",IF(LEN(VLOOKUP($B59,Database!$B$1:$IX$10144,AN$22,FALSE))=0,"",VLOOKUP($B59,Database!$B$1:$IX$10144,AN$22,FALSE)))</f>
        <v>ns</v>
      </c>
      <c r="AO59" s="22" t="str">
        <f>IF(OR($B59="",AO$22=""),"",IF(LEN(VLOOKUP($B59,Database!$B$1:$IX$10144,AO$22,FALSE))=0,"",VLOOKUP($B59,Database!$B$1:$IX$10144,AO$22,FALSE)))</f>
        <v>ns</v>
      </c>
      <c r="AP59" s="22" t="str">
        <f>IF(OR($B59="",AP$22=""),"",IF(LEN(VLOOKUP($B59,Database!$B$1:$IX$10144,AP$22,FALSE))=0,"",VLOOKUP($B59,Database!$B$1:$IX$10144,AP$22,FALSE)))</f>
        <v>ns</v>
      </c>
      <c r="AQ59" s="22" t="str">
        <f>IF(OR($B59="",AQ$22=""),"",IF(LEN(VLOOKUP($B59,Database!$B$1:$IX$10144,AQ$22,FALSE))=0,"",VLOOKUP($B59,Database!$B$1:$IX$10144,AQ$22,FALSE)))</f>
        <v>Lenze SN, Xiong C, Sheline YI.</v>
      </c>
      <c r="AR59" s="22"/>
      <c r="AS59" s="22"/>
      <c r="AT59" s="22"/>
      <c r="AU59" s="22"/>
    </row>
    <row r="60" spans="1:47">
      <c r="A60" s="10" t="s">
        <v>1188</v>
      </c>
      <c r="B60">
        <v>18350172</v>
      </c>
      <c r="C60" s="1" t="str">
        <f>IF($B60="","",HYPERLINK(IF(LEN(VLOOKUP($B60,Database!$B$1:$IX$10144,2,FALSE))=0,"",VLOOKUP($B60,Database!$B$1:$IX$10144,2,FALSE))))</f>
        <v/>
      </c>
      <c r="D60" s="1" t="str">
        <f t="shared" si="2"/>
        <v>http://www.ncbi.nlm.nih.gov/pubmed/18350172</v>
      </c>
      <c r="E60" s="22" t="str">
        <f>IF($B60="","",IF(LEN(VLOOKUP($B60,Database!$B$1:$IX$10144,4,FALSE))=0,"",VLOOKUP($B60,Database!$B$1:$IX$10144,4,FALSE)))</f>
        <v>Zhao Z</v>
      </c>
      <c r="F60" s="22">
        <f>IF($B60="","",IF(LEN(VLOOKUP($B60,Database!$B$1:$IX$10144,5,FALSE))=0,"",VLOOKUP($B60,Database!$B$1:$IX$10144,5,FALSE)))</f>
        <v>2008</v>
      </c>
      <c r="G60" s="1" t="str">
        <f>IF($B60="","",HYPERLINK(IF(LEN(VLOOKUP($B60,Database!$B$1:$IX$10144,6,FALSE))=0,"",VLOOKUP($B60,Database!$B$1:$IX$10144,6,FALSE))))</f>
        <v>http://www.plosone.org/article/info:doi/10.1371/journal.pone.0001837</v>
      </c>
      <c r="H60" s="22">
        <f>IF($B60="","",IF(LEN(VLOOKUP($B60,Database!$B$1:$IX$10144,7,FALSE))=0,"",VLOOKUP($B60,Database!$B$1:$IX$10144,7,FALSE)))</f>
        <v>61</v>
      </c>
      <c r="I60" s="22">
        <f>IF($B60="","",IF(LEN(VLOOKUP($B60,Database!$B$1:$IX$10144,8,FALSE))=0,"",VLOOKUP($B60,Database!$B$1:$IX$10144,8,FALSE)))</f>
        <v>43</v>
      </c>
      <c r="J60" t="s">
        <v>1614</v>
      </c>
      <c r="L60">
        <v>3.42</v>
      </c>
      <c r="M60">
        <v>0.54</v>
      </c>
      <c r="N60">
        <v>3.55</v>
      </c>
      <c r="O60">
        <v>0.48</v>
      </c>
      <c r="P60">
        <v>3.65</v>
      </c>
      <c r="Q60">
        <v>0.55000000000000004</v>
      </c>
      <c r="R60">
        <v>3.66</v>
      </c>
      <c r="S60">
        <v>0.56999999999999995</v>
      </c>
      <c r="Y60" s="22" t="str">
        <f>IF(OR($B60="",Y$22=""),"",IF(LEN(VLOOKUP($B60,Database!$B$1:$IX$10144,Y$22,FALSE))=0,"",VLOOKUP($B60,Database!$B$1:$IX$10144,Y$22,FALSE)))</f>
        <v>DSM-IV</v>
      </c>
      <c r="Z60" s="22" t="str">
        <f>IF(OR($B60="",Z$22=""),"",IF(LEN(VLOOKUP($B60,Database!$B$1:$IX$10144,Z$22,FALSE))=0,"",VLOOKUP($B60,Database!$B$1:$IX$10144,Z$22,FALSE)))</f>
        <v>MRI</v>
      </c>
      <c r="AA60" s="22" t="str">
        <f>IF(OR($B60="",AA$22=""),"",IF(LEN(VLOOKUP($B60,Database!$B$1:$IX$10144,AA$22,FALSE))=0,"",VLOOKUP($B60,Database!$B$1:$IX$10144,AA$22,FALSE)))</f>
        <v/>
      </c>
      <c r="AB60" s="22">
        <f>IF(OR($B60="",AB$22=""),"",IF(LEN(VLOOKUP($B60,Database!$B$1:$IX$10144,AB$22,FALSE))=0,"",VLOOKUP($B60,Database!$B$1:$IX$10144,AB$22,FALSE)))</f>
        <v>65.900000000000006</v>
      </c>
      <c r="AC60" s="22">
        <f>IF(OR($B60="",AC$22=""),"",IF(LEN(VLOOKUP($B60,Database!$B$1:$IX$10144,AC$22,FALSE))=0,"",VLOOKUP($B60,Database!$B$1:$IX$10144,AC$22,FALSE)))</f>
        <v>5.5</v>
      </c>
      <c r="AD60" s="22">
        <f>IF(OR($B60="",AD$22=""),"",IF(LEN(VLOOKUP($B60,Database!$B$1:$IX$10144,AD$22,FALSE))=0,"",VLOOKUP($B60,Database!$B$1:$IX$10144,AD$22,FALSE)))</f>
        <v>69</v>
      </c>
      <c r="AE60" s="22">
        <f>IF(OR($B60="",AE$22=""),"",IF(LEN(VLOOKUP($B60,Database!$B$1:$IX$10144,AE$22,FALSE))=0,"",VLOOKUP($B60,Database!$B$1:$IX$10144,AE$22,FALSE)))</f>
        <v>5.5</v>
      </c>
      <c r="AF60" s="22">
        <f>IF(OR($B60="",AF$22=""),"",IF(LEN(VLOOKUP($B60,Database!$B$1:$IX$10144,AF$22,FALSE))=0,"",VLOOKUP($B60,Database!$B$1:$IX$10144,AF$22,FALSE)))</f>
        <v>37</v>
      </c>
      <c r="AG60" s="22">
        <f>IF(OR($B60="",AG$22=""),"",IF(LEN(VLOOKUP($B60,Database!$B$1:$IX$10144,AG$22,FALSE))=0,"",VLOOKUP($B60,Database!$B$1:$IX$10144,AG$22,FALSE)))</f>
        <v>29</v>
      </c>
      <c r="AH60" s="22"/>
      <c r="AI60" s="22"/>
      <c r="AJ60" s="22" t="str">
        <f>IF(OR($B60="",AJ$22=""),"",IF(LEN(VLOOKUP($B60,Database!$B$1:$IX$10144,AJ$22,FALSE))=0,"",VLOOKUP($B60,Database!$B$1:$IX$10144,AJ$22,FALSE)))</f>
        <v/>
      </c>
      <c r="AK60" s="22">
        <f>IF(OR($B60="",AK$22=""),"",IF(LEN(VLOOKUP($B60,Database!$B$1:$IX$10144,AK$22,FALSE))=0,"",VLOOKUP($B60,Database!$B$1:$IX$10144,AK$22,FALSE)))</f>
        <v>39.299999999999997</v>
      </c>
      <c r="AL60" s="22" t="str">
        <f>IF(OR($B60="",AL$22=""),"",IF(LEN(VLOOKUP($B60,Database!$B$1:$IX$10144,AL$22,FALSE))=0,"",VLOOKUP($B60,Database!$B$1:$IX$10144,AL$22,FALSE)))</f>
        <v>ns</v>
      </c>
      <c r="AM60" s="22">
        <f>IF(OR($B60="",AM$22=""),"",IF(LEN(VLOOKUP($B60,Database!$B$1:$IX$10144,AM$22,FALSE))=0,"",VLOOKUP($B60,Database!$B$1:$IX$10144,AM$22,FALSE)))</f>
        <v>88.52459016393442</v>
      </c>
      <c r="AN60" s="22" t="str">
        <f>IF(OR($B60="",AN$22=""),"",IF(LEN(VLOOKUP($B60,Database!$B$1:$IX$10144,AN$22,FALSE))=0,"",VLOOKUP($B60,Database!$B$1:$IX$10144,AN$22,FALSE)))</f>
        <v>ns</v>
      </c>
      <c r="AO60" s="22" t="str">
        <f>IF(OR($B60="",AO$22=""),"",IF(LEN(VLOOKUP($B60,Database!$B$1:$IX$10144,AO$22,FALSE))=0,"",VLOOKUP($B60,Database!$B$1:$IX$10144,AO$22,FALSE)))</f>
        <v>ns</v>
      </c>
      <c r="AP60" s="22" t="str">
        <f>IF(OR($B60="",AP$22=""),"",IF(LEN(VLOOKUP($B60,Database!$B$1:$IX$10144,AP$22,FALSE))=0,"",VLOOKUP($B60,Database!$B$1:$IX$10144,AP$22,FALSE)))</f>
        <v>ns</v>
      </c>
      <c r="AQ60" s="22" t="str">
        <f>IF(OR($B60="",AQ$22=""),"",IF(LEN(VLOOKUP($B60,Database!$B$1:$IX$10144,AQ$22,FALSE))=0,"",VLOOKUP($B60,Database!$B$1:$IX$10144,AQ$22,FALSE)))</f>
        <v>Zhao Z, Taylor WD, Styner M, Steffens DC, Krishnan KR, MacFall JR.</v>
      </c>
      <c r="AR60" s="22"/>
      <c r="AS60" s="22"/>
      <c r="AT60" s="22"/>
      <c r="AU60" s="22"/>
    </row>
    <row r="61" spans="1:47">
      <c r="A61" s="10" t="s">
        <v>1188</v>
      </c>
      <c r="B61">
        <v>19010425</v>
      </c>
      <c r="C61" s="1" t="str">
        <f>IF($B61="","",HYPERLINK(IF(LEN(VLOOKUP($B61,Database!$B$1:$IX$10144,2,FALSE))=0,"",VLOOKUP($B61,Database!$B$1:$IX$10144,2,FALSE))))</f>
        <v/>
      </c>
      <c r="D61" s="1" t="str">
        <f t="shared" si="2"/>
        <v>http://www.ncbi.nlm.nih.gov/pubmed/19010425</v>
      </c>
      <c r="E61" s="22" t="str">
        <f>IF($B61="","",IF(LEN(VLOOKUP($B61,Database!$B$1:$IX$10144,4,FALSE))=0,"",VLOOKUP($B61,Database!$B$1:$IX$10144,4,FALSE)))</f>
        <v>Qiu A</v>
      </c>
      <c r="F61" s="22">
        <f>IF($B61="","",IF(LEN(VLOOKUP($B61,Database!$B$1:$IX$10144,5,FALSE))=0,"",VLOOKUP($B61,Database!$B$1:$IX$10144,5,FALSE)))</f>
        <v>2009</v>
      </c>
      <c r="G61" s="1" t="str">
        <f>IF($B61="","",HYPERLINK(IF(LEN(VLOOKUP($B61,Database!$B$1:$IX$10144,6,FALSE))=0,"",VLOOKUP($B61,Database!$B$1:$IX$10144,6,FALSE))))</f>
        <v>http://dx.doi.org/10.1016/j.neuroimage.2008.10.010</v>
      </c>
      <c r="H61" s="83">
        <v>38</v>
      </c>
      <c r="I61" s="22">
        <f>IF($B61="","",IF(LEN(VLOOKUP($B61,Database!$B$1:$IX$10144,8,FALSE))=0,"",VLOOKUP($B61,Database!$B$1:$IX$10144,8,FALSE)))</f>
        <v>31</v>
      </c>
      <c r="J61" t="s">
        <v>887</v>
      </c>
      <c r="K61" t="s">
        <v>644</v>
      </c>
      <c r="L61">
        <v>3381.6</v>
      </c>
      <c r="M61">
        <v>414.9</v>
      </c>
      <c r="N61">
        <v>3520.2</v>
      </c>
      <c r="O61">
        <v>481.1</v>
      </c>
      <c r="P61">
        <v>3620.4</v>
      </c>
      <c r="Q61">
        <v>451.1</v>
      </c>
      <c r="R61">
        <v>3607.9</v>
      </c>
      <c r="S61">
        <v>542</v>
      </c>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t="str">
        <f>IF(OR($B61="",AB$22=""),"",IF(LEN(VLOOKUP($B61,Database!$B$1:$IX$10144,AB$22,FALSE))=0,"",VLOOKUP($B61,Database!$B$1:$IX$10144,AB$22,FALSE)))</f>
        <v/>
      </c>
      <c r="AC61" s="22" t="str">
        <f>IF(OR($B61="",AC$22=""),"",IF(LEN(VLOOKUP($B61,Database!$B$1:$IX$10144,AC$22,FALSE))=0,"",VLOOKUP($B61,Database!$B$1:$IX$10144,AC$22,FALSE)))</f>
        <v/>
      </c>
      <c r="AD61" s="22">
        <f>IF(OR($B61="",AD$22=""),"",IF(LEN(VLOOKUP($B61,Database!$B$1:$IX$10144,AD$22,FALSE))=0,"",VLOOKUP($B61,Database!$B$1:$IX$10144,AD$22,FALSE)))</f>
        <v>68.900000000000006</v>
      </c>
      <c r="AE61" s="22">
        <f>IF(OR($B61="",AE$22=""),"",IF(LEN(VLOOKUP($B61,Database!$B$1:$IX$10144,AE$22,FALSE))=0,"",VLOOKUP($B61,Database!$B$1:$IX$10144,AE$22,FALSE)))</f>
        <v>5.9</v>
      </c>
      <c r="AF61" s="22">
        <f>IF(OR($B61="",AF$22=""),"",IF(LEN(VLOOKUP($B61,Database!$B$1:$IX$10144,AF$22,FALSE))=0,"",VLOOKUP($B61,Database!$B$1:$IX$10144,AF$22,FALSE)))</f>
        <v>34</v>
      </c>
      <c r="AG61" s="22">
        <f>IF(OR($B61="",AG$22=""),"",IF(LEN(VLOOKUP($B61,Database!$B$1:$IX$10144,AG$22,FALSE))=0,"",VLOOKUP($B61,Database!$B$1:$IX$10144,AG$22,FALSE)))</f>
        <v>21</v>
      </c>
      <c r="AH61" s="22"/>
      <c r="AI61" s="22"/>
      <c r="AJ61" s="22" t="str">
        <f>IF(OR($B61="",AJ$22=""),"",IF(LEN(VLOOKUP($B61,Database!$B$1:$IX$10144,AJ$22,FALSE))=0,"",VLOOKUP($B61,Database!$B$1:$IX$10144,AJ$22,FALSE)))</f>
        <v/>
      </c>
      <c r="AK61" s="22" t="str">
        <f>IF(OR($B61="",AK$22=""),"",IF(LEN(VLOOKUP($B61,Database!$B$1:$IX$10144,AK$22,FALSE))=0,"",VLOOKUP($B61,Database!$B$1:$IX$10144,AK$22,FALSE)))</f>
        <v>ns</v>
      </c>
      <c r="AL61" s="22" t="str">
        <f>IF(OR($B61="",AL$22=""),"",IF(LEN(VLOOKUP($B61,Database!$B$1:$IX$10144,AL$22,FALSE))=0,"",VLOOKUP($B61,Database!$B$1:$IX$10144,AL$22,FALSE)))</f>
        <v>ns</v>
      </c>
      <c r="AM61" s="22">
        <f>IF(OR($B61="",AM$22=""),"",IF(LEN(VLOOKUP($B61,Database!$B$1:$IX$10144,AM$22,FALSE))=0,"",VLOOKUP($B61,Database!$B$1:$IX$10144,AM$22,FALSE)))</f>
        <v>90.384615384615387</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Qiu A, Taylor WD, Zhao Z, MacFall JR, Miller MI, Key CR, Payne ME, Steffens DC, Krishnan KR.</v>
      </c>
      <c r="AR61" s="22"/>
      <c r="AS61" s="22"/>
      <c r="AT61" s="22"/>
      <c r="AU61" s="22"/>
    </row>
    <row r="62" spans="1:47">
      <c r="A62" s="4" t="s">
        <v>2011</v>
      </c>
      <c r="C62" s="1"/>
      <c r="D62" s="1"/>
      <c r="E62" s="22"/>
      <c r="F62" s="22"/>
      <c r="G62" s="1"/>
      <c r="H62" s="22"/>
      <c r="I62" s="22"/>
      <c r="Y62" s="22"/>
      <c r="Z62" s="22"/>
      <c r="AA62" s="22"/>
      <c r="AB62" s="22"/>
      <c r="AC62" s="22"/>
      <c r="AD62" s="22"/>
      <c r="AE62" s="22"/>
      <c r="AF62" s="22"/>
      <c r="AG62" s="22"/>
      <c r="AH62" s="22"/>
      <c r="AI62" s="22"/>
      <c r="AJ62" s="22"/>
      <c r="AK62" s="22"/>
      <c r="AL62" s="22"/>
      <c r="AM62" s="22"/>
      <c r="AN62" s="22"/>
      <c r="AO62" s="22" t="str">
        <f>IF(OR($B62="",AO$22=""),"",IF(LEN(VLOOKUP($B62,Database!$B$1:$IX$10144,AO$22,FALSE))=0,"",VLOOKUP($B62,Database!$B$1:$IX$10144,AO$22,FALSE)))</f>
        <v/>
      </c>
      <c r="AP62" s="22" t="str">
        <f>IF(OR($B62="",AP$22=""),"",IF(LEN(VLOOKUP($B62,Database!$B$1:$IX$10144,AP$22,FALSE))=0,"",VLOOKUP($B62,Database!$B$1:$IX$10144,AP$22,FALSE)))</f>
        <v/>
      </c>
      <c r="AQ62" s="22" t="str">
        <f>IF(OR($B62="",AQ$22=""),"",IF(LEN(VLOOKUP($B62,Database!$B$1:$IX$10144,AQ$22,FALSE))=0,"",VLOOKUP($B62,Database!$B$1:$IX$10144,AQ$22,FALSE)))</f>
        <v/>
      </c>
      <c r="AR62" s="22"/>
      <c r="AS62" s="22"/>
      <c r="AT62" s="22"/>
      <c r="AU62" s="22"/>
    </row>
    <row r="63" spans="1:47">
      <c r="A63" s="10" t="s">
        <v>2012</v>
      </c>
      <c r="B63">
        <v>10366636</v>
      </c>
      <c r="C63" s="1" t="str">
        <f>IF($B63="","",HYPERLINK(IF(LEN(VLOOKUP($B63,Database!$B$1:$IX$10144,2,FALSE))=0,"",VLOOKUP($B63,Database!$B$1:$IX$10144,2,FALSE))))</f>
        <v/>
      </c>
      <c r="D63" s="1" t="str">
        <f>IF($B63="","",HYPERLINK(CONCATENATE("http://www.ncbi.nlm.nih.gov/pubmed/",B63)))</f>
        <v>http://www.ncbi.nlm.nih.gov/pubmed/10366636</v>
      </c>
      <c r="E63" s="22" t="str">
        <f>IF($B63="","",IF(LEN(VLOOKUP($B63,Database!$B$1:$IX$10144,4,FALSE))=0,"",VLOOKUP($B63,Database!$B$1:$IX$10144,4,FALSE)))</f>
        <v>Sheline YI</v>
      </c>
      <c r="F63" s="22">
        <f>IF($B63="","",IF(LEN(VLOOKUP($B63,Database!$B$1:$IX$10144,5,FALSE))=0,"",VLOOKUP($B63,Database!$B$1:$IX$10144,5,FALSE)))</f>
        <v>1999</v>
      </c>
      <c r="G63" s="1" t="str">
        <f>IF($B63="","",HYPERLINK(IF(LEN(VLOOKUP($B63,Database!$B$1:$IX$10144,6,FALSE))=0,"",VLOOKUP($B63,Database!$B$1:$IX$10144,6,FALSE))))</f>
        <v>http://ajp.psychiatryonline.org/cgi/reprint/156/12/1989</v>
      </c>
      <c r="H63" s="22">
        <f>IF($B63="","",IF(LEN(VLOOKUP($B63,Database!$B$1:$IX$10144,7,FALSE))=0,"",VLOOKUP($B63,Database!$B$1:$IX$10144,7,FALSE)))</f>
        <v>24</v>
      </c>
      <c r="I63" s="22">
        <f>IF($B63="","",IF(LEN(VLOOKUP($B63,Database!$B$1:$IX$10144,8,FALSE))=0,"",VLOOKUP($B63,Database!$B$1:$IX$10144,8,FALSE)))</f>
        <v>24</v>
      </c>
      <c r="J63" t="s">
        <v>939</v>
      </c>
      <c r="L63">
        <v>2230</v>
      </c>
      <c r="M63">
        <v>323</v>
      </c>
      <c r="N63">
        <v>2482</v>
      </c>
      <c r="O63">
        <v>305</v>
      </c>
      <c r="P63">
        <v>2264</v>
      </c>
      <c r="Q63">
        <v>320</v>
      </c>
      <c r="R63">
        <v>2468</v>
      </c>
      <c r="S63">
        <v>309</v>
      </c>
      <c r="T63">
        <v>4496</v>
      </c>
      <c r="U63">
        <v>602</v>
      </c>
      <c r="V63">
        <v>4951</v>
      </c>
      <c r="W63">
        <v>601</v>
      </c>
      <c r="Y63" s="22" t="str">
        <f>IF(OR($B63="",Y$22=""),"",IF(LEN(VLOOKUP($B63,Database!$B$1:$IX$10144,Y$22,FALSE))=0,"",VLOOKUP($B63,Database!$B$1:$IX$10144,Y$22,FALSE)))</f>
        <v>DSM-IV</v>
      </c>
      <c r="Z63" s="22" t="str">
        <f>IF(OR($B63="",Z$22=""),"",IF(LEN(VLOOKUP($B63,Database!$B$1:$IX$10144,Z$22,FALSE))=0,"",VLOOKUP($B63,Database!$B$1:$IX$10144,Z$22,FALSE)))</f>
        <v>MRI</v>
      </c>
      <c r="AA63" s="22" t="str">
        <f>IF(OR($B63="",AA$22=""),"",IF(LEN(VLOOKUP($B63,Database!$B$1:$IX$10144,AA$22,FALSE))=0,"",VLOOKUP($B63,Database!$B$1:$IX$10144,AA$22,FALSE)))</f>
        <v/>
      </c>
      <c r="AB63" s="22"/>
      <c r="AC63" s="22"/>
      <c r="AD63" s="22">
        <f>IF(OR($B63="",AD$22=""),"",IF(LEN(VLOOKUP($B63,Database!$B$1:$IX$10144,AD$22,FALSE))=0,"",VLOOKUP($B63,Database!$B$1:$IX$10144,AD$22,FALSE)))</f>
        <v>52.8</v>
      </c>
      <c r="AE63" s="22">
        <f>IF(OR($B63="",AE$22=""),"",IF(LEN(VLOOKUP($B63,Database!$B$1:$IX$10144,AE$22,FALSE))=0,"",VLOOKUP($B63,Database!$B$1:$IX$10144,AE$22,FALSE)))</f>
        <v>17.8</v>
      </c>
      <c r="AF63" s="22">
        <f>IF(OR($B63="",AF$22=""),"",IF(LEN(VLOOKUP($B63,Database!$B$1:$IX$10144,AF$22,FALSE))=0,"",VLOOKUP($B63,Database!$B$1:$IX$10144,AF$22,FALSE)))</f>
        <v>24</v>
      </c>
      <c r="AG63" s="22">
        <f>IF(OR($B63="",AG$22=""),"",IF(LEN(VLOOKUP($B63,Database!$B$1:$IX$10144,AG$22,FALSE))=0,"",VLOOKUP($B63,Database!$B$1:$IX$10144,AG$22,FALSE)))</f>
        <v>24</v>
      </c>
      <c r="AH63" s="22">
        <f>IF(OR($B63="",AH$22=""),"",IF(LEN(VLOOKUP($B63,Database!$B$1:$IX$10144,AH$22,FALSE))=0,"",VLOOKUP($B63,Database!$B$1:$IX$10144,AH$22,FALSE)))</f>
        <v>1.5</v>
      </c>
      <c r="AI63" s="22">
        <f>IF(OR($B63="",AI$22=""),"",IF(LEN(VLOOKUP($B63,Database!$B$1:$IX$10144,AI$22,FALSE))=0,"",VLOOKUP($B63,Database!$B$1:$IX$10144,AI$22,FALSE)))</f>
        <v>1.25</v>
      </c>
      <c r="AJ63" s="22" t="str">
        <f>IF(OR($B63="",AJ$22=""),"",IF(LEN(VLOOKUP($B63,Database!$B$1:$IX$10144,AJ$22,FALSE))=0,"",VLOOKUP($B63,Database!$B$1:$IX$10144,AJ$22,FALSE)))</f>
        <v/>
      </c>
      <c r="AK63" s="22" t="str">
        <f>IF(OR($B63="",AK$22=""),"",IF(LEN(VLOOKUP($B63,Database!$B$1:$IX$10144,AK$22,FALSE))=0,"",VLOOKUP($B63,Database!$B$1:$IX$10144,AK$22,FALSE)))</f>
        <v>ns</v>
      </c>
      <c r="AL63" s="22" t="str">
        <f>IF(OR($B63="",AL$22=""),"",IF(LEN(VLOOKUP($B63,Database!$B$1:$IX$10144,AL$22,FALSE))=0,"",VLOOKUP($B63,Database!$B$1:$IX$10144,AL$22,FALSE)))</f>
        <v>ns</v>
      </c>
      <c r="AM63" s="22">
        <f>IF(OR($B63="",AM$22=""),"",IF(LEN(VLOOKUP($B63,Database!$B$1:$IX$10144,AM$22,FALSE))=0,"",VLOOKUP($B63,Database!$B$1:$IX$10144,AM$22,FALSE)))</f>
        <v>66.666666666666657</v>
      </c>
      <c r="AN63" s="22" t="str">
        <f>IF(OR($B63="",AN$22=""),"",IF(LEN(VLOOKUP($B63,Database!$B$1:$IX$10144,AN$22,FALSE))=0,"",VLOOKUP($B63,Database!$B$1:$IX$10144,AN$22,FALSE)))</f>
        <v>ns</v>
      </c>
      <c r="AO63" s="22" t="str">
        <f>IF(OR($B63="",AO$22=""),"",IF(LEN(VLOOKUP($B63,Database!$B$1:$IX$10144,AO$22,FALSE))=0,"",VLOOKUP($B63,Database!$B$1:$IX$10144,AO$22,FALSE)))</f>
        <v>ns</v>
      </c>
      <c r="AP63" s="22" t="str">
        <f>IF(OR($B63="",AP$22=""),"",IF(LEN(VLOOKUP($B63,Database!$B$1:$IX$10144,AP$22,FALSE))=0,"",VLOOKUP($B63,Database!$B$1:$IX$10144,AP$22,FALSE)))</f>
        <v>ns</v>
      </c>
      <c r="AQ63" s="22" t="str">
        <f>IF(OR($B63="",AQ$22=""),"",IF(LEN(VLOOKUP($B63,Database!$B$1:$IX$10144,AQ$22,FALSE))=0,"",VLOOKUP($B63,Database!$B$1:$IX$10144,AQ$22,FALSE)))</f>
        <v>Sheline YI, Sanghavi M, Mintun MA, Gado MH.</v>
      </c>
      <c r="AR63" s="22"/>
      <c r="AS63" s="22"/>
      <c r="AT63" s="22"/>
      <c r="AU63" s="22"/>
    </row>
    <row r="64" spans="1:47">
      <c r="A64" s="4"/>
      <c r="C64" s="1"/>
      <c r="D64" s="1"/>
      <c r="E64" s="22"/>
      <c r="F64" s="22"/>
      <c r="G64" s="1"/>
      <c r="H64" s="22"/>
      <c r="I64" s="22"/>
      <c r="Y64" s="22"/>
      <c r="Z64" s="22"/>
      <c r="AA64" s="22"/>
      <c r="AB64" s="22"/>
      <c r="AC64" s="22"/>
      <c r="AD64" s="22"/>
      <c r="AE64" s="22"/>
      <c r="AF64" s="22"/>
      <c r="AG64" s="22"/>
      <c r="AH64" s="22"/>
      <c r="AI64" s="22"/>
      <c r="AJ64" s="22"/>
      <c r="AK64" s="22"/>
      <c r="AL64" s="22"/>
      <c r="AM64" s="22"/>
      <c r="AN64" s="22"/>
      <c r="AO64" s="22"/>
      <c r="AP64" s="22"/>
      <c r="AQ64" s="22"/>
    </row>
    <row r="65" spans="5:62">
      <c r="I65" s="22" t="str">
        <f>IF($B65="","",IF(LEN(VLOOKUP($B65,Database!$B$1:$IX$10144,8,FALSE))=0,"",VLOOKUP($B65,Database!$B$1:$IX$10144,8,FALSE)))</f>
        <v/>
      </c>
      <c r="AF65" t="s">
        <v>602</v>
      </c>
      <c r="AJ65" t="s">
        <v>329</v>
      </c>
      <c r="AN65" t="s">
        <v>330</v>
      </c>
    </row>
    <row r="66" spans="5:62" ht="45" customHeight="1">
      <c r="E66" s="60" t="s">
        <v>617</v>
      </c>
      <c r="F66" s="60" t="s">
        <v>740</v>
      </c>
      <c r="G66" s="60" t="s">
        <v>244</v>
      </c>
      <c r="H66" s="60" t="s">
        <v>245</v>
      </c>
      <c r="I66" s="60" t="s">
        <v>246</v>
      </c>
      <c r="J66" s="60" t="s">
        <v>593</v>
      </c>
      <c r="K66" s="60" t="s">
        <v>1039</v>
      </c>
      <c r="L66" s="60" t="s">
        <v>594</v>
      </c>
      <c r="M66" s="60" t="s">
        <v>1299</v>
      </c>
      <c r="N66" s="61" t="s">
        <v>595</v>
      </c>
      <c r="O66" s="61" t="s">
        <v>596</v>
      </c>
      <c r="P66" s="61" t="s">
        <v>597</v>
      </c>
      <c r="Q66" s="61" t="s">
        <v>598</v>
      </c>
      <c r="R66" s="61" t="s">
        <v>599</v>
      </c>
      <c r="S66" s="61" t="s">
        <v>600</v>
      </c>
      <c r="T66" s="61" t="s">
        <v>601</v>
      </c>
      <c r="U66" s="61" t="s">
        <v>484</v>
      </c>
      <c r="V66" s="61" t="s">
        <v>485</v>
      </c>
      <c r="W66" s="61" t="s">
        <v>486</v>
      </c>
      <c r="AF66" s="61" t="s">
        <v>1517</v>
      </c>
      <c r="AG66" s="62" t="s">
        <v>834</v>
      </c>
      <c r="AH66" s="62" t="s">
        <v>835</v>
      </c>
      <c r="AJ66" s="61" t="s">
        <v>836</v>
      </c>
      <c r="AK66" s="61" t="s">
        <v>837</v>
      </c>
      <c r="AL66" s="61" t="s">
        <v>487</v>
      </c>
      <c r="AN66" s="31" t="s">
        <v>488</v>
      </c>
      <c r="AO66" s="31" t="s">
        <v>489</v>
      </c>
      <c r="AP66" s="31" t="s">
        <v>490</v>
      </c>
      <c r="AQ66" s="31" t="s">
        <v>491</v>
      </c>
      <c r="AR66" s="31" t="s">
        <v>492</v>
      </c>
      <c r="AS66" s="31" t="s">
        <v>493</v>
      </c>
      <c r="AT66" s="31" t="s">
        <v>494</v>
      </c>
      <c r="AU66" s="31" t="s">
        <v>495</v>
      </c>
      <c r="AV66" s="31" t="s">
        <v>496</v>
      </c>
      <c r="AW66" s="31" t="s">
        <v>497</v>
      </c>
      <c r="AX66" s="31" t="s">
        <v>498</v>
      </c>
      <c r="AY66" s="31" t="s">
        <v>499</v>
      </c>
      <c r="AZ66" s="31"/>
      <c r="BA66" s="31"/>
      <c r="BB66" s="31"/>
      <c r="BC66" s="31"/>
      <c r="BD66" s="31"/>
      <c r="BE66" s="31"/>
      <c r="BF66" s="31"/>
      <c r="BG66" s="31"/>
      <c r="BH66" s="31"/>
      <c r="BI66" s="31"/>
      <c r="BJ66" s="207"/>
    </row>
    <row r="67" spans="5:62">
      <c r="E67" t="str">
        <f t="shared" ref="E67:F72" si="3">E24</f>
        <v>Vythilingam M</v>
      </c>
      <c r="F67">
        <f t="shared" si="3"/>
        <v>2004</v>
      </c>
      <c r="G67">
        <v>41</v>
      </c>
      <c r="H67">
        <f t="shared" ref="H67:I72" si="4">H24</f>
        <v>38</v>
      </c>
      <c r="I67">
        <f t="shared" si="4"/>
        <v>33</v>
      </c>
      <c r="J67">
        <f t="shared" ref="J67:M72" si="5">IF($D$4="Total",T24,IF($D$4="Left",L24,IF($D$4="Right",P24,"error")))</f>
        <v>3219</v>
      </c>
      <c r="K67">
        <f t="shared" si="5"/>
        <v>380</v>
      </c>
      <c r="L67">
        <f t="shared" si="5"/>
        <v>3285</v>
      </c>
      <c r="M67">
        <f t="shared" si="5"/>
        <v>389</v>
      </c>
      <c r="N67">
        <f t="shared" ref="N67:N75" si="6">IF($D$3=1,SQRT((((I67-1)*(M67)^2)+((H67-1)*(K67)^2))/(H67+I67-2)),M67)</f>
        <v>384.20012900887315</v>
      </c>
      <c r="O67" s="59">
        <f t="shared" ref="O67:O75" si="7">IF($D$6=1,LN(J67/L67),IF($D$5=1,(1-3/(4*(H67+I67)-9))*((J67-L67)/N67),(J67-L67)/N67))</f>
        <v>-0.1699114473709413</v>
      </c>
      <c r="P67" s="63">
        <f t="shared" ref="P67:P75" si="8">IF($D$6=1,(K67^2)/(H67*J67^2)+(M67^2)/(I67*L67^2),(IF($D$5=1,((H67+I67)/(H67*I67))+(O67*O67)/(2*(H67+I67-3.94)),((H67+I67)/(H67*I67))+((O67^2)/(2*(H67+I67-2))))))</f>
        <v>5.6834074026249917E-2</v>
      </c>
      <c r="Q67" s="59">
        <f t="shared" ref="Q67:Q75" si="9">$R$92*SQRT(P67)</f>
        <v>0.46726200228484416</v>
      </c>
      <c r="R67" s="59">
        <f t="shared" ref="R67:R75" si="10">1/P67</f>
        <v>17.595078606156768</v>
      </c>
      <c r="S67" s="59">
        <f t="shared" ref="S67:S75" si="11">O67*R67</f>
        <v>-2.989605272577581</v>
      </c>
      <c r="T67" s="59">
        <f t="shared" ref="T67:T75" si="12">R67*(O67^2)</f>
        <v>0.50796815893145431</v>
      </c>
      <c r="U67" s="23">
        <f t="shared" ref="U67:U75" si="13">R67^2</f>
        <v>309.5867911568356</v>
      </c>
      <c r="V67" s="59">
        <f t="shared" ref="V67:V75" si="14">1/((1/R67)+$I$89)</f>
        <v>17.595078606156768</v>
      </c>
      <c r="W67" s="59">
        <f t="shared" ref="W67:W75" si="15">V67*O67</f>
        <v>-2.989605272577581</v>
      </c>
      <c r="AF67" s="59">
        <f t="shared" ref="AF67:AF75" si="16">IF($D$6=1,100*((EXP(O67))-1),O67)</f>
        <v>-0.1699114473709413</v>
      </c>
      <c r="AG67" s="59">
        <f t="shared" ref="AG67:AG75" si="17">IF($D$6=1,100*(EXP(O67+Q67)-EXP(O67)),Q67)</f>
        <v>0.46726200228484416</v>
      </c>
      <c r="AH67" s="59">
        <f t="shared" ref="AH67:AH75" si="18">IF($D$6=1,100*(EXP(O67)-EXP(O67-Q67)),Q67)</f>
        <v>0.46726200228484416</v>
      </c>
      <c r="AJ67">
        <f t="shared" ref="AJ67:AJ75" si="19">SQRT(P67)</f>
        <v>0.23839898075757354</v>
      </c>
      <c r="AK67">
        <f t="shared" ref="AK67:AK75" si="20">1/AJ67</f>
        <v>4.1946488060571614</v>
      </c>
      <c r="AL67">
        <f t="shared" ref="AL67:AL75" si="21">O67/AJ67</f>
        <v>-0.71271884984996314</v>
      </c>
      <c r="AN67" s="31" t="str">
        <f t="shared" ref="AN67:AO72" si="22">E67</f>
        <v>Vythilingam M</v>
      </c>
      <c r="AO67" s="31">
        <f t="shared" si="22"/>
        <v>2004</v>
      </c>
      <c r="AP67" s="31" t="str">
        <f t="shared" ref="AP67:AP75" si="23">CONCATENATE(AN67," ",AO67)</f>
        <v>Vythilingam M 2004</v>
      </c>
      <c r="AQ67" s="31">
        <f t="shared" ref="AQ67:AQ75" si="24">INT(H67)</f>
        <v>38</v>
      </c>
      <c r="AR67" s="31">
        <f t="shared" ref="AR67:AS72" si="25">J67</f>
        <v>3219</v>
      </c>
      <c r="AS67" s="31">
        <f t="shared" si="25"/>
        <v>380</v>
      </c>
      <c r="AT67" s="31">
        <f t="shared" ref="AT67:AT75" si="26">INT(I67)</f>
        <v>33</v>
      </c>
      <c r="AU67" s="31">
        <f t="shared" ref="AU67:AV72" si="27">L67</f>
        <v>3285</v>
      </c>
      <c r="AV67" s="31">
        <f t="shared" si="27"/>
        <v>389</v>
      </c>
      <c r="AW67" s="164">
        <f t="shared" ref="AW67:AW75" si="28">O67</f>
        <v>-0.1699114473709413</v>
      </c>
      <c r="AX67" s="31">
        <f t="shared" ref="AX67:AX75" si="29">SQRT(P67)</f>
        <v>0.23839898075757354</v>
      </c>
      <c r="AY67" s="31" t="str">
        <f>F6</f>
        <v>Cohens Effect size</v>
      </c>
      <c r="AZ67" s="31"/>
      <c r="BA67" s="31"/>
      <c r="BB67" s="31"/>
      <c r="BC67" s="165"/>
      <c r="BD67" s="31"/>
      <c r="BE67" s="31"/>
      <c r="BF67" s="31"/>
      <c r="BG67" s="31"/>
      <c r="BH67" s="31"/>
      <c r="BI67" s="32"/>
      <c r="BJ67" s="32"/>
    </row>
    <row r="68" spans="5:62">
      <c r="E68" t="str">
        <f t="shared" si="3"/>
        <v>Kronmüller KT</v>
      </c>
      <c r="F68">
        <f t="shared" si="3"/>
        <v>2009</v>
      </c>
      <c r="G68">
        <v>35</v>
      </c>
      <c r="H68">
        <f t="shared" si="4"/>
        <v>13</v>
      </c>
      <c r="I68">
        <f t="shared" si="4"/>
        <v>5.5</v>
      </c>
      <c r="J68">
        <f t="shared" si="5"/>
        <v>5.81</v>
      </c>
      <c r="K68">
        <f t="shared" si="5"/>
        <v>0.9</v>
      </c>
      <c r="L68">
        <f t="shared" si="5"/>
        <v>6.49</v>
      </c>
      <c r="M68">
        <f t="shared" si="5"/>
        <v>0.49</v>
      </c>
      <c r="N68">
        <f t="shared" si="6"/>
        <v>0.80905668977688283</v>
      </c>
      <c r="O68" s="59">
        <f t="shared" si="7"/>
        <v>-0.80169337057735313</v>
      </c>
      <c r="P68" s="63">
        <f t="shared" si="8"/>
        <v>0.28081242153067076</v>
      </c>
      <c r="Q68" s="59">
        <f t="shared" si="9"/>
        <v>1.038638049828825</v>
      </c>
      <c r="R68" s="59">
        <f t="shared" si="10"/>
        <v>3.5610960318248543</v>
      </c>
      <c r="S68" s="59">
        <f t="shared" si="11"/>
        <v>-2.8549070807033048</v>
      </c>
      <c r="T68" s="59">
        <f t="shared" si="12"/>
        <v>2.2887600802141836</v>
      </c>
      <c r="U68" s="23">
        <f t="shared" si="13"/>
        <v>12.681404947878724</v>
      </c>
      <c r="V68" s="59">
        <f t="shared" si="14"/>
        <v>3.5610960318248543</v>
      </c>
      <c r="W68" s="59">
        <f t="shared" si="15"/>
        <v>-2.8549070807033048</v>
      </c>
      <c r="AF68" s="59">
        <f t="shared" si="16"/>
        <v>-0.80169337057735313</v>
      </c>
      <c r="AG68" s="59">
        <f t="shared" si="17"/>
        <v>1.038638049828825</v>
      </c>
      <c r="AH68" s="59">
        <f t="shared" si="18"/>
        <v>1.038638049828825</v>
      </c>
      <c r="AJ68">
        <f t="shared" si="19"/>
        <v>0.52991737236164538</v>
      </c>
      <c r="AK68">
        <f t="shared" si="20"/>
        <v>1.8870866519121094</v>
      </c>
      <c r="AL68">
        <f t="shared" si="21"/>
        <v>-1.5128648585429514</v>
      </c>
      <c r="AN68" s="31" t="str">
        <f t="shared" si="22"/>
        <v>Kronmüller KT</v>
      </c>
      <c r="AO68" s="31">
        <f t="shared" si="22"/>
        <v>2009</v>
      </c>
      <c r="AP68" s="31" t="str">
        <f t="shared" si="23"/>
        <v>Kronmüller KT 2009</v>
      </c>
      <c r="AQ68" s="31">
        <f t="shared" si="24"/>
        <v>13</v>
      </c>
      <c r="AR68" s="31">
        <f t="shared" si="25"/>
        <v>5.81</v>
      </c>
      <c r="AS68" s="31">
        <f t="shared" si="25"/>
        <v>0.9</v>
      </c>
      <c r="AT68" s="31">
        <f t="shared" si="26"/>
        <v>5</v>
      </c>
      <c r="AU68" s="31">
        <f t="shared" si="27"/>
        <v>6.49</v>
      </c>
      <c r="AV68" s="31">
        <f t="shared" si="27"/>
        <v>0.49</v>
      </c>
      <c r="AW68" s="164">
        <f t="shared" si="28"/>
        <v>-0.80169337057735313</v>
      </c>
      <c r="AX68" s="31">
        <f t="shared" si="29"/>
        <v>0.52991737236164538</v>
      </c>
      <c r="AY68" s="31"/>
      <c r="AZ68" s="31"/>
      <c r="BA68" s="31"/>
      <c r="BB68" s="31"/>
      <c r="BC68" s="165"/>
      <c r="BD68" s="31"/>
      <c r="BE68" s="31"/>
      <c r="BF68" s="31"/>
      <c r="BG68" s="31"/>
      <c r="BH68" s="31"/>
      <c r="BI68" s="32"/>
      <c r="BJ68" s="32"/>
    </row>
    <row r="69" spans="5:62">
      <c r="E69" t="str">
        <f t="shared" si="3"/>
        <v>Kronmüller KT</v>
      </c>
      <c r="F69">
        <f t="shared" si="3"/>
        <v>2009</v>
      </c>
      <c r="G69">
        <v>34</v>
      </c>
      <c r="H69">
        <f t="shared" si="4"/>
        <v>13</v>
      </c>
      <c r="I69">
        <f t="shared" si="4"/>
        <v>9.5</v>
      </c>
      <c r="J69">
        <f t="shared" si="5"/>
        <v>5.52</v>
      </c>
      <c r="K69">
        <f t="shared" si="5"/>
        <v>0.56999999999999995</v>
      </c>
      <c r="L69">
        <f t="shared" si="5"/>
        <v>5.51</v>
      </c>
      <c r="M69">
        <f t="shared" si="5"/>
        <v>0.66</v>
      </c>
      <c r="N69">
        <f t="shared" si="6"/>
        <v>0.6089334939055332</v>
      </c>
      <c r="O69" s="59">
        <f t="shared" si="7"/>
        <v>1.5813926686587081E-2</v>
      </c>
      <c r="P69" s="63">
        <f t="shared" si="8"/>
        <v>0.18219297189424827</v>
      </c>
      <c r="Q69" s="59">
        <f t="shared" si="9"/>
        <v>0.83660774609666633</v>
      </c>
      <c r="R69" s="59">
        <f t="shared" si="10"/>
        <v>5.4886859224209701</v>
      </c>
      <c r="S69" s="59">
        <f t="shared" si="11"/>
        <v>8.6797676782867816E-2</v>
      </c>
      <c r="T69" s="59">
        <f t="shared" si="12"/>
        <v>1.3726120972103531E-3</v>
      </c>
      <c r="U69" s="23">
        <f t="shared" si="13"/>
        <v>30.125673154982135</v>
      </c>
      <c r="V69" s="59">
        <f t="shared" si="14"/>
        <v>5.4886859224209701</v>
      </c>
      <c r="W69" s="59">
        <f t="shared" si="15"/>
        <v>8.6797676782867816E-2</v>
      </c>
      <c r="AF69" s="59">
        <f t="shared" si="16"/>
        <v>1.5813926686587081E-2</v>
      </c>
      <c r="AG69" s="59">
        <f t="shared" si="17"/>
        <v>0.83660774609666633</v>
      </c>
      <c r="AH69" s="59">
        <f t="shared" si="18"/>
        <v>0.83660774609666633</v>
      </c>
      <c r="AJ69">
        <f t="shared" si="19"/>
        <v>0.42684068678401343</v>
      </c>
      <c r="AK69">
        <f t="shared" si="20"/>
        <v>2.3427944686679134</v>
      </c>
      <c r="AL69">
        <f t="shared" si="21"/>
        <v>3.7048779969256117E-2</v>
      </c>
      <c r="AN69" s="31" t="str">
        <f t="shared" si="22"/>
        <v>Kronmüller KT</v>
      </c>
      <c r="AO69" s="31">
        <f t="shared" si="22"/>
        <v>2009</v>
      </c>
      <c r="AP69" s="31" t="str">
        <f t="shared" si="23"/>
        <v>Kronmüller KT 2009</v>
      </c>
      <c r="AQ69" s="31">
        <f t="shared" si="24"/>
        <v>13</v>
      </c>
      <c r="AR69" s="31">
        <f t="shared" si="25"/>
        <v>5.52</v>
      </c>
      <c r="AS69" s="31">
        <f t="shared" si="25"/>
        <v>0.56999999999999995</v>
      </c>
      <c r="AT69" s="31">
        <f t="shared" si="26"/>
        <v>9</v>
      </c>
      <c r="AU69" s="31">
        <f t="shared" si="27"/>
        <v>5.51</v>
      </c>
      <c r="AV69" s="31">
        <f t="shared" si="27"/>
        <v>0.66</v>
      </c>
      <c r="AW69" s="164">
        <f t="shared" si="28"/>
        <v>1.5813926686587081E-2</v>
      </c>
      <c r="AX69" s="31">
        <f t="shared" si="29"/>
        <v>0.42684068678401343</v>
      </c>
      <c r="AY69" s="31"/>
      <c r="AZ69" s="31"/>
      <c r="BA69" s="31"/>
      <c r="BB69" s="31"/>
      <c r="BC69" s="165"/>
      <c r="BD69" s="31"/>
      <c r="BE69" s="31"/>
      <c r="BF69" s="31"/>
      <c r="BG69" s="31"/>
      <c r="BH69" s="31"/>
      <c r="BI69" s="32"/>
      <c r="BJ69" s="32"/>
    </row>
    <row r="70" spans="5:62">
      <c r="E70" t="str">
        <f t="shared" si="3"/>
        <v>Kronmüller KT</v>
      </c>
      <c r="F70">
        <f t="shared" si="3"/>
        <v>2009</v>
      </c>
      <c r="G70">
        <v>33</v>
      </c>
      <c r="H70">
        <f t="shared" si="4"/>
        <v>11</v>
      </c>
      <c r="I70">
        <f t="shared" si="4"/>
        <v>5.5</v>
      </c>
      <c r="J70">
        <f t="shared" si="5"/>
        <v>6.07</v>
      </c>
      <c r="K70">
        <f t="shared" si="5"/>
        <v>0.85</v>
      </c>
      <c r="L70">
        <f t="shared" si="5"/>
        <v>6.49</v>
      </c>
      <c r="M70">
        <f t="shared" si="5"/>
        <v>0.49</v>
      </c>
      <c r="N70">
        <f t="shared" si="6"/>
        <v>0.75682868284203786</v>
      </c>
      <c r="O70" s="59">
        <f t="shared" si="7"/>
        <v>-0.52573950467618868</v>
      </c>
      <c r="P70" s="63">
        <f t="shared" si="8"/>
        <v>0.28373053812445281</v>
      </c>
      <c r="Q70" s="59">
        <f t="shared" si="9"/>
        <v>1.0440207063362767</v>
      </c>
      <c r="R70" s="59">
        <f t="shared" si="10"/>
        <v>3.5244708116733268</v>
      </c>
      <c r="S70" s="59">
        <f t="shared" si="11"/>
        <v>-1.8529535387748195</v>
      </c>
      <c r="T70" s="59">
        <f t="shared" si="12"/>
        <v>0.97417087566346472</v>
      </c>
      <c r="U70" s="23">
        <f t="shared" si="13"/>
        <v>12.421894502337238</v>
      </c>
      <c r="V70" s="59">
        <f t="shared" si="14"/>
        <v>3.5244708116733268</v>
      </c>
      <c r="W70" s="59">
        <f t="shared" si="15"/>
        <v>-1.8529535387748195</v>
      </c>
      <c r="AF70" s="59">
        <f t="shared" si="16"/>
        <v>-0.52573950467618868</v>
      </c>
      <c r="AG70" s="59">
        <f t="shared" si="17"/>
        <v>1.0440207063362767</v>
      </c>
      <c r="AH70" s="59">
        <f t="shared" si="18"/>
        <v>1.0440207063362767</v>
      </c>
      <c r="AJ70">
        <f t="shared" si="19"/>
        <v>0.53266362568177383</v>
      </c>
      <c r="AK70">
        <f t="shared" si="20"/>
        <v>1.8773574011554981</v>
      </c>
      <c r="AL70">
        <f t="shared" si="21"/>
        <v>-0.98700095018366851</v>
      </c>
      <c r="AN70" s="31" t="str">
        <f t="shared" si="22"/>
        <v>Kronmüller KT</v>
      </c>
      <c r="AO70" s="31">
        <f t="shared" si="22"/>
        <v>2009</v>
      </c>
      <c r="AP70" s="31" t="str">
        <f t="shared" si="23"/>
        <v>Kronmüller KT 2009</v>
      </c>
      <c r="AQ70" s="31">
        <f t="shared" si="24"/>
        <v>11</v>
      </c>
      <c r="AR70" s="31">
        <f t="shared" si="25"/>
        <v>6.07</v>
      </c>
      <c r="AS70" s="31">
        <f t="shared" si="25"/>
        <v>0.85</v>
      </c>
      <c r="AT70" s="31">
        <f t="shared" si="26"/>
        <v>5</v>
      </c>
      <c r="AU70" s="31">
        <f t="shared" si="27"/>
        <v>6.49</v>
      </c>
      <c r="AV70" s="31">
        <f t="shared" si="27"/>
        <v>0.49</v>
      </c>
      <c r="AW70" s="164">
        <f t="shared" si="28"/>
        <v>-0.52573950467618868</v>
      </c>
      <c r="AX70" s="31">
        <f t="shared" si="29"/>
        <v>0.53266362568177383</v>
      </c>
      <c r="AY70" s="31"/>
      <c r="AZ70" s="31"/>
      <c r="BA70" s="31"/>
      <c r="BB70" s="31"/>
      <c r="BC70" s="165"/>
      <c r="BD70" s="31"/>
      <c r="BE70" s="31"/>
      <c r="BF70" s="31"/>
      <c r="BG70" s="31"/>
      <c r="BH70" s="31"/>
      <c r="BI70" s="32"/>
      <c r="BJ70" s="32"/>
    </row>
    <row r="71" spans="5:62">
      <c r="E71" t="str">
        <f t="shared" si="3"/>
        <v>Kronmüller KT</v>
      </c>
      <c r="F71">
        <f t="shared" si="3"/>
        <v>2009</v>
      </c>
      <c r="G71">
        <v>32</v>
      </c>
      <c r="H71">
        <f t="shared" si="4"/>
        <v>20</v>
      </c>
      <c r="I71">
        <f t="shared" si="4"/>
        <v>9.5</v>
      </c>
      <c r="J71">
        <f t="shared" si="5"/>
        <v>5.59</v>
      </c>
      <c r="K71">
        <f t="shared" si="5"/>
        <v>0.73</v>
      </c>
      <c r="L71">
        <f t="shared" si="5"/>
        <v>5.51</v>
      </c>
      <c r="M71">
        <f t="shared" si="5"/>
        <v>0.66</v>
      </c>
      <c r="N71">
        <f t="shared" si="6"/>
        <v>0.70910186471723125</v>
      </c>
      <c r="O71" s="59">
        <f t="shared" si="7"/>
        <v>0.1097136659887904</v>
      </c>
      <c r="P71" s="63">
        <f t="shared" si="8"/>
        <v>0.15549862519725446</v>
      </c>
      <c r="Q71" s="59">
        <f t="shared" si="9"/>
        <v>0.77289295413904036</v>
      </c>
      <c r="R71" s="59">
        <f t="shared" si="10"/>
        <v>6.4309250241374887</v>
      </c>
      <c r="S71" s="59">
        <f t="shared" si="11"/>
        <v>0.70556036009717427</v>
      </c>
      <c r="T71" s="59">
        <f t="shared" si="12"/>
        <v>7.740961368263205E-2</v>
      </c>
      <c r="U71" s="23">
        <f t="shared" si="13"/>
        <v>41.356796666077763</v>
      </c>
      <c r="V71" s="59">
        <f t="shared" si="14"/>
        <v>6.4309250241374887</v>
      </c>
      <c r="W71" s="59">
        <f t="shared" si="15"/>
        <v>0.70556036009717427</v>
      </c>
      <c r="AF71" s="59">
        <f t="shared" si="16"/>
        <v>0.1097136659887904</v>
      </c>
      <c r="AG71" s="59">
        <f t="shared" si="17"/>
        <v>0.77289295413904036</v>
      </c>
      <c r="AH71" s="59">
        <f t="shared" si="18"/>
        <v>0.77289295413904036</v>
      </c>
      <c r="AJ71">
        <f t="shared" si="19"/>
        <v>0.39433313986685731</v>
      </c>
      <c r="AK71">
        <f t="shared" si="20"/>
        <v>2.5359268570164812</v>
      </c>
      <c r="AL71">
        <f t="shared" si="21"/>
        <v>0.27822583216270924</v>
      </c>
      <c r="AN71" s="31" t="str">
        <f t="shared" si="22"/>
        <v>Kronmüller KT</v>
      </c>
      <c r="AO71" s="31">
        <f t="shared" si="22"/>
        <v>2009</v>
      </c>
      <c r="AP71" s="31" t="str">
        <f t="shared" si="23"/>
        <v>Kronmüller KT 2009</v>
      </c>
      <c r="AQ71" s="31">
        <f t="shared" si="24"/>
        <v>20</v>
      </c>
      <c r="AR71" s="31">
        <f t="shared" si="25"/>
        <v>5.59</v>
      </c>
      <c r="AS71" s="31">
        <f t="shared" si="25"/>
        <v>0.73</v>
      </c>
      <c r="AT71" s="31">
        <f t="shared" si="26"/>
        <v>9</v>
      </c>
      <c r="AU71" s="31">
        <f t="shared" si="27"/>
        <v>5.51</v>
      </c>
      <c r="AV71" s="31">
        <f t="shared" si="27"/>
        <v>0.66</v>
      </c>
      <c r="AW71" s="164">
        <f t="shared" si="28"/>
        <v>0.1097136659887904</v>
      </c>
      <c r="AX71" s="31">
        <f t="shared" si="29"/>
        <v>0.39433313986685731</v>
      </c>
      <c r="AY71" s="31"/>
      <c r="AZ71" s="31"/>
      <c r="BA71" s="31"/>
      <c r="BB71" s="31"/>
      <c r="BC71" s="165"/>
      <c r="BD71" s="31"/>
      <c r="BE71" s="31"/>
      <c r="BF71" s="31"/>
      <c r="BG71" s="31"/>
      <c r="BH71" s="31"/>
      <c r="BI71" s="32"/>
      <c r="BJ71" s="32"/>
    </row>
    <row r="72" spans="5:62">
      <c r="E72" t="str">
        <f t="shared" si="3"/>
        <v>Köhler S</v>
      </c>
      <c r="F72">
        <f t="shared" si="3"/>
        <v>2010</v>
      </c>
      <c r="G72">
        <v>30</v>
      </c>
      <c r="H72">
        <f t="shared" si="4"/>
        <v>35</v>
      </c>
      <c r="I72">
        <f t="shared" si="4"/>
        <v>29</v>
      </c>
      <c r="J72">
        <f t="shared" si="5"/>
        <v>5.6</v>
      </c>
      <c r="K72">
        <f t="shared" si="5"/>
        <v>0.9</v>
      </c>
      <c r="L72">
        <f t="shared" si="5"/>
        <v>5.8</v>
      </c>
      <c r="M72">
        <f t="shared" si="5"/>
        <v>0.8</v>
      </c>
      <c r="N72">
        <f t="shared" si="6"/>
        <v>0.85628605410319103</v>
      </c>
      <c r="O72" s="59">
        <f t="shared" si="7"/>
        <v>-0.2307299637261406</v>
      </c>
      <c r="P72" s="63">
        <f t="shared" si="8"/>
        <v>6.3497379967351872E-2</v>
      </c>
      <c r="Q72" s="59">
        <f t="shared" si="9"/>
        <v>0.49389425475761406</v>
      </c>
      <c r="R72" s="59">
        <f t="shared" si="10"/>
        <v>15.74868129227009</v>
      </c>
      <c r="S72" s="59">
        <f t="shared" si="11"/>
        <v>-3.6336926633000268</v>
      </c>
      <c r="T72" s="59">
        <f t="shared" si="12"/>
        <v>0.83840177639515845</v>
      </c>
      <c r="U72" s="23">
        <f t="shared" si="13"/>
        <v>248.02096244549793</v>
      </c>
      <c r="V72" s="59">
        <f t="shared" si="14"/>
        <v>15.74868129227009</v>
      </c>
      <c r="W72" s="59">
        <f t="shared" si="15"/>
        <v>-3.6336926633000268</v>
      </c>
      <c r="AF72" s="59">
        <f t="shared" si="16"/>
        <v>-0.2307299637261406</v>
      </c>
      <c r="AG72" s="59">
        <f t="shared" si="17"/>
        <v>0.49389425475761406</v>
      </c>
      <c r="AH72" s="59">
        <f t="shared" si="18"/>
        <v>0.49389425475761406</v>
      </c>
      <c r="AJ72">
        <f t="shared" si="19"/>
        <v>0.25198686467225206</v>
      </c>
      <c r="AK72">
        <f t="shared" si="20"/>
        <v>3.9684608215616906</v>
      </c>
      <c r="AL72">
        <f t="shared" si="21"/>
        <v>-0.91564282140753905</v>
      </c>
      <c r="AN72" s="31" t="str">
        <f t="shared" si="22"/>
        <v>Köhler S</v>
      </c>
      <c r="AO72" s="31">
        <f t="shared" si="22"/>
        <v>2010</v>
      </c>
      <c r="AP72" s="31" t="str">
        <f t="shared" si="23"/>
        <v>Köhler S 2010</v>
      </c>
      <c r="AQ72" s="31">
        <f t="shared" si="24"/>
        <v>35</v>
      </c>
      <c r="AR72" s="31">
        <f t="shared" si="25"/>
        <v>5.6</v>
      </c>
      <c r="AS72" s="31">
        <f t="shared" si="25"/>
        <v>0.9</v>
      </c>
      <c r="AT72" s="31">
        <f t="shared" si="26"/>
        <v>29</v>
      </c>
      <c r="AU72" s="31">
        <f t="shared" si="27"/>
        <v>5.8</v>
      </c>
      <c r="AV72" s="31">
        <f t="shared" si="27"/>
        <v>0.8</v>
      </c>
      <c r="AW72" s="164">
        <f t="shared" si="28"/>
        <v>-0.2307299637261406</v>
      </c>
      <c r="AX72" s="31">
        <f t="shared" si="29"/>
        <v>0.25198686467225206</v>
      </c>
      <c r="AY72" s="31"/>
      <c r="AZ72" s="31"/>
      <c r="BA72" s="31"/>
      <c r="BB72" s="31"/>
      <c r="BC72" s="165"/>
      <c r="BD72" s="31"/>
      <c r="BE72" s="31"/>
      <c r="BF72" s="31"/>
      <c r="BG72" s="31"/>
      <c r="BH72" s="31"/>
      <c r="BI72" s="32"/>
      <c r="BJ72" s="32"/>
    </row>
    <row r="73" spans="5:62">
      <c r="E73" t="str">
        <f t="shared" ref="E73:F75" si="30">E32</f>
        <v>Velakoulis D</v>
      </c>
      <c r="F73">
        <f t="shared" si="30"/>
        <v>2006</v>
      </c>
      <c r="G73">
        <v>15</v>
      </c>
      <c r="H73">
        <f t="shared" ref="H73:I75" si="31">H32</f>
        <v>12</v>
      </c>
      <c r="I73">
        <f t="shared" si="31"/>
        <v>87</v>
      </c>
      <c r="J73">
        <f t="shared" ref="J73:M75" si="32">IF($D$4="Total",T32,IF($D$4="Left",L32,IF($D$4="Right",P32,"error")))</f>
        <v>5941</v>
      </c>
      <c r="K73">
        <f t="shared" si="32"/>
        <v>782.88607089409891</v>
      </c>
      <c r="L73">
        <f t="shared" si="32"/>
        <v>5992</v>
      </c>
      <c r="M73">
        <f t="shared" si="32"/>
        <v>707.78132216101892</v>
      </c>
      <c r="N73">
        <f t="shared" si="6"/>
        <v>716.69412158711464</v>
      </c>
      <c r="O73" s="59">
        <f t="shared" si="7"/>
        <v>-7.0608436205290781E-2</v>
      </c>
      <c r="P73" s="63">
        <f t="shared" si="8"/>
        <v>9.4853809388378535E-2</v>
      </c>
      <c r="Q73" s="59">
        <f t="shared" si="9"/>
        <v>0.60364757445582018</v>
      </c>
      <c r="R73" s="59">
        <f t="shared" si="10"/>
        <v>10.542539160504393</v>
      </c>
      <c r="S73" s="59">
        <f t="shared" si="11"/>
        <v>-0.74439220375625426</v>
      </c>
      <c r="T73" s="59">
        <f t="shared" si="12"/>
        <v>5.2560369430639298E-2</v>
      </c>
      <c r="U73" s="23">
        <f t="shared" si="13"/>
        <v>111.14513195076869</v>
      </c>
      <c r="V73" s="59">
        <f t="shared" si="14"/>
        <v>10.542539160504393</v>
      </c>
      <c r="W73" s="59">
        <f t="shared" si="15"/>
        <v>-0.74439220375625426</v>
      </c>
      <c r="AF73" s="59">
        <f t="shared" si="16"/>
        <v>-7.0608436205290781E-2</v>
      </c>
      <c r="AG73" s="59">
        <f t="shared" si="17"/>
        <v>0.60364757445582018</v>
      </c>
      <c r="AH73" s="59">
        <f t="shared" si="18"/>
        <v>0.60364757445582018</v>
      </c>
      <c r="AJ73">
        <f t="shared" si="19"/>
        <v>0.30798345635501029</v>
      </c>
      <c r="AK73">
        <f t="shared" si="20"/>
        <v>3.2469276494101917</v>
      </c>
      <c r="AL73">
        <f t="shared" si="21"/>
        <v>-0.22926048379657429</v>
      </c>
      <c r="AN73" s="31" t="str">
        <f t="shared" ref="AN73:AO75" si="33">E73</f>
        <v>Velakoulis D</v>
      </c>
      <c r="AO73" s="31">
        <f t="shared" si="33"/>
        <v>2006</v>
      </c>
      <c r="AP73" s="31" t="str">
        <f t="shared" si="23"/>
        <v>Velakoulis D 2006</v>
      </c>
      <c r="AQ73" s="31">
        <f t="shared" si="24"/>
        <v>12</v>
      </c>
      <c r="AR73" s="31">
        <f t="shared" ref="AR73:AS75" si="34">J73</f>
        <v>5941</v>
      </c>
      <c r="AS73" s="31">
        <f t="shared" si="34"/>
        <v>782.88607089409891</v>
      </c>
      <c r="AT73" s="31">
        <f t="shared" si="26"/>
        <v>87</v>
      </c>
      <c r="AU73" s="31">
        <f t="shared" ref="AU73:AV75" si="35">L73</f>
        <v>5992</v>
      </c>
      <c r="AV73" s="31">
        <f t="shared" si="35"/>
        <v>707.78132216101892</v>
      </c>
      <c r="AW73" s="164">
        <f t="shared" si="28"/>
        <v>-7.0608436205290781E-2</v>
      </c>
      <c r="AX73" s="31">
        <f t="shared" si="29"/>
        <v>0.30798345635501029</v>
      </c>
      <c r="AY73" s="31"/>
      <c r="AZ73" s="31"/>
      <c r="BA73" s="31"/>
      <c r="BB73" s="31"/>
      <c r="BC73" s="165"/>
      <c r="BD73" s="31"/>
      <c r="BE73" s="31"/>
      <c r="BF73" s="31"/>
      <c r="BG73" s="31"/>
      <c r="BH73" s="31"/>
      <c r="BI73" s="32"/>
      <c r="BJ73" s="32"/>
    </row>
    <row r="74" spans="5:62">
      <c r="E74" t="str">
        <f t="shared" si="30"/>
        <v>Tae WS</v>
      </c>
      <c r="F74">
        <f t="shared" si="30"/>
        <v>2008</v>
      </c>
      <c r="G74">
        <v>7</v>
      </c>
      <c r="H74">
        <f t="shared" si="31"/>
        <v>21</v>
      </c>
      <c r="I74">
        <f t="shared" si="31"/>
        <v>20</v>
      </c>
      <c r="J74">
        <f t="shared" si="32"/>
        <v>5247.8</v>
      </c>
      <c r="K74">
        <f t="shared" si="32"/>
        <v>749.11499300174205</v>
      </c>
      <c r="L74">
        <f t="shared" si="32"/>
        <v>5683</v>
      </c>
      <c r="M74">
        <f t="shared" si="32"/>
        <v>479.09846541186079</v>
      </c>
      <c r="N74">
        <f t="shared" si="6"/>
        <v>632.14402988884001</v>
      </c>
      <c r="O74" s="59">
        <f t="shared" si="7"/>
        <v>-0.6751258479315152</v>
      </c>
      <c r="P74" s="63">
        <f t="shared" si="8"/>
        <v>0.10376846627184372</v>
      </c>
      <c r="Q74" s="59">
        <f t="shared" si="9"/>
        <v>0.63137701892760933</v>
      </c>
      <c r="R74" s="59">
        <f t="shared" si="10"/>
        <v>9.6368389736077038</v>
      </c>
      <c r="S74" s="59">
        <f t="shared" si="11"/>
        <v>-6.506079083436374</v>
      </c>
      <c r="T74" s="59">
        <f t="shared" si="12"/>
        <v>4.3924221579144769</v>
      </c>
      <c r="U74" s="23">
        <f t="shared" si="13"/>
        <v>92.868665403244378</v>
      </c>
      <c r="V74" s="59">
        <f t="shared" si="14"/>
        <v>9.6368389736077038</v>
      </c>
      <c r="W74" s="59">
        <f t="shared" si="15"/>
        <v>-6.506079083436374</v>
      </c>
      <c r="AF74" s="59">
        <f t="shared" si="16"/>
        <v>-0.6751258479315152</v>
      </c>
      <c r="AG74" s="59">
        <f t="shared" si="17"/>
        <v>0.63137701892760933</v>
      </c>
      <c r="AH74" s="59">
        <f t="shared" si="18"/>
        <v>0.63137701892760933</v>
      </c>
      <c r="AJ74">
        <f t="shared" si="19"/>
        <v>0.32213113210592315</v>
      </c>
      <c r="AK74">
        <f t="shared" si="20"/>
        <v>3.1043258484907321</v>
      </c>
      <c r="AL74">
        <f t="shared" si="21"/>
        <v>-2.095810620718026</v>
      </c>
      <c r="AN74" s="31" t="str">
        <f t="shared" si="33"/>
        <v>Tae WS</v>
      </c>
      <c r="AO74" s="31">
        <f t="shared" si="33"/>
        <v>2008</v>
      </c>
      <c r="AP74" s="31" t="str">
        <f t="shared" si="23"/>
        <v>Tae WS 2008</v>
      </c>
      <c r="AQ74" s="31">
        <f t="shared" si="24"/>
        <v>21</v>
      </c>
      <c r="AR74" s="31">
        <f t="shared" si="34"/>
        <v>5247.8</v>
      </c>
      <c r="AS74" s="31">
        <f t="shared" si="34"/>
        <v>749.11499300174205</v>
      </c>
      <c r="AT74" s="31">
        <f t="shared" si="26"/>
        <v>20</v>
      </c>
      <c r="AU74" s="31">
        <f t="shared" si="35"/>
        <v>5683</v>
      </c>
      <c r="AV74" s="31">
        <f t="shared" si="35"/>
        <v>479.09846541186079</v>
      </c>
      <c r="AW74" s="164">
        <f t="shared" si="28"/>
        <v>-0.6751258479315152</v>
      </c>
      <c r="AX74" s="31">
        <f t="shared" si="29"/>
        <v>0.32213113210592315</v>
      </c>
      <c r="AY74" s="31"/>
      <c r="AZ74" s="31"/>
      <c r="BA74" s="31"/>
      <c r="BB74" s="31"/>
      <c r="BC74" s="165"/>
      <c r="BD74" s="31"/>
      <c r="BE74" s="31"/>
      <c r="BF74" s="31"/>
      <c r="BG74" s="31"/>
      <c r="BH74" s="31"/>
      <c r="BI74" s="32"/>
      <c r="BJ74" s="32"/>
    </row>
    <row r="75" spans="5:62">
      <c r="E75" t="str">
        <f t="shared" si="30"/>
        <v>Meisenzahl EM</v>
      </c>
      <c r="F75">
        <f t="shared" si="30"/>
        <v>2009</v>
      </c>
      <c r="G75">
        <v>3</v>
      </c>
      <c r="H75">
        <f t="shared" si="31"/>
        <v>92</v>
      </c>
      <c r="I75">
        <f t="shared" si="31"/>
        <v>138</v>
      </c>
      <c r="J75">
        <f t="shared" si="32"/>
        <v>7.4399999999999995</v>
      </c>
      <c r="K75">
        <f t="shared" si="32"/>
        <v>0.78741348731146321</v>
      </c>
      <c r="L75">
        <f t="shared" si="32"/>
        <v>7.77</v>
      </c>
      <c r="M75">
        <f t="shared" si="32"/>
        <v>0.77792030440142124</v>
      </c>
      <c r="N75">
        <f t="shared" si="6"/>
        <v>0.78172307431230448</v>
      </c>
      <c r="O75" s="59">
        <f t="shared" si="7"/>
        <v>-0.42075421964091947</v>
      </c>
      <c r="P75" s="63">
        <f t="shared" si="8"/>
        <v>1.8507506466182797E-2</v>
      </c>
      <c r="Q75" s="59">
        <f t="shared" si="9"/>
        <v>0.26664290135026625</v>
      </c>
      <c r="R75" s="59">
        <f t="shared" si="10"/>
        <v>54.0321302508912</v>
      </c>
      <c r="S75" s="59">
        <f t="shared" si="11"/>
        <v>-22.734246799250243</v>
      </c>
      <c r="T75" s="59">
        <f t="shared" si="12"/>
        <v>9.5655302711426078</v>
      </c>
      <c r="U75" s="23">
        <f t="shared" si="13"/>
        <v>2919.4710994492721</v>
      </c>
      <c r="V75" s="59">
        <f t="shared" si="14"/>
        <v>54.0321302508912</v>
      </c>
      <c r="W75" s="59">
        <f t="shared" si="15"/>
        <v>-22.734246799250243</v>
      </c>
      <c r="AF75" s="59">
        <f t="shared" si="16"/>
        <v>-0.42075421964091947</v>
      </c>
      <c r="AG75" s="59">
        <f t="shared" si="17"/>
        <v>0.26664290135026625</v>
      </c>
      <c r="AH75" s="59">
        <f t="shared" si="18"/>
        <v>0.26664290135026625</v>
      </c>
      <c r="AJ75">
        <f t="shared" si="19"/>
        <v>0.13604229660727871</v>
      </c>
      <c r="AK75">
        <f t="shared" si="20"/>
        <v>7.3506550899148575</v>
      </c>
      <c r="AL75">
        <f t="shared" si="21"/>
        <v>-3.0928191462066787</v>
      </c>
      <c r="AN75" s="31" t="str">
        <f t="shared" si="33"/>
        <v>Meisenzahl EM</v>
      </c>
      <c r="AO75" s="31">
        <f t="shared" si="33"/>
        <v>2009</v>
      </c>
      <c r="AP75" s="31" t="str">
        <f t="shared" si="23"/>
        <v>Meisenzahl EM 2009</v>
      </c>
      <c r="AQ75" s="31">
        <f t="shared" si="24"/>
        <v>92</v>
      </c>
      <c r="AR75" s="31">
        <f t="shared" si="34"/>
        <v>7.4399999999999995</v>
      </c>
      <c r="AS75" s="31">
        <f t="shared" si="34"/>
        <v>0.78741348731146321</v>
      </c>
      <c r="AT75" s="31">
        <f t="shared" si="26"/>
        <v>138</v>
      </c>
      <c r="AU75" s="31">
        <f t="shared" si="35"/>
        <v>7.77</v>
      </c>
      <c r="AV75" s="31">
        <f t="shared" si="35"/>
        <v>0.77792030440142124</v>
      </c>
      <c r="AW75" s="164">
        <f t="shared" si="28"/>
        <v>-0.42075421964091947</v>
      </c>
      <c r="AX75" s="31">
        <f t="shared" si="29"/>
        <v>0.13604229660727871</v>
      </c>
      <c r="AY75" s="31"/>
      <c r="AZ75" s="31"/>
      <c r="BA75" s="31"/>
      <c r="BB75" s="31"/>
      <c r="BC75" s="165"/>
      <c r="BD75" s="31"/>
      <c r="BE75" s="31"/>
      <c r="BF75" s="31"/>
      <c r="BG75" s="31"/>
      <c r="BH75" s="31"/>
      <c r="BI75" s="32"/>
      <c r="BJ75" s="32"/>
    </row>
    <row r="76" spans="5:62">
      <c r="U76" s="23"/>
      <c r="AN76" s="31"/>
      <c r="AO76" s="31"/>
      <c r="AP76" s="31"/>
      <c r="AQ76" s="31"/>
      <c r="AR76" s="31"/>
      <c r="AS76" s="31"/>
      <c r="AT76" s="31"/>
      <c r="AU76" s="31"/>
      <c r="AV76" s="31"/>
      <c r="AW76" s="31"/>
      <c r="AX76" s="31"/>
      <c r="AY76" s="31"/>
      <c r="AZ76" s="31"/>
      <c r="BA76" s="31"/>
      <c r="BB76" s="31"/>
      <c r="BC76" s="31"/>
      <c r="BD76" s="31"/>
      <c r="BE76" s="31"/>
      <c r="BF76" s="31"/>
      <c r="BG76" s="31"/>
      <c r="BH76" s="31"/>
      <c r="BI76" s="165"/>
      <c r="BJ76" s="32"/>
    </row>
    <row r="77" spans="5:62">
      <c r="L77" t="s">
        <v>500</v>
      </c>
      <c r="N77" s="7"/>
      <c r="O77" s="66">
        <f>COUNT(O67:O75)</f>
        <v>9</v>
      </c>
      <c r="Q77" t="s">
        <v>885</v>
      </c>
      <c r="R77" s="59">
        <f t="shared" ref="R77:W77" si="36">SUM(R67:R75)</f>
        <v>126.5604460734868</v>
      </c>
      <c r="S77" s="59">
        <f t="shared" si="36"/>
        <v>-40.523518604918564</v>
      </c>
      <c r="T77" s="59">
        <f t="shared" si="36"/>
        <v>18.698595915471827</v>
      </c>
      <c r="U77" s="23">
        <f t="shared" si="36"/>
        <v>3777.6784196768945</v>
      </c>
      <c r="V77" s="59">
        <f t="shared" si="36"/>
        <v>126.5604460734868</v>
      </c>
      <c r="W77" s="59">
        <f t="shared" si="36"/>
        <v>-40.523518604918564</v>
      </c>
      <c r="BI77" s="23"/>
    </row>
    <row r="78" spans="5:62">
      <c r="L78" t="s">
        <v>501</v>
      </c>
      <c r="N78" s="7"/>
      <c r="O78" s="2">
        <v>3</v>
      </c>
      <c r="BI78" s="23"/>
    </row>
    <row r="79" spans="5:62">
      <c r="N79" s="7"/>
      <c r="O79" s="7"/>
    </row>
    <row r="80" spans="5:62">
      <c r="G80" s="67" t="s">
        <v>502</v>
      </c>
      <c r="H80" s="40"/>
      <c r="I80" s="40">
        <f>S77/R77</f>
        <v>-0.32019102225183965</v>
      </c>
      <c r="J80" s="40"/>
      <c r="K80" s="68" t="s">
        <v>879</v>
      </c>
      <c r="L80" s="40"/>
      <c r="M80" s="42"/>
      <c r="N80" s="7"/>
      <c r="O80" s="69" t="s">
        <v>503</v>
      </c>
      <c r="P80" s="70">
        <f>T77-((S77^2)/R77)</f>
        <v>5.7233290681215099</v>
      </c>
      <c r="Q80" s="71" t="s">
        <v>824</v>
      </c>
      <c r="R80" s="28"/>
      <c r="S80" s="29"/>
      <c r="T80" s="30"/>
      <c r="U80" s="31"/>
      <c r="AF80" s="2" t="s">
        <v>1518</v>
      </c>
    </row>
    <row r="81" spans="7:34">
      <c r="G81" s="43" t="s">
        <v>504</v>
      </c>
      <c r="H81" s="31"/>
      <c r="I81" s="31">
        <f>1/R77</f>
        <v>7.9013627956032503E-3</v>
      </c>
      <c r="J81" s="31"/>
      <c r="K81" s="31"/>
      <c r="L81" s="31"/>
      <c r="M81" s="44"/>
      <c r="N81" s="7"/>
      <c r="O81" s="30" t="s">
        <v>505</v>
      </c>
      <c r="P81" s="31">
        <f>CHIDIST(P80,I85-1)</f>
        <v>0.6781911293033559</v>
      </c>
      <c r="Q81" s="31"/>
      <c r="R81" s="31"/>
      <c r="S81" s="34"/>
      <c r="T81" s="30"/>
      <c r="U81" s="31"/>
      <c r="AF81" s="2"/>
    </row>
    <row r="82" spans="7:34">
      <c r="G82" s="72" t="s">
        <v>506</v>
      </c>
      <c r="H82" s="31"/>
      <c r="I82" s="31">
        <f>$R$92*SQRT(I81)</f>
        <v>0.17422363592690129</v>
      </c>
      <c r="J82" s="31"/>
      <c r="K82" s="31" t="s">
        <v>507</v>
      </c>
      <c r="L82" s="31"/>
      <c r="M82" s="44">
        <f>ABS(I80/SQRT(I81))</f>
        <v>3.6021197713777253</v>
      </c>
      <c r="N82" s="7"/>
      <c r="O82" s="35" t="s">
        <v>508</v>
      </c>
      <c r="P82" s="37">
        <f>IF(((P80-(I85-1))/P80)&lt;0,0,100*((P80-(I85-1))/P80))</f>
        <v>0</v>
      </c>
      <c r="Q82" s="36"/>
      <c r="R82" s="36"/>
      <c r="S82" s="38"/>
      <c r="T82" s="30"/>
      <c r="U82" s="31"/>
      <c r="AF82" s="2" t="s">
        <v>1535</v>
      </c>
      <c r="AH82">
        <f>IF($D$6=1,100*((EXP(I80))-1),I80)</f>
        <v>-0.32019102225183965</v>
      </c>
    </row>
    <row r="83" spans="7:34">
      <c r="G83" s="45" t="s">
        <v>509</v>
      </c>
      <c r="H83" s="46"/>
      <c r="I83" s="46">
        <v>-2</v>
      </c>
      <c r="J83" s="46"/>
      <c r="K83" s="46" t="s">
        <v>825</v>
      </c>
      <c r="L83" s="46"/>
      <c r="M83" s="47">
        <f>2*(1-NORMDIST(M82,0,1,1))</f>
        <v>3.1563287106539661E-4</v>
      </c>
      <c r="N83" s="7"/>
      <c r="O83" s="7"/>
      <c r="AF83" s="79" t="s">
        <v>834</v>
      </c>
      <c r="AH83">
        <f>IF($D$6=1,100*(EXP(I80+I82)-EXP(I80)),I82)</f>
        <v>0.17422363592690129</v>
      </c>
    </row>
    <row r="84" spans="7:34">
      <c r="G84" s="40"/>
      <c r="H84" s="40"/>
      <c r="I84" s="40"/>
      <c r="J84" s="40"/>
      <c r="K84" s="40"/>
      <c r="L84" s="40"/>
      <c r="M84" s="40"/>
      <c r="N84" s="7"/>
      <c r="O84" s="7"/>
      <c r="AF84" s="79" t="s">
        <v>835</v>
      </c>
      <c r="AH84">
        <f>IF($D$6=1,100*(EXP(I80)-EXP(I80-I82)),I82)</f>
        <v>0.17422363592690129</v>
      </c>
    </row>
    <row r="85" spans="7:34">
      <c r="G85" s="73" t="s">
        <v>1110</v>
      </c>
      <c r="H85" s="74"/>
      <c r="I85" s="74">
        <f>O77</f>
        <v>9</v>
      </c>
      <c r="J85" s="74"/>
      <c r="K85" s="75" t="s">
        <v>1167</v>
      </c>
      <c r="L85" s="74"/>
      <c r="M85" s="76"/>
      <c r="N85" s="77"/>
      <c r="O85" s="101" t="s">
        <v>1513</v>
      </c>
      <c r="P85" s="102"/>
      <c r="Q85" s="103"/>
      <c r="AF85" s="7"/>
    </row>
    <row r="86" spans="7:34">
      <c r="G86" s="77" t="s">
        <v>1531</v>
      </c>
      <c r="H86" s="31"/>
      <c r="I86" s="31">
        <f>R77/I85</f>
        <v>14.062271785942977</v>
      </c>
      <c r="J86" s="31"/>
      <c r="K86" s="31"/>
      <c r="L86" s="31"/>
      <c r="M86" s="78"/>
      <c r="N86" s="77"/>
      <c r="O86" s="104" t="s">
        <v>1514</v>
      </c>
      <c r="P86" s="31"/>
      <c r="Q86" s="105">
        <f>INDEX(LINEST(AL67:AL75,AK67:AK75,TRUE,TRUE),1,2)</f>
        <v>0.32664924712828336</v>
      </c>
      <c r="AF86" s="2" t="s">
        <v>1687</v>
      </c>
      <c r="AH86">
        <f>IF($D$6=1,100*((EXP(I91))-1),I91)</f>
        <v>-0.32019102225183965</v>
      </c>
    </row>
    <row r="87" spans="7:34">
      <c r="G87" s="77" t="s">
        <v>1532</v>
      </c>
      <c r="H87" s="31"/>
      <c r="I87" s="31">
        <f>(1/(I85-1))*(U77-(I85*I86^2))</f>
        <v>249.74387870516793</v>
      </c>
      <c r="J87" s="31"/>
      <c r="K87" s="31"/>
      <c r="L87" s="31"/>
      <c r="M87" s="78"/>
      <c r="N87" s="77"/>
      <c r="O87" s="104" t="s">
        <v>1516</v>
      </c>
      <c r="P87" s="31"/>
      <c r="Q87" s="105">
        <f>INDEX(LINEST(AL67:AL75,AK67:AK75,TRUE,TRUE),2,2)</f>
        <v>0.6939339525618915</v>
      </c>
      <c r="AF87" s="79" t="s">
        <v>834</v>
      </c>
      <c r="AG87" s="7"/>
      <c r="AH87">
        <f>IF($D$6=1,100*(EXP(I91+I93)-EXP(I91)),I93)</f>
        <v>0.17422363592690129</v>
      </c>
    </row>
    <row r="88" spans="7:34">
      <c r="G88" s="77" t="s">
        <v>1669</v>
      </c>
      <c r="H88" s="31"/>
      <c r="I88" s="31">
        <f>(I85-1)*(I86-(I87/(I85*I86)))</f>
        <v>96.711638354498504</v>
      </c>
      <c r="J88" s="31"/>
      <c r="K88" s="31"/>
      <c r="L88" s="31"/>
      <c r="M88" s="78"/>
      <c r="N88" s="77"/>
      <c r="O88" s="104" t="s">
        <v>1349</v>
      </c>
      <c r="P88" s="31"/>
      <c r="Q88" s="105">
        <f>ABS(Q86/Q87)</f>
        <v>0.47072094674478365</v>
      </c>
      <c r="AF88" s="79" t="s">
        <v>835</v>
      </c>
      <c r="AH88">
        <f>IF($D$6=1,100*(EXP(I91)-EXP(I91-I93)),I93)</f>
        <v>0.17422363592690129</v>
      </c>
    </row>
    <row r="89" spans="7:34">
      <c r="G89" s="77" t="s">
        <v>1685</v>
      </c>
      <c r="H89" s="31"/>
      <c r="I89" s="31">
        <f>IF(P80&gt;(I85-1),(P80-(I85-1))/I88,0)</f>
        <v>0</v>
      </c>
      <c r="J89" s="31"/>
      <c r="K89" s="31"/>
      <c r="L89" s="31"/>
      <c r="M89" s="78"/>
      <c r="N89" s="77"/>
      <c r="O89" s="106" t="s">
        <v>1515</v>
      </c>
      <c r="P89" s="107"/>
      <c r="Q89" s="108">
        <f>TDIST(Q88,I85-2,2)</f>
        <v>0.65215529202379818</v>
      </c>
    </row>
    <row r="90" spans="7:34">
      <c r="G90" s="77"/>
      <c r="H90" s="31"/>
      <c r="I90" s="31"/>
      <c r="J90" s="31"/>
      <c r="K90" s="31"/>
      <c r="L90" s="31"/>
      <c r="M90" s="78"/>
      <c r="N90" s="77"/>
    </row>
    <row r="91" spans="7:34">
      <c r="G91" s="77" t="s">
        <v>1686</v>
      </c>
      <c r="H91" s="31"/>
      <c r="I91" s="31">
        <f>W77/V77</f>
        <v>-0.32019102225183965</v>
      </c>
      <c r="J91" s="31"/>
      <c r="N91" s="77"/>
    </row>
    <row r="92" spans="7:34">
      <c r="G92" s="77" t="s">
        <v>504</v>
      </c>
      <c r="H92" s="31"/>
      <c r="I92" s="31">
        <f>1/V77</f>
        <v>7.9013627956032503E-3</v>
      </c>
      <c r="J92" s="31"/>
      <c r="N92" s="77"/>
      <c r="O92" t="s">
        <v>805</v>
      </c>
      <c r="R92">
        <v>1.96</v>
      </c>
    </row>
    <row r="93" spans="7:34">
      <c r="G93" s="80" t="s">
        <v>506</v>
      </c>
      <c r="H93" s="31"/>
      <c r="I93" s="31">
        <f>$R$92*SQRT(I92)</f>
        <v>0.17422363592690129</v>
      </c>
      <c r="J93" s="31"/>
      <c r="K93" s="31" t="s">
        <v>507</v>
      </c>
      <c r="L93" s="31"/>
      <c r="M93" s="78">
        <f>ABS(I91/(SQRT(I92)))</f>
        <v>3.6021197713777253</v>
      </c>
      <c r="N93" s="77"/>
    </row>
    <row r="94" spans="7:34">
      <c r="G94" s="81" t="s">
        <v>509</v>
      </c>
      <c r="H94" s="82"/>
      <c r="I94" s="82">
        <v>-3</v>
      </c>
      <c r="J94" s="82"/>
      <c r="K94" s="31" t="s">
        <v>825</v>
      </c>
      <c r="L94" s="31"/>
      <c r="M94" s="78">
        <f>2*(1-NORMDIST(M93,0,1,1))</f>
        <v>3.1563287106539661E-4</v>
      </c>
      <c r="N94" s="77"/>
    </row>
    <row r="95" spans="7:34">
      <c r="G95" s="74"/>
      <c r="H95" s="74"/>
      <c r="I95" s="74"/>
      <c r="J95" s="74"/>
      <c r="K95" s="74"/>
      <c r="L95" s="74"/>
      <c r="M95" s="74"/>
      <c r="N95" s="31"/>
      <c r="O95" s="7"/>
    </row>
  </sheetData>
  <phoneticPr fontId="31" type="noConversion"/>
  <conditionalFormatting sqref="D17 D13 F13">
    <cfRule type="cellIs" dxfId="90" priority="0" stopIfTrue="1" operator="lessThan">
      <formula>0.05</formula>
    </cfRule>
  </conditionalFormatting>
  <conditionalFormatting sqref="D21">
    <cfRule type="cellIs" dxfId="8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5.xml><?xml version="1.0" encoding="utf-8"?>
<worksheet xmlns="http://schemas.openxmlformats.org/spreadsheetml/2006/main" xmlns:r="http://schemas.openxmlformats.org/officeDocument/2006/relationships">
  <sheetPr published="0" enableFormatConditionsCalculation="0"/>
  <dimension ref="A1:BJ8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33</v>
      </c>
      <c r="D1" s="10"/>
      <c r="F1" s="1" t="s">
        <v>733</v>
      </c>
    </row>
    <row r="2" spans="2:30">
      <c r="B2" s="4"/>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I75-O68</f>
        <v>5</v>
      </c>
      <c r="AD7" s="89"/>
    </row>
    <row r="8" spans="2:30">
      <c r="B8" t="s">
        <v>822</v>
      </c>
      <c r="D8">
        <f>SUM(H24:H29)</f>
        <v>95</v>
      </c>
      <c r="E8" t="s">
        <v>298</v>
      </c>
      <c r="F8">
        <f>Summary!C78</f>
        <v>0.8</v>
      </c>
      <c r="AD8" s="89"/>
    </row>
    <row r="9" spans="2:30">
      <c r="B9" t="s">
        <v>823</v>
      </c>
      <c r="D9">
        <f>SUM(I24:I29)</f>
        <v>105</v>
      </c>
      <c r="AB9" s="59"/>
      <c r="AD9" s="89"/>
    </row>
    <row r="10" spans="2:30">
      <c r="AB10" s="59"/>
    </row>
    <row r="11" spans="2:30">
      <c r="B11" s="27" t="s">
        <v>516</v>
      </c>
      <c r="C11" s="28"/>
      <c r="D11" s="109">
        <f>P70</f>
        <v>9.2349577563167529</v>
      </c>
      <c r="E11" s="110" t="s">
        <v>1513</v>
      </c>
      <c r="F11" s="103"/>
    </row>
    <row r="12" spans="2:30">
      <c r="B12" s="30" t="s">
        <v>826</v>
      </c>
      <c r="C12" s="31"/>
      <c r="D12" s="112">
        <f>P72</f>
        <v>56.686320549068213</v>
      </c>
      <c r="E12" s="31"/>
      <c r="F12" s="105"/>
    </row>
    <row r="13" spans="2:30">
      <c r="B13" s="35" t="s">
        <v>825</v>
      </c>
      <c r="C13" s="36"/>
      <c r="D13" s="113">
        <f>P71</f>
        <v>5.5487588547702527E-2</v>
      </c>
      <c r="E13" s="111" t="s">
        <v>825</v>
      </c>
      <c r="F13" s="115">
        <f>Q79</f>
        <v>0.13052336129079545</v>
      </c>
    </row>
    <row r="14" spans="2:30">
      <c r="Z14" s="2"/>
    </row>
    <row r="15" spans="2:30">
      <c r="B15" s="39" t="s">
        <v>879</v>
      </c>
      <c r="C15" s="40"/>
      <c r="D15" s="41">
        <f>AH72</f>
        <v>-0.32277919254064286</v>
      </c>
      <c r="E15" s="116"/>
      <c r="Z15" s="2"/>
    </row>
    <row r="16" spans="2:30">
      <c r="B16" s="43" t="s">
        <v>1165</v>
      </c>
      <c r="C16" s="31"/>
      <c r="D16" s="33">
        <f>AH72-AH74</f>
        <v>-0.60637277305371273</v>
      </c>
      <c r="E16" s="117">
        <f>AH72+AH73</f>
        <v>-3.918561202757298E-2</v>
      </c>
    </row>
    <row r="17" spans="1:43">
      <c r="B17" s="45" t="s">
        <v>1166</v>
      </c>
      <c r="C17" s="46"/>
      <c r="D17" s="123">
        <f>M73</f>
        <v>2.5692824177553364E-2</v>
      </c>
      <c r="E17" s="118"/>
    </row>
    <row r="18" spans="1:43">
      <c r="D18" s="48"/>
      <c r="F18" s="49"/>
    </row>
    <row r="19" spans="1:43">
      <c r="B19" s="50" t="s">
        <v>1167</v>
      </c>
      <c r="C19" s="51"/>
      <c r="D19" s="52">
        <f>AH76</f>
        <v>-0.35506835176450902</v>
      </c>
      <c r="E19" s="120"/>
      <c r="F19" s="33"/>
      <c r="G19" s="31"/>
    </row>
    <row r="20" spans="1:43">
      <c r="B20" s="53" t="s">
        <v>1165</v>
      </c>
      <c r="C20" s="31"/>
      <c r="D20" s="33">
        <f>AH76-AH78</f>
        <v>-0.78841471102997329</v>
      </c>
      <c r="E20" s="121">
        <f>AH76+AH77</f>
        <v>7.827800750095526E-2</v>
      </c>
      <c r="F20" s="31"/>
      <c r="G20" s="31"/>
    </row>
    <row r="21" spans="1:43">
      <c r="B21" s="54" t="s">
        <v>1440</v>
      </c>
      <c r="C21" s="55"/>
      <c r="D21" s="114">
        <f>M84</f>
        <v>0.10828419463210981</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52.8"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A24" t="s">
        <v>2017</v>
      </c>
      <c r="B24">
        <v>15607296</v>
      </c>
      <c r="C24" s="1" t="str">
        <f>IF($B24="","",HYPERLINK(IF(LEN(VLOOKUP($B24,Database!$B$1:$IX$10144,2,FALSE))=0,"",VLOOKUP($B24,Database!$B$1:$IX$10144,2,FALSE))))</f>
        <v/>
      </c>
      <c r="D24" s="1" t="str">
        <f>IF($B24="","",HYPERLINK(CONCATENATE("http://www.ncbi.nlm.nih.gov/pubmed/",B24)))</f>
        <v>http://www.ncbi.nlm.nih.gov/pubmed/15607296</v>
      </c>
      <c r="E24" s="22" t="str">
        <f>IF($B24="","",IF(LEN(VLOOKUP($B24,Database!$B$1:$IX$10144,4,FALSE))=0,"",VLOOKUP($B24,Database!$B$1:$IX$10144,4,FALSE)))</f>
        <v>Rosso IM</v>
      </c>
      <c r="F24" s="22">
        <f>IF($B24="","",IF(LEN(VLOOKUP($B24,Database!$B$1:$IX$10144,5,FALSE))=0,"",VLOOKUP($B24,Database!$B$1:$IX$10144,5,FALSE)))</f>
        <v>2005</v>
      </c>
      <c r="G24" s="1" t="str">
        <f>IF($B24="","",HYPERLINK(IF(LEN(VLOOKUP($B24,Database!$B$1:$IX$10144,6,FALSE))=0,"",VLOOKUP($B24,Database!$B$1:$IX$10144,6,FALSE))))</f>
        <v>http://dx.doi.org/10.1016/j.biopsych.2004.10.027</v>
      </c>
      <c r="H24" s="22">
        <f>IF($B24="","",IF(LEN(VLOOKUP($B24,Database!$B$1:$IX$10144,7,FALSE))=0,"",VLOOKUP($B24,Database!$B$1:$IX$10144,7,FALSE)))</f>
        <v>20</v>
      </c>
      <c r="I24" s="22">
        <f>IF($B24="","",IF(LEN(VLOOKUP($B24,Database!$B$1:$IX$10144,8,FALSE))=0,"",VLOOKUP($B24,Database!$B$1:$IX$10144,8,FALSE)))</f>
        <v>24</v>
      </c>
      <c r="J24" t="s">
        <v>876</v>
      </c>
      <c r="L24">
        <v>6.57</v>
      </c>
      <c r="M24">
        <v>0.76</v>
      </c>
      <c r="N24">
        <v>6.26</v>
      </c>
      <c r="O24">
        <v>0.73499999999999999</v>
      </c>
      <c r="P24">
        <v>6.39</v>
      </c>
      <c r="Q24">
        <v>0.71599999999999997</v>
      </c>
      <c r="R24">
        <v>6.19</v>
      </c>
      <c r="S24">
        <v>0.78400000000000003</v>
      </c>
      <c r="T24">
        <v>12.96</v>
      </c>
      <c r="U24">
        <v>1.476</v>
      </c>
      <c r="V24">
        <v>12.45</v>
      </c>
      <c r="W24">
        <v>1.3720000000000001</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15.35</v>
      </c>
      <c r="AC24" s="22">
        <f>IF(OR($B24="",AC$22=""),"",IF(LEN(VLOOKUP($B24,Database!$B$1:$IX$10144,AC$22,FALSE))=0,"",VLOOKUP($B24,Database!$B$1:$IX$10144,AC$22,FALSE)))</f>
        <v>1.5209999999999999</v>
      </c>
      <c r="AD24" s="22">
        <f>IF(OR($B24="",AD$22=""),"",IF(LEN(VLOOKUP($B24,Database!$B$1:$IX$10144,AD$22,FALSE))=0,"",VLOOKUP($B24,Database!$B$1:$IX$10144,AD$22,FALSE)))</f>
        <v>14.08</v>
      </c>
      <c r="AE24" s="22">
        <f>IF(OR($B24="",AE$22=""),"",IF(LEN(VLOOKUP($B24,Database!$B$1:$IX$10144,AE$22,FALSE))=0,"",VLOOKUP($B24,Database!$B$1:$IX$10144,AE$22,FALSE)))</f>
        <v>1.5189999999999999</v>
      </c>
      <c r="AF24" s="22">
        <f>IF(OR($B24="",AF$22=""),"",IF(LEN(VLOOKUP($B24,Database!$B$1:$IX$10144,AF$22,FALSE))=0,"",VLOOKUP($B24,Database!$B$1:$IX$10144,AF$22,FALSE)))</f>
        <v>17</v>
      </c>
      <c r="AG24" s="22">
        <f>IF(OR($B24="",AG$22=""),"",IF(LEN(VLOOKUP($B24,Database!$B$1:$IX$10144,AG$22,FALSE))=0,"",VLOOKUP($B24,Database!$B$1:$IX$10144,AG$22,FALSE)))</f>
        <v>16</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12.8</v>
      </c>
      <c r="AL24" s="22">
        <f>IF(OR($B24="",AL$22=""),"",IF(LEN(VLOOKUP($B24,Database!$B$1:$IX$10144,AL$22,FALSE))=0,"",VLOOKUP($B24,Database!$B$1:$IX$10144,AL$22,FALSE)))</f>
        <v>16.55</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Rosso IM, Cintron CM, Steingard RJ, Renshaw PF, Young AD, Yurgelun-Todd DA.</v>
      </c>
    </row>
    <row r="25" spans="1:43">
      <c r="A25" t="s">
        <v>2084</v>
      </c>
      <c r="B25">
        <v>12804127</v>
      </c>
      <c r="C25" s="1" t="str">
        <f>IF($B25="","",HYPERLINK(IF(LEN(VLOOKUP($B25,Database!$B$1:$IX$10144,2,FALSE))=0,"",VLOOKUP($B25,Database!$B$1:$IX$10144,2,FALSE))))</f>
        <v/>
      </c>
      <c r="D25" s="1" t="str">
        <f>IF($B25="","",HYPERLINK(CONCATENATE("http://www.ncbi.nlm.nih.gov/pubmed/",B25)))</f>
        <v>http://www.ncbi.nlm.nih.gov/pubmed/12804127</v>
      </c>
      <c r="E25" s="22" t="str">
        <f>IF($B25="","",IF(LEN(VLOOKUP($B25,Database!$B$1:$IX$10144,4,FALSE))=0,"",VLOOKUP($B25,Database!$B$1:$IX$10144,4,FALSE)))</f>
        <v>MacMillan S</v>
      </c>
      <c r="F25" s="22">
        <f>IF($B25="","",IF(LEN(VLOOKUP($B25,Database!$B$1:$IX$10144,5,FALSE))=0,"",VLOOKUP($B25,Database!$B$1:$IX$10144,5,FALSE)))</f>
        <v>2003</v>
      </c>
      <c r="G25" s="1" t="str">
        <f>IF($B25="","",HYPERLINK(IF(LEN(VLOOKUP($B25,Database!$B$1:$IX$10144,6,FALSE))=0,"",VLOOKUP($B25,Database!$B$1:$IX$10144,6,FALSE))))</f>
        <v>http://www.liebertonline.com/doi/pdf/10.1089/104454603321666207</v>
      </c>
      <c r="H25" s="22">
        <f>IF($B25="","",IF(LEN(VLOOKUP($B25,Database!$B$1:$IX$10144,7,FALSE))=0,"",VLOOKUP($B25,Database!$B$1:$IX$10144,7,FALSE)))</f>
        <v>23</v>
      </c>
      <c r="I25" s="22">
        <f>IF($B25="","",IF(LEN(VLOOKUP($B25,Database!$B$1:$IX$10144,8,FALSE))=0,"",VLOOKUP($B25,Database!$B$1:$IX$10144,8,FALSE)))</f>
        <v>23</v>
      </c>
      <c r="J25" t="s">
        <v>1378</v>
      </c>
      <c r="L25">
        <v>3.15</v>
      </c>
      <c r="M25">
        <v>0.39</v>
      </c>
      <c r="N25">
        <v>3.24</v>
      </c>
      <c r="O25">
        <v>0.44</v>
      </c>
      <c r="P25">
        <v>3.17</v>
      </c>
      <c r="Q25">
        <v>0.52</v>
      </c>
      <c r="R25">
        <v>3.26</v>
      </c>
      <c r="S25">
        <v>0.4</v>
      </c>
      <c r="T25">
        <f>L25+P25</f>
        <v>6.32</v>
      </c>
      <c r="U25">
        <f>2*SQRT(0.25*(M25^2+Q25^2+2*$F$8*M25*Q25))</f>
        <v>0.86428004720692242</v>
      </c>
      <c r="V25">
        <f>N25+R25</f>
        <v>6.5</v>
      </c>
      <c r="W25">
        <f>2*SQRT(0.25*(O25^2+S25^2+2*$F$8*O25*S25))</f>
        <v>0.79699435380685102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v>14</v>
      </c>
      <c r="AC25" s="22" t="str">
        <f>IF(OR($B25="",AC$22=""),"",IF(LEN(VLOOKUP($B25,Database!$B$1:$IX$10144,AC$22,FALSE))=0,"",VLOOKUP($B25,Database!$B$1:$IX$10144,AC$22,FALSE)))</f>
        <v/>
      </c>
      <c r="AD25" s="22" t="str">
        <f>IF(OR($B25="",AD$22=""),"",IF(LEN(VLOOKUP($B25,Database!$B$1:$IX$10144,AD$22,FALSE))=0,"",VLOOKUP($B25,Database!$B$1:$IX$10144,AD$22,FALSE)))</f>
        <v/>
      </c>
      <c r="AE25" s="22" t="str">
        <f>IF(OR($B25="",AE$22=""),"",IF(LEN(VLOOKUP($B25,Database!$B$1:$IX$10144,AE$22,FALSE))=0,"",VLOOKUP($B25,Database!$B$1:$IX$10144,AE$22,FALSE)))</f>
        <v/>
      </c>
      <c r="AF25" s="22">
        <f>IF(OR($B25="",AF$22=""),"",IF(LEN(VLOOKUP($B25,Database!$B$1:$IX$10144,AF$22,FALSE))=0,"",VLOOKUP($B25,Database!$B$1:$IX$10144,AF$22,FALSE)))</f>
        <v>13</v>
      </c>
      <c r="AG25" s="22">
        <f>IF(OR($B25="",AG$22=""),"",IF(LEN(VLOOKUP($B25,Database!$B$1:$IX$10144,AG$22,FALSE))=0,"",VLOOKUP($B25,Database!$B$1:$IX$10144,AG$22,FALSE)))</f>
        <v>13</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11.84</v>
      </c>
      <c r="AL25" s="22" t="str">
        <f>IF(OR($B25="",AL$22=""),"",IF(LEN(VLOOKUP($B25,Database!$B$1:$IX$10144,AL$22,FALSE))=0,"",VLOOKUP($B25,Database!$B$1:$IX$10144,AL$22,FALSE)))</f>
        <v>ns</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MacMillan S, Szeszko PR, Moore GJ, Madden R, Lorch E, Ivey J, Banerjee SP, Rosenberg DR.</v>
      </c>
    </row>
    <row r="26" spans="1:43">
      <c r="A26" t="s">
        <v>2191</v>
      </c>
      <c r="B26">
        <v>14969587</v>
      </c>
      <c r="C26" s="1" t="str">
        <f>IF($B26="","",HYPERLINK(IF(LEN(VLOOKUP($B26,Database!$B$1:$IX$10144,2,FALSE))=0,"",VLOOKUP($B26,Database!$B$1:$IX$10144,2,FALSE))))</f>
        <v/>
      </c>
      <c r="D26" s="1" t="str">
        <f>IF($B26="","",HYPERLINK(CONCATENATE("http://www.ncbi.nlm.nih.gov/pubmed/",B26)))</f>
        <v>http://www.ncbi.nlm.nih.gov/pubmed/14969587</v>
      </c>
      <c r="E26" s="22" t="str">
        <f>IF($B26="","",IF(LEN(VLOOKUP($B26,Database!$B$1:$IX$10144,4,FALSE))=0,"",VLOOKUP($B26,Database!$B$1:$IX$10144,4,FALSE)))</f>
        <v>MacMaster FP (A)</v>
      </c>
      <c r="F26" s="22">
        <f>IF($B26="","",IF(LEN(VLOOKUP($B26,Database!$B$1:$IX$10144,5,FALSE))=0,"",VLOOKUP($B26,Database!$B$1:$IX$10144,5,FALSE)))</f>
        <v>2004</v>
      </c>
      <c r="G26" s="1" t="str">
        <f>IF($B26="","",HYPERLINK(IF(LEN(VLOOKUP($B26,Database!$B$1:$IX$10144,6,FALSE))=0,"",VLOOKUP($B26,Database!$B$1:$IX$10144,6,FALSE))))</f>
        <v>http://www.biomedcentral.com/content/pdf/1741-7015-2-2.pdf</v>
      </c>
      <c r="H26" s="22">
        <f>IF($B26="","",IF(LEN(VLOOKUP($B26,Database!$B$1:$IX$10144,7,FALSE))=0,"",VLOOKUP($B26,Database!$B$1:$IX$10144,7,FALSE)))</f>
        <v>17</v>
      </c>
      <c r="I26" s="22">
        <f>IF($B26="","",IF(LEN(VLOOKUP($B26,Database!$B$1:$IX$10144,8,FALSE))=0,"",VLOOKUP($B26,Database!$B$1:$IX$10144,8,FALSE)))</f>
        <v>17</v>
      </c>
      <c r="J26" t="s">
        <v>1378</v>
      </c>
      <c r="L26">
        <v>2.5299999999999998</v>
      </c>
      <c r="M26">
        <v>0.371</v>
      </c>
      <c r="N26">
        <v>3.05</v>
      </c>
      <c r="O26">
        <v>0.45400000000000001</v>
      </c>
      <c r="P26">
        <v>2.54</v>
      </c>
      <c r="Q26">
        <v>0.495</v>
      </c>
      <c r="R26">
        <v>2.88</v>
      </c>
      <c r="S26">
        <v>0.45400000000000001</v>
      </c>
      <c r="T26">
        <f>L26+P26</f>
        <v>5.07</v>
      </c>
      <c r="U26">
        <f>2*SQRT(0.25*(M26^2+Q26^2+2*$F$8*M26*Q26))</f>
        <v>0.82249498478714134</v>
      </c>
      <c r="V26">
        <f>N26+R26</f>
        <v>5.93</v>
      </c>
      <c r="W26">
        <f>2*SQRT(0.25*(O26^2+S26^2+2*$F$8*O26*S26))</f>
        <v>0.8614044346298666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16.670000000000002</v>
      </c>
      <c r="AC26" s="22">
        <f>IF(OR($B26="",AC$22=""),"",IF(LEN(VLOOKUP($B26,Database!$B$1:$IX$10144,AC$22,FALSE))=0,"",VLOOKUP($B26,Database!$B$1:$IX$10144,AC$22,FALSE)))</f>
        <v>1.83</v>
      </c>
      <c r="AD26" s="22">
        <f>IF(OR($B26="",AD$22=""),"",IF(LEN(VLOOKUP($B26,Database!$B$1:$IX$10144,AD$22,FALSE))=0,"",VLOOKUP($B26,Database!$B$1:$IX$10144,AD$22,FALSE)))</f>
        <v>16.23</v>
      </c>
      <c r="AE26" s="22">
        <f>IF(OR($B26="",AE$22=""),"",IF(LEN(VLOOKUP($B26,Database!$B$1:$IX$10144,AE$22,FALSE))=0,"",VLOOKUP($B26,Database!$B$1:$IX$10144,AE$22,FALSE)))</f>
        <v>1.61</v>
      </c>
      <c r="AF26" s="22">
        <f>IF(OR($B26="",AF$22=""),"",IF(LEN(VLOOKUP($B26,Database!$B$1:$IX$10144,AF$22,FALSE))=0,"",VLOOKUP($B26,Database!$B$1:$IX$10144,AF$22,FALSE)))</f>
        <v>9</v>
      </c>
      <c r="AG26" s="22">
        <f>IF(OR($B26="",AG$22=""),"",IF(LEN(VLOOKUP($B26,Database!$B$1:$IX$10144,AG$22,FALSE))=0,"",VLOOKUP($B26,Database!$B$1:$IX$10144,AG$22,FALSE)))</f>
        <v>9</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14.06</v>
      </c>
      <c r="AL26" s="22" t="str">
        <f>IF(OR($B26="",AL$22=""),"",IF(LEN(VLOOKUP($B26,Database!$B$1:$IX$10144,AL$22,FALSE))=0,"",VLOOKUP($B26,Database!$B$1:$IX$10144,AL$22,FALSE)))</f>
        <v>ns</v>
      </c>
      <c r="AM26" s="22">
        <f>IF(OR($B26="",AM$22=""),"",IF(LEN(VLOOKUP($B26,Database!$B$1:$IX$10144,AM$22,FALSE))=0,"",VLOOKUP($B26,Database!$B$1:$IX$10144,AM$22,FALSE)))</f>
        <v>5.8823529411764701</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82.35294117647058</v>
      </c>
      <c r="AQ26" s="22" t="str">
        <f>IF(OR($B26="",AQ$22=""),"",IF(LEN(VLOOKUP($B26,Database!$B$1:$IX$10144,AQ$22,FALSE))=0,"",VLOOKUP($B26,Database!$B$1:$IX$10144,AQ$22,FALSE)))</f>
        <v>MacMaster FP, Kusumakar V.</v>
      </c>
    </row>
    <row r="27" spans="1:43">
      <c r="B27">
        <v>17949901</v>
      </c>
      <c r="C27" s="1" t="str">
        <f>IF($B27="","",HYPERLINK(IF(LEN(VLOOKUP($B27,Database!$B$1:$IX$10144,2,FALSE))=0,"",VLOOKUP($B27,Database!$B$1:$IX$10144,2,FALSE))))</f>
        <v/>
      </c>
      <c r="D27" s="1" t="str">
        <f>IF($B27="","",HYPERLINK(CONCATENATE("http://www.ncbi.nlm.nih.gov/pubmed/",B27)))</f>
        <v>http://www.ncbi.nlm.nih.gov/pubmed/17949901</v>
      </c>
      <c r="E27" s="22" t="str">
        <f>IF($B27="","",IF(LEN(VLOOKUP($B27,Database!$B$1:$IX$10144,4,FALSE))=0,"",VLOOKUP($B27,Database!$B$1:$IX$10144,4,FALSE)))</f>
        <v>Caetano SC</v>
      </c>
      <c r="F27" s="22">
        <f>IF($B27="","",IF(LEN(VLOOKUP($B27,Database!$B$1:$IX$10144,5,FALSE))=0,"",VLOOKUP($B27,Database!$B$1:$IX$10144,5,FALSE)))</f>
        <v>2007</v>
      </c>
      <c r="G27" s="1" t="str">
        <f>IF($B27="","",HYPERLINK(IF(LEN(VLOOKUP($B27,Database!$B$1:$IX$10144,6,FALSE))=0,"",VLOOKUP($B27,Database!$B$1:$IX$10144,6,FALSE))))</f>
        <v>http://dx.doi.org/10.1016/j.neulet.2007.06.014</v>
      </c>
      <c r="H27" s="22">
        <f>IF($B27="","",IF(LEN(VLOOKUP($B27,Database!$B$1:$IX$10144,7,FALSE))=0,"",VLOOKUP($B27,Database!$B$1:$IX$10144,7,FALSE)))</f>
        <v>19</v>
      </c>
      <c r="I27" s="22">
        <f>IF($B27="","",IF(LEN(VLOOKUP($B27,Database!$B$1:$IX$10144,8,FALSE))=0,"",VLOOKUP($B27,Database!$B$1:$IX$10144,8,FALSE)))</f>
        <v>24</v>
      </c>
      <c r="J27" t="s">
        <v>1378</v>
      </c>
      <c r="L27">
        <v>1.89</v>
      </c>
      <c r="M27">
        <v>0.16</v>
      </c>
      <c r="N27">
        <v>1.99</v>
      </c>
      <c r="O27">
        <v>0.18</v>
      </c>
      <c r="P27">
        <v>1.97</v>
      </c>
      <c r="Q27">
        <v>0.19</v>
      </c>
      <c r="R27">
        <v>2.04</v>
      </c>
      <c r="S27">
        <v>0.26</v>
      </c>
      <c r="T27">
        <f>L27+P27</f>
        <v>3.86</v>
      </c>
      <c r="U27">
        <f>2*SQRT(0.25*(M27^2+Q27^2+2*$F$8*M27*Q27))</f>
        <v>0.33217465285599385</v>
      </c>
      <c r="V27">
        <f>N27+R27</f>
        <v>4.03</v>
      </c>
      <c r="W27">
        <f>2*SQRT(0.25*(O27^2+S27^2+2*$F$8*O27*S27))</f>
        <v>0.41818656123792408</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13</v>
      </c>
      <c r="AC27" s="22">
        <f>IF(OR($B27="",AC$22=""),"",IF(LEN(VLOOKUP($B27,Database!$B$1:$IX$10144,AC$22,FALSE))=0,"",VLOOKUP($B27,Database!$B$1:$IX$10144,AC$22,FALSE)))</f>
        <v>2.4</v>
      </c>
      <c r="AD27" s="22">
        <f>IF(OR($B27="",AD$22=""),"",IF(LEN(VLOOKUP($B27,Database!$B$1:$IX$10144,AD$22,FALSE))=0,"",VLOOKUP($B27,Database!$B$1:$IX$10144,AD$22,FALSE)))</f>
        <v>13.9</v>
      </c>
      <c r="AE27" s="22">
        <f>IF(OR($B27="",AE$22=""),"",IF(LEN(VLOOKUP($B27,Database!$B$1:$IX$10144,AE$22,FALSE))=0,"",VLOOKUP($B27,Database!$B$1:$IX$10144,AE$22,FALSE)))</f>
        <v>2.9</v>
      </c>
      <c r="AF27" s="22">
        <f>IF(OR($B27="",AF$22=""),"",IF(LEN(VLOOKUP($B27,Database!$B$1:$IX$10144,AF$22,FALSE))=0,"",VLOOKUP($B27,Database!$B$1:$IX$10144,AF$22,FALSE)))</f>
        <v>6</v>
      </c>
      <c r="AG27" s="22">
        <f>IF(OR($B27="",AG$22=""),"",IF(LEN(VLOOKUP($B27,Database!$B$1:$IX$10144,AG$22,FALSE))=0,"",VLOOKUP($B27,Database!$B$1:$IX$10144,AG$22,FALSE)))</f>
        <v>11</v>
      </c>
      <c r="AH27" s="22">
        <f>IF(OR($B27="",AH$22=""),"",IF(LEN(VLOOKUP($B27,Database!$B$1:$IX$10144,AH$22,FALSE))=0,"",VLOOKUP($B27,Database!$B$1:$IX$10144,AH$22,FALSE)))</f>
        <v>1.5</v>
      </c>
      <c r="AI27" s="22">
        <f>IF(OR($B27="",AI$22=""),"",IF(LEN(VLOOKUP($B27,Database!$B$1:$IX$10144,AI$22,FALSE))=0,"",VLOOKUP($B27,Database!$B$1:$IX$10144,AI$22,FALSE)))</f>
        <v>1</v>
      </c>
      <c r="AJ27" s="22" t="str">
        <f>IF(OR($B27="",AJ$22=""),"",IF(LEN(VLOOKUP($B27,Database!$B$1:$IX$10144,AJ$22,FALSE))=0,"",VLOOKUP($B27,Database!$B$1:$IX$10144,AJ$22,FALSE)))</f>
        <v/>
      </c>
      <c r="AK27" s="22">
        <f>IF(OR($B27="",AK$22=""),"",IF(LEN(VLOOKUP($B27,Database!$B$1:$IX$10144,AK$22,FALSE))=0,"",VLOOKUP($B27,Database!$B$1:$IX$10144,AK$22,FALSE)))</f>
        <v>10.3</v>
      </c>
      <c r="AL27" s="22" t="str">
        <f>IF(OR($B27="",AL$22=""),"",IF(LEN(VLOOKUP($B27,Database!$B$1:$IX$10144,AL$22,FALSE))=0,"",VLOOKUP($B27,Database!$B$1:$IX$10144,AL$22,FALSE)))</f>
        <v>ns</v>
      </c>
      <c r="AM27" s="22">
        <f>IF(OR($B27="",AM$22=""),"",IF(LEN(VLOOKUP($B27,Database!$B$1:$IX$10144,AM$22,FALSE))=0,"",VLOOKUP($B27,Database!$B$1:$IX$10144,AM$22,FALSE)))</f>
        <v>47.368421052631575</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52.631578947368418</v>
      </c>
      <c r="AQ27" s="22" t="str">
        <f>IF(OR($B27="",AQ$22=""),"",IF(LEN(VLOOKUP($B27,Database!$B$1:$IX$10144,AQ$22,FALSE))=0,"",VLOOKUP($B27,Database!$B$1:$IX$10144,AQ$22,FALSE)))</f>
        <v>Caetano SC, Fonseca M, Hatch JP, Olvera RL, Nicoletti M, Hunter K, Lafer B, Pliszka SR, Soares JC.</v>
      </c>
    </row>
    <row r="28" spans="1:43">
      <c r="A28" t="s">
        <v>2112</v>
      </c>
      <c r="B28">
        <v>17640621</v>
      </c>
      <c r="C28" s="1" t="str">
        <f>IF($B28="","",HYPERLINK(IF(LEN(VLOOKUP($B28,Database!$B$1:$IX$10144,2,FALSE))=0,"",VLOOKUP($B28,Database!$B$1:$IX$10144,2,FALSE))))</f>
        <v/>
      </c>
      <c r="D28" s="1" t="str">
        <f>IF($B28="","",HYPERLINK(CONCATENATE("http://www.ncbi.nlm.nih.gov/pubmed/",B28)))</f>
        <v>http://www.ncbi.nlm.nih.gov/pubmed/17640621</v>
      </c>
      <c r="E28" s="22" t="str">
        <f>IF($B28="","",IF(LEN(VLOOKUP($B28,Database!$B$1:$IX$10144,4,FALSE))=0,"",VLOOKUP($B28,Database!$B$1:$IX$10144,4,FALSE)))</f>
        <v>MacMaster FP (B)</v>
      </c>
      <c r="F28" s="22">
        <f>IF($B28="","",IF(LEN(VLOOKUP($B28,Database!$B$1:$IX$10144,5,FALSE))=0,"",VLOOKUP($B28,Database!$B$1:$IX$10144,5,FALSE)))</f>
        <v>2008</v>
      </c>
      <c r="G28" s="1" t="str">
        <f>IF($B28="","",HYPERLINK(IF(LEN(VLOOKUP($B28,Database!$B$1:$IX$10144,6,FALSE))=0,"",VLOOKUP($B28,Database!$B$1:$IX$10144,6,FALSE))))</f>
        <v>http://dx.doi.org/10.1016/j.biopsych.2007.05.005</v>
      </c>
      <c r="H28" s="83">
        <v>16</v>
      </c>
      <c r="I28" s="83">
        <v>17</v>
      </c>
      <c r="J28" t="s">
        <v>877</v>
      </c>
      <c r="K28" t="s">
        <v>634</v>
      </c>
      <c r="L28">
        <v>2.76</v>
      </c>
      <c r="M28">
        <v>0.27</v>
      </c>
      <c r="N28">
        <v>3.06</v>
      </c>
      <c r="O28">
        <v>0.49</v>
      </c>
      <c r="P28">
        <v>2.84</v>
      </c>
      <c r="Q28">
        <v>0.46</v>
      </c>
      <c r="R28">
        <v>2.99</v>
      </c>
      <c r="S28">
        <v>0.27</v>
      </c>
      <c r="T28">
        <f>L28+P28</f>
        <v>5.6</v>
      </c>
      <c r="U28">
        <f>2*SQRT(0.25*(M28^2+Q28^2+2*$F$8*M28*Q28))</f>
        <v>0.69514027361389452</v>
      </c>
      <c r="V28">
        <f>N28+R28</f>
        <v>6.0500000000000007</v>
      </c>
      <c r="W28">
        <f>2*SQRT(0.25*(O28^2+S28^2+2*$F$8*O28*S28))</f>
        <v>0.72434798267131251</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14.08</v>
      </c>
      <c r="AC28" s="22">
        <f>IF(OR($B28="",AC$22=""),"",IF(LEN(VLOOKUP($B28,Database!$B$1:$IX$10144,AC$22,FALSE))=0,"",VLOOKUP($B28,Database!$B$1:$IX$10144,AC$22,FALSE)))</f>
        <v>2.88</v>
      </c>
      <c r="AD28" s="22">
        <f>IF(OR($B28="",AD$22=""),"",IF(LEN(VLOOKUP($B28,Database!$B$1:$IX$10144,AD$22,FALSE))=0,"",VLOOKUP($B28,Database!$B$1:$IX$10144,AD$22,FALSE)))</f>
        <v>14.51</v>
      </c>
      <c r="AE28" s="22">
        <f>IF(OR($B28="",AE$22=""),"",IF(LEN(VLOOKUP($B28,Database!$B$1:$IX$10144,AE$22,FALSE))=0,"",VLOOKUP($B28,Database!$B$1:$IX$10144,AE$22,FALSE)))</f>
        <v>2.72</v>
      </c>
      <c r="AF28" s="22">
        <f>IF(OR($B28="",AF$22=""),"",IF(LEN(VLOOKUP($B28,Database!$B$1:$IX$10144,AF$22,FALSE))=0,"",VLOOKUP($B28,Database!$B$1:$IX$10144,AF$22,FALSE)))</f>
        <v>20</v>
      </c>
      <c r="AG28" s="22">
        <f>IF(OR($B28="",AG$22=""),"",IF(LEN(VLOOKUP($B28,Database!$B$1:$IX$10144,AG$22,FALSE))=0,"",VLOOKUP($B28,Database!$B$1:$IX$10144,AG$22,FALSE)))</f>
        <v>22</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11.77</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MacMaster FP, Mirza Y, Szeszko PR, Kmiecik LE, Easter PC, Taormina SP, Lynch M, Rose M, Moore GJ, Rosenberg DR.</v>
      </c>
    </row>
    <row r="29" spans="1:43">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t="str">
        <f>IF(OR($B29="",AP$22=""),"",IF(LEN(VLOOKUP($B29,Database!$B$1:$IX$10144,AP$22,FALSE))=0,"",VLOOKUP($B29,Database!$B$1:$IX$10144,AP$22,FALSE)))</f>
        <v/>
      </c>
      <c r="AQ29" s="22" t="str">
        <f>IF(OR($B29="",AQ$22=""),"",IF(LEN(VLOOKUP($B29,Database!$B$1:$IX$10144,AQ$22,FALSE))=0,"",VLOOKUP($B29,Database!$B$1:$IX$10144,AQ$22,FALSE)))</f>
        <v/>
      </c>
    </row>
    <row r="30" spans="1:43">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t="str">
        <f>IF(OR($B30="",AP$22=""),"",IF(LEN(VLOOKUP($B30,Database!$B$1:$IX$10144,AP$22,FALSE))=0,"",VLOOKUP($B30,Database!$B$1:$IX$10144,AP$22,FALSE)))</f>
        <v/>
      </c>
      <c r="AQ30" s="22" t="str">
        <f>IF(OR($B30="",AQ$22=""),"",IF(LEN(VLOOKUP($B30,Database!$B$1:$IX$10144,AQ$22,FALSE))=0,"",VLOOKUP($B30,Database!$B$1:$IX$10144,AQ$22,FALSE)))</f>
        <v/>
      </c>
    </row>
    <row r="31" spans="1:43">
      <c r="A31" s="4" t="s">
        <v>350</v>
      </c>
      <c r="C31" s="1"/>
      <c r="D31" s="1" t="str">
        <f t="shared" ref="D31:D38" si="0">IF($B31="","",HYPERLINK(CONCATENATE("http://www.ncbi.nlm.nih.gov/pubmed/",B31)))</f>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X31" s="96"/>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43">
      <c r="A32" s="10" t="s">
        <v>2323</v>
      </c>
      <c r="B32">
        <v>10366636</v>
      </c>
      <c r="C32" s="1" t="str">
        <f>IF($B32="","",HYPERLINK(IF(LEN(VLOOKUP($B32,Database!$B$1:$IX$10144,2,FALSE))=0,"",VLOOKUP($B32,Database!$B$1:$IX$10144,2,FALSE))))</f>
        <v/>
      </c>
      <c r="D32" s="1" t="str">
        <f t="shared" si="0"/>
        <v>http://www.ncbi.nlm.nih.gov/pubmed/10366636</v>
      </c>
      <c r="E32" s="22" t="str">
        <f>IF($B32="","",IF(LEN(VLOOKUP($B32,Database!$B$1:$IX$10144,4,FALSE))=0,"",VLOOKUP($B32,Database!$B$1:$IX$10144,4,FALSE)))</f>
        <v>Sheline YI</v>
      </c>
      <c r="F32" s="22">
        <f>IF($B32="","",IF(LEN(VLOOKUP($B32,Database!$B$1:$IX$10144,5,FALSE))=0,"",VLOOKUP($B32,Database!$B$1:$IX$10144,5,FALSE)))</f>
        <v>1999</v>
      </c>
      <c r="G32" s="1" t="str">
        <f>IF($B32="","",HYPERLINK(IF(LEN(VLOOKUP($B32,Database!$B$1:$IX$10144,6,FALSE))=0,"",VLOOKUP($B32,Database!$B$1:$IX$10144,6,FALSE))))</f>
        <v>http://ajp.psychiatryonline.org/cgi/reprint/156/12/1989</v>
      </c>
      <c r="H32" s="22">
        <f>IF($B32="","",IF(LEN(VLOOKUP($B32,Database!$B$1:$IX$10144,7,FALSE))=0,"",VLOOKUP($B32,Database!$B$1:$IX$10144,7,FALSE)))</f>
        <v>24</v>
      </c>
      <c r="I32" s="22">
        <f>IF($B32="","",IF(LEN(VLOOKUP($B32,Database!$B$1:$IX$10144,8,FALSE))=0,"",VLOOKUP($B32,Database!$B$1:$IX$10144,8,FALSE)))</f>
        <v>24</v>
      </c>
      <c r="J32" t="s">
        <v>939</v>
      </c>
      <c r="L32">
        <v>2230</v>
      </c>
      <c r="M32">
        <v>323</v>
      </c>
      <c r="N32">
        <v>2482</v>
      </c>
      <c r="O32">
        <v>305</v>
      </c>
      <c r="P32">
        <v>2264</v>
      </c>
      <c r="Q32">
        <v>320</v>
      </c>
      <c r="R32">
        <v>2468</v>
      </c>
      <c r="S32">
        <v>309</v>
      </c>
      <c r="T32">
        <v>4496</v>
      </c>
      <c r="U32">
        <v>602</v>
      </c>
      <c r="V32">
        <v>4951</v>
      </c>
      <c r="W32">
        <v>601</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c r="AC32" s="22"/>
      <c r="AD32" s="22">
        <f>IF(OR($B32="",AD$22=""),"",IF(LEN(VLOOKUP($B32,Database!$B$1:$IX$10144,AD$22,FALSE))=0,"",VLOOKUP($B32,Database!$B$1:$IX$10144,AD$22,FALSE)))</f>
        <v>52.8</v>
      </c>
      <c r="AE32" s="22">
        <f>IF(OR($B32="",AE$22=""),"",IF(LEN(VLOOKUP($B32,Database!$B$1:$IX$10144,AE$22,FALSE))=0,"",VLOOKUP($B32,Database!$B$1:$IX$10144,AE$22,FALSE)))</f>
        <v>17.8</v>
      </c>
      <c r="AF32" s="22">
        <f>IF(OR($B32="",AF$22=""),"",IF(LEN(VLOOKUP($B32,Database!$B$1:$IX$10144,AF$22,FALSE))=0,"",VLOOKUP($B32,Database!$B$1:$IX$10144,AF$22,FALSE)))</f>
        <v>24</v>
      </c>
      <c r="AG32" s="22">
        <f>IF(OR($B32="",AG$22=""),"",IF(LEN(VLOOKUP($B32,Database!$B$1:$IX$10144,AG$22,FALSE))=0,"",VLOOKUP($B32,Database!$B$1:$IX$10144,AG$22,FALSE)))</f>
        <v>24</v>
      </c>
      <c r="AH32" s="22">
        <f>IF(OR($B32="",AH$22=""),"",IF(LEN(VLOOKUP($B32,Database!$B$1:$IX$10144,AH$22,FALSE))=0,"",VLOOKUP($B32,Database!$B$1:$IX$10144,AH$22,FALSE)))</f>
        <v>1.5</v>
      </c>
      <c r="AI32" s="22">
        <f>IF(OR($B32="",AI$22=""),"",IF(LEN(VLOOKUP($B32,Database!$B$1:$IX$10144,AI$22,FALSE))=0,"",VLOOKUP($B32,Database!$B$1:$IX$10144,AI$22,FALSE)))</f>
        <v>1.25</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f>IF(OR($B32="",AM$22=""),"",IF(LEN(VLOOKUP($B32,Database!$B$1:$IX$10144,AM$22,FALSE))=0,"",VLOOKUP($B32,Database!$B$1:$IX$10144,AM$22,FALSE)))</f>
        <v>66.666666666666657</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Sheline YI, Sanghavi M, Mintun MA, Gado MH.</v>
      </c>
    </row>
    <row r="33" spans="1:43">
      <c r="A33" s="7" t="s">
        <v>29</v>
      </c>
      <c r="B33">
        <v>10618023</v>
      </c>
      <c r="C33" s="1" t="str">
        <f>IF($B33="","",HYPERLINK(IF(LEN(VLOOKUP($B33,Database!$B$1:$IX$10144,2,FALSE))=0,"",VLOOKUP($B33,Database!$B$1:$IX$10144,2,FALSE))))</f>
        <v/>
      </c>
      <c r="D33" s="1" t="str">
        <f t="shared" si="0"/>
        <v>http://www.ncbi.nlm.nih.gov/pubmed/10618023</v>
      </c>
      <c r="E33" s="22" t="str">
        <f>IF($B33="","",IF(LEN(VLOOKUP($B33,Database!$B$1:$IX$10144,4,FALSE))=0,"",VLOOKUP($B33,Database!$B$1:$IX$10144,4,FALSE)))</f>
        <v>Bremner JD</v>
      </c>
      <c r="F33" s="22">
        <f>IF($B33="","",IF(LEN(VLOOKUP($B33,Database!$B$1:$IX$10144,5,FALSE))=0,"",VLOOKUP($B33,Database!$B$1:$IX$10144,5,FALSE)))</f>
        <v>2000</v>
      </c>
      <c r="G33" s="1" t="str">
        <f>IF($B33="","",HYPERLINK(IF(LEN(VLOOKUP($B33,Database!$B$1:$IX$10144,6,FALSE))=0,"",VLOOKUP($B33,Database!$B$1:$IX$10144,6,FALSE))))</f>
        <v>http://ajp.psychiatryonline.org/cgi/reprint/157/1/115</v>
      </c>
      <c r="H33" s="22">
        <f>IF($B33="","",IF(LEN(VLOOKUP($B33,Database!$B$1:$IX$10144,7,FALSE))=0,"",VLOOKUP($B33,Database!$B$1:$IX$10144,7,FALSE)))</f>
        <v>16</v>
      </c>
      <c r="I33" s="22">
        <f>IF($B33="","",IF(LEN(VLOOKUP($B33,Database!$B$1:$IX$10144,8,FALSE))=0,"",VLOOKUP($B33,Database!$B$1:$IX$10144,8,FALSE)))</f>
        <v>16</v>
      </c>
      <c r="X33" s="96"/>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43</v>
      </c>
      <c r="AC33" s="22">
        <f>IF(OR($B33="",AC$22=""),"",IF(LEN(VLOOKUP($B33,Database!$B$1:$IX$10144,AC$22,FALSE))=0,"",VLOOKUP($B33,Database!$B$1:$IX$10144,AC$22,FALSE)))</f>
        <v>8</v>
      </c>
      <c r="AD33" s="22">
        <f>IF(OR($B33="",AD$22=""),"",IF(LEN(VLOOKUP($B33,Database!$B$1:$IX$10144,AD$22,FALSE))=0,"",VLOOKUP($B33,Database!$B$1:$IX$10144,AD$22,FALSE)))</f>
        <v>45</v>
      </c>
      <c r="AE33" s="22">
        <f>IF(OR($B33="",AE$22=""),"",IF(LEN(VLOOKUP($B33,Database!$B$1:$IX$10144,AE$22,FALSE))=0,"",VLOOKUP($B33,Database!$B$1:$IX$10144,AE$22,FALSE)))</f>
        <v>10</v>
      </c>
      <c r="AF33" s="22">
        <f>IF(OR($B33="",AF$22=""),"",IF(LEN(VLOOKUP($B33,Database!$B$1:$IX$10144,AF$22,FALSE))=0,"",VLOOKUP($B33,Database!$B$1:$IX$10144,AF$22,FALSE)))</f>
        <v>6</v>
      </c>
      <c r="AG33" s="22">
        <f>IF(OR($B33="",AG$22=""),"",IF(LEN(VLOOKUP($B33,Database!$B$1:$IX$10144,AG$22,FALSE))=0,"",VLOOKUP($B33,Database!$B$1:$IX$10144,AG$22,FALSE)))</f>
        <v>6</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f>IF(OR($B33="",AM$22=""),"",IF(LEN(VLOOKUP($B33,Database!$B$1:$IX$10144,AM$22,FALSE))=0,"",VLOOKUP($B33,Database!$B$1:$IX$10144,AM$22,FALSE)))</f>
        <v>100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0</v>
      </c>
      <c r="AQ33" s="22" t="str">
        <f>IF(OR($B33="",AQ$22=""),"",IF(LEN(VLOOKUP($B33,Database!$B$1:$IX$10144,AQ$22,FALSE))=0,"",VLOOKUP($B33,Database!$B$1:$IX$10144,AQ$22,FALSE)))</f>
        <v>Bremner JD, Narayan M, Anderson ER, Staib LH, Miller HL, Charney DS.</v>
      </c>
    </row>
    <row r="34" spans="1:43">
      <c r="A34" s="10" t="s">
        <v>2015</v>
      </c>
      <c r="B34">
        <v>16930719</v>
      </c>
      <c r="C34" s="1" t="str">
        <f>IF($B34="","",HYPERLINK(IF(LEN(VLOOKUP($B34,Database!$B$1:$IX$10144,2,FALSE))=0,"",VLOOKUP($B34,Database!$B$1:$IX$10144,2,FALSE))))</f>
        <v/>
      </c>
      <c r="D34" s="1" t="str">
        <f t="shared" si="0"/>
        <v>http://www.ncbi.nlm.nih.gov/pubmed/16930719</v>
      </c>
      <c r="E34" s="22" t="str">
        <f>IF($B34="","",IF(LEN(VLOOKUP($B34,Database!$B$1:$IX$10144,4,FALSE))=0,"",VLOOKUP($B34,Database!$B$1:$IX$10144,4,FALSE)))</f>
        <v>Hickie IB (A)</v>
      </c>
      <c r="F34" s="22">
        <f>IF($B34="","",IF(LEN(VLOOKUP($B34,Database!$B$1:$IX$10144,5,FALSE))=0,"",VLOOKUP($B34,Database!$B$1:$IX$10144,5,FALSE)))</f>
        <v>2007</v>
      </c>
      <c r="G34" s="1" t="str">
        <f>IF($B34="","",HYPERLINK(IF(LEN(VLOOKUP($B34,Database!$B$1:$IX$10144,6,FALSE))=0,"",VLOOKUP($B34,Database!$B$1:$IX$10144,6,FALSE))))</f>
        <v>http://dx.doi.org/10.1016/j.jad.2006.07.010</v>
      </c>
      <c r="H34" s="22">
        <f>IF($B34="","",IF(LEN(VLOOKUP($B34,Database!$B$1:$IX$10144,7,FALSE))=0,"",VLOOKUP($B34,Database!$B$1:$IX$10144,7,FALSE)))</f>
        <v>45</v>
      </c>
      <c r="I34" s="22">
        <f>IF($B34="","",IF(LEN(VLOOKUP($B34,Database!$B$1:$IX$10144,8,FALSE))=0,"",VLOOKUP($B34,Database!$B$1:$IX$10144,8,FALSE)))</f>
        <v>16</v>
      </c>
      <c r="J34" t="s">
        <v>1224</v>
      </c>
      <c r="T34">
        <v>5.9</v>
      </c>
      <c r="U34">
        <v>0.7</v>
      </c>
      <c r="V34">
        <v>6.4</v>
      </c>
      <c r="W34">
        <v>0.7</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52</v>
      </c>
      <c r="AC34" s="22">
        <f>IF(OR($B34="",AC$22=""),"",IF(LEN(VLOOKUP($B34,Database!$B$1:$IX$10144,AC$22,FALSE))=0,"",VLOOKUP($B34,Database!$B$1:$IX$10144,AC$22,FALSE)))</f>
        <v>12.8</v>
      </c>
      <c r="AD34" s="22">
        <f>IF(OR($B34="",AD$22=""),"",IF(LEN(VLOOKUP($B34,Database!$B$1:$IX$10144,AD$22,FALSE))=0,"",VLOOKUP($B34,Database!$B$1:$IX$10144,AD$22,FALSE)))</f>
        <v>55.8</v>
      </c>
      <c r="AE34" s="22">
        <f>IF(OR($B34="",AE$22=""),"",IF(LEN(VLOOKUP($B34,Database!$B$1:$IX$10144,AE$22,FALSE))=0,"",VLOOKUP($B34,Database!$B$1:$IX$10144,AE$22,FALSE)))</f>
        <v>10.3</v>
      </c>
      <c r="AF34" s="22">
        <f>IF(OR($B34="",AF$22=""),"",IF(LEN(VLOOKUP($B34,Database!$B$1:$IX$10144,AF$22,FALSE))=0,"",VLOOKUP($B34,Database!$B$1:$IX$10144,AF$22,FALSE)))</f>
        <v>30</v>
      </c>
      <c r="AG34" s="22">
        <f>IF(OR($B34="",AG$22=""),"",IF(LEN(VLOOKUP($B34,Database!$B$1:$IX$10144,AG$22,FALSE))=0,"",VLOOKUP($B34,Database!$B$1:$IX$10144,AG$22,FALSE)))</f>
        <v>9</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36.1</v>
      </c>
      <c r="AL34" s="22">
        <f>IF(OR($B34="",AL$22=""),"",IF(LEN(VLOOKUP($B34,Database!$B$1:$IX$10144,AL$22,FALSE))=0,"",VLOOKUP($B34,Database!$B$1:$IX$10144,AL$22,FALSE)))</f>
        <v>26.8</v>
      </c>
      <c r="AM34" s="22">
        <f>IF(OR($B34="",AM$22=""),"",IF(LEN(VLOOKUP($B34,Database!$B$1:$IX$10144,AM$22,FALSE))=0,"",VLOOKUP($B34,Database!$B$1:$IX$10144,AM$22,FALSE)))</f>
        <v>64.444444444444443</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Hickie IB, Naismith SL, Ward PB, Scott EM, Mitchell PB, Schofield PR, Scimone A, Wilhelm K, Parker G.</v>
      </c>
    </row>
    <row r="35" spans="1:43">
      <c r="A35" s="10" t="s">
        <v>2016</v>
      </c>
      <c r="B35">
        <v>17210630</v>
      </c>
      <c r="C35" s="1" t="str">
        <f>IF($B35="","",HYPERLINK(IF(LEN(VLOOKUP($B35,Database!$B$1:$IX$10144,2,FALSE))=0,"",VLOOKUP($B35,Database!$B$1:$IX$10144,2,FALSE))))</f>
        <v/>
      </c>
      <c r="D35" s="1" t="str">
        <f t="shared" si="0"/>
        <v>http://www.ncbi.nlm.nih.gov/pubmed/17210630</v>
      </c>
      <c r="E35" s="22" t="str">
        <f>IF($B35="","",IF(LEN(VLOOKUP($B35,Database!$B$1:$IX$10144,4,FALSE))=0,"",VLOOKUP($B35,Database!$B$1:$IX$10144,4,FALSE)))</f>
        <v>Janssen J</v>
      </c>
      <c r="F35" s="22">
        <f>IF($B35="","",IF(LEN(VLOOKUP($B35,Database!$B$1:$IX$10144,5,FALSE))=0,"",VLOOKUP($B35,Database!$B$1:$IX$10144,5,FALSE)))</f>
        <v>2007</v>
      </c>
      <c r="G35" s="1" t="str">
        <f>IF($B35="","",HYPERLINK(IF(LEN(VLOOKUP($B35,Database!$B$1:$IX$10144,6,FALSE))=0,"",VLOOKUP($B35,Database!$B$1:$IX$10144,6,FALSE))))</f>
        <v>http://jnnp.bmj.com/cgi/reprint/78/6/638</v>
      </c>
      <c r="H35" s="83">
        <v>13</v>
      </c>
      <c r="I35" s="83">
        <v>11</v>
      </c>
      <c r="J35" t="s">
        <v>877</v>
      </c>
      <c r="K35" t="s">
        <v>1225</v>
      </c>
      <c r="M35" s="10"/>
      <c r="T35">
        <v>5.51</v>
      </c>
      <c r="U35" s="10"/>
      <c r="V35">
        <v>6</v>
      </c>
      <c r="W35" s="10"/>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f>IF(OR($B35="",AD$22=""),"",IF(LEN(VLOOKUP($B35,Database!$B$1:$IX$10144,AD$22,FALSE))=0,"",VLOOKUP($B35,Database!$B$1:$IX$10144,AD$22,FALSE)))</f>
        <v>71.05</v>
      </c>
      <c r="AE35" s="22">
        <f>IF(OR($B35="",AE$22=""),"",IF(LEN(VLOOKUP($B35,Database!$B$1:$IX$10144,AE$22,FALSE))=0,"",VLOOKUP($B35,Database!$B$1:$IX$10144,AE$22,FALSE)))</f>
        <v>7.5</v>
      </c>
      <c r="AF35" s="22">
        <f>IF(OR($B35="",AF$22=""),"",IF(LEN(VLOOKUP($B35,Database!$B$1:$IX$10144,AF$22,FALSE))=0,"",VLOOKUP($B35,Database!$B$1:$IX$10144,AF$22,FALSE)))</f>
        <v>28</v>
      </c>
      <c r="AG35" s="22">
        <f>IF(OR($B35="",AG$22=""),"",IF(LEN(VLOOKUP($B35,Database!$B$1:$IX$10144,AG$22,FALSE))=0,"",VLOOKUP($B35,Database!$B$1:$IX$10144,AG$22,FALSE)))</f>
        <v>22</v>
      </c>
      <c r="AH35" s="22">
        <f>IF(OR($B35="",AH$22=""),"",IF(LEN(VLOOKUP($B35,Database!$B$1:$IX$10144,AH$22,FALSE))=0,"",VLOOKUP($B35,Database!$B$1:$IX$10144,AH$22,FALSE)))</f>
        <v>1.5</v>
      </c>
      <c r="AI35" s="22" t="str">
        <f>IF(OR($B35="",AI$22=""),"",IF(LEN(VLOOKUP($B35,Database!$B$1:$IX$10144,AI$22,FALSE))=0,"",VLOOKUP($B35,Database!$B$1:$IX$10144,AI$22,FALSE)))</f>
        <v>ns</v>
      </c>
      <c r="AJ35" s="22" t="str">
        <f>IF(OR($B35="",AJ$22=""),"",IF(LEN(VLOOKUP($B35,Database!$B$1:$IX$10144,AJ$22,FALSE))=0,"",VLOOKUP($B35,Database!$B$1:$IX$10144,AJ$22,FALSE)))</f>
        <v/>
      </c>
      <c r="AK35" s="22">
        <f>IF(OR($B35="",AK$22=""),"",IF(LEN(VLOOKUP($B35,Database!$B$1:$IX$10144,AK$22,FALSE))=0,"",VLOOKUP($B35,Database!$B$1:$IX$10144,AK$22,FALSE)))</f>
        <v>33.619999999999997</v>
      </c>
      <c r="AL35" s="22" t="str">
        <f>IF(OR($B35="",AL$22=""),"",IF(LEN(VLOOKUP($B35,Database!$B$1:$IX$10144,AL$22,FALSE))=0,"",VLOOKUP($B35,Database!$B$1:$IX$10144,AL$22,FALSE)))</f>
        <v>ns</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Janssen J, Hulshoff Pol HE, de Leeuw FE, Schnack HG, Lampe IK, Kok RM, Kahn RS, Heeren TJ.</v>
      </c>
    </row>
    <row r="36" spans="1:43">
      <c r="A36" s="10" t="s">
        <v>2016</v>
      </c>
      <c r="B36">
        <v>17210630</v>
      </c>
      <c r="C36" s="1" t="str">
        <f>IF($B36="","",HYPERLINK(IF(LEN(VLOOKUP($B36,Database!$B$1:$IX$10144,2,FALSE))=0,"",VLOOKUP($B36,Database!$B$1:$IX$10144,2,FALSE))))</f>
        <v/>
      </c>
      <c r="D36" s="1" t="str">
        <f t="shared" si="0"/>
        <v>http://www.ncbi.nlm.nih.gov/pubmed/17210630</v>
      </c>
      <c r="E36" s="22" t="str">
        <f>IF($B36="","",IF(LEN(VLOOKUP($B36,Database!$B$1:$IX$10144,4,FALSE))=0,"",VLOOKUP($B36,Database!$B$1:$IX$10144,4,FALSE)))</f>
        <v>Janssen J</v>
      </c>
      <c r="F36" s="22">
        <f>IF($B36="","",IF(LEN(VLOOKUP($B36,Database!$B$1:$IX$10144,5,FALSE))=0,"",VLOOKUP($B36,Database!$B$1:$IX$10144,5,FALSE)))</f>
        <v>2007</v>
      </c>
      <c r="G36" s="1" t="str">
        <f>IF($B36="","",HYPERLINK(IF(LEN(VLOOKUP($B36,Database!$B$1:$IX$10144,6,FALSE))=0,"",VLOOKUP($B36,Database!$B$1:$IX$10144,6,FALSE))))</f>
        <v>http://jnnp.bmj.com/cgi/reprint/78/6/638</v>
      </c>
      <c r="H36" s="83">
        <v>15</v>
      </c>
      <c r="I36" s="83">
        <v>11</v>
      </c>
      <c r="J36" t="s">
        <v>877</v>
      </c>
      <c r="K36" t="s">
        <v>1366</v>
      </c>
      <c r="M36" s="10"/>
      <c r="T36">
        <v>5.92</v>
      </c>
      <c r="U36" s="10"/>
      <c r="V36">
        <v>6</v>
      </c>
      <c r="W36" s="10"/>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t="str">
        <f>IF(OR($B36="",AB$22=""),"",IF(LEN(VLOOKUP($B36,Database!$B$1:$IX$10144,AB$22,FALSE))=0,"",VLOOKUP($B36,Database!$B$1:$IX$10144,AB$22,FALSE)))</f>
        <v/>
      </c>
      <c r="AC36" s="22" t="str">
        <f>IF(OR($B36="",AC$22=""),"",IF(LEN(VLOOKUP($B36,Database!$B$1:$IX$10144,AC$22,FALSE))=0,"",VLOOKUP($B36,Database!$B$1:$IX$10144,AC$22,FALSE)))</f>
        <v/>
      </c>
      <c r="AD36" s="22">
        <f>IF(OR($B36="",AD$22=""),"",IF(LEN(VLOOKUP($B36,Database!$B$1:$IX$10144,AD$22,FALSE))=0,"",VLOOKUP($B36,Database!$B$1:$IX$10144,AD$22,FALSE)))</f>
        <v>71.05</v>
      </c>
      <c r="AE36" s="22">
        <f>IF(OR($B36="",AE$22=""),"",IF(LEN(VLOOKUP($B36,Database!$B$1:$IX$10144,AE$22,FALSE))=0,"",VLOOKUP($B36,Database!$B$1:$IX$10144,AE$22,FALSE)))</f>
        <v>7.5</v>
      </c>
      <c r="AF36" s="22">
        <f>IF(OR($B36="",AF$22=""),"",IF(LEN(VLOOKUP($B36,Database!$B$1:$IX$10144,AF$22,FALSE))=0,"",VLOOKUP($B36,Database!$B$1:$IX$10144,AF$22,FALSE)))</f>
        <v>28</v>
      </c>
      <c r="AG36" s="22">
        <f>IF(OR($B36="",AG$22=""),"",IF(LEN(VLOOKUP($B36,Database!$B$1:$IX$10144,AG$22,FALSE))=0,"",VLOOKUP($B36,Database!$B$1:$IX$10144,AG$22,FALSE)))</f>
        <v>22</v>
      </c>
      <c r="AH36" s="22">
        <f>IF(OR($B36="",AH$22=""),"",IF(LEN(VLOOKUP($B36,Database!$B$1:$IX$10144,AH$22,FALSE))=0,"",VLOOKUP($B36,Database!$B$1:$IX$10144,AH$22,FALSE)))</f>
        <v>1.5</v>
      </c>
      <c r="AI36" s="22" t="str">
        <f>IF(OR($B36="",AI$22=""),"",IF(LEN(VLOOKUP($B36,Database!$B$1:$IX$10144,AI$22,FALSE))=0,"",VLOOKUP($B36,Database!$B$1:$IX$10144,AI$22,FALSE)))</f>
        <v>ns</v>
      </c>
      <c r="AJ36" s="22" t="str">
        <f>IF(OR($B36="",AJ$22=""),"",IF(LEN(VLOOKUP($B36,Database!$B$1:$IX$10144,AJ$22,FALSE))=0,"",VLOOKUP($B36,Database!$B$1:$IX$10144,AJ$22,FALSE)))</f>
        <v/>
      </c>
      <c r="AK36" s="22">
        <f>IF(OR($B36="",AK$22=""),"",IF(LEN(VLOOKUP($B36,Database!$B$1:$IX$10144,AK$22,FALSE))=0,"",VLOOKUP($B36,Database!$B$1:$IX$10144,AK$22,FALSE)))</f>
        <v>33.619999999999997</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Janssen J, Hulshoff Pol HE, de Leeuw FE, Schnack HG, Lampe IK, Kok RM, Kahn RS, Heeren TJ.</v>
      </c>
    </row>
    <row r="37" spans="1:43">
      <c r="A37" s="7" t="s">
        <v>28</v>
      </c>
      <c r="B37">
        <v>18515903</v>
      </c>
      <c r="C37" s="1" t="str">
        <f>IF($B37="","",HYPERLINK(IF(LEN(VLOOKUP($B37,Database!$B$1:$IX$10144,2,FALSE))=0,"",VLOOKUP($B37,Database!$B$1:$IX$10144,2,FALSE))))</f>
        <v/>
      </c>
      <c r="D37" s="1" t="str">
        <f t="shared" si="0"/>
        <v>http://www.ncbi.nlm.nih.gov/pubmed/18515903</v>
      </c>
      <c r="E37" s="22" t="str">
        <f>IF($B37="","",IF(LEN(VLOOKUP($B37,Database!$B$1:$IX$10144,4,FALSE))=0,"",VLOOKUP($B37,Database!$B$1:$IX$10144,4,FALSE)))</f>
        <v>Kronmüller KT</v>
      </c>
      <c r="F37" s="22">
        <f>IF($B37="","",IF(LEN(VLOOKUP($B37,Database!$B$1:$IX$10144,5,FALSE))=0,"",VLOOKUP($B37,Database!$B$1:$IX$10144,5,FALSE)))</f>
        <v>2008</v>
      </c>
      <c r="G37" s="1" t="str">
        <f>IF($B37="","",HYPERLINK(IF(LEN(VLOOKUP($B37,Database!$B$1:$IX$10144,6,FALSE))=0,"",VLOOKUP($B37,Database!$B$1:$IX$10144,6,FALSE))))</f>
        <v>http://bjp.rcpsych.org/cgi/content/full/192/6/472</v>
      </c>
      <c r="H37" s="22">
        <f>IF($B37="","",IF(LEN(VLOOKUP($B37,Database!$B$1:$IX$10144,7,FALSE))=0,"",VLOOKUP($B37,Database!$B$1:$IX$10144,7,FALSE)))</f>
        <v>49</v>
      </c>
      <c r="I37" s="22">
        <f>IF($B37="","",IF(LEN(VLOOKUP($B37,Database!$B$1:$IX$10144,8,FALSE))=0,"",VLOOKUP($B37,Database!$B$1:$IX$10144,8,FALSE)))</f>
        <v>30</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t="str">
        <f>IF(OR($B37="",AB$22=""),"",IF(LEN(VLOOKUP($B37,Database!$B$1:$IX$10144,AB$22,FALSE))=0,"",VLOOKUP($B37,Database!$B$1:$IX$10144,AB$22,FALSE)))</f>
        <v/>
      </c>
      <c r="AC37" s="22" t="str">
        <f>IF(OR($B37="",AC$22=""),"",IF(LEN(VLOOKUP($B37,Database!$B$1:$IX$10144,AC$22,FALSE))=0,"",VLOOKUP($B37,Database!$B$1:$IX$10144,AC$22,FALSE)))</f>
        <v/>
      </c>
      <c r="AD37" s="22" t="str">
        <f>IF(OR($B37="",AD$22=""),"",IF(LEN(VLOOKUP($B37,Database!$B$1:$IX$10144,AD$22,FALSE))=0,"",VLOOKUP($B37,Database!$B$1:$IX$10144,AD$22,FALSE)))</f>
        <v/>
      </c>
      <c r="AE37" s="22" t="str">
        <f>IF(OR($B37="",AE$22=""),"",IF(LEN(VLOOKUP($B37,Database!$B$1:$IX$10144,AE$22,FALSE))=0,"",VLOOKUP($B37,Database!$B$1:$IX$10144,AE$22,FALSE)))</f>
        <v/>
      </c>
      <c r="AF37" s="22" t="str">
        <f>IF(OR($B37="",AF$22=""),"",IF(LEN(VLOOKUP($B37,Database!$B$1:$IX$10144,AF$22,FALSE))=0,"",VLOOKUP($B37,Database!$B$1:$IX$10144,AF$22,FALSE)))</f>
        <v/>
      </c>
      <c r="AG37" s="22" t="str">
        <f>IF(OR($B37="",AG$22=""),"",IF(LEN(VLOOKUP($B37,Database!$B$1:$IX$10144,AG$22,FALSE))=0,"",VLOOKUP($B37,Database!$B$1:$IX$10144,AG$22,FALSE)))</f>
        <v/>
      </c>
      <c r="AH37" s="22">
        <f>IF(OR($B37="",AH$22=""),"",IF(LEN(VLOOKUP($B37,Database!$B$1:$IX$10144,AH$22,FALSE))=0,"",VLOOKUP($B37,Database!$B$1:$IX$10144,AH$22,FALSE)))</f>
        <v>1.5</v>
      </c>
      <c r="AI37" s="22" t="str">
        <f>IF(OR($B37="",AI$22=""),"",IF(LEN(VLOOKUP($B37,Database!$B$1:$IX$10144,AI$22,FALSE))=0,"",VLOOKUP($B37,Database!$B$1:$IX$10144,AI$22,FALSE)))</f>
        <v>ns</v>
      </c>
      <c r="AJ37" s="22" t="str">
        <f>IF(OR($B37="",AJ$22=""),"",IF(LEN(VLOOKUP($B37,Database!$B$1:$IX$10144,AJ$22,FALSE))=0,"",VLOOKUP($B37,Database!$B$1:$IX$10144,AJ$22,FALSE)))</f>
        <v/>
      </c>
      <c r="AK37" s="22" t="str">
        <f>IF(OR($B37="",AK$22=""),"",IF(LEN(VLOOKUP($B37,Database!$B$1:$IX$10144,AK$22,FALSE))=0,"",VLOOKUP($B37,Database!$B$1:$IX$10144,AK$22,FALSE)))</f>
        <v>ns</v>
      </c>
      <c r="AL37" s="22">
        <f>IF(OR($B37="",AL$22=""),"",IF(LEN(VLOOKUP($B37,Database!$B$1:$IX$10144,AL$22,FALSE))=0,"",VLOOKUP($B37,Database!$B$1:$IX$10144,AL$22,FALSE)))</f>
        <v>22.74</v>
      </c>
      <c r="AM37" s="22" t="str">
        <f>IF(OR($B37="",AM$22=""),"",IF(LEN(VLOOKUP($B37,Database!$B$1:$IX$10144,AM$22,FALSE))=0,"",VLOOKUP($B37,Database!$B$1:$IX$10144,AM$22,FALSE)))</f>
        <v>ns</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Kronmüller KT, Pantel J, Köhler S, Victor D, Giesel F, Magnotta VA, Mundt C, Essig M, Schröder J.</v>
      </c>
    </row>
    <row r="38" spans="1:43">
      <c r="A38" s="7" t="s">
        <v>75</v>
      </c>
      <c r="B38">
        <v>18068956</v>
      </c>
      <c r="C38" s="1" t="str">
        <f>IF($B38="","",HYPERLINK(IF(LEN(VLOOKUP($B38,Database!$B$1:$IX$10144,2,FALSE))=0,"",VLOOKUP($B38,Database!$B$1:$IX$10144,2,FALSE))))</f>
        <v/>
      </c>
      <c r="D38" s="1" t="str">
        <f t="shared" si="0"/>
        <v>http://www.ncbi.nlm.nih.gov/pubmed/18068956</v>
      </c>
      <c r="E38" s="22" t="str">
        <f>IF($B38="","",IF(LEN(VLOOKUP($B38,Database!$B$1:$IX$10144,4,FALSE))=0,"",VLOOKUP($B38,Database!$B$1:$IX$10144,4,FALSE)))</f>
        <v>Lenze SN</v>
      </c>
      <c r="F38" s="22">
        <f>IF($B38="","",IF(LEN(VLOOKUP($B38,Database!$B$1:$IX$10144,5,FALSE))=0,"",VLOOKUP($B38,Database!$B$1:$IX$10144,5,FALSE)))</f>
        <v>2008</v>
      </c>
      <c r="G38" s="1" t="str">
        <f>IF($B38="","",HYPERLINK(IF(LEN(VLOOKUP($B38,Database!$B$1:$IX$10144,6,FALSE))=0,"",VLOOKUP($B38,Database!$B$1:$IX$10144,6,FALSE))))</f>
        <v>http://dx.doi.org/10.1016/j.pscychresns.2007.04.004</v>
      </c>
      <c r="H38" s="22">
        <f>IF($B38="","",IF(LEN(VLOOKUP($B38,Database!$B$1:$IX$10144,7,FALSE))=0,"",VLOOKUP($B38,Database!$B$1:$IX$10144,7,FALSE)))</f>
        <v>31</v>
      </c>
      <c r="I38" s="22">
        <f>IF($B38="","",IF(LEN(VLOOKUP($B38,Database!$B$1:$IX$10144,8,FALSE))=0,"",VLOOKUP($B38,Database!$B$1:$IX$10144,8,FALSE)))</f>
        <v>24</v>
      </c>
      <c r="J38" t="s">
        <v>1002</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50</v>
      </c>
      <c r="AC38" s="22">
        <f>IF(OR($B38="",AC$22=""),"",IF(LEN(VLOOKUP($B38,Database!$B$1:$IX$10144,AC$22,FALSE))=0,"",VLOOKUP($B38,Database!$B$1:$IX$10144,AC$22,FALSE)))</f>
        <v>15</v>
      </c>
      <c r="AD38" s="22">
        <f>IF(OR($B38="",AD$22=""),"",IF(LEN(VLOOKUP($B38,Database!$B$1:$IX$10144,AD$22,FALSE))=0,"",VLOOKUP($B38,Database!$B$1:$IX$10144,AD$22,FALSE)))</f>
        <v>46</v>
      </c>
      <c r="AE38" s="22">
        <f>IF(OR($B38="",AE$22=""),"",IF(LEN(VLOOKUP($B38,Database!$B$1:$IX$10144,AE$22,FALSE))=0,"",VLOOKUP($B38,Database!$B$1:$IX$10144,AE$22,FALSE)))</f>
        <v>14</v>
      </c>
      <c r="AF38" s="22">
        <f>IF(OR($B38="",AF$22=""),"",IF(LEN(VLOOKUP($B38,Database!$B$1:$IX$10144,AF$22,FALSE))=0,"",VLOOKUP($B38,Database!$B$1:$IX$10144,AF$22,FALSE)))</f>
        <v>31</v>
      </c>
      <c r="AG38" s="22">
        <f>IF(OR($B38="",AG$22=""),"",IF(LEN(VLOOKUP($B38,Database!$B$1:$IX$10144,AG$22,FALSE))=0,"",VLOOKUP($B38,Database!$B$1:$IX$10144,AG$22,FALSE)))</f>
        <v>24</v>
      </c>
      <c r="AH38" s="22">
        <f>IF(OR($B38="",AH$22=""),"",IF(LEN(VLOOKUP($B38,Database!$B$1:$IX$10144,AH$22,FALSE))=0,"",VLOOKUP($B38,Database!$B$1:$IX$10144,AH$22,FALSE)))</f>
        <v>1.5</v>
      </c>
      <c r="AI38" s="22">
        <f>IF(OR($B38="",AI$22=""),"",IF(LEN(VLOOKUP($B38,Database!$B$1:$IX$10144,AI$22,FALSE))=0,"",VLOOKUP($B38,Database!$B$1:$IX$10144,AI$22,FALSE)))</f>
        <v>1.25</v>
      </c>
      <c r="AJ38" s="22" t="str">
        <f>IF(OR($B38="",AJ$22=""),"",IF(LEN(VLOOKUP($B38,Database!$B$1:$IX$10144,AJ$22,FALSE))=0,"",VLOOKUP($B38,Database!$B$1:$IX$10144,AJ$22,FALSE)))</f>
        <v/>
      </c>
      <c r="AK38" s="22">
        <f>IF(OR($B38="",AK$22=""),"",IF(LEN(VLOOKUP($B38,Database!$B$1:$IX$10144,AK$22,FALSE))=0,"",VLOOKUP($B38,Database!$B$1:$IX$10144,AK$22,FALSE)))</f>
        <v>29</v>
      </c>
      <c r="AL38" s="22">
        <f>IF(OR($B38="",AL$22=""),"",IF(LEN(VLOOKUP($B38,Database!$B$1:$IX$10144,AL$22,FALSE))=0,"",VLOOKUP($B38,Database!$B$1:$IX$10144,AL$22,FALSE)))</f>
        <v>7</v>
      </c>
      <c r="AM38" s="22">
        <f>IF(OR($B38="",AM$22=""),"",IF(LEN(VLOOKUP($B38,Database!$B$1:$IX$10144,AM$22,FALSE))=0,"",VLOOKUP($B38,Database!$B$1:$IX$10144,AM$22,FALSE)))</f>
        <v>77.41935483870968</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Lenze SN, Xiong C, Sheline YI.</v>
      </c>
    </row>
    <row r="39" spans="1:43">
      <c r="A39" s="4" t="s">
        <v>351</v>
      </c>
      <c r="C39" s="1"/>
      <c r="D39" s="1"/>
      <c r="E39" s="22"/>
      <c r="F39" s="22"/>
      <c r="G39" s="1"/>
      <c r="H39" s="22"/>
      <c r="I39" s="22"/>
      <c r="Y39" s="22"/>
      <c r="Z39" s="22"/>
      <c r="AA39" s="22"/>
      <c r="AB39" s="22"/>
      <c r="AC39" s="22"/>
      <c r="AD39" s="22"/>
      <c r="AE39" s="22"/>
      <c r="AF39" s="22"/>
      <c r="AG39" s="22"/>
      <c r="AH39" s="22"/>
      <c r="AI39" s="22"/>
      <c r="AJ39" s="22"/>
      <c r="AK39" s="22"/>
      <c r="AL39" s="22"/>
      <c r="AM39" s="22"/>
      <c r="AN39" s="22"/>
      <c r="AO39" s="22"/>
      <c r="AP39" s="22" t="str">
        <f>IF(OR($B39="",AP$22=""),"",IF(LEN(VLOOKUP($B39,Database!$B$1:$IX$10144,AP$22,FALSE))=0,"",VLOOKUP($B39,Database!$B$1:$IX$10144,AP$22,FALSE)))</f>
        <v/>
      </c>
      <c r="AQ39" s="22" t="str">
        <f>IF(OR($B39="",AQ$22=""),"",IF(LEN(VLOOKUP($B39,Database!$B$1:$IX$10144,AQ$22,FALSE))=0,"",VLOOKUP($B39,Database!$B$1:$IX$10144,AQ$22,FALSE)))</f>
        <v/>
      </c>
    </row>
    <row r="40" spans="1:43">
      <c r="A40" s="10" t="s">
        <v>418</v>
      </c>
      <c r="B40">
        <v>8632988</v>
      </c>
      <c r="C40" s="1" t="str">
        <f>IF($B40="","",HYPERLINK(IF(LEN(VLOOKUP($B40,Database!$B$1:$IX$10144,2,FALSE))=0,"",VLOOKUP($B40,Database!$B$1:$IX$10144,2,FALSE))))</f>
        <v/>
      </c>
      <c r="D40" s="1" t="str">
        <f t="shared" ref="D40:D55" si="1">IF($B40="","",HYPERLINK(CONCATENATE("http://www.ncbi.nlm.nih.gov/pubmed/",B40)))</f>
        <v>http://www.ncbi.nlm.nih.gov/pubmed/8632988</v>
      </c>
      <c r="E40" s="22" t="str">
        <f>IF($B40="","",IF(LEN(VLOOKUP($B40,Database!$B$1:$IX$10144,4,FALSE))=0,"",VLOOKUP($B40,Database!$B$1:$IX$10144,4,FALSE)))</f>
        <v>Sheline YI</v>
      </c>
      <c r="F40" s="22">
        <f>IF($B40="","",IF(LEN(VLOOKUP($B40,Database!$B$1:$IX$10144,5,FALSE))=0,"",VLOOKUP($B40,Database!$B$1:$IX$10144,5,FALSE)))</f>
        <v>1996</v>
      </c>
      <c r="G40" s="1" t="str">
        <f>IF($B40="","",HYPERLINK(IF(LEN(VLOOKUP($B40,Database!$B$1:$IX$10144,6,FALSE))=0,"",VLOOKUP($B40,Database!$B$1:$IX$10144,6,FALSE))))</f>
        <v>http://www.pnas.org/content/93/9/3908</v>
      </c>
      <c r="H40" s="22">
        <f>IF($B40="","",IF(LEN(VLOOKUP($B40,Database!$B$1:$IX$10144,7,FALSE))=0,"",VLOOKUP($B40,Database!$B$1:$IX$10144,7,FALSE)))</f>
        <v>10</v>
      </c>
      <c r="I40" s="22">
        <f>IF($B40="","",IF(LEN(VLOOKUP($B40,Database!$B$1:$IX$10144,8,FALSE))=0,"",VLOOKUP($B40,Database!$B$1:$IX$10144,8,FALSE)))</f>
        <v>10</v>
      </c>
      <c r="J40" t="s">
        <v>939</v>
      </c>
      <c r="L40">
        <v>2159</v>
      </c>
      <c r="M40">
        <v>301</v>
      </c>
      <c r="N40">
        <v>2544</v>
      </c>
      <c r="O40">
        <v>333</v>
      </c>
      <c r="P40">
        <v>2283</v>
      </c>
      <c r="Q40">
        <v>324</v>
      </c>
      <c r="R40">
        <v>2577</v>
      </c>
      <c r="S40">
        <v>259</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68.5</v>
      </c>
      <c r="AC40" s="22">
        <f>IF(OR($B40="",AC$22=""),"",IF(LEN(VLOOKUP($B40,Database!$B$1:$IX$10144,AC$22,FALSE))=0,"",VLOOKUP($B40,Database!$B$1:$IX$10144,AC$22,FALSE)))</f>
        <v>10.4</v>
      </c>
      <c r="AD40" s="22">
        <f>IF(OR($B40="",AD$22=""),"",IF(LEN(VLOOKUP($B40,Database!$B$1:$IX$10144,AD$22,FALSE))=0,"",VLOOKUP($B40,Database!$B$1:$IX$10144,AD$22,FALSE)))</f>
        <v>68</v>
      </c>
      <c r="AE40" s="22">
        <f>IF(OR($B40="",AE$22=""),"",IF(LEN(VLOOKUP($B40,Database!$B$1:$IX$10144,AE$22,FALSE))=0,"",VLOOKUP($B40,Database!$B$1:$IX$10144,AE$22,FALSE)))</f>
        <v>9.5</v>
      </c>
      <c r="AF40" s="22">
        <f>IF(OR($B40="",AF$22=""),"",IF(LEN(VLOOKUP($B40,Database!$B$1:$IX$10144,AF$22,FALSE))=0,"",VLOOKUP($B40,Database!$B$1:$IX$10144,AF$22,FALSE)))</f>
        <v>10</v>
      </c>
      <c r="AG40" s="22">
        <f>IF(OR($B40="",AG$22=""),"",IF(LEN(VLOOKUP($B40,Database!$B$1:$IX$10144,AG$22,FALSE))=0,"",VLOOKUP($B40,Database!$B$1:$IX$10144,AG$22,FALSE)))</f>
        <v>10</v>
      </c>
      <c r="AH40" s="22"/>
      <c r="AI40" s="22"/>
      <c r="AJ40" s="22" t="str">
        <f>IF(OR($B40="",AJ$22=""),"",IF(LEN(VLOOKUP($B40,Database!$B$1:$IX$10144,AJ$22,FALSE))=0,"",VLOOKUP($B40,Database!$B$1:$IX$10144,AJ$22,FALSE)))</f>
        <v/>
      </c>
      <c r="AK40" s="22" t="str">
        <f>IF(OR($B40="",AK$22=""),"",IF(LEN(VLOOKUP($B40,Database!$B$1:$IX$10144,AK$22,FALSE))=0,"",VLOOKUP($B40,Database!$B$1:$IX$10144,AK$22,FALSE)))</f>
        <v>ns</v>
      </c>
      <c r="AL40" s="22" t="str">
        <f>IF(OR($B40="",AL$22=""),"",IF(LEN(VLOOKUP($B40,Database!$B$1:$IX$10144,AL$22,FALSE))=0,"",VLOOKUP($B40,Database!$B$1:$IX$10144,AL$22,FALSE)))</f>
        <v>ns</v>
      </c>
      <c r="AM40" s="22">
        <f>IF(OR($B40="",AM$22=""),"",IF(LEN(VLOOKUP($B40,Database!$B$1:$IX$10144,AM$22,FALSE))=0,"",VLOOKUP($B40,Database!$B$1:$IX$10144,AM$22,FALSE)))</f>
        <v>80</v>
      </c>
      <c r="AN40" s="22" t="str">
        <f>IF(OR($B40="",AN$22=""),"",IF(LEN(VLOOKUP($B40,Database!$B$1:$IX$10144,AN$22,FALSE))=0,"",VLOOKUP($B40,Database!$B$1:$IX$10144,AN$22,FALSE)))</f>
        <v/>
      </c>
      <c r="AO40" s="22" t="str">
        <f>IF(OR($B40="",AO$22=""),"",IF(LEN(VLOOKUP($B40,Database!$B$1:$IX$10144,AO$22,FALSE))=0,"",VLOOKUP($B40,Database!$B$1:$IX$10144,AO$22,FALSE)))</f>
        <v/>
      </c>
      <c r="AP40" s="22" t="str">
        <f>IF(OR($B40="",AP$22=""),"",IF(LEN(VLOOKUP($B40,Database!$B$1:$IX$10144,AP$22,FALSE))=0,"",VLOOKUP($B40,Database!$B$1:$IX$10144,AP$22,FALSE)))</f>
        <v/>
      </c>
      <c r="AQ40" s="22" t="str">
        <f>IF(OR($B40="",AQ$22=""),"",IF(LEN(VLOOKUP($B40,Database!$B$1:$IX$10144,AQ$22,FALSE))=0,"",VLOOKUP($B40,Database!$B$1:$IX$10144,AQ$22,FALSE)))</f>
        <v>Sheline YI, Wang PW, Gado MH, Csernansky JG, Vannier MW.</v>
      </c>
    </row>
    <row r="41" spans="1:43">
      <c r="A41" s="10" t="s">
        <v>418</v>
      </c>
      <c r="B41">
        <v>10366636</v>
      </c>
      <c r="C41" s="1" t="str">
        <f>IF($B41="","",HYPERLINK(IF(LEN(VLOOKUP($B41,Database!$B$1:$IX$10144,2,FALSE))=0,"",VLOOKUP($B41,Database!$B$1:$IX$10144,2,FALSE))))</f>
        <v/>
      </c>
      <c r="D41" s="1" t="str">
        <f t="shared" si="1"/>
        <v>http://www.ncbi.nlm.nih.gov/pubmed/10366636</v>
      </c>
      <c r="E41" s="22" t="str">
        <f>IF($B41="","",IF(LEN(VLOOKUP($B41,Database!$B$1:$IX$10144,4,FALSE))=0,"",VLOOKUP($B41,Database!$B$1:$IX$10144,4,FALSE)))</f>
        <v>Sheline YI</v>
      </c>
      <c r="F41" s="22">
        <f>IF($B41="","",IF(LEN(VLOOKUP($B41,Database!$B$1:$IX$10144,5,FALSE))=0,"",VLOOKUP($B41,Database!$B$1:$IX$10144,5,FALSE)))</f>
        <v>1999</v>
      </c>
      <c r="G41" s="1" t="str">
        <f>IF($B41="","",HYPERLINK(IF(LEN(VLOOKUP($B41,Database!$B$1:$IX$10144,6,FALSE))=0,"",VLOOKUP($B41,Database!$B$1:$IX$10144,6,FALSE))))</f>
        <v>http://ajp.psychiatryonline.org/cgi/reprint/156/12/1989</v>
      </c>
      <c r="H41" s="22">
        <f>IF($B41="","",IF(LEN(VLOOKUP($B41,Database!$B$1:$IX$10144,7,FALSE))=0,"",VLOOKUP($B41,Database!$B$1:$IX$10144,7,FALSE)))</f>
        <v>24</v>
      </c>
      <c r="I41" s="22">
        <f>IF($B41="","",IF(LEN(VLOOKUP($B41,Database!$B$1:$IX$10144,8,FALSE))=0,"",VLOOKUP($B41,Database!$B$1:$IX$10144,8,FALSE)))</f>
        <v>24</v>
      </c>
      <c r="J41" t="s">
        <v>939</v>
      </c>
      <c r="L41">
        <v>2230</v>
      </c>
      <c r="M41">
        <v>323</v>
      </c>
      <c r="N41">
        <v>2482</v>
      </c>
      <c r="O41">
        <v>305</v>
      </c>
      <c r="P41">
        <v>2264</v>
      </c>
      <c r="Q41">
        <v>320</v>
      </c>
      <c r="R41">
        <v>2468</v>
      </c>
      <c r="S41">
        <v>309</v>
      </c>
      <c r="T41">
        <v>4496</v>
      </c>
      <c r="U41">
        <v>602</v>
      </c>
      <c r="V41">
        <v>4951</v>
      </c>
      <c r="W41">
        <v>601</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c r="AC41" s="22"/>
      <c r="AD41" s="22">
        <f>IF(OR($B41="",AD$22=""),"",IF(LEN(VLOOKUP($B41,Database!$B$1:$IX$10144,AD$22,FALSE))=0,"",VLOOKUP($B41,Database!$B$1:$IX$10144,AD$22,FALSE)))</f>
        <v>52.8</v>
      </c>
      <c r="AE41" s="22">
        <f>IF(OR($B41="",AE$22=""),"",IF(LEN(VLOOKUP($B41,Database!$B$1:$IX$10144,AE$22,FALSE))=0,"",VLOOKUP($B41,Database!$B$1:$IX$10144,AE$22,FALSE)))</f>
        <v>17.8</v>
      </c>
      <c r="AF41" s="22">
        <f>IF(OR($B41="",AF$22=""),"",IF(LEN(VLOOKUP($B41,Database!$B$1:$IX$10144,AF$22,FALSE))=0,"",VLOOKUP($B41,Database!$B$1:$IX$10144,AF$22,FALSE)))</f>
        <v>24</v>
      </c>
      <c r="AG41" s="22">
        <f>IF(OR($B41="",AG$22=""),"",IF(LEN(VLOOKUP($B41,Database!$B$1:$IX$10144,AG$22,FALSE))=0,"",VLOOKUP($B41,Database!$B$1:$IX$10144,AG$22,FALSE)))</f>
        <v>24</v>
      </c>
      <c r="AH41" s="22"/>
      <c r="AI41" s="22"/>
      <c r="AJ41" s="22" t="str">
        <f>IF(OR($B41="",AJ$22=""),"",IF(LEN(VLOOKUP($B41,Database!$B$1:$IX$10144,AJ$22,FALSE))=0,"",VLOOKUP($B41,Database!$B$1:$IX$10144,AJ$22,FALSE)))</f>
        <v/>
      </c>
      <c r="AK41" s="22" t="str">
        <f>IF(OR($B41="",AK$22=""),"",IF(LEN(VLOOKUP($B41,Database!$B$1:$IX$10144,AK$22,FALSE))=0,"",VLOOKUP($B41,Database!$B$1:$IX$10144,AK$22,FALSE)))</f>
        <v>ns</v>
      </c>
      <c r="AL41" s="22" t="str">
        <f>IF(OR($B41="",AL$22=""),"",IF(LEN(VLOOKUP($B41,Database!$B$1:$IX$10144,AL$22,FALSE))=0,"",VLOOKUP($B41,Database!$B$1:$IX$10144,AL$22,FALSE)))</f>
        <v>ns</v>
      </c>
      <c r="AM41" s="22">
        <f>IF(OR($B41="",AM$22=""),"",IF(LEN(VLOOKUP($B41,Database!$B$1:$IX$10144,AM$22,FALSE))=0,"",VLOOKUP($B41,Database!$B$1:$IX$10144,AM$22,FALSE)))</f>
        <v>66.666666666666657</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Sheline YI, Sanghavi M, Mintun MA, Gado MH.</v>
      </c>
    </row>
    <row r="42" spans="1:43">
      <c r="A42" s="10" t="s">
        <v>1188</v>
      </c>
      <c r="B42">
        <v>10960161</v>
      </c>
      <c r="C42" s="1" t="str">
        <f>IF($B42="","",HYPERLINK(IF(LEN(VLOOKUP($B42,Database!$B$1:$IX$10144,2,FALSE))=0,"",VLOOKUP($B42,Database!$B$1:$IX$10144,2,FALSE))))</f>
        <v/>
      </c>
      <c r="D42" s="1" t="str">
        <f t="shared" si="1"/>
        <v>http://www.ncbi.nlm.nih.gov/pubmed/10960161</v>
      </c>
      <c r="E42" s="22" t="str">
        <f>IF($B42="","",IF(LEN(VLOOKUP($B42,Database!$B$1:$IX$10144,4,FALSE))=0,"",VLOOKUP($B42,Database!$B$1:$IX$10144,4,FALSE)))</f>
        <v>Steffens DC</v>
      </c>
      <c r="F42" s="22">
        <f>IF($B42="","",IF(LEN(VLOOKUP($B42,Database!$B$1:$IX$10144,5,FALSE))=0,"",VLOOKUP($B42,Database!$B$1:$IX$10144,5,FALSE)))</f>
        <v>2000</v>
      </c>
      <c r="G42" s="1" t="str">
        <f>IF($B42="","",HYPERLINK(IF(LEN(VLOOKUP($B42,Database!$B$1:$IX$10144,6,FALSE))=0,"",VLOOKUP($B42,Database!$B$1:$IX$10144,6,FALSE))))</f>
        <v>http://dx.doi.org/10.1016/S0006-3223(00)00829-5</v>
      </c>
      <c r="H42" s="22">
        <f>IF($B42="","",IF(LEN(VLOOKUP($B42,Database!$B$1:$IX$10144,7,FALSE))=0,"",VLOOKUP($B42,Database!$B$1:$IX$10144,7,FALSE)))</f>
        <v>66</v>
      </c>
      <c r="I42" s="22">
        <f>IF($B42="","",IF(LEN(VLOOKUP($B42,Database!$B$1:$IX$10144,8,FALSE))=0,"",VLOOKUP($B42,Database!$B$1:$IX$10144,8,FALSE)))</f>
        <v>18</v>
      </c>
      <c r="J42" t="s">
        <v>1045</v>
      </c>
      <c r="L42">
        <v>2.92</v>
      </c>
      <c r="M42">
        <v>0.36</v>
      </c>
      <c r="N42">
        <v>3.17</v>
      </c>
      <c r="O42">
        <v>0.44</v>
      </c>
      <c r="P42">
        <v>2.98</v>
      </c>
      <c r="Q42">
        <v>0.39</v>
      </c>
      <c r="R42">
        <v>3.3</v>
      </c>
      <c r="S42">
        <v>0.44</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71.739999999999995</v>
      </c>
      <c r="AC42" s="22">
        <f>IF(OR($B42="",AC$22=""),"",IF(LEN(VLOOKUP($B42,Database!$B$1:$IX$10144,AC$22,FALSE))=0,"",VLOOKUP($B42,Database!$B$1:$IX$10144,AC$22,FALSE)))</f>
        <v>8.42</v>
      </c>
      <c r="AD42" s="22">
        <f>IF(OR($B42="",AD$22=""),"",IF(LEN(VLOOKUP($B42,Database!$B$1:$IX$10144,AD$22,FALSE))=0,"",VLOOKUP($B42,Database!$B$1:$IX$10144,AD$22,FALSE)))</f>
        <v>67.11</v>
      </c>
      <c r="AE42" s="22">
        <f>IF(OR($B42="",AE$22=""),"",IF(LEN(VLOOKUP($B42,Database!$B$1:$IX$10144,AE$22,FALSE))=0,"",VLOOKUP($B42,Database!$B$1:$IX$10144,AE$22,FALSE)))</f>
        <v>5.04</v>
      </c>
      <c r="AF42" s="22">
        <f>IF(OR($B42="",AF$22=""),"",IF(LEN(VLOOKUP($B42,Database!$B$1:$IX$10144,AF$22,FALSE))=0,"",VLOOKUP($B42,Database!$B$1:$IX$10144,AF$22,FALSE)))</f>
        <v>51</v>
      </c>
      <c r="AG42" s="22">
        <f>IF(OR($B42="",AG$22=""),"",IF(LEN(VLOOKUP($B42,Database!$B$1:$IX$10144,AG$22,FALSE))=0,"",VLOOKUP($B42,Database!$B$1:$IX$10144,AG$22,FALSE)))</f>
        <v>9</v>
      </c>
      <c r="AH42" s="22"/>
      <c r="AI42" s="22"/>
      <c r="AJ42" s="22" t="str">
        <f>IF(OR($B42="",AJ$22=""),"",IF(LEN(VLOOKUP($B42,Database!$B$1:$IX$10144,AJ$22,FALSE))=0,"",VLOOKUP($B42,Database!$B$1:$IX$10144,AJ$22,FALSE)))</f>
        <v/>
      </c>
      <c r="AK42" s="22" t="str">
        <f>IF(OR($B42="",AK$22=""),"",IF(LEN(VLOOKUP($B42,Database!$B$1:$IX$10144,AK$22,FALSE))=0,"",VLOOKUP($B42,Database!$B$1:$IX$10144,AK$22,FALSE)))</f>
        <v>ns</v>
      </c>
      <c r="AL42" s="22" t="str">
        <f>IF(OR($B42="",AL$22=""),"",IF(LEN(VLOOKUP($B42,Database!$B$1:$IX$10144,AL$22,FALSE))=0,"",VLOOKUP($B42,Database!$B$1:$IX$10144,AL$22,FALSE)))</f>
        <v>ns</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Steffens DC, Byrum CE, McQuoid DR, Greenberg DL, Payne ME, Blitchington TF, MacFall JR, Krishnan KR.</v>
      </c>
    </row>
    <row r="43" spans="1:43">
      <c r="A43" s="10" t="s">
        <v>2335</v>
      </c>
      <c r="B43">
        <v>12091188</v>
      </c>
      <c r="C43" s="1" t="str">
        <f>IF($B43="","",HYPERLINK(IF(LEN(VLOOKUP($B43,Database!$B$1:$IX$10144,2,FALSE))=0,"",VLOOKUP($B43,Database!$B$1:$IX$10144,2,FALSE))))</f>
        <v/>
      </c>
      <c r="D43" s="1" t="str">
        <f t="shared" si="1"/>
        <v>http://www.ncbi.nlm.nih.gov/pubmed/12091188</v>
      </c>
      <c r="E43" s="22" t="str">
        <f>IF($B43="","",IF(LEN(VLOOKUP($B43,Database!$B$1:$IX$10144,4,FALSE))=0,"",VLOOKUP($B43,Database!$B$1:$IX$10144,4,FALSE)))</f>
        <v>Frodl T (B)</v>
      </c>
      <c r="F43" s="22">
        <f>IF($B43="","",IF(LEN(VLOOKUP($B43,Database!$B$1:$IX$10144,5,FALSE))=0,"",VLOOKUP($B43,Database!$B$1:$IX$10144,5,FALSE)))</f>
        <v>2002</v>
      </c>
      <c r="G43" s="1" t="str">
        <f>IF($B43="","",HYPERLINK(IF(LEN(VLOOKUP($B43,Database!$B$1:$IX$10144,6,FALSE))=0,"",VLOOKUP($B43,Database!$B$1:$IX$10144,6,FALSE))))</f>
        <v>http://ajp.psychiatryonline.org/cgi/reprint/159/7/1112</v>
      </c>
      <c r="H43" s="22">
        <f>IF($B43="","",IF(LEN(VLOOKUP($B43,Database!$B$1:$IX$10144,7,FALSE))=0,"",VLOOKUP($B43,Database!$B$1:$IX$10144,7,FALSE)))</f>
        <v>30</v>
      </c>
      <c r="I43" s="22">
        <f>IF($B43="","",IF(LEN(VLOOKUP($B43,Database!$B$1:$IX$10144,8,FALSE))=0,"",VLOOKUP($B43,Database!$B$1:$IX$10144,8,FALSE)))</f>
        <v>30</v>
      </c>
      <c r="J43" t="s">
        <v>869</v>
      </c>
      <c r="L43">
        <v>3681</v>
      </c>
      <c r="M43">
        <v>393</v>
      </c>
      <c r="N43">
        <v>3772</v>
      </c>
      <c r="O43">
        <v>397</v>
      </c>
      <c r="P43">
        <v>3847</v>
      </c>
      <c r="Q43">
        <v>400</v>
      </c>
      <c r="R43">
        <v>3763</v>
      </c>
      <c r="S43">
        <v>411</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40.299999999999997</v>
      </c>
      <c r="AC43" s="22">
        <f>IF(OR($B43="",AC$22=""),"",IF(LEN(VLOOKUP($B43,Database!$B$1:$IX$10144,AC$22,FALSE))=0,"",VLOOKUP($B43,Database!$B$1:$IX$10144,AC$22,FALSE)))</f>
        <v>12.6</v>
      </c>
      <c r="AD43" s="22">
        <f>IF(OR($B43="",AD$22=""),"",IF(LEN(VLOOKUP($B43,Database!$B$1:$IX$10144,AD$22,FALSE))=0,"",VLOOKUP($B43,Database!$B$1:$IX$10144,AD$22,FALSE)))</f>
        <v>40.6</v>
      </c>
      <c r="AE43" s="22">
        <f>IF(OR($B43="",AE$22=""),"",IF(LEN(VLOOKUP($B43,Database!$B$1:$IX$10144,AE$22,FALSE))=0,"",VLOOKUP($B43,Database!$B$1:$IX$10144,AE$22,FALSE)))</f>
        <v>12.5</v>
      </c>
      <c r="AF43" s="22">
        <f>IF(OR($B43="",AF$22=""),"",IF(LEN(VLOOKUP($B43,Database!$B$1:$IX$10144,AF$22,FALSE))=0,"",VLOOKUP($B43,Database!$B$1:$IX$10144,AF$22,FALSE)))</f>
        <v>17</v>
      </c>
      <c r="AG43" s="22">
        <f>IF(OR($B43="",AG$22=""),"",IF(LEN(VLOOKUP($B43,Database!$B$1:$IX$10144,AG$22,FALSE))=0,"",VLOOKUP($B43,Database!$B$1:$IX$10144,AG$22,FALSE)))</f>
        <v>17</v>
      </c>
      <c r="AH43" s="22"/>
      <c r="AI43" s="22"/>
      <c r="AJ43" s="22" t="str">
        <f>IF(OR($B43="",AJ$22=""),"",IF(LEN(VLOOKUP($B43,Database!$B$1:$IX$10144,AJ$22,FALSE))=0,"",VLOOKUP($B43,Database!$B$1:$IX$10144,AJ$22,FALSE)))</f>
        <v/>
      </c>
      <c r="AK43" s="22">
        <f>IF(OR($B43="",AK$22=""),"",IF(LEN(VLOOKUP($B43,Database!$B$1:$IX$10144,AK$22,FALSE))=0,"",VLOOKUP($B43,Database!$B$1:$IX$10144,AK$22,FALSE)))</f>
        <v>40</v>
      </c>
      <c r="AL43" s="22">
        <f>IF(OR($B43="",AL$22=""),"",IF(LEN(VLOOKUP($B43,Database!$B$1:$IX$10144,AL$22,FALSE))=0,"",VLOOKUP($B43,Database!$B$1:$IX$10144,AL$22,FALSE)))</f>
        <v>24.8</v>
      </c>
      <c r="AM43" s="22"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t="str">
        <f>IF(OR($B43="",AP$22=""),"",IF(LEN(VLOOKUP($B43,Database!$B$1:$IX$10144,AP$22,FALSE))=0,"",VLOOKUP($B43,Database!$B$1:$IX$10144,AP$22,FALSE)))</f>
        <v>ns</v>
      </c>
      <c r="AQ43" s="22" t="str">
        <f>IF(OR($B43="",AQ$22=""),"",IF(LEN(VLOOKUP($B43,Database!$B$1:$IX$10144,AQ$22,FALSE))=0,"",VLOOKUP($B43,Database!$B$1:$IX$10144,AQ$22,FALSE)))</f>
        <v>Frodl T, Meisenzahl EM, Zetzsche T, Born C, Groll C, Jager M, Leinsinger G, Bottlender R, Hahn K, Moller HJ.</v>
      </c>
    </row>
    <row r="44" spans="1:43">
      <c r="A44" s="10" t="s">
        <v>2335</v>
      </c>
      <c r="B44">
        <v>15119911</v>
      </c>
      <c r="C44" s="1" t="str">
        <f>IF($B44="","",HYPERLINK(IF(LEN(VLOOKUP($B44,Database!$B$1:$IX$10144,2,FALSE))=0,"",VLOOKUP($B44,Database!$B$1:$IX$10144,2,FALSE))))</f>
        <v/>
      </c>
      <c r="D44" s="1" t="str">
        <f t="shared" si="1"/>
        <v>http://www.ncbi.nlm.nih.gov/pubmed/15119911</v>
      </c>
      <c r="E44" s="22" t="str">
        <f>IF($B44="","",IF(LEN(VLOOKUP($B44,Database!$B$1:$IX$10144,4,FALSE))=0,"",VLOOKUP($B44,Database!$B$1:$IX$10144,4,FALSE)))</f>
        <v>Frodl T (B)</v>
      </c>
      <c r="F44" s="22">
        <f>IF($B44="","",IF(LEN(VLOOKUP($B44,Database!$B$1:$IX$10144,5,FALSE))=0,"",VLOOKUP($B44,Database!$B$1:$IX$10144,5,FALSE)))</f>
        <v>2004</v>
      </c>
      <c r="G44" s="1" t="str">
        <f>IF($B44="","",HYPERLINK(IF(LEN(VLOOKUP($B44,Database!$B$1:$IX$10144,6,FALSE))=0,"",VLOOKUP($B44,Database!$B$1:$IX$10144,6,FALSE))))</f>
        <v>http://www.psychiatrist.com/abstracts/abstracts.asp?abstract=200404/040405.htm</v>
      </c>
      <c r="H44" s="22">
        <f>IF($B44="","",IF(LEN(VLOOKUP($B44,Database!$B$1:$IX$10144,7,FALSE))=0,"",VLOOKUP($B44,Database!$B$1:$IX$10144,7,FALSE)))</f>
        <v>30</v>
      </c>
      <c r="I44" s="22">
        <f>IF($B44="","",IF(LEN(VLOOKUP($B44,Database!$B$1:$IX$10144,8,FALSE))=0,"",VLOOKUP($B44,Database!$B$1:$IX$10144,8,FALSE)))</f>
        <v>30</v>
      </c>
      <c r="J44" t="s">
        <v>1381</v>
      </c>
      <c r="L44">
        <v>3.7</v>
      </c>
      <c r="M44">
        <v>0.33</v>
      </c>
      <c r="N44">
        <v>3.82</v>
      </c>
      <c r="O44">
        <v>0.34</v>
      </c>
      <c r="P44">
        <v>3.8</v>
      </c>
      <c r="Q44">
        <v>0.31</v>
      </c>
      <c r="R44">
        <v>3.93</v>
      </c>
      <c r="S44">
        <v>0.35</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48.4</v>
      </c>
      <c r="AC44" s="22">
        <f>IF(OR($B44="",AC$22=""),"",IF(LEN(VLOOKUP($B44,Database!$B$1:$IX$10144,AC$22,FALSE))=0,"",VLOOKUP($B44,Database!$B$1:$IX$10144,AC$22,FALSE)))</f>
        <v>13.4</v>
      </c>
      <c r="AD44" s="22">
        <f>IF(OR($B44="",AD$22=""),"",IF(LEN(VLOOKUP($B44,Database!$B$1:$IX$10144,AD$22,FALSE))=0,"",VLOOKUP($B44,Database!$B$1:$IX$10144,AD$22,FALSE)))</f>
        <v>45.7</v>
      </c>
      <c r="AE44" s="22">
        <f>IF(OR($B44="",AE$22=""),"",IF(LEN(VLOOKUP($B44,Database!$B$1:$IX$10144,AE$22,FALSE))=0,"",VLOOKUP($B44,Database!$B$1:$IX$10144,AE$22,FALSE)))</f>
        <v>12.9</v>
      </c>
      <c r="AF44" s="22">
        <f>IF(OR($B44="",AF$22=""),"",IF(LEN(VLOOKUP($B44,Database!$B$1:$IX$10144,AF$22,FALSE))=0,"",VLOOKUP($B44,Database!$B$1:$IX$10144,AF$22,FALSE)))</f>
        <v>18</v>
      </c>
      <c r="AG44" s="22">
        <f>IF(OR($B44="",AG$22=""),"",IF(LEN(VLOOKUP($B44,Database!$B$1:$IX$10144,AG$22,FALSE))=0,"",VLOOKUP($B44,Database!$B$1:$IX$10144,AG$22,FALSE)))</f>
        <v>18</v>
      </c>
      <c r="AH44" s="22"/>
      <c r="AI44" s="22"/>
      <c r="AJ44" s="22" t="str">
        <f>IF(OR($B44="",AJ$22=""),"",IF(LEN(VLOOKUP($B44,Database!$B$1:$IX$10144,AJ$22,FALSE))=0,"",VLOOKUP($B44,Database!$B$1:$IX$10144,AJ$22,FALSE)))</f>
        <v/>
      </c>
      <c r="AK44" s="22">
        <f>IF(OR($B44="",AK$22=""),"",IF(LEN(VLOOKUP($B44,Database!$B$1:$IX$10144,AK$22,FALSE))=0,"",VLOOKUP($B44,Database!$B$1:$IX$10144,AK$22,FALSE)))</f>
        <v>39.299999999999997</v>
      </c>
      <c r="AL44" s="22">
        <f>IF(OR($B44="",AL$22=""),"",IF(LEN(VLOOKUP($B44,Database!$B$1:$IX$10144,AL$22,FALSE))=0,"",VLOOKUP($B44,Database!$B$1:$IX$10144,AL$22,FALSE)))</f>
        <v>23.7</v>
      </c>
      <c r="AM44" s="22" t="str">
        <f>IF(OR($B44="",AM$22=""),"",IF(LEN(VLOOKUP($B44,Database!$B$1:$IX$10144,AM$22,FALSE))=0,"",VLOOKUP($B44,Database!$B$1:$IX$10144,AM$22,FALSE)))</f>
        <v>ns</v>
      </c>
      <c r="AN44" s="22">
        <f>IF(OR($B44="",AN$22=""),"",IF(LEN(VLOOKUP($B44,Database!$B$1:$IX$10144,AN$22,FALSE))=0,"",VLOOKUP($B44,Database!$B$1:$IX$10144,AN$22,FALSE)))</f>
        <v>23.333333333333332</v>
      </c>
      <c r="AO44" s="22" t="str">
        <f>IF(OR($B44="",AO$22=""),"",IF(LEN(VLOOKUP($B44,Database!$B$1:$IX$10144,AO$22,FALSE))=0,"",VLOOKUP($B44,Database!$B$1:$IX$10144,AO$22,FALSE)))</f>
        <v>ns</v>
      </c>
      <c r="AP44" s="22">
        <f>IF(OR($B44="",AP$22=""),"",IF(LEN(VLOOKUP($B44,Database!$B$1:$IX$10144,AP$22,FALSE))=0,"",VLOOKUP($B44,Database!$B$1:$IX$10144,AP$22,FALSE)))</f>
        <v>6.666666666666667</v>
      </c>
      <c r="AQ44" s="22" t="str">
        <f>IF(OR($B44="",AQ$22=""),"",IF(LEN(VLOOKUP($B44,Database!$B$1:$IX$10144,AQ$22,FALSE))=0,"",VLOOKUP($B44,Database!$B$1:$IX$10144,AQ$22,FALSE)))</f>
        <v>Frodl T, Meisenzahl EM, Zetzsche T, Hohne T, Banac S, Schorr C, Jager M, Leinsinger G, Bottlender R, Reiser M, Moller HJ.</v>
      </c>
    </row>
    <row r="45" spans="1:43">
      <c r="A45" s="7" t="s">
        <v>72</v>
      </c>
      <c r="B45">
        <v>15738499</v>
      </c>
      <c r="C45" s="1" t="str">
        <f>IF($B45="","",HYPERLINK(IF(LEN(VLOOKUP($B45,Database!$B$1:$IX$10144,2,FALSE))=0,"",VLOOKUP($B45,Database!$B$1:$IX$10144,2,FALSE))))</f>
        <v/>
      </c>
      <c r="D45" s="1" t="str">
        <f t="shared" si="1"/>
        <v>http://www.ncbi.nlm.nih.gov/pubmed/15738499</v>
      </c>
      <c r="E45" s="22" t="str">
        <f>IF($B45="","",IF(LEN(VLOOKUP($B45,Database!$B$1:$IX$10144,4,FALSE))=0,"",VLOOKUP($B45,Database!$B$1:$IX$10144,4,FALSE)))</f>
        <v>Hickie I (A)</v>
      </c>
      <c r="F45" s="22">
        <f>IF($B45="","",IF(LEN(VLOOKUP($B45,Database!$B$1:$IX$10144,5,FALSE))=0,"",VLOOKUP($B45,Database!$B$1:$IX$10144,5,FALSE)))</f>
        <v>2005</v>
      </c>
      <c r="G45" s="1" t="str">
        <f>IF($B45="","",HYPERLINK(IF(LEN(VLOOKUP($B45,Database!$B$1:$IX$10144,6,FALSE))=0,"",VLOOKUP($B45,Database!$B$1:$IX$10144,6,FALSE))))</f>
        <v>http://bjp.rcpsych.org/cgi/content/full/186/3/197</v>
      </c>
      <c r="H45" s="22">
        <f>IF($B45="","",IF(LEN(VLOOKUP($B45,Database!$B$1:$IX$10144,7,FALSE))=0,"",VLOOKUP($B45,Database!$B$1:$IX$10144,7,FALSE)))</f>
        <v>51</v>
      </c>
      <c r="I45" s="22">
        <f>IF($B45="","",IF(LEN(VLOOKUP($B45,Database!$B$1:$IX$10144,8,FALSE))=0,"",VLOOKUP($B45,Database!$B$1:$IX$10144,8,FALSE)))</f>
        <v>20</v>
      </c>
      <c r="J45" t="s">
        <v>1054</v>
      </c>
      <c r="L45">
        <v>2.9</v>
      </c>
      <c r="M45">
        <v>0.4</v>
      </c>
      <c r="N45">
        <v>3.3</v>
      </c>
      <c r="O45">
        <v>0.5</v>
      </c>
      <c r="P45">
        <v>3</v>
      </c>
      <c r="Q45">
        <v>0.4</v>
      </c>
      <c r="R45">
        <v>3.3</v>
      </c>
      <c r="S45">
        <v>0.6</v>
      </c>
      <c r="T45">
        <v>5.9</v>
      </c>
      <c r="U45">
        <v>0.7</v>
      </c>
      <c r="V45">
        <v>6.6</v>
      </c>
      <c r="W45">
        <v>1.1000000000000001</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53.5</v>
      </c>
      <c r="AC45" s="22">
        <f>IF(OR($B45="",AC$22=""),"",IF(LEN(VLOOKUP($B45,Database!$B$1:$IX$10144,AC$22,FALSE))=0,"",VLOOKUP($B45,Database!$B$1:$IX$10144,AC$22,FALSE)))</f>
        <v>13.5</v>
      </c>
      <c r="AD45" s="22">
        <f>IF(OR($B45="",AD$22=""),"",IF(LEN(VLOOKUP($B45,Database!$B$1:$IX$10144,AD$22,FALSE))=0,"",VLOOKUP($B45,Database!$B$1:$IX$10144,AD$22,FALSE)))</f>
        <v>55.8</v>
      </c>
      <c r="AE45" s="22">
        <f>IF(OR($B45="",AE$22=""),"",IF(LEN(VLOOKUP($B45,Database!$B$1:$IX$10144,AE$22,FALSE))=0,"",VLOOKUP($B45,Database!$B$1:$IX$10144,AE$22,FALSE)))</f>
        <v>10</v>
      </c>
      <c r="AF45" s="22">
        <f>IF(OR($B45="",AF$22=""),"",IF(LEN(VLOOKUP($B45,Database!$B$1:$IX$10144,AF$22,FALSE))=0,"",VLOOKUP($B45,Database!$B$1:$IX$10144,AF$22,FALSE)))</f>
        <v>44</v>
      </c>
      <c r="AG45" s="22">
        <f>IF(OR($B45="",AG$22=""),"",IF(LEN(VLOOKUP($B45,Database!$B$1:$IX$10144,AG$22,FALSE))=0,"",VLOOKUP($B45,Database!$B$1:$IX$10144,AG$22,FALSE)))</f>
        <v>11</v>
      </c>
      <c r="AH45" s="22">
        <f>IF(OR($B45="",AH$22=""),"",IF(LEN(VLOOKUP($B45,Database!$B$1:$IX$10144,AH$22,FALSE))=0,"",VLOOKUP($B45,Database!$B$1:$IX$10144,AH$22,FALSE)))</f>
        <v>1.5</v>
      </c>
      <c r="AI45" s="22">
        <f>IF(OR($B45="",AI$22=""),"",IF(LEN(VLOOKUP($B45,Database!$B$1:$IX$10144,AI$22,FALSE))=0,"",VLOOKUP($B45,Database!$B$1:$IX$10144,AI$22,FALSE)))</f>
        <v>1.5</v>
      </c>
      <c r="AJ45" s="22" t="str">
        <f>IF(OR($B45="",AJ$22=""),"",IF(LEN(VLOOKUP($B45,Database!$B$1:$IX$10144,AJ$22,FALSE))=0,"",VLOOKUP($B45,Database!$B$1:$IX$10144,AJ$22,FALSE)))</f>
        <v/>
      </c>
      <c r="AK45" s="22">
        <f>IF(OR($B45="",AK$22=""),"",IF(LEN(VLOOKUP($B45,Database!$B$1:$IX$10144,AK$22,FALSE))=0,"",VLOOKUP($B45,Database!$B$1:$IX$10144,AK$22,FALSE)))</f>
        <v>38.4</v>
      </c>
      <c r="AL45" s="22">
        <f>IF(OR($B45="",AL$22=""),"",IF(LEN(VLOOKUP($B45,Database!$B$1:$IX$10144,AL$22,FALSE))=0,"",VLOOKUP($B45,Database!$B$1:$IX$10144,AL$22,FALSE)))</f>
        <v>24.9</v>
      </c>
      <c r="AM45" s="22" t="str">
        <f>IF(OR($B45="",AM$22=""),"",IF(LEN(VLOOKUP($B45,Database!$B$1:$IX$10144,AM$22,FALSE))=0,"",VLOOKUP($B45,Database!$B$1:$IX$10144,AM$22,FALSE)))</f>
        <v>ns</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Hickie I, Naismith S, Ward PB, Turner K, Scott E, Mitchell P, Wilhelm K, Parker G.</v>
      </c>
    </row>
    <row r="46" spans="1:43">
      <c r="A46" s="10" t="s">
        <v>2335</v>
      </c>
      <c r="B46">
        <v>16951734</v>
      </c>
      <c r="C46" s="1" t="str">
        <f>IF($B46="","",HYPERLINK(IF(LEN(VLOOKUP($B46,Database!$B$1:$IX$10144,2,FALSE))=0,"",VLOOKUP($B46,Database!$B$1:$IX$10144,2,FALSE))))</f>
        <v/>
      </c>
      <c r="D46" s="1" t="str">
        <f t="shared" si="1"/>
        <v>http://www.ncbi.nlm.nih.gov/pubmed/16951734</v>
      </c>
      <c r="E46" s="22" t="str">
        <f>IF($B46="","",IF(LEN(VLOOKUP($B46,Database!$B$1:$IX$10144,4,FALSE))=0,"",VLOOKUP($B46,Database!$B$1:$IX$10144,4,FALSE)))</f>
        <v>Frodl T</v>
      </c>
      <c r="F46" s="22">
        <f>IF($B46="","",IF(LEN(VLOOKUP($B46,Database!$B$1:$IX$10144,5,FALSE))=0,"",VLOOKUP($B46,Database!$B$1:$IX$10144,5,FALSE)))</f>
        <v>2006</v>
      </c>
      <c r="G46" s="1" t="str">
        <f>IF($B46="","",HYPERLINK(IF(LEN(VLOOKUP($B46,Database!$B$1:$IX$10144,6,FALSE))=0,"",VLOOKUP($B46,Database!$B$1:$IX$10144,6,FALSE))))</f>
        <v>http://www.cma.ca/multimedia/staticContent/HTML/N0/l2/jpn/vol-31/issue-5/pdf/pg316.pdf</v>
      </c>
      <c r="H46" s="22">
        <f>IF($B46="","",IF(LEN(VLOOKUP($B46,Database!$B$1:$IX$10144,7,FALSE))=0,"",VLOOKUP($B46,Database!$B$1:$IX$10144,7,FALSE)))</f>
        <v>34</v>
      </c>
      <c r="I46" s="22">
        <f>IF($B46="","",IF(LEN(VLOOKUP($B46,Database!$B$1:$IX$10144,8,FALSE))=0,"",VLOOKUP($B46,Database!$B$1:$IX$10144,8,FALSE)))</f>
        <v>34</v>
      </c>
      <c r="J46" t="s">
        <v>878</v>
      </c>
      <c r="L46">
        <v>2.79</v>
      </c>
      <c r="M46">
        <v>0.31</v>
      </c>
      <c r="N46">
        <v>3.06</v>
      </c>
      <c r="O46">
        <v>0.3</v>
      </c>
      <c r="P46">
        <v>2.92</v>
      </c>
      <c r="Q46">
        <v>0.28999999999999998</v>
      </c>
      <c r="R46">
        <v>3.14</v>
      </c>
      <c r="S46">
        <v>0.3</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45.5</v>
      </c>
      <c r="AC46" s="22">
        <f>IF(OR($B46="",AC$22=""),"",IF(LEN(VLOOKUP($B46,Database!$B$1:$IX$10144,AC$22,FALSE))=0,"",VLOOKUP($B46,Database!$B$1:$IX$10144,AC$22,FALSE)))</f>
        <v>11.9</v>
      </c>
      <c r="AD46" s="22">
        <f>IF(OR($B46="",AD$22=""),"",IF(LEN(VLOOKUP($B46,Database!$B$1:$IX$10144,AD$22,FALSE))=0,"",VLOOKUP($B46,Database!$B$1:$IX$10144,AD$22,FALSE)))</f>
        <v>43.6</v>
      </c>
      <c r="AE46" s="22">
        <f>IF(OR($B46="",AE$22=""),"",IF(LEN(VLOOKUP($B46,Database!$B$1:$IX$10144,AE$22,FALSE))=0,"",VLOOKUP($B46,Database!$B$1:$IX$10144,AE$22,FALSE)))</f>
        <v>13.2</v>
      </c>
      <c r="AF46" s="22">
        <f>IF(OR($B46="",AF$22=""),"",IF(LEN(VLOOKUP($B46,Database!$B$1:$IX$10144,AF$22,FALSE))=0,"",VLOOKUP($B46,Database!$B$1:$IX$10144,AF$22,FALSE)))</f>
        <v>15</v>
      </c>
      <c r="AG46" s="22">
        <f>IF(OR($B46="",AG$22=""),"",IF(LEN(VLOOKUP($B46,Database!$B$1:$IX$10144,AG$22,FALSE))=0,"",VLOOKUP($B46,Database!$B$1:$IX$10144,AG$22,FALSE)))</f>
        <v>15</v>
      </c>
      <c r="AH46" s="22"/>
      <c r="AI46" s="22"/>
      <c r="AJ46" s="22" t="str">
        <f>IF(OR($B46="",AJ$22=""),"",IF(LEN(VLOOKUP($B46,Database!$B$1:$IX$10144,AJ$22,FALSE))=0,"",VLOOKUP($B46,Database!$B$1:$IX$10144,AJ$22,FALSE)))</f>
        <v/>
      </c>
      <c r="AK46" s="22">
        <f>IF(OR($B46="",AK$22=""),"",IF(LEN(VLOOKUP($B46,Database!$B$1:$IX$10144,AK$22,FALSE))=0,"",VLOOKUP($B46,Database!$B$1:$IX$10144,AK$22,FALSE)))</f>
        <v>38.799999999999997</v>
      </c>
      <c r="AL46" s="22">
        <f>IF(OR($B46="",AL$22=""),"",IF(LEN(VLOOKUP($B46,Database!$B$1:$IX$10144,AL$22,FALSE))=0,"",VLOOKUP($B46,Database!$B$1:$IX$10144,AL$22,FALSE)))</f>
        <v>24.8</v>
      </c>
      <c r="AM46" s="22">
        <f>IF(OR($B46="",AM$22=""),"",IF(LEN(VLOOKUP($B46,Database!$B$1:$IX$10144,AM$22,FALSE))=0,"",VLOOKUP($B46,Database!$B$1:$IX$10144,AM$22,FALSE)))</f>
        <v>91.17647058823529</v>
      </c>
      <c r="AN46" s="22" t="str">
        <f>IF(OR($B46="",AN$22=""),"",IF(LEN(VLOOKUP($B46,Database!$B$1:$IX$10144,AN$22,FALSE))=0,"",VLOOKUP($B46,Database!$B$1:$IX$10144,AN$22,FALSE)))</f>
        <v>ns</v>
      </c>
      <c r="AO46" s="22">
        <f>IF(OR($B46="",AO$22=""),"",IF(LEN(VLOOKUP($B46,Database!$B$1:$IX$10144,AO$22,FALSE))=0,"",VLOOKUP($B46,Database!$B$1:$IX$10144,AO$22,FALSE)))</f>
        <v>11.76470588235294</v>
      </c>
      <c r="AP46" s="22">
        <f>IF(OR($B46="",AP$22=""),"",IF(LEN(VLOOKUP($B46,Database!$B$1:$IX$10144,AP$22,FALSE))=0,"",VLOOKUP($B46,Database!$B$1:$IX$10144,AP$22,FALSE)))</f>
        <v>8.8235294117647065</v>
      </c>
      <c r="AQ46" s="22" t="str">
        <f>IF(OR($B46="",AQ$22=""),"",IF(LEN(VLOOKUP($B46,Database!$B$1:$IX$10144,AQ$22,FALSE))=0,"",VLOOKUP($B46,Database!$B$1:$IX$10144,AQ$22,FALSE)))</f>
        <v>Frodl T, Schaub A, Banac S, Charypar M, Jager M, Kummler P, Bottlender R, Zetzsche T, Born C, Leinsinger G, Reiser M, Moller HJ, Meisenzahl EM.</v>
      </c>
    </row>
    <row r="47" spans="1:43">
      <c r="A47" s="10" t="s">
        <v>2336</v>
      </c>
      <c r="B47">
        <v>17389903</v>
      </c>
      <c r="C47" s="1" t="str">
        <f>IF($B47="","",HYPERLINK(IF(LEN(VLOOKUP($B47,Database!$B$1:$IX$10144,2,FALSE))=0,"",VLOOKUP($B47,Database!$B$1:$IX$10144,2,FALSE))))</f>
        <v/>
      </c>
      <c r="D47" s="1" t="str">
        <f t="shared" si="1"/>
        <v>http://www.ncbi.nlm.nih.gov/pubmed/17389903</v>
      </c>
      <c r="E47" s="22" t="str">
        <f>IF($B47="","",IF(LEN(VLOOKUP($B47,Database!$B$1:$IX$10144,4,FALSE))=0,"",VLOOKUP($B47,Database!$B$1:$IX$10144,4,FALSE)))</f>
        <v>Monkul ES</v>
      </c>
      <c r="F47" s="22">
        <f>IF($B47="","",IF(LEN(VLOOKUP($B47,Database!$B$1:$IX$10144,5,FALSE))=0,"",VLOOKUP($B47,Database!$B$1:$IX$10144,5,FALSE)))</f>
        <v>2007</v>
      </c>
      <c r="G47" s="1" t="str">
        <f>IF($B47="","",HYPERLINK(IF(LEN(VLOOKUP($B47,Database!$B$1:$IX$10144,6,FALSE))=0,"",VLOOKUP($B47,Database!$B$1:$IX$10144,6,FALSE))))</f>
        <v>http://www.nature.com/mp/journal/v12/n4/pdf/4001919a.pdf</v>
      </c>
      <c r="H47" s="83">
        <v>7</v>
      </c>
      <c r="I47" s="83">
        <v>8.5</v>
      </c>
      <c r="J47" t="s">
        <v>1378</v>
      </c>
      <c r="K47" t="s">
        <v>988</v>
      </c>
      <c r="L47">
        <v>3.44</v>
      </c>
      <c r="M47">
        <v>0.7</v>
      </c>
      <c r="N47">
        <v>3.32</v>
      </c>
      <c r="O47">
        <v>0.27</v>
      </c>
      <c r="P47">
        <v>3.35</v>
      </c>
      <c r="Q47">
        <v>0.49</v>
      </c>
      <c r="R47">
        <v>3.29</v>
      </c>
      <c r="S47">
        <v>0.34</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83">
        <v>31.4</v>
      </c>
      <c r="AC47" s="83">
        <v>13.9</v>
      </c>
      <c r="AD47" s="83">
        <f>IF(OR($B47="",AD$22=""),"",IF(LEN(VLOOKUP($B47,Database!$B$1:$IX$10144,AD$22,FALSE))=0,"",VLOOKUP($B47,Database!$B$1:$IX$10144,AD$22,FALSE)))</f>
        <v>31.3</v>
      </c>
      <c r="AE47" s="83">
        <f>IF(OR($B47="",AE$22=""),"",IF(LEN(VLOOKUP($B47,Database!$B$1:$IX$10144,AE$22,FALSE))=0,"",VLOOKUP($B47,Database!$B$1:$IX$10144,AE$22,FALSE)))</f>
        <v>8.3000000000000007</v>
      </c>
      <c r="AF47" s="83">
        <v>7</v>
      </c>
      <c r="AG47" s="83">
        <v>8.5</v>
      </c>
      <c r="AH47" s="22"/>
      <c r="AI47" s="22"/>
      <c r="AJ47" s="22" t="str">
        <f>IF(OR($B47="",AJ$22=""),"",IF(LEN(VLOOKUP($B47,Database!$B$1:$IX$10144,AJ$22,FALSE))=0,"",VLOOKUP($B47,Database!$B$1:$IX$10144,AJ$22,FALSE)))</f>
        <v/>
      </c>
      <c r="AK47" s="83">
        <v>16</v>
      </c>
      <c r="AL47" s="83">
        <v>13.7</v>
      </c>
      <c r="AM47" s="22">
        <f>IF(OR($B47="",AM$22=""),"",IF(LEN(VLOOKUP($B47,Database!$B$1:$IX$10144,AM$22,FALSE))=0,"",VLOOKUP($B47,Database!$B$1:$IX$10144,AM$22,FALSE)))</f>
        <v>0</v>
      </c>
      <c r="AN47" s="22">
        <f>IF(OR($B47="",AN$22=""),"",IF(LEN(VLOOKUP($B47,Database!$B$1:$IX$10144,AN$22,FALSE))=0,"",VLOOKUP($B47,Database!$B$1:$IX$10144,AN$22,FALSE)))</f>
        <v>0</v>
      </c>
      <c r="AO47" s="22">
        <f>IF(OR($B47="",AO$22=""),"",IF(LEN(VLOOKUP($B47,Database!$B$1:$IX$10144,AO$22,FALSE))=0,"",VLOOKUP($B47,Database!$B$1:$IX$10144,AO$22,FALSE)))</f>
        <v>0</v>
      </c>
      <c r="AP47" s="22">
        <f>IF(OR($B47="",AP$22=""),"",IF(LEN(VLOOKUP($B47,Database!$B$1:$IX$10144,AP$22,FALSE))=0,"",VLOOKUP($B47,Database!$B$1:$IX$10144,AP$22,FALSE)))</f>
        <v>100</v>
      </c>
      <c r="AQ47" s="22" t="str">
        <f>IF(OR($B47="",AQ$22=""),"",IF(LEN(VLOOKUP($B47,Database!$B$1:$IX$10144,AQ$22,FALSE))=0,"",VLOOKUP($B47,Database!$B$1:$IX$10144,AQ$22,FALSE)))</f>
        <v>Monkul ES, Hatch JP, Nicoletti MA, Spence S, Brambilla P, Lacerda AL, Sassi RB, Mallinger AG, Keshavan MS, Soares JC.</v>
      </c>
    </row>
    <row r="48" spans="1:43">
      <c r="A48" s="10" t="s">
        <v>2336</v>
      </c>
      <c r="B48">
        <v>17389903</v>
      </c>
      <c r="C48" s="1" t="str">
        <f>IF($B48="","",HYPERLINK(IF(LEN(VLOOKUP($B48,Database!$B$1:$IX$10144,2,FALSE))=0,"",VLOOKUP($B48,Database!$B$1:$IX$10144,2,FALSE))))</f>
        <v/>
      </c>
      <c r="D48" s="1" t="str">
        <f t="shared" si="1"/>
        <v>http://www.ncbi.nlm.nih.gov/pubmed/17389903</v>
      </c>
      <c r="E48" s="22" t="str">
        <f>IF($B48="","",IF(LEN(VLOOKUP($B48,Database!$B$1:$IX$10144,4,FALSE))=0,"",VLOOKUP($B48,Database!$B$1:$IX$10144,4,FALSE)))</f>
        <v>Monkul ES</v>
      </c>
      <c r="F48" s="22">
        <f>IF($B48="","",IF(LEN(VLOOKUP($B48,Database!$B$1:$IX$10144,5,FALSE))=0,"",VLOOKUP($B48,Database!$B$1:$IX$10144,5,FALSE)))</f>
        <v>2007</v>
      </c>
      <c r="G48" s="1" t="str">
        <f>IF($B48="","",HYPERLINK(IF(LEN(VLOOKUP($B48,Database!$B$1:$IX$10144,6,FALSE))=0,"",VLOOKUP($B48,Database!$B$1:$IX$10144,6,FALSE))))</f>
        <v>http://www.nature.com/mp/journal/v12/n4/pdf/4001919a.pdf</v>
      </c>
      <c r="H48" s="83">
        <v>10</v>
      </c>
      <c r="I48" s="83">
        <v>8.5</v>
      </c>
      <c r="J48" t="s">
        <v>1378</v>
      </c>
      <c r="K48" t="s">
        <v>989</v>
      </c>
      <c r="L48">
        <v>3.38</v>
      </c>
      <c r="M48">
        <v>0.43</v>
      </c>
      <c r="N48">
        <v>3.32</v>
      </c>
      <c r="O48">
        <v>0.27</v>
      </c>
      <c r="P48">
        <v>3.47</v>
      </c>
      <c r="Q48">
        <v>0.42</v>
      </c>
      <c r="R48">
        <v>3.29</v>
      </c>
      <c r="S48">
        <v>0.34</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83">
        <v>36.5</v>
      </c>
      <c r="AC48" s="83">
        <v>7.5</v>
      </c>
      <c r="AD48" s="83">
        <f>IF(OR($B48="",AD$22=""),"",IF(LEN(VLOOKUP($B48,Database!$B$1:$IX$10144,AD$22,FALSE))=0,"",VLOOKUP($B48,Database!$B$1:$IX$10144,AD$22,FALSE)))</f>
        <v>31.3</v>
      </c>
      <c r="AE48" s="83">
        <f>IF(OR($B48="",AE$22=""),"",IF(LEN(VLOOKUP($B48,Database!$B$1:$IX$10144,AE$22,FALSE))=0,"",VLOOKUP($B48,Database!$B$1:$IX$10144,AE$22,FALSE)))</f>
        <v>8.3000000000000007</v>
      </c>
      <c r="AF48" s="83">
        <v>10</v>
      </c>
      <c r="AG48" s="83">
        <v>8.5</v>
      </c>
      <c r="AH48" s="22"/>
      <c r="AI48" s="22"/>
      <c r="AJ48" s="22" t="str">
        <f>IF(OR($B48="",AJ$22=""),"",IF(LEN(VLOOKUP($B48,Database!$B$1:$IX$10144,AJ$22,FALSE))=0,"",VLOOKUP($B48,Database!$B$1:$IX$10144,AJ$22,FALSE)))</f>
        <v/>
      </c>
      <c r="AK48" s="83">
        <v>26.9</v>
      </c>
      <c r="AL48" s="83">
        <v>10.9</v>
      </c>
      <c r="AM48" s="22">
        <f>IF(OR($B48="",AM$22=""),"",IF(LEN(VLOOKUP($B48,Database!$B$1:$IX$10144,AM$22,FALSE))=0,"",VLOOKUP($B48,Database!$B$1:$IX$10144,AM$22,FALSE)))</f>
        <v>0</v>
      </c>
      <c r="AN48" s="22">
        <f>IF(OR($B48="",AN$22=""),"",IF(LEN(VLOOKUP($B48,Database!$B$1:$IX$10144,AN$22,FALSE))=0,"",VLOOKUP($B48,Database!$B$1:$IX$10144,AN$22,FALSE)))</f>
        <v>0</v>
      </c>
      <c r="AO48" s="22">
        <f>IF(OR($B48="",AO$22=""),"",IF(LEN(VLOOKUP($B48,Database!$B$1:$IX$10144,AO$22,FALSE))=0,"",VLOOKUP($B48,Database!$B$1:$IX$10144,AO$22,FALSE)))</f>
        <v>0</v>
      </c>
      <c r="AP48" s="22">
        <f>IF(OR($B48="",AP$22=""),"",IF(LEN(VLOOKUP($B48,Database!$B$1:$IX$10144,AP$22,FALSE))=0,"",VLOOKUP($B48,Database!$B$1:$IX$10144,AP$22,FALSE)))</f>
        <v>100</v>
      </c>
      <c r="AQ48" s="22" t="str">
        <f>IF(OR($B48="",AQ$22=""),"",IF(LEN(VLOOKUP($B48,Database!$B$1:$IX$10144,AQ$22,FALSE))=0,"",VLOOKUP($B48,Database!$B$1:$IX$10144,AQ$22,FALSE)))</f>
        <v>Monkul ES, Hatch JP, Nicoletti MA, Spence S, Brambilla P, Lacerda AL, Sassi RB, Mallinger AG, Keshavan MS, Soares JC.</v>
      </c>
    </row>
    <row r="49" spans="1:62">
      <c r="A49" s="10" t="s">
        <v>2335</v>
      </c>
      <c r="B49">
        <v>18787661</v>
      </c>
      <c r="C49" s="1" t="str">
        <f>IF($B49="","",HYPERLINK(IF(LEN(VLOOKUP($B49,Database!$B$1:$IX$10144,2,FALSE))=0,"",VLOOKUP($B49,Database!$B$1:$IX$10144,2,FALSE))))</f>
        <v/>
      </c>
      <c r="D49" s="1" t="str">
        <f t="shared" si="1"/>
        <v>http://www.ncbi.nlm.nih.gov/pubmed/18787661</v>
      </c>
      <c r="E49" s="22" t="str">
        <f>IF($B49="","",IF(LEN(VLOOKUP($B49,Database!$B$1:$IX$10144,4,FALSE))=0,"",VLOOKUP($B49,Database!$B$1:$IX$10144,4,FALSE)))</f>
        <v>Frodl T (C)</v>
      </c>
      <c r="F49" s="22">
        <f>IF($B49="","",IF(LEN(VLOOKUP($B49,Database!$B$1:$IX$10144,5,FALSE))=0,"",VLOOKUP($B49,Database!$B$1:$IX$10144,5,FALSE)))</f>
        <v>2008</v>
      </c>
      <c r="G49" s="1" t="str">
        <f>IF($B49="","",HYPERLINK(IF(LEN(VLOOKUP($B49,Database!$B$1:$IX$10144,6,FALSE))=0,"",VLOOKUP($B49,Database!$B$1:$IX$10144,6,FALSE))))</f>
        <v>http://www.cma.ca/multimedia/staticContent/HTML/N0/l2/jpn/vol-33/issue-5/pdf/pg423.pdf</v>
      </c>
      <c r="H49" s="22">
        <f>IF($B49="","",IF(LEN(VLOOKUP($B49,Database!$B$1:$IX$10144,7,FALSE))=0,"",VLOOKUP($B49,Database!$B$1:$IX$10144,7,FALSE)))</f>
        <v>30</v>
      </c>
      <c r="I49" s="22">
        <f>IF($B49="","",IF(LEN(VLOOKUP($B49,Database!$B$1:$IX$10144,8,FALSE))=0,"",VLOOKUP($B49,Database!$B$1:$IX$10144,8,FALSE)))</f>
        <v>30</v>
      </c>
      <c r="J49" t="s">
        <v>652</v>
      </c>
      <c r="L49">
        <v>3.71</v>
      </c>
      <c r="M49">
        <v>0.34</v>
      </c>
      <c r="N49">
        <v>3.72</v>
      </c>
      <c r="O49">
        <v>0.37</v>
      </c>
      <c r="P49">
        <v>3.85</v>
      </c>
      <c r="Q49">
        <v>0.34</v>
      </c>
      <c r="R49">
        <v>3.82</v>
      </c>
      <c r="S49">
        <v>0.47</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45</v>
      </c>
      <c r="AC49" s="22">
        <f>IF(OR($B49="",AC$22=""),"",IF(LEN(VLOOKUP($B49,Database!$B$1:$IX$10144,AC$22,FALSE))=0,"",VLOOKUP($B49,Database!$B$1:$IX$10144,AC$22,FALSE)))</f>
        <v>11.1</v>
      </c>
      <c r="AD49" s="22">
        <f>IF(OR($B49="",AD$22=""),"",IF(LEN(VLOOKUP($B49,Database!$B$1:$IX$10144,AD$22,FALSE))=0,"",VLOOKUP($B49,Database!$B$1:$IX$10144,AD$22,FALSE)))</f>
        <v>43.6</v>
      </c>
      <c r="AE49" s="22">
        <f>IF(OR($B49="",AE$22=""),"",IF(LEN(VLOOKUP($B49,Database!$B$1:$IX$10144,AE$22,FALSE))=0,"",VLOOKUP($B49,Database!$B$1:$IX$10144,AE$22,FALSE)))</f>
        <v>13.1</v>
      </c>
      <c r="AF49" s="22">
        <f>IF(OR($B49="",AF$22=""),"",IF(LEN(VLOOKUP($B49,Database!$B$1:$IX$10144,AF$22,FALSE))=0,"",VLOOKUP($B49,Database!$B$1:$IX$10144,AF$22,FALSE)))</f>
        <v>19</v>
      </c>
      <c r="AG49" s="22">
        <f>IF(OR($B49="",AG$22=""),"",IF(LEN(VLOOKUP($B49,Database!$B$1:$IX$10144,AG$22,FALSE))=0,"",VLOOKUP($B49,Database!$B$1:$IX$10144,AG$22,FALSE)))</f>
        <v>19</v>
      </c>
      <c r="AH49" s="22"/>
      <c r="AI49" s="22"/>
      <c r="AJ49" s="22" t="str">
        <f>IF(OR($B49="",AJ$22=""),"",IF(LEN(VLOOKUP($B49,Database!$B$1:$IX$10144,AJ$22,FALSE))=0,"",VLOOKUP($B49,Database!$B$1:$IX$10144,AJ$22,FALSE)))</f>
        <v/>
      </c>
      <c r="AK49" s="22">
        <f>IF(OR($B49="",AK$22=""),"",IF(LEN(VLOOKUP($B49,Database!$B$1:$IX$10144,AK$22,FALSE))=0,"",VLOOKUP($B49,Database!$B$1:$IX$10144,AK$22,FALSE)))</f>
        <v>39.299999999999997</v>
      </c>
      <c r="AL49" s="22">
        <f>IF(OR($B49="",AL$22=""),"",IF(LEN(VLOOKUP($B49,Database!$B$1:$IX$10144,AL$22,FALSE))=0,"",VLOOKUP($B49,Database!$B$1:$IX$10144,AL$22,FALSE)))</f>
        <v>24</v>
      </c>
      <c r="AM49" s="22">
        <f>IF(OR($B49="",AM$22=""),"",IF(LEN(VLOOKUP($B49,Database!$B$1:$IX$10144,AM$22,FALSE))=0,"",VLOOKUP($B49,Database!$B$1:$IX$10144,AM$22,FALSE)))</f>
        <v>96.666666666666671</v>
      </c>
      <c r="AN49" s="22" t="str">
        <f>IF(OR($B49="",AN$22=""),"",IF(LEN(VLOOKUP($B49,Database!$B$1:$IX$10144,AN$22,FALSE))=0,"",VLOOKUP($B49,Database!$B$1:$IX$10144,AN$22,FALSE)))</f>
        <v>ns</v>
      </c>
      <c r="AO49" s="22" t="str">
        <f>IF(OR($B49="",AO$22=""),"",IF(LEN(VLOOKUP($B49,Database!$B$1:$IX$10144,AO$22,FALSE))=0,"",VLOOKUP($B49,Database!$B$1:$IX$10144,AO$22,FALSE)))</f>
        <v>ns</v>
      </c>
      <c r="AP49" s="22" t="str">
        <f>IF(OR($B49="",AP$22=""),"",IF(LEN(VLOOKUP($B49,Database!$B$1:$IX$10144,AP$22,FALSE))=0,"",VLOOKUP($B49,Database!$B$1:$IX$10144,AP$22,FALSE)))</f>
        <v>ns</v>
      </c>
      <c r="AQ49" s="22" t="str">
        <f>IF(OR($B49="",AQ$22=""),"",IF(LEN(VLOOKUP($B49,Database!$B$1:$IX$10144,AQ$22,FALSE))=0,"",VLOOKUP($B49,Database!$B$1:$IX$10144,AQ$22,FALSE)))</f>
        <v>Frodl T, Jäger M, Smajstrlova I, Born C, Bottlender R, Palladino T, Reiser M, Möller HJ, Meisenzahl EM.</v>
      </c>
    </row>
    <row r="50" spans="1:62">
      <c r="A50" s="10" t="s">
        <v>1188</v>
      </c>
      <c r="B50">
        <v>18508244</v>
      </c>
      <c r="C50" s="1" t="str">
        <f>IF($B50="","",HYPERLINK(IF(LEN(VLOOKUP($B50,Database!$B$1:$IX$10144,2,FALSE))=0,"",VLOOKUP($B50,Database!$B$1:$IX$10144,2,FALSE))))</f>
        <v/>
      </c>
      <c r="D50" s="1" t="str">
        <f t="shared" si="1"/>
        <v>http://www.ncbi.nlm.nih.gov/pubmed/18508244</v>
      </c>
      <c r="E50" s="22" t="str">
        <f>IF($B50="","",IF(LEN(VLOOKUP($B50,Database!$B$1:$IX$10144,4,FALSE))=0,"",VLOOKUP($B50,Database!$B$1:$IX$10144,4,FALSE)))</f>
        <v>Greenberg DL</v>
      </c>
      <c r="F50" s="22">
        <f>IF($B50="","",IF(LEN(VLOOKUP($B50,Database!$B$1:$IX$10144,5,FALSE))=0,"",VLOOKUP($B50,Database!$B$1:$IX$10144,5,FALSE)))</f>
        <v>2008</v>
      </c>
      <c r="G50" s="1" t="str">
        <f>IF($B50="","",HYPERLINK(IF(LEN(VLOOKUP($B50,Database!$B$1:$IX$10144,6,FALSE))=0,"",VLOOKUP($B50,Database!$B$1:$IX$10144,6,FALSE))))</f>
        <v>http://dx.doi.org/10.1016/j.pscychresns.2007.12.009</v>
      </c>
      <c r="H50" s="83">
        <v>56</v>
      </c>
      <c r="I50" s="83">
        <v>41.5</v>
      </c>
      <c r="J50" t="s">
        <v>609</v>
      </c>
      <c r="K50" t="s">
        <v>607</v>
      </c>
      <c r="L50">
        <v>2.91</v>
      </c>
      <c r="M50">
        <v>0.45</v>
      </c>
      <c r="N50">
        <v>2.95</v>
      </c>
      <c r="O50">
        <v>0.45</v>
      </c>
      <c r="P50">
        <v>3.13</v>
      </c>
      <c r="Q50">
        <v>0.36</v>
      </c>
      <c r="R50">
        <v>3.13</v>
      </c>
      <c r="S50">
        <v>0.44</v>
      </c>
      <c r="Y50" s="22" t="str">
        <f>IF(OR($B50="",Y$22=""),"",IF(LEN(VLOOKUP($B50,Database!$B$1:$IX$10144,Y$22,FALSE))=0,"",VLOOKUP($B50,Database!$B$1:$IX$10144,Y$22,FALSE)))</f>
        <v>DSM-IV</v>
      </c>
      <c r="Z50" s="22" t="str">
        <f>IF(OR($B50="",Z$22=""),"",IF(LEN(VLOOKUP($B50,Database!$B$1:$IX$10144,Z$22,FALSE))=0,"",VLOOKUP($B50,Database!$B$1:$IX$10144,Z$22,FALSE)))</f>
        <v>MRI</v>
      </c>
      <c r="AA50" s="83" t="s">
        <v>751</v>
      </c>
      <c r="AB50" s="83">
        <v>71</v>
      </c>
      <c r="AC50" s="83">
        <v>7</v>
      </c>
      <c r="AD50" s="22">
        <f>IF(OR($B50="",AD$22=""),"",IF(LEN(VLOOKUP($B50,Database!$B$1:$IX$10144,AD$22,FALSE))=0,"",VLOOKUP($B50,Database!$B$1:$IX$10144,AD$22,FALSE)))</f>
        <v>69</v>
      </c>
      <c r="AE50" s="22">
        <f>IF(OR($B50="",AE$22=""),"",IF(LEN(VLOOKUP($B50,Database!$B$1:$IX$10144,AE$22,FALSE))=0,"",VLOOKUP($B50,Database!$B$1:$IX$10144,AE$22,FALSE)))</f>
        <v>7</v>
      </c>
      <c r="AF50" s="83">
        <v>37</v>
      </c>
      <c r="AG50" s="83">
        <v>31.5</v>
      </c>
      <c r="AH50" s="22"/>
      <c r="AI50" s="22"/>
      <c r="AJ50" s="22" t="str">
        <f>IF(OR($B50="",AJ$22=""),"",IF(LEN(VLOOKUP($B50,Database!$B$1:$IX$10144,AJ$22,FALSE))=0,"",VLOOKUP($B50,Database!$B$1:$IX$10144,AJ$22,FALSE)))</f>
        <v/>
      </c>
      <c r="AK50" s="83">
        <v>49</v>
      </c>
      <c r="AL50" s="83">
        <v>21</v>
      </c>
      <c r="AM50" s="22" t="str">
        <f>IF(OR($B50="",AM$22=""),"",IF(LEN(VLOOKUP($B50,Database!$B$1:$IX$10144,AM$22,FALSE))=0,"",VLOOKUP($B50,Database!$B$1:$IX$10144,AM$22,FALSE)))</f>
        <v>ns</v>
      </c>
      <c r="AN50" s="22" t="str">
        <f>IF(OR($B50="",AN$22=""),"",IF(LEN(VLOOKUP($B50,Database!$B$1:$IX$10144,AN$22,FALSE))=0,"",VLOOKUP($B50,Database!$B$1:$IX$10144,AN$22,FALSE)))</f>
        <v>ns</v>
      </c>
      <c r="AO50" s="22" t="str">
        <f>IF(OR($B50="",AO$22=""),"",IF(LEN(VLOOKUP($B50,Database!$B$1:$IX$10144,AO$22,FALSE))=0,"",VLOOKUP($B50,Database!$B$1:$IX$10144,AO$22,FALSE)))</f>
        <v>ns</v>
      </c>
      <c r="AP50" s="22" t="str">
        <f>IF(OR($B50="",AP$22=""),"",IF(LEN(VLOOKUP($B50,Database!$B$1:$IX$10144,AP$22,FALSE))=0,"",VLOOKUP($B50,Database!$B$1:$IX$10144,AP$22,FALSE)))</f>
        <v>ns</v>
      </c>
      <c r="AQ50" s="22" t="str">
        <f>IF(OR($B50="",AQ$22=""),"",IF(LEN(VLOOKUP($B50,Database!$B$1:$IX$10144,AQ$22,FALSE))=0,"",VLOOKUP($B50,Database!$B$1:$IX$10144,AQ$22,FALSE)))</f>
        <v>Greenberg DL, Payne ME, MacFall JR, Steffens DC, Krishnan RR.</v>
      </c>
    </row>
    <row r="51" spans="1:62">
      <c r="A51" s="10" t="s">
        <v>1188</v>
      </c>
      <c r="B51">
        <v>18508244</v>
      </c>
      <c r="C51" s="1" t="str">
        <f>IF($B51="","",HYPERLINK(IF(LEN(VLOOKUP($B51,Database!$B$1:$IX$10144,2,FALSE))=0,"",VLOOKUP($B51,Database!$B$1:$IX$10144,2,FALSE))))</f>
        <v/>
      </c>
      <c r="D51" s="1" t="str">
        <f t="shared" si="1"/>
        <v>http://www.ncbi.nlm.nih.gov/pubmed/18508244</v>
      </c>
      <c r="E51" s="22" t="str">
        <f>IF($B51="","",IF(LEN(VLOOKUP($B51,Database!$B$1:$IX$10144,4,FALSE))=0,"",VLOOKUP($B51,Database!$B$1:$IX$10144,4,FALSE)))</f>
        <v>Greenberg DL</v>
      </c>
      <c r="F51" s="22">
        <f>IF($B51="","",IF(LEN(VLOOKUP($B51,Database!$B$1:$IX$10144,5,FALSE))=0,"",VLOOKUP($B51,Database!$B$1:$IX$10144,5,FALSE)))</f>
        <v>2008</v>
      </c>
      <c r="G51" s="1" t="str">
        <f>IF($B51="","",HYPERLINK(IF(LEN(VLOOKUP($B51,Database!$B$1:$IX$10144,6,FALSE))=0,"",VLOOKUP($B51,Database!$B$1:$IX$10144,6,FALSE))))</f>
        <v>http://dx.doi.org/10.1016/j.pscychresns.2007.12.009</v>
      </c>
      <c r="H51" s="83">
        <v>68</v>
      </c>
      <c r="I51" s="83">
        <v>41.5</v>
      </c>
      <c r="J51" t="s">
        <v>609</v>
      </c>
      <c r="K51" t="s">
        <v>608</v>
      </c>
      <c r="L51">
        <v>2.99</v>
      </c>
      <c r="M51">
        <v>0.48</v>
      </c>
      <c r="N51">
        <v>2.95</v>
      </c>
      <c r="O51">
        <v>0.45</v>
      </c>
      <c r="P51">
        <v>3.07</v>
      </c>
      <c r="Q51">
        <v>0.46</v>
      </c>
      <c r="R51">
        <v>3.13</v>
      </c>
      <c r="S51">
        <v>0.44</v>
      </c>
      <c r="Y51" s="22" t="str">
        <f>IF(OR($B51="",Y$22=""),"",IF(LEN(VLOOKUP($B51,Database!$B$1:$IX$10144,Y$22,FALSE))=0,"",VLOOKUP($B51,Database!$B$1:$IX$10144,Y$22,FALSE)))</f>
        <v>DSM-IV</v>
      </c>
      <c r="Z51" s="22" t="str">
        <f>IF(OR($B51="",Z$22=""),"",IF(LEN(VLOOKUP($B51,Database!$B$1:$IX$10144,Z$22,FALSE))=0,"",VLOOKUP($B51,Database!$B$1:$IX$10144,Z$22,FALSE)))</f>
        <v>MRI</v>
      </c>
      <c r="AA51" s="83" t="s">
        <v>752</v>
      </c>
      <c r="AB51" s="83">
        <v>70</v>
      </c>
      <c r="AC51" s="83">
        <v>8</v>
      </c>
      <c r="AD51" s="22">
        <f>IF(OR($B51="",AD$22=""),"",IF(LEN(VLOOKUP($B51,Database!$B$1:$IX$10144,AD$22,FALSE))=0,"",VLOOKUP($B51,Database!$B$1:$IX$10144,AD$22,FALSE)))</f>
        <v>69</v>
      </c>
      <c r="AE51" s="22">
        <f>IF(OR($B51="",AE$22=""),"",IF(LEN(VLOOKUP($B51,Database!$B$1:$IX$10144,AE$22,FALSE))=0,"",VLOOKUP($B51,Database!$B$1:$IX$10144,AE$22,FALSE)))</f>
        <v>7</v>
      </c>
      <c r="AF51" s="83">
        <v>48</v>
      </c>
      <c r="AG51" s="83">
        <v>31.5</v>
      </c>
      <c r="AH51" s="22"/>
      <c r="AI51" s="22"/>
      <c r="AJ51" s="22" t="str">
        <f>IF(OR($B51="",AJ$22=""),"",IF(LEN(VLOOKUP($B51,Database!$B$1:$IX$10144,AJ$22,FALSE))=0,"",VLOOKUP($B51,Database!$B$1:$IX$10144,AJ$22,FALSE)))</f>
        <v/>
      </c>
      <c r="AK51" s="83">
        <v>40</v>
      </c>
      <c r="AL51" s="83">
        <v>21</v>
      </c>
      <c r="AM51" s="22" t="str">
        <f>IF(OR($B51="",AM$22=""),"",IF(LEN(VLOOKUP($B51,Database!$B$1:$IX$10144,AM$22,FALSE))=0,"",VLOOKUP($B51,Database!$B$1:$IX$10144,AM$22,FALSE)))</f>
        <v>ns</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2" t="str">
        <f>IF(OR($B51="",AQ$22=""),"",IF(LEN(VLOOKUP($B51,Database!$B$1:$IX$10144,AQ$22,FALSE))=0,"",VLOOKUP($B51,Database!$B$1:$IX$10144,AQ$22,FALSE)))</f>
        <v>Greenberg DL, Payne ME, MacFall JR, Steffens DC, Krishnan RR.</v>
      </c>
    </row>
    <row r="52" spans="1:62">
      <c r="A52" s="7" t="s">
        <v>28</v>
      </c>
      <c r="B52">
        <v>18515903</v>
      </c>
      <c r="C52" s="1" t="str">
        <f>IF($B52="","",HYPERLINK(IF(LEN(VLOOKUP($B52,Database!$B$1:$IX$10144,2,FALSE))=0,"",VLOOKUP($B52,Database!$B$1:$IX$10144,2,FALSE))))</f>
        <v/>
      </c>
      <c r="D52" s="1" t="str">
        <f t="shared" si="1"/>
        <v>http://www.ncbi.nlm.nih.gov/pubmed/18515903</v>
      </c>
      <c r="E52" s="22" t="str">
        <f>IF($B52="","",IF(LEN(VLOOKUP($B52,Database!$B$1:$IX$10144,4,FALSE))=0,"",VLOOKUP($B52,Database!$B$1:$IX$10144,4,FALSE)))</f>
        <v>Kronmüller KT</v>
      </c>
      <c r="F52" s="22">
        <f>IF($B52="","",IF(LEN(VLOOKUP($B52,Database!$B$1:$IX$10144,5,FALSE))=0,"",VLOOKUP($B52,Database!$B$1:$IX$10144,5,FALSE)))</f>
        <v>2008</v>
      </c>
      <c r="G52" s="1" t="str">
        <f>IF($B52="","",HYPERLINK(IF(LEN(VLOOKUP($B52,Database!$B$1:$IX$10144,6,FALSE))=0,"",VLOOKUP($B52,Database!$B$1:$IX$10144,6,FALSE))))</f>
        <v>http://bjp.rcpsych.org/cgi/content/full/192/6/472</v>
      </c>
      <c r="H52" s="22">
        <f>IF($B52="","",IF(LEN(VLOOKUP($B52,Database!$B$1:$IX$10144,7,FALSE))=0,"",VLOOKUP($B52,Database!$B$1:$IX$10144,7,FALSE)))</f>
        <v>49</v>
      </c>
      <c r="I52" s="22">
        <f>IF($B52="","",IF(LEN(VLOOKUP($B52,Database!$B$1:$IX$10144,8,FALSE))=0,"",VLOOKUP($B52,Database!$B$1:$IX$10144,8,FALSE)))</f>
        <v>30</v>
      </c>
      <c r="K52" s="10"/>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t="str">
        <f>IF(OR($B52="",AB$22=""),"",IF(LEN(VLOOKUP($B52,Database!$B$1:$IX$10144,AB$22,FALSE))=0,"",VLOOKUP($B52,Database!$B$1:$IX$10144,AB$22,FALSE)))</f>
        <v/>
      </c>
      <c r="AC52" s="22" t="str">
        <f>IF(OR($B52="",AC$22=""),"",IF(LEN(VLOOKUP($B52,Database!$B$1:$IX$10144,AC$22,FALSE))=0,"",VLOOKUP($B52,Database!$B$1:$IX$10144,AC$22,FALSE)))</f>
        <v/>
      </c>
      <c r="AD52" s="22" t="str">
        <f>IF(OR($B52="",AD$22=""),"",IF(LEN(VLOOKUP($B52,Database!$B$1:$IX$10144,AD$22,FALSE))=0,"",VLOOKUP($B52,Database!$B$1:$IX$10144,AD$22,FALSE)))</f>
        <v/>
      </c>
      <c r="AE52" s="22" t="str">
        <f>IF(OR($B52="",AE$22=""),"",IF(LEN(VLOOKUP($B52,Database!$B$1:$IX$10144,AE$22,FALSE))=0,"",VLOOKUP($B52,Database!$B$1:$IX$10144,AE$22,FALSE)))</f>
        <v/>
      </c>
      <c r="AF52" s="22" t="str">
        <f>IF(OR($B52="",AF$22=""),"",IF(LEN(VLOOKUP($B52,Database!$B$1:$IX$10144,AF$22,FALSE))=0,"",VLOOKUP($B52,Database!$B$1:$IX$10144,AF$22,FALSE)))</f>
        <v/>
      </c>
      <c r="AG52" s="22" t="str">
        <f>IF(OR($B52="",AG$22=""),"",IF(LEN(VLOOKUP($B52,Database!$B$1:$IX$10144,AG$22,FALSE))=0,"",VLOOKUP($B52,Database!$B$1:$IX$10144,AG$22,FALSE)))</f>
        <v/>
      </c>
      <c r="AH52" s="22">
        <f>IF(OR($B52="",AH$22=""),"",IF(LEN(VLOOKUP($B52,Database!$B$1:$IX$10144,AH$22,FALSE))=0,"",VLOOKUP($B52,Database!$B$1:$IX$10144,AH$22,FALSE)))</f>
        <v>1.5</v>
      </c>
      <c r="AI52" s="22" t="str">
        <f>IF(OR($B52="",AI$22=""),"",IF(LEN(VLOOKUP($B52,Database!$B$1:$IX$10144,AI$22,FALSE))=0,"",VLOOKUP($B52,Database!$B$1:$IX$10144,AI$22,FALSE)))</f>
        <v>ns</v>
      </c>
      <c r="AJ52" s="22" t="str">
        <f>IF(OR($B52="",AJ$22=""),"",IF(LEN(VLOOKUP($B52,Database!$B$1:$IX$10144,AJ$22,FALSE))=0,"",VLOOKUP($B52,Database!$B$1:$IX$10144,AJ$22,FALSE)))</f>
        <v/>
      </c>
      <c r="AK52" s="22" t="str">
        <f>IF(OR($B52="",AK$22=""),"",IF(LEN(VLOOKUP($B52,Database!$B$1:$IX$10144,AK$22,FALSE))=0,"",VLOOKUP($B52,Database!$B$1:$IX$10144,AK$22,FALSE)))</f>
        <v>ns</v>
      </c>
      <c r="AL52" s="22">
        <f>IF(OR($B52="",AL$22=""),"",IF(LEN(VLOOKUP($B52,Database!$B$1:$IX$10144,AL$22,FALSE))=0,"",VLOOKUP($B52,Database!$B$1:$IX$10144,AL$22,FALSE)))</f>
        <v>22.74</v>
      </c>
      <c r="AM52" s="22" t="str">
        <f>IF(OR($B52="",AM$22=""),"",IF(LEN(VLOOKUP($B52,Database!$B$1:$IX$10144,AM$22,FALSE))=0,"",VLOOKUP($B52,Database!$B$1:$IX$10144,AM$22,FALSE)))</f>
        <v>ns</v>
      </c>
      <c r="AN52" s="22" t="str">
        <f>IF(OR($B52="",AN$22=""),"",IF(LEN(VLOOKUP($B52,Database!$B$1:$IX$10144,AN$22,FALSE))=0,"",VLOOKUP($B52,Database!$B$1:$IX$10144,AN$22,FALSE)))</f>
        <v>ns</v>
      </c>
      <c r="AO52" s="22" t="str">
        <f>IF(OR($B52="",AO$22=""),"",IF(LEN(VLOOKUP($B52,Database!$B$1:$IX$10144,AO$22,FALSE))=0,"",VLOOKUP($B52,Database!$B$1:$IX$10144,AO$22,FALSE)))</f>
        <v>ns</v>
      </c>
      <c r="AP52" s="22" t="str">
        <f>IF(OR($B52="",AP$22=""),"",IF(LEN(VLOOKUP($B52,Database!$B$1:$IX$10144,AP$22,FALSE))=0,"",VLOOKUP($B52,Database!$B$1:$IX$10144,AP$22,FALSE)))</f>
        <v>ns</v>
      </c>
      <c r="AQ52" s="22" t="str">
        <f>IF(OR($B52="",AQ$22=""),"",IF(LEN(VLOOKUP($B52,Database!$B$1:$IX$10144,AQ$22,FALSE))=0,"",VLOOKUP($B52,Database!$B$1:$IX$10144,AQ$22,FALSE)))</f>
        <v>Kronmüller KT, Pantel J, Köhler S, Victor D, Giesel F, Magnotta VA, Mundt C, Essig M, Schröder J.</v>
      </c>
    </row>
    <row r="53" spans="1:62">
      <c r="A53" s="7" t="s">
        <v>2210</v>
      </c>
      <c r="B53">
        <v>18068956</v>
      </c>
      <c r="C53" s="1" t="str">
        <f>IF($B53="","",HYPERLINK(IF(LEN(VLOOKUP($B53,Database!$B$1:$IX$10144,2,FALSE))=0,"",VLOOKUP($B53,Database!$B$1:$IX$10144,2,FALSE))))</f>
        <v/>
      </c>
      <c r="D53" s="1" t="str">
        <f t="shared" si="1"/>
        <v>http://www.ncbi.nlm.nih.gov/pubmed/18068956</v>
      </c>
      <c r="E53" s="22" t="str">
        <f>IF($B53="","",IF(LEN(VLOOKUP($B53,Database!$B$1:$IX$10144,4,FALSE))=0,"",VLOOKUP($B53,Database!$B$1:$IX$10144,4,FALSE)))</f>
        <v>Lenze SN</v>
      </c>
      <c r="F53" s="22">
        <f>IF($B53="","",IF(LEN(VLOOKUP($B53,Database!$B$1:$IX$10144,5,FALSE))=0,"",VLOOKUP($B53,Database!$B$1:$IX$10144,5,FALSE)))</f>
        <v>2008</v>
      </c>
      <c r="G53" s="1" t="str">
        <f>IF($B53="","",HYPERLINK(IF(LEN(VLOOKUP($B53,Database!$B$1:$IX$10144,6,FALSE))=0,"",VLOOKUP($B53,Database!$B$1:$IX$10144,6,FALSE))))</f>
        <v>http://dx.doi.org/10.1016/j.pscychresns.2007.04.004</v>
      </c>
      <c r="H53" s="22">
        <f>IF($B53="","",IF(LEN(VLOOKUP($B53,Database!$B$1:$IX$10144,7,FALSE))=0,"",VLOOKUP($B53,Database!$B$1:$IX$10144,7,FALSE)))</f>
        <v>31</v>
      </c>
      <c r="I53" s="22">
        <f>IF($B53="","",IF(LEN(VLOOKUP($B53,Database!$B$1:$IX$10144,8,FALSE))=0,"",VLOOKUP($B53,Database!$B$1:$IX$10144,8,FALSE)))</f>
        <v>24</v>
      </c>
      <c r="J53" t="s">
        <v>1002</v>
      </c>
      <c r="K53" s="10"/>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50</v>
      </c>
      <c r="AC53" s="22">
        <f>IF(OR($B53="",AC$22=""),"",IF(LEN(VLOOKUP($B53,Database!$B$1:$IX$10144,AC$22,FALSE))=0,"",VLOOKUP($B53,Database!$B$1:$IX$10144,AC$22,FALSE)))</f>
        <v>15</v>
      </c>
      <c r="AD53" s="22">
        <f>IF(OR($B53="",AD$22=""),"",IF(LEN(VLOOKUP($B53,Database!$B$1:$IX$10144,AD$22,FALSE))=0,"",VLOOKUP($B53,Database!$B$1:$IX$10144,AD$22,FALSE)))</f>
        <v>46</v>
      </c>
      <c r="AE53" s="22">
        <f>IF(OR($B53="",AE$22=""),"",IF(LEN(VLOOKUP($B53,Database!$B$1:$IX$10144,AE$22,FALSE))=0,"",VLOOKUP($B53,Database!$B$1:$IX$10144,AE$22,FALSE)))</f>
        <v>14</v>
      </c>
      <c r="AF53" s="22">
        <f>IF(OR($B53="",AF$22=""),"",IF(LEN(VLOOKUP($B53,Database!$B$1:$IX$10144,AF$22,FALSE))=0,"",VLOOKUP($B53,Database!$B$1:$IX$10144,AF$22,FALSE)))</f>
        <v>31</v>
      </c>
      <c r="AG53" s="22">
        <f>IF(OR($B53="",AG$22=""),"",IF(LEN(VLOOKUP($B53,Database!$B$1:$IX$10144,AG$22,FALSE))=0,"",VLOOKUP($B53,Database!$B$1:$IX$10144,AG$22,FALSE)))</f>
        <v>24</v>
      </c>
      <c r="AH53" s="22">
        <f>IF(OR($B53="",AH$22=""),"",IF(LEN(VLOOKUP($B53,Database!$B$1:$IX$10144,AH$22,FALSE))=0,"",VLOOKUP($B53,Database!$B$1:$IX$10144,AH$22,FALSE)))</f>
        <v>1.5</v>
      </c>
      <c r="AI53" s="22">
        <f>IF(OR($B53="",AI$22=""),"",IF(LEN(VLOOKUP($B53,Database!$B$1:$IX$10144,AI$22,FALSE))=0,"",VLOOKUP($B53,Database!$B$1:$IX$10144,AI$22,FALSE)))</f>
        <v>1.25</v>
      </c>
      <c r="AJ53" s="22" t="str">
        <f>IF(OR($B53="",AJ$22=""),"",IF(LEN(VLOOKUP($B53,Database!$B$1:$IX$10144,AJ$22,FALSE))=0,"",VLOOKUP($B53,Database!$B$1:$IX$10144,AJ$22,FALSE)))</f>
        <v/>
      </c>
      <c r="AK53" s="22">
        <f>IF(OR($B53="",AK$22=""),"",IF(LEN(VLOOKUP($B53,Database!$B$1:$IX$10144,AK$22,FALSE))=0,"",VLOOKUP($B53,Database!$B$1:$IX$10144,AK$22,FALSE)))</f>
        <v>29</v>
      </c>
      <c r="AL53" s="22">
        <f>IF(OR($B53="",AL$22=""),"",IF(LEN(VLOOKUP($B53,Database!$B$1:$IX$10144,AL$22,FALSE))=0,"",VLOOKUP($B53,Database!$B$1:$IX$10144,AL$22,FALSE)))</f>
        <v>7</v>
      </c>
      <c r="AM53" s="22">
        <f>IF(OR($B53="",AM$22=""),"",IF(LEN(VLOOKUP($B53,Database!$B$1:$IX$10144,AM$22,FALSE))=0,"",VLOOKUP($B53,Database!$B$1:$IX$10144,AM$22,FALSE)))</f>
        <v>77.41935483870968</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Lenze SN, Xiong C, Sheline YI.</v>
      </c>
    </row>
    <row r="54" spans="1:62">
      <c r="A54" s="10" t="s">
        <v>1188</v>
      </c>
      <c r="B54">
        <v>18350172</v>
      </c>
      <c r="C54" s="1" t="str">
        <f>IF($B54="","",HYPERLINK(IF(LEN(VLOOKUP($B54,Database!$B$1:$IX$10144,2,FALSE))=0,"",VLOOKUP($B54,Database!$B$1:$IX$10144,2,FALSE))))</f>
        <v/>
      </c>
      <c r="D54" s="1" t="str">
        <f t="shared" si="1"/>
        <v>http://www.ncbi.nlm.nih.gov/pubmed/18350172</v>
      </c>
      <c r="E54" s="22" t="str">
        <f>IF($B54="","",IF(LEN(VLOOKUP($B54,Database!$B$1:$IX$10144,4,FALSE))=0,"",VLOOKUP($B54,Database!$B$1:$IX$10144,4,FALSE)))</f>
        <v>Zhao Z</v>
      </c>
      <c r="F54" s="22">
        <f>IF($B54="","",IF(LEN(VLOOKUP($B54,Database!$B$1:$IX$10144,5,FALSE))=0,"",VLOOKUP($B54,Database!$B$1:$IX$10144,5,FALSE)))</f>
        <v>2008</v>
      </c>
      <c r="G54" s="1" t="str">
        <f>IF($B54="","",HYPERLINK(IF(LEN(VLOOKUP($B54,Database!$B$1:$IX$10144,6,FALSE))=0,"",VLOOKUP($B54,Database!$B$1:$IX$10144,6,FALSE))))</f>
        <v>http://www.plosone.org/article/info:doi/10.1371/journal.pone.0001837</v>
      </c>
      <c r="H54" s="22">
        <f>IF($B54="","",IF(LEN(VLOOKUP($B54,Database!$B$1:$IX$10144,7,FALSE))=0,"",VLOOKUP($B54,Database!$B$1:$IX$10144,7,FALSE)))</f>
        <v>61</v>
      </c>
      <c r="I54" s="22">
        <f>IF($B54="","",IF(LEN(VLOOKUP($B54,Database!$B$1:$IX$10144,8,FALSE))=0,"",VLOOKUP($B54,Database!$B$1:$IX$10144,8,FALSE)))</f>
        <v>43</v>
      </c>
      <c r="J54" t="s">
        <v>1614</v>
      </c>
      <c r="L54">
        <v>3.42</v>
      </c>
      <c r="M54">
        <v>0.54</v>
      </c>
      <c r="N54">
        <v>3.55</v>
      </c>
      <c r="O54">
        <v>0.48</v>
      </c>
      <c r="P54">
        <v>3.65</v>
      </c>
      <c r="Q54">
        <v>0.55000000000000004</v>
      </c>
      <c r="R54">
        <v>3.66</v>
      </c>
      <c r="S54">
        <v>0.56999999999999995</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65.900000000000006</v>
      </c>
      <c r="AC54" s="22">
        <f>IF(OR($B54="",AC$22=""),"",IF(LEN(VLOOKUP($B54,Database!$B$1:$IX$10144,AC$22,FALSE))=0,"",VLOOKUP($B54,Database!$B$1:$IX$10144,AC$22,FALSE)))</f>
        <v>5.5</v>
      </c>
      <c r="AD54" s="22">
        <f>IF(OR($B54="",AD$22=""),"",IF(LEN(VLOOKUP($B54,Database!$B$1:$IX$10144,AD$22,FALSE))=0,"",VLOOKUP($B54,Database!$B$1:$IX$10144,AD$22,FALSE)))</f>
        <v>69</v>
      </c>
      <c r="AE54" s="22">
        <f>IF(OR($B54="",AE$22=""),"",IF(LEN(VLOOKUP($B54,Database!$B$1:$IX$10144,AE$22,FALSE))=0,"",VLOOKUP($B54,Database!$B$1:$IX$10144,AE$22,FALSE)))</f>
        <v>5.5</v>
      </c>
      <c r="AF54" s="22">
        <f>IF(OR($B54="",AF$22=""),"",IF(LEN(VLOOKUP($B54,Database!$B$1:$IX$10144,AF$22,FALSE))=0,"",VLOOKUP($B54,Database!$B$1:$IX$10144,AF$22,FALSE)))</f>
        <v>37</v>
      </c>
      <c r="AG54" s="22">
        <f>IF(OR($B54="",AG$22=""),"",IF(LEN(VLOOKUP($B54,Database!$B$1:$IX$10144,AG$22,FALSE))=0,"",VLOOKUP($B54,Database!$B$1:$IX$10144,AG$22,FALSE)))</f>
        <v>29</v>
      </c>
      <c r="AH54" s="22"/>
      <c r="AI54" s="22"/>
      <c r="AJ54" s="22" t="str">
        <f>IF(OR($B54="",AJ$22=""),"",IF(LEN(VLOOKUP($B54,Database!$B$1:$IX$10144,AJ$22,FALSE))=0,"",VLOOKUP($B54,Database!$B$1:$IX$10144,AJ$22,FALSE)))</f>
        <v/>
      </c>
      <c r="AK54" s="22">
        <f>IF(OR($B54="",AK$22=""),"",IF(LEN(VLOOKUP($B54,Database!$B$1:$IX$10144,AK$22,FALSE))=0,"",VLOOKUP($B54,Database!$B$1:$IX$10144,AK$22,FALSE)))</f>
        <v>39.299999999999997</v>
      </c>
      <c r="AL54" s="22" t="str">
        <f>IF(OR($B54="",AL$22=""),"",IF(LEN(VLOOKUP($B54,Database!$B$1:$IX$10144,AL$22,FALSE))=0,"",VLOOKUP($B54,Database!$B$1:$IX$10144,AL$22,FALSE)))</f>
        <v>ns</v>
      </c>
      <c r="AM54" s="22">
        <f>IF(OR($B54="",AM$22=""),"",IF(LEN(VLOOKUP($B54,Database!$B$1:$IX$10144,AM$22,FALSE))=0,"",VLOOKUP($B54,Database!$B$1:$IX$10144,AM$22,FALSE)))</f>
        <v>88.52459016393442</v>
      </c>
      <c r="AN54" s="22" t="str">
        <f>IF(OR($B54="",AN$22=""),"",IF(LEN(VLOOKUP($B54,Database!$B$1:$IX$10144,AN$22,FALSE))=0,"",VLOOKUP($B54,Database!$B$1:$IX$10144,AN$22,FALSE)))</f>
        <v>ns</v>
      </c>
      <c r="AO54" s="22" t="str">
        <f>IF(OR($B54="",AO$22=""),"",IF(LEN(VLOOKUP($B54,Database!$B$1:$IX$10144,AO$22,FALSE))=0,"",VLOOKUP($B54,Database!$B$1:$IX$10144,AO$22,FALSE)))</f>
        <v>ns</v>
      </c>
      <c r="AP54" s="22" t="str">
        <f>IF(OR($B54="",AP$22=""),"",IF(LEN(VLOOKUP($B54,Database!$B$1:$IX$10144,AP$22,FALSE))=0,"",VLOOKUP($B54,Database!$B$1:$IX$10144,AP$22,FALSE)))</f>
        <v>ns</v>
      </c>
      <c r="AQ54" s="22" t="str">
        <f>IF(OR($B54="",AQ$22=""),"",IF(LEN(VLOOKUP($B54,Database!$B$1:$IX$10144,AQ$22,FALSE))=0,"",VLOOKUP($B54,Database!$B$1:$IX$10144,AQ$22,FALSE)))</f>
        <v>Zhao Z, Taylor WD, Styner M, Steffens DC, Krishnan KR, MacFall JR.</v>
      </c>
    </row>
    <row r="55" spans="1:62">
      <c r="A55" s="10" t="s">
        <v>1188</v>
      </c>
      <c r="B55">
        <v>19010425</v>
      </c>
      <c r="C55" s="1" t="str">
        <f>IF($B55="","",HYPERLINK(IF(LEN(VLOOKUP($B55,Database!$B$1:$IX$10144,2,FALSE))=0,"",VLOOKUP($B55,Database!$B$1:$IX$10144,2,FALSE))))</f>
        <v/>
      </c>
      <c r="D55" s="1" t="str">
        <f t="shared" si="1"/>
        <v>http://www.ncbi.nlm.nih.gov/pubmed/19010425</v>
      </c>
      <c r="E55" s="22" t="str">
        <f>IF($B55="","",IF(LEN(VLOOKUP($B55,Database!$B$1:$IX$10144,4,FALSE))=0,"",VLOOKUP($B55,Database!$B$1:$IX$10144,4,FALSE)))</f>
        <v>Qiu A</v>
      </c>
      <c r="F55" s="22">
        <f>IF($B55="","",IF(LEN(VLOOKUP($B55,Database!$B$1:$IX$10144,5,FALSE))=0,"",VLOOKUP($B55,Database!$B$1:$IX$10144,5,FALSE)))</f>
        <v>2009</v>
      </c>
      <c r="G55" s="1" t="str">
        <f>IF($B55="","",HYPERLINK(IF(LEN(VLOOKUP($B55,Database!$B$1:$IX$10144,6,FALSE))=0,"",VLOOKUP($B55,Database!$B$1:$IX$10144,6,FALSE))))</f>
        <v>http://dx.doi.org/10.1016/j.neuroimage.2008.10.010</v>
      </c>
      <c r="H55" s="83">
        <v>38</v>
      </c>
      <c r="I55" s="22">
        <f>IF($B55="","",IF(LEN(VLOOKUP($B55,Database!$B$1:$IX$10144,8,FALSE))=0,"",VLOOKUP($B55,Database!$B$1:$IX$10144,8,FALSE)))</f>
        <v>31</v>
      </c>
      <c r="J55" t="s">
        <v>887</v>
      </c>
      <c r="K55" t="s">
        <v>644</v>
      </c>
      <c r="L55">
        <v>3381.6</v>
      </c>
      <c r="M55">
        <v>414.9</v>
      </c>
      <c r="N55">
        <v>3520.2</v>
      </c>
      <c r="O55">
        <v>481.1</v>
      </c>
      <c r="P55">
        <v>3620.4</v>
      </c>
      <c r="Q55">
        <v>451.1</v>
      </c>
      <c r="R55">
        <v>3607.9</v>
      </c>
      <c r="S55">
        <v>542</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t="str">
        <f>IF(OR($B55="",AB$22=""),"",IF(LEN(VLOOKUP($B55,Database!$B$1:$IX$10144,AB$22,FALSE))=0,"",VLOOKUP($B55,Database!$B$1:$IX$10144,AB$22,FALSE)))</f>
        <v/>
      </c>
      <c r="AC55" s="22" t="str">
        <f>IF(OR($B55="",AC$22=""),"",IF(LEN(VLOOKUP($B55,Database!$B$1:$IX$10144,AC$22,FALSE))=0,"",VLOOKUP($B55,Database!$B$1:$IX$10144,AC$22,FALSE)))</f>
        <v/>
      </c>
      <c r="AD55" s="22">
        <f>IF(OR($B55="",AD$22=""),"",IF(LEN(VLOOKUP($B55,Database!$B$1:$IX$10144,AD$22,FALSE))=0,"",VLOOKUP($B55,Database!$B$1:$IX$10144,AD$22,FALSE)))</f>
        <v>68.900000000000006</v>
      </c>
      <c r="AE55" s="22">
        <f>IF(OR($B55="",AE$22=""),"",IF(LEN(VLOOKUP($B55,Database!$B$1:$IX$10144,AE$22,FALSE))=0,"",VLOOKUP($B55,Database!$B$1:$IX$10144,AE$22,FALSE)))</f>
        <v>5.9</v>
      </c>
      <c r="AF55" s="22">
        <f>IF(OR($B55="",AF$22=""),"",IF(LEN(VLOOKUP($B55,Database!$B$1:$IX$10144,AF$22,FALSE))=0,"",VLOOKUP($B55,Database!$B$1:$IX$10144,AF$22,FALSE)))</f>
        <v>34</v>
      </c>
      <c r="AG55" s="22">
        <f>IF(OR($B55="",AG$22=""),"",IF(LEN(VLOOKUP($B55,Database!$B$1:$IX$10144,AG$22,FALSE))=0,"",VLOOKUP($B55,Database!$B$1:$IX$10144,AG$22,FALSE)))</f>
        <v>21</v>
      </c>
      <c r="AH55" s="22"/>
      <c r="AI55" s="22"/>
      <c r="AJ55" s="22" t="str">
        <f>IF(OR($B55="",AJ$22=""),"",IF(LEN(VLOOKUP($B55,Database!$B$1:$IX$10144,AJ$22,FALSE))=0,"",VLOOKUP($B55,Database!$B$1:$IX$10144,AJ$22,FALSE)))</f>
        <v/>
      </c>
      <c r="AK55" s="22" t="str">
        <f>IF(OR($B55="",AK$22=""),"",IF(LEN(VLOOKUP($B55,Database!$B$1:$IX$10144,AK$22,FALSE))=0,"",VLOOKUP($B55,Database!$B$1:$IX$10144,AK$22,FALSE)))</f>
        <v>ns</v>
      </c>
      <c r="AL55" s="22" t="str">
        <f>IF(OR($B55="",AL$22=""),"",IF(LEN(VLOOKUP($B55,Database!$B$1:$IX$10144,AL$22,FALSE))=0,"",VLOOKUP($B55,Database!$B$1:$IX$10144,AL$22,FALSE)))</f>
        <v>ns</v>
      </c>
      <c r="AM55" s="22">
        <f>IF(OR($B55="",AM$22=""),"",IF(LEN(VLOOKUP($B55,Database!$B$1:$IX$10144,AM$22,FALSE))=0,"",VLOOKUP($B55,Database!$B$1:$IX$10144,AM$22,FALSE)))</f>
        <v>90.384615384615387</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Qiu A, Taylor WD, Zhao Z, MacFall JR, Miller MI, Key CR, Payne ME, Steffens DC, Krishnan KR.</v>
      </c>
    </row>
    <row r="56" spans="1:62">
      <c r="A56" s="4" t="s">
        <v>2011</v>
      </c>
      <c r="C56" s="1"/>
      <c r="D56" s="1"/>
      <c r="E56" s="22"/>
      <c r="F56" s="22"/>
      <c r="G56" s="1"/>
      <c r="H56" s="22"/>
      <c r="I56" s="22"/>
      <c r="Y56" s="22"/>
      <c r="Z56" s="22"/>
      <c r="AA56" s="22"/>
      <c r="AB56" s="22"/>
      <c r="AC56" s="22"/>
      <c r="AD56" s="22"/>
      <c r="AE56" s="22"/>
      <c r="AF56" s="22"/>
      <c r="AG56" s="22"/>
      <c r="AH56" s="22"/>
      <c r="AI56" s="22"/>
      <c r="AJ56" s="22"/>
      <c r="AK56" s="22"/>
      <c r="AL56" s="22"/>
      <c r="AM56" s="22"/>
      <c r="AN56" s="22"/>
      <c r="AO56" s="22"/>
      <c r="AP56" s="22" t="str">
        <f>IF(OR($B56="",AP$22=""),"",IF(LEN(VLOOKUP($B56,Database!$B$1:$IX$10144,AP$22,FALSE))=0,"",VLOOKUP($B56,Database!$B$1:$IX$10144,AP$22,FALSE)))</f>
        <v/>
      </c>
      <c r="AQ56" s="22" t="str">
        <f>IF(OR($B56="",AQ$22=""),"",IF(LEN(VLOOKUP($B56,Database!$B$1:$IX$10144,AQ$22,FALSE))=0,"",VLOOKUP($B56,Database!$B$1:$IX$10144,AQ$22,FALSE)))</f>
        <v/>
      </c>
    </row>
    <row r="57" spans="1:62">
      <c r="A57" s="10" t="s">
        <v>2012</v>
      </c>
      <c r="B57">
        <v>10366636</v>
      </c>
      <c r="C57" s="1" t="str">
        <f>IF($B57="","",HYPERLINK(IF(LEN(VLOOKUP($B57,Database!$B$1:$IX$10144,2,FALSE))=0,"",VLOOKUP($B57,Database!$B$1:$IX$10144,2,FALSE))))</f>
        <v/>
      </c>
      <c r="D57" s="1" t="str">
        <f>IF($B57="","",HYPERLINK(CONCATENATE("http://www.ncbi.nlm.nih.gov/pubmed/",B57)))</f>
        <v>http://www.ncbi.nlm.nih.gov/pubmed/10366636</v>
      </c>
      <c r="E57" s="22" t="str">
        <f>IF($B57="","",IF(LEN(VLOOKUP($B57,Database!$B$1:$IX$10144,4,FALSE))=0,"",VLOOKUP($B57,Database!$B$1:$IX$10144,4,FALSE)))</f>
        <v>Sheline YI</v>
      </c>
      <c r="F57" s="22">
        <f>IF($B57="","",IF(LEN(VLOOKUP($B57,Database!$B$1:$IX$10144,5,FALSE))=0,"",VLOOKUP($B57,Database!$B$1:$IX$10144,5,FALSE)))</f>
        <v>1999</v>
      </c>
      <c r="G57" s="1" t="str">
        <f>IF($B57="","",HYPERLINK(IF(LEN(VLOOKUP($B57,Database!$B$1:$IX$10144,6,FALSE))=0,"",VLOOKUP($B57,Database!$B$1:$IX$10144,6,FALSE))))</f>
        <v>http://ajp.psychiatryonline.org/cgi/reprint/156/12/1989</v>
      </c>
      <c r="H57" s="22">
        <f>IF($B57="","",IF(LEN(VLOOKUP($B57,Database!$B$1:$IX$10144,7,FALSE))=0,"",VLOOKUP($B57,Database!$B$1:$IX$10144,7,FALSE)))</f>
        <v>24</v>
      </c>
      <c r="I57" s="22">
        <f>IF($B57="","",IF(LEN(VLOOKUP($B57,Database!$B$1:$IX$10144,8,FALSE))=0,"",VLOOKUP($B57,Database!$B$1:$IX$10144,8,FALSE)))</f>
        <v>24</v>
      </c>
      <c r="J57" t="s">
        <v>939</v>
      </c>
      <c r="L57">
        <v>2230</v>
      </c>
      <c r="M57">
        <v>323</v>
      </c>
      <c r="N57">
        <v>2482</v>
      </c>
      <c r="O57">
        <v>305</v>
      </c>
      <c r="P57">
        <v>2264</v>
      </c>
      <c r="Q57">
        <v>320</v>
      </c>
      <c r="R57">
        <v>2468</v>
      </c>
      <c r="S57">
        <v>309</v>
      </c>
      <c r="T57">
        <v>4496</v>
      </c>
      <c r="U57">
        <v>602</v>
      </c>
      <c r="V57">
        <v>4951</v>
      </c>
      <c r="W57">
        <v>601</v>
      </c>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c r="AC57" s="22"/>
      <c r="AD57" s="22">
        <f>IF(OR($B57="",AD$22=""),"",IF(LEN(VLOOKUP($B57,Database!$B$1:$IX$10144,AD$22,FALSE))=0,"",VLOOKUP($B57,Database!$B$1:$IX$10144,AD$22,FALSE)))</f>
        <v>52.8</v>
      </c>
      <c r="AE57" s="22">
        <f>IF(OR($B57="",AE$22=""),"",IF(LEN(VLOOKUP($B57,Database!$B$1:$IX$10144,AE$22,FALSE))=0,"",VLOOKUP($B57,Database!$B$1:$IX$10144,AE$22,FALSE)))</f>
        <v>17.8</v>
      </c>
      <c r="AF57" s="22">
        <f>IF(OR($B57="",AF$22=""),"",IF(LEN(VLOOKUP($B57,Database!$B$1:$IX$10144,AF$22,FALSE))=0,"",VLOOKUP($B57,Database!$B$1:$IX$10144,AF$22,FALSE)))</f>
        <v>24</v>
      </c>
      <c r="AG57" s="22">
        <f>IF(OR($B57="",AG$22=""),"",IF(LEN(VLOOKUP($B57,Database!$B$1:$IX$10144,AG$22,FALSE))=0,"",VLOOKUP($B57,Database!$B$1:$IX$10144,AG$22,FALSE)))</f>
        <v>24</v>
      </c>
      <c r="AH57" s="22">
        <f>IF(OR($B57="",AH$22=""),"",IF(LEN(VLOOKUP($B57,Database!$B$1:$IX$10144,AH$22,FALSE))=0,"",VLOOKUP($B57,Database!$B$1:$IX$10144,AH$22,FALSE)))</f>
        <v>1.5</v>
      </c>
      <c r="AI57" s="22">
        <f>IF(OR($B57="",AI$22=""),"",IF(LEN(VLOOKUP($B57,Database!$B$1:$IX$10144,AI$22,FALSE))=0,"",VLOOKUP($B57,Database!$B$1:$IX$10144,AI$22,FALSE)))</f>
        <v>1.25</v>
      </c>
      <c r="AJ57" s="22" t="str">
        <f>IF(OR($B57="",AJ$22=""),"",IF(LEN(VLOOKUP($B57,Database!$B$1:$IX$10144,AJ$22,FALSE))=0,"",VLOOKUP($B57,Database!$B$1:$IX$10144,AJ$22,FALSE)))</f>
        <v/>
      </c>
      <c r="AK57" s="22" t="str">
        <f>IF(OR($B57="",AK$22=""),"",IF(LEN(VLOOKUP($B57,Database!$B$1:$IX$10144,AK$22,FALSE))=0,"",VLOOKUP($B57,Database!$B$1:$IX$10144,AK$22,FALSE)))</f>
        <v>ns</v>
      </c>
      <c r="AL57" s="22" t="str">
        <f>IF(OR($B57="",AL$22=""),"",IF(LEN(VLOOKUP($B57,Database!$B$1:$IX$10144,AL$22,FALSE))=0,"",VLOOKUP($B57,Database!$B$1:$IX$10144,AL$22,FALSE)))</f>
        <v>ns</v>
      </c>
      <c r="AM57" s="22">
        <f>IF(OR($B57="",AM$22=""),"",IF(LEN(VLOOKUP($B57,Database!$B$1:$IX$10144,AM$22,FALSE))=0,"",VLOOKUP($B57,Database!$B$1:$IX$10144,AM$22,FALSE)))</f>
        <v>66.666666666666657</v>
      </c>
      <c r="AN57" s="22" t="str">
        <f>IF(OR($B57="",AN$22=""),"",IF(LEN(VLOOKUP($B57,Database!$B$1:$IX$10144,AN$22,FALSE))=0,"",VLOOKUP($B57,Database!$B$1:$IX$10144,AN$22,FALSE)))</f>
        <v>ns</v>
      </c>
      <c r="AO57" s="22" t="str">
        <f>IF(OR($B57="",AO$22=""),"",IF(LEN(VLOOKUP($B57,Database!$B$1:$IX$10144,AO$22,FALSE))=0,"",VLOOKUP($B57,Database!$B$1:$IX$10144,AO$22,FALSE)))</f>
        <v>ns</v>
      </c>
      <c r="AP57" s="22" t="str">
        <f>IF(OR($B57="",AP$22=""),"",IF(LEN(VLOOKUP($B57,Database!$B$1:$IX$10144,AP$22,FALSE))=0,"",VLOOKUP($B57,Database!$B$1:$IX$10144,AP$22,FALSE)))</f>
        <v>ns</v>
      </c>
      <c r="AQ57" s="22" t="str">
        <f>IF(OR($B57="",AQ$22=""),"",IF(LEN(VLOOKUP($B57,Database!$B$1:$IX$10144,AQ$22,FALSE))=0,"",VLOOKUP($B57,Database!$B$1:$IX$10144,AQ$22,FALSE)))</f>
        <v>Sheline YI, Sanghavi M, Mintun MA, Gado MH.</v>
      </c>
    </row>
    <row r="58" spans="1:62">
      <c r="A58" s="4"/>
      <c r="C58" s="1"/>
      <c r="D58" s="1"/>
      <c r="E58" s="22"/>
      <c r="F58" s="22"/>
      <c r="G58" s="1"/>
      <c r="H58" s="22"/>
      <c r="I58" s="22"/>
      <c r="Y58" s="22"/>
      <c r="Z58" s="22"/>
      <c r="AA58" s="22"/>
      <c r="AB58" s="22"/>
      <c r="AC58" s="22"/>
      <c r="AD58" s="22"/>
      <c r="AE58" s="22"/>
      <c r="AF58" s="22"/>
      <c r="AG58" s="22"/>
      <c r="AH58" s="22"/>
      <c r="AI58" s="22"/>
      <c r="AJ58" s="22"/>
      <c r="AK58" s="22"/>
      <c r="AL58" s="22"/>
      <c r="AM58" s="22"/>
      <c r="AN58" s="22"/>
      <c r="AO58" s="22"/>
      <c r="AP58" s="22"/>
      <c r="AQ58" s="22"/>
    </row>
    <row r="59" spans="1:62">
      <c r="I59" s="22" t="str">
        <f>IF($B59="","",IF(LEN(VLOOKUP($B59,Database!$B$1:$IX$10144,8,FALSE))=0,"",VLOOKUP($B59,Database!$B$1:$IX$10144,8,FALSE)))</f>
        <v/>
      </c>
      <c r="AF59" t="s">
        <v>602</v>
      </c>
      <c r="AJ59" t="s">
        <v>329</v>
      </c>
      <c r="AN59" t="s">
        <v>330</v>
      </c>
    </row>
    <row r="60" spans="1:62" ht="45" customHeight="1">
      <c r="E60" s="60" t="s">
        <v>617</v>
      </c>
      <c r="F60" s="60" t="s">
        <v>740</v>
      </c>
      <c r="G60" s="60" t="s">
        <v>244</v>
      </c>
      <c r="H60" s="60" t="s">
        <v>245</v>
      </c>
      <c r="I60" s="60" t="s">
        <v>246</v>
      </c>
      <c r="J60" s="60" t="s">
        <v>593</v>
      </c>
      <c r="K60" s="60" t="s">
        <v>1039</v>
      </c>
      <c r="L60" s="60" t="s">
        <v>594</v>
      </c>
      <c r="M60" s="60" t="s">
        <v>1299</v>
      </c>
      <c r="N60" s="61" t="s">
        <v>595</v>
      </c>
      <c r="O60" s="61" t="s">
        <v>596</v>
      </c>
      <c r="P60" s="61" t="s">
        <v>597</v>
      </c>
      <c r="Q60" s="61" t="s">
        <v>598</v>
      </c>
      <c r="R60" s="61" t="s">
        <v>599</v>
      </c>
      <c r="S60" s="61" t="s">
        <v>600</v>
      </c>
      <c r="T60" s="61" t="s">
        <v>601</v>
      </c>
      <c r="U60" s="61" t="s">
        <v>484</v>
      </c>
      <c r="V60" s="61" t="s">
        <v>485</v>
      </c>
      <c r="W60" s="61" t="s">
        <v>486</v>
      </c>
      <c r="AF60" s="61" t="s">
        <v>1517</v>
      </c>
      <c r="AG60" s="62" t="s">
        <v>834</v>
      </c>
      <c r="AH60" s="62" t="s">
        <v>835</v>
      </c>
      <c r="AJ60" s="61" t="s">
        <v>836</v>
      </c>
      <c r="AK60" s="61" t="s">
        <v>837</v>
      </c>
      <c r="AL60" s="61" t="s">
        <v>487</v>
      </c>
      <c r="AN60" t="s">
        <v>488</v>
      </c>
      <c r="AO60" t="s">
        <v>489</v>
      </c>
      <c r="AP60" t="s">
        <v>490</v>
      </c>
      <c r="AQ60" t="s">
        <v>491</v>
      </c>
      <c r="AR60" t="s">
        <v>492</v>
      </c>
      <c r="AS60" t="s">
        <v>493</v>
      </c>
      <c r="AT60" t="s">
        <v>494</v>
      </c>
      <c r="AU60" t="s">
        <v>495</v>
      </c>
      <c r="AV60" t="s">
        <v>496</v>
      </c>
      <c r="AW60" t="s">
        <v>497</v>
      </c>
      <c r="AX60" t="s">
        <v>498</v>
      </c>
      <c r="AY60" t="s">
        <v>499</v>
      </c>
      <c r="BJ60" s="2"/>
    </row>
    <row r="61" spans="1:62">
      <c r="E61" t="str">
        <f t="shared" ref="E61:F65" si="2">E24</f>
        <v>Rosso IM</v>
      </c>
      <c r="F61">
        <f t="shared" si="2"/>
        <v>2005</v>
      </c>
      <c r="G61">
        <v>39</v>
      </c>
      <c r="H61">
        <f t="shared" ref="H61:I65" si="3">H24</f>
        <v>20</v>
      </c>
      <c r="I61">
        <f t="shared" si="3"/>
        <v>24</v>
      </c>
      <c r="J61">
        <f t="shared" ref="J61:M65" si="4">IF($D$4="Total",T24,IF($D$4="Left",L24,IF($D$4="Right",P24,"error")))</f>
        <v>12.96</v>
      </c>
      <c r="K61">
        <f t="shared" si="4"/>
        <v>1.476</v>
      </c>
      <c r="L61">
        <f t="shared" si="4"/>
        <v>12.45</v>
      </c>
      <c r="M61">
        <f t="shared" si="4"/>
        <v>1.3720000000000001</v>
      </c>
      <c r="N61">
        <f>IF($D$3=1,SQRT((((I61-1)*(M61)^2)+((H61-1)*(K61)^2))/(H61+I61-2)),M61)</f>
        <v>1.4199914151316617</v>
      </c>
      <c r="O61" s="59">
        <f>IF($D$6=1,LN(J61/L61),IF($D$5=1,(1-3/(4*(H61+I61)-9))*((J61-L61)/N61),(J61-L61)/N61))</f>
        <v>0.35270517695831083</v>
      </c>
      <c r="P61" s="63">
        <f>IF($D$6=1,(K61^2)/(H61*J61^2)+(M61^2)/(I61*L61^2),(IF($D$5=1,((H61+I61)/(H61*I61))+(O61*O61)/(2*(H61+I61-3.94)),((H61+I61)/(H61*I61))+((O61^2)/(2*(H61+I61-2))))))</f>
        <v>9.3219349415708017E-2</v>
      </c>
      <c r="Q61" s="59">
        <f>$R$82*SQRT(P61)</f>
        <v>0.59842414115356668</v>
      </c>
      <c r="R61" s="59">
        <f>1/P61</f>
        <v>10.72738660233016</v>
      </c>
      <c r="S61" s="59">
        <f>O61*R61</f>
        <v>3.783604789875072</v>
      </c>
      <c r="T61" s="59">
        <f>R61*(O61^2)</f>
        <v>1.3344969969531997</v>
      </c>
      <c r="U61" s="23">
        <f>R61^2</f>
        <v>115.07682331585262</v>
      </c>
      <c r="V61" s="59">
        <f>1/((1/R61)+$I$79)</f>
        <v>4.325412823325518</v>
      </c>
      <c r="W61" s="59">
        <f>V61*O61</f>
        <v>1.5255954952687736</v>
      </c>
      <c r="AF61" s="59">
        <f>IF($D$6=1,100*((EXP(O61))-1),O61)</f>
        <v>0.35270517695831083</v>
      </c>
      <c r="AG61" s="59">
        <f>IF($D$6=1,100*(EXP(O61+Q61)-EXP(O61)),Q61)</f>
        <v>0.59842414115356668</v>
      </c>
      <c r="AH61" s="59">
        <f>IF($D$6=1,100*(EXP(O61)-EXP(O61-Q61)),Q61)</f>
        <v>0.59842414115356668</v>
      </c>
      <c r="AJ61">
        <f>SQRT(P61)</f>
        <v>0.30531843936406466</v>
      </c>
      <c r="AK61">
        <f>1/AJ61</f>
        <v>3.2752689358784202</v>
      </c>
      <c r="AL61">
        <f>O61/AJ61</f>
        <v>1.1552043096150566</v>
      </c>
      <c r="AN61" t="str">
        <f>E61</f>
        <v>Rosso IM</v>
      </c>
      <c r="AO61">
        <f>F61</f>
        <v>2005</v>
      </c>
      <c r="AP61" t="str">
        <f>CONCATENATE(AN61," ",AO61)</f>
        <v>Rosso IM 2005</v>
      </c>
      <c r="AQ61">
        <f>INT(H61)</f>
        <v>20</v>
      </c>
      <c r="AR61">
        <f>J61</f>
        <v>12.96</v>
      </c>
      <c r="AS61">
        <f>K61</f>
        <v>1.476</v>
      </c>
      <c r="AT61">
        <f>INT(I61)</f>
        <v>24</v>
      </c>
      <c r="AU61">
        <f>L61</f>
        <v>12.45</v>
      </c>
      <c r="AV61">
        <f>M61</f>
        <v>1.3720000000000001</v>
      </c>
      <c r="AW61" s="65">
        <f>O61</f>
        <v>0.35270517695831083</v>
      </c>
      <c r="AX61">
        <f>SQRT(P61)</f>
        <v>0.30531843936406466</v>
      </c>
      <c r="BC61" s="23"/>
      <c r="BI61" s="59"/>
      <c r="BJ61" s="59"/>
    </row>
    <row r="62" spans="1:62">
      <c r="E62" t="str">
        <f t="shared" si="2"/>
        <v>MacMillan S</v>
      </c>
      <c r="F62">
        <f t="shared" si="2"/>
        <v>2003</v>
      </c>
      <c r="G62">
        <v>26</v>
      </c>
      <c r="H62">
        <f t="shared" si="3"/>
        <v>23</v>
      </c>
      <c r="I62">
        <f t="shared" si="3"/>
        <v>23</v>
      </c>
      <c r="J62">
        <f t="shared" si="4"/>
        <v>6.32</v>
      </c>
      <c r="K62">
        <f t="shared" si="4"/>
        <v>0.86428004720692242</v>
      </c>
      <c r="L62">
        <f t="shared" si="4"/>
        <v>6.5</v>
      </c>
      <c r="M62">
        <f t="shared" si="4"/>
        <v>0.79699435380685102</v>
      </c>
      <c r="N62">
        <f>IF($D$3=1,SQRT((((I62-1)*(M62)^2)+((H62-1)*(K62)^2))/(H62+I62-2)),M62)</f>
        <v>0.83131823028248342</v>
      </c>
      <c r="O62" s="59">
        <f>IF($D$6=1,LN(J62/L62),IF($D$5=1,(1-3/(4*(H62+I62)-9))*((J62-L62)/N62),(J62-L62)/N62))</f>
        <v>-0.21281174798027663</v>
      </c>
      <c r="P62" s="63">
        <f>IF($D$6=1,(K62^2)/(H62*J62^2)+(M62^2)/(I62*L62^2),(IF($D$5=1,((H62+I62)/(H62*I62))+(O62*O62)/(2*(H62+I62-3.94)),((H62+I62)/(H62*I62))+((O62^2)/(2*(H62+I62-2))))))</f>
        <v>8.7494905477580515E-2</v>
      </c>
      <c r="Q62" s="59">
        <f>$R$82*SQRT(P62)</f>
        <v>0.57975894032146957</v>
      </c>
      <c r="R62" s="59">
        <f>1/P62</f>
        <v>11.429236874325644</v>
      </c>
      <c r="S62" s="59">
        <f>O62*R62</f>
        <v>-2.4322758773058735</v>
      </c>
      <c r="T62" s="59">
        <f>R62*(O62^2)</f>
        <v>0.51761688101972381</v>
      </c>
      <c r="U62" s="23">
        <f>R62^2</f>
        <v>130.62745552944503</v>
      </c>
      <c r="V62" s="59">
        <f>1/((1/R62)+$I$79)</f>
        <v>4.4352317481085102</v>
      </c>
      <c r="W62" s="59">
        <f>V62*O62</f>
        <v>-0.94386942101259008</v>
      </c>
      <c r="AF62" s="59">
        <f>IF($D$6=1,100*((EXP(O62))-1),O62)</f>
        <v>-0.21281174798027663</v>
      </c>
      <c r="AG62" s="59">
        <f>IF($D$6=1,100*(EXP(O62+Q62)-EXP(O62)),Q62)</f>
        <v>0.57975894032146957</v>
      </c>
      <c r="AH62" s="59">
        <f>IF($D$6=1,100*(EXP(O62)-EXP(O62-Q62)),Q62)</f>
        <v>0.57975894032146957</v>
      </c>
      <c r="AJ62">
        <f>SQRT(P62)</f>
        <v>0.2957953777150355</v>
      </c>
      <c r="AK62">
        <f>1/AJ62</f>
        <v>3.3807154382357654</v>
      </c>
      <c r="AL62">
        <f>O62/AJ62</f>
        <v>-0.71945596183486016</v>
      </c>
      <c r="AN62" t="str">
        <f t="shared" ref="AN62:AO64" si="5">E62</f>
        <v>MacMillan S</v>
      </c>
      <c r="AO62">
        <f t="shared" si="5"/>
        <v>2003</v>
      </c>
      <c r="AP62" t="str">
        <f>CONCATENATE(AN62," ",AO62)</f>
        <v>MacMillan S 2003</v>
      </c>
      <c r="AQ62">
        <f>INT(H62)</f>
        <v>23</v>
      </c>
      <c r="AR62">
        <f t="shared" ref="AR62:AS64" si="6">J62</f>
        <v>6.32</v>
      </c>
      <c r="AS62">
        <f t="shared" si="6"/>
        <v>0.86428004720692242</v>
      </c>
      <c r="AT62">
        <f>INT(I62)</f>
        <v>23</v>
      </c>
      <c r="AU62">
        <f t="shared" ref="AU62:AV64" si="7">L62</f>
        <v>6.5</v>
      </c>
      <c r="AV62">
        <f t="shared" si="7"/>
        <v>0.79699435380685102</v>
      </c>
      <c r="AW62" s="65">
        <f>O62</f>
        <v>-0.21281174798027663</v>
      </c>
      <c r="AX62">
        <f>SQRT(P62)</f>
        <v>0.2957953777150355</v>
      </c>
      <c r="BC62" s="23"/>
      <c r="BI62" s="59"/>
      <c r="BJ62" s="59"/>
    </row>
    <row r="63" spans="1:62">
      <c r="E63" t="str">
        <f t="shared" si="2"/>
        <v>MacMaster FP (A)</v>
      </c>
      <c r="F63">
        <f t="shared" si="2"/>
        <v>2004</v>
      </c>
      <c r="G63">
        <v>19</v>
      </c>
      <c r="H63">
        <f t="shared" si="3"/>
        <v>17</v>
      </c>
      <c r="I63">
        <f t="shared" si="3"/>
        <v>17</v>
      </c>
      <c r="J63">
        <f t="shared" si="4"/>
        <v>5.07</v>
      </c>
      <c r="K63">
        <f t="shared" si="4"/>
        <v>0.82249498478714134</v>
      </c>
      <c r="L63">
        <f t="shared" si="4"/>
        <v>5.93</v>
      </c>
      <c r="M63">
        <f t="shared" si="4"/>
        <v>0.8614044346298666</v>
      </c>
      <c r="N63">
        <f>IF($D$3=1,SQRT((((I63-1)*(M63)^2)+((H63-1)*(K63)^2))/(H63+I63-2)),M63)</f>
        <v>0.84217444748698</v>
      </c>
      <c r="O63" s="59">
        <f>IF($D$6=1,LN(J63/L63),IF($D$5=1,(1-3/(4*(H63+I63)-9))*((J63-L63)/N63),(J63-L63)/N63))</f>
        <v>-0.99704407070966095</v>
      </c>
      <c r="P63" s="63">
        <f>IF($D$6=1,(K63^2)/(H63*J63^2)+(M63^2)/(I63*L63^2),(IF($D$5=1,((H63+I63)/(H63*I63))+(O63*O63)/(2*(H63+I63-3.94)),((H63+I63)/(H63*I63))+((O63^2)/(2*(H63+I63-2))))))</f>
        <v>0.13418226971736327</v>
      </c>
      <c r="Q63" s="59">
        <f>$R$82*SQRT(P63)</f>
        <v>0.71796560317763325</v>
      </c>
      <c r="R63" s="59">
        <f>1/P63</f>
        <v>7.4525494471539657</v>
      </c>
      <c r="S63" s="59">
        <f>O63*R63</f>
        <v>-7.4305202379554229</v>
      </c>
      <c r="T63" s="59">
        <f>R63*(O63^2)</f>
        <v>7.4085561455415938</v>
      </c>
      <c r="U63" s="23">
        <f>R63^2</f>
        <v>55.540493262274879</v>
      </c>
      <c r="V63" s="59">
        <f>1/((1/R63)+$I$79)</f>
        <v>3.6743804363058188</v>
      </c>
      <c r="W63" s="59">
        <f>V63*O63</f>
        <v>-3.6635192275502937</v>
      </c>
      <c r="AF63" s="59">
        <f>IF($D$6=1,100*((EXP(O63))-1),O63)</f>
        <v>-0.99704407070966095</v>
      </c>
      <c r="AG63" s="59">
        <f>IF($D$6=1,100*(EXP(O63+Q63)-EXP(O63)),Q63)</f>
        <v>0.71796560317763325</v>
      </c>
      <c r="AH63" s="59">
        <f>IF($D$6=1,100*(EXP(O63)-EXP(O63-Q63)),Q63)</f>
        <v>0.71796560317763325</v>
      </c>
      <c r="AJ63">
        <f>SQRT(P63)</f>
        <v>0.3663089812130782</v>
      </c>
      <c r="AK63">
        <f>1/AJ63</f>
        <v>2.7299357954270582</v>
      </c>
      <c r="AL63">
        <f>O63/AJ63</f>
        <v>-2.7218662982486106</v>
      </c>
      <c r="AN63" t="str">
        <f t="shared" si="5"/>
        <v>MacMaster FP (A)</v>
      </c>
      <c r="AO63">
        <f t="shared" si="5"/>
        <v>2004</v>
      </c>
      <c r="AP63" t="str">
        <f>CONCATENATE(AN63," ",AO63)</f>
        <v>MacMaster FP (A) 2004</v>
      </c>
      <c r="AQ63">
        <f>INT(H63)</f>
        <v>17</v>
      </c>
      <c r="AR63">
        <f t="shared" si="6"/>
        <v>5.07</v>
      </c>
      <c r="AS63">
        <f t="shared" si="6"/>
        <v>0.82249498478714134</v>
      </c>
      <c r="AT63">
        <f>INT(I63)</f>
        <v>17</v>
      </c>
      <c r="AU63">
        <f t="shared" si="7"/>
        <v>5.93</v>
      </c>
      <c r="AV63">
        <f t="shared" si="7"/>
        <v>0.8614044346298666</v>
      </c>
      <c r="AW63" s="65">
        <f>O63</f>
        <v>-0.99704407070966095</v>
      </c>
      <c r="AX63">
        <f>SQRT(P63)</f>
        <v>0.3663089812130782</v>
      </c>
      <c r="BC63" s="23"/>
      <c r="BI63" s="59"/>
      <c r="BJ63" s="59"/>
    </row>
    <row r="64" spans="1:62">
      <c r="E64" t="str">
        <f t="shared" si="2"/>
        <v>Caetano SC</v>
      </c>
      <c r="F64">
        <f t="shared" si="2"/>
        <v>2007</v>
      </c>
      <c r="G64">
        <v>14</v>
      </c>
      <c r="H64">
        <f t="shared" si="3"/>
        <v>19</v>
      </c>
      <c r="I64">
        <f t="shared" si="3"/>
        <v>24</v>
      </c>
      <c r="J64">
        <f t="shared" si="4"/>
        <v>3.86</v>
      </c>
      <c r="K64">
        <f t="shared" si="4"/>
        <v>0.33217465285599385</v>
      </c>
      <c r="L64">
        <f t="shared" si="4"/>
        <v>4.03</v>
      </c>
      <c r="M64">
        <f t="shared" si="4"/>
        <v>0.41818656123792408</v>
      </c>
      <c r="N64">
        <f>IF($D$3=1,SQRT((((I64-1)*(M64)^2)+((H64-1)*(K64)^2))/(H64+I64-2)),M64)</f>
        <v>0.3828124421353864</v>
      </c>
      <c r="O64" s="59">
        <f>IF($D$6=1,LN(J64/L64),IF($D$5=1,(1-3/(4*(H64+I64)-9))*((J64-L64)/N64),(J64-L64)/N64))</f>
        <v>-0.43590841696089927</v>
      </c>
      <c r="P64" s="63">
        <f>IF($D$6=1,(K64^2)/(H64*J64^2)+(M64^2)/(I64*L64^2),(IF($D$5=1,((H64+I64)/(H64*I64))+(O64*O64)/(2*(H64+I64-3.94)),((H64+I64)/(H64*I64))+((O64^2)/(2*(H64+I64-2))))))</f>
        <v>9.6730607979336636E-2</v>
      </c>
      <c r="Q64" s="59">
        <f>$R$82*SQRT(P64)</f>
        <v>0.60959027519590536</v>
      </c>
      <c r="R64" s="59">
        <f>1/P64</f>
        <v>10.337989400558897</v>
      </c>
      <c r="S64" s="59">
        <f>O64*R64</f>
        <v>-4.5064165941561845</v>
      </c>
      <c r="T64" s="59">
        <f>R64*(O64^2)</f>
        <v>1.9643849237249498</v>
      </c>
      <c r="U64" s="23">
        <f>R64^2</f>
        <v>106.8740248460681</v>
      </c>
      <c r="V64" s="59">
        <f>1/((1/R64)+$I$79)</f>
        <v>4.2607027911830775</v>
      </c>
      <c r="W64" s="59">
        <f>V64*O64</f>
        <v>-1.8572762088455004</v>
      </c>
      <c r="AF64" s="59">
        <f>IF($D$6=1,100*((EXP(O64))-1),O64)</f>
        <v>-0.43590841696089927</v>
      </c>
      <c r="AG64" s="59">
        <f>IF($D$6=1,100*(EXP(O64+Q64)-EXP(O64)),Q64)</f>
        <v>0.60959027519590536</v>
      </c>
      <c r="AH64" s="59">
        <f>IF($D$6=1,100*(EXP(O64)-EXP(O64-Q64)),Q64)</f>
        <v>0.60959027519590536</v>
      </c>
      <c r="AJ64">
        <f>SQRT(P64)</f>
        <v>0.31101544652852314</v>
      </c>
      <c r="AK64">
        <f>1/AJ64</f>
        <v>3.2152743896219644</v>
      </c>
      <c r="AL64">
        <f>O64/AJ64</f>
        <v>-1.4015651692750322</v>
      </c>
      <c r="AN64" t="str">
        <f t="shared" si="5"/>
        <v>Caetano SC</v>
      </c>
      <c r="AO64">
        <f t="shared" si="5"/>
        <v>2007</v>
      </c>
      <c r="AP64" t="str">
        <f>CONCATENATE(AN64," ",AO64)</f>
        <v>Caetano SC 2007</v>
      </c>
      <c r="AQ64">
        <f>INT(H64)</f>
        <v>19</v>
      </c>
      <c r="AR64">
        <f t="shared" si="6"/>
        <v>3.86</v>
      </c>
      <c r="AS64">
        <f t="shared" si="6"/>
        <v>0.33217465285599385</v>
      </c>
      <c r="AT64">
        <f>INT(I64)</f>
        <v>24</v>
      </c>
      <c r="AU64">
        <f t="shared" si="7"/>
        <v>4.03</v>
      </c>
      <c r="AV64">
        <f t="shared" si="7"/>
        <v>0.41818656123792408</v>
      </c>
      <c r="AW64" s="65">
        <f>O64</f>
        <v>-0.43590841696089927</v>
      </c>
      <c r="AX64">
        <f>SQRT(P64)</f>
        <v>0.31101544652852314</v>
      </c>
      <c r="BC64" s="23"/>
      <c r="BI64" s="59"/>
      <c r="BJ64" s="59"/>
    </row>
    <row r="65" spans="5:62">
      <c r="E65" t="str">
        <f t="shared" si="2"/>
        <v>MacMaster FP (B)</v>
      </c>
      <c r="F65">
        <f t="shared" si="2"/>
        <v>2008</v>
      </c>
      <c r="G65">
        <v>8</v>
      </c>
      <c r="H65">
        <f t="shared" si="3"/>
        <v>16</v>
      </c>
      <c r="I65">
        <f t="shared" si="3"/>
        <v>17</v>
      </c>
      <c r="J65">
        <f t="shared" si="4"/>
        <v>5.6</v>
      </c>
      <c r="K65">
        <f t="shared" si="4"/>
        <v>0.69514027361389452</v>
      </c>
      <c r="L65">
        <f t="shared" si="4"/>
        <v>6.0500000000000007</v>
      </c>
      <c r="M65">
        <f t="shared" si="4"/>
        <v>0.72434798267131251</v>
      </c>
      <c r="N65">
        <f>IF($D$3=1,SQRT((((I65-1)*(M65)^2)+((H65-1)*(K65)^2))/(H65+I65-2)),M65)</f>
        <v>0.71036519458474268</v>
      </c>
      <c r="O65" s="59">
        <f>IF($D$6=1,LN(J65/L65),IF($D$5=1,(1-3/(4*(H65+I65)-9))*((J65-L65)/N65),(J65-L65)/N65))</f>
        <v>-0.61802632447461536</v>
      </c>
      <c r="P65" s="63">
        <f>IF($D$6=1,(K65^2)/(H65*J65^2)+(M65^2)/(I65*L65^2),(IF($D$5=1,((H65+I65)/(H65*I65))+(O65*O65)/(2*(H65+I65-3.94)),((H65+I65)/(H65*I65))+((O65^2)/(2*(H65+I65-2))))))</f>
        <v>0.12789539000611438</v>
      </c>
      <c r="Q65" s="59">
        <f>$R$82*SQRT(P65)</f>
        <v>0.70094431322858242</v>
      </c>
      <c r="R65" s="59">
        <f>1/P65</f>
        <v>7.8188901097388444</v>
      </c>
      <c r="S65" s="59">
        <f>O65*R65</f>
        <v>-4.83227991599282</v>
      </c>
      <c r="T65" s="59">
        <f>R65*(O65^2)</f>
        <v>2.9864761953135455</v>
      </c>
      <c r="U65" s="23">
        <f>R65^2</f>
        <v>61.135042548171917</v>
      </c>
      <c r="V65" s="59">
        <f>1/((1/R65)+$I$79)</f>
        <v>3.7612671665339223</v>
      </c>
      <c r="W65" s="59">
        <f>V65*O65</f>
        <v>-2.3245621223000112</v>
      </c>
      <c r="AF65" s="59">
        <f>IF($D$6=1,100*((EXP(O65))-1),O65)</f>
        <v>-0.61802632447461536</v>
      </c>
      <c r="AG65" s="59">
        <f>IF($D$6=1,100*(EXP(O65+Q65)-EXP(O65)),Q65)</f>
        <v>0.70094431322858242</v>
      </c>
      <c r="AH65" s="59">
        <f>IF($D$6=1,100*(EXP(O65)-EXP(O65-Q65)),Q65)</f>
        <v>0.70094431322858242</v>
      </c>
      <c r="AJ65">
        <f>SQRT(P65)</f>
        <v>0.3576246496064196</v>
      </c>
      <c r="AK65">
        <f>1/AJ65</f>
        <v>2.7962278358064538</v>
      </c>
      <c r="AL65">
        <f>O65/AJ65</f>
        <v>-1.728142411757071</v>
      </c>
      <c r="AN65" t="str">
        <f>E65</f>
        <v>MacMaster FP (B)</v>
      </c>
      <c r="AO65">
        <f>F65</f>
        <v>2008</v>
      </c>
      <c r="AP65" t="str">
        <f>CONCATENATE(AN65," ",AO65)</f>
        <v>MacMaster FP (B) 2008</v>
      </c>
      <c r="AQ65">
        <f>INT(H65)</f>
        <v>16</v>
      </c>
      <c r="AR65">
        <f>J65</f>
        <v>5.6</v>
      </c>
      <c r="AS65">
        <f>K65</f>
        <v>0.69514027361389452</v>
      </c>
      <c r="AT65">
        <f>INT(I65)</f>
        <v>17</v>
      </c>
      <c r="AU65">
        <f>L65</f>
        <v>6.0500000000000007</v>
      </c>
      <c r="AV65">
        <f>M65</f>
        <v>0.72434798267131251</v>
      </c>
      <c r="AW65" s="65">
        <f>O65</f>
        <v>-0.61802632447461536</v>
      </c>
      <c r="AX65">
        <f>SQRT(P65)</f>
        <v>0.3576246496064196</v>
      </c>
      <c r="BC65" s="23"/>
      <c r="BI65" s="59"/>
      <c r="BJ65" s="59"/>
    </row>
    <row r="66" spans="5:62">
      <c r="U66" s="23"/>
      <c r="BI66" s="23"/>
      <c r="BJ66" s="59"/>
    </row>
    <row r="67" spans="5:62">
      <c r="L67" t="s">
        <v>500</v>
      </c>
      <c r="N67" s="7"/>
      <c r="O67" s="66">
        <f>COUNT(O61:O65)</f>
        <v>5</v>
      </c>
      <c r="Q67" t="s">
        <v>885</v>
      </c>
      <c r="R67" s="59">
        <f t="shared" ref="R67:W67" si="8">SUM(R61:R65)</f>
        <v>47.766052434107507</v>
      </c>
      <c r="S67" s="59">
        <f t="shared" si="8"/>
        <v>-15.417887835535229</v>
      </c>
      <c r="T67" s="59">
        <f t="shared" si="8"/>
        <v>14.211531142553014</v>
      </c>
      <c r="U67" s="23">
        <f t="shared" si="8"/>
        <v>469.25383950181254</v>
      </c>
      <c r="V67" s="59">
        <f t="shared" si="8"/>
        <v>20.456994965456847</v>
      </c>
      <c r="W67" s="59">
        <f t="shared" si="8"/>
        <v>-7.2636314844396219</v>
      </c>
      <c r="BI67" s="23"/>
    </row>
    <row r="68" spans="5:62">
      <c r="L68" t="s">
        <v>501</v>
      </c>
      <c r="N68" s="7"/>
      <c r="O68" s="2">
        <v>0</v>
      </c>
      <c r="BI68" s="23"/>
    </row>
    <row r="69" spans="5:62">
      <c r="N69" s="7"/>
      <c r="O69" s="7"/>
    </row>
    <row r="70" spans="5:62">
      <c r="G70" s="67" t="s">
        <v>502</v>
      </c>
      <c r="H70" s="40"/>
      <c r="I70" s="40">
        <f>S67/R67</f>
        <v>-0.32277919254064286</v>
      </c>
      <c r="J70" s="40"/>
      <c r="K70" s="68" t="s">
        <v>879</v>
      </c>
      <c r="L70" s="40"/>
      <c r="M70" s="42"/>
      <c r="N70" s="7"/>
      <c r="O70" s="69" t="s">
        <v>503</v>
      </c>
      <c r="P70" s="70">
        <f>T67-((S67^2)/R67)</f>
        <v>9.2349577563167529</v>
      </c>
      <c r="Q70" s="71" t="s">
        <v>824</v>
      </c>
      <c r="R70" s="28"/>
      <c r="S70" s="29"/>
      <c r="T70" s="30"/>
      <c r="U70" s="31"/>
      <c r="AF70" s="2" t="s">
        <v>1518</v>
      </c>
    </row>
    <row r="71" spans="5:62">
      <c r="G71" s="43" t="s">
        <v>504</v>
      </c>
      <c r="H71" s="31"/>
      <c r="I71" s="31">
        <f>1/R67</f>
        <v>2.09353703946853E-2</v>
      </c>
      <c r="J71" s="31"/>
      <c r="K71" s="31"/>
      <c r="L71" s="31"/>
      <c r="M71" s="44"/>
      <c r="N71" s="7"/>
      <c r="O71" s="30" t="s">
        <v>505</v>
      </c>
      <c r="P71" s="31">
        <f>CHIDIST(P70,I75-1)</f>
        <v>5.5487588547702527E-2</v>
      </c>
      <c r="Q71" s="31"/>
      <c r="R71" s="31"/>
      <c r="S71" s="34"/>
      <c r="T71" s="30"/>
      <c r="U71" s="31"/>
      <c r="AF71" s="2"/>
    </row>
    <row r="72" spans="5:62">
      <c r="G72" s="72" t="s">
        <v>506</v>
      </c>
      <c r="H72" s="31"/>
      <c r="I72" s="31">
        <f>$R$82*SQRT(I71)</f>
        <v>0.28359358051306988</v>
      </c>
      <c r="J72" s="31"/>
      <c r="K72" s="31" t="s">
        <v>507</v>
      </c>
      <c r="L72" s="31"/>
      <c r="M72" s="44">
        <f>ABS(I70/SQRT(I71))</f>
        <v>2.2308234771573168</v>
      </c>
      <c r="N72" s="7"/>
      <c r="O72" s="35" t="s">
        <v>508</v>
      </c>
      <c r="P72" s="37">
        <f>IF(((P70-(I75-1))/P70)&lt;0,0,100*((P70-(I75-1))/P70))</f>
        <v>56.686320549068213</v>
      </c>
      <c r="Q72" s="36"/>
      <c r="R72" s="36"/>
      <c r="S72" s="38"/>
      <c r="T72" s="30"/>
      <c r="U72" s="31"/>
      <c r="AF72" s="2" t="s">
        <v>1535</v>
      </c>
      <c r="AH72">
        <f>IF($D$6=1,100*((EXP(I70))-1),I70)</f>
        <v>-0.32277919254064286</v>
      </c>
    </row>
    <row r="73" spans="5:62">
      <c r="G73" s="45" t="s">
        <v>509</v>
      </c>
      <c r="H73" s="46"/>
      <c r="I73" s="46">
        <v>-2</v>
      </c>
      <c r="J73" s="46"/>
      <c r="K73" s="46" t="s">
        <v>825</v>
      </c>
      <c r="L73" s="46"/>
      <c r="M73" s="47">
        <f>2*(1-NORMDIST(M72,0,1,1))</f>
        <v>2.5692824177553364E-2</v>
      </c>
      <c r="N73" s="7"/>
      <c r="O73" s="7"/>
      <c r="AF73" s="79" t="s">
        <v>834</v>
      </c>
      <c r="AH73">
        <f>IF($D$6=1,100*(EXP(I70+I72)-EXP(I70)),I72)</f>
        <v>0.28359358051306988</v>
      </c>
    </row>
    <row r="74" spans="5:62">
      <c r="G74" s="40"/>
      <c r="H74" s="40"/>
      <c r="I74" s="40"/>
      <c r="J74" s="40"/>
      <c r="K74" s="40"/>
      <c r="L74" s="40"/>
      <c r="M74" s="40"/>
      <c r="N74" s="7"/>
      <c r="O74" s="7"/>
      <c r="AF74" s="79" t="s">
        <v>835</v>
      </c>
      <c r="AH74">
        <f>IF($D$6=1,100*(EXP(I70)-EXP(I70-I72)),I72)</f>
        <v>0.28359358051306988</v>
      </c>
    </row>
    <row r="75" spans="5:62">
      <c r="G75" s="73" t="s">
        <v>1110</v>
      </c>
      <c r="H75" s="74"/>
      <c r="I75" s="74">
        <f>O67</f>
        <v>5</v>
      </c>
      <c r="J75" s="74"/>
      <c r="K75" s="75" t="s">
        <v>1167</v>
      </c>
      <c r="L75" s="74"/>
      <c r="M75" s="76"/>
      <c r="N75" s="77"/>
      <c r="O75" s="101" t="s">
        <v>1513</v>
      </c>
      <c r="P75" s="102"/>
      <c r="Q75" s="103"/>
      <c r="AF75" s="7"/>
    </row>
    <row r="76" spans="5:62">
      <c r="G76" s="77" t="s">
        <v>1531</v>
      </c>
      <c r="H76" s="31"/>
      <c r="I76" s="31">
        <f>R67/I75</f>
        <v>9.5532104868215022</v>
      </c>
      <c r="J76" s="31"/>
      <c r="K76" s="31"/>
      <c r="L76" s="31"/>
      <c r="M76" s="78"/>
      <c r="N76" s="77"/>
      <c r="O76" s="104" t="s">
        <v>1514</v>
      </c>
      <c r="P76" s="31"/>
      <c r="Q76" s="105">
        <f>INDEX(LINEST(AL61:AL65,AK61:AK65,TRUE,TRUE),1,2)</f>
        <v>-12.172106685352823</v>
      </c>
      <c r="AF76" s="2" t="s">
        <v>1687</v>
      </c>
      <c r="AH76">
        <f>IF($D$6=1,100*((EXP(I81))-1),I81)</f>
        <v>-0.35506835176450902</v>
      </c>
    </row>
    <row r="77" spans="5:62">
      <c r="G77" s="77" t="s">
        <v>1532</v>
      </c>
      <c r="H77" s="31"/>
      <c r="I77" s="31">
        <f>(1/(I75-1))*(U67-(I75*I76^2))</f>
        <v>3.2336716185577359</v>
      </c>
      <c r="J77" s="31"/>
      <c r="K77" s="31"/>
      <c r="L77" s="31"/>
      <c r="M77" s="78"/>
      <c r="N77" s="77"/>
      <c r="O77" s="104" t="s">
        <v>1516</v>
      </c>
      <c r="P77" s="31"/>
      <c r="Q77" s="105">
        <f>INDEX(LINEST(AL61:AL65,AK61:AK65,TRUE,TRUE),2,2)</f>
        <v>5.886651070974656</v>
      </c>
      <c r="AF77" s="79" t="s">
        <v>834</v>
      </c>
      <c r="AG77" s="7"/>
      <c r="AH77">
        <f>IF($D$6=1,100*(EXP(I81+I83)-EXP(I81)),I83)</f>
        <v>0.43334635926546428</v>
      </c>
    </row>
    <row r="78" spans="5:62">
      <c r="G78" s="77" t="s">
        <v>1669</v>
      </c>
      <c r="H78" s="31"/>
      <c r="I78" s="31">
        <f>(I75-1)*(I76-(I77/(I75*I76)))</f>
        <v>37.94204949500886</v>
      </c>
      <c r="J78" s="31"/>
      <c r="K78" s="31"/>
      <c r="L78" s="31"/>
      <c r="M78" s="78"/>
      <c r="N78" s="77"/>
      <c r="O78" s="104" t="s">
        <v>1349</v>
      </c>
      <c r="P78" s="31"/>
      <c r="Q78" s="105">
        <f>ABS(Q76/Q77)</f>
        <v>2.0677472706629239</v>
      </c>
      <c r="AF78" s="79" t="s">
        <v>835</v>
      </c>
      <c r="AH78">
        <f>IF($D$6=1,100*(EXP(I81)-EXP(I81-I83)),I83)</f>
        <v>0.43334635926546428</v>
      </c>
    </row>
    <row r="79" spans="5:62">
      <c r="G79" s="77" t="s">
        <v>1685</v>
      </c>
      <c r="H79" s="31"/>
      <c r="I79" s="31">
        <f>IF(P70&gt;(I75-1),(P70-(I75-1))/I78,0)</f>
        <v>0.13797245604788411</v>
      </c>
      <c r="J79" s="31"/>
      <c r="K79" s="31"/>
      <c r="L79" s="31"/>
      <c r="M79" s="78"/>
      <c r="N79" s="77"/>
      <c r="O79" s="106" t="s">
        <v>1515</v>
      </c>
      <c r="P79" s="107"/>
      <c r="Q79" s="108">
        <f>TDIST(Q78,I75-2,2)</f>
        <v>0.13052336129079545</v>
      </c>
    </row>
    <row r="80" spans="5:62">
      <c r="G80" s="77"/>
      <c r="H80" s="31"/>
      <c r="I80" s="31"/>
      <c r="J80" s="31"/>
      <c r="K80" s="31"/>
      <c r="L80" s="31"/>
      <c r="M80" s="78"/>
      <c r="N80" s="77"/>
    </row>
    <row r="81" spans="7:18">
      <c r="G81" s="77" t="s">
        <v>1686</v>
      </c>
      <c r="H81" s="31"/>
      <c r="I81" s="31">
        <f>W67/V67</f>
        <v>-0.35506835176450902</v>
      </c>
      <c r="J81" s="31"/>
      <c r="N81" s="77"/>
    </row>
    <row r="82" spans="7:18">
      <c r="G82" s="77" t="s">
        <v>504</v>
      </c>
      <c r="H82" s="31"/>
      <c r="I82" s="31">
        <f>1/V67</f>
        <v>4.8883034956432952E-2</v>
      </c>
      <c r="J82" s="31"/>
      <c r="N82" s="77"/>
      <c r="O82" t="s">
        <v>805</v>
      </c>
      <c r="R82">
        <v>1.96</v>
      </c>
    </row>
    <row r="83" spans="7:18">
      <c r="G83" s="80" t="s">
        <v>506</v>
      </c>
      <c r="H83" s="31"/>
      <c r="I83" s="31">
        <f>$R$82*SQRT(I82)</f>
        <v>0.43334635926546428</v>
      </c>
      <c r="J83" s="31"/>
      <c r="K83" s="31" t="s">
        <v>507</v>
      </c>
      <c r="L83" s="31"/>
      <c r="M83" s="78">
        <f>ABS(I81/(SQRT(I82)))</f>
        <v>1.6059531932795459</v>
      </c>
      <c r="N83" s="77"/>
    </row>
    <row r="84" spans="7:18">
      <c r="G84" s="81" t="s">
        <v>509</v>
      </c>
      <c r="H84" s="82"/>
      <c r="I84" s="82">
        <v>-3</v>
      </c>
      <c r="J84" s="82"/>
      <c r="K84" s="31" t="s">
        <v>825</v>
      </c>
      <c r="L84" s="31"/>
      <c r="M84" s="78">
        <f>2*(1-NORMDIST(M83,0,1,1))</f>
        <v>0.10828419463210981</v>
      </c>
      <c r="N84" s="77"/>
    </row>
    <row r="85" spans="7:18">
      <c r="G85" s="74"/>
      <c r="H85" s="74"/>
      <c r="I85" s="74"/>
      <c r="J85" s="74"/>
      <c r="K85" s="74"/>
      <c r="L85" s="74"/>
      <c r="M85" s="74"/>
      <c r="N85" s="31"/>
      <c r="O85" s="7"/>
    </row>
  </sheetData>
  <phoneticPr fontId="31" type="noConversion"/>
  <conditionalFormatting sqref="D17 D13 F13">
    <cfRule type="cellIs" dxfId="88" priority="0" stopIfTrue="1" operator="lessThan">
      <formula>0.05</formula>
    </cfRule>
  </conditionalFormatting>
  <conditionalFormatting sqref="D21">
    <cfRule type="cellIs" dxfId="8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sheetPr published="0" enableFormatConditionsCalculation="0"/>
  <dimension ref="A1:BK137"/>
  <sheetViews>
    <sheetView zoomScale="80" zoomScaleNormal="80" zoomScalePageLayoutView="80" workbookViewId="0">
      <pane xSplit="24276" topLeftCell="AV1"/>
      <selection pane="topRight" activeCell="AY23" sqref="AY23"/>
    </sheetView>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32</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I127-O120</f>
        <v>22</v>
      </c>
      <c r="AD7" s="89"/>
    </row>
    <row r="8" spans="2:30">
      <c r="B8" t="s">
        <v>822</v>
      </c>
      <c r="D8">
        <f>SUM(H24:H56)</f>
        <v>796</v>
      </c>
      <c r="E8" t="s">
        <v>298</v>
      </c>
      <c r="F8">
        <f>Summary!C78</f>
        <v>0.8</v>
      </c>
      <c r="AD8" s="89"/>
    </row>
    <row r="9" spans="2:30">
      <c r="B9" t="s">
        <v>823</v>
      </c>
      <c r="D9">
        <f>SUM(I24:I56)</f>
        <v>782</v>
      </c>
      <c r="AB9" s="59"/>
      <c r="AD9" s="89"/>
    </row>
    <row r="10" spans="2:30">
      <c r="AB10" s="59"/>
    </row>
    <row r="11" spans="2:30">
      <c r="B11" s="27" t="s">
        <v>516</v>
      </c>
      <c r="C11" s="28"/>
      <c r="D11" s="109">
        <f>P122</f>
        <v>59.531644105133353</v>
      </c>
      <c r="E11" s="110" t="s">
        <v>1513</v>
      </c>
      <c r="F11" s="103"/>
    </row>
    <row r="12" spans="2:30">
      <c r="B12" s="30" t="s">
        <v>826</v>
      </c>
      <c r="C12" s="31"/>
      <c r="D12" s="112">
        <f>P124</f>
        <v>52.966190635434529</v>
      </c>
      <c r="E12" s="31"/>
      <c r="F12" s="105"/>
    </row>
    <row r="13" spans="2:30">
      <c r="B13" s="35" t="s">
        <v>825</v>
      </c>
      <c r="C13" s="36"/>
      <c r="D13" s="113">
        <f>P123</f>
        <v>4.6727417631414433E-4</v>
      </c>
      <c r="E13" s="111" t="s">
        <v>825</v>
      </c>
      <c r="F13" s="115">
        <f>Q131</f>
        <v>0.43510546321285604</v>
      </c>
    </row>
    <row r="14" spans="2:30">
      <c r="Z14" s="2"/>
    </row>
    <row r="15" spans="2:30">
      <c r="B15" s="39" t="s">
        <v>879</v>
      </c>
      <c r="C15" s="40"/>
      <c r="D15" s="41">
        <f>AH124</f>
        <v>-0.45395899191224587</v>
      </c>
      <c r="E15" s="116"/>
      <c r="Z15" s="2"/>
    </row>
    <row r="16" spans="2:30">
      <c r="B16" s="43" t="s">
        <v>1165</v>
      </c>
      <c r="C16" s="31"/>
      <c r="D16" s="33">
        <f>AH124-AH126</f>
        <v>-0.55910366492056962</v>
      </c>
      <c r="E16" s="117">
        <f>AH124+AH125</f>
        <v>-0.34881431890392217</v>
      </c>
    </row>
    <row r="17" spans="1:43">
      <c r="B17" s="45" t="s">
        <v>1166</v>
      </c>
      <c r="C17" s="46"/>
      <c r="D17" s="123">
        <f>M125</f>
        <v>0</v>
      </c>
      <c r="E17" s="118"/>
    </row>
    <row r="18" spans="1:43">
      <c r="D18" s="48"/>
      <c r="F18" s="49"/>
    </row>
    <row r="19" spans="1:43">
      <c r="B19" s="50" t="s">
        <v>1167</v>
      </c>
      <c r="C19" s="51"/>
      <c r="D19" s="52">
        <f>AH128</f>
        <v>-0.42701385562126254</v>
      </c>
      <c r="E19" s="120"/>
      <c r="F19" s="33"/>
      <c r="G19" s="31"/>
    </row>
    <row r="20" spans="1:43">
      <c r="B20" s="53" t="s">
        <v>1165</v>
      </c>
      <c r="C20" s="31"/>
      <c r="D20" s="33">
        <f>AH128-AH130</f>
        <v>-0.58932356577302836</v>
      </c>
      <c r="E20" s="121">
        <f>AH128+AH129</f>
        <v>-0.26470414546949672</v>
      </c>
      <c r="F20" s="31"/>
      <c r="G20" s="31"/>
    </row>
    <row r="21" spans="1:43">
      <c r="B21" s="54" t="s">
        <v>1440</v>
      </c>
      <c r="C21" s="55"/>
      <c r="D21" s="114">
        <f>M136</f>
        <v>2.5163217842738561E-7</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52.8"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A24" s="10"/>
      <c r="B24">
        <v>15554576</v>
      </c>
      <c r="C24" s="1" t="str">
        <f>IF($B24="","",HYPERLINK(IF(LEN(VLOOKUP($B24,Database!$B$1:$IX$10144,2,FALSE))=0,"",VLOOKUP($B24,Database!$B$1:$IX$10144,2,FALSE))))</f>
        <v/>
      </c>
      <c r="D24" s="1" t="str">
        <f t="shared" ref="D24:D31" si="0">IF($B24="","",HYPERLINK(CONCATENATE("http://www.ncbi.nlm.nih.gov/pubmed/",B24)))</f>
        <v>http://www.ncbi.nlm.nih.gov/pubmed/15554576</v>
      </c>
      <c r="E24" s="22" t="str">
        <f>IF($B24="","",IF(LEN(VLOOKUP($B24,Database!$B$1:$IX$10144,4,FALSE))=0,"",VLOOKUP($B24,Database!$B$1:$IX$10144,4,FALSE)))</f>
        <v>Lange C</v>
      </c>
      <c r="F24" s="22">
        <f>IF($B24="","",IF(LEN(VLOOKUP($B24,Database!$B$1:$IX$10144,5,FALSE))=0,"",VLOOKUP($B24,Database!$B$1:$IX$10144,5,FALSE)))</f>
        <v>2004</v>
      </c>
      <c r="G24" s="1" t="str">
        <f>IF($B24="","",HYPERLINK(IF(LEN(VLOOKUP($B24,Database!$B$1:$IX$10144,6,FALSE))=0,"",VLOOKUP($B24,Database!$B$1:$IX$10144,6,FALSE))))</f>
        <v>http://dx.doi.org/10.1017/S0033291703001806</v>
      </c>
      <c r="H24" s="22">
        <f>IF($B24="","",IF(LEN(VLOOKUP($B24,Database!$B$1:$IX$10144,7,FALSE))=0,"",VLOOKUP($B24,Database!$B$1:$IX$10144,7,FALSE)))</f>
        <v>17</v>
      </c>
      <c r="I24" s="22">
        <f>IF($B24="","",IF(LEN(VLOOKUP($B24,Database!$B$1:$IX$10144,8,FALSE))=0,"",VLOOKUP($B24,Database!$B$1:$IX$10144,8,FALSE)))</f>
        <v>17</v>
      </c>
      <c r="J24" s="13" t="s">
        <v>1614</v>
      </c>
      <c r="K24" s="13"/>
      <c r="L24" s="13">
        <v>2.79</v>
      </c>
      <c r="M24" s="13">
        <v>0.41</v>
      </c>
      <c r="N24" s="13">
        <v>2.99</v>
      </c>
      <c r="O24" s="13">
        <v>0.46</v>
      </c>
      <c r="P24" s="13">
        <v>2.67</v>
      </c>
      <c r="Q24" s="13">
        <v>0.5</v>
      </c>
      <c r="R24" s="13">
        <v>3.19</v>
      </c>
      <c r="S24" s="13">
        <v>0.37</v>
      </c>
      <c r="T24" s="13">
        <v>5.46</v>
      </c>
      <c r="U24" s="13">
        <v>0.83</v>
      </c>
      <c r="V24" s="13">
        <v>6.19</v>
      </c>
      <c r="W24" s="13">
        <v>0.71</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34</v>
      </c>
      <c r="AC24" s="22">
        <f>IF(OR($B24="",AC$22=""),"",IF(LEN(VLOOKUP($B24,Database!$B$1:$IX$10144,AC$22,FALSE))=0,"",VLOOKUP($B24,Database!$B$1:$IX$10144,AC$22,FALSE)))</f>
        <v>10</v>
      </c>
      <c r="AD24" s="22">
        <f>IF(OR($B24="",AD$22=""),"",IF(LEN(VLOOKUP($B24,Database!$B$1:$IX$10144,AD$22,FALSE))=0,"",VLOOKUP($B24,Database!$B$1:$IX$10144,AD$22,FALSE)))</f>
        <v>32</v>
      </c>
      <c r="AE24" s="22">
        <f>IF(OR($B24="",AE$22=""),"",IF(LEN(VLOOKUP($B24,Database!$B$1:$IX$10144,AE$22,FALSE))=0,"",VLOOKUP($B24,Database!$B$1:$IX$10144,AE$22,FALSE)))</f>
        <v>6</v>
      </c>
      <c r="AF24" s="22">
        <f>IF(OR($B24="",AF$22=""),"",IF(LEN(VLOOKUP($B24,Database!$B$1:$IX$10144,AF$22,FALSE))=0,"",VLOOKUP($B24,Database!$B$1:$IX$10144,AF$22,FALSE)))</f>
        <v>17</v>
      </c>
      <c r="AG24" s="22">
        <f>IF(OR($B24="",AG$22=""),"",IF(LEN(VLOOKUP($B24,Database!$B$1:$IX$10144,AG$22,FALSE))=0,"",VLOOKUP($B24,Database!$B$1:$IX$10144,AG$22,FALSE)))</f>
        <v>17</v>
      </c>
      <c r="AH24" s="22">
        <f>IF(OR($B24="",AH$22=""),"",IF(LEN(VLOOKUP($B24,Database!$B$1:$IX$10144,AH$22,FALSE))=0,"",VLOOKUP($B24,Database!$B$1:$IX$10144,AH$22,FALSE)))</f>
        <v>1.5</v>
      </c>
      <c r="AI24" s="22">
        <f>IF(OR($B24="",AI$22=""),"",IF(LEN(VLOOKUP($B24,Database!$B$1:$IX$10144,AI$22,FALSE))=0,"",VLOOKUP($B24,Database!$B$1:$IX$10144,AI$22,FALSE)))</f>
        <v>1.3</v>
      </c>
      <c r="AJ24" s="22" t="str">
        <f>IF(OR($B24="",AJ$22=""),"",IF(LEN(VLOOKUP($B24,Database!$B$1:$IX$10144,AJ$22,FALSE))=0,"",VLOOKUP($B24,Database!$B$1:$IX$10144,AJ$22,FALSE)))</f>
        <v/>
      </c>
      <c r="AK24" s="22">
        <f>IF(OR($B24="",AK$22=""),"",IF(LEN(VLOOKUP($B24,Database!$B$1:$IX$10144,AK$22,FALSE))=0,"",VLOOKUP($B24,Database!$B$1:$IX$10144,AK$22,FALSE)))</f>
        <v>29</v>
      </c>
      <c r="AL24" s="22">
        <f>IF(OR($B24="",AL$22=""),"",IF(LEN(VLOOKUP($B24,Database!$B$1:$IX$10144,AL$22,FALSE))=0,"",VLOOKUP($B24,Database!$B$1:$IX$10144,AL$22,FALSE)))</f>
        <v>22</v>
      </c>
      <c r="AM24" s="22">
        <f>IF(OR($B24="",AM$22=""),"",IF(LEN(VLOOKUP($B24,Database!$B$1:$IX$10144,AM$22,FALSE))=0,"",VLOOKUP($B24,Database!$B$1:$IX$10144,AM$22,FALSE)))</f>
        <v>100</v>
      </c>
      <c r="AN24" s="22" t="str">
        <f>IF(OR($B24="",AN$22=""),"",IF(LEN(VLOOKUP($B24,Database!$B$1:$IX$10144,AN$22,FALSE))=0,"",VLOOKUP($B24,Database!$B$1:$IX$10144,AN$22,FALSE)))</f>
        <v>ns</v>
      </c>
      <c r="AO24" s="22" t="str">
        <f>IF(OR($B24="",AO$22=""),"",IF(LEN(VLOOKUP($B24,Database!$B$1:$IX$10144,AO$22,FALSE))=0,"",VLOOKUP($B24,Database!$B$1:$IX$10144,AO$22,FALSE)))</f>
        <v>ns</v>
      </c>
      <c r="AP24" s="22">
        <f>IF(OR($B24="",AP$22=""),"",IF(LEN(VLOOKUP($B24,Database!$B$1:$IX$10144,AP$22,FALSE))=0,"",VLOOKUP($B24,Database!$B$1:$IX$10144,AP$22,FALSE)))</f>
        <v>0</v>
      </c>
      <c r="AQ24" s="22" t="str">
        <f>IF(OR($B24="",AQ$22=""),"",IF(LEN(VLOOKUP($B24,Database!$B$1:$IX$10144,AQ$22,FALSE))=0,"",VLOOKUP($B24,Database!$B$1:$IX$10144,AQ$22,FALSE)))</f>
        <v>Lange, Irle</v>
      </c>
    </row>
    <row r="25" spans="1:43">
      <c r="A25" t="s">
        <v>2014</v>
      </c>
      <c r="B25">
        <v>15231442</v>
      </c>
      <c r="C25" s="1" t="str">
        <f>IF($B25="","",HYPERLINK(IF(LEN(VLOOKUP($B25,Database!$B$1:$IX$10144,2,FALSE))=0,"",VLOOKUP($B25,Database!$B$1:$IX$10144,2,FALSE))))</f>
        <v/>
      </c>
      <c r="D25" s="1" t="str">
        <f t="shared" si="0"/>
        <v>http://www.ncbi.nlm.nih.gov/pubmed/15231442</v>
      </c>
      <c r="E25" s="22" t="str">
        <f>IF($B25="","",IF(LEN(VLOOKUP($B25,Database!$B$1:$IX$10144,4,FALSE))=0,"",VLOOKUP($B25,Database!$B$1:$IX$10144,4,FALSE)))</f>
        <v>Vythilingam M</v>
      </c>
      <c r="F25" s="22">
        <f>IF($B25="","",IF(LEN(VLOOKUP($B25,Database!$B$1:$IX$10144,5,FALSE))=0,"",VLOOKUP($B25,Database!$B$1:$IX$10144,5,FALSE)))</f>
        <v>2004</v>
      </c>
      <c r="G25" s="1" t="str">
        <f>IF($B25="","",HYPERLINK(IF(LEN(VLOOKUP($B25,Database!$B$1:$IX$10144,6,FALSE))=0,"",VLOOKUP($B25,Database!$B$1:$IX$10144,6,FALSE))))</f>
        <v>http://dx.doi.org/10.1016/j.biopsych.2004.04.002</v>
      </c>
      <c r="H25" s="22">
        <f>IF($B25="","",IF(LEN(VLOOKUP($B25,Database!$B$1:$IX$10144,7,FALSE))=0,"",VLOOKUP($B25,Database!$B$1:$IX$10144,7,FALSE)))</f>
        <v>38</v>
      </c>
      <c r="I25" s="22">
        <f>IF($B25="","",IF(LEN(VLOOKUP($B25,Database!$B$1:$IX$10144,8,FALSE))=0,"",VLOOKUP($B25,Database!$B$1:$IX$10144,8,FALSE)))</f>
        <v>33</v>
      </c>
      <c r="J25" t="s">
        <v>994</v>
      </c>
      <c r="K25" s="10"/>
      <c r="L25">
        <v>3305</v>
      </c>
      <c r="M25">
        <v>380</v>
      </c>
      <c r="N25">
        <v>3334</v>
      </c>
      <c r="O25">
        <v>390</v>
      </c>
      <c r="P25">
        <v>3132</v>
      </c>
      <c r="Q25">
        <v>417</v>
      </c>
      <c r="R25">
        <v>3235</v>
      </c>
      <c r="S25">
        <v>407</v>
      </c>
      <c r="T25">
        <v>3219</v>
      </c>
      <c r="U25">
        <v>380</v>
      </c>
      <c r="V25">
        <v>3285</v>
      </c>
      <c r="W25">
        <v>389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41</v>
      </c>
      <c r="AC25" s="22">
        <f>IF(OR($B25="",AC$22=""),"",IF(LEN(VLOOKUP($B25,Database!$B$1:$IX$10144,AC$22,FALSE))=0,"",VLOOKUP($B25,Database!$B$1:$IX$10144,AC$22,FALSE)))</f>
        <v>11</v>
      </c>
      <c r="AD25" s="22">
        <f>IF(OR($B25="",AD$22=""),"",IF(LEN(VLOOKUP($B25,Database!$B$1:$IX$10144,AD$22,FALSE))=0,"",VLOOKUP($B25,Database!$B$1:$IX$10144,AD$22,FALSE)))</f>
        <v>34</v>
      </c>
      <c r="AE25" s="22">
        <f>IF(OR($B25="",AE$22=""),"",IF(LEN(VLOOKUP($B25,Database!$B$1:$IX$10144,AE$22,FALSE))=0,"",VLOOKUP($B25,Database!$B$1:$IX$10144,AE$22,FALSE)))</f>
        <v>10</v>
      </c>
      <c r="AF25" s="22">
        <f>IF(OR($B25="",AF$22=""),"",IF(LEN(VLOOKUP($B25,Database!$B$1:$IX$10144,AF$22,FALSE))=0,"",VLOOKUP($B25,Database!$B$1:$IX$10144,AF$22,FALSE)))</f>
        <v>23</v>
      </c>
      <c r="AG25" s="22">
        <f>IF(OR($B25="",AG$22=""),"",IF(LEN(VLOOKUP($B25,Database!$B$1:$IX$10144,AG$22,FALSE))=0,"",VLOOKUP($B25,Database!$B$1:$IX$10144,AG$22,FALSE)))</f>
        <v>21</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39.473684210526315</v>
      </c>
      <c r="AQ25" s="22" t="str">
        <f>IF(OR($B25="",AQ$22=""),"",IF(LEN(VLOOKUP($B25,Database!$B$1:$IX$10144,AQ$22,FALSE))=0,"",VLOOKUP($B25,Database!$B$1:$IX$10144,AQ$22,FALSE)))</f>
        <v>Vythilingam M, Vermetten E, Anderson GM, Luckenbaugh D, Anderson ER, Snow J, Staib LH, Charney DS, Bremner JD.</v>
      </c>
    </row>
    <row r="26" spans="1:43">
      <c r="B26">
        <v>15738499</v>
      </c>
      <c r="C26" s="1" t="str">
        <f>IF($B26="","",HYPERLINK(IF(LEN(VLOOKUP($B26,Database!$B$1:$IX$10144,2,FALSE))=0,"",VLOOKUP($B26,Database!$B$1:$IX$10144,2,FALSE))))</f>
        <v/>
      </c>
      <c r="D26" s="1" t="str">
        <f t="shared" si="0"/>
        <v>http://www.ncbi.nlm.nih.gov/pubmed/15738499</v>
      </c>
      <c r="E26" s="22" t="str">
        <f>IF($B26="","",IF(LEN(VLOOKUP($B26,Database!$B$1:$IX$10144,4,FALSE))=0,"",VLOOKUP($B26,Database!$B$1:$IX$10144,4,FALSE)))</f>
        <v>Hickie I (A)</v>
      </c>
      <c r="F26" s="22">
        <f>IF($B26="","",IF(LEN(VLOOKUP($B26,Database!$B$1:$IX$10144,5,FALSE))=0,"",VLOOKUP($B26,Database!$B$1:$IX$10144,5,FALSE)))</f>
        <v>2005</v>
      </c>
      <c r="G26" s="1" t="str">
        <f>IF($B26="","",HYPERLINK(IF(LEN(VLOOKUP($B26,Database!$B$1:$IX$10144,6,FALSE))=0,"",VLOOKUP($B26,Database!$B$1:$IX$10144,6,FALSE))))</f>
        <v>http://bjp.rcpsych.org/cgi/content/full/186/3/197</v>
      </c>
      <c r="H26" s="22">
        <f>IF($B26="","",IF(LEN(VLOOKUP($B26,Database!$B$1:$IX$10144,7,FALSE))=0,"",VLOOKUP($B26,Database!$B$1:$IX$10144,7,FALSE)))</f>
        <v>51</v>
      </c>
      <c r="I26" s="22">
        <f>IF($B26="","",IF(LEN(VLOOKUP($B26,Database!$B$1:$IX$10144,8,FALSE))=0,"",VLOOKUP($B26,Database!$B$1:$IX$10144,8,FALSE)))</f>
        <v>20</v>
      </c>
      <c r="J26" t="s">
        <v>211</v>
      </c>
      <c r="T26">
        <v>5.9</v>
      </c>
      <c r="U26">
        <v>0.6</v>
      </c>
      <c r="V26">
        <v>6.6</v>
      </c>
      <c r="W26">
        <v>1.1000000000000001</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53.5</v>
      </c>
      <c r="AC26" s="22">
        <f>IF(OR($B26="",AC$22=""),"",IF(LEN(VLOOKUP($B26,Database!$B$1:$IX$10144,AC$22,FALSE))=0,"",VLOOKUP($B26,Database!$B$1:$IX$10144,AC$22,FALSE)))</f>
        <v>13.5</v>
      </c>
      <c r="AD26" s="22">
        <f>IF(OR($B26="",AD$22=""),"",IF(LEN(VLOOKUP($B26,Database!$B$1:$IX$10144,AD$22,FALSE))=0,"",VLOOKUP($B26,Database!$B$1:$IX$10144,AD$22,FALSE)))</f>
        <v>55.8</v>
      </c>
      <c r="AE26" s="22">
        <f>IF(OR($B26="",AE$22=""),"",IF(LEN(VLOOKUP($B26,Database!$B$1:$IX$10144,AE$22,FALSE))=0,"",VLOOKUP($B26,Database!$B$1:$IX$10144,AE$22,FALSE)))</f>
        <v>10</v>
      </c>
      <c r="AF26" s="22">
        <f>IF(OR($B26="",AF$22=""),"",IF(LEN(VLOOKUP($B26,Database!$B$1:$IX$10144,AF$22,FALSE))=0,"",VLOOKUP($B26,Database!$B$1:$IX$10144,AF$22,FALSE)))</f>
        <v>44</v>
      </c>
      <c r="AG26" s="22">
        <f>IF(OR($B26="",AG$22=""),"",IF(LEN(VLOOKUP($B26,Database!$B$1:$IX$10144,AG$22,FALSE))=0,"",VLOOKUP($B26,Database!$B$1:$IX$10144,AG$22,FALSE)))</f>
        <v>11</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38.4</v>
      </c>
      <c r="AL26" s="22">
        <f>IF(OR($B26="",AL$22=""),"",IF(LEN(VLOOKUP($B26,Database!$B$1:$IX$10144,AL$22,FALSE))=0,"",VLOOKUP($B26,Database!$B$1:$IX$10144,AL$22,FALSE)))</f>
        <v>24.9</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Hickie I, Naismith S, Ward PB, Turner K, Scott E, Mitchell P, Wilhelm K, Parker G.</v>
      </c>
    </row>
    <row r="27" spans="1:43">
      <c r="B27">
        <v>17023001</v>
      </c>
      <c r="C27" s="1" t="str">
        <f>IF($B27="","",HYPERLINK(IF(LEN(VLOOKUP($B27,Database!$B$1:$IX$10144,2,FALSE))=0,"",VLOOKUP($B27,Database!$B$1:$IX$10144,2,FALSE))))</f>
        <v/>
      </c>
      <c r="D27" s="1" t="str">
        <f t="shared" si="0"/>
        <v>http://www.ncbi.nlm.nih.gov/pubmed/17023001</v>
      </c>
      <c r="E27" s="22" t="str">
        <f>IF($B27="","",IF(LEN(VLOOKUP($B27,Database!$B$1:$IX$10144,4,FALSE))=0,"",VLOOKUP($B27,Database!$B$1:$IX$10144,4,FALSE)))</f>
        <v>Colla M</v>
      </c>
      <c r="F27" s="22">
        <f>IF($B27="","",IF(LEN(VLOOKUP($B27,Database!$B$1:$IX$10144,5,FALSE))=0,"",VLOOKUP($B27,Database!$B$1:$IX$10144,5,FALSE)))</f>
        <v>2007</v>
      </c>
      <c r="G27" s="1" t="str">
        <f>IF($B27="","",HYPERLINK(IF(LEN(VLOOKUP($B27,Database!$B$1:$IX$10144,6,FALSE))=0,"",VLOOKUP($B27,Database!$B$1:$IX$10144,6,FALSE))))</f>
        <v>http://dx.doi.org/10.1016/j.jpsychires.2006.06.011</v>
      </c>
      <c r="H27" s="22">
        <f>IF($B27="","",IF(LEN(VLOOKUP($B27,Database!$B$1:$IX$10144,7,FALSE))=0,"",VLOOKUP($B27,Database!$B$1:$IX$10144,7,FALSE)))</f>
        <v>24</v>
      </c>
      <c r="I27" s="22">
        <f>IF($B27="","",IF(LEN(VLOOKUP($B27,Database!$B$1:$IX$10144,8,FALSE))=0,"",VLOOKUP($B27,Database!$B$1:$IX$10144,8,FALSE)))</f>
        <v>14</v>
      </c>
      <c r="J27" t="s">
        <v>1615</v>
      </c>
      <c r="L27">
        <v>1.68</v>
      </c>
      <c r="M27">
        <v>0.27</v>
      </c>
      <c r="N27">
        <v>1.86</v>
      </c>
      <c r="O27">
        <v>0.15</v>
      </c>
      <c r="P27">
        <v>1.78</v>
      </c>
      <c r="Q27">
        <v>0.26</v>
      </c>
      <c r="R27">
        <v>2</v>
      </c>
      <c r="S27">
        <v>0.18</v>
      </c>
      <c r="T27">
        <v>3.46</v>
      </c>
      <c r="U27">
        <v>0.52</v>
      </c>
      <c r="V27">
        <v>3.86</v>
      </c>
      <c r="W27">
        <v>0.32</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54.5</v>
      </c>
      <c r="AC27" s="22">
        <f>IF(OR($B27="",AC$22=""),"",IF(LEN(VLOOKUP($B27,Database!$B$1:$IX$10144,AC$22,FALSE))=0,"",VLOOKUP($B27,Database!$B$1:$IX$10144,AC$22,FALSE)))</f>
        <v>11.9</v>
      </c>
      <c r="AD27" s="22">
        <f>IF(OR($B27="",AD$22=""),"",IF(LEN(VLOOKUP($B27,Database!$B$1:$IX$10144,AD$22,FALSE))=0,"",VLOOKUP($B27,Database!$B$1:$IX$10144,AD$22,FALSE)))</f>
        <v>53.8</v>
      </c>
      <c r="AE27" s="22">
        <f>IF(OR($B27="",AE$22=""),"",IF(LEN(VLOOKUP($B27,Database!$B$1:$IX$10144,AE$22,FALSE))=0,"",VLOOKUP($B27,Database!$B$1:$IX$10144,AE$22,FALSE)))</f>
        <v>17.7</v>
      </c>
      <c r="AF27" s="22">
        <f>IF(OR($B27="",AF$22=""),"",IF(LEN(VLOOKUP($B27,Database!$B$1:$IX$10144,AF$22,FALSE))=0,"",VLOOKUP($B27,Database!$B$1:$IX$10144,AF$22,FALSE)))</f>
        <v>15</v>
      </c>
      <c r="AG27" s="22">
        <f>IF(OR($B27="",AG$22=""),"",IF(LEN(VLOOKUP($B27,Database!$B$1:$IX$10144,AG$22,FALSE))=0,"",VLOOKUP($B27,Database!$B$1:$IX$10144,AG$22,FALSE)))</f>
        <v>8</v>
      </c>
      <c r="AH27" s="22">
        <f>IF(OR($B27="",AH$22=""),"",IF(LEN(VLOOKUP($B27,Database!$B$1:$IX$10144,AH$22,FALSE))=0,"",VLOOKUP($B27,Database!$B$1:$IX$10144,AH$22,FALSE)))</f>
        <v>1.5</v>
      </c>
      <c r="AI27" s="22">
        <f>IF(OR($B27="",AI$22=""),"",IF(LEN(VLOOKUP($B27,Database!$B$1:$IX$10144,AI$22,FALSE))=0,"",VLOOKUP($B27,Database!$B$1:$IX$10144,AI$22,FALSE)))</f>
        <v>1.05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25.3</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t="str">
        <f>IF(OR($B27="",AP$22=""),"",IF(LEN(VLOOKUP($B27,Database!$B$1:$IX$10144,AP$22,FALSE))=0,"",VLOOKUP($B27,Database!$B$1:$IX$10144,AP$22,FALSE)))</f>
        <v>ns</v>
      </c>
      <c r="AQ27" s="22" t="str">
        <f>IF(OR($B27="",AQ$22=""),"",IF(LEN(VLOOKUP($B27,Database!$B$1:$IX$10144,AQ$22,FALSE))=0,"",VLOOKUP($B27,Database!$B$1:$IX$10144,AQ$22,FALSE)))</f>
        <v>Colla M, Kronenberg G, Deuschle M, Meichel K, Hagen T, Bohrer M, Heuser I.</v>
      </c>
    </row>
    <row r="28" spans="1:43">
      <c r="B28">
        <v>19800203</v>
      </c>
      <c r="C28" s="1" t="str">
        <f>IF($B28="","",HYPERLINK(IF(LEN(VLOOKUP($B28,Database!$B$1:$IX$10144,2,FALSE))=0,"",VLOOKUP($B28,Database!$B$1:$IX$10144,2,FALSE))))</f>
        <v/>
      </c>
      <c r="D28" s="1" t="str">
        <f t="shared" si="0"/>
        <v>http://www.ncbi.nlm.nih.gov/pubmed/19800203</v>
      </c>
      <c r="E28" s="22" t="str">
        <f>IF($B28="","",IF(LEN(VLOOKUP($B28,Database!$B$1:$IX$10144,4,FALSE))=0,"",VLOOKUP($B28,Database!$B$1:$IX$10144,4,FALSE)))</f>
        <v>Kronmüller KT</v>
      </c>
      <c r="F28" s="22">
        <f>IF($B28="","",IF(LEN(VLOOKUP($B28,Database!$B$1:$IX$10144,5,FALSE))=0,"",VLOOKUP($B28,Database!$B$1:$IX$10144,5,FALSE)))</f>
        <v>2009</v>
      </c>
      <c r="G28" s="1" t="str">
        <f>IF($B28="","",HYPERLINK(IF(LEN(VLOOKUP($B28,Database!$B$1:$IX$10144,6,FALSE))=0,"",VLOOKUP($B28,Database!$B$1:$IX$10144,6,FALSE))))</f>
        <v>http://dx.doi.org/10.1016/j.pscychresns.2008.08.001</v>
      </c>
      <c r="H28" s="83">
        <v>13</v>
      </c>
      <c r="I28" s="83">
        <v>5.5</v>
      </c>
      <c r="J28" t="s">
        <v>2383</v>
      </c>
      <c r="K28" t="s">
        <v>2379</v>
      </c>
      <c r="L28">
        <v>2.81</v>
      </c>
      <c r="M28">
        <v>0.36</v>
      </c>
      <c r="N28">
        <v>3.19</v>
      </c>
      <c r="O28">
        <v>0.25</v>
      </c>
      <c r="P28">
        <v>3</v>
      </c>
      <c r="Q28">
        <v>0.56999999999999995</v>
      </c>
      <c r="R28">
        <v>3.3</v>
      </c>
      <c r="S28">
        <v>0.28999999999999998</v>
      </c>
      <c r="T28">
        <v>5.81</v>
      </c>
      <c r="U28">
        <v>0.9</v>
      </c>
      <c r="V28">
        <v>6.49</v>
      </c>
      <c r="W28">
        <v>0.49</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83">
        <v>38.08</v>
      </c>
      <c r="AC28" s="83">
        <v>11.88</v>
      </c>
      <c r="AD28" s="83">
        <v>42</v>
      </c>
      <c r="AE28" s="83">
        <v>11.28</v>
      </c>
      <c r="AF28" s="83">
        <v>0</v>
      </c>
      <c r="AG28" s="22">
        <f>IF(OR($B28="",AG$22=""),"",IF(LEN(VLOOKUP($B28,Database!$B$1:$IX$10144,AG$22,FALSE))=0,"",VLOOKUP($B28,Database!$B$1:$IX$10144,AG$22,FALSE)))</f>
        <v>19</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83">
        <v>38.880000000000003</v>
      </c>
      <c r="AL28" s="83">
        <v>23</v>
      </c>
      <c r="AM28" s="22">
        <f>IF(OR($B28="",AM$22=""),"",IF(LEN(VLOOKUP($B28,Database!$B$1:$IX$10144,AM$22,FALSE))=0,"",VLOOKUP($B28,Database!$B$1:$IX$10144,AM$22,FALSE)))</f>
        <v>100</v>
      </c>
      <c r="AN28" s="22" t="str">
        <f>IF(OR($B28="",AN$22=""),"",IF(LEN(VLOOKUP($B28,Database!$B$1:$IX$10144,AN$22,FALSE))=0,"",VLOOKUP($B28,Database!$B$1:$IX$10144,AN$22,FALSE)))</f>
        <v>ns</v>
      </c>
      <c r="AO28" s="22" t="str">
        <f>IF(OR($B28="",AO$22=""),"",IF(LEN(VLOOKUP($B28,Database!$B$1:$IX$10144,AO$22,FALSE))=0,"",VLOOKUP($B28,Database!$B$1:$IX$10144,AO$22,FALSE)))</f>
        <v>ns</v>
      </c>
      <c r="AP28" s="22">
        <f>IF(OR($B28="",AP$22=""),"",IF(LEN(VLOOKUP($B28,Database!$B$1:$IX$10144,AP$22,FALSE))=0,"",VLOOKUP($B28,Database!$B$1:$IX$10144,AP$22,FALSE)))</f>
        <v>0</v>
      </c>
      <c r="AQ28" s="22" t="str">
        <f>IF(OR($B28="",AQ$22=""),"",IF(LEN(VLOOKUP($B28,Database!$B$1:$IX$10144,AQ$22,FALSE))=0,"",VLOOKUP($B28,Database!$B$1:$IX$10144,AQ$22,FALSE)))</f>
        <v>Kronmüller KT, Schröder J, Köhler S, Götz B, Victor D, Unger J, Giesel F, Magnotta V, Mundt C, Essig M, Pantel J.</v>
      </c>
    </row>
    <row r="29" spans="1:43">
      <c r="B29">
        <v>19800203</v>
      </c>
      <c r="C29" s="1" t="str">
        <f>IF($B29="","",HYPERLINK(IF(LEN(VLOOKUP($B29,Database!$B$1:$IX$10144,2,FALSE))=0,"",VLOOKUP($B29,Database!$B$1:$IX$10144,2,FALSE))))</f>
        <v/>
      </c>
      <c r="D29" s="1" t="str">
        <f t="shared" si="0"/>
        <v>http://www.ncbi.nlm.nih.gov/pubmed/19800203</v>
      </c>
      <c r="E29" s="22" t="str">
        <f>IF($B29="","",IF(LEN(VLOOKUP($B29,Database!$B$1:$IX$10144,4,FALSE))=0,"",VLOOKUP($B29,Database!$B$1:$IX$10144,4,FALSE)))</f>
        <v>Kronmüller KT</v>
      </c>
      <c r="F29" s="22">
        <f>IF($B29="","",IF(LEN(VLOOKUP($B29,Database!$B$1:$IX$10144,5,FALSE))=0,"",VLOOKUP($B29,Database!$B$1:$IX$10144,5,FALSE)))</f>
        <v>2009</v>
      </c>
      <c r="G29" s="1" t="str">
        <f>IF($B29="","",HYPERLINK(IF(LEN(VLOOKUP($B29,Database!$B$1:$IX$10144,6,FALSE))=0,"",VLOOKUP($B29,Database!$B$1:$IX$10144,6,FALSE))))</f>
        <v>http://dx.doi.org/10.1016/j.pscychresns.2008.08.001</v>
      </c>
      <c r="H29" s="83">
        <v>13</v>
      </c>
      <c r="I29" s="83">
        <v>9.5</v>
      </c>
      <c r="J29" t="s">
        <v>2383</v>
      </c>
      <c r="K29" t="s">
        <v>2380</v>
      </c>
      <c r="L29">
        <v>2.71</v>
      </c>
      <c r="M29">
        <v>0.26</v>
      </c>
      <c r="N29">
        <v>2.72</v>
      </c>
      <c r="O29">
        <v>0.3</v>
      </c>
      <c r="P29">
        <v>2.82</v>
      </c>
      <c r="Q29">
        <v>0.36</v>
      </c>
      <c r="R29">
        <v>2.79</v>
      </c>
      <c r="S29">
        <v>0.41</v>
      </c>
      <c r="T29">
        <v>5.52</v>
      </c>
      <c r="U29">
        <v>0.56999999999999995</v>
      </c>
      <c r="V29">
        <v>5.51</v>
      </c>
      <c r="W29">
        <v>0.66</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83">
        <v>41.46</v>
      </c>
      <c r="AC29" s="83">
        <v>16.64</v>
      </c>
      <c r="AD29" s="83">
        <v>42.68</v>
      </c>
      <c r="AE29" s="83">
        <v>13.98</v>
      </c>
      <c r="AF29" s="83">
        <v>100</v>
      </c>
      <c r="AG29" s="22">
        <f>IF(OR($B29="",AG$22=""),"",IF(LEN(VLOOKUP($B29,Database!$B$1:$IX$10144,AG$22,FALSE))=0,"",VLOOKUP($B29,Database!$B$1:$IX$10144,AG$22,FALSE)))</f>
        <v>19</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83">
        <v>38.880000000000003</v>
      </c>
      <c r="AL29" s="83">
        <v>25.62</v>
      </c>
      <c r="AM29" s="22">
        <f>IF(OR($B29="",AM$22=""),"",IF(LEN(VLOOKUP($B29,Database!$B$1:$IX$10144,AM$22,FALSE))=0,"",VLOOKUP($B29,Database!$B$1:$IX$10144,AM$22,FALSE)))</f>
        <v>100</v>
      </c>
      <c r="AN29" s="22" t="str">
        <f>IF(OR($B29="",AN$22=""),"",IF(LEN(VLOOKUP($B29,Database!$B$1:$IX$10144,AN$22,FALSE))=0,"",VLOOKUP($B29,Database!$B$1:$IX$10144,AN$22,FALSE)))</f>
        <v>ns</v>
      </c>
      <c r="AO29" s="22" t="str">
        <f>IF(OR($B29="",AO$22=""),"",IF(LEN(VLOOKUP($B29,Database!$B$1:$IX$10144,AO$22,FALSE))=0,"",VLOOKUP($B29,Database!$B$1:$IX$10144,AO$22,FALSE)))</f>
        <v>ns</v>
      </c>
      <c r="AP29" s="22">
        <f>IF(OR($B29="",AP$22=""),"",IF(LEN(VLOOKUP($B29,Database!$B$1:$IX$10144,AP$22,FALSE))=0,"",VLOOKUP($B29,Database!$B$1:$IX$10144,AP$22,FALSE)))</f>
        <v>0</v>
      </c>
      <c r="AQ29" s="22" t="str">
        <f>IF(OR($B29="",AQ$22=""),"",IF(LEN(VLOOKUP($B29,Database!$B$1:$IX$10144,AQ$22,FALSE))=0,"",VLOOKUP($B29,Database!$B$1:$IX$10144,AQ$22,FALSE)))</f>
        <v>Kronmüller KT, Schröder J, Köhler S, Götz B, Victor D, Unger J, Giesel F, Magnotta V, Mundt C, Essig M, Pantel J.</v>
      </c>
    </row>
    <row r="30" spans="1:43">
      <c r="B30">
        <v>19800203</v>
      </c>
      <c r="C30" s="1" t="str">
        <f>IF($B30="","",HYPERLINK(IF(LEN(VLOOKUP($B30,Database!$B$1:$IX$10144,2,FALSE))=0,"",VLOOKUP($B30,Database!$B$1:$IX$10144,2,FALSE))))</f>
        <v/>
      </c>
      <c r="D30" s="1" t="str">
        <f t="shared" si="0"/>
        <v>http://www.ncbi.nlm.nih.gov/pubmed/19800203</v>
      </c>
      <c r="E30" s="22" t="str">
        <f>IF($B30="","",IF(LEN(VLOOKUP($B30,Database!$B$1:$IX$10144,4,FALSE))=0,"",VLOOKUP($B30,Database!$B$1:$IX$10144,4,FALSE)))</f>
        <v>Kronmüller KT</v>
      </c>
      <c r="F30" s="22">
        <f>IF($B30="","",IF(LEN(VLOOKUP($B30,Database!$B$1:$IX$10144,5,FALSE))=0,"",VLOOKUP($B30,Database!$B$1:$IX$10144,5,FALSE)))</f>
        <v>2009</v>
      </c>
      <c r="G30" s="1" t="str">
        <f>IF($B30="","",HYPERLINK(IF(LEN(VLOOKUP($B30,Database!$B$1:$IX$10144,6,FALSE))=0,"",VLOOKUP($B30,Database!$B$1:$IX$10144,6,FALSE))))</f>
        <v>http://dx.doi.org/10.1016/j.pscychresns.2008.08.001</v>
      </c>
      <c r="H30" s="83">
        <v>11</v>
      </c>
      <c r="I30" s="83">
        <v>5.5</v>
      </c>
      <c r="J30" t="s">
        <v>2383</v>
      </c>
      <c r="K30" t="s">
        <v>2381</v>
      </c>
      <c r="L30">
        <v>3.1</v>
      </c>
      <c r="M30">
        <v>0.39</v>
      </c>
      <c r="N30">
        <v>3.19</v>
      </c>
      <c r="O30">
        <v>0.25</v>
      </c>
      <c r="P30">
        <v>2.97</v>
      </c>
      <c r="Q30">
        <v>0.47</v>
      </c>
      <c r="R30">
        <v>3.3</v>
      </c>
      <c r="S30">
        <v>0.28999999999999998</v>
      </c>
      <c r="T30">
        <v>6.07</v>
      </c>
      <c r="U30">
        <v>0.85</v>
      </c>
      <c r="V30">
        <v>6.49</v>
      </c>
      <c r="W30">
        <v>0.49</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83">
        <v>48.27</v>
      </c>
      <c r="AC30" s="83">
        <v>8.73</v>
      </c>
      <c r="AD30" s="83">
        <v>42</v>
      </c>
      <c r="AE30" s="83">
        <v>11.28</v>
      </c>
      <c r="AF30" s="83">
        <v>0</v>
      </c>
      <c r="AG30" s="22">
        <f>IF(OR($B30="",AG$22=""),"",IF(LEN(VLOOKUP($B30,Database!$B$1:$IX$10144,AG$22,FALSE))=0,"",VLOOKUP($B30,Database!$B$1:$IX$10144,AG$22,FALSE)))</f>
        <v>19</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83">
        <v>38.26</v>
      </c>
      <c r="AL30" s="83">
        <v>18.72</v>
      </c>
      <c r="AM30" s="22">
        <f>IF(OR($B30="",AM$22=""),"",IF(LEN(VLOOKUP($B30,Database!$B$1:$IX$10144,AM$22,FALSE))=0,"",VLOOKUP($B30,Database!$B$1:$IX$10144,AM$22,FALSE)))</f>
        <v>100</v>
      </c>
      <c r="AN30" s="22" t="str">
        <f>IF(OR($B30="",AN$22=""),"",IF(LEN(VLOOKUP($B30,Database!$B$1:$IX$10144,AN$22,FALSE))=0,"",VLOOKUP($B30,Database!$B$1:$IX$10144,AN$22,FALSE)))</f>
        <v>ns</v>
      </c>
      <c r="AO30" s="22" t="str">
        <f>IF(OR($B30="",AO$22=""),"",IF(LEN(VLOOKUP($B30,Database!$B$1:$IX$10144,AO$22,FALSE))=0,"",VLOOKUP($B30,Database!$B$1:$IX$10144,AO$22,FALSE)))</f>
        <v>ns</v>
      </c>
      <c r="AP30" s="22">
        <f>IF(OR($B30="",AP$22=""),"",IF(LEN(VLOOKUP($B30,Database!$B$1:$IX$10144,AP$22,FALSE))=0,"",VLOOKUP($B30,Database!$B$1:$IX$10144,AP$22,FALSE)))</f>
        <v>0</v>
      </c>
      <c r="AQ30" s="22" t="str">
        <f>IF(OR($B30="",AQ$22=""),"",IF(LEN(VLOOKUP($B30,Database!$B$1:$IX$10144,AQ$22,FALSE))=0,"",VLOOKUP($B30,Database!$B$1:$IX$10144,AQ$22,FALSE)))</f>
        <v>Kronmüller KT, Schröder J, Köhler S, Götz B, Victor D, Unger J, Giesel F, Magnotta V, Mundt C, Essig M, Pantel J.</v>
      </c>
    </row>
    <row r="31" spans="1:43">
      <c r="B31">
        <v>19800203</v>
      </c>
      <c r="C31" s="1" t="str">
        <f>IF($B31="","",HYPERLINK(IF(LEN(VLOOKUP($B31,Database!$B$1:$IX$10144,2,FALSE))=0,"",VLOOKUP($B31,Database!$B$1:$IX$10144,2,FALSE))))</f>
        <v/>
      </c>
      <c r="D31" s="1" t="str">
        <f t="shared" si="0"/>
        <v>http://www.ncbi.nlm.nih.gov/pubmed/19800203</v>
      </c>
      <c r="E31" s="22" t="str">
        <f>IF($B31="","",IF(LEN(VLOOKUP($B31,Database!$B$1:$IX$10144,4,FALSE))=0,"",VLOOKUP($B31,Database!$B$1:$IX$10144,4,FALSE)))</f>
        <v>Kronmüller KT</v>
      </c>
      <c r="F31" s="22">
        <f>IF($B31="","",IF(LEN(VLOOKUP($B31,Database!$B$1:$IX$10144,5,FALSE))=0,"",VLOOKUP($B31,Database!$B$1:$IX$10144,5,FALSE)))</f>
        <v>2009</v>
      </c>
      <c r="G31" s="1" t="str">
        <f>IF($B31="","",HYPERLINK(IF(LEN(VLOOKUP($B31,Database!$B$1:$IX$10144,6,FALSE))=0,"",VLOOKUP($B31,Database!$B$1:$IX$10144,6,FALSE))))</f>
        <v>http://dx.doi.org/10.1016/j.pscychresns.2008.08.001</v>
      </c>
      <c r="H31" s="83">
        <v>20</v>
      </c>
      <c r="I31" s="83">
        <v>9.5</v>
      </c>
      <c r="J31" t="s">
        <v>2383</v>
      </c>
      <c r="K31" t="s">
        <v>2382</v>
      </c>
      <c r="L31">
        <v>2.75</v>
      </c>
      <c r="M31">
        <v>0.41</v>
      </c>
      <c r="N31">
        <v>2.72</v>
      </c>
      <c r="O31">
        <v>0.3</v>
      </c>
      <c r="P31">
        <v>2.83</v>
      </c>
      <c r="Q31">
        <v>0.35</v>
      </c>
      <c r="R31">
        <v>2.79</v>
      </c>
      <c r="S31">
        <v>0.41</v>
      </c>
      <c r="T31">
        <v>5.59</v>
      </c>
      <c r="U31">
        <v>0.73</v>
      </c>
      <c r="V31">
        <v>5.51</v>
      </c>
      <c r="W31">
        <v>0.66</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83">
        <v>45.85</v>
      </c>
      <c r="AC31" s="83">
        <v>11.78</v>
      </c>
      <c r="AD31" s="83">
        <v>42.68</v>
      </c>
      <c r="AE31" s="83">
        <v>13.98</v>
      </c>
      <c r="AF31" s="83">
        <v>100</v>
      </c>
      <c r="AG31" s="22">
        <f>IF(OR($B31="",AG$22=""),"",IF(LEN(VLOOKUP($B31,Database!$B$1:$IX$10144,AG$22,FALSE))=0,"",VLOOKUP($B31,Database!$B$1:$IX$10144,AG$22,FALSE)))</f>
        <v>19</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83">
        <v>38.26</v>
      </c>
      <c r="AL31" s="83">
        <v>22.9</v>
      </c>
      <c r="AM31" s="22">
        <f>IF(OR($B31="",AM$22=""),"",IF(LEN(VLOOKUP($B31,Database!$B$1:$IX$10144,AM$22,FALSE))=0,"",VLOOKUP($B31,Database!$B$1:$IX$10144,AM$22,FALSE)))</f>
        <v>100</v>
      </c>
      <c r="AN31" s="22" t="str">
        <f>IF(OR($B31="",AN$22=""),"",IF(LEN(VLOOKUP($B31,Database!$B$1:$IX$10144,AN$22,FALSE))=0,"",VLOOKUP($B31,Database!$B$1:$IX$10144,AN$22,FALSE)))</f>
        <v>ns</v>
      </c>
      <c r="AO31" s="22" t="str">
        <f>IF(OR($B31="",AO$22=""),"",IF(LEN(VLOOKUP($B31,Database!$B$1:$IX$10144,AO$22,FALSE))=0,"",VLOOKUP($B31,Database!$B$1:$IX$10144,AO$22,FALSE)))</f>
        <v>ns</v>
      </c>
      <c r="AP31" s="22">
        <f>IF(OR($B31="",AP$22=""),"",IF(LEN(VLOOKUP($B31,Database!$B$1:$IX$10144,AP$22,FALSE))=0,"",VLOOKUP($B31,Database!$B$1:$IX$10144,AP$22,FALSE)))</f>
        <v>0</v>
      </c>
      <c r="AQ31" s="22" t="str">
        <f>IF(OR($B31="",AQ$22=""),"",IF(LEN(VLOOKUP($B31,Database!$B$1:$IX$10144,AQ$22,FALSE))=0,"",VLOOKUP($B31,Database!$B$1:$IX$10144,AQ$22,FALSE)))</f>
        <v>Kronmüller KT, Schröder J, Köhler S, Götz B, Victor D, Unger J, Giesel F, Magnotta V, Mundt C, Essig M, Pantel J.</v>
      </c>
    </row>
    <row r="32" spans="1:43">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43">
      <c r="A33" s="4" t="s">
        <v>397</v>
      </c>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43">
      <c r="A34" t="s">
        <v>2013</v>
      </c>
      <c r="B34">
        <v>10618023</v>
      </c>
      <c r="C34" s="1" t="str">
        <f>IF($B34="","",HYPERLINK(IF(LEN(VLOOKUP($B34,Database!$B$1:$IX$10144,2,FALSE))=0,"",VLOOKUP($B34,Database!$B$1:$IX$10144,2,FALSE))))</f>
        <v/>
      </c>
      <c r="D34" s="1" t="str">
        <f t="shared" ref="D34:D55" si="1">IF($B34="","",HYPERLINK(CONCATENATE("http://www.ncbi.nlm.nih.gov/pubmed/",B34)))</f>
        <v>http://www.ncbi.nlm.nih.gov/pubmed/10618023</v>
      </c>
      <c r="E34" s="22" t="str">
        <f>IF($B34="","",IF(LEN(VLOOKUP($B34,Database!$B$1:$IX$10144,4,FALSE))=0,"",VLOOKUP($B34,Database!$B$1:$IX$10144,4,FALSE)))</f>
        <v>Bremner JD</v>
      </c>
      <c r="F34" s="22">
        <f>IF($B34="","",IF(LEN(VLOOKUP($B34,Database!$B$1:$IX$10144,5,FALSE))=0,"",VLOOKUP($B34,Database!$B$1:$IX$10144,5,FALSE)))</f>
        <v>2000</v>
      </c>
      <c r="G34" s="1" t="str">
        <f>IF($B34="","",HYPERLINK(IF(LEN(VLOOKUP($B34,Database!$B$1:$IX$10144,6,FALSE))=0,"",VLOOKUP($B34,Database!$B$1:$IX$10144,6,FALSE))))</f>
        <v>http://ajp.psychiatryonline.org/cgi/reprint/157/1/115</v>
      </c>
      <c r="H34" s="22">
        <f>IF($B34="","",IF(LEN(VLOOKUP($B34,Database!$B$1:$IX$10144,7,FALSE))=0,"",VLOOKUP($B34,Database!$B$1:$IX$10144,7,FALSE)))</f>
        <v>16</v>
      </c>
      <c r="I34" s="22">
        <f>IF($B34="","",IF(LEN(VLOOKUP($B34,Database!$B$1:$IX$10144,8,FALSE))=0,"",VLOOKUP($B34,Database!$B$1:$IX$10144,8,FALSE)))</f>
        <v>16</v>
      </c>
      <c r="J34" t="s">
        <v>887</v>
      </c>
      <c r="K34" t="s">
        <v>1044</v>
      </c>
      <c r="L34">
        <v>940</v>
      </c>
      <c r="M34">
        <v>208</v>
      </c>
      <c r="N34">
        <v>1166</v>
      </c>
      <c r="O34">
        <v>248</v>
      </c>
      <c r="P34">
        <v>982</v>
      </c>
      <c r="Q34">
        <v>269</v>
      </c>
      <c r="R34">
        <v>1113</v>
      </c>
      <c r="S34">
        <v>194</v>
      </c>
      <c r="T34">
        <f>L34+P34</f>
        <v>1922</v>
      </c>
      <c r="U34">
        <f>2*SQRT(0.25*(M34^2+Q34^2+2*$F$8*M34*Q34))</f>
        <v>452.93288686073572</v>
      </c>
      <c r="V34">
        <f>N34+R34</f>
        <v>2279</v>
      </c>
      <c r="W34">
        <f>2*SQRT(0.25*(O34^2+S34^2+2*$F$8*O34*S34))</f>
        <v>419.66558114765621</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43</v>
      </c>
      <c r="AC34" s="22">
        <f>IF(OR($B34="",AC$22=""),"",IF(LEN(VLOOKUP($B34,Database!$B$1:$IX$10144,AC$22,FALSE))=0,"",VLOOKUP($B34,Database!$B$1:$IX$10144,AC$22,FALSE)))</f>
        <v>8</v>
      </c>
      <c r="AD34" s="22">
        <f>IF(OR($B34="",AD$22=""),"",IF(LEN(VLOOKUP($B34,Database!$B$1:$IX$10144,AD$22,FALSE))=0,"",VLOOKUP($B34,Database!$B$1:$IX$10144,AD$22,FALSE)))</f>
        <v>45</v>
      </c>
      <c r="AE34" s="22">
        <f>IF(OR($B34="",AE$22=""),"",IF(LEN(VLOOKUP($B34,Database!$B$1:$IX$10144,AE$22,FALSE))=0,"",VLOOKUP($B34,Database!$B$1:$IX$10144,AE$22,FALSE)))</f>
        <v>10</v>
      </c>
      <c r="AF34" s="22">
        <f>IF(OR($B34="",AF$22=""),"",IF(LEN(VLOOKUP($B34,Database!$B$1:$IX$10144,AF$22,FALSE))=0,"",VLOOKUP($B34,Database!$B$1:$IX$10144,AF$22,FALSE)))</f>
        <v>6</v>
      </c>
      <c r="AG34" s="22">
        <f>IF(OR($B34="",AG$22=""),"",IF(LEN(VLOOKUP($B34,Database!$B$1:$IX$10144,AG$22,FALSE))=0,"",VLOOKUP($B34,Database!$B$1:$IX$10144,AG$22,FALSE)))</f>
        <v>6</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f>IF(OR($B34="",AM$22=""),"",IF(LEN(VLOOKUP($B34,Database!$B$1:$IX$10144,AM$22,FALSE))=0,"",VLOOKUP($B34,Database!$B$1:$IX$10144,AM$22,FALSE)))</f>
        <v>100</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0</v>
      </c>
      <c r="AQ34" s="22" t="str">
        <f>IF(OR($B34="",AQ$22=""),"",IF(LEN(VLOOKUP($B34,Database!$B$1:$IX$10144,AQ$22,FALSE))=0,"",VLOOKUP($B34,Database!$B$1:$IX$10144,AQ$22,FALSE)))</f>
        <v>Bremner JD, Narayan M, Anderson ER, Staib LH, Miller HL, Charney DS.</v>
      </c>
    </row>
    <row r="35" spans="1:43">
      <c r="A35" t="s">
        <v>2018</v>
      </c>
      <c r="B35">
        <v>10862809</v>
      </c>
      <c r="C35" s="1" t="str">
        <f>IF($B35="","",HYPERLINK(IF(LEN(VLOOKUP($B35,Database!$B$1:$IX$10144,2,FALSE))=0,"",VLOOKUP($B35,Database!$B$1:$IX$10144,2,FALSE))))</f>
        <v/>
      </c>
      <c r="D35" s="1" t="str">
        <f t="shared" si="1"/>
        <v>http://www.ncbi.nlm.nih.gov/pubmed/10862809</v>
      </c>
      <c r="E35" s="22" t="str">
        <f>IF($B35="","",IF(LEN(VLOOKUP($B35,Database!$B$1:$IX$10144,4,FALSE))=0,"",VLOOKUP($B35,Database!$B$1:$IX$10144,4,FALSE)))</f>
        <v>Vakili K</v>
      </c>
      <c r="F35" s="22">
        <f>IF($B35="","",IF(LEN(VLOOKUP($B35,Database!$B$1:$IX$10144,5,FALSE))=0,"",VLOOKUP($B35,Database!$B$1:$IX$10144,5,FALSE)))</f>
        <v>2000</v>
      </c>
      <c r="G35" s="1" t="str">
        <f>IF($B35="","",HYPERLINK(IF(LEN(VLOOKUP($B35,Database!$B$1:$IX$10144,6,FALSE))=0,"",VLOOKUP($B35,Database!$B$1:$IX$10144,6,FALSE))))</f>
        <v>http://dx.doi.org/10.1016/S0006-3223(99)00296-6</v>
      </c>
      <c r="H35" s="22">
        <f>IF($B35="","",IF(LEN(VLOOKUP($B35,Database!$B$1:$IX$10144,7,FALSE))=0,"",VLOOKUP($B35,Database!$B$1:$IX$10144,7,FALSE)))</f>
        <v>38</v>
      </c>
      <c r="I35" s="22">
        <f>IF($B35="","",IF(LEN(VLOOKUP($B35,Database!$B$1:$IX$10144,8,FALSE))=0,"",VLOOKUP($B35,Database!$B$1:$IX$10144,8,FALSE)))</f>
        <v>20</v>
      </c>
      <c r="J35" t="s">
        <v>1046</v>
      </c>
      <c r="L35">
        <v>2.64</v>
      </c>
      <c r="M35">
        <v>0.55000000000000004</v>
      </c>
      <c r="N35">
        <v>2.46</v>
      </c>
      <c r="O35">
        <v>0.38</v>
      </c>
      <c r="P35">
        <v>2.61</v>
      </c>
      <c r="Q35">
        <v>0.57999999999999996</v>
      </c>
      <c r="R35">
        <v>2.6</v>
      </c>
      <c r="S35">
        <v>0.51</v>
      </c>
      <c r="T35">
        <f t="shared" ref="T35:T55" si="2">L35+P35</f>
        <v>5.25</v>
      </c>
      <c r="U35">
        <f t="shared" ref="U35:U55" si="3">2*SQRT(0.25*(M35^2+Q35^2+2*$F$8*M35*Q35))</f>
        <v>1.0720541031123383</v>
      </c>
      <c r="V35">
        <f t="shared" ref="V35:V55" si="4">N35+R35</f>
        <v>5.0600000000000005</v>
      </c>
      <c r="W35">
        <f t="shared" ref="W35:W55" si="5">2*SQRT(0.25*(O35^2+S35^2+2*$F$8*O35*S35))</f>
        <v>0.84532833857620082</v>
      </c>
      <c r="Y35" s="22" t="str">
        <f>IF(OR($B35="",Y$22=""),"",IF(LEN(VLOOKUP($B35,Database!$B$1:$IX$10144,Y$22,FALSE))=0,"",VLOOKUP($B35,Database!$B$1:$IX$10144,Y$22,FALSE)))</f>
        <v>DSM-III-R</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38.5</v>
      </c>
      <c r="AC35" s="22">
        <f>IF(OR($B35="",AC$22=""),"",IF(LEN(VLOOKUP($B35,Database!$B$1:$IX$10144,AC$22,FALSE))=0,"",VLOOKUP($B35,Database!$B$1:$IX$10144,AC$22,FALSE)))</f>
        <v>10</v>
      </c>
      <c r="AD35" s="22">
        <f>IF(OR($B35="",AD$22=""),"",IF(LEN(VLOOKUP($B35,Database!$B$1:$IX$10144,AD$22,FALSE))=0,"",VLOOKUP($B35,Database!$B$1:$IX$10144,AD$22,FALSE)))</f>
        <v>40.299999999999997</v>
      </c>
      <c r="AE35" s="22">
        <f>IF(OR($B35="",AE$22=""),"",IF(LEN(VLOOKUP($B35,Database!$B$1:$IX$10144,AE$22,FALSE))=0,"",VLOOKUP($B35,Database!$B$1:$IX$10144,AE$22,FALSE)))</f>
        <v>10.4</v>
      </c>
      <c r="AF35" s="22">
        <f>IF(OR($B35="",AF$22=""),"",IF(LEN(VLOOKUP($B35,Database!$B$1:$IX$10144,AF$22,FALSE))=0,"",VLOOKUP($B35,Database!$B$1:$IX$10144,AF$22,FALSE)))</f>
        <v>21</v>
      </c>
      <c r="AG35" s="22">
        <f>IF(OR($B35="",AG$22=""),"",IF(LEN(VLOOKUP($B35,Database!$B$1:$IX$10144,AG$22,FALSE))=0,"",VLOOKUP($B35,Database!$B$1:$IX$10144,AG$22,FALSE)))</f>
        <v>11</v>
      </c>
      <c r="AH35" s="22">
        <f>IF(OR($B35="",AH$22=""),"",IF(LEN(VLOOKUP($B35,Database!$B$1:$IX$10144,AH$22,FALSE))=0,"",VLOOKUP($B35,Database!$B$1:$IX$10144,AH$22,FALSE)))</f>
        <v>1.5</v>
      </c>
      <c r="AI35" s="22">
        <f>IF(OR($B35="",AI$22=""),"",IF(LEN(VLOOKUP($B35,Database!$B$1:$IX$10144,AI$22,FALSE))=0,"",VLOOKUP($B35,Database!$B$1:$IX$10144,AI$22,FALSE)))</f>
        <v>3</v>
      </c>
      <c r="AJ35" s="22" t="str">
        <f>IF(OR($B35="",AJ$22=""),"",IF(LEN(VLOOKUP($B35,Database!$B$1:$IX$10144,AJ$22,FALSE))=0,"",VLOOKUP($B35,Database!$B$1:$IX$10144,AJ$22,FALSE)))</f>
        <v/>
      </c>
      <c r="AK35" s="22" t="str">
        <f>IF(OR($B35="",AK$22=""),"",IF(LEN(VLOOKUP($B35,Database!$B$1:$IX$10144,AK$22,FALSE))=0,"",VLOOKUP($B35,Database!$B$1:$IX$10144,AK$22,FALSE)))</f>
        <v>ns</v>
      </c>
      <c r="AL35" s="22" t="str">
        <f>IF(OR($B35="",AL$22=""),"",IF(LEN(VLOOKUP($B35,Database!$B$1:$IX$10144,AL$22,FALSE))=0,"",VLOOKUP($B35,Database!$B$1:$IX$10144,AL$22,FALSE)))</f>
        <v>ns</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Vakili K, Pillay SS, Lafer B, Fava M, Renshaw PF, Bonello-Cintron CM, Yurgelun-Todd DA.</v>
      </c>
    </row>
    <row r="36" spans="1:43">
      <c r="B36">
        <v>11750892</v>
      </c>
      <c r="C36" s="1" t="str">
        <f>IF($B36="","",HYPERLINK(IF(LEN(VLOOKUP($B36,Database!$B$1:$IX$10144,2,FALSE))=0,"",VLOOKUP($B36,Database!$B$1:$IX$10144,2,FALSE))))</f>
        <v/>
      </c>
      <c r="D36" s="1" t="str">
        <f t="shared" si="1"/>
        <v>http://www.ncbi.nlm.nih.gov/pubmed/11750892</v>
      </c>
      <c r="E36" s="22" t="str">
        <f>IF($B36="","",IF(LEN(VLOOKUP($B36,Database!$B$1:$IX$10144,4,FALSE))=0,"",VLOOKUP($B36,Database!$B$1:$IX$10144,4,FALSE)))</f>
        <v>Rusch BD</v>
      </c>
      <c r="F36" s="22">
        <f>IF($B36="","",IF(LEN(VLOOKUP($B36,Database!$B$1:$IX$10144,5,FALSE))=0,"",VLOOKUP($B36,Database!$B$1:$IX$10144,5,FALSE)))</f>
        <v>2001</v>
      </c>
      <c r="G36" s="1" t="str">
        <f>IF($B36="","",HYPERLINK(IF(LEN(VLOOKUP($B36,Database!$B$1:$IX$10144,6,FALSE))=0,"",VLOOKUP($B36,Database!$B$1:$IX$10144,6,FALSE))))</f>
        <v>http://dx.doi.org/10.1016/S0006-3223(01)01248-3</v>
      </c>
      <c r="H36" s="22">
        <f>IF($B36="","",IF(LEN(VLOOKUP($B36,Database!$B$1:$IX$10144,7,FALSE))=0,"",VLOOKUP($B36,Database!$B$1:$IX$10144,7,FALSE)))</f>
        <v>25</v>
      </c>
      <c r="I36" s="22">
        <f>IF($B36="","",IF(LEN(VLOOKUP($B36,Database!$B$1:$IX$10144,8,FALSE))=0,"",VLOOKUP($B36,Database!$B$1:$IX$10144,8,FALSE)))</f>
        <v>15</v>
      </c>
      <c r="J36" t="s">
        <v>866</v>
      </c>
      <c r="L36">
        <v>2.17</v>
      </c>
      <c r="M36">
        <v>0.26</v>
      </c>
      <c r="N36">
        <v>2.13</v>
      </c>
      <c r="O36">
        <v>0.27</v>
      </c>
      <c r="P36">
        <v>2.29</v>
      </c>
      <c r="Q36">
        <v>0.3</v>
      </c>
      <c r="R36">
        <v>2.2000000000000002</v>
      </c>
      <c r="S36">
        <v>0.24</v>
      </c>
      <c r="T36">
        <f t="shared" si="2"/>
        <v>4.46</v>
      </c>
      <c r="U36">
        <f t="shared" si="3"/>
        <v>0.53141321022345689</v>
      </c>
      <c r="V36">
        <f t="shared" si="4"/>
        <v>4.33</v>
      </c>
      <c r="W36">
        <f t="shared" si="5"/>
        <v>0.48392148123430107</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33.200000000000003</v>
      </c>
      <c r="AC36" s="22">
        <f>IF(OR($B36="",AC$22=""),"",IF(LEN(VLOOKUP($B36,Database!$B$1:$IX$10144,AC$22,FALSE))=0,"",VLOOKUP($B36,Database!$B$1:$IX$10144,AC$22,FALSE)))</f>
        <v>9.5</v>
      </c>
      <c r="AD36" s="22">
        <f>IF(OR($B36="",AD$22=""),"",IF(LEN(VLOOKUP($B36,Database!$B$1:$IX$10144,AD$22,FALSE))=0,"",VLOOKUP($B36,Database!$B$1:$IX$10144,AD$22,FALSE)))</f>
        <v>37.4</v>
      </c>
      <c r="AE36" s="22">
        <f>IF(OR($B36="",AE$22=""),"",IF(LEN(VLOOKUP($B36,Database!$B$1:$IX$10144,AE$22,FALSE))=0,"",VLOOKUP($B36,Database!$B$1:$IX$10144,AE$22,FALSE)))</f>
        <v>14.4</v>
      </c>
      <c r="AF36" s="22">
        <f>IF(OR($B36="",AF$22=""),"",IF(LEN(VLOOKUP($B36,Database!$B$1:$IX$10144,AF$22,FALSE))=0,"",VLOOKUP($B36,Database!$B$1:$IX$10144,AF$22,FALSE)))</f>
        <v>14</v>
      </c>
      <c r="AG36" s="22">
        <f>IF(OR($B36="",AG$22=""),"",IF(LEN(VLOOKUP($B36,Database!$B$1:$IX$10144,AG$22,FALSE))=0,"",VLOOKUP($B36,Database!$B$1:$IX$10144,AG$22,FALSE)))</f>
        <v>9</v>
      </c>
      <c r="AH36" s="22">
        <f>IF(OR($B36="",AH$22=""),"",IF(LEN(VLOOKUP($B36,Database!$B$1:$IX$10144,AH$22,FALSE))=0,"",VLOOKUP($B36,Database!$B$1:$IX$10144,AH$22,FALSE)))</f>
        <v>1.5</v>
      </c>
      <c r="AI36" s="22">
        <f>IF(OR($B36="",AI$22=""),"",IF(LEN(VLOOKUP($B36,Database!$B$1:$IX$10144,AI$22,FALSE))=0,"",VLOOKUP($B36,Database!$B$1:$IX$10144,AI$22,FALSE)))</f>
        <v>1.2</v>
      </c>
      <c r="AJ36" s="22" t="str">
        <f>IF(OR($B36="",AJ$22=""),"",IF(LEN(VLOOKUP($B36,Database!$B$1:$IX$10144,AJ$22,FALSE))=0,"",VLOOKUP($B36,Database!$B$1:$IX$10144,AJ$22,FALSE)))</f>
        <v/>
      </c>
      <c r="AK36" s="22" t="str">
        <f>IF(OR($B36="",AK$22=""),"",IF(LEN(VLOOKUP($B36,Database!$B$1:$IX$10144,AK$22,FALSE))=0,"",VLOOKUP($B36,Database!$B$1:$IX$10144,AK$22,FALSE)))</f>
        <v>ns</v>
      </c>
      <c r="AL36" s="22">
        <f>IF(OR($B36="",AL$22=""),"",IF(LEN(VLOOKUP($B36,Database!$B$1:$IX$10144,AL$22,FALSE))=0,"",VLOOKUP($B36,Database!$B$1:$IX$10144,AL$22,FALSE)))</f>
        <v>19.399999999999999</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f>IF(OR($B36="",AP$22=""),"",IF(LEN(VLOOKUP($B36,Database!$B$1:$IX$10144,AP$22,FALSE))=0,"",VLOOKUP($B36,Database!$B$1:$IX$10144,AP$22,FALSE)))</f>
        <v>100</v>
      </c>
      <c r="AQ36" s="22" t="str">
        <f>IF(OR($B36="",AQ$22=""),"",IF(LEN(VLOOKUP($B36,Database!$B$1:$IX$10144,AQ$22,FALSE))=0,"",VLOOKUP($B36,Database!$B$1:$IX$10144,AQ$22,FALSE)))</f>
        <v>Rusch BD, Abercrombie HC, Oakes TR, Schaefer SM, Davidson RJ.</v>
      </c>
    </row>
    <row r="37" spans="1:43">
      <c r="A37" s="10"/>
      <c r="B37">
        <v>12552118</v>
      </c>
      <c r="C37" s="1" t="str">
        <f>IF($B37="","",HYPERLINK(IF(LEN(VLOOKUP($B37,Database!$B$1:$IX$10144,2,FALSE))=0,"",VLOOKUP($B37,Database!$B$1:$IX$10144,2,FALSE))))</f>
        <v/>
      </c>
      <c r="D37" s="1" t="str">
        <f t="shared" si="1"/>
        <v>http://www.ncbi.nlm.nih.gov/pubmed/12552118</v>
      </c>
      <c r="E37" s="22" t="str">
        <f>IF($B37="","",IF(LEN(VLOOKUP($B37,Database!$B$1:$IX$10144,4,FALSE))=0,"",VLOOKUP($B37,Database!$B$1:$IX$10144,4,FALSE)))</f>
        <v>MacQueen GM</v>
      </c>
      <c r="F37" s="22">
        <f>IF($B37="","",IF(LEN(VLOOKUP($B37,Database!$B$1:$IX$10144,5,FALSE))=0,"",VLOOKUP($B37,Database!$B$1:$IX$10144,5,FALSE)))</f>
        <v>2003</v>
      </c>
      <c r="G37" s="1" t="str">
        <f>IF($B37="","",HYPERLINK(IF(LEN(VLOOKUP($B37,Database!$B$1:$IX$10144,6,FALSE))=0,"",VLOOKUP($B37,Database!$B$1:$IX$10144,6,FALSE))))</f>
        <v>http://www.pnas.org/content/100/3/1387.full.pdf</v>
      </c>
      <c r="H37" s="83">
        <v>20</v>
      </c>
      <c r="I37" s="83">
        <v>20</v>
      </c>
      <c r="J37" t="s">
        <v>1379</v>
      </c>
      <c r="K37" t="s">
        <v>1720</v>
      </c>
      <c r="L37">
        <v>2738</v>
      </c>
      <c r="M37">
        <v>301.10000000000002</v>
      </c>
      <c r="N37">
        <v>2761</v>
      </c>
      <c r="O37">
        <v>368.4</v>
      </c>
      <c r="P37">
        <v>2793</v>
      </c>
      <c r="Q37">
        <v>303.8</v>
      </c>
      <c r="R37">
        <v>2784</v>
      </c>
      <c r="S37">
        <v>342.2</v>
      </c>
      <c r="T37">
        <f t="shared" si="2"/>
        <v>5531</v>
      </c>
      <c r="U37">
        <f t="shared" si="3"/>
        <v>573.85916216437636</v>
      </c>
      <c r="V37">
        <f t="shared" si="4"/>
        <v>5545</v>
      </c>
      <c r="W37">
        <f t="shared" si="5"/>
        <v>674.1852623722948</v>
      </c>
      <c r="Y37" s="22" t="str">
        <f>IF(OR($B37="",Y$22=""),"",IF(LEN(VLOOKUP($B37,Database!$B$1:$IX$10144,Y$22,FALSE))=0,"",VLOOKUP($B37,Database!$B$1:$IX$10144,Y$22,FALSE)))</f>
        <v>DSM-IV</v>
      </c>
      <c r="Z37" s="22" t="str">
        <f>IF(OR($B37="",Z$22=""),"",IF(LEN(VLOOKUP($B37,Database!$B$1:$IX$10144,Z$22,FALSE))=0,"",VLOOKUP($B37,Database!$B$1:$IX$10144,Z$22,FALSE)))</f>
        <v>MRI</v>
      </c>
      <c r="AA37" s="83" t="s">
        <v>748</v>
      </c>
      <c r="AB37" s="83">
        <v>28.4</v>
      </c>
      <c r="AC37" s="83">
        <v>11.8</v>
      </c>
      <c r="AD37" s="83">
        <v>28.4</v>
      </c>
      <c r="AE37" s="83">
        <v>11.5</v>
      </c>
      <c r="AF37" s="83">
        <v>65</v>
      </c>
      <c r="AG37" s="22">
        <f>IF(OR($B37="",AG$22=""),"",IF(LEN(VLOOKUP($B37,Database!$B$1:$IX$10144,AG$22,FALSE))=0,"",VLOOKUP($B37,Database!$B$1:$IX$10144,AG$22,FALSE)))</f>
        <v>13</v>
      </c>
      <c r="AH37" s="22">
        <f>IF(OR($B37="",AH$22=""),"",IF(LEN(VLOOKUP($B37,Database!$B$1:$IX$10144,AH$22,FALSE))=0,"",VLOOKUP($B37,Database!$B$1:$IX$10144,AH$22,FALSE)))</f>
        <v>1.5</v>
      </c>
      <c r="AI37" s="22">
        <f>IF(OR($B37="",AI$22=""),"",IF(LEN(VLOOKUP($B37,Database!$B$1:$IX$10144,AI$22,FALSE))=0,"",VLOOKUP($B37,Database!$B$1:$IX$10144,AI$22,FALSE)))</f>
        <v>1.2</v>
      </c>
      <c r="AJ37" s="22" t="str">
        <f>IF(OR($B37="",AJ$22=""),"",IF(LEN(VLOOKUP($B37,Database!$B$1:$IX$10144,AJ$22,FALSE))=0,"",VLOOKUP($B37,Database!$B$1:$IX$10144,AJ$22,FALSE)))</f>
        <v/>
      </c>
      <c r="AK37" s="83">
        <v>26.3</v>
      </c>
      <c r="AL37" s="83">
        <v>19.100000000000001</v>
      </c>
      <c r="AM37" s="22" t="str">
        <f>IF(OR($B37="",AM$22=""),"",IF(LEN(VLOOKUP($B37,Database!$B$1:$IX$10144,AM$22,FALSE))=0,"",VLOOKUP($B37,Database!$B$1:$IX$10144,AM$22,FALSE)))</f>
        <v>ns</v>
      </c>
      <c r="AN37" s="22">
        <f>IF(OR($B37="",AN$22=""),"",IF(LEN(VLOOKUP($B37,Database!$B$1:$IX$10144,AN$22,FALSE))=0,"",VLOOKUP($B37,Database!$B$1:$IX$10144,AN$22,FALSE)))</f>
        <v>0</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MacQueen GM, Campbell S, McEwen BS, Macdonald K, Amano S, Joffe RT, Nahmias C, Young LT.</v>
      </c>
    </row>
    <row r="38" spans="1:43">
      <c r="A38" s="10"/>
      <c r="B38">
        <v>12552118</v>
      </c>
      <c r="C38" s="1" t="str">
        <f>IF($B38="","",HYPERLINK(IF(LEN(VLOOKUP($B38,Database!$B$1:$IX$10144,2,FALSE))=0,"",VLOOKUP($B38,Database!$B$1:$IX$10144,2,FALSE))))</f>
        <v/>
      </c>
      <c r="D38" s="1" t="str">
        <f t="shared" si="1"/>
        <v>http://www.ncbi.nlm.nih.gov/pubmed/12552118</v>
      </c>
      <c r="E38" s="22" t="str">
        <f>IF($B38="","",IF(LEN(VLOOKUP($B38,Database!$B$1:$IX$10144,4,FALSE))=0,"",VLOOKUP($B38,Database!$B$1:$IX$10144,4,FALSE)))</f>
        <v>MacQueen GM</v>
      </c>
      <c r="F38" s="22">
        <f>IF($B38="","",IF(LEN(VLOOKUP($B38,Database!$B$1:$IX$10144,5,FALSE))=0,"",VLOOKUP($B38,Database!$B$1:$IX$10144,5,FALSE)))</f>
        <v>2003</v>
      </c>
      <c r="G38" s="1" t="str">
        <f>IF($B38="","",HYPERLINK(IF(LEN(VLOOKUP($B38,Database!$B$1:$IX$10144,6,FALSE))=0,"",VLOOKUP($B38,Database!$B$1:$IX$10144,6,FALSE))))</f>
        <v>http://www.pnas.org/content/100/3/1387.full.pdf</v>
      </c>
      <c r="H38" s="83">
        <v>17</v>
      </c>
      <c r="I38" s="83">
        <v>17</v>
      </c>
      <c r="J38" t="s">
        <v>1379</v>
      </c>
      <c r="K38" t="s">
        <v>687</v>
      </c>
      <c r="L38">
        <v>2381</v>
      </c>
      <c r="M38">
        <v>273.5</v>
      </c>
      <c r="N38">
        <v>2703</v>
      </c>
      <c r="O38">
        <v>249</v>
      </c>
      <c r="P38">
        <v>2392</v>
      </c>
      <c r="Q38">
        <v>256.7</v>
      </c>
      <c r="R38">
        <v>2692</v>
      </c>
      <c r="S38">
        <v>190.1</v>
      </c>
      <c r="T38">
        <f t="shared" si="2"/>
        <v>4773</v>
      </c>
      <c r="U38">
        <f t="shared" si="3"/>
        <v>503.01993996262217</v>
      </c>
      <c r="V38">
        <f t="shared" si="4"/>
        <v>5395</v>
      </c>
      <c r="W38">
        <f t="shared" si="5"/>
        <v>416.98303322797199</v>
      </c>
      <c r="Y38" s="22" t="str">
        <f>IF(OR($B38="",Y$22=""),"",IF(LEN(VLOOKUP($B38,Database!$B$1:$IX$10144,Y$22,FALSE))=0,"",VLOOKUP($B38,Database!$B$1:$IX$10144,Y$22,FALSE)))</f>
        <v>DSM-IV</v>
      </c>
      <c r="Z38" s="22" t="str">
        <f>IF(OR($B38="",Z$22=""),"",IF(LEN(VLOOKUP($B38,Database!$B$1:$IX$10144,Z$22,FALSE))=0,"",VLOOKUP($B38,Database!$B$1:$IX$10144,Z$22,FALSE)))</f>
        <v>MRI</v>
      </c>
      <c r="AA38" s="83" t="s">
        <v>747</v>
      </c>
      <c r="AB38" s="83">
        <v>35.9</v>
      </c>
      <c r="AC38" s="83">
        <v>11.1</v>
      </c>
      <c r="AD38" s="83">
        <v>36.200000000000003</v>
      </c>
      <c r="AE38" s="83">
        <v>11.9</v>
      </c>
      <c r="AF38" s="83">
        <v>65</v>
      </c>
      <c r="AG38" s="22">
        <f>IF(OR($B38="",AG$22=""),"",IF(LEN(VLOOKUP($B38,Database!$B$1:$IX$10144,AG$22,FALSE))=0,"",VLOOKUP($B38,Database!$B$1:$IX$10144,AG$22,FALSE)))</f>
        <v>13</v>
      </c>
      <c r="AH38" s="22">
        <f>IF(OR($B38="",AH$22=""),"",IF(LEN(VLOOKUP($B38,Database!$B$1:$IX$10144,AH$22,FALSE))=0,"",VLOOKUP($B38,Database!$B$1:$IX$10144,AH$22,FALSE)))</f>
        <v>1.5</v>
      </c>
      <c r="AI38" s="22">
        <f>IF(OR($B38="",AI$22=""),"",IF(LEN(VLOOKUP($B38,Database!$B$1:$IX$10144,AI$22,FALSE))=0,"",VLOOKUP($B38,Database!$B$1:$IX$10144,AI$22,FALSE)))</f>
        <v>1.2</v>
      </c>
      <c r="AJ38" s="22" t="str">
        <f>IF(OR($B38="",AJ$22=""),"",IF(LEN(VLOOKUP($B38,Database!$B$1:$IX$10144,AJ$22,FALSE))=0,"",VLOOKUP($B38,Database!$B$1:$IX$10144,AJ$22,FALSE)))</f>
        <v/>
      </c>
      <c r="AK38" s="83">
        <v>24.9</v>
      </c>
      <c r="AL38" s="83">
        <v>17.5</v>
      </c>
      <c r="AM38" s="22" t="str">
        <f>IF(OR($B38="",AM$22=""),"",IF(LEN(VLOOKUP($B38,Database!$B$1:$IX$10144,AM$22,FALSE))=0,"",VLOOKUP($B38,Database!$B$1:$IX$10144,AM$22,FALSE)))</f>
        <v>ns</v>
      </c>
      <c r="AN38" s="22">
        <f>IF(OR($B38="",AN$22=""),"",IF(LEN(VLOOKUP($B38,Database!$B$1:$IX$10144,AN$22,FALSE))=0,"",VLOOKUP($B38,Database!$B$1:$IX$10144,AN$22,FALSE)))</f>
        <v>0</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MacQueen GM, Campbell S, McEwen BS, Macdonald K, Amano S, Joffe RT, Nahmias C, Young LT.</v>
      </c>
    </row>
    <row r="39" spans="1:43">
      <c r="B39">
        <v>12505805</v>
      </c>
      <c r="C39" s="1" t="str">
        <f>IF($B39="","",HYPERLINK(IF(LEN(VLOOKUP($B39,Database!$B$1:$IX$10144,2,FALSE))=0,"",VLOOKUP($B39,Database!$B$1:$IX$10144,2,FALSE))))</f>
        <v/>
      </c>
      <c r="D39" s="1" t="str">
        <f t="shared" si="1"/>
        <v>http://www.ncbi.nlm.nih.gov/pubmed/12505805</v>
      </c>
      <c r="E39" s="22" t="str">
        <f>IF($B39="","",IF(LEN(VLOOKUP($B39,Database!$B$1:$IX$10144,4,FALSE))=0,"",VLOOKUP($B39,Database!$B$1:$IX$10144,4,FALSE)))</f>
        <v>Posener JA</v>
      </c>
      <c r="F39" s="22">
        <f>IF($B39="","",IF(LEN(VLOOKUP($B39,Database!$B$1:$IX$10144,5,FALSE))=0,"",VLOOKUP($B39,Database!$B$1:$IX$10144,5,FALSE)))</f>
        <v>2003</v>
      </c>
      <c r="G39" s="1" t="str">
        <f>IF($B39="","",HYPERLINK(IF(LEN(VLOOKUP($B39,Database!$B$1:$IX$10144,6,FALSE))=0,"",VLOOKUP($B39,Database!$B$1:$IX$10144,6,FALSE))))</f>
        <v>http://ajp.psychiatryonline.org/cgi/reprint/160/1/83</v>
      </c>
      <c r="H39" s="22">
        <f>IF($B39="","",IF(LEN(VLOOKUP($B39,Database!$B$1:$IX$10144,7,FALSE))=0,"",VLOOKUP($B39,Database!$B$1:$IX$10144,7,FALSE)))</f>
        <v>27</v>
      </c>
      <c r="I39" s="22">
        <f>IF($B39="","",IF(LEN(VLOOKUP($B39,Database!$B$1:$IX$10144,8,FALSE))=0,"",VLOOKUP($B39,Database!$B$1:$IX$10144,8,FALSE)))</f>
        <v>42</v>
      </c>
      <c r="J39" t="s">
        <v>887</v>
      </c>
      <c r="L39">
        <v>2546</v>
      </c>
      <c r="M39">
        <v>392.7</v>
      </c>
      <c r="N39">
        <v>2475</v>
      </c>
      <c r="O39">
        <v>359.4</v>
      </c>
      <c r="P39">
        <v>2948.4</v>
      </c>
      <c r="Q39">
        <v>446.7</v>
      </c>
      <c r="R39">
        <v>2993.9</v>
      </c>
      <c r="S39">
        <v>414.2</v>
      </c>
      <c r="T39">
        <f t="shared" si="2"/>
        <v>5494.4</v>
      </c>
      <c r="U39">
        <f t="shared" si="3"/>
        <v>796.50783046998345</v>
      </c>
      <c r="V39">
        <f t="shared" si="4"/>
        <v>5468.9</v>
      </c>
      <c r="W39">
        <f t="shared" si="5"/>
        <v>734.10596510313144</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33</v>
      </c>
      <c r="AC39" s="22">
        <f>IF(OR($B39="",AC$22=""),"",IF(LEN(VLOOKUP($B39,Database!$B$1:$IX$10144,AC$22,FALSE))=0,"",VLOOKUP($B39,Database!$B$1:$IX$10144,AC$22,FALSE)))</f>
        <v>10.7</v>
      </c>
      <c r="AD39" s="22">
        <f>IF(OR($B39="",AD$22=""),"",IF(LEN(VLOOKUP($B39,Database!$B$1:$IX$10144,AD$22,FALSE))=0,"",VLOOKUP($B39,Database!$B$1:$IX$10144,AD$22,FALSE)))</f>
        <v>33.200000000000003</v>
      </c>
      <c r="AE39" s="22">
        <f>IF(OR($B39="",AE$22=""),"",IF(LEN(VLOOKUP($B39,Database!$B$1:$IX$10144,AE$22,FALSE))=0,"",VLOOKUP($B39,Database!$B$1:$IX$10144,AE$22,FALSE)))</f>
        <v>10.8</v>
      </c>
      <c r="AF39" s="22">
        <f>IF(OR($B39="",AF$22=""),"",IF(LEN(VLOOKUP($B39,Database!$B$1:$IX$10144,AF$22,FALSE))=0,"",VLOOKUP($B39,Database!$B$1:$IX$10144,AF$22,FALSE)))</f>
        <v>15</v>
      </c>
      <c r="AG39" s="22">
        <f>IF(OR($B39="",AG$22=""),"",IF(LEN(VLOOKUP($B39,Database!$B$1:$IX$10144,AG$22,FALSE))=0,"",VLOOKUP($B39,Database!$B$1:$IX$10144,AG$22,FALSE)))</f>
        <v>23</v>
      </c>
      <c r="AH39" s="22">
        <f>IF(OR($B39="",AH$22=""),"",IF(LEN(VLOOKUP($B39,Database!$B$1:$IX$10144,AH$22,FALSE))=0,"",VLOOKUP($B39,Database!$B$1:$IX$10144,AH$22,FALSE)))</f>
        <v>1.5</v>
      </c>
      <c r="AI39" s="22">
        <f>IF(OR($B39="",AI$22=""),"",IF(LEN(VLOOKUP($B39,Database!$B$1:$IX$10144,AI$22,FALSE))=0,"",VLOOKUP($B39,Database!$B$1:$IX$10144,AI$22,FALSE)))</f>
        <v>1</v>
      </c>
      <c r="AJ39" s="22" t="str">
        <f>IF(OR($B39="",AJ$22=""),"",IF(LEN(VLOOKUP($B39,Database!$B$1:$IX$10144,AJ$22,FALSE))=0,"",VLOOKUP($B39,Database!$B$1:$IX$10144,AJ$22,FALSE)))</f>
        <v/>
      </c>
      <c r="AK39" s="22" t="str">
        <f>IF(OR($B39="",AK$22=""),"",IF(LEN(VLOOKUP($B39,Database!$B$1:$IX$10144,AK$22,FALSE))=0,"",VLOOKUP($B39,Database!$B$1:$IX$10144,AK$22,FALSE)))</f>
        <v>ns</v>
      </c>
      <c r="AL39" s="22">
        <f>IF(OR($B39="",AL$22=""),"",IF(LEN(VLOOKUP($B39,Database!$B$1:$IX$10144,AL$22,FALSE))=0,"",VLOOKUP($B39,Database!$B$1:$IX$10144,AL$22,FALSE)))</f>
        <v>27.3</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Posener JA, Wang L, Price JL, Gado MH, Province MA, Miller MI, Babb CM, Csernansky JG.</v>
      </c>
    </row>
    <row r="40" spans="1:43">
      <c r="A40" s="10"/>
      <c r="B40">
        <v>12900317</v>
      </c>
      <c r="C40" s="1" t="str">
        <f>IF($B40="","",HYPERLINK(IF(LEN(VLOOKUP($B40,Database!$B$1:$IX$10144,2,FALSE))=0,"",VLOOKUP($B40,Database!$B$1:$IX$10144,2,FALSE))))</f>
        <v/>
      </c>
      <c r="D40" s="1" t="str">
        <f t="shared" si="1"/>
        <v>http://www.ncbi.nlm.nih.gov/pubmed/12900317</v>
      </c>
      <c r="E40" s="22" t="str">
        <f>IF($B40="","",IF(LEN(VLOOKUP($B40,Database!$B$1:$IX$10144,4,FALSE))=0,"",VLOOKUP($B40,Database!$B$1:$IX$10144,4,FALSE)))</f>
        <v>Sheline YI</v>
      </c>
      <c r="F40" s="22">
        <f>IF($B40="","",IF(LEN(VLOOKUP($B40,Database!$B$1:$IX$10144,5,FALSE))=0,"",VLOOKUP($B40,Database!$B$1:$IX$10144,5,FALSE)))</f>
        <v>2003</v>
      </c>
      <c r="G40" s="1" t="str">
        <f>IF($B40="","",HYPERLINK(IF(LEN(VLOOKUP($B40,Database!$B$1:$IX$10144,6,FALSE))=0,"",VLOOKUP($B40,Database!$B$1:$IX$10144,6,FALSE))))</f>
        <v>http://ajp.psychiatryonline.org/cgi/reprint/160/8/1516</v>
      </c>
      <c r="H40" s="22">
        <f>IF($B40="","",IF(LEN(VLOOKUP($B40,Database!$B$1:$IX$10144,7,FALSE))=0,"",VLOOKUP($B40,Database!$B$1:$IX$10144,7,FALSE)))</f>
        <v>38</v>
      </c>
      <c r="I40" s="22">
        <f>IF($B40="","",IF(LEN(VLOOKUP($B40,Database!$B$1:$IX$10144,8,FALSE))=0,"",VLOOKUP($B40,Database!$B$1:$IX$10144,8,FALSE)))</f>
        <v>38</v>
      </c>
      <c r="J40" t="s">
        <v>939</v>
      </c>
      <c r="L40">
        <v>2171</v>
      </c>
      <c r="M40">
        <v>316</v>
      </c>
      <c r="N40">
        <v>2421</v>
      </c>
      <c r="O40">
        <v>318</v>
      </c>
      <c r="P40">
        <v>2203</v>
      </c>
      <c r="Q40">
        <v>315</v>
      </c>
      <c r="R40">
        <v>2429</v>
      </c>
      <c r="S40">
        <v>326</v>
      </c>
      <c r="T40">
        <f t="shared" si="2"/>
        <v>4374</v>
      </c>
      <c r="U40">
        <f t="shared" si="3"/>
        <v>598.61924459542729</v>
      </c>
      <c r="V40">
        <f t="shared" si="4"/>
        <v>4850</v>
      </c>
      <c r="W40">
        <f t="shared" si="5"/>
        <v>610.95728164905279</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50.8</v>
      </c>
      <c r="AC40" s="22">
        <f>IF(OR($B40="",AC$22=""),"",IF(LEN(VLOOKUP($B40,Database!$B$1:$IX$10144,AC$22,FALSE))=0,"",VLOOKUP($B40,Database!$B$1:$IX$10144,AC$22,FALSE)))</f>
        <v>17.100000000000001</v>
      </c>
      <c r="AD40" s="22" t="str">
        <f>IF(OR($B40="",AD$22=""),"",IF(LEN(VLOOKUP($B40,Database!$B$1:$IX$10144,AD$22,FALSE))=0,"",VLOOKUP($B40,Database!$B$1:$IX$10144,AD$22,FALSE)))</f>
        <v>ns</v>
      </c>
      <c r="AE40" s="22" t="str">
        <f>IF(OR($B40="",AE$22=""),"",IF(LEN(VLOOKUP($B40,Database!$B$1:$IX$10144,AE$22,FALSE))=0,"",VLOOKUP($B40,Database!$B$1:$IX$10144,AE$22,FALSE)))</f>
        <v>ns</v>
      </c>
      <c r="AF40" s="22">
        <f>IF(OR($B40="",AF$22=""),"",IF(LEN(VLOOKUP($B40,Database!$B$1:$IX$10144,AF$22,FALSE))=0,"",VLOOKUP($B40,Database!$B$1:$IX$10144,AF$22,FALSE)))</f>
        <v>38</v>
      </c>
      <c r="AG40" s="22" t="str">
        <f>IF(OR($B40="",AG$22=""),"",IF(LEN(VLOOKUP($B40,Database!$B$1:$IX$10144,AG$22,FALSE))=0,"",VLOOKUP($B40,Database!$B$1:$IX$10144,AG$22,FALSE)))</f>
        <v>ns</v>
      </c>
      <c r="AH40" s="22">
        <f>IF(OR($B40="",AH$22=""),"",IF(LEN(VLOOKUP($B40,Database!$B$1:$IX$10144,AH$22,FALSE))=0,"",VLOOKUP($B40,Database!$B$1:$IX$10144,AH$22,FALSE)))</f>
        <v>1.5</v>
      </c>
      <c r="AI40" s="22" t="str">
        <f>IF(OR($B40="",AI$22=""),"",IF(LEN(VLOOKUP($B40,Database!$B$1:$IX$10144,AI$22,FALSE))=0,"",VLOOKUP($B40,Database!$B$1:$IX$10144,AI$22,FALSE)))</f>
        <v>ns</v>
      </c>
      <c r="AJ40" s="22" t="str">
        <f>IF(OR($B40="",AJ$22=""),"",IF(LEN(VLOOKUP($B40,Database!$B$1:$IX$10144,AJ$22,FALSE))=0,"",VLOOKUP($B40,Database!$B$1:$IX$10144,AJ$22,FALSE)))</f>
        <v/>
      </c>
      <c r="AK40" s="22" t="str">
        <f>IF(OR($B40="",AK$22=""),"",IF(LEN(VLOOKUP($B40,Database!$B$1:$IX$10144,AK$22,FALSE))=0,"",VLOOKUP($B40,Database!$B$1:$IX$10144,AK$22,FALSE)))</f>
        <v>ns</v>
      </c>
      <c r="AL40" s="22">
        <f>IF(OR($B40="",AL$22=""),"",IF(LEN(VLOOKUP($B40,Database!$B$1:$IX$10144,AL$22,FALSE))=0,"",VLOOKUP($B40,Database!$B$1:$IX$10144,AL$22,FALSE)))</f>
        <v>6.7</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Sheline YI, Gado MH, Kraemer HC.</v>
      </c>
    </row>
    <row r="41" spans="1:43">
      <c r="A41" t="s">
        <v>2337</v>
      </c>
      <c r="B41">
        <v>15598548</v>
      </c>
      <c r="C41" s="1" t="str">
        <f>IF($B41="","",HYPERLINK(IF(LEN(VLOOKUP($B41,Database!$B$1:$IX$10144,2,FALSE))=0,"",VLOOKUP($B41,Database!$B$1:$IX$10144,2,FALSE))))</f>
        <v/>
      </c>
      <c r="D41" s="1" t="str">
        <f t="shared" si="1"/>
        <v>http://www.ncbi.nlm.nih.gov/pubmed/15598548</v>
      </c>
      <c r="E41" s="22" t="str">
        <f>IF($B41="","",IF(LEN(VLOOKUP($B41,Database!$B$1:$IX$10144,4,FALSE))=0,"",VLOOKUP($B41,Database!$B$1:$IX$10144,4,FALSE)))</f>
        <v>Caetano SC</v>
      </c>
      <c r="F41" s="22">
        <f>IF($B41="","",IF(LEN(VLOOKUP($B41,Database!$B$1:$IX$10144,5,FALSE))=0,"",VLOOKUP($B41,Database!$B$1:$IX$10144,5,FALSE)))</f>
        <v>2004</v>
      </c>
      <c r="G41" s="1" t="str">
        <f>IF($B41="","",HYPERLINK(IF(LEN(VLOOKUP($B41,Database!$B$1:$IX$10144,6,FALSE))=0,"",VLOOKUP($B41,Database!$B$1:$IX$10144,6,FALSE))))</f>
        <v>http://dx.doi.org/10.1016/j.pscychresns.2004.08.002</v>
      </c>
      <c r="H41" s="22">
        <f>IF($B41="","",IF(LEN(VLOOKUP($B41,Database!$B$1:$IX$10144,7,FALSE))=0,"",VLOOKUP($B41,Database!$B$1:$IX$10144,7,FALSE)))</f>
        <v>31</v>
      </c>
      <c r="I41" s="22">
        <f>IF($B41="","",IF(LEN(VLOOKUP($B41,Database!$B$1:$IX$10144,8,FALSE))=0,"",VLOOKUP($B41,Database!$B$1:$IX$10144,8,FALSE)))</f>
        <v>31</v>
      </c>
      <c r="J41" t="s">
        <v>1380</v>
      </c>
      <c r="L41">
        <v>3.32</v>
      </c>
      <c r="M41">
        <v>0.48</v>
      </c>
      <c r="N41">
        <v>3.37</v>
      </c>
      <c r="O41">
        <v>0.42</v>
      </c>
      <c r="P41">
        <v>3.22</v>
      </c>
      <c r="Q41">
        <v>0.39</v>
      </c>
      <c r="R41">
        <v>3.32</v>
      </c>
      <c r="S41">
        <v>0.43</v>
      </c>
      <c r="T41">
        <f t="shared" si="2"/>
        <v>6.54</v>
      </c>
      <c r="U41">
        <f t="shared" si="3"/>
        <v>0.82584502178072128</v>
      </c>
      <c r="V41">
        <f t="shared" si="4"/>
        <v>6.6899999999999995</v>
      </c>
      <c r="W41">
        <f t="shared" si="5"/>
        <v>0.80638700386352946</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39.200000000000003</v>
      </c>
      <c r="AC41" s="22">
        <f>IF(OR($B41="",AC$22=""),"",IF(LEN(VLOOKUP($B41,Database!$B$1:$IX$10144,AC$22,FALSE))=0,"",VLOOKUP($B41,Database!$B$1:$IX$10144,AC$22,FALSE)))</f>
        <v>11.9</v>
      </c>
      <c r="AD41" s="22">
        <f>IF(OR($B41="",AD$22=""),"",IF(LEN(VLOOKUP($B41,Database!$B$1:$IX$10144,AD$22,FALSE))=0,"",VLOOKUP($B41,Database!$B$1:$IX$10144,AD$22,FALSE)))</f>
        <v>36.700000000000003</v>
      </c>
      <c r="AE41" s="22">
        <f>IF(OR($B41="",AE$22=""),"",IF(LEN(VLOOKUP($B41,Database!$B$1:$IX$10144,AE$22,FALSE))=0,"",VLOOKUP($B41,Database!$B$1:$IX$10144,AE$22,FALSE)))</f>
        <v>10.7</v>
      </c>
      <c r="AF41" s="22">
        <f>IF(OR($B41="",AF$22=""),"",IF(LEN(VLOOKUP($B41,Database!$B$1:$IX$10144,AF$22,FALSE))=0,"",VLOOKUP($B41,Database!$B$1:$IX$10144,AF$22,FALSE)))</f>
        <v>24</v>
      </c>
      <c r="AG41" s="22">
        <f>IF(OR($B41="",AG$22=""),"",IF(LEN(VLOOKUP($B41,Database!$B$1:$IX$10144,AG$22,FALSE))=0,"",VLOOKUP($B41,Database!$B$1:$IX$10144,AG$22,FALSE)))</f>
        <v>24</v>
      </c>
      <c r="AH41" s="22">
        <f>IF(OR($B41="",AH$22=""),"",IF(LEN(VLOOKUP($B41,Database!$B$1:$IX$10144,AH$22,FALSE))=0,"",VLOOKUP($B41,Database!$B$1:$IX$10144,AH$22,FALSE)))</f>
        <v>1.5</v>
      </c>
      <c r="AI41" s="22">
        <f>IF(OR($B41="",AI$22=""),"",IF(LEN(VLOOKUP($B41,Database!$B$1:$IX$10144,AI$22,FALSE))=0,"",VLOOKUP($B41,Database!$B$1:$IX$10144,AI$22,FALSE)))</f>
        <v>1.5</v>
      </c>
      <c r="AJ41" s="22" t="str">
        <f>IF(OR($B41="",AJ$22=""),"",IF(LEN(VLOOKUP($B41,Database!$B$1:$IX$10144,AJ$22,FALSE))=0,"",VLOOKUP($B41,Database!$B$1:$IX$10144,AJ$22,FALSE)))</f>
        <v/>
      </c>
      <c r="AK41" s="167">
        <f>((10*30.5)+(21*26.7))/31</f>
        <v>27.9258064516129</v>
      </c>
      <c r="AL41" s="167">
        <f>((10*1.5)+(21*16.7))/31</f>
        <v>11.796774193548387</v>
      </c>
      <c r="AM41" s="22">
        <f>IF(OR($B41="",AM$22=""),"",IF(LEN(VLOOKUP($B41,Database!$B$1:$IX$10144,AM$22,FALSE))=0,"",VLOOKUP($B41,Database!$B$1:$IX$10144,AM$22,FALSE)))</f>
        <v>0</v>
      </c>
      <c r="AN41" s="22">
        <f>IF(OR($B41="",AN$22=""),"",IF(LEN(VLOOKUP($B41,Database!$B$1:$IX$10144,AN$22,FALSE))=0,"",VLOOKUP($B41,Database!$B$1:$IX$10144,AN$22,FALSE)))</f>
        <v>0</v>
      </c>
      <c r="AO41" s="22">
        <f>IF(OR($B41="",AO$22=""),"",IF(LEN(VLOOKUP($B41,Database!$B$1:$IX$10144,AO$22,FALSE))=0,"",VLOOKUP($B41,Database!$B$1:$IX$10144,AO$22,FALSE)))</f>
        <v>0</v>
      </c>
      <c r="AP41" s="22">
        <f>IF(OR($B41="",AP$22=""),"",IF(LEN(VLOOKUP($B41,Database!$B$1:$IX$10144,AP$22,FALSE))=0,"",VLOOKUP($B41,Database!$B$1:$IX$10144,AP$22,FALSE)))</f>
        <v>100</v>
      </c>
      <c r="AQ41" s="22" t="str">
        <f>IF(OR($B41="",AQ$22=""),"",IF(LEN(VLOOKUP($B41,Database!$B$1:$IX$10144,AQ$22,FALSE))=0,"",VLOOKUP($B41,Database!$B$1:$IX$10144,AQ$22,FALSE)))</f>
        <v>Caetano SC, Hatch JP, Brambilla P, Sassi RB, Nicoletti M, Mallinger AG, Frank E, Kupfer DJ, Keshavan MS, Soares JC.</v>
      </c>
    </row>
    <row r="42" spans="1:43">
      <c r="A42" s="10"/>
      <c r="B42" s="10"/>
      <c r="C42" s="1"/>
      <c r="D42" s="1"/>
      <c r="E42" s="22"/>
      <c r="F42" s="22"/>
      <c r="G42" s="1"/>
      <c r="H42" s="22"/>
      <c r="I42" s="22"/>
      <c r="J42" s="10"/>
      <c r="K42" s="10"/>
      <c r="L42" s="10"/>
      <c r="M42" s="10"/>
      <c r="N42" s="10"/>
      <c r="O42" s="10"/>
      <c r="P42" s="10"/>
      <c r="Q42" s="10"/>
      <c r="R42" s="10"/>
      <c r="S42" s="10"/>
      <c r="Y42" s="22"/>
      <c r="Z42" s="22"/>
      <c r="AA42" s="22"/>
      <c r="AB42" s="22"/>
      <c r="AC42" s="22"/>
      <c r="AD42" s="22"/>
      <c r="AE42" s="22"/>
      <c r="AF42" s="22"/>
      <c r="AG42" s="22"/>
      <c r="AH42" s="22"/>
      <c r="AI42" s="22"/>
      <c r="AJ42" s="22"/>
      <c r="AK42" s="22"/>
      <c r="AL42" s="22"/>
      <c r="AM42" s="22"/>
      <c r="AN42" s="22"/>
      <c r="AO42" s="22"/>
      <c r="AP42" s="22"/>
      <c r="AQ42" s="22"/>
    </row>
    <row r="43" spans="1:43">
      <c r="B43">
        <v>16395541</v>
      </c>
      <c r="C43" s="1" t="str">
        <f>IF($B43="","",HYPERLINK(IF(LEN(VLOOKUP($B43,Database!$B$1:$IX$10144,2,FALSE))=0,"",VLOOKUP($B43,Database!$B$1:$IX$10144,2,FALSE))))</f>
        <v/>
      </c>
      <c r="D43" s="1" t="str">
        <f t="shared" si="1"/>
        <v>http://www.ncbi.nlm.nih.gov/pubmed/16395541</v>
      </c>
      <c r="E43" s="22" t="str">
        <f>IF($B43="","",IF(LEN(VLOOKUP($B43,Database!$B$1:$IX$10144,4,FALSE))=0,"",VLOOKUP($B43,Database!$B$1:$IX$10144,4,FALSE)))</f>
        <v>Saylam C</v>
      </c>
      <c r="F43" s="22">
        <f>IF($B43="","",IF(LEN(VLOOKUP($B43,Database!$B$1:$IX$10144,5,FALSE))=0,"",VLOOKUP($B43,Database!$B$1:$IX$10144,5,FALSE)))</f>
        <v>2006</v>
      </c>
      <c r="G43" s="1" t="str">
        <f>IF($B43="","",HYPERLINK(IF(LEN(VLOOKUP($B43,Database!$B$1:$IX$10144,6,FALSE))=0,"",VLOOKUP($B43,Database!$B$1:$IX$10144,6,FALSE))))</f>
        <v>http://www.springerlink.com/content/y2167l4m17576560/fulltext.pdf</v>
      </c>
      <c r="H43" s="22">
        <f>IF($B43="","",IF(LEN(VLOOKUP($B43,Database!$B$1:$IX$10144,7,FALSE))=0,"",VLOOKUP($B43,Database!$B$1:$IX$10144,7,FALSE)))</f>
        <v>24</v>
      </c>
      <c r="I43" s="22">
        <f>IF($B43="","",IF(LEN(VLOOKUP($B43,Database!$B$1:$IX$10144,8,FALSE))=0,"",VLOOKUP($B43,Database!$B$1:$IX$10144,8,FALSE)))</f>
        <v>24</v>
      </c>
      <c r="J43" t="s">
        <v>1613</v>
      </c>
      <c r="L43">
        <v>2638.7</v>
      </c>
      <c r="M43">
        <v>249.2</v>
      </c>
      <c r="N43">
        <v>2786.7</v>
      </c>
      <c r="O43">
        <v>249.2</v>
      </c>
      <c r="P43">
        <v>2696.4</v>
      </c>
      <c r="Q43">
        <v>194.4</v>
      </c>
      <c r="R43">
        <v>2806.3</v>
      </c>
      <c r="S43">
        <v>256.8</v>
      </c>
      <c r="T43">
        <f t="shared" si="2"/>
        <v>5335.1</v>
      </c>
      <c r="U43">
        <f t="shared" si="3"/>
        <v>421.19255454008209</v>
      </c>
      <c r="V43">
        <f t="shared" si="4"/>
        <v>5593</v>
      </c>
      <c r="W43">
        <f t="shared" si="5"/>
        <v>480.03976501952422</v>
      </c>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33.4</v>
      </c>
      <c r="AC43" s="22">
        <f>IF(OR($B43="",AC$22=""),"",IF(LEN(VLOOKUP($B43,Database!$B$1:$IX$10144,AC$22,FALSE))=0,"",VLOOKUP($B43,Database!$B$1:$IX$10144,AC$22,FALSE)))</f>
        <v>9.3000000000000007</v>
      </c>
      <c r="AD43" s="22">
        <f>IF(OR($B43="",AD$22=""),"",IF(LEN(VLOOKUP($B43,Database!$B$1:$IX$10144,AD$22,FALSE))=0,"",VLOOKUP($B43,Database!$B$1:$IX$10144,AD$22,FALSE)))</f>
        <v>30.16</v>
      </c>
      <c r="AE43" s="22">
        <f>IF(OR($B43="",AE$22=""),"",IF(LEN(VLOOKUP($B43,Database!$B$1:$IX$10144,AE$22,FALSE))=0,"",VLOOKUP($B43,Database!$B$1:$IX$10144,AE$22,FALSE)))</f>
        <v>6.1</v>
      </c>
      <c r="AF43" s="22">
        <f>IF(OR($B43="",AF$22=""),"",IF(LEN(VLOOKUP($B43,Database!$B$1:$IX$10144,AF$22,FALSE))=0,"",VLOOKUP($B43,Database!$B$1:$IX$10144,AF$22,FALSE)))</f>
        <v>18</v>
      </c>
      <c r="AG43" s="22">
        <f>IF(OR($B43="",AG$22=""),"",IF(LEN(VLOOKUP($B43,Database!$B$1:$IX$10144,AG$22,FALSE))=0,"",VLOOKUP($B43,Database!$B$1:$IX$10144,AG$22,FALSE)))</f>
        <v>18</v>
      </c>
      <c r="AH43" s="22">
        <f>IF(OR($B43="",AH$22=""),"",IF(LEN(VLOOKUP($B43,Database!$B$1:$IX$10144,AH$22,FALSE))=0,"",VLOOKUP($B43,Database!$B$1:$IX$10144,AH$22,FALSE)))</f>
        <v>1.5</v>
      </c>
      <c r="AI43" s="22">
        <f>IF(OR($B43="",AI$22=""),"",IF(LEN(VLOOKUP($B43,Database!$B$1:$IX$10144,AI$22,FALSE))=0,"",VLOOKUP($B43,Database!$B$1:$IX$10144,AI$22,FALSE)))</f>
        <v>2</v>
      </c>
      <c r="AJ43" s="22" t="str">
        <f>IF(OR($B43="",AJ$22=""),"",IF(LEN(VLOOKUP($B43,Database!$B$1:$IX$10144,AJ$22,FALSE))=0,"",VLOOKUP($B43,Database!$B$1:$IX$10144,AJ$22,FALSE)))</f>
        <v/>
      </c>
      <c r="AK43" s="22" t="str">
        <f>IF(OR($B43="",AK$22=""),"",IF(LEN(VLOOKUP($B43,Database!$B$1:$IX$10144,AK$22,FALSE))=0,"",VLOOKUP($B43,Database!$B$1:$IX$10144,AK$22,FALSE)))</f>
        <v>ns</v>
      </c>
      <c r="AL43" s="22">
        <f>IF(OR($B43="",AL$22=""),"",IF(LEN(VLOOKUP($B43,Database!$B$1:$IX$10144,AL$22,FALSE))=0,"",VLOOKUP($B43,Database!$B$1:$IX$10144,AL$22,FALSE)))</f>
        <v>24.4</v>
      </c>
      <c r="AM43" s="22">
        <f>IF(OR($B43="",AM$22=""),"",IF(LEN(VLOOKUP($B43,Database!$B$1:$IX$10144,AM$22,FALSE))=0,"",VLOOKUP($B43,Database!$B$1:$IX$10144,AM$22,FALSE)))</f>
        <v>0</v>
      </c>
      <c r="AN43" s="22">
        <f>IF(OR($B43="",AN$22=""),"",IF(LEN(VLOOKUP($B43,Database!$B$1:$IX$10144,AN$22,FALSE))=0,"",VLOOKUP($B43,Database!$B$1:$IX$10144,AN$22,FALSE)))</f>
        <v>0</v>
      </c>
      <c r="AO43" s="22">
        <f>IF(OR($B43="",AO$22=""),"",IF(LEN(VLOOKUP($B43,Database!$B$1:$IX$10144,AO$22,FALSE))=0,"",VLOOKUP($B43,Database!$B$1:$IX$10144,AO$22,FALSE)))</f>
        <v>0</v>
      </c>
      <c r="AP43" s="22">
        <f>IF(OR($B43="",AP$22=""),"",IF(LEN(VLOOKUP($B43,Database!$B$1:$IX$10144,AP$22,FALSE))=0,"",VLOOKUP($B43,Database!$B$1:$IX$10144,AP$22,FALSE)))</f>
        <v>100</v>
      </c>
      <c r="AQ43" s="22" t="str">
        <f>IF(OR($B43="",AQ$22=""),"",IF(LEN(VLOOKUP($B43,Database!$B$1:$IX$10144,AQ$22,FALSE))=0,"",VLOOKUP($B43,Database!$B$1:$IX$10144,AQ$22,FALSE)))</f>
        <v>Saylam C, Uçerler H, Kitiş O, Ozand E, Gönül AS.</v>
      </c>
    </row>
    <row r="44" spans="1:43">
      <c r="B44">
        <v>16740316</v>
      </c>
      <c r="C44" s="1" t="str">
        <f>IF($B44="","",HYPERLINK(IF(LEN(VLOOKUP($B44,Database!$B$1:$IX$10144,2,FALSE))=0,"",VLOOKUP($B44,Database!$B$1:$IX$10144,2,FALSE))))</f>
        <v/>
      </c>
      <c r="D44" s="1" t="str">
        <f t="shared" si="1"/>
        <v>http://www.ncbi.nlm.nih.gov/pubmed/16740316</v>
      </c>
      <c r="E44" s="22" t="str">
        <f>IF($B44="","",IF(LEN(VLOOKUP($B44,Database!$B$1:$IX$10144,4,FALSE))=0,"",VLOOKUP($B44,Database!$B$1:$IX$10144,4,FALSE)))</f>
        <v>Weniger G</v>
      </c>
      <c r="F44" s="22">
        <f>IF($B44="","",IF(LEN(VLOOKUP($B44,Database!$B$1:$IX$10144,5,FALSE))=0,"",VLOOKUP($B44,Database!$B$1:$IX$10144,5,FALSE)))</f>
        <v>2006</v>
      </c>
      <c r="G44" s="1" t="str">
        <f>IF($B44="","",HYPERLINK(IF(LEN(VLOOKUP($B44,Database!$B$1:$IX$10144,6,FALSE))=0,"",VLOOKUP($B44,Database!$B$1:$IX$10144,6,FALSE))))</f>
        <v>http://dx.doi.org/10.1016/j.jad.2006.04.017</v>
      </c>
      <c r="H44" s="22">
        <f>IF($B44="","",IF(LEN(VLOOKUP($B44,Database!$B$1:$IX$10144,7,FALSE))=0,"",VLOOKUP($B44,Database!$B$1:$IX$10144,7,FALSE)))</f>
        <v>21</v>
      </c>
      <c r="I44" s="22">
        <f>IF($B44="","",IF(LEN(VLOOKUP($B44,Database!$B$1:$IX$10144,8,FALSE))=0,"",VLOOKUP($B44,Database!$B$1:$IX$10144,8,FALSE)))</f>
        <v>23</v>
      </c>
      <c r="J44" t="s">
        <v>1614</v>
      </c>
      <c r="L44">
        <v>2.7</v>
      </c>
      <c r="M44">
        <v>0.4</v>
      </c>
      <c r="N44">
        <v>3</v>
      </c>
      <c r="O44">
        <v>0.5</v>
      </c>
      <c r="P44">
        <v>2.7</v>
      </c>
      <c r="Q44">
        <v>0.5</v>
      </c>
      <c r="R44">
        <v>3.2</v>
      </c>
      <c r="S44">
        <v>0.4</v>
      </c>
      <c r="T44">
        <f t="shared" si="2"/>
        <v>5.4</v>
      </c>
      <c r="U44">
        <f t="shared" si="3"/>
        <v>0.85440037453175322</v>
      </c>
      <c r="V44">
        <f t="shared" si="4"/>
        <v>6.2</v>
      </c>
      <c r="W44">
        <f t="shared" si="5"/>
        <v>0.85440037453175322</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34</v>
      </c>
      <c r="AC44" s="22">
        <f>IF(OR($B44="",AC$22=""),"",IF(LEN(VLOOKUP($B44,Database!$B$1:$IX$10144,AC$22,FALSE))=0,"",VLOOKUP($B44,Database!$B$1:$IX$10144,AC$22,FALSE)))</f>
        <v>9</v>
      </c>
      <c r="AD44" s="22">
        <f>IF(OR($B44="",AD$22=""),"",IF(LEN(VLOOKUP($B44,Database!$B$1:$IX$10144,AD$22,FALSE))=0,"",VLOOKUP($B44,Database!$B$1:$IX$10144,AD$22,FALSE)))</f>
        <v>32</v>
      </c>
      <c r="AE44" s="22">
        <f>IF(OR($B44="",AE$22=""),"",IF(LEN(VLOOKUP($B44,Database!$B$1:$IX$10144,AE$22,FALSE))=0,"",VLOOKUP($B44,Database!$B$1:$IX$10144,AE$22,FALSE)))</f>
        <v>7</v>
      </c>
      <c r="AF44" s="22">
        <f>IF(OR($B44="",AF$22=""),"",IF(LEN(VLOOKUP($B44,Database!$B$1:$IX$10144,AF$22,FALSE))=0,"",VLOOKUP($B44,Database!$B$1:$IX$10144,AF$22,FALSE)))</f>
        <v>21</v>
      </c>
      <c r="AG44" s="22">
        <f>IF(OR($B44="",AG$22=""),"",IF(LEN(VLOOKUP($B44,Database!$B$1:$IX$10144,AG$22,FALSE))=0,"",VLOOKUP($B44,Database!$B$1:$IX$10144,AG$22,FALSE)))</f>
        <v>23</v>
      </c>
      <c r="AH44" s="22">
        <f>IF(OR($B44="",AH$22=""),"",IF(LEN(VLOOKUP($B44,Database!$B$1:$IX$10144,AH$22,FALSE))=0,"",VLOOKUP($B44,Database!$B$1:$IX$10144,AH$22,FALSE)))</f>
        <v>1.5</v>
      </c>
      <c r="AI44" s="22">
        <f>IF(OR($B44="",AI$22=""),"",IF(LEN(VLOOKUP($B44,Database!$B$1:$IX$10144,AI$22,FALSE))=0,"",VLOOKUP($B44,Database!$B$1:$IX$10144,AI$22,FALSE)))</f>
        <v>1.3</v>
      </c>
      <c r="AJ44" s="22" t="str">
        <f>IF(OR($B44="",AJ$22=""),"",IF(LEN(VLOOKUP($B44,Database!$B$1:$IX$10144,AJ$22,FALSE))=0,"",VLOOKUP($B44,Database!$B$1:$IX$10144,AJ$22,FALSE)))</f>
        <v/>
      </c>
      <c r="AK44" s="22">
        <f>IF(OR($B44="",AK$22=""),"",IF(LEN(VLOOKUP($B44,Database!$B$1:$IX$10144,AK$22,FALSE))=0,"",VLOOKUP($B44,Database!$B$1:$IX$10144,AK$22,FALSE)))</f>
        <v>28</v>
      </c>
      <c r="AL44" s="22">
        <f>IF(OR($B44="",AL$22=""),"",IF(LEN(VLOOKUP($B44,Database!$B$1:$IX$10144,AL$22,FALSE))=0,"",VLOOKUP($B44,Database!$B$1:$IX$10144,AL$22,FALSE)))</f>
        <v>23</v>
      </c>
      <c r="AM44" s="22">
        <f>IF(OR($B44="",AM$22=""),"",IF(LEN(VLOOKUP($B44,Database!$B$1:$IX$10144,AM$22,FALSE))=0,"",VLOOKUP($B44,Database!$B$1:$IX$10144,AM$22,FALSE)))</f>
        <v>100</v>
      </c>
      <c r="AN44" s="22" t="str">
        <f>IF(OR($B44="",AN$22=""),"",IF(LEN(VLOOKUP($B44,Database!$B$1:$IX$10144,AN$22,FALSE))=0,"",VLOOKUP($B44,Database!$B$1:$IX$10144,AN$22,FALSE)))</f>
        <v>ns</v>
      </c>
      <c r="AO44" s="22" t="str">
        <f>IF(OR($B44="",AO$22=""),"",IF(LEN(VLOOKUP($B44,Database!$B$1:$IX$10144,AO$22,FALSE))=0,"",VLOOKUP($B44,Database!$B$1:$IX$10144,AO$22,FALSE)))</f>
        <v>ns</v>
      </c>
      <c r="AP44" s="22">
        <f>IF(OR($B44="",AP$22=""),"",IF(LEN(VLOOKUP($B44,Database!$B$1:$IX$10144,AP$22,FALSE))=0,"",VLOOKUP($B44,Database!$B$1:$IX$10144,AP$22,FALSE)))</f>
        <v>0</v>
      </c>
      <c r="AQ44" s="22" t="str">
        <f>IF(OR($B44="",AQ$22=""),"",IF(LEN(VLOOKUP($B44,Database!$B$1:$IX$10144,AQ$22,FALSE))=0,"",VLOOKUP($B44,Database!$B$1:$IX$10144,AQ$22,FALSE)))</f>
        <v>Weniger G, Lange C, Irle E.</v>
      </c>
    </row>
    <row r="45" spans="1:43">
      <c r="B45">
        <v>16461856</v>
      </c>
      <c r="C45" s="1" t="str">
        <f>IF($B45="","",HYPERLINK(IF(LEN(VLOOKUP($B45,Database!$B$1:$IX$10144,2,FALSE))=0,"",VLOOKUP($B45,Database!$B$1:$IX$10144,2,FALSE))))</f>
        <v/>
      </c>
      <c r="D45" s="1" t="str">
        <f>IF($B45="","",HYPERLINK(CONCATENATE("http://www.ncbi.nlm.nih.gov/pubmed/",B45)))</f>
        <v>http://www.ncbi.nlm.nih.gov/pubmed/16461856</v>
      </c>
      <c r="E45" s="22" t="str">
        <f>IF($B45="","",IF(LEN(VLOOKUP($B45,Database!$B$1:$IX$10144,4,FALSE))=0,"",VLOOKUP($B45,Database!$B$1:$IX$10144,4,FALSE)))</f>
        <v>Velakoulis D</v>
      </c>
      <c r="F45" s="22">
        <f>IF($B45="","",IF(LEN(VLOOKUP($B45,Database!$B$1:$IX$10144,5,FALSE))=0,"",VLOOKUP($B45,Database!$B$1:$IX$10144,5,FALSE)))</f>
        <v>2006</v>
      </c>
      <c r="G45" s="1" t="str">
        <f>IF($B45="","",HYPERLINK(IF(LEN(VLOOKUP($B45,Database!$B$1:$IX$10144,6,FALSE))=0,"",VLOOKUP($B45,Database!$B$1:$IX$10144,6,FALSE))))</f>
        <v>http://archpsyc.ama-assn.org/cgi/content/full/63/2/139</v>
      </c>
      <c r="H45" s="22">
        <f>IF($B45="","",IF(LEN(VLOOKUP($B45,Database!$B$1:$IX$10144,7,FALSE))=0,"",VLOOKUP($B45,Database!$B$1:$IX$10144,7,FALSE)))</f>
        <v>12</v>
      </c>
      <c r="I45" s="22">
        <f>IF($B45="","",IF(LEN(VLOOKUP($B45,Database!$B$1:$IX$10144,8,FALSE))=0,"",VLOOKUP($B45,Database!$B$1:$IX$10144,8,FALSE)))</f>
        <v>87</v>
      </c>
      <c r="J45" t="s">
        <v>887</v>
      </c>
      <c r="L45">
        <v>2849</v>
      </c>
      <c r="M45">
        <v>442</v>
      </c>
      <c r="N45">
        <v>2870</v>
      </c>
      <c r="O45">
        <v>358</v>
      </c>
      <c r="P45">
        <v>3092</v>
      </c>
      <c r="Q45">
        <v>383</v>
      </c>
      <c r="R45">
        <v>3122</v>
      </c>
      <c r="S45">
        <v>388</v>
      </c>
      <c r="T45">
        <f t="shared" si="2"/>
        <v>5941</v>
      </c>
      <c r="U45">
        <f t="shared" si="3"/>
        <v>782.88607089409891</v>
      </c>
      <c r="V45">
        <f t="shared" si="4"/>
        <v>5992</v>
      </c>
      <c r="W45">
        <f t="shared" si="5"/>
        <v>707.78132216101892</v>
      </c>
      <c r="X45" s="151"/>
      <c r="Y45" s="22" t="str">
        <f>IF(OR($B45="",Y$22=""),"",IF(LEN(VLOOKUP($B45,Database!$B$1:$IX$10144,Y$22,FALSE))=0,"",VLOOKUP($B45,Database!$B$1:$IX$10144,Y$22,FALSE)))</f>
        <v>DSM-III-R</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22.6</v>
      </c>
      <c r="AC45" s="22">
        <f>IF(OR($B45="",AC$22=""),"",IF(LEN(VLOOKUP($B45,Database!$B$1:$IX$10144,AC$22,FALSE))=0,"",VLOOKUP($B45,Database!$B$1:$IX$10144,AC$22,FALSE)))</f>
        <v>4.0999999999999996</v>
      </c>
      <c r="AD45" s="22">
        <f>IF(OR($B45="",AD$22=""),"",IF(LEN(VLOOKUP($B45,Database!$B$1:$IX$10144,AD$22,FALSE))=0,"",VLOOKUP($B45,Database!$B$1:$IX$10144,AD$22,FALSE)))</f>
        <v>26.9</v>
      </c>
      <c r="AE45" s="22">
        <f>IF(OR($B45="",AE$22=""),"",IF(LEN(VLOOKUP($B45,Database!$B$1:$IX$10144,AE$22,FALSE))=0,"",VLOOKUP($B45,Database!$B$1:$IX$10144,AE$22,FALSE)))</f>
        <v>10</v>
      </c>
      <c r="AF45" s="22">
        <f>IF(OR($B45="",AF$22=""),"",IF(LEN(VLOOKUP($B45,Database!$B$1:$IX$10144,AF$22,FALSE))=0,"",VLOOKUP($B45,Database!$B$1:$IX$10144,AF$22,FALSE)))</f>
        <v>5</v>
      </c>
      <c r="AG45" s="22">
        <f>IF(OR($B45="",AG$22=""),"",IF(LEN(VLOOKUP($B45,Database!$B$1:$IX$10144,AG$22,FALSE))=0,"",VLOOKUP($B45,Database!$B$1:$IX$10144,AG$22,FALSE)))</f>
        <v>32</v>
      </c>
      <c r="AH45" s="22">
        <f>IF(OR($B45="",AH$22=""),"",IF(LEN(VLOOKUP($B45,Database!$B$1:$IX$10144,AH$22,FALSE))=0,"",VLOOKUP($B45,Database!$B$1:$IX$10144,AH$22,FALSE)))</f>
        <v>1.5</v>
      </c>
      <c r="AI45" s="22">
        <f>IF(OR($B45="",AI$22=""),"",IF(LEN(VLOOKUP($B45,Database!$B$1:$IX$10144,AI$22,FALSE))=0,"",VLOOKUP($B45,Database!$B$1:$IX$10144,AI$22,FALSE)))</f>
        <v>1.5</v>
      </c>
      <c r="AJ45" s="22" t="str">
        <f>IF(OR($B45="",AJ$22=""),"",IF(LEN(VLOOKUP($B45,Database!$B$1:$IX$10144,AJ$22,FALSE))=0,"",VLOOKUP($B45,Database!$B$1:$IX$10144,AJ$22,FALSE)))</f>
        <v/>
      </c>
      <c r="AK45" s="22">
        <f>IF(OR($B45="",AK$22=""),"",IF(LEN(VLOOKUP($B45,Database!$B$1:$IX$10144,AK$22,FALSE))=0,"",VLOOKUP($B45,Database!$B$1:$IX$10144,AK$22,FALSE)))</f>
        <v>21.5</v>
      </c>
      <c r="AL45" s="22" t="str">
        <f>IF(OR($B45="",AL$22=""),"",IF(LEN(VLOOKUP($B45,Database!$B$1:$IX$10144,AL$22,FALSE))=0,"",VLOOKUP($B45,Database!$B$1:$IX$10144,AL$22,FALSE)))</f>
        <v>ns</v>
      </c>
      <c r="AM45" s="22" t="str">
        <f>IF(OR($B45="",AM$22=""),"",IF(LEN(VLOOKUP($B45,Database!$B$1:$IX$10144,AM$22,FALSE))=0,"",VLOOKUP($B45,Database!$B$1:$IX$10144,AM$22,FALSE)))</f>
        <v>ns</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Velakoulis D, Wood SJ, Wong MT, McGorry PD, Yung A, Phillips L, Smith D, Brewer W, Proffitt T, Desmond P, Pantelis C.</v>
      </c>
    </row>
    <row r="46" spans="1:43">
      <c r="A46" s="10"/>
      <c r="B46">
        <v>17604352</v>
      </c>
      <c r="C46" s="1" t="str">
        <f>IF($B46="","",HYPERLINK(IF(LEN(VLOOKUP($B46,Database!$B$1:$IX$10144,2,FALSE))=0,"",VLOOKUP($B46,Database!$B$1:$IX$10144,2,FALSE))))</f>
        <v/>
      </c>
      <c r="D46" s="1" t="str">
        <f t="shared" si="1"/>
        <v>http://www.ncbi.nlm.nih.gov/pubmed/17604352</v>
      </c>
      <c r="E46" s="22" t="str">
        <f>IF($B46="","",IF(LEN(VLOOKUP($B46,Database!$B$1:$IX$10144,4,FALSE))=0,"",VLOOKUP($B46,Database!$B$1:$IX$10144,4,FALSE)))</f>
        <v>Maller JJ</v>
      </c>
      <c r="F46" s="22">
        <f>IF($B46="","",IF(LEN(VLOOKUP($B46,Database!$B$1:$IX$10144,5,FALSE))=0,"",VLOOKUP($B46,Database!$B$1:$IX$10144,5,FALSE)))</f>
        <v>2007</v>
      </c>
      <c r="G46" s="1" t="str">
        <f>IF($B46="","",HYPERLINK(IF(LEN(VLOOKUP($B46,Database!$B$1:$IX$10144,6,FALSE))=0,"",VLOOKUP($B46,Database!$B$1:$IX$10144,6,FALSE))))</f>
        <v>http://dx.doi.org/10.1002/hipo.20339</v>
      </c>
      <c r="H46" s="83">
        <v>22</v>
      </c>
      <c r="I46" s="83">
        <v>13</v>
      </c>
      <c r="J46" t="s">
        <v>1266</v>
      </c>
      <c r="K46" t="s">
        <v>1367</v>
      </c>
      <c r="L46">
        <v>3010.56</v>
      </c>
      <c r="M46">
        <v>291.39999999999998</v>
      </c>
      <c r="N46">
        <v>3270.01</v>
      </c>
      <c r="O46">
        <v>429.57</v>
      </c>
      <c r="P46">
        <v>2977.8</v>
      </c>
      <c r="Q46">
        <v>276.56</v>
      </c>
      <c r="R46">
        <v>3202.8</v>
      </c>
      <c r="S46">
        <v>487.12</v>
      </c>
      <c r="T46">
        <f t="shared" si="2"/>
        <v>5988.3600000000006</v>
      </c>
      <c r="U46">
        <f t="shared" si="3"/>
        <v>538.83460171002378</v>
      </c>
      <c r="V46">
        <f t="shared" si="4"/>
        <v>6472.81</v>
      </c>
      <c r="W46">
        <f t="shared" si="5"/>
        <v>869.83889355443284</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83">
        <v>37.29</v>
      </c>
      <c r="AC46" s="83">
        <v>8.76</v>
      </c>
      <c r="AD46" s="83">
        <v>39.29</v>
      </c>
      <c r="AE46" s="83">
        <v>12.67</v>
      </c>
      <c r="AF46" s="83">
        <v>0</v>
      </c>
      <c r="AG46" s="22">
        <f>IF(OR($B46="",AG$22=""),"",IF(LEN(VLOOKUP($B46,Database!$B$1:$IX$10144,AG$22,FALSE))=0,"",VLOOKUP($B46,Database!$B$1:$IX$10144,AG$22,FALSE)))</f>
        <v>17</v>
      </c>
      <c r="AH46" s="22">
        <f>IF(OR($B46="",AH$22=""),"",IF(LEN(VLOOKUP($B46,Database!$B$1:$IX$10144,AH$22,FALSE))=0,"",VLOOKUP($B46,Database!$B$1:$IX$10144,AH$22,FALSE)))</f>
        <v>1.5</v>
      </c>
      <c r="AI46" s="22">
        <f>IF(OR($B46="",AI$22=""),"",IF(LEN(VLOOKUP($B46,Database!$B$1:$IX$10144,AI$22,FALSE))=0,"",VLOOKUP($B46,Database!$B$1:$IX$10144,AI$22,FALSE)))</f>
        <v>0.94</v>
      </c>
      <c r="AJ46" s="22" t="str">
        <f>IF(OR($B46="",AJ$22=""),"",IF(LEN(VLOOKUP($B46,Database!$B$1:$IX$10144,AJ$22,FALSE))=0,"",VLOOKUP($B46,Database!$B$1:$IX$10144,AJ$22,FALSE)))</f>
        <v/>
      </c>
      <c r="AK46" s="22" t="str">
        <f>IF(OR($B46="",AK$22=""),"",IF(LEN(VLOOKUP($B46,Database!$B$1:$IX$10144,AK$22,FALSE))=0,"",VLOOKUP($B46,Database!$B$1:$IX$10144,AK$22,FALSE)))</f>
        <v>ns</v>
      </c>
      <c r="AL46" s="22" t="str">
        <f>IF(OR($B46="",AL$22=""),"",IF(LEN(VLOOKUP($B46,Database!$B$1:$IX$10144,AL$22,FALSE))=0,"",VLOOKUP($B46,Database!$B$1:$IX$10144,AL$22,FALSE)))</f>
        <v>ns</v>
      </c>
      <c r="AM46" s="22" t="str">
        <f>IF(OR($B46="",AM$22=""),"",IF(LEN(VLOOKUP($B46,Database!$B$1:$IX$10144,AM$22,FALSE))=0,"",VLOOKUP($B46,Database!$B$1:$IX$10144,AM$22,FALSE)))</f>
        <v>ns</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Maller JJ, Daskalakis ZJ, Fitzgerald PB.</v>
      </c>
    </row>
    <row r="47" spans="1:43">
      <c r="A47" t="s">
        <v>2322</v>
      </c>
      <c r="B47">
        <v>17604352</v>
      </c>
      <c r="C47" s="1" t="str">
        <f>IF($B47="","",HYPERLINK(IF(LEN(VLOOKUP($B47,Database!$B$1:$IX$10144,2,FALSE))=0,"",VLOOKUP($B47,Database!$B$1:$IX$10144,2,FALSE))))</f>
        <v/>
      </c>
      <c r="D47" s="1" t="str">
        <f t="shared" si="1"/>
        <v>http://www.ncbi.nlm.nih.gov/pubmed/17604352</v>
      </c>
      <c r="E47" s="22" t="str">
        <f>IF($B47="","",IF(LEN(VLOOKUP($B47,Database!$B$1:$IX$10144,4,FALSE))=0,"",VLOOKUP($B47,Database!$B$1:$IX$10144,4,FALSE)))</f>
        <v>Maller JJ</v>
      </c>
      <c r="F47" s="22">
        <f>IF($B47="","",IF(LEN(VLOOKUP($B47,Database!$B$1:$IX$10144,5,FALSE))=0,"",VLOOKUP($B47,Database!$B$1:$IX$10144,5,FALSE)))</f>
        <v>2007</v>
      </c>
      <c r="G47" s="1" t="str">
        <f>IF($B47="","",HYPERLINK(IF(LEN(VLOOKUP($B47,Database!$B$1:$IX$10144,6,FALSE))=0,"",VLOOKUP($B47,Database!$B$1:$IX$10144,6,FALSE))))</f>
        <v>http://dx.doi.org/10.1002/hipo.20339</v>
      </c>
      <c r="H47" s="83">
        <v>23</v>
      </c>
      <c r="I47" s="83">
        <v>17</v>
      </c>
      <c r="J47" t="s">
        <v>1266</v>
      </c>
      <c r="K47" t="s">
        <v>2188</v>
      </c>
      <c r="L47">
        <v>2781.15</v>
      </c>
      <c r="M47">
        <v>376.58</v>
      </c>
      <c r="N47">
        <v>2989.96</v>
      </c>
      <c r="O47">
        <v>252.14</v>
      </c>
      <c r="P47">
        <v>2817.3</v>
      </c>
      <c r="Q47">
        <v>239.23</v>
      </c>
      <c r="R47">
        <v>2961.03</v>
      </c>
      <c r="S47">
        <v>281.60000000000002</v>
      </c>
      <c r="T47">
        <f t="shared" si="2"/>
        <v>5598.4500000000007</v>
      </c>
      <c r="U47">
        <f t="shared" si="3"/>
        <v>585.82101595965287</v>
      </c>
      <c r="V47">
        <f t="shared" si="4"/>
        <v>5950.99</v>
      </c>
      <c r="W47">
        <f t="shared" si="5"/>
        <v>506.43591697272024</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83">
        <v>37.47</v>
      </c>
      <c r="AC47" s="83">
        <v>12.96</v>
      </c>
      <c r="AD47" s="83">
        <v>35.76</v>
      </c>
      <c r="AE47" s="83">
        <v>11.03</v>
      </c>
      <c r="AF47" s="83">
        <v>100</v>
      </c>
      <c r="AG47" s="22">
        <f>IF(OR($B47="",AG$22=""),"",IF(LEN(VLOOKUP($B47,Database!$B$1:$IX$10144,AG$22,FALSE))=0,"",VLOOKUP($B47,Database!$B$1:$IX$10144,AG$22,FALSE)))</f>
        <v>17</v>
      </c>
      <c r="AH47" s="22">
        <f>IF(OR($B47="",AH$22=""),"",IF(LEN(VLOOKUP($B47,Database!$B$1:$IX$10144,AH$22,FALSE))=0,"",VLOOKUP($B47,Database!$B$1:$IX$10144,AH$22,FALSE)))</f>
        <v>1.5</v>
      </c>
      <c r="AI47" s="22">
        <f>IF(OR($B47="",AI$22=""),"",IF(LEN(VLOOKUP($B47,Database!$B$1:$IX$10144,AI$22,FALSE))=0,"",VLOOKUP($B47,Database!$B$1:$IX$10144,AI$22,FALSE)))</f>
        <v>0.94</v>
      </c>
      <c r="AJ47" s="22" t="str">
        <f>IF(OR($B47="",AJ$22=""),"",IF(LEN(VLOOKUP($B47,Database!$B$1:$IX$10144,AJ$22,FALSE))=0,"",VLOOKUP($B47,Database!$B$1:$IX$10144,AJ$22,FALSE)))</f>
        <v/>
      </c>
      <c r="AK47" s="22" t="str">
        <f>IF(OR($B47="",AK$22=""),"",IF(LEN(VLOOKUP($B47,Database!$B$1:$IX$10144,AK$22,FALSE))=0,"",VLOOKUP($B47,Database!$B$1:$IX$10144,AK$22,FALSE)))</f>
        <v>ns</v>
      </c>
      <c r="AL47" s="22" t="str">
        <f>IF(OR($B47="",AL$22=""),"",IF(LEN(VLOOKUP($B47,Database!$B$1:$IX$10144,AL$22,FALSE))=0,"",VLOOKUP($B47,Database!$B$1:$IX$10144,AL$22,FALSE)))</f>
        <v>ns</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Maller JJ, Daskalakis ZJ, Fitzgerald PB.</v>
      </c>
    </row>
    <row r="48" spans="1:43">
      <c r="B48">
        <v>18450931</v>
      </c>
      <c r="C48" s="1" t="str">
        <f>IF($B48="","",HYPERLINK(IF(LEN(VLOOKUP($B48,Database!$B$1:$IX$10144,2,FALSE))=0,"",VLOOKUP($B48,Database!$B$1:$IX$10144,2,FALSE))))</f>
        <v/>
      </c>
      <c r="D48" s="1" t="str">
        <f t="shared" si="1"/>
        <v>http://www.ncbi.nlm.nih.gov/pubmed/18450931</v>
      </c>
      <c r="E48" s="22" t="str">
        <f>IF($B48="","",IF(LEN(VLOOKUP($B48,Database!$B$1:$IX$10144,4,FALSE))=0,"",VLOOKUP($B48,Database!$B$1:$IX$10144,4,FALSE)))</f>
        <v>Keller J</v>
      </c>
      <c r="F48" s="22">
        <f>IF($B48="","",IF(LEN(VLOOKUP($B48,Database!$B$1:$IX$10144,5,FALSE))=0,"",VLOOKUP($B48,Database!$B$1:$IX$10144,5,FALSE)))</f>
        <v>2008</v>
      </c>
      <c r="G48" s="1" t="str">
        <f>IF($B48="","",HYPERLINK(IF(LEN(VLOOKUP($B48,Database!$B$1:$IX$10144,6,FALSE))=0,"",VLOOKUP($B48,Database!$B$1:$IX$10144,6,FALSE))))</f>
        <v>http://ajp.psychiatryonline.org/cgi/content/full/165/7/872</v>
      </c>
      <c r="H48" s="83">
        <v>23</v>
      </c>
      <c r="I48" s="83">
        <v>11</v>
      </c>
      <c r="J48" t="s">
        <v>1378</v>
      </c>
      <c r="K48" t="s">
        <v>1173</v>
      </c>
      <c r="L48">
        <v>3.86</v>
      </c>
      <c r="M48">
        <v>0.57999999999999996</v>
      </c>
      <c r="N48">
        <v>3.78</v>
      </c>
      <c r="O48">
        <v>0.49</v>
      </c>
      <c r="P48">
        <v>3.98</v>
      </c>
      <c r="Q48">
        <v>0.56999999999999995</v>
      </c>
      <c r="R48">
        <v>3.89</v>
      </c>
      <c r="S48">
        <v>0.46</v>
      </c>
      <c r="T48">
        <f t="shared" si="2"/>
        <v>7.84</v>
      </c>
      <c r="U48">
        <f t="shared" si="3"/>
        <v>1.0909903757595665</v>
      </c>
      <c r="V48">
        <f t="shared" si="4"/>
        <v>7.67</v>
      </c>
      <c r="W48">
        <f t="shared" si="5"/>
        <v>0.90129906246484026</v>
      </c>
      <c r="Y48" s="22" t="str">
        <f>IF(OR($B48="",Y$22=""),"",IF(LEN(VLOOKUP($B48,Database!$B$1:$IX$10144,Y$22,FALSE))=0,"",VLOOKUP($B48,Database!$B$1:$IX$10144,Y$22,FALSE)))</f>
        <v>DSM-IV</v>
      </c>
      <c r="Z48" s="22" t="str">
        <f>IF(OR($B48="",Z$22=""),"",IF(LEN(VLOOKUP($B48,Database!$B$1:$IX$10144,Z$22,FALSE))=0,"",VLOOKUP($B48,Database!$B$1:$IX$10144,Z$22,FALSE)))</f>
        <v>MRI</v>
      </c>
      <c r="AA48" s="83" t="s">
        <v>754</v>
      </c>
      <c r="AB48" s="83">
        <v>36.5</v>
      </c>
      <c r="AC48" s="83">
        <v>13.2</v>
      </c>
      <c r="AD48" s="22">
        <f>IF(OR($B48="",AD$22=""),"",IF(LEN(VLOOKUP($B48,Database!$B$1:$IX$10144,AD$22,FALSE))=0,"",VLOOKUP($B48,Database!$B$1:$IX$10144,AD$22,FALSE)))</f>
        <v>32.200000000000003</v>
      </c>
      <c r="AE48" s="22">
        <f>IF(OR($B48="",AE$22=""),"",IF(LEN(VLOOKUP($B48,Database!$B$1:$IX$10144,AE$22,FALSE))=0,"",VLOOKUP($B48,Database!$B$1:$IX$10144,AE$22,FALSE)))</f>
        <v>11.5</v>
      </c>
      <c r="AF48" s="83">
        <v>48</v>
      </c>
      <c r="AG48" s="83">
        <v>70</v>
      </c>
      <c r="AH48" s="83">
        <v>17.39</v>
      </c>
      <c r="AI48" s="83">
        <v>65.2</v>
      </c>
      <c r="AJ48" s="83">
        <v>17.399999999999999</v>
      </c>
      <c r="AK48" s="83">
        <v>27.6</v>
      </c>
      <c r="AL48" s="83">
        <v>30.5</v>
      </c>
      <c r="AM48" s="22">
        <f>IF(OR($B48="",AM$22=""),"",IF(LEN(VLOOKUP($B48,Database!$B$1:$IX$10144,AM$22,FALSE))=0,"",VLOOKUP($B48,Database!$B$1:$IX$10144,AM$22,FALSE)))</f>
        <v>61.904761904761905</v>
      </c>
      <c r="AN48" s="22">
        <f>IF(OR($B48="",AN$22=""),"",IF(LEN(VLOOKUP($B48,Database!$B$1:$IX$10144,AN$22,FALSE))=0,"",VLOOKUP($B48,Database!$B$1:$IX$10144,AN$22,FALSE)))</f>
        <v>14.285714285714285</v>
      </c>
      <c r="AO48" s="22">
        <f>IF(OR($B48="",AO$22=""),"",IF(LEN(VLOOKUP($B48,Database!$B$1:$IX$10144,AO$22,FALSE))=0,"",VLOOKUP($B48,Database!$B$1:$IX$10144,AO$22,FALSE)))</f>
        <v>38.095238095238095</v>
      </c>
      <c r="AP48" s="22">
        <f>IF(OR($B48="",AP$22=""),"",IF(LEN(VLOOKUP($B48,Database!$B$1:$IX$10144,AP$22,FALSE))=0,"",VLOOKUP($B48,Database!$B$1:$IX$10144,AP$22,FALSE)))</f>
        <v>28.571428571428569</v>
      </c>
      <c r="AQ48" s="22" t="str">
        <f>IF(OR($B48="",AQ$22=""),"",IF(LEN(VLOOKUP($B48,Database!$B$1:$IX$10144,AQ$22,FALSE))=0,"",VLOOKUP($B48,Database!$B$1:$IX$10144,AQ$22,FALSE)))</f>
        <v>Keller J, Shen L, Gomez RG, Garrett A, Solvason HB, Reiss A, Schatzberg AF.</v>
      </c>
    </row>
    <row r="49" spans="1:52">
      <c r="B49">
        <v>18450931</v>
      </c>
      <c r="C49" s="1" t="str">
        <f>IF($B49="","",HYPERLINK(IF(LEN(VLOOKUP($B49,Database!$B$1:$IX$10144,2,FALSE))=0,"",VLOOKUP($B49,Database!$B$1:$IX$10144,2,FALSE))))</f>
        <v/>
      </c>
      <c r="D49" s="1" t="str">
        <f t="shared" si="1"/>
        <v>http://www.ncbi.nlm.nih.gov/pubmed/18450931</v>
      </c>
      <c r="E49" s="22" t="str">
        <f>IF($B49="","",IF(LEN(VLOOKUP($B49,Database!$B$1:$IX$10144,4,FALSE))=0,"",VLOOKUP($B49,Database!$B$1:$IX$10144,4,FALSE)))</f>
        <v>Keller J</v>
      </c>
      <c r="F49" s="22">
        <f>IF($B49="","",IF(LEN(VLOOKUP($B49,Database!$B$1:$IX$10144,5,FALSE))=0,"",VLOOKUP($B49,Database!$B$1:$IX$10144,5,FALSE)))</f>
        <v>2008</v>
      </c>
      <c r="G49" s="1" t="str">
        <f>IF($B49="","",HYPERLINK(IF(LEN(VLOOKUP($B49,Database!$B$1:$IX$10144,6,FALSE))=0,"",VLOOKUP($B49,Database!$B$1:$IX$10144,6,FALSE))))</f>
        <v>http://ajp.psychiatryonline.org/cgi/content/full/165/7/872</v>
      </c>
      <c r="H49" s="83">
        <v>19</v>
      </c>
      <c r="I49" s="83">
        <v>11</v>
      </c>
      <c r="J49" t="s">
        <v>1378</v>
      </c>
      <c r="K49" t="s">
        <v>1000</v>
      </c>
      <c r="L49">
        <v>3.85</v>
      </c>
      <c r="M49">
        <v>0.3</v>
      </c>
      <c r="N49">
        <v>3.78</v>
      </c>
      <c r="O49">
        <v>0.49</v>
      </c>
      <c r="P49">
        <v>4.09</v>
      </c>
      <c r="Q49">
        <v>0.41</v>
      </c>
      <c r="R49">
        <v>3.89</v>
      </c>
      <c r="S49">
        <v>0.46</v>
      </c>
      <c r="T49">
        <f t="shared" si="2"/>
        <v>7.9399999999999995</v>
      </c>
      <c r="U49">
        <f t="shared" si="3"/>
        <v>0.67446274915668991</v>
      </c>
      <c r="V49">
        <f t="shared" si="4"/>
        <v>7.67</v>
      </c>
      <c r="W49">
        <f t="shared" si="5"/>
        <v>0.90129906246484026</v>
      </c>
      <c r="Y49" s="22" t="str">
        <f>IF(OR($B49="",Y$22=""),"",IF(LEN(VLOOKUP($B49,Database!$B$1:$IX$10144,Y$22,FALSE))=0,"",VLOOKUP($B49,Database!$B$1:$IX$10144,Y$22,FALSE)))</f>
        <v>DSM-IV</v>
      </c>
      <c r="Z49" s="22" t="str">
        <f>IF(OR($B49="",Z$22=""),"",IF(LEN(VLOOKUP($B49,Database!$B$1:$IX$10144,Z$22,FALSE))=0,"",VLOOKUP($B49,Database!$B$1:$IX$10144,Z$22,FALSE)))</f>
        <v>MRI</v>
      </c>
      <c r="AA49" s="83" t="s">
        <v>755</v>
      </c>
      <c r="AB49" s="83">
        <v>36.6</v>
      </c>
      <c r="AC49" s="83">
        <v>11.9</v>
      </c>
      <c r="AD49" s="22">
        <f>IF(OR($B49="",AD$22=""),"",IF(LEN(VLOOKUP($B49,Database!$B$1:$IX$10144,AD$22,FALSE))=0,"",VLOOKUP($B49,Database!$B$1:$IX$10144,AD$22,FALSE)))</f>
        <v>32.200000000000003</v>
      </c>
      <c r="AE49" s="22">
        <f>IF(OR($B49="",AE$22=""),"",IF(LEN(VLOOKUP($B49,Database!$B$1:$IX$10144,AE$22,FALSE))=0,"",VLOOKUP($B49,Database!$B$1:$IX$10144,AE$22,FALSE)))</f>
        <v>11.5</v>
      </c>
      <c r="AF49" s="83">
        <v>63</v>
      </c>
      <c r="AG49" s="83">
        <v>0</v>
      </c>
      <c r="AH49" s="83">
        <v>10.5</v>
      </c>
      <c r="AI49" s="83">
        <v>57.9</v>
      </c>
      <c r="AJ49" s="83">
        <v>42.1</v>
      </c>
      <c r="AK49" s="83">
        <v>27</v>
      </c>
      <c r="AL49" s="83">
        <v>23.7</v>
      </c>
      <c r="AM49" s="22">
        <f>IF(OR($B49="",AM$22=""),"",IF(LEN(VLOOKUP($B49,Database!$B$1:$IX$10144,AM$22,FALSE))=0,"",VLOOKUP($B49,Database!$B$1:$IX$10144,AM$22,FALSE)))</f>
        <v>61.904761904761905</v>
      </c>
      <c r="AN49" s="22">
        <f>IF(OR($B49="",AN$22=""),"",IF(LEN(VLOOKUP($B49,Database!$B$1:$IX$10144,AN$22,FALSE))=0,"",VLOOKUP($B49,Database!$B$1:$IX$10144,AN$22,FALSE)))</f>
        <v>14.285714285714285</v>
      </c>
      <c r="AO49" s="22">
        <f>IF(OR($B49="",AO$22=""),"",IF(LEN(VLOOKUP($B49,Database!$B$1:$IX$10144,AO$22,FALSE))=0,"",VLOOKUP($B49,Database!$B$1:$IX$10144,AO$22,FALSE)))</f>
        <v>38.095238095238095</v>
      </c>
      <c r="AP49" s="22">
        <f>IF(OR($B49="",AP$22=""),"",IF(LEN(VLOOKUP($B49,Database!$B$1:$IX$10144,AP$22,FALSE))=0,"",VLOOKUP($B49,Database!$B$1:$IX$10144,AP$22,FALSE)))</f>
        <v>28.571428571428569</v>
      </c>
      <c r="AQ49" s="22" t="str">
        <f>IF(OR($B49="",AQ$22=""),"",IF(LEN(VLOOKUP($B49,Database!$B$1:$IX$10144,AQ$22,FALSE))=0,"",VLOOKUP($B49,Database!$B$1:$IX$10144,AQ$22,FALSE)))</f>
        <v>Keller J, Shen L, Gomez RG, Garrett A, Solvason HB, Reiss A, Schatzberg AF.</v>
      </c>
    </row>
    <row r="50" spans="1:52">
      <c r="B50">
        <v>18414838</v>
      </c>
      <c r="C50" s="1" t="str">
        <f>IF($B50="","",HYPERLINK(IF(LEN(VLOOKUP($B50,Database!$B$1:$IX$10144,2,FALSE))=0,"",VLOOKUP($B50,Database!$B$1:$IX$10144,2,FALSE))))</f>
        <v/>
      </c>
      <c r="D50" s="1" t="str">
        <f t="shared" si="1"/>
        <v>http://www.ncbi.nlm.nih.gov/pubmed/18414838</v>
      </c>
      <c r="E50" s="22" t="str">
        <f>IF($B50="","",IF(LEN(VLOOKUP($B50,Database!$B$1:$IX$10144,4,FALSE))=0,"",VLOOKUP($B50,Database!$B$1:$IX$10144,4,FALSE)))</f>
        <v>Tae WS</v>
      </c>
      <c r="F50" s="22">
        <f>IF($B50="","",IF(LEN(VLOOKUP($B50,Database!$B$1:$IX$10144,5,FALSE))=0,"",VLOOKUP($B50,Database!$B$1:$IX$10144,5,FALSE)))</f>
        <v>2008</v>
      </c>
      <c r="G50" s="1" t="str">
        <f>IF($B50="","",HYPERLINK(IF(LEN(VLOOKUP($B50,Database!$B$1:$IX$10144,6,FALSE))=0,"",VLOOKUP($B50,Database!$B$1:$IX$10144,6,FALSE))))</f>
        <v>http://dx.doi.org/10.1007/s00234-008-0383-9</v>
      </c>
      <c r="H50" s="22">
        <f>IF($B50="","",IF(LEN(VLOOKUP($B50,Database!$B$1:$IX$10144,7,FALSE))=0,"",VLOOKUP($B50,Database!$B$1:$IX$10144,7,FALSE)))</f>
        <v>21</v>
      </c>
      <c r="I50" s="22">
        <f>IF($B50="","",IF(LEN(VLOOKUP($B50,Database!$B$1:$IX$10144,8,FALSE))=0,"",VLOOKUP($B50,Database!$B$1:$IX$10144,8,FALSE)))</f>
        <v>20</v>
      </c>
      <c r="J50" t="s">
        <v>643</v>
      </c>
      <c r="L50">
        <v>2589.3000000000002</v>
      </c>
      <c r="M50">
        <v>377.24</v>
      </c>
      <c r="N50">
        <v>2811.1</v>
      </c>
      <c r="O50">
        <v>226.51</v>
      </c>
      <c r="P50">
        <v>2658.5</v>
      </c>
      <c r="Q50">
        <v>412.31</v>
      </c>
      <c r="R50">
        <v>2871.9</v>
      </c>
      <c r="S50">
        <v>278.20999999999998</v>
      </c>
      <c r="T50">
        <f t="shared" si="2"/>
        <v>5247.8</v>
      </c>
      <c r="U50">
        <f t="shared" si="3"/>
        <v>749.11499300174205</v>
      </c>
      <c r="V50">
        <f t="shared" si="4"/>
        <v>5683</v>
      </c>
      <c r="W50">
        <f t="shared" si="5"/>
        <v>479.09846541186079</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41.7</v>
      </c>
      <c r="AC50" s="22">
        <f>IF(OR($B50="",AC$22=""),"",IF(LEN(VLOOKUP($B50,Database!$B$1:$IX$10144,AC$22,FALSE))=0,"",VLOOKUP($B50,Database!$B$1:$IX$10144,AC$22,FALSE)))</f>
        <v>11</v>
      </c>
      <c r="AD50" s="22">
        <f>IF(OR($B50="",AD$22=""),"",IF(LEN(VLOOKUP($B50,Database!$B$1:$IX$10144,AD$22,FALSE))=0,"",VLOOKUP($B50,Database!$B$1:$IX$10144,AD$22,FALSE)))</f>
        <v>41.9</v>
      </c>
      <c r="AE50" s="22">
        <f>IF(OR($B50="",AE$22=""),"",IF(LEN(VLOOKUP($B50,Database!$B$1:$IX$10144,AE$22,FALSE))=0,"",VLOOKUP($B50,Database!$B$1:$IX$10144,AE$22,FALSE)))</f>
        <v>10.26</v>
      </c>
      <c r="AF50" s="22">
        <f>IF(OR($B50="",AF$22=""),"",IF(LEN(VLOOKUP($B50,Database!$B$1:$IX$10144,AF$22,FALSE))=0,"",VLOOKUP($B50,Database!$B$1:$IX$10144,AF$22,FALSE)))</f>
        <v>21</v>
      </c>
      <c r="AG50" s="22">
        <f>IF(OR($B50="",AG$22=""),"",IF(LEN(VLOOKUP($B50,Database!$B$1:$IX$10144,AG$22,FALSE))=0,"",VLOOKUP($B50,Database!$B$1:$IX$10144,AG$22,FALSE)))</f>
        <v>20</v>
      </c>
      <c r="AH50" s="22">
        <f>IF(OR($B50="",AH$22=""),"",IF(LEN(VLOOKUP($B50,Database!$B$1:$IX$10144,AH$22,FALSE))=0,"",VLOOKUP($B50,Database!$B$1:$IX$10144,AH$22,FALSE)))</f>
        <v>1.5</v>
      </c>
      <c r="AI50" s="22">
        <f>IF(OR($B50="",AI$22=""),"",IF(LEN(VLOOKUP($B50,Database!$B$1:$IX$10144,AI$22,FALSE))=0,"",VLOOKUP($B50,Database!$B$1:$IX$10144,AI$22,FALSE)))</f>
        <v>1.3</v>
      </c>
      <c r="AJ50" s="22" t="str">
        <f>IF(OR($B50="",AJ$22=""),"",IF(LEN(VLOOKUP($B50,Database!$B$1:$IX$10144,AJ$22,FALSE))=0,"",VLOOKUP($B50,Database!$B$1:$IX$10144,AJ$22,FALSE)))</f>
        <v/>
      </c>
      <c r="AK50" s="22">
        <f>IF(OR($B50="",AK$22=""),"",IF(LEN(VLOOKUP($B50,Database!$B$1:$IX$10144,AK$22,FALSE))=0,"",VLOOKUP($B50,Database!$B$1:$IX$10144,AK$22,FALSE)))</f>
        <v>33.200000000000003</v>
      </c>
      <c r="AL50" s="22" t="str">
        <f>IF(OR($B50="",AL$22=""),"",IF(LEN(VLOOKUP($B50,Database!$B$1:$IX$10144,AL$22,FALSE))=0,"",VLOOKUP($B50,Database!$B$1:$IX$10144,AL$22,FALSE)))</f>
        <v>ns</v>
      </c>
      <c r="AM50" s="22">
        <f>IF(OR($B50="",AM$22=""),"",IF(LEN(VLOOKUP($B50,Database!$B$1:$IX$10144,AM$22,FALSE))=0,"",VLOOKUP($B50,Database!$B$1:$IX$10144,AM$22,FALSE)))</f>
        <v>100</v>
      </c>
      <c r="AN50" s="22">
        <f>IF(OR($B50="",AN$22=""),"",IF(LEN(VLOOKUP($B50,Database!$B$1:$IX$10144,AN$22,FALSE))=0,"",VLOOKUP($B50,Database!$B$1:$IX$10144,AN$22,FALSE)))</f>
        <v>0</v>
      </c>
      <c r="AO50" s="22">
        <f>IF(OR($B50="",AO$22=""),"",IF(LEN(VLOOKUP($B50,Database!$B$1:$IX$10144,AO$22,FALSE))=0,"",VLOOKUP($B50,Database!$B$1:$IX$10144,AO$22,FALSE)))</f>
        <v>0</v>
      </c>
      <c r="AP50" s="22">
        <f>IF(OR($B50="",AP$22=""),"",IF(LEN(VLOOKUP($B50,Database!$B$1:$IX$10144,AP$22,FALSE))=0,"",VLOOKUP($B50,Database!$B$1:$IX$10144,AP$22,FALSE)))</f>
        <v>0</v>
      </c>
      <c r="AQ50" s="22" t="str">
        <f>IF(OR($B50="",AQ$22=""),"",IF(LEN(VLOOKUP($B50,Database!$B$1:$IX$10144,AQ$22,FALSE))=0,"",VLOOKUP($B50,Database!$B$1:$IX$10144,AQ$22,FALSE)))</f>
        <v>Tae WS, Kim SS, Lee KU, Nam EC, Kim KW.</v>
      </c>
    </row>
    <row r="51" spans="1:52">
      <c r="B51">
        <v>19071222</v>
      </c>
      <c r="C51" s="1" t="str">
        <f>IF($B51="","",HYPERLINK(IF(LEN(VLOOKUP($B51,Database!$B$1:$IX$10144,2,FALSE))=0,"",VLOOKUP($B51,Database!$B$1:$IX$10144,2,FALSE))))</f>
        <v/>
      </c>
      <c r="D51" s="1" t="str">
        <f t="shared" si="1"/>
        <v>http://www.ncbi.nlm.nih.gov/pubmed/19071222</v>
      </c>
      <c r="E51" s="22" t="str">
        <f>IF($B51="","",IF(LEN(VLOOKUP($B51,Database!$B$1:$IX$10144,4,FALSE))=0,"",VLOOKUP($B51,Database!$B$1:$IX$10144,4,FALSE)))</f>
        <v>Bergouignan L</v>
      </c>
      <c r="F51" s="22">
        <f>IF($B51="","",IF(LEN(VLOOKUP($B51,Database!$B$1:$IX$10144,5,FALSE))=0,"",VLOOKUP($B51,Database!$B$1:$IX$10144,5,FALSE)))</f>
        <v>2009</v>
      </c>
      <c r="G51" s="1" t="str">
        <f>IF($B51="","",HYPERLINK(IF(LEN(VLOOKUP($B51,Database!$B$1:$IX$10144,6,FALSE))=0,"",VLOOKUP($B51,Database!$B$1:$IX$10144,6,FALSE))))</f>
        <v>http://dx.doi.org/10.1016/j.neuroimage.2008.11.006</v>
      </c>
      <c r="H51" s="22">
        <f>IF($B51="","",IF(LEN(VLOOKUP($B51,Database!$B$1:$IX$10144,7,FALSE))=0,"",VLOOKUP($B51,Database!$B$1:$IX$10144,7,FALSE)))</f>
        <v>21</v>
      </c>
      <c r="I51" s="22">
        <f>IF($B51="","",IF(LEN(VLOOKUP($B51,Database!$B$1:$IX$10144,8,FALSE))=0,"",VLOOKUP($B51,Database!$B$1:$IX$10144,8,FALSE)))</f>
        <v>21</v>
      </c>
      <c r="J51" t="s">
        <v>651</v>
      </c>
      <c r="L51">
        <v>3.95</v>
      </c>
      <c r="M51">
        <v>0.75</v>
      </c>
      <c r="N51">
        <v>4.42</v>
      </c>
      <c r="O51">
        <v>1.04</v>
      </c>
      <c r="P51">
        <v>3.93</v>
      </c>
      <c r="Q51">
        <v>0.8</v>
      </c>
      <c r="R51">
        <v>4.5</v>
      </c>
      <c r="S51">
        <v>1.06</v>
      </c>
      <c r="T51">
        <f t="shared" si="2"/>
        <v>7.8800000000000008</v>
      </c>
      <c r="U51">
        <f t="shared" si="3"/>
        <v>1.4705441169852744</v>
      </c>
      <c r="V51">
        <f t="shared" si="4"/>
        <v>8.92</v>
      </c>
      <c r="W51">
        <f t="shared" si="5"/>
        <v>1.9922449648574847</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f>IF(OR($B51="",AB$22=""),"",IF(LEN(VLOOKUP($B51,Database!$B$1:$IX$10144,AB$22,FALSE))=0,"",VLOOKUP($B51,Database!$B$1:$IX$10144,AB$22,FALSE)))</f>
        <v>33.159999999999997</v>
      </c>
      <c r="AC51" s="22">
        <f>IF(OR($B51="",AC$22=""),"",IF(LEN(VLOOKUP($B51,Database!$B$1:$IX$10144,AC$22,FALSE))=0,"",VLOOKUP($B51,Database!$B$1:$IX$10144,AC$22,FALSE)))</f>
        <v>9.58</v>
      </c>
      <c r="AD51" s="22">
        <f>IF(OR($B51="",AD$22=""),"",IF(LEN(VLOOKUP($B51,Database!$B$1:$IX$10144,AD$22,FALSE))=0,"",VLOOKUP($B51,Database!$B$1:$IX$10144,AD$22,FALSE)))</f>
        <v>28.21</v>
      </c>
      <c r="AE51" s="22">
        <f>IF(OR($B51="",AE$22=""),"",IF(LEN(VLOOKUP($B51,Database!$B$1:$IX$10144,AE$22,FALSE))=0,"",VLOOKUP($B51,Database!$B$1:$IX$10144,AE$22,FALSE)))</f>
        <v>5.5</v>
      </c>
      <c r="AF51" s="22">
        <f>IF(OR($B51="",AF$22=""),"",IF(LEN(VLOOKUP($B51,Database!$B$1:$IX$10144,AF$22,FALSE))=0,"",VLOOKUP($B51,Database!$B$1:$IX$10144,AF$22,FALSE)))</f>
        <v>17</v>
      </c>
      <c r="AG51" s="22">
        <f>IF(OR($B51="",AG$22=""),"",IF(LEN(VLOOKUP($B51,Database!$B$1:$IX$10144,AG$22,FALSE))=0,"",VLOOKUP($B51,Database!$B$1:$IX$10144,AG$22,FALSE)))</f>
        <v>14</v>
      </c>
      <c r="AH51" s="22">
        <f>IF(OR($B51="",AH$22=""),"",IF(LEN(VLOOKUP($B51,Database!$B$1:$IX$10144,AH$22,FALSE))=0,"",VLOOKUP($B51,Database!$B$1:$IX$10144,AH$22,FALSE)))</f>
        <v>1.5</v>
      </c>
      <c r="AI51" s="22">
        <f>IF(OR($B51="",AI$22=""),"",IF(LEN(VLOOKUP($B51,Database!$B$1:$IX$10144,AI$22,FALSE))=0,"",VLOOKUP($B51,Database!$B$1:$IX$10144,AI$22,FALSE)))</f>
        <v>1.5</v>
      </c>
      <c r="AJ51" s="22" t="str">
        <f>IF(OR($B51="",AJ$22=""),"",IF(LEN(VLOOKUP($B51,Database!$B$1:$IX$10144,AJ$22,FALSE))=0,"",VLOOKUP($B51,Database!$B$1:$IX$10144,AJ$22,FALSE)))</f>
        <v/>
      </c>
      <c r="AK51" s="22">
        <f>IF(OR($B51="",AK$22=""),"",IF(LEN(VLOOKUP($B51,Database!$B$1:$IX$10144,AK$22,FALSE))=0,"",VLOOKUP($B51,Database!$B$1:$IX$10144,AK$22,FALSE)))</f>
        <v>23.8</v>
      </c>
      <c r="AL51" s="22" t="str">
        <f>IF(OR($B51="",AL$22=""),"",IF(LEN(VLOOKUP($B51,Database!$B$1:$IX$10144,AL$22,FALSE))=0,"",VLOOKUP($B51,Database!$B$1:$IX$10144,AL$22,FALSE)))</f>
        <v>ns</v>
      </c>
      <c r="AM51" s="22">
        <f>IF(OR($B51="",AM$22=""),"",IF(LEN(VLOOKUP($B51,Database!$B$1:$IX$10144,AM$22,FALSE))=0,"",VLOOKUP($B51,Database!$B$1:$IX$10144,AM$22,FALSE)))</f>
        <v>100</v>
      </c>
      <c r="AN51" s="22" t="str">
        <f>IF(OR($B51="",AN$22=""),"",IF(LEN(VLOOKUP($B51,Database!$B$1:$IX$10144,AN$22,FALSE))=0,"",VLOOKUP($B51,Database!$B$1:$IX$10144,AN$22,FALSE)))</f>
        <v>ns</v>
      </c>
      <c r="AO51" s="22" t="str">
        <f>IF(OR($B51="",AO$22=""),"",IF(LEN(VLOOKUP($B51,Database!$B$1:$IX$10144,AO$22,FALSE))=0,"",VLOOKUP($B51,Database!$B$1:$IX$10144,AO$22,FALSE)))</f>
        <v>ns</v>
      </c>
      <c r="AP51" s="22">
        <f>IF(OR($B51="",AP$22=""),"",IF(LEN(VLOOKUP($B51,Database!$B$1:$IX$10144,AP$22,FALSE))=0,"",VLOOKUP($B51,Database!$B$1:$IX$10144,AP$22,FALSE)))</f>
        <v>0</v>
      </c>
      <c r="AQ51" s="22" t="str">
        <f>IF(OR($B51="",AQ$22=""),"",IF(LEN(VLOOKUP($B51,Database!$B$1:$IX$10144,AQ$22,FALSE))=0,"",VLOOKUP($B51,Database!$B$1:$IX$10144,AQ$22,FALSE)))</f>
        <v>Bergouignan L, Chupin M, Czechowska Y, Kinkingnéhun S, Lemogne C, Le Bastard G, Lepage M, Garnero L, Colliot O, Fossati P.</v>
      </c>
    </row>
    <row r="52" spans="1:52">
      <c r="B52">
        <v>19028381</v>
      </c>
      <c r="C52" s="1" t="str">
        <f>IF($B52="","",HYPERLINK(IF(LEN(VLOOKUP($B52,Database!$B$1:$IX$10144,2,FALSE))=0,"",VLOOKUP($B52,Database!$B$1:$IX$10144,2,FALSE))))</f>
        <v/>
      </c>
      <c r="D52" s="1" t="str">
        <f t="shared" si="1"/>
        <v>http://www.ncbi.nlm.nih.gov/pubmed/19028381</v>
      </c>
      <c r="E52" s="22" t="str">
        <f>IF($B52="","",IF(LEN(VLOOKUP($B52,Database!$B$1:$IX$10144,4,FALSE))=0,"",VLOOKUP($B52,Database!$B$1:$IX$10144,4,FALSE)))</f>
        <v>van Eijndhoven P</v>
      </c>
      <c r="F52" s="22">
        <f>IF($B52="","",IF(LEN(VLOOKUP($B52,Database!$B$1:$IX$10144,5,FALSE))=0,"",VLOOKUP($B52,Database!$B$1:$IX$10144,5,FALSE)))</f>
        <v>2009</v>
      </c>
      <c r="G52" s="1" t="str">
        <f>IF($B52="","",HYPERLINK(IF(LEN(VLOOKUP($B52,Database!$B$1:$IX$10144,6,FALSE))=0,"",VLOOKUP($B52,Database!$B$1:$IX$10144,6,FALSE))))</f>
        <v>http://dx.doi.org/10.1016/j.biopsych.2008.10.027</v>
      </c>
      <c r="H52" s="83">
        <v>20</v>
      </c>
      <c r="I52" s="83">
        <v>10</v>
      </c>
      <c r="J52" t="s">
        <v>887</v>
      </c>
      <c r="K52" t="s">
        <v>864</v>
      </c>
      <c r="L52">
        <v>3620</v>
      </c>
      <c r="M52">
        <v>385</v>
      </c>
      <c r="N52">
        <v>3716</v>
      </c>
      <c r="O52">
        <v>364</v>
      </c>
      <c r="P52">
        <v>3752</v>
      </c>
      <c r="Q52">
        <v>442</v>
      </c>
      <c r="R52">
        <v>3881</v>
      </c>
      <c r="S52">
        <v>429</v>
      </c>
      <c r="T52">
        <f t="shared" si="2"/>
        <v>7372</v>
      </c>
      <c r="U52">
        <f t="shared" si="3"/>
        <v>784.76811861848716</v>
      </c>
      <c r="V52">
        <f t="shared" si="4"/>
        <v>7597</v>
      </c>
      <c r="W52">
        <f t="shared" si="5"/>
        <v>752.5866063118583</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83">
        <v>34.1</v>
      </c>
      <c r="AC52" s="83">
        <v>11.6</v>
      </c>
      <c r="AD52" s="22">
        <f>IF(OR($B52="",AD$22=""),"",IF(LEN(VLOOKUP($B52,Database!$B$1:$IX$10144,AD$22,FALSE))=0,"",VLOOKUP($B52,Database!$B$1:$IX$10144,AD$22,FALSE)))</f>
        <v>37.299999999999997</v>
      </c>
      <c r="AE52" s="22">
        <f>IF(OR($B52="",AE$22=""),"",IF(LEN(VLOOKUP($B52,Database!$B$1:$IX$10144,AE$22,FALSE))=0,"",VLOOKUP($B52,Database!$B$1:$IX$10144,AE$22,FALSE)))</f>
        <v>12.7</v>
      </c>
      <c r="AF52" s="22">
        <f>IF(OR($B52="",AF$22=""),"",IF(LEN(VLOOKUP($B52,Database!$B$1:$IX$10144,AF$22,FALSE))=0,"",VLOOKUP($B52,Database!$B$1:$IX$10144,AF$22,FALSE)))</f>
        <v>27</v>
      </c>
      <c r="AG52" s="22">
        <f>IF(OR($B52="",AG$22=""),"",IF(LEN(VLOOKUP($B52,Database!$B$1:$IX$10144,AG$22,FALSE))=0,"",VLOOKUP($B52,Database!$B$1:$IX$10144,AG$22,FALSE)))</f>
        <v>13</v>
      </c>
      <c r="AH52" s="22">
        <f>IF(OR($B52="",AH$22=""),"",IF(LEN(VLOOKUP($B52,Database!$B$1:$IX$10144,AH$22,FALSE))=0,"",VLOOKUP($B52,Database!$B$1:$IX$10144,AH$22,FALSE)))</f>
        <v>1.5</v>
      </c>
      <c r="AI52" s="22">
        <f>IF(OR($B52="",AI$22=""),"",IF(LEN(VLOOKUP($B52,Database!$B$1:$IX$10144,AI$22,FALSE))=0,"",VLOOKUP($B52,Database!$B$1:$IX$10144,AI$22,FALSE)))</f>
        <v>1</v>
      </c>
      <c r="AJ52" s="22" t="str">
        <f>IF(OR($B52="",AJ$22=""),"",IF(LEN(VLOOKUP($B52,Database!$B$1:$IX$10144,AJ$22,FALSE))=0,"",VLOOKUP($B52,Database!$B$1:$IX$10144,AJ$22,FALSE)))</f>
        <v/>
      </c>
      <c r="AK52" s="83">
        <v>34.1</v>
      </c>
      <c r="AL52" s="83">
        <v>21.08</v>
      </c>
      <c r="AM52" s="22">
        <f>IF(OR($B52="",AM$22=""),"",IF(LEN(VLOOKUP($B52,Database!$B$1:$IX$10144,AM$22,FALSE))=0,"",VLOOKUP($B52,Database!$B$1:$IX$10144,AM$22,FALSE)))</f>
        <v>0</v>
      </c>
      <c r="AN52" s="22" t="str">
        <f>IF(OR($B52="",AN$22=""),"",IF(LEN(VLOOKUP($B52,Database!$B$1:$IX$10144,AN$22,FALSE))=0,"",VLOOKUP($B52,Database!$B$1:$IX$10144,AN$22,FALSE)))</f>
        <v>ns</v>
      </c>
      <c r="AO52" s="22" t="str">
        <f>IF(OR($B52="",AO$22=""),"",IF(LEN(VLOOKUP($B52,Database!$B$1:$IX$10144,AO$22,FALSE))=0,"",VLOOKUP($B52,Database!$B$1:$IX$10144,AO$22,FALSE)))</f>
        <v>ns</v>
      </c>
      <c r="AP52" s="22" t="str">
        <f>IF(OR($B52="",AP$22=""),"",IF(LEN(VLOOKUP($B52,Database!$B$1:$IX$10144,AP$22,FALSE))=0,"",VLOOKUP($B52,Database!$B$1:$IX$10144,AP$22,FALSE)))</f>
        <v>ns</v>
      </c>
      <c r="AQ52" s="22" t="str">
        <f>IF(OR($B52="",AQ$22=""),"",IF(LEN(VLOOKUP($B52,Database!$B$1:$IX$10144,AQ$22,FALSE))=0,"",VLOOKUP($B52,Database!$B$1:$IX$10144,AQ$22,FALSE)))</f>
        <v>van Eijndhoven P, van Wingen G, van Oijen K, Rijpkema M, Goraj B, Jan Verkes R, Oude Voshaar R, Fernández G, Buitelaar J, Tendolkar I.</v>
      </c>
    </row>
    <row r="53" spans="1:52">
      <c r="B53">
        <v>19028381</v>
      </c>
      <c r="C53" s="1" t="str">
        <f>IF($B53="","",HYPERLINK(IF(LEN(VLOOKUP($B53,Database!$B$1:$IX$10144,2,FALSE))=0,"",VLOOKUP($B53,Database!$B$1:$IX$10144,2,FALSE))))</f>
        <v/>
      </c>
      <c r="D53" s="1" t="str">
        <f t="shared" si="1"/>
        <v>http://www.ncbi.nlm.nih.gov/pubmed/19028381</v>
      </c>
      <c r="E53" s="22" t="str">
        <f>IF($B53="","",IF(LEN(VLOOKUP($B53,Database!$B$1:$IX$10144,4,FALSE))=0,"",VLOOKUP($B53,Database!$B$1:$IX$10144,4,FALSE)))</f>
        <v>van Eijndhoven P</v>
      </c>
      <c r="F53" s="22">
        <f>IF($B53="","",IF(LEN(VLOOKUP($B53,Database!$B$1:$IX$10144,5,FALSE))=0,"",VLOOKUP($B53,Database!$B$1:$IX$10144,5,FALSE)))</f>
        <v>2009</v>
      </c>
      <c r="G53" s="1" t="str">
        <f>IF($B53="","",HYPERLINK(IF(LEN(VLOOKUP($B53,Database!$B$1:$IX$10144,6,FALSE))=0,"",VLOOKUP($B53,Database!$B$1:$IX$10144,6,FALSE))))</f>
        <v>http://dx.doi.org/10.1016/j.biopsych.2008.10.027</v>
      </c>
      <c r="H53" s="83">
        <v>20</v>
      </c>
      <c r="I53" s="83">
        <v>10</v>
      </c>
      <c r="J53" t="s">
        <v>887</v>
      </c>
      <c r="K53" t="s">
        <v>357</v>
      </c>
      <c r="L53">
        <v>3600</v>
      </c>
      <c r="M53">
        <v>360</v>
      </c>
      <c r="N53">
        <v>3716</v>
      </c>
      <c r="O53">
        <v>364</v>
      </c>
      <c r="P53">
        <v>3815</v>
      </c>
      <c r="Q53">
        <v>459</v>
      </c>
      <c r="R53">
        <v>3881</v>
      </c>
      <c r="S53">
        <v>429</v>
      </c>
      <c r="T53">
        <f t="shared" si="2"/>
        <v>7415</v>
      </c>
      <c r="U53">
        <f t="shared" si="3"/>
        <v>777.60208333054254</v>
      </c>
      <c r="V53">
        <f t="shared" si="4"/>
        <v>7597</v>
      </c>
      <c r="W53">
        <f t="shared" si="5"/>
        <v>752.5866063118583</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83">
        <v>35.799999999999997</v>
      </c>
      <c r="AC53" s="83">
        <v>11.7</v>
      </c>
      <c r="AD53" s="22">
        <f>IF(OR($B53="",AD$22=""),"",IF(LEN(VLOOKUP($B53,Database!$B$1:$IX$10144,AD$22,FALSE))=0,"",VLOOKUP($B53,Database!$B$1:$IX$10144,AD$22,FALSE)))</f>
        <v>37.299999999999997</v>
      </c>
      <c r="AE53" s="22">
        <f>IF(OR($B53="",AE$22=""),"",IF(LEN(VLOOKUP($B53,Database!$B$1:$IX$10144,AE$22,FALSE))=0,"",VLOOKUP($B53,Database!$B$1:$IX$10144,AE$22,FALSE)))</f>
        <v>12.7</v>
      </c>
      <c r="AF53" s="22">
        <f>IF(OR($B53="",AF$22=""),"",IF(LEN(VLOOKUP($B53,Database!$B$1:$IX$10144,AF$22,FALSE))=0,"",VLOOKUP($B53,Database!$B$1:$IX$10144,AF$22,FALSE)))</f>
        <v>27</v>
      </c>
      <c r="AG53" s="22">
        <f>IF(OR($B53="",AG$22=""),"",IF(LEN(VLOOKUP($B53,Database!$B$1:$IX$10144,AG$22,FALSE))=0,"",VLOOKUP($B53,Database!$B$1:$IX$10144,AG$22,FALSE)))</f>
        <v>13</v>
      </c>
      <c r="AH53" s="22">
        <f>IF(OR($B53="",AH$22=""),"",IF(LEN(VLOOKUP($B53,Database!$B$1:$IX$10144,AH$22,FALSE))=0,"",VLOOKUP($B53,Database!$B$1:$IX$10144,AH$22,FALSE)))</f>
        <v>1.5</v>
      </c>
      <c r="AI53" s="22">
        <f>IF(OR($B53="",AI$22=""),"",IF(LEN(VLOOKUP($B53,Database!$B$1:$IX$10144,AI$22,FALSE))=0,"",VLOOKUP($B53,Database!$B$1:$IX$10144,AI$22,FALSE)))</f>
        <v>1</v>
      </c>
      <c r="AJ53" s="22" t="str">
        <f>IF(OR($B53="",AJ$22=""),"",IF(LEN(VLOOKUP($B53,Database!$B$1:$IX$10144,AJ$22,FALSE))=0,"",VLOOKUP($B53,Database!$B$1:$IX$10144,AJ$22,FALSE)))</f>
        <v/>
      </c>
      <c r="AK53" s="83">
        <v>33.4</v>
      </c>
      <c r="AL53" s="83">
        <v>3.4</v>
      </c>
      <c r="AM53" s="22">
        <f>IF(OR($B53="",AM$22=""),"",IF(LEN(VLOOKUP($B53,Database!$B$1:$IX$10144,AM$22,FALSE))=0,"",VLOOKUP($B53,Database!$B$1:$IX$10144,AM$22,FALSE)))</f>
        <v>0</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van Eijndhoven P, van Wingen G, van Oijen K, Rijpkema M, Goraj B, Jan Verkes R, Oude Voshaar R, Fernández G, Buitelaar J, Tendolkar I.</v>
      </c>
    </row>
    <row r="54" spans="1:52">
      <c r="B54" s="2">
        <v>19488671</v>
      </c>
      <c r="C54" s="1" t="str">
        <f>IF($B54="","",HYPERLINK(IF(LEN(VLOOKUP($B54,Database!$B$1:$IX$10144,2,FALSE))=0,"",VLOOKUP($B54,Database!$B$1:$IX$10144,2,FALSE))))</f>
        <v/>
      </c>
      <c r="D54" s="1" t="str">
        <f t="shared" si="1"/>
        <v>http://www.ncbi.nlm.nih.gov/pubmed/19488671</v>
      </c>
      <c r="E54" s="22" t="str">
        <f>IF($B54="","",IF(LEN(VLOOKUP($B54,Database!$B$1:$IX$10144,4,FALSE))=0,"",VLOOKUP($B54,Database!$B$1:$IX$10144,4,FALSE)))</f>
        <v>Meisenzahl EM</v>
      </c>
      <c r="F54" s="22">
        <f>IF($B54="","",IF(LEN(VLOOKUP($B54,Database!$B$1:$IX$10144,5,FALSE))=0,"",VLOOKUP($B54,Database!$B$1:$IX$10144,5,FALSE)))</f>
        <v>2009</v>
      </c>
      <c r="G54" s="1" t="str">
        <f>IF($B54="","",HYPERLINK(IF(LEN(VLOOKUP($B54,Database!$B$1:$IX$10144,6,FALSE))=0,"",VLOOKUP($B54,Database!$B$1:$IX$10144,6,FALSE))))</f>
        <v>http://dx.doi.org/10.1007/s00406-009-0023-3</v>
      </c>
      <c r="H54" s="22">
        <f>IF($B54="","",IF(LEN(VLOOKUP($B54,Database!$B$1:$IX$10144,7,FALSE))=0,"",VLOOKUP($B54,Database!$B$1:$IX$10144,7,FALSE)))</f>
        <v>92</v>
      </c>
      <c r="I54" s="22">
        <f>IF($B54="","",IF(LEN(VLOOKUP($B54,Database!$B$1:$IX$10144,8,FALSE))=0,"",VLOOKUP($B54,Database!$B$1:$IX$10144,8,FALSE)))</f>
        <v>138</v>
      </c>
      <c r="J54" t="s">
        <v>2069</v>
      </c>
      <c r="L54">
        <v>3.67</v>
      </c>
      <c r="M54">
        <v>0.41</v>
      </c>
      <c r="N54">
        <v>3.83</v>
      </c>
      <c r="O54">
        <v>0.41</v>
      </c>
      <c r="P54">
        <v>3.77</v>
      </c>
      <c r="Q54">
        <v>0.42</v>
      </c>
      <c r="R54">
        <v>3.94</v>
      </c>
      <c r="S54">
        <v>0.41</v>
      </c>
      <c r="T54">
        <f t="shared" si="2"/>
        <v>7.4399999999999995</v>
      </c>
      <c r="U54">
        <f t="shared" si="3"/>
        <v>0.78741348731146321</v>
      </c>
      <c r="V54">
        <f t="shared" si="4"/>
        <v>7.77</v>
      </c>
      <c r="W54">
        <f t="shared" si="5"/>
        <v>0.77792030440142124</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44.6</v>
      </c>
      <c r="AC54" s="22">
        <f>IF(OR($B54="",AC$22=""),"",IF(LEN(VLOOKUP($B54,Database!$B$1:$IX$10144,AC$22,FALSE))=0,"",VLOOKUP($B54,Database!$B$1:$IX$10144,AC$22,FALSE)))</f>
        <v>12.3</v>
      </c>
      <c r="AD54" s="22">
        <f>IF(OR($B54="",AD$22=""),"",IF(LEN(VLOOKUP($B54,Database!$B$1:$IX$10144,AD$22,FALSE))=0,"",VLOOKUP($B54,Database!$B$1:$IX$10144,AD$22,FALSE)))</f>
        <v>33.299999999999997</v>
      </c>
      <c r="AE54" s="22">
        <f>IF(OR($B54="",AE$22=""),"",IF(LEN(VLOOKUP($B54,Database!$B$1:$IX$10144,AE$22,FALSE))=0,"",VLOOKUP($B54,Database!$B$1:$IX$10144,AE$22,FALSE)))</f>
        <v>12.2</v>
      </c>
      <c r="AF54" s="22">
        <f>IF(OR($B54="",AF$22=""),"",IF(LEN(VLOOKUP($B54,Database!$B$1:$IX$10144,AF$22,FALSE))=0,"",VLOOKUP($B54,Database!$B$1:$IX$10144,AF$22,FALSE)))</f>
        <v>47</v>
      </c>
      <c r="AG54" s="22">
        <f>IF(OR($B54="",AG$22=""),"",IF(LEN(VLOOKUP($B54,Database!$B$1:$IX$10144,AG$22,FALSE))=0,"",VLOOKUP($B54,Database!$B$1:$IX$10144,AG$22,FALSE)))</f>
        <v>60</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t="str">
        <f>IF(OR($B54="",AK$22=""),"",IF(LEN(VLOOKUP($B54,Database!$B$1:$IX$10144,AK$22,FALSE))=0,"",VLOOKUP($B54,Database!$B$1:$IX$10144,AK$22,FALSE)))</f>
        <v>ns</v>
      </c>
      <c r="AL54" s="22">
        <f>IF(OR($B54="",AL$22=""),"",IF(LEN(VLOOKUP($B54,Database!$B$1:$IX$10144,AL$22,FALSE))=0,"",VLOOKUP($B54,Database!$B$1:$IX$10144,AL$22,FALSE)))</f>
        <v>23.5</v>
      </c>
      <c r="AM54" s="22" t="str">
        <f>IF(OR($B54="",AM$22=""),"",IF(LEN(VLOOKUP($B54,Database!$B$1:$IX$10144,AM$22,FALSE))=0,"",VLOOKUP($B54,Database!$B$1:$IX$10144,AM$22,FALSE)))</f>
        <v>ns</v>
      </c>
      <c r="AN54" s="22">
        <f>IF(OR($B54="",AN$22=""),"",IF(LEN(VLOOKUP($B54,Database!$B$1:$IX$10144,AN$22,FALSE))=0,"",VLOOKUP($B54,Database!$B$1:$IX$10144,AN$22,FALSE)))</f>
        <v>14.130434782608695</v>
      </c>
      <c r="AO54" s="22" t="str">
        <f>IF(OR($B54="",AO$22=""),"",IF(LEN(VLOOKUP($B54,Database!$B$1:$IX$10144,AO$22,FALSE))=0,"",VLOOKUP($B54,Database!$B$1:$IX$10144,AO$22,FALSE)))</f>
        <v>ns</v>
      </c>
      <c r="AP54" s="22">
        <f>IF(OR($B54="",AP$22=""),"",IF(LEN(VLOOKUP($B54,Database!$B$1:$IX$10144,AP$22,FALSE))=0,"",VLOOKUP($B54,Database!$B$1:$IX$10144,AP$22,FALSE)))</f>
        <v>6.5217391304347823</v>
      </c>
      <c r="AQ54" s="22" t="str">
        <f>IF(OR($B54="",AQ$22=""),"",IF(LEN(VLOOKUP($B54,Database!$B$1:$IX$10144,AQ$22,FALSE))=0,"",VLOOKUP($B54,Database!$B$1:$IX$10144,AQ$22,FALSE)))</f>
        <v>Meisenzahl EM, Seifert D, Bottlender R, Teipel S, Zetzsche T, Jäger M, Koutsouleris N, Schmitt G, Scheuerecker J, Burgermeister B, Hampel H, Rupprecht T, Born C, Reiser M, Möller HJ, Frodl T.</v>
      </c>
    </row>
    <row r="55" spans="1:52">
      <c r="B55">
        <v>19668114</v>
      </c>
      <c r="C55" s="1" t="str">
        <f>IF($B55="","",HYPERLINK(IF(LEN(VLOOKUP($B55,Database!$B$1:$IX$10144,2,FALSE))=0,"",VLOOKUP($B55,Database!$B$1:$IX$10144,2,FALSE))))</f>
        <v/>
      </c>
      <c r="D55" s="1" t="str">
        <f t="shared" si="1"/>
        <v>http://www.ncbi.nlm.nih.gov/pubmed/19668114</v>
      </c>
      <c r="E55" s="22" t="str">
        <f>IF($B55="","",IF(LEN(VLOOKUP($B55,Database!$B$1:$IX$10144,4,FALSE))=0,"",VLOOKUP($B55,Database!$B$1:$IX$10144,4,FALSE)))</f>
        <v>Jessen F</v>
      </c>
      <c r="F55" s="22">
        <f>IF($B55="","",IF(LEN(VLOOKUP($B55,Database!$B$1:$IX$10144,5,FALSE))=0,"",VLOOKUP($B55,Database!$B$1:$IX$10144,5,FALSE)))</f>
        <v>2009</v>
      </c>
      <c r="G55" s="1" t="str">
        <f>IF($B55="","",HYPERLINK(IF(LEN(VLOOKUP($B55,Database!$B$1:$IX$10144,6,FALSE))=0,"",VLOOKUP($B55,Database!$B$1:$IX$10144,6,FALSE))))</f>
        <v>http://dx.doi.org/10.1097/YPG.0b013e32832080ce</v>
      </c>
      <c r="H55" s="22">
        <f>IF($B55="","",IF(LEN(VLOOKUP($B55,Database!$B$1:$IX$10144,7,FALSE))=0,"",VLOOKUP($B55,Database!$B$1:$IX$10144,7,FALSE)))</f>
        <v>79</v>
      </c>
      <c r="I55" s="22">
        <f>IF($B55="","",IF(LEN(VLOOKUP($B55,Database!$B$1:$IX$10144,8,FALSE))=0,"",VLOOKUP($B55,Database!$B$1:$IX$10144,8,FALSE)))</f>
        <v>84</v>
      </c>
      <c r="J55" t="s">
        <v>315</v>
      </c>
      <c r="L55">
        <v>2.06</v>
      </c>
      <c r="M55">
        <v>0.27</v>
      </c>
      <c r="N55">
        <v>2.36</v>
      </c>
      <c r="O55">
        <v>0.28999999999999998</v>
      </c>
      <c r="P55">
        <v>2.0499999999999998</v>
      </c>
      <c r="Q55">
        <v>0.32</v>
      </c>
      <c r="R55">
        <v>2.3199999999999998</v>
      </c>
      <c r="S55">
        <v>0.3</v>
      </c>
      <c r="T55">
        <f t="shared" si="2"/>
        <v>4.1099999999999994</v>
      </c>
      <c r="U55">
        <f t="shared" si="3"/>
        <v>0.55994642600877453</v>
      </c>
      <c r="V55">
        <f t="shared" si="4"/>
        <v>4.68</v>
      </c>
      <c r="W55">
        <f t="shared" si="5"/>
        <v>0.55973207876626119</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48.2</v>
      </c>
      <c r="AC55" s="22">
        <f>IF(OR($B55="",AC$22=""),"",IF(LEN(VLOOKUP($B55,Database!$B$1:$IX$10144,AC$22,FALSE))=0,"",VLOOKUP($B55,Database!$B$1:$IX$10144,AC$22,FALSE)))</f>
        <v>12.8</v>
      </c>
      <c r="AD55" s="22">
        <f>IF(OR($B55="",AD$22=""),"",IF(LEN(VLOOKUP($B55,Database!$B$1:$IX$10144,AD$22,FALSE))=0,"",VLOOKUP($B55,Database!$B$1:$IX$10144,AD$22,FALSE)))</f>
        <v>43.9</v>
      </c>
      <c r="AE55" s="22">
        <f>IF(OR($B55="",AE$22=""),"",IF(LEN(VLOOKUP($B55,Database!$B$1:$IX$10144,AE$22,FALSE))=0,"",VLOOKUP($B55,Database!$B$1:$IX$10144,AE$22,FALSE)))</f>
        <v>8.6999999999999993</v>
      </c>
      <c r="AF55" s="22">
        <f>IF(OR($B55="",AF$22=""),"",IF(LEN(VLOOKUP($B55,Database!$B$1:$IX$10144,AF$22,FALSE))=0,"",VLOOKUP($B55,Database!$B$1:$IX$10144,AF$22,FALSE)))</f>
        <v>52</v>
      </c>
      <c r="AG55" s="22">
        <f>IF(OR($B55="",AG$22=""),"",IF(LEN(VLOOKUP($B55,Database!$B$1:$IX$10144,AG$22,FALSE))=0,"",VLOOKUP($B55,Database!$B$1:$IX$10144,AG$22,FALSE)))</f>
        <v>40</v>
      </c>
      <c r="AH55" s="22">
        <f>IF(OR($B55="",AH$22=""),"",IF(LEN(VLOOKUP($B55,Database!$B$1:$IX$10144,AH$22,FALSE))=0,"",VLOOKUP($B55,Database!$B$1:$IX$10144,AH$22,FALSE)))</f>
        <v>1</v>
      </c>
      <c r="AI55" s="22">
        <f>IF(OR($B55="",AI$22=""),"",IF(LEN(VLOOKUP($B55,Database!$B$1:$IX$10144,AI$22,FALSE))=0,"",VLOOKUP($B55,Database!$B$1:$IX$10144,AI$22,FALSE)))</f>
        <v>1</v>
      </c>
      <c r="AJ55" s="22" t="str">
        <f>IF(OR($B55="",AJ$22=""),"",IF(LEN(VLOOKUP($B55,Database!$B$1:$IX$10144,AJ$22,FALSE))=0,"",VLOOKUP($B55,Database!$B$1:$IX$10144,AJ$22,FALSE)))</f>
        <v/>
      </c>
      <c r="AK55" s="22" t="str">
        <f>IF(OR($B55="",AK$22=""),"",IF(LEN(VLOOKUP($B55,Database!$B$1:$IX$10144,AK$22,FALSE))=0,"",VLOOKUP($B55,Database!$B$1:$IX$10144,AK$22,FALSE)))</f>
        <v>ns</v>
      </c>
      <c r="AL55" s="22" t="str">
        <f>IF(OR($B55="",AL$22=""),"",IF(LEN(VLOOKUP($B55,Database!$B$1:$IX$10144,AL$22,FALSE))=0,"",VLOOKUP($B55,Database!$B$1:$IX$10144,AL$22,FALSE)))</f>
        <v>ns</v>
      </c>
      <c r="AM55" s="22" t="str">
        <f>IF(OR($B55="",AM$22=""),"",IF(LEN(VLOOKUP($B55,Database!$B$1:$IX$10144,AM$22,FALSE))=0,"",VLOOKUP($B55,Database!$B$1:$IX$10144,AM$22,FALSE)))</f>
        <v>ns</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Jessen F, Schuhmacher A, von Widdern O, Guttenthaler V, Hofels S, Suliman H, Scheef L, Block W, Urbach H, Maier W, Zobel A.</v>
      </c>
    </row>
    <row r="56" spans="1:52">
      <c r="C56" s="1"/>
      <c r="D56" s="1"/>
      <c r="E56" s="22"/>
      <c r="F56" s="22"/>
      <c r="G56" s="1"/>
      <c r="H56" s="22"/>
      <c r="I56" s="22"/>
      <c r="Y56" s="22"/>
      <c r="Z56" s="22"/>
      <c r="AA56" s="22"/>
      <c r="AB56" s="22"/>
      <c r="AC56" s="22"/>
      <c r="AD56" s="22"/>
      <c r="AE56" s="22"/>
      <c r="AF56" s="22"/>
      <c r="AG56" s="22"/>
      <c r="AH56" s="22"/>
      <c r="AI56" s="22"/>
      <c r="AJ56" s="22"/>
      <c r="AK56" s="22"/>
      <c r="AL56" s="22"/>
      <c r="AM56" s="22"/>
      <c r="AN56" s="22"/>
      <c r="AO56" s="22"/>
      <c r="AP56" s="22" t="str">
        <f>IF(OR($B56="",AP$22=""),"",IF(LEN(VLOOKUP($B56,Database!$B$1:$IX$10144,AP$22,FALSE))=0,"",VLOOKUP($B56,Database!$B$1:$IX$10144,AP$22,FALSE)))</f>
        <v/>
      </c>
      <c r="AQ56" s="22" t="str">
        <f>IF(OR($B56="",AQ$22=""),"",IF(LEN(VLOOKUP($B56,Database!$B$1:$IX$10144,AQ$22,FALSE))=0,"",VLOOKUP($B56,Database!$B$1:$IX$10144,AQ$22,FALSE)))</f>
        <v/>
      </c>
      <c r="AS56" s="19"/>
      <c r="AT56" s="19"/>
      <c r="AU56" s="19"/>
      <c r="AW56" s="19"/>
      <c r="AY56" s="19"/>
      <c r="AZ56" s="19"/>
    </row>
    <row r="57" spans="1:52">
      <c r="C57" s="1"/>
      <c r="D57" s="1"/>
      <c r="E57" s="22"/>
      <c r="F57" s="22"/>
      <c r="G57" s="1"/>
      <c r="H57" s="22"/>
      <c r="I57" s="22"/>
      <c r="Y57" s="22"/>
      <c r="Z57" s="22"/>
      <c r="AA57" s="22"/>
      <c r="AB57" s="22"/>
      <c r="AC57" s="22"/>
      <c r="AD57" s="22"/>
      <c r="AE57" s="22"/>
      <c r="AF57" s="22"/>
      <c r="AG57" s="22"/>
      <c r="AH57" s="22"/>
      <c r="AI57" s="22"/>
      <c r="AJ57" s="22"/>
      <c r="AK57" s="22"/>
      <c r="AL57" s="22"/>
      <c r="AM57" s="22"/>
      <c r="AN57" s="22"/>
      <c r="AO57" s="22"/>
      <c r="AP57" s="22" t="str">
        <f>IF(OR($B57="",AP$22=""),"",IF(LEN(VLOOKUP($B57,Database!$B$1:$IX$10144,AP$22,FALSE))=0,"",VLOOKUP($B57,Database!$B$1:$IX$10144,AP$22,FALSE)))</f>
        <v/>
      </c>
      <c r="AQ57" s="22" t="str">
        <f>IF(OR($B57="",AQ$22=""),"",IF(LEN(VLOOKUP($B57,Database!$B$1:$IX$10144,AQ$22,FALSE))=0,"",VLOOKUP($B57,Database!$B$1:$IX$10144,AQ$22,FALSE)))</f>
        <v/>
      </c>
      <c r="AR57" s="22"/>
      <c r="AS57" s="22"/>
      <c r="AT57" s="22"/>
    </row>
    <row r="58" spans="1:52">
      <c r="C58" s="1"/>
      <c r="D58" s="1"/>
      <c r="E58" s="22"/>
      <c r="F58" s="22"/>
      <c r="G58" s="1"/>
      <c r="H58" s="22"/>
      <c r="I58" s="22"/>
      <c r="Y58" s="22"/>
      <c r="Z58" s="22"/>
      <c r="AA58" s="22"/>
      <c r="AB58" s="22"/>
      <c r="AC58" s="22"/>
      <c r="AD58" s="22"/>
      <c r="AE58" s="22"/>
      <c r="AF58" s="22"/>
      <c r="AG58" s="22"/>
      <c r="AH58" s="22"/>
      <c r="AI58" s="22"/>
      <c r="AJ58" s="22"/>
      <c r="AK58" s="22"/>
      <c r="AL58" s="22"/>
      <c r="AM58" s="22"/>
      <c r="AN58" s="22"/>
      <c r="AO58" s="22"/>
      <c r="AP58" s="22" t="str">
        <f>IF(OR($B58="",AP$22=""),"",IF(LEN(VLOOKUP($B58,Database!$B$1:$IX$10144,AP$22,FALSE))=0,"",VLOOKUP($B58,Database!$B$1:$IX$10144,AP$22,FALSE)))</f>
        <v/>
      </c>
      <c r="AQ58" s="22" t="str">
        <f>IF(OR($B58="",AQ$22=""),"",IF(LEN(VLOOKUP($B58,Database!$B$1:$IX$10144,AQ$22,FALSE))=0,"",VLOOKUP($B58,Database!$B$1:$IX$10144,AQ$22,FALSE)))</f>
        <v/>
      </c>
      <c r="AR58" s="22"/>
      <c r="AS58" s="22"/>
      <c r="AT58" s="22"/>
    </row>
    <row r="59" spans="1:52">
      <c r="A59" s="4" t="s">
        <v>350</v>
      </c>
      <c r="C59" s="1"/>
      <c r="D59" s="1" t="str">
        <f t="shared" ref="D59:D66" si="6">IF($B59="","",HYPERLINK(CONCATENATE("http://www.ncbi.nlm.nih.gov/pubmed/",B59)))</f>
        <v/>
      </c>
      <c r="E59" s="22" t="str">
        <f>IF($B59="","",IF(LEN(VLOOKUP($B59,Database!$B$1:$IX$10144,4,FALSE))=0,"",VLOOKUP($B59,Database!$B$1:$IX$10144,4,FALSE)))</f>
        <v/>
      </c>
      <c r="F59" s="22" t="str">
        <f>IF($B59="","",IF(LEN(VLOOKUP($B59,Database!$B$1:$IX$10144,5,FALSE))=0,"",VLOOKUP($B59,Database!$B$1:$IX$10144,5,FALSE)))</f>
        <v/>
      </c>
      <c r="G59" s="1" t="str">
        <f>IF($B59="","",HYPERLINK(IF(LEN(VLOOKUP($B59,Database!$B$1:$IX$10144,6,FALSE))=0,"",VLOOKUP($B59,Database!$B$1:$IX$10144,6,FALSE))))</f>
        <v/>
      </c>
      <c r="H59" s="22" t="str">
        <f>IF($B59="","",IF(LEN(VLOOKUP($B59,Database!$B$1:$IX$10144,7,FALSE))=0,"",VLOOKUP($B59,Database!$B$1:$IX$10144,7,FALSE)))</f>
        <v/>
      </c>
      <c r="I59" s="22" t="str">
        <f>IF($B59="","",IF(LEN(VLOOKUP($B59,Database!$B$1:$IX$10144,8,FALSE))=0,"",VLOOKUP($B59,Database!$B$1:$IX$10144,8,FALSE)))</f>
        <v/>
      </c>
      <c r="Y59" s="22" t="str">
        <f>IF(OR($B59="",Y$22=""),"",IF(LEN(VLOOKUP($B59,Database!$B$1:$IX$10144,Y$22,FALSE))=0,"",VLOOKUP($B59,Database!$B$1:$IX$10144,Y$22,FALSE)))</f>
        <v/>
      </c>
      <c r="Z59" s="22" t="str">
        <f>IF(OR($B59="",Z$22=""),"",IF(LEN(VLOOKUP($B59,Database!$B$1:$IX$10144,Z$22,FALSE))=0,"",VLOOKUP($B59,Database!$B$1:$IX$10144,Z$22,FALSE)))</f>
        <v/>
      </c>
      <c r="AA59" s="22" t="str">
        <f>IF(OR($B59="",AA$22=""),"",IF(LEN(VLOOKUP($B59,Database!$B$1:$IX$10144,AA$22,FALSE))=0,"",VLOOKUP($B59,Database!$B$1:$IX$10144,AA$22,FALSE)))</f>
        <v/>
      </c>
      <c r="AB59" s="22" t="str">
        <f>IF(OR($B59="",AB$22=""),"",IF(LEN(VLOOKUP($B59,Database!$B$1:$IX$10144,AB$22,FALSE))=0,"",VLOOKUP($B59,Database!$B$1:$IX$10144,AB$22,FALSE)))</f>
        <v/>
      </c>
      <c r="AC59" s="22" t="str">
        <f>IF(OR($B59="",AC$22=""),"",IF(LEN(VLOOKUP($B59,Database!$B$1:$IX$10144,AC$22,FALSE))=0,"",VLOOKUP($B59,Database!$B$1:$IX$10144,AC$22,FALSE)))</f>
        <v/>
      </c>
      <c r="AD59" s="22" t="str">
        <f>IF(OR($B59="",AD$22=""),"",IF(LEN(VLOOKUP($B59,Database!$B$1:$IX$10144,AD$22,FALSE))=0,"",VLOOKUP($B59,Database!$B$1:$IX$10144,AD$22,FALSE)))</f>
        <v/>
      </c>
      <c r="AE59" s="22" t="str">
        <f>IF(OR($B59="",AE$22=""),"",IF(LEN(VLOOKUP($B59,Database!$B$1:$IX$10144,AE$22,FALSE))=0,"",VLOOKUP($B59,Database!$B$1:$IX$10144,AE$22,FALSE)))</f>
        <v/>
      </c>
      <c r="AF59" s="22" t="str">
        <f>IF(OR($B59="",AF$22=""),"",IF(LEN(VLOOKUP($B59,Database!$B$1:$IX$10144,AF$22,FALSE))=0,"",VLOOKUP($B59,Database!$B$1:$IX$10144,AF$22,FALSE)))</f>
        <v/>
      </c>
      <c r="AG59" s="22" t="str">
        <f>IF(OR($B59="",AG$22=""),"",IF(LEN(VLOOKUP($B59,Database!$B$1:$IX$10144,AG$22,FALSE))=0,"",VLOOKUP($B59,Database!$B$1:$IX$10144,AG$22,FALSE)))</f>
        <v/>
      </c>
      <c r="AH59" s="22" t="str">
        <f>IF(OR($B59="",AH$22=""),"",IF(LEN(VLOOKUP($B59,Database!$B$1:$IX$10144,AH$22,FALSE))=0,"",VLOOKUP($B59,Database!$B$1:$IX$10144,AH$22,FALSE)))</f>
        <v/>
      </c>
      <c r="AI59" s="22" t="str">
        <f>IF(OR($B59="",AI$22=""),"",IF(LEN(VLOOKUP($B59,Database!$B$1:$IX$10144,AI$22,FALSE))=0,"",VLOOKUP($B59,Database!$B$1:$IX$10144,AI$22,FALSE)))</f>
        <v/>
      </c>
      <c r="AJ59" s="22" t="str">
        <f>IF(OR($B59="",AJ$22=""),"",IF(LEN(VLOOKUP($B59,Database!$B$1:$IX$10144,AJ$22,FALSE))=0,"",VLOOKUP($B59,Database!$B$1:$IX$10144,AJ$22,FALSE)))</f>
        <v/>
      </c>
      <c r="AK59" s="22" t="str">
        <f>IF(OR($B59="",AK$22=""),"",IF(LEN(VLOOKUP($B59,Database!$B$1:$IX$10144,AK$22,FALSE))=0,"",VLOOKUP($B59,Database!$B$1:$IX$10144,AK$22,FALSE)))</f>
        <v/>
      </c>
      <c r="AL59" s="22" t="str">
        <f>IF(OR($B59="",AL$22=""),"",IF(LEN(VLOOKUP($B59,Database!$B$1:$IX$10144,AL$22,FALSE))=0,"",VLOOKUP($B59,Database!$B$1:$IX$10144,AL$22,FALSE)))</f>
        <v/>
      </c>
      <c r="AM59" s="22" t="str">
        <f>IF(OR($B59="",AM$22=""),"",IF(LEN(VLOOKUP($B59,Database!$B$1:$IX$10144,AM$22,FALSE))=0,"",VLOOKUP($B59,Database!$B$1:$IX$10144,AM$22,FALSE)))</f>
        <v/>
      </c>
      <c r="AN59" s="22" t="str">
        <f>IF(OR($B59="",AN$22=""),"",IF(LEN(VLOOKUP($B59,Database!$B$1:$IX$10144,AN$22,FALSE))=0,"",VLOOKUP($B59,Database!$B$1:$IX$10144,AN$22,FALSE)))</f>
        <v/>
      </c>
      <c r="AO59" s="22" t="str">
        <f>IF(OR($B59="",AO$22=""),"",IF(LEN(VLOOKUP($B59,Database!$B$1:$IX$10144,AO$22,FALSE))=0,"",VLOOKUP($B59,Database!$B$1:$IX$10144,AO$22,FALSE)))</f>
        <v/>
      </c>
      <c r="AP59" s="22" t="str">
        <f>IF(OR($B59="",AP$22=""),"",IF(LEN(VLOOKUP($B59,Database!$B$1:$IX$10144,AP$22,FALSE))=0,"",VLOOKUP($B59,Database!$B$1:$IX$10144,AP$22,FALSE)))</f>
        <v/>
      </c>
      <c r="AQ59" s="22" t="str">
        <f>IF(OR($B59="",AQ$22=""),"",IF(LEN(VLOOKUP($B59,Database!$B$1:$IX$10144,AQ$22,FALSE))=0,"",VLOOKUP($B59,Database!$B$1:$IX$10144,AQ$22,FALSE)))</f>
        <v/>
      </c>
      <c r="AR59" s="22"/>
      <c r="AS59" s="22"/>
      <c r="AT59" s="22"/>
    </row>
    <row r="60" spans="1:52">
      <c r="A60" s="10" t="s">
        <v>2323</v>
      </c>
      <c r="B60">
        <v>10366636</v>
      </c>
      <c r="C60" s="1" t="str">
        <f>IF($B60="","",HYPERLINK(IF(LEN(VLOOKUP($B60,Database!$B$1:$IX$10144,2,FALSE))=0,"",VLOOKUP($B60,Database!$B$1:$IX$10144,2,FALSE))))</f>
        <v/>
      </c>
      <c r="D60" s="1" t="str">
        <f t="shared" si="6"/>
        <v>http://www.ncbi.nlm.nih.gov/pubmed/10366636</v>
      </c>
      <c r="E60" s="22" t="str">
        <f>IF($B60="","",IF(LEN(VLOOKUP($B60,Database!$B$1:$IX$10144,4,FALSE))=0,"",VLOOKUP($B60,Database!$B$1:$IX$10144,4,FALSE)))</f>
        <v>Sheline YI</v>
      </c>
      <c r="F60" s="22">
        <f>IF($B60="","",IF(LEN(VLOOKUP($B60,Database!$B$1:$IX$10144,5,FALSE))=0,"",VLOOKUP($B60,Database!$B$1:$IX$10144,5,FALSE)))</f>
        <v>1999</v>
      </c>
      <c r="G60" s="1" t="str">
        <f>IF($B60="","",HYPERLINK(IF(LEN(VLOOKUP($B60,Database!$B$1:$IX$10144,6,FALSE))=0,"",VLOOKUP($B60,Database!$B$1:$IX$10144,6,FALSE))))</f>
        <v>http://ajp.psychiatryonline.org/cgi/reprint/156/12/1989</v>
      </c>
      <c r="H60" s="22">
        <f>IF($B60="","",IF(LEN(VLOOKUP($B60,Database!$B$1:$IX$10144,7,FALSE))=0,"",VLOOKUP($B60,Database!$B$1:$IX$10144,7,FALSE)))</f>
        <v>24</v>
      </c>
      <c r="I60" s="22">
        <f>IF($B60="","",IF(LEN(VLOOKUP($B60,Database!$B$1:$IX$10144,8,FALSE))=0,"",VLOOKUP($B60,Database!$B$1:$IX$10144,8,FALSE)))</f>
        <v>24</v>
      </c>
      <c r="J60" t="s">
        <v>939</v>
      </c>
      <c r="L60">
        <v>2230</v>
      </c>
      <c r="M60">
        <v>323</v>
      </c>
      <c r="N60">
        <v>2482</v>
      </c>
      <c r="O60">
        <v>305</v>
      </c>
      <c r="P60">
        <v>2264</v>
      </c>
      <c r="Q60">
        <v>320</v>
      </c>
      <c r="R60">
        <v>2468</v>
      </c>
      <c r="S60">
        <v>309</v>
      </c>
      <c r="T60">
        <v>4496</v>
      </c>
      <c r="U60">
        <v>602</v>
      </c>
      <c r="V60">
        <v>4951</v>
      </c>
      <c r="W60">
        <v>601</v>
      </c>
      <c r="Y60" s="22" t="str">
        <f>IF(OR($B60="",Y$22=""),"",IF(LEN(VLOOKUP($B60,Database!$B$1:$IX$10144,Y$22,FALSE))=0,"",VLOOKUP($B60,Database!$B$1:$IX$10144,Y$22,FALSE)))</f>
        <v>DSM-IV</v>
      </c>
      <c r="Z60" s="22" t="str">
        <f>IF(OR($B60="",Z$22=""),"",IF(LEN(VLOOKUP($B60,Database!$B$1:$IX$10144,Z$22,FALSE))=0,"",VLOOKUP($B60,Database!$B$1:$IX$10144,Z$22,FALSE)))</f>
        <v>MRI</v>
      </c>
      <c r="AA60" s="22" t="str">
        <f>IF(OR($B60="",AA$22=""),"",IF(LEN(VLOOKUP($B60,Database!$B$1:$IX$10144,AA$22,FALSE))=0,"",VLOOKUP($B60,Database!$B$1:$IX$10144,AA$22,FALSE)))</f>
        <v/>
      </c>
      <c r="AB60" s="22"/>
      <c r="AC60" s="22"/>
      <c r="AD60" s="22">
        <f>IF(OR($B60="",AD$22=""),"",IF(LEN(VLOOKUP($B60,Database!$B$1:$IX$10144,AD$22,FALSE))=0,"",VLOOKUP($B60,Database!$B$1:$IX$10144,AD$22,FALSE)))</f>
        <v>52.8</v>
      </c>
      <c r="AE60" s="22">
        <f>IF(OR($B60="",AE$22=""),"",IF(LEN(VLOOKUP($B60,Database!$B$1:$IX$10144,AE$22,FALSE))=0,"",VLOOKUP($B60,Database!$B$1:$IX$10144,AE$22,FALSE)))</f>
        <v>17.8</v>
      </c>
      <c r="AF60" s="22">
        <f>IF(OR($B60="",AF$22=""),"",IF(LEN(VLOOKUP($B60,Database!$B$1:$IX$10144,AF$22,FALSE))=0,"",VLOOKUP($B60,Database!$B$1:$IX$10144,AF$22,FALSE)))</f>
        <v>24</v>
      </c>
      <c r="AG60" s="22">
        <f>IF(OR($B60="",AG$22=""),"",IF(LEN(VLOOKUP($B60,Database!$B$1:$IX$10144,AG$22,FALSE))=0,"",VLOOKUP($B60,Database!$B$1:$IX$10144,AG$22,FALSE)))</f>
        <v>24</v>
      </c>
      <c r="AH60" s="22">
        <f>IF(OR($B60="",AH$22=""),"",IF(LEN(VLOOKUP($B60,Database!$B$1:$IX$10144,AH$22,FALSE))=0,"",VLOOKUP($B60,Database!$B$1:$IX$10144,AH$22,FALSE)))</f>
        <v>1.5</v>
      </c>
      <c r="AI60" s="22">
        <f>IF(OR($B60="",AI$22=""),"",IF(LEN(VLOOKUP($B60,Database!$B$1:$IX$10144,AI$22,FALSE))=0,"",VLOOKUP($B60,Database!$B$1:$IX$10144,AI$22,FALSE)))</f>
        <v>1.25</v>
      </c>
      <c r="AJ60" s="22" t="str">
        <f>IF(OR($B60="",AJ$22=""),"",IF(LEN(VLOOKUP($B60,Database!$B$1:$IX$10144,AJ$22,FALSE))=0,"",VLOOKUP($B60,Database!$B$1:$IX$10144,AJ$22,FALSE)))</f>
        <v/>
      </c>
      <c r="AK60" s="22" t="str">
        <f>IF(OR($B60="",AK$22=""),"",IF(LEN(VLOOKUP($B60,Database!$B$1:$IX$10144,AK$22,FALSE))=0,"",VLOOKUP($B60,Database!$B$1:$IX$10144,AK$22,FALSE)))</f>
        <v>ns</v>
      </c>
      <c r="AL60" s="22" t="str">
        <f>IF(OR($B60="",AL$22=""),"",IF(LEN(VLOOKUP($B60,Database!$B$1:$IX$10144,AL$22,FALSE))=0,"",VLOOKUP($B60,Database!$B$1:$IX$10144,AL$22,FALSE)))</f>
        <v>ns</v>
      </c>
      <c r="AM60" s="22">
        <f>IF(OR($B60="",AM$22=""),"",IF(LEN(VLOOKUP($B60,Database!$B$1:$IX$10144,AM$22,FALSE))=0,"",VLOOKUP($B60,Database!$B$1:$IX$10144,AM$22,FALSE)))</f>
        <v>66.666666666666657</v>
      </c>
      <c r="AN60" s="22" t="str">
        <f>IF(OR($B60="",AN$22=""),"",IF(LEN(VLOOKUP($B60,Database!$B$1:$IX$10144,AN$22,FALSE))=0,"",VLOOKUP($B60,Database!$B$1:$IX$10144,AN$22,FALSE)))</f>
        <v>ns</v>
      </c>
      <c r="AO60" s="22" t="str">
        <f>IF(OR($B60="",AO$22=""),"",IF(LEN(VLOOKUP($B60,Database!$B$1:$IX$10144,AO$22,FALSE))=0,"",VLOOKUP($B60,Database!$B$1:$IX$10144,AO$22,FALSE)))</f>
        <v>ns</v>
      </c>
      <c r="AP60" s="22" t="str">
        <f>IF(OR($B60="",AP$22=""),"",IF(LEN(VLOOKUP($B60,Database!$B$1:$IX$10144,AP$22,FALSE))=0,"",VLOOKUP($B60,Database!$B$1:$IX$10144,AP$22,FALSE)))</f>
        <v>ns</v>
      </c>
      <c r="AQ60" s="22" t="str">
        <f>IF(OR($B60="",AQ$22=""),"",IF(LEN(VLOOKUP($B60,Database!$B$1:$IX$10144,AQ$22,FALSE))=0,"",VLOOKUP($B60,Database!$B$1:$IX$10144,AQ$22,FALSE)))</f>
        <v>Sheline YI, Sanghavi M, Mintun MA, Gado MH.</v>
      </c>
      <c r="AR60" s="22"/>
      <c r="AS60" s="22"/>
      <c r="AT60" s="22"/>
      <c r="AU60" s="22"/>
    </row>
    <row r="61" spans="1:52">
      <c r="A61" s="7" t="s">
        <v>30</v>
      </c>
      <c r="B61">
        <v>10618023</v>
      </c>
      <c r="C61" s="1" t="str">
        <f>IF($B61="","",HYPERLINK(IF(LEN(VLOOKUP($B61,Database!$B$1:$IX$10144,2,FALSE))=0,"",VLOOKUP($B61,Database!$B$1:$IX$10144,2,FALSE))))</f>
        <v/>
      </c>
      <c r="D61" s="1" t="str">
        <f t="shared" si="6"/>
        <v>http://www.ncbi.nlm.nih.gov/pubmed/10618023</v>
      </c>
      <c r="E61" s="22" t="str">
        <f>IF($B61="","",IF(LEN(VLOOKUP($B61,Database!$B$1:$IX$10144,4,FALSE))=0,"",VLOOKUP($B61,Database!$B$1:$IX$10144,4,FALSE)))</f>
        <v>Bremner JD</v>
      </c>
      <c r="F61" s="22">
        <f>IF($B61="","",IF(LEN(VLOOKUP($B61,Database!$B$1:$IX$10144,5,FALSE))=0,"",VLOOKUP($B61,Database!$B$1:$IX$10144,5,FALSE)))</f>
        <v>2000</v>
      </c>
      <c r="G61" s="1" t="str">
        <f>IF($B61="","",HYPERLINK(IF(LEN(VLOOKUP($B61,Database!$B$1:$IX$10144,6,FALSE))=0,"",VLOOKUP($B61,Database!$B$1:$IX$10144,6,FALSE))))</f>
        <v>http://ajp.psychiatryonline.org/cgi/reprint/157/1/115</v>
      </c>
      <c r="H61" s="22">
        <f>IF($B61="","",IF(LEN(VLOOKUP($B61,Database!$B$1:$IX$10144,7,FALSE))=0,"",VLOOKUP($B61,Database!$B$1:$IX$10144,7,FALSE)))</f>
        <v>16</v>
      </c>
      <c r="I61" s="22">
        <f>IF($B61="","",IF(LEN(VLOOKUP($B61,Database!$B$1:$IX$10144,8,FALSE))=0,"",VLOOKUP($B61,Database!$B$1:$IX$10144,8,FALSE)))</f>
        <v>16</v>
      </c>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f>IF(OR($B61="",AB$22=""),"",IF(LEN(VLOOKUP($B61,Database!$B$1:$IX$10144,AB$22,FALSE))=0,"",VLOOKUP($B61,Database!$B$1:$IX$10144,AB$22,FALSE)))</f>
        <v>43</v>
      </c>
      <c r="AC61" s="22">
        <f>IF(OR($B61="",AC$22=""),"",IF(LEN(VLOOKUP($B61,Database!$B$1:$IX$10144,AC$22,FALSE))=0,"",VLOOKUP($B61,Database!$B$1:$IX$10144,AC$22,FALSE)))</f>
        <v>8</v>
      </c>
      <c r="AD61" s="22">
        <f>IF(OR($B61="",AD$22=""),"",IF(LEN(VLOOKUP($B61,Database!$B$1:$IX$10144,AD$22,FALSE))=0,"",VLOOKUP($B61,Database!$B$1:$IX$10144,AD$22,FALSE)))</f>
        <v>45</v>
      </c>
      <c r="AE61" s="22">
        <f>IF(OR($B61="",AE$22=""),"",IF(LEN(VLOOKUP($B61,Database!$B$1:$IX$10144,AE$22,FALSE))=0,"",VLOOKUP($B61,Database!$B$1:$IX$10144,AE$22,FALSE)))</f>
        <v>10</v>
      </c>
      <c r="AF61" s="22">
        <f>IF(OR($B61="",AF$22=""),"",IF(LEN(VLOOKUP($B61,Database!$B$1:$IX$10144,AF$22,FALSE))=0,"",VLOOKUP($B61,Database!$B$1:$IX$10144,AF$22,FALSE)))</f>
        <v>6</v>
      </c>
      <c r="AG61" s="22">
        <f>IF(OR($B61="",AG$22=""),"",IF(LEN(VLOOKUP($B61,Database!$B$1:$IX$10144,AG$22,FALSE))=0,"",VLOOKUP($B61,Database!$B$1:$IX$10144,AG$22,FALSE)))</f>
        <v>6</v>
      </c>
      <c r="AH61" s="22">
        <f>IF(OR($B61="",AH$22=""),"",IF(LEN(VLOOKUP($B61,Database!$B$1:$IX$10144,AH$22,FALSE))=0,"",VLOOKUP($B61,Database!$B$1:$IX$10144,AH$22,FALSE)))</f>
        <v>1.5</v>
      </c>
      <c r="AI61" s="22">
        <f>IF(OR($B61="",AI$22=""),"",IF(LEN(VLOOKUP($B61,Database!$B$1:$IX$10144,AI$22,FALSE))=0,"",VLOOKUP($B61,Database!$B$1:$IX$10144,AI$22,FALSE)))</f>
        <v>3</v>
      </c>
      <c r="AJ61" s="22" t="str">
        <f>IF(OR($B61="",AJ$22=""),"",IF(LEN(VLOOKUP($B61,Database!$B$1:$IX$10144,AJ$22,FALSE))=0,"",VLOOKUP($B61,Database!$B$1:$IX$10144,AJ$22,FALSE)))</f>
        <v/>
      </c>
      <c r="AK61" s="22" t="str">
        <f>IF(OR($B61="",AK$22=""),"",IF(LEN(VLOOKUP($B61,Database!$B$1:$IX$10144,AK$22,FALSE))=0,"",VLOOKUP($B61,Database!$B$1:$IX$10144,AK$22,FALSE)))</f>
        <v>ns</v>
      </c>
      <c r="AL61" s="22" t="str">
        <f>IF(OR($B61="",AL$22=""),"",IF(LEN(VLOOKUP($B61,Database!$B$1:$IX$10144,AL$22,FALSE))=0,"",VLOOKUP($B61,Database!$B$1:$IX$10144,AL$22,FALSE)))</f>
        <v>ns</v>
      </c>
      <c r="AM61" s="22">
        <f>IF(OR($B61="",AM$22=""),"",IF(LEN(VLOOKUP($B61,Database!$B$1:$IX$10144,AM$22,FALSE))=0,"",VLOOKUP($B61,Database!$B$1:$IX$10144,AM$22,FALSE)))</f>
        <v>100</v>
      </c>
      <c r="AN61" s="22">
        <f>IF(OR($B61="",AN$22=""),"",IF(LEN(VLOOKUP($B61,Database!$B$1:$IX$10144,AN$22,FALSE))=0,"",VLOOKUP($B61,Database!$B$1:$IX$10144,AN$22,FALSE)))</f>
        <v>0</v>
      </c>
      <c r="AO61" s="22">
        <f>IF(OR($B61="",AO$22=""),"",IF(LEN(VLOOKUP($B61,Database!$B$1:$IX$10144,AO$22,FALSE))=0,"",VLOOKUP($B61,Database!$B$1:$IX$10144,AO$22,FALSE)))</f>
        <v>0</v>
      </c>
      <c r="AP61" s="22">
        <f>IF(OR($B61="",AP$22=""),"",IF(LEN(VLOOKUP($B61,Database!$B$1:$IX$10144,AP$22,FALSE))=0,"",VLOOKUP($B61,Database!$B$1:$IX$10144,AP$22,FALSE)))</f>
        <v>0</v>
      </c>
      <c r="AQ61" s="22" t="str">
        <f>IF(OR($B61="",AQ$22=""),"",IF(LEN(VLOOKUP($B61,Database!$B$1:$IX$10144,AQ$22,FALSE))=0,"",VLOOKUP($B61,Database!$B$1:$IX$10144,AQ$22,FALSE)))</f>
        <v>Bremner JD, Narayan M, Anderson ER, Staib LH, Miller HL, Charney DS.</v>
      </c>
      <c r="AR61" s="22"/>
      <c r="AS61" s="22"/>
      <c r="AT61" s="22"/>
      <c r="AU61" s="22"/>
    </row>
    <row r="62" spans="1:52">
      <c r="A62" s="10" t="s">
        <v>2015</v>
      </c>
      <c r="B62">
        <v>16930719</v>
      </c>
      <c r="C62" s="1" t="str">
        <f>IF($B62="","",HYPERLINK(IF(LEN(VLOOKUP($B62,Database!$B$1:$IX$10144,2,FALSE))=0,"",VLOOKUP($B62,Database!$B$1:$IX$10144,2,FALSE))))</f>
        <v/>
      </c>
      <c r="D62" s="1" t="str">
        <f t="shared" si="6"/>
        <v>http://www.ncbi.nlm.nih.gov/pubmed/16930719</v>
      </c>
      <c r="E62" s="22" t="str">
        <f>IF($B62="","",IF(LEN(VLOOKUP($B62,Database!$B$1:$IX$10144,4,FALSE))=0,"",VLOOKUP($B62,Database!$B$1:$IX$10144,4,FALSE)))</f>
        <v>Hickie IB (A)</v>
      </c>
      <c r="F62" s="22">
        <f>IF($B62="","",IF(LEN(VLOOKUP($B62,Database!$B$1:$IX$10144,5,FALSE))=0,"",VLOOKUP($B62,Database!$B$1:$IX$10144,5,FALSE)))</f>
        <v>2007</v>
      </c>
      <c r="G62" s="1" t="str">
        <f>IF($B62="","",HYPERLINK(IF(LEN(VLOOKUP($B62,Database!$B$1:$IX$10144,6,FALSE))=0,"",VLOOKUP($B62,Database!$B$1:$IX$10144,6,FALSE))))</f>
        <v>http://dx.doi.org/10.1016/j.jad.2006.07.010</v>
      </c>
      <c r="H62" s="22">
        <f>IF($B62="","",IF(LEN(VLOOKUP($B62,Database!$B$1:$IX$10144,7,FALSE))=0,"",VLOOKUP($B62,Database!$B$1:$IX$10144,7,FALSE)))</f>
        <v>45</v>
      </c>
      <c r="I62" s="22">
        <f>IF($B62="","",IF(LEN(VLOOKUP($B62,Database!$B$1:$IX$10144,8,FALSE))=0,"",VLOOKUP($B62,Database!$B$1:$IX$10144,8,FALSE)))</f>
        <v>16</v>
      </c>
      <c r="J62" t="s">
        <v>1224</v>
      </c>
      <c r="T62">
        <v>5.9</v>
      </c>
      <c r="U62">
        <v>0.7</v>
      </c>
      <c r="V62">
        <v>6.4</v>
      </c>
      <c r="W62">
        <v>0.7</v>
      </c>
      <c r="Y62" s="22" t="str">
        <f>IF(OR($B62="",Y$22=""),"",IF(LEN(VLOOKUP($B62,Database!$B$1:$IX$10144,Y$22,FALSE))=0,"",VLOOKUP($B62,Database!$B$1:$IX$10144,Y$22,FALSE)))</f>
        <v>DSM-IV</v>
      </c>
      <c r="Z62" s="22" t="str">
        <f>IF(OR($B62="",Z$22=""),"",IF(LEN(VLOOKUP($B62,Database!$B$1:$IX$10144,Z$22,FALSE))=0,"",VLOOKUP($B62,Database!$B$1:$IX$10144,Z$22,FALSE)))</f>
        <v>MRI</v>
      </c>
      <c r="AA62" s="22" t="str">
        <f>IF(OR($B62="",AA$22=""),"",IF(LEN(VLOOKUP($B62,Database!$B$1:$IX$10144,AA$22,FALSE))=0,"",VLOOKUP($B62,Database!$B$1:$IX$10144,AA$22,FALSE)))</f>
        <v/>
      </c>
      <c r="AB62" s="22">
        <f>IF(OR($B62="",AB$22=""),"",IF(LEN(VLOOKUP($B62,Database!$B$1:$IX$10144,AB$22,FALSE))=0,"",VLOOKUP($B62,Database!$B$1:$IX$10144,AB$22,FALSE)))</f>
        <v>52</v>
      </c>
      <c r="AC62" s="22">
        <f>IF(OR($B62="",AC$22=""),"",IF(LEN(VLOOKUP($B62,Database!$B$1:$IX$10144,AC$22,FALSE))=0,"",VLOOKUP($B62,Database!$B$1:$IX$10144,AC$22,FALSE)))</f>
        <v>12.8</v>
      </c>
      <c r="AD62" s="22">
        <f>IF(OR($B62="",AD$22=""),"",IF(LEN(VLOOKUP($B62,Database!$B$1:$IX$10144,AD$22,FALSE))=0,"",VLOOKUP($B62,Database!$B$1:$IX$10144,AD$22,FALSE)))</f>
        <v>55.8</v>
      </c>
      <c r="AE62" s="22">
        <f>IF(OR($B62="",AE$22=""),"",IF(LEN(VLOOKUP($B62,Database!$B$1:$IX$10144,AE$22,FALSE))=0,"",VLOOKUP($B62,Database!$B$1:$IX$10144,AE$22,FALSE)))</f>
        <v>10.3</v>
      </c>
      <c r="AF62" s="22">
        <f>IF(OR($B62="",AF$22=""),"",IF(LEN(VLOOKUP($B62,Database!$B$1:$IX$10144,AF$22,FALSE))=0,"",VLOOKUP($B62,Database!$B$1:$IX$10144,AF$22,FALSE)))</f>
        <v>30</v>
      </c>
      <c r="AG62" s="22">
        <f>IF(OR($B62="",AG$22=""),"",IF(LEN(VLOOKUP($B62,Database!$B$1:$IX$10144,AG$22,FALSE))=0,"",VLOOKUP($B62,Database!$B$1:$IX$10144,AG$22,FALSE)))</f>
        <v>9</v>
      </c>
      <c r="AH62" s="22">
        <f>IF(OR($B62="",AH$22=""),"",IF(LEN(VLOOKUP($B62,Database!$B$1:$IX$10144,AH$22,FALSE))=0,"",VLOOKUP($B62,Database!$B$1:$IX$10144,AH$22,FALSE)))</f>
        <v>1.5</v>
      </c>
      <c r="AI62" s="22">
        <f>IF(OR($B62="",AI$22=""),"",IF(LEN(VLOOKUP($B62,Database!$B$1:$IX$10144,AI$22,FALSE))=0,"",VLOOKUP($B62,Database!$B$1:$IX$10144,AI$22,FALSE)))</f>
        <v>1.5</v>
      </c>
      <c r="AJ62" s="22" t="str">
        <f>IF(OR($B62="",AJ$22=""),"",IF(LEN(VLOOKUP($B62,Database!$B$1:$IX$10144,AJ$22,FALSE))=0,"",VLOOKUP($B62,Database!$B$1:$IX$10144,AJ$22,FALSE)))</f>
        <v/>
      </c>
      <c r="AK62" s="22">
        <f>IF(OR($B62="",AK$22=""),"",IF(LEN(VLOOKUP($B62,Database!$B$1:$IX$10144,AK$22,FALSE))=0,"",VLOOKUP($B62,Database!$B$1:$IX$10144,AK$22,FALSE)))</f>
        <v>36.1</v>
      </c>
      <c r="AL62" s="22">
        <f>IF(OR($B62="",AL$22=""),"",IF(LEN(VLOOKUP($B62,Database!$B$1:$IX$10144,AL$22,FALSE))=0,"",VLOOKUP($B62,Database!$B$1:$IX$10144,AL$22,FALSE)))</f>
        <v>26.8</v>
      </c>
      <c r="AM62" s="22">
        <f>IF(OR($B62="",AM$22=""),"",IF(LEN(VLOOKUP($B62,Database!$B$1:$IX$10144,AM$22,FALSE))=0,"",VLOOKUP($B62,Database!$B$1:$IX$10144,AM$22,FALSE)))</f>
        <v>64.444444444444443</v>
      </c>
      <c r="AN62" s="22" t="str">
        <f>IF(OR($B62="",AN$22=""),"",IF(LEN(VLOOKUP($B62,Database!$B$1:$IX$10144,AN$22,FALSE))=0,"",VLOOKUP($B62,Database!$B$1:$IX$10144,AN$22,FALSE)))</f>
        <v>ns</v>
      </c>
      <c r="AO62" s="22" t="str">
        <f>IF(OR($B62="",AO$22=""),"",IF(LEN(VLOOKUP($B62,Database!$B$1:$IX$10144,AO$22,FALSE))=0,"",VLOOKUP($B62,Database!$B$1:$IX$10144,AO$22,FALSE)))</f>
        <v>ns</v>
      </c>
      <c r="AP62" s="22" t="str">
        <f>IF(OR($B62="",AP$22=""),"",IF(LEN(VLOOKUP($B62,Database!$B$1:$IX$10144,AP$22,FALSE))=0,"",VLOOKUP($B62,Database!$B$1:$IX$10144,AP$22,FALSE)))</f>
        <v>ns</v>
      </c>
      <c r="AQ62" s="22" t="str">
        <f>IF(OR($B62="",AQ$22=""),"",IF(LEN(VLOOKUP($B62,Database!$B$1:$IX$10144,AQ$22,FALSE))=0,"",VLOOKUP($B62,Database!$B$1:$IX$10144,AQ$22,FALSE)))</f>
        <v>Hickie IB, Naismith SL, Ward PB, Scott EM, Mitchell PB, Schofield PR, Scimone A, Wilhelm K, Parker G.</v>
      </c>
      <c r="AR62" s="22"/>
      <c r="AS62" s="22"/>
      <c r="AT62" s="22"/>
      <c r="AU62" s="22"/>
    </row>
    <row r="63" spans="1:52">
      <c r="A63" s="10" t="s">
        <v>2016</v>
      </c>
      <c r="B63">
        <v>17210630</v>
      </c>
      <c r="C63" s="1" t="str">
        <f>IF($B63="","",HYPERLINK(IF(LEN(VLOOKUP($B63,Database!$B$1:$IX$10144,2,FALSE))=0,"",VLOOKUP($B63,Database!$B$1:$IX$10144,2,FALSE))))</f>
        <v/>
      </c>
      <c r="D63" s="1" t="str">
        <f t="shared" si="6"/>
        <v>http://www.ncbi.nlm.nih.gov/pubmed/17210630</v>
      </c>
      <c r="E63" s="22" t="str">
        <f>IF($B63="","",IF(LEN(VLOOKUP($B63,Database!$B$1:$IX$10144,4,FALSE))=0,"",VLOOKUP($B63,Database!$B$1:$IX$10144,4,FALSE)))</f>
        <v>Janssen J</v>
      </c>
      <c r="F63" s="22">
        <f>IF($B63="","",IF(LEN(VLOOKUP($B63,Database!$B$1:$IX$10144,5,FALSE))=0,"",VLOOKUP($B63,Database!$B$1:$IX$10144,5,FALSE)))</f>
        <v>2007</v>
      </c>
      <c r="G63" s="1" t="str">
        <f>IF($B63="","",HYPERLINK(IF(LEN(VLOOKUP($B63,Database!$B$1:$IX$10144,6,FALSE))=0,"",VLOOKUP($B63,Database!$B$1:$IX$10144,6,FALSE))))</f>
        <v>http://jnnp.bmj.com/cgi/reprint/78/6/638</v>
      </c>
      <c r="H63" s="83">
        <v>13</v>
      </c>
      <c r="I63" s="83">
        <v>11</v>
      </c>
      <c r="J63" t="s">
        <v>877</v>
      </c>
      <c r="K63" t="s">
        <v>1225</v>
      </c>
      <c r="M63" s="10"/>
      <c r="T63">
        <v>5.51</v>
      </c>
      <c r="U63" s="10"/>
      <c r="V63">
        <v>6</v>
      </c>
      <c r="W63" s="10"/>
      <c r="Y63" s="22" t="str">
        <f>IF(OR($B63="",Y$22=""),"",IF(LEN(VLOOKUP($B63,Database!$B$1:$IX$10144,Y$22,FALSE))=0,"",VLOOKUP($B63,Database!$B$1:$IX$10144,Y$22,FALSE)))</f>
        <v>DSM-IV</v>
      </c>
      <c r="Z63" s="22" t="str">
        <f>IF(OR($B63="",Z$22=""),"",IF(LEN(VLOOKUP($B63,Database!$B$1:$IX$10144,Z$22,FALSE))=0,"",VLOOKUP($B63,Database!$B$1:$IX$10144,Z$22,FALSE)))</f>
        <v>MRI</v>
      </c>
      <c r="AA63" s="22" t="str">
        <f>IF(OR($B63="",AA$22=""),"",IF(LEN(VLOOKUP($B63,Database!$B$1:$IX$10144,AA$22,FALSE))=0,"",VLOOKUP($B63,Database!$B$1:$IX$10144,AA$22,FALSE)))</f>
        <v/>
      </c>
      <c r="AB63" s="22" t="str">
        <f>IF(OR($B63="",AB$22=""),"",IF(LEN(VLOOKUP($B63,Database!$B$1:$IX$10144,AB$22,FALSE))=0,"",VLOOKUP($B63,Database!$B$1:$IX$10144,AB$22,FALSE)))</f>
        <v/>
      </c>
      <c r="AC63" s="22" t="str">
        <f>IF(OR($B63="",AC$22=""),"",IF(LEN(VLOOKUP($B63,Database!$B$1:$IX$10144,AC$22,FALSE))=0,"",VLOOKUP($B63,Database!$B$1:$IX$10144,AC$22,FALSE)))</f>
        <v/>
      </c>
      <c r="AD63" s="22">
        <f>IF(OR($B63="",AD$22=""),"",IF(LEN(VLOOKUP($B63,Database!$B$1:$IX$10144,AD$22,FALSE))=0,"",VLOOKUP($B63,Database!$B$1:$IX$10144,AD$22,FALSE)))</f>
        <v>71.05</v>
      </c>
      <c r="AE63" s="22">
        <f>IF(OR($B63="",AE$22=""),"",IF(LEN(VLOOKUP($B63,Database!$B$1:$IX$10144,AE$22,FALSE))=0,"",VLOOKUP($B63,Database!$B$1:$IX$10144,AE$22,FALSE)))</f>
        <v>7.5</v>
      </c>
      <c r="AF63" s="22">
        <f>IF(OR($B63="",AF$22=""),"",IF(LEN(VLOOKUP($B63,Database!$B$1:$IX$10144,AF$22,FALSE))=0,"",VLOOKUP($B63,Database!$B$1:$IX$10144,AF$22,FALSE)))</f>
        <v>28</v>
      </c>
      <c r="AG63" s="22">
        <f>IF(OR($B63="",AG$22=""),"",IF(LEN(VLOOKUP($B63,Database!$B$1:$IX$10144,AG$22,FALSE))=0,"",VLOOKUP($B63,Database!$B$1:$IX$10144,AG$22,FALSE)))</f>
        <v>22</v>
      </c>
      <c r="AH63" s="22">
        <f>IF(OR($B63="",AH$22=""),"",IF(LEN(VLOOKUP($B63,Database!$B$1:$IX$10144,AH$22,FALSE))=0,"",VLOOKUP($B63,Database!$B$1:$IX$10144,AH$22,FALSE)))</f>
        <v>1.5</v>
      </c>
      <c r="AI63" s="22" t="str">
        <f>IF(OR($B63="",AI$22=""),"",IF(LEN(VLOOKUP($B63,Database!$B$1:$IX$10144,AI$22,FALSE))=0,"",VLOOKUP($B63,Database!$B$1:$IX$10144,AI$22,FALSE)))</f>
        <v>ns</v>
      </c>
      <c r="AJ63" s="22" t="str">
        <f>IF(OR($B63="",AJ$22=""),"",IF(LEN(VLOOKUP($B63,Database!$B$1:$IX$10144,AJ$22,FALSE))=0,"",VLOOKUP($B63,Database!$B$1:$IX$10144,AJ$22,FALSE)))</f>
        <v/>
      </c>
      <c r="AK63" s="22">
        <f>IF(OR($B63="",AK$22=""),"",IF(LEN(VLOOKUP($B63,Database!$B$1:$IX$10144,AK$22,FALSE))=0,"",VLOOKUP($B63,Database!$B$1:$IX$10144,AK$22,FALSE)))</f>
        <v>33.619999999999997</v>
      </c>
      <c r="AL63" s="22" t="str">
        <f>IF(OR($B63="",AL$22=""),"",IF(LEN(VLOOKUP($B63,Database!$B$1:$IX$10144,AL$22,FALSE))=0,"",VLOOKUP($B63,Database!$B$1:$IX$10144,AL$22,FALSE)))</f>
        <v>ns</v>
      </c>
      <c r="AM63" s="22" t="str">
        <f>IF(OR($B63="",AM$22=""),"",IF(LEN(VLOOKUP($B63,Database!$B$1:$IX$10144,AM$22,FALSE))=0,"",VLOOKUP($B63,Database!$B$1:$IX$10144,AM$22,FALSE)))</f>
        <v>ns</v>
      </c>
      <c r="AN63" s="22" t="str">
        <f>IF(OR($B63="",AN$22=""),"",IF(LEN(VLOOKUP($B63,Database!$B$1:$IX$10144,AN$22,FALSE))=0,"",VLOOKUP($B63,Database!$B$1:$IX$10144,AN$22,FALSE)))</f>
        <v>ns</v>
      </c>
      <c r="AO63" s="22" t="str">
        <f>IF(OR($B63="",AO$22=""),"",IF(LEN(VLOOKUP($B63,Database!$B$1:$IX$10144,AO$22,FALSE))=0,"",VLOOKUP($B63,Database!$B$1:$IX$10144,AO$22,FALSE)))</f>
        <v>ns</v>
      </c>
      <c r="AP63" s="22" t="str">
        <f>IF(OR($B63="",AP$22=""),"",IF(LEN(VLOOKUP($B63,Database!$B$1:$IX$10144,AP$22,FALSE))=0,"",VLOOKUP($B63,Database!$B$1:$IX$10144,AP$22,FALSE)))</f>
        <v>ns</v>
      </c>
      <c r="AQ63" s="22" t="str">
        <f>IF(OR($B63="",AQ$22=""),"",IF(LEN(VLOOKUP($B63,Database!$B$1:$IX$10144,AQ$22,FALSE))=0,"",VLOOKUP($B63,Database!$B$1:$IX$10144,AQ$22,FALSE)))</f>
        <v>Janssen J, Hulshoff Pol HE, de Leeuw FE, Schnack HG, Lampe IK, Kok RM, Kahn RS, Heeren TJ.</v>
      </c>
      <c r="AR63" s="22"/>
      <c r="AS63" s="22"/>
      <c r="AT63" s="22"/>
      <c r="AU63" s="22"/>
    </row>
    <row r="64" spans="1:52">
      <c r="A64" s="10" t="s">
        <v>2016</v>
      </c>
      <c r="B64">
        <v>17210630</v>
      </c>
      <c r="C64" s="1" t="str">
        <f>IF($B64="","",HYPERLINK(IF(LEN(VLOOKUP($B64,Database!$B$1:$IX$10144,2,FALSE))=0,"",VLOOKUP($B64,Database!$B$1:$IX$10144,2,FALSE))))</f>
        <v/>
      </c>
      <c r="D64" s="1" t="str">
        <f t="shared" si="6"/>
        <v>http://www.ncbi.nlm.nih.gov/pubmed/17210630</v>
      </c>
      <c r="E64" s="22" t="str">
        <f>IF($B64="","",IF(LEN(VLOOKUP($B64,Database!$B$1:$IX$10144,4,FALSE))=0,"",VLOOKUP($B64,Database!$B$1:$IX$10144,4,FALSE)))</f>
        <v>Janssen J</v>
      </c>
      <c r="F64" s="22">
        <f>IF($B64="","",IF(LEN(VLOOKUP($B64,Database!$B$1:$IX$10144,5,FALSE))=0,"",VLOOKUP($B64,Database!$B$1:$IX$10144,5,FALSE)))</f>
        <v>2007</v>
      </c>
      <c r="G64" s="1" t="str">
        <f>IF($B64="","",HYPERLINK(IF(LEN(VLOOKUP($B64,Database!$B$1:$IX$10144,6,FALSE))=0,"",VLOOKUP($B64,Database!$B$1:$IX$10144,6,FALSE))))</f>
        <v>http://jnnp.bmj.com/cgi/reprint/78/6/638</v>
      </c>
      <c r="H64" s="83">
        <v>15</v>
      </c>
      <c r="I64" s="83">
        <v>11</v>
      </c>
      <c r="J64" t="s">
        <v>877</v>
      </c>
      <c r="K64" t="s">
        <v>1366</v>
      </c>
      <c r="M64" s="10"/>
      <c r="T64">
        <v>5.92</v>
      </c>
      <c r="U64" s="10"/>
      <c r="V64">
        <v>6</v>
      </c>
      <c r="W64" s="10"/>
      <c r="Y64" s="22" t="str">
        <f>IF(OR($B64="",Y$22=""),"",IF(LEN(VLOOKUP($B64,Database!$B$1:$IX$10144,Y$22,FALSE))=0,"",VLOOKUP($B64,Database!$B$1:$IX$10144,Y$22,FALSE)))</f>
        <v>DSM-IV</v>
      </c>
      <c r="Z64" s="22" t="str">
        <f>IF(OR($B64="",Z$22=""),"",IF(LEN(VLOOKUP($B64,Database!$B$1:$IX$10144,Z$22,FALSE))=0,"",VLOOKUP($B64,Database!$B$1:$IX$10144,Z$22,FALSE)))</f>
        <v>MRI</v>
      </c>
      <c r="AA64" s="22" t="str">
        <f>IF(OR($B64="",AA$22=""),"",IF(LEN(VLOOKUP($B64,Database!$B$1:$IX$10144,AA$22,FALSE))=0,"",VLOOKUP($B64,Database!$B$1:$IX$10144,AA$22,FALSE)))</f>
        <v/>
      </c>
      <c r="AB64" s="22" t="str">
        <f>IF(OR($B64="",AB$22=""),"",IF(LEN(VLOOKUP($B64,Database!$B$1:$IX$10144,AB$22,FALSE))=0,"",VLOOKUP($B64,Database!$B$1:$IX$10144,AB$22,FALSE)))</f>
        <v/>
      </c>
      <c r="AC64" s="22" t="str">
        <f>IF(OR($B64="",AC$22=""),"",IF(LEN(VLOOKUP($B64,Database!$B$1:$IX$10144,AC$22,FALSE))=0,"",VLOOKUP($B64,Database!$B$1:$IX$10144,AC$22,FALSE)))</f>
        <v/>
      </c>
      <c r="AD64" s="22">
        <f>IF(OR($B64="",AD$22=""),"",IF(LEN(VLOOKUP($B64,Database!$B$1:$IX$10144,AD$22,FALSE))=0,"",VLOOKUP($B64,Database!$B$1:$IX$10144,AD$22,FALSE)))</f>
        <v>71.05</v>
      </c>
      <c r="AE64" s="22">
        <f>IF(OR($B64="",AE$22=""),"",IF(LEN(VLOOKUP($B64,Database!$B$1:$IX$10144,AE$22,FALSE))=0,"",VLOOKUP($B64,Database!$B$1:$IX$10144,AE$22,FALSE)))</f>
        <v>7.5</v>
      </c>
      <c r="AF64" s="22">
        <f>IF(OR($B64="",AF$22=""),"",IF(LEN(VLOOKUP($B64,Database!$B$1:$IX$10144,AF$22,FALSE))=0,"",VLOOKUP($B64,Database!$B$1:$IX$10144,AF$22,FALSE)))</f>
        <v>28</v>
      </c>
      <c r="AG64" s="22">
        <f>IF(OR($B64="",AG$22=""),"",IF(LEN(VLOOKUP($B64,Database!$B$1:$IX$10144,AG$22,FALSE))=0,"",VLOOKUP($B64,Database!$B$1:$IX$10144,AG$22,FALSE)))</f>
        <v>22</v>
      </c>
      <c r="AH64" s="22">
        <f>IF(OR($B64="",AH$22=""),"",IF(LEN(VLOOKUP($B64,Database!$B$1:$IX$10144,AH$22,FALSE))=0,"",VLOOKUP($B64,Database!$B$1:$IX$10144,AH$22,FALSE)))</f>
        <v>1.5</v>
      </c>
      <c r="AI64" s="22" t="str">
        <f>IF(OR($B64="",AI$22=""),"",IF(LEN(VLOOKUP($B64,Database!$B$1:$IX$10144,AI$22,FALSE))=0,"",VLOOKUP($B64,Database!$B$1:$IX$10144,AI$22,FALSE)))</f>
        <v>ns</v>
      </c>
      <c r="AJ64" s="22" t="str">
        <f>IF(OR($B64="",AJ$22=""),"",IF(LEN(VLOOKUP($B64,Database!$B$1:$IX$10144,AJ$22,FALSE))=0,"",VLOOKUP($B64,Database!$B$1:$IX$10144,AJ$22,FALSE)))</f>
        <v/>
      </c>
      <c r="AK64" s="22">
        <f>IF(OR($B64="",AK$22=""),"",IF(LEN(VLOOKUP($B64,Database!$B$1:$IX$10144,AK$22,FALSE))=0,"",VLOOKUP($B64,Database!$B$1:$IX$10144,AK$22,FALSE)))</f>
        <v>33.619999999999997</v>
      </c>
      <c r="AL64" s="22" t="str">
        <f>IF(OR($B64="",AL$22=""),"",IF(LEN(VLOOKUP($B64,Database!$B$1:$IX$10144,AL$22,FALSE))=0,"",VLOOKUP($B64,Database!$B$1:$IX$10144,AL$22,FALSE)))</f>
        <v>ns</v>
      </c>
      <c r="AM64" s="22" t="str">
        <f>IF(OR($B64="",AM$22=""),"",IF(LEN(VLOOKUP($B64,Database!$B$1:$IX$10144,AM$22,FALSE))=0,"",VLOOKUP($B64,Database!$B$1:$IX$10144,AM$22,FALSE)))</f>
        <v>ns</v>
      </c>
      <c r="AN64" s="22" t="str">
        <f>IF(OR($B64="",AN$22=""),"",IF(LEN(VLOOKUP($B64,Database!$B$1:$IX$10144,AN$22,FALSE))=0,"",VLOOKUP($B64,Database!$B$1:$IX$10144,AN$22,FALSE)))</f>
        <v>ns</v>
      </c>
      <c r="AO64" s="22" t="str">
        <f>IF(OR($B64="",AO$22=""),"",IF(LEN(VLOOKUP($B64,Database!$B$1:$IX$10144,AO$22,FALSE))=0,"",VLOOKUP($B64,Database!$B$1:$IX$10144,AO$22,FALSE)))</f>
        <v>ns</v>
      </c>
      <c r="AP64" s="22" t="str">
        <f>IF(OR($B64="",AP$22=""),"",IF(LEN(VLOOKUP($B64,Database!$B$1:$IX$10144,AP$22,FALSE))=0,"",VLOOKUP($B64,Database!$B$1:$IX$10144,AP$22,FALSE)))</f>
        <v>ns</v>
      </c>
      <c r="AQ64" s="22" t="str">
        <f>IF(OR($B64="",AQ$22=""),"",IF(LEN(VLOOKUP($B64,Database!$B$1:$IX$10144,AQ$22,FALSE))=0,"",VLOOKUP($B64,Database!$B$1:$IX$10144,AQ$22,FALSE)))</f>
        <v>Janssen J, Hulshoff Pol HE, de Leeuw FE, Schnack HG, Lampe IK, Kok RM, Kahn RS, Heeren TJ.</v>
      </c>
      <c r="AR64" s="22"/>
      <c r="AS64" s="22"/>
      <c r="AT64" s="22"/>
      <c r="AU64" s="22"/>
    </row>
    <row r="65" spans="1:47">
      <c r="A65" s="7" t="s">
        <v>26</v>
      </c>
      <c r="B65">
        <v>18515903</v>
      </c>
      <c r="C65" s="1" t="str">
        <f>IF($B65="","",HYPERLINK(IF(LEN(VLOOKUP($B65,Database!$B$1:$IX$10144,2,FALSE))=0,"",VLOOKUP($B65,Database!$B$1:$IX$10144,2,FALSE))))</f>
        <v/>
      </c>
      <c r="D65" s="1" t="str">
        <f t="shared" si="6"/>
        <v>http://www.ncbi.nlm.nih.gov/pubmed/18515903</v>
      </c>
      <c r="E65" s="22" t="str">
        <f>IF($B65="","",IF(LEN(VLOOKUP($B65,Database!$B$1:$IX$10144,4,FALSE))=0,"",VLOOKUP($B65,Database!$B$1:$IX$10144,4,FALSE)))</f>
        <v>Kronmüller KT</v>
      </c>
      <c r="F65" s="22">
        <f>IF($B65="","",IF(LEN(VLOOKUP($B65,Database!$B$1:$IX$10144,5,FALSE))=0,"",VLOOKUP($B65,Database!$B$1:$IX$10144,5,FALSE)))</f>
        <v>2008</v>
      </c>
      <c r="G65" s="1" t="str">
        <f>IF($B65="","",HYPERLINK(IF(LEN(VLOOKUP($B65,Database!$B$1:$IX$10144,6,FALSE))=0,"",VLOOKUP($B65,Database!$B$1:$IX$10144,6,FALSE))))</f>
        <v>http://bjp.rcpsych.org/cgi/content/full/192/6/472</v>
      </c>
      <c r="H65" s="22">
        <f>IF($B65="","",IF(LEN(VLOOKUP($B65,Database!$B$1:$IX$10144,7,FALSE))=0,"",VLOOKUP($B65,Database!$B$1:$IX$10144,7,FALSE)))</f>
        <v>49</v>
      </c>
      <c r="I65" s="22">
        <f>IF($B65="","",IF(LEN(VLOOKUP($B65,Database!$B$1:$IX$10144,8,FALSE))=0,"",VLOOKUP($B65,Database!$B$1:$IX$10144,8,FALSE)))</f>
        <v>30</v>
      </c>
      <c r="Y65" s="22" t="str">
        <f>IF(OR($B65="",Y$22=""),"",IF(LEN(VLOOKUP($B65,Database!$B$1:$IX$10144,Y$22,FALSE))=0,"",VLOOKUP($B65,Database!$B$1:$IX$10144,Y$22,FALSE)))</f>
        <v>DSM-IV</v>
      </c>
      <c r="Z65" s="22" t="str">
        <f>IF(OR($B65="",Z$22=""),"",IF(LEN(VLOOKUP($B65,Database!$B$1:$IX$10144,Z$22,FALSE))=0,"",VLOOKUP($B65,Database!$B$1:$IX$10144,Z$22,FALSE)))</f>
        <v>MRI</v>
      </c>
      <c r="AA65" s="22" t="str">
        <f>IF(OR($B65="",AA$22=""),"",IF(LEN(VLOOKUP($B65,Database!$B$1:$IX$10144,AA$22,FALSE))=0,"",VLOOKUP($B65,Database!$B$1:$IX$10144,AA$22,FALSE)))</f>
        <v/>
      </c>
      <c r="AB65" s="22" t="str">
        <f>IF(OR($B65="",AB$22=""),"",IF(LEN(VLOOKUP($B65,Database!$B$1:$IX$10144,AB$22,FALSE))=0,"",VLOOKUP($B65,Database!$B$1:$IX$10144,AB$22,FALSE)))</f>
        <v/>
      </c>
      <c r="AC65" s="22" t="str">
        <f>IF(OR($B65="",AC$22=""),"",IF(LEN(VLOOKUP($B65,Database!$B$1:$IX$10144,AC$22,FALSE))=0,"",VLOOKUP($B65,Database!$B$1:$IX$10144,AC$22,FALSE)))</f>
        <v/>
      </c>
      <c r="AD65" s="22" t="str">
        <f>IF(OR($B65="",AD$22=""),"",IF(LEN(VLOOKUP($B65,Database!$B$1:$IX$10144,AD$22,FALSE))=0,"",VLOOKUP($B65,Database!$B$1:$IX$10144,AD$22,FALSE)))</f>
        <v/>
      </c>
      <c r="AE65" s="22" t="str">
        <f>IF(OR($B65="",AE$22=""),"",IF(LEN(VLOOKUP($B65,Database!$B$1:$IX$10144,AE$22,FALSE))=0,"",VLOOKUP($B65,Database!$B$1:$IX$10144,AE$22,FALSE)))</f>
        <v/>
      </c>
      <c r="AF65" s="22" t="str">
        <f>IF(OR($B65="",AF$22=""),"",IF(LEN(VLOOKUP($B65,Database!$B$1:$IX$10144,AF$22,FALSE))=0,"",VLOOKUP($B65,Database!$B$1:$IX$10144,AF$22,FALSE)))</f>
        <v/>
      </c>
      <c r="AG65" s="22" t="str">
        <f>IF(OR($B65="",AG$22=""),"",IF(LEN(VLOOKUP($B65,Database!$B$1:$IX$10144,AG$22,FALSE))=0,"",VLOOKUP($B65,Database!$B$1:$IX$10144,AG$22,FALSE)))</f>
        <v/>
      </c>
      <c r="AH65" s="22">
        <f>IF(OR($B65="",AH$22=""),"",IF(LEN(VLOOKUP($B65,Database!$B$1:$IX$10144,AH$22,FALSE))=0,"",VLOOKUP($B65,Database!$B$1:$IX$10144,AH$22,FALSE)))</f>
        <v>1.5</v>
      </c>
      <c r="AI65" s="22" t="str">
        <f>IF(OR($B65="",AI$22=""),"",IF(LEN(VLOOKUP($B65,Database!$B$1:$IX$10144,AI$22,FALSE))=0,"",VLOOKUP($B65,Database!$B$1:$IX$10144,AI$22,FALSE)))</f>
        <v>ns</v>
      </c>
      <c r="AJ65" s="22" t="str">
        <f>IF(OR($B65="",AJ$22=""),"",IF(LEN(VLOOKUP($B65,Database!$B$1:$IX$10144,AJ$22,FALSE))=0,"",VLOOKUP($B65,Database!$B$1:$IX$10144,AJ$22,FALSE)))</f>
        <v/>
      </c>
      <c r="AK65" s="22" t="str">
        <f>IF(OR($B65="",AK$22=""),"",IF(LEN(VLOOKUP($B65,Database!$B$1:$IX$10144,AK$22,FALSE))=0,"",VLOOKUP($B65,Database!$B$1:$IX$10144,AK$22,FALSE)))</f>
        <v>ns</v>
      </c>
      <c r="AL65" s="22">
        <f>IF(OR($B65="",AL$22=""),"",IF(LEN(VLOOKUP($B65,Database!$B$1:$IX$10144,AL$22,FALSE))=0,"",VLOOKUP($B65,Database!$B$1:$IX$10144,AL$22,FALSE)))</f>
        <v>22.74</v>
      </c>
      <c r="AM65" s="22" t="str">
        <f>IF(OR($B65="",AM$22=""),"",IF(LEN(VLOOKUP($B65,Database!$B$1:$IX$10144,AM$22,FALSE))=0,"",VLOOKUP($B65,Database!$B$1:$IX$10144,AM$22,FALSE)))</f>
        <v>ns</v>
      </c>
      <c r="AN65" s="22" t="str">
        <f>IF(OR($B65="",AN$22=""),"",IF(LEN(VLOOKUP($B65,Database!$B$1:$IX$10144,AN$22,FALSE))=0,"",VLOOKUP($B65,Database!$B$1:$IX$10144,AN$22,FALSE)))</f>
        <v>ns</v>
      </c>
      <c r="AO65" s="22" t="str">
        <f>IF(OR($B65="",AO$22=""),"",IF(LEN(VLOOKUP($B65,Database!$B$1:$IX$10144,AO$22,FALSE))=0,"",VLOOKUP($B65,Database!$B$1:$IX$10144,AO$22,FALSE)))</f>
        <v>ns</v>
      </c>
      <c r="AP65" s="22" t="str">
        <f>IF(OR($B65="",AP$22=""),"",IF(LEN(VLOOKUP($B65,Database!$B$1:$IX$10144,AP$22,FALSE))=0,"",VLOOKUP($B65,Database!$B$1:$IX$10144,AP$22,FALSE)))</f>
        <v>ns</v>
      </c>
      <c r="AQ65" s="22" t="str">
        <f>IF(OR($B65="",AQ$22=""),"",IF(LEN(VLOOKUP($B65,Database!$B$1:$IX$10144,AQ$22,FALSE))=0,"",VLOOKUP($B65,Database!$B$1:$IX$10144,AQ$22,FALSE)))</f>
        <v>Kronmüller KT, Pantel J, Köhler S, Victor D, Giesel F, Magnotta VA, Mundt C, Essig M, Schröder J.</v>
      </c>
      <c r="AR65" s="22"/>
      <c r="AS65" s="22"/>
      <c r="AT65" s="22"/>
      <c r="AU65" s="22"/>
    </row>
    <row r="66" spans="1:47">
      <c r="A66" s="7" t="s">
        <v>2210</v>
      </c>
      <c r="B66">
        <v>18068956</v>
      </c>
      <c r="C66" s="1" t="str">
        <f>IF($B66="","",HYPERLINK(IF(LEN(VLOOKUP($B66,Database!$B$1:$IX$10144,2,FALSE))=0,"",VLOOKUP($B66,Database!$B$1:$IX$10144,2,FALSE))))</f>
        <v/>
      </c>
      <c r="D66" s="1" t="str">
        <f t="shared" si="6"/>
        <v>http://www.ncbi.nlm.nih.gov/pubmed/18068956</v>
      </c>
      <c r="E66" s="22" t="str">
        <f>IF($B66="","",IF(LEN(VLOOKUP($B66,Database!$B$1:$IX$10144,4,FALSE))=0,"",VLOOKUP($B66,Database!$B$1:$IX$10144,4,FALSE)))</f>
        <v>Lenze SN</v>
      </c>
      <c r="F66" s="22">
        <f>IF($B66="","",IF(LEN(VLOOKUP($B66,Database!$B$1:$IX$10144,5,FALSE))=0,"",VLOOKUP($B66,Database!$B$1:$IX$10144,5,FALSE)))</f>
        <v>2008</v>
      </c>
      <c r="G66" s="1" t="str">
        <f>IF($B66="","",HYPERLINK(IF(LEN(VLOOKUP($B66,Database!$B$1:$IX$10144,6,FALSE))=0,"",VLOOKUP($B66,Database!$B$1:$IX$10144,6,FALSE))))</f>
        <v>http://dx.doi.org/10.1016/j.pscychresns.2007.04.004</v>
      </c>
      <c r="H66" s="22">
        <f>IF($B66="","",IF(LEN(VLOOKUP($B66,Database!$B$1:$IX$10144,7,FALSE))=0,"",VLOOKUP($B66,Database!$B$1:$IX$10144,7,FALSE)))</f>
        <v>31</v>
      </c>
      <c r="I66" s="22">
        <f>IF($B66="","",IF(LEN(VLOOKUP($B66,Database!$B$1:$IX$10144,8,FALSE))=0,"",VLOOKUP($B66,Database!$B$1:$IX$10144,8,FALSE)))</f>
        <v>24</v>
      </c>
      <c r="J66" t="s">
        <v>1002</v>
      </c>
      <c r="Y66" s="22" t="str">
        <f>IF(OR($B66="",Y$22=""),"",IF(LEN(VLOOKUP($B66,Database!$B$1:$IX$10144,Y$22,FALSE))=0,"",VLOOKUP($B66,Database!$B$1:$IX$10144,Y$22,FALSE)))</f>
        <v>DSM-IV</v>
      </c>
      <c r="Z66" s="22" t="str">
        <f>IF(OR($B66="",Z$22=""),"",IF(LEN(VLOOKUP($B66,Database!$B$1:$IX$10144,Z$22,FALSE))=0,"",VLOOKUP($B66,Database!$B$1:$IX$10144,Z$22,FALSE)))</f>
        <v>MRI</v>
      </c>
      <c r="AA66" s="22" t="str">
        <f>IF(OR($B66="",AA$22=""),"",IF(LEN(VLOOKUP($B66,Database!$B$1:$IX$10144,AA$22,FALSE))=0,"",VLOOKUP($B66,Database!$B$1:$IX$10144,AA$22,FALSE)))</f>
        <v/>
      </c>
      <c r="AB66" s="22">
        <f>IF(OR($B66="",AB$22=""),"",IF(LEN(VLOOKUP($B66,Database!$B$1:$IX$10144,AB$22,FALSE))=0,"",VLOOKUP($B66,Database!$B$1:$IX$10144,AB$22,FALSE)))</f>
        <v>50</v>
      </c>
      <c r="AC66" s="22">
        <f>IF(OR($B66="",AC$22=""),"",IF(LEN(VLOOKUP($B66,Database!$B$1:$IX$10144,AC$22,FALSE))=0,"",VLOOKUP($B66,Database!$B$1:$IX$10144,AC$22,FALSE)))</f>
        <v>15</v>
      </c>
      <c r="AD66" s="22">
        <f>IF(OR($B66="",AD$22=""),"",IF(LEN(VLOOKUP($B66,Database!$B$1:$IX$10144,AD$22,FALSE))=0,"",VLOOKUP($B66,Database!$B$1:$IX$10144,AD$22,FALSE)))</f>
        <v>46</v>
      </c>
      <c r="AE66" s="22">
        <f>IF(OR($B66="",AE$22=""),"",IF(LEN(VLOOKUP($B66,Database!$B$1:$IX$10144,AE$22,FALSE))=0,"",VLOOKUP($B66,Database!$B$1:$IX$10144,AE$22,FALSE)))</f>
        <v>14</v>
      </c>
      <c r="AF66" s="22">
        <f>IF(OR($B66="",AF$22=""),"",IF(LEN(VLOOKUP($B66,Database!$B$1:$IX$10144,AF$22,FALSE))=0,"",VLOOKUP($B66,Database!$B$1:$IX$10144,AF$22,FALSE)))</f>
        <v>31</v>
      </c>
      <c r="AG66" s="22">
        <f>IF(OR($B66="",AG$22=""),"",IF(LEN(VLOOKUP($B66,Database!$B$1:$IX$10144,AG$22,FALSE))=0,"",VLOOKUP($B66,Database!$B$1:$IX$10144,AG$22,FALSE)))</f>
        <v>24</v>
      </c>
      <c r="AH66" s="22">
        <f>IF(OR($B66="",AH$22=""),"",IF(LEN(VLOOKUP($B66,Database!$B$1:$IX$10144,AH$22,FALSE))=0,"",VLOOKUP($B66,Database!$B$1:$IX$10144,AH$22,FALSE)))</f>
        <v>1.5</v>
      </c>
      <c r="AI66" s="22">
        <f>IF(OR($B66="",AI$22=""),"",IF(LEN(VLOOKUP($B66,Database!$B$1:$IX$10144,AI$22,FALSE))=0,"",VLOOKUP($B66,Database!$B$1:$IX$10144,AI$22,FALSE)))</f>
        <v>1.25</v>
      </c>
      <c r="AJ66" s="22" t="str">
        <f>IF(OR($B66="",AJ$22=""),"",IF(LEN(VLOOKUP($B66,Database!$B$1:$IX$10144,AJ$22,FALSE))=0,"",VLOOKUP($B66,Database!$B$1:$IX$10144,AJ$22,FALSE)))</f>
        <v/>
      </c>
      <c r="AK66" s="22">
        <f>IF(OR($B66="",AK$22=""),"",IF(LEN(VLOOKUP($B66,Database!$B$1:$IX$10144,AK$22,FALSE))=0,"",VLOOKUP($B66,Database!$B$1:$IX$10144,AK$22,FALSE)))</f>
        <v>29</v>
      </c>
      <c r="AL66" s="22">
        <f>IF(OR($B66="",AL$22=""),"",IF(LEN(VLOOKUP($B66,Database!$B$1:$IX$10144,AL$22,FALSE))=0,"",VLOOKUP($B66,Database!$B$1:$IX$10144,AL$22,FALSE)))</f>
        <v>7</v>
      </c>
      <c r="AM66" s="22">
        <f>IF(OR($B66="",AM$22=""),"",IF(LEN(VLOOKUP($B66,Database!$B$1:$IX$10144,AM$22,FALSE))=0,"",VLOOKUP($B66,Database!$B$1:$IX$10144,AM$22,FALSE)))</f>
        <v>77.41935483870968</v>
      </c>
      <c r="AN66" s="22" t="str">
        <f>IF(OR($B66="",AN$22=""),"",IF(LEN(VLOOKUP($B66,Database!$B$1:$IX$10144,AN$22,FALSE))=0,"",VLOOKUP($B66,Database!$B$1:$IX$10144,AN$22,FALSE)))</f>
        <v>ns</v>
      </c>
      <c r="AO66" s="22" t="str">
        <f>IF(OR($B66="",AO$22=""),"",IF(LEN(VLOOKUP($B66,Database!$B$1:$IX$10144,AO$22,FALSE))=0,"",VLOOKUP($B66,Database!$B$1:$IX$10144,AO$22,FALSE)))</f>
        <v>ns</v>
      </c>
      <c r="AP66" s="22" t="str">
        <f>IF(OR($B66="",AP$22=""),"",IF(LEN(VLOOKUP($B66,Database!$B$1:$IX$10144,AP$22,FALSE))=0,"",VLOOKUP($B66,Database!$B$1:$IX$10144,AP$22,FALSE)))</f>
        <v>ns</v>
      </c>
      <c r="AQ66" s="22" t="str">
        <f>IF(OR($B66="",AQ$22=""),"",IF(LEN(VLOOKUP($B66,Database!$B$1:$IX$10144,AQ$22,FALSE))=0,"",VLOOKUP($B66,Database!$B$1:$IX$10144,AQ$22,FALSE)))</f>
        <v>Lenze SN, Xiong C, Sheline YI.</v>
      </c>
      <c r="AR66" s="22"/>
      <c r="AS66" s="22"/>
      <c r="AT66" s="22"/>
      <c r="AU66" s="22"/>
    </row>
    <row r="67" spans="1:47">
      <c r="A67" s="4" t="s">
        <v>351</v>
      </c>
      <c r="C67" s="1"/>
      <c r="D67" s="1"/>
      <c r="E67" s="22"/>
      <c r="F67" s="22"/>
      <c r="G67" s="1"/>
      <c r="H67" s="22"/>
      <c r="I67" s="22"/>
      <c r="Y67" s="22"/>
      <c r="Z67" s="22"/>
      <c r="AA67" s="22"/>
      <c r="AB67" s="22"/>
      <c r="AC67" s="22"/>
      <c r="AD67" s="22"/>
      <c r="AE67" s="22"/>
      <c r="AF67" s="22"/>
      <c r="AG67" s="22"/>
      <c r="AH67" s="22"/>
      <c r="AI67" s="22"/>
      <c r="AJ67" s="22"/>
      <c r="AK67" s="22"/>
      <c r="AL67" s="22"/>
      <c r="AM67" s="22"/>
      <c r="AN67" s="22"/>
      <c r="AO67" s="22"/>
      <c r="AP67" s="22" t="str">
        <f>IF(OR($B67="",AP$22=""),"",IF(LEN(VLOOKUP($B67,Database!$B$1:$IX$10144,AP$22,FALSE))=0,"",VLOOKUP($B67,Database!$B$1:$IX$10144,AP$22,FALSE)))</f>
        <v/>
      </c>
      <c r="AQ67" s="22" t="str">
        <f>IF(OR($B67="",AQ$22=""),"",IF(LEN(VLOOKUP($B67,Database!$B$1:$IX$10144,AQ$22,FALSE))=0,"",VLOOKUP($B67,Database!$B$1:$IX$10144,AQ$22,FALSE)))</f>
        <v/>
      </c>
      <c r="AR67" s="22"/>
      <c r="AS67" s="22"/>
      <c r="AT67" s="22"/>
      <c r="AU67" s="22"/>
    </row>
    <row r="68" spans="1:47">
      <c r="A68" s="10" t="s">
        <v>418</v>
      </c>
      <c r="B68">
        <v>8632988</v>
      </c>
      <c r="C68" s="1" t="str">
        <f>IF($B68="","",HYPERLINK(IF(LEN(VLOOKUP($B68,Database!$B$1:$IX$10144,2,FALSE))=0,"",VLOOKUP($B68,Database!$B$1:$IX$10144,2,FALSE))))</f>
        <v/>
      </c>
      <c r="D68" s="1" t="str">
        <f t="shared" ref="D68:D83" si="7">IF($B68="","",HYPERLINK(CONCATENATE("http://www.ncbi.nlm.nih.gov/pubmed/",B68)))</f>
        <v>http://www.ncbi.nlm.nih.gov/pubmed/8632988</v>
      </c>
      <c r="E68" s="22" t="str">
        <f>IF($B68="","",IF(LEN(VLOOKUP($B68,Database!$B$1:$IX$10144,4,FALSE))=0,"",VLOOKUP($B68,Database!$B$1:$IX$10144,4,FALSE)))</f>
        <v>Sheline YI</v>
      </c>
      <c r="F68" s="22">
        <f>IF($B68="","",IF(LEN(VLOOKUP($B68,Database!$B$1:$IX$10144,5,FALSE))=0,"",VLOOKUP($B68,Database!$B$1:$IX$10144,5,FALSE)))</f>
        <v>1996</v>
      </c>
      <c r="G68" s="1" t="str">
        <f>IF($B68="","",HYPERLINK(IF(LEN(VLOOKUP($B68,Database!$B$1:$IX$10144,6,FALSE))=0,"",VLOOKUP($B68,Database!$B$1:$IX$10144,6,FALSE))))</f>
        <v>http://www.pnas.org/content/93/9/3908</v>
      </c>
      <c r="H68" s="22">
        <f>IF($B68="","",IF(LEN(VLOOKUP($B68,Database!$B$1:$IX$10144,7,FALSE))=0,"",VLOOKUP($B68,Database!$B$1:$IX$10144,7,FALSE)))</f>
        <v>10</v>
      </c>
      <c r="I68" s="22">
        <f>IF($B68="","",IF(LEN(VLOOKUP($B68,Database!$B$1:$IX$10144,8,FALSE))=0,"",VLOOKUP($B68,Database!$B$1:$IX$10144,8,FALSE)))</f>
        <v>10</v>
      </c>
      <c r="J68" t="s">
        <v>939</v>
      </c>
      <c r="L68">
        <v>2159</v>
      </c>
      <c r="M68">
        <v>301</v>
      </c>
      <c r="N68">
        <v>2544</v>
      </c>
      <c r="O68">
        <v>333</v>
      </c>
      <c r="P68">
        <v>2283</v>
      </c>
      <c r="Q68">
        <v>324</v>
      </c>
      <c r="R68">
        <v>2577</v>
      </c>
      <c r="S68">
        <v>259</v>
      </c>
      <c r="Y68" s="22" t="str">
        <f>IF(OR($B68="",Y$22=""),"",IF(LEN(VLOOKUP($B68,Database!$B$1:$IX$10144,Y$22,FALSE))=0,"",VLOOKUP($B68,Database!$B$1:$IX$10144,Y$22,FALSE)))</f>
        <v>DSM-IV</v>
      </c>
      <c r="Z68" s="22" t="str">
        <f>IF(OR($B68="",Z$22=""),"",IF(LEN(VLOOKUP($B68,Database!$B$1:$IX$10144,Z$22,FALSE))=0,"",VLOOKUP($B68,Database!$B$1:$IX$10144,Z$22,FALSE)))</f>
        <v>MRI</v>
      </c>
      <c r="AA68" s="22" t="str">
        <f>IF(OR($B68="",AA$22=""),"",IF(LEN(VLOOKUP($B68,Database!$B$1:$IX$10144,AA$22,FALSE))=0,"",VLOOKUP($B68,Database!$B$1:$IX$10144,AA$22,FALSE)))</f>
        <v/>
      </c>
      <c r="AB68" s="22">
        <f>IF(OR($B68="",AB$22=""),"",IF(LEN(VLOOKUP($B68,Database!$B$1:$IX$10144,AB$22,FALSE))=0,"",VLOOKUP($B68,Database!$B$1:$IX$10144,AB$22,FALSE)))</f>
        <v>68.5</v>
      </c>
      <c r="AC68" s="22">
        <f>IF(OR($B68="",AC$22=""),"",IF(LEN(VLOOKUP($B68,Database!$B$1:$IX$10144,AC$22,FALSE))=0,"",VLOOKUP($B68,Database!$B$1:$IX$10144,AC$22,FALSE)))</f>
        <v>10.4</v>
      </c>
      <c r="AD68" s="22">
        <f>IF(OR($B68="",AD$22=""),"",IF(LEN(VLOOKUP($B68,Database!$B$1:$IX$10144,AD$22,FALSE))=0,"",VLOOKUP($B68,Database!$B$1:$IX$10144,AD$22,FALSE)))</f>
        <v>68</v>
      </c>
      <c r="AE68" s="22">
        <f>IF(OR($B68="",AE$22=""),"",IF(LEN(VLOOKUP($B68,Database!$B$1:$IX$10144,AE$22,FALSE))=0,"",VLOOKUP($B68,Database!$B$1:$IX$10144,AE$22,FALSE)))</f>
        <v>9.5</v>
      </c>
      <c r="AF68" s="22">
        <f>IF(OR($B68="",AF$22=""),"",IF(LEN(VLOOKUP($B68,Database!$B$1:$IX$10144,AF$22,FALSE))=0,"",VLOOKUP($B68,Database!$B$1:$IX$10144,AF$22,FALSE)))</f>
        <v>10</v>
      </c>
      <c r="AG68" s="22">
        <f>IF(OR($B68="",AG$22=""),"",IF(LEN(VLOOKUP($B68,Database!$B$1:$IX$10144,AG$22,FALSE))=0,"",VLOOKUP($B68,Database!$B$1:$IX$10144,AG$22,FALSE)))</f>
        <v>10</v>
      </c>
      <c r="AH68" s="22"/>
      <c r="AI68" s="22"/>
      <c r="AJ68" s="22" t="str">
        <f>IF(OR($B68="",AJ$22=""),"",IF(LEN(VLOOKUP($B68,Database!$B$1:$IX$10144,AJ$22,FALSE))=0,"",VLOOKUP($B68,Database!$B$1:$IX$10144,AJ$22,FALSE)))</f>
        <v/>
      </c>
      <c r="AK68" s="22" t="str">
        <f>IF(OR($B68="",AK$22=""),"",IF(LEN(VLOOKUP($B68,Database!$B$1:$IX$10144,AK$22,FALSE))=0,"",VLOOKUP($B68,Database!$B$1:$IX$10144,AK$22,FALSE)))</f>
        <v>ns</v>
      </c>
      <c r="AL68" s="22" t="str">
        <f>IF(OR($B68="",AL$22=""),"",IF(LEN(VLOOKUP($B68,Database!$B$1:$IX$10144,AL$22,FALSE))=0,"",VLOOKUP($B68,Database!$B$1:$IX$10144,AL$22,FALSE)))</f>
        <v>ns</v>
      </c>
      <c r="AM68" s="22">
        <f>IF(OR($B68="",AM$22=""),"",IF(LEN(VLOOKUP($B68,Database!$B$1:$IX$10144,AM$22,FALSE))=0,"",VLOOKUP($B68,Database!$B$1:$IX$10144,AM$22,FALSE)))</f>
        <v>80</v>
      </c>
      <c r="AN68" s="22" t="str">
        <f>IF(OR($B68="",AN$22=""),"",IF(LEN(VLOOKUP($B68,Database!$B$1:$IX$10144,AN$22,FALSE))=0,"",VLOOKUP($B68,Database!$B$1:$IX$10144,AN$22,FALSE)))</f>
        <v/>
      </c>
      <c r="AO68" s="22" t="str">
        <f>IF(OR($B68="",AO$22=""),"",IF(LEN(VLOOKUP($B68,Database!$B$1:$IX$10144,AO$22,FALSE))=0,"",VLOOKUP($B68,Database!$B$1:$IX$10144,AO$22,FALSE)))</f>
        <v/>
      </c>
      <c r="AP68" s="22" t="str">
        <f>IF(OR($B68="",AP$22=""),"",IF(LEN(VLOOKUP($B68,Database!$B$1:$IX$10144,AP$22,FALSE))=0,"",VLOOKUP($B68,Database!$B$1:$IX$10144,AP$22,FALSE)))</f>
        <v/>
      </c>
      <c r="AQ68" s="22" t="str">
        <f>IF(OR($B68="",AQ$22=""),"",IF(LEN(VLOOKUP($B68,Database!$B$1:$IX$10144,AQ$22,FALSE))=0,"",VLOOKUP($B68,Database!$B$1:$IX$10144,AQ$22,FALSE)))</f>
        <v>Sheline YI, Wang PW, Gado MH, Csernansky JG, Vannier MW.</v>
      </c>
      <c r="AR68" s="22"/>
      <c r="AS68" s="22"/>
      <c r="AT68" s="22"/>
      <c r="AU68" s="22"/>
    </row>
    <row r="69" spans="1:47">
      <c r="A69" s="10" t="s">
        <v>418</v>
      </c>
      <c r="B69">
        <v>10366636</v>
      </c>
      <c r="C69" s="1" t="str">
        <f>IF($B69="","",HYPERLINK(IF(LEN(VLOOKUP($B69,Database!$B$1:$IX$10144,2,FALSE))=0,"",VLOOKUP($B69,Database!$B$1:$IX$10144,2,FALSE))))</f>
        <v/>
      </c>
      <c r="D69" s="1" t="str">
        <f t="shared" si="7"/>
        <v>http://www.ncbi.nlm.nih.gov/pubmed/10366636</v>
      </c>
      <c r="E69" s="22" t="str">
        <f>IF($B69="","",IF(LEN(VLOOKUP($B69,Database!$B$1:$IX$10144,4,FALSE))=0,"",VLOOKUP($B69,Database!$B$1:$IX$10144,4,FALSE)))</f>
        <v>Sheline YI</v>
      </c>
      <c r="F69" s="22">
        <f>IF($B69="","",IF(LEN(VLOOKUP($B69,Database!$B$1:$IX$10144,5,FALSE))=0,"",VLOOKUP($B69,Database!$B$1:$IX$10144,5,FALSE)))</f>
        <v>1999</v>
      </c>
      <c r="G69" s="1" t="str">
        <f>IF($B69="","",HYPERLINK(IF(LEN(VLOOKUP($B69,Database!$B$1:$IX$10144,6,FALSE))=0,"",VLOOKUP($B69,Database!$B$1:$IX$10144,6,FALSE))))</f>
        <v>http://ajp.psychiatryonline.org/cgi/reprint/156/12/1989</v>
      </c>
      <c r="H69" s="22">
        <f>IF($B69="","",IF(LEN(VLOOKUP($B69,Database!$B$1:$IX$10144,7,FALSE))=0,"",VLOOKUP($B69,Database!$B$1:$IX$10144,7,FALSE)))</f>
        <v>24</v>
      </c>
      <c r="I69" s="22">
        <f>IF($B69="","",IF(LEN(VLOOKUP($B69,Database!$B$1:$IX$10144,8,FALSE))=0,"",VLOOKUP($B69,Database!$B$1:$IX$10144,8,FALSE)))</f>
        <v>24</v>
      </c>
      <c r="J69" t="s">
        <v>939</v>
      </c>
      <c r="L69">
        <v>2230</v>
      </c>
      <c r="M69">
        <v>323</v>
      </c>
      <c r="N69">
        <v>2482</v>
      </c>
      <c r="O69">
        <v>305</v>
      </c>
      <c r="P69">
        <v>2264</v>
      </c>
      <c r="Q69">
        <v>320</v>
      </c>
      <c r="R69">
        <v>2468</v>
      </c>
      <c r="S69">
        <v>309</v>
      </c>
      <c r="T69">
        <v>4496</v>
      </c>
      <c r="U69">
        <v>602</v>
      </c>
      <c r="V69">
        <v>4951</v>
      </c>
      <c r="W69">
        <v>601</v>
      </c>
      <c r="Y69" s="22" t="str">
        <f>IF(OR($B69="",Y$22=""),"",IF(LEN(VLOOKUP($B69,Database!$B$1:$IX$10144,Y$22,FALSE))=0,"",VLOOKUP($B69,Database!$B$1:$IX$10144,Y$22,FALSE)))</f>
        <v>DSM-IV</v>
      </c>
      <c r="Z69" s="22" t="str">
        <f>IF(OR($B69="",Z$22=""),"",IF(LEN(VLOOKUP($B69,Database!$B$1:$IX$10144,Z$22,FALSE))=0,"",VLOOKUP($B69,Database!$B$1:$IX$10144,Z$22,FALSE)))</f>
        <v>MRI</v>
      </c>
      <c r="AA69" s="22" t="str">
        <f>IF(OR($B69="",AA$22=""),"",IF(LEN(VLOOKUP($B69,Database!$B$1:$IX$10144,AA$22,FALSE))=0,"",VLOOKUP($B69,Database!$B$1:$IX$10144,AA$22,FALSE)))</f>
        <v/>
      </c>
      <c r="AB69" s="22"/>
      <c r="AC69" s="22"/>
      <c r="AD69" s="22">
        <f>IF(OR($B69="",AD$22=""),"",IF(LEN(VLOOKUP($B69,Database!$B$1:$IX$10144,AD$22,FALSE))=0,"",VLOOKUP($B69,Database!$B$1:$IX$10144,AD$22,FALSE)))</f>
        <v>52.8</v>
      </c>
      <c r="AE69" s="22">
        <f>IF(OR($B69="",AE$22=""),"",IF(LEN(VLOOKUP($B69,Database!$B$1:$IX$10144,AE$22,FALSE))=0,"",VLOOKUP($B69,Database!$B$1:$IX$10144,AE$22,FALSE)))</f>
        <v>17.8</v>
      </c>
      <c r="AF69" s="22">
        <f>IF(OR($B69="",AF$22=""),"",IF(LEN(VLOOKUP($B69,Database!$B$1:$IX$10144,AF$22,FALSE))=0,"",VLOOKUP($B69,Database!$B$1:$IX$10144,AF$22,FALSE)))</f>
        <v>24</v>
      </c>
      <c r="AG69" s="22">
        <f>IF(OR($B69="",AG$22=""),"",IF(LEN(VLOOKUP($B69,Database!$B$1:$IX$10144,AG$22,FALSE))=0,"",VLOOKUP($B69,Database!$B$1:$IX$10144,AG$22,FALSE)))</f>
        <v>24</v>
      </c>
      <c r="AH69" s="22"/>
      <c r="AI69" s="22"/>
      <c r="AJ69" s="22" t="str">
        <f>IF(OR($B69="",AJ$22=""),"",IF(LEN(VLOOKUP($B69,Database!$B$1:$IX$10144,AJ$22,FALSE))=0,"",VLOOKUP($B69,Database!$B$1:$IX$10144,AJ$22,FALSE)))</f>
        <v/>
      </c>
      <c r="AK69" s="22" t="str">
        <f>IF(OR($B69="",AK$22=""),"",IF(LEN(VLOOKUP($B69,Database!$B$1:$IX$10144,AK$22,FALSE))=0,"",VLOOKUP($B69,Database!$B$1:$IX$10144,AK$22,FALSE)))</f>
        <v>ns</v>
      </c>
      <c r="AL69" s="22" t="str">
        <f>IF(OR($B69="",AL$22=""),"",IF(LEN(VLOOKUP($B69,Database!$B$1:$IX$10144,AL$22,FALSE))=0,"",VLOOKUP($B69,Database!$B$1:$IX$10144,AL$22,FALSE)))</f>
        <v>ns</v>
      </c>
      <c r="AM69" s="22">
        <f>IF(OR($B69="",AM$22=""),"",IF(LEN(VLOOKUP($B69,Database!$B$1:$IX$10144,AM$22,FALSE))=0,"",VLOOKUP($B69,Database!$B$1:$IX$10144,AM$22,FALSE)))</f>
        <v>66.666666666666657</v>
      </c>
      <c r="AN69" s="22" t="str">
        <f>IF(OR($B69="",AN$22=""),"",IF(LEN(VLOOKUP($B69,Database!$B$1:$IX$10144,AN$22,FALSE))=0,"",VLOOKUP($B69,Database!$B$1:$IX$10144,AN$22,FALSE)))</f>
        <v>ns</v>
      </c>
      <c r="AO69" s="22" t="str">
        <f>IF(OR($B69="",AO$22=""),"",IF(LEN(VLOOKUP($B69,Database!$B$1:$IX$10144,AO$22,FALSE))=0,"",VLOOKUP($B69,Database!$B$1:$IX$10144,AO$22,FALSE)))</f>
        <v>ns</v>
      </c>
      <c r="AP69" s="22" t="str">
        <f>IF(OR($B69="",AP$22=""),"",IF(LEN(VLOOKUP($B69,Database!$B$1:$IX$10144,AP$22,FALSE))=0,"",VLOOKUP($B69,Database!$B$1:$IX$10144,AP$22,FALSE)))</f>
        <v>ns</v>
      </c>
      <c r="AQ69" s="22" t="str">
        <f>IF(OR($B69="",AQ$22=""),"",IF(LEN(VLOOKUP($B69,Database!$B$1:$IX$10144,AQ$22,FALSE))=0,"",VLOOKUP($B69,Database!$B$1:$IX$10144,AQ$22,FALSE)))</f>
        <v>Sheline YI, Sanghavi M, Mintun MA, Gado MH.</v>
      </c>
      <c r="AR69" s="22"/>
      <c r="AS69" s="22"/>
      <c r="AT69" s="22"/>
      <c r="AU69" s="22"/>
    </row>
    <row r="70" spans="1:47">
      <c r="A70" s="10" t="s">
        <v>1188</v>
      </c>
      <c r="B70">
        <v>10960161</v>
      </c>
      <c r="C70" s="1" t="str">
        <f>IF($B70="","",HYPERLINK(IF(LEN(VLOOKUP($B70,Database!$B$1:$IX$10144,2,FALSE))=0,"",VLOOKUP($B70,Database!$B$1:$IX$10144,2,FALSE))))</f>
        <v/>
      </c>
      <c r="D70" s="1" t="str">
        <f t="shared" si="7"/>
        <v>http://www.ncbi.nlm.nih.gov/pubmed/10960161</v>
      </c>
      <c r="E70" s="22" t="str">
        <f>IF($B70="","",IF(LEN(VLOOKUP($B70,Database!$B$1:$IX$10144,4,FALSE))=0,"",VLOOKUP($B70,Database!$B$1:$IX$10144,4,FALSE)))</f>
        <v>Steffens DC</v>
      </c>
      <c r="F70" s="22">
        <f>IF($B70="","",IF(LEN(VLOOKUP($B70,Database!$B$1:$IX$10144,5,FALSE))=0,"",VLOOKUP($B70,Database!$B$1:$IX$10144,5,FALSE)))</f>
        <v>2000</v>
      </c>
      <c r="G70" s="1" t="str">
        <f>IF($B70="","",HYPERLINK(IF(LEN(VLOOKUP($B70,Database!$B$1:$IX$10144,6,FALSE))=0,"",VLOOKUP($B70,Database!$B$1:$IX$10144,6,FALSE))))</f>
        <v>http://dx.doi.org/10.1016/S0006-3223(00)00829-5</v>
      </c>
      <c r="H70" s="22">
        <f>IF($B70="","",IF(LEN(VLOOKUP($B70,Database!$B$1:$IX$10144,7,FALSE))=0,"",VLOOKUP($B70,Database!$B$1:$IX$10144,7,FALSE)))</f>
        <v>66</v>
      </c>
      <c r="I70" s="22">
        <f>IF($B70="","",IF(LEN(VLOOKUP($B70,Database!$B$1:$IX$10144,8,FALSE))=0,"",VLOOKUP($B70,Database!$B$1:$IX$10144,8,FALSE)))</f>
        <v>18</v>
      </c>
      <c r="J70" t="s">
        <v>1045</v>
      </c>
      <c r="L70">
        <v>2.92</v>
      </c>
      <c r="M70">
        <v>0.36</v>
      </c>
      <c r="N70">
        <v>3.17</v>
      </c>
      <c r="O70">
        <v>0.44</v>
      </c>
      <c r="P70">
        <v>2.98</v>
      </c>
      <c r="Q70">
        <v>0.39</v>
      </c>
      <c r="R70">
        <v>3.3</v>
      </c>
      <c r="S70">
        <v>0.44</v>
      </c>
      <c r="Y70" s="22" t="str">
        <f>IF(OR($B70="",Y$22=""),"",IF(LEN(VLOOKUP($B70,Database!$B$1:$IX$10144,Y$22,FALSE))=0,"",VLOOKUP($B70,Database!$B$1:$IX$10144,Y$22,FALSE)))</f>
        <v>DSM-IV</v>
      </c>
      <c r="Z70" s="22" t="str">
        <f>IF(OR($B70="",Z$22=""),"",IF(LEN(VLOOKUP($B70,Database!$B$1:$IX$10144,Z$22,FALSE))=0,"",VLOOKUP($B70,Database!$B$1:$IX$10144,Z$22,FALSE)))</f>
        <v>MRI</v>
      </c>
      <c r="AA70" s="22" t="str">
        <f>IF(OR($B70="",AA$22=""),"",IF(LEN(VLOOKUP($B70,Database!$B$1:$IX$10144,AA$22,FALSE))=0,"",VLOOKUP($B70,Database!$B$1:$IX$10144,AA$22,FALSE)))</f>
        <v/>
      </c>
      <c r="AB70" s="22">
        <f>IF(OR($B70="",AB$22=""),"",IF(LEN(VLOOKUP($B70,Database!$B$1:$IX$10144,AB$22,FALSE))=0,"",VLOOKUP($B70,Database!$B$1:$IX$10144,AB$22,FALSE)))</f>
        <v>71.739999999999995</v>
      </c>
      <c r="AC70" s="22">
        <f>IF(OR($B70="",AC$22=""),"",IF(LEN(VLOOKUP($B70,Database!$B$1:$IX$10144,AC$22,FALSE))=0,"",VLOOKUP($B70,Database!$B$1:$IX$10144,AC$22,FALSE)))</f>
        <v>8.42</v>
      </c>
      <c r="AD70" s="22">
        <f>IF(OR($B70="",AD$22=""),"",IF(LEN(VLOOKUP($B70,Database!$B$1:$IX$10144,AD$22,FALSE))=0,"",VLOOKUP($B70,Database!$B$1:$IX$10144,AD$22,FALSE)))</f>
        <v>67.11</v>
      </c>
      <c r="AE70" s="22">
        <f>IF(OR($B70="",AE$22=""),"",IF(LEN(VLOOKUP($B70,Database!$B$1:$IX$10144,AE$22,FALSE))=0,"",VLOOKUP($B70,Database!$B$1:$IX$10144,AE$22,FALSE)))</f>
        <v>5.04</v>
      </c>
      <c r="AF70" s="22">
        <f>IF(OR($B70="",AF$22=""),"",IF(LEN(VLOOKUP($B70,Database!$B$1:$IX$10144,AF$22,FALSE))=0,"",VLOOKUP($B70,Database!$B$1:$IX$10144,AF$22,FALSE)))</f>
        <v>51</v>
      </c>
      <c r="AG70" s="22">
        <f>IF(OR($B70="",AG$22=""),"",IF(LEN(VLOOKUP($B70,Database!$B$1:$IX$10144,AG$22,FALSE))=0,"",VLOOKUP($B70,Database!$B$1:$IX$10144,AG$22,FALSE)))</f>
        <v>9</v>
      </c>
      <c r="AH70" s="22"/>
      <c r="AI70" s="22"/>
      <c r="AJ70" s="22" t="str">
        <f>IF(OR($B70="",AJ$22=""),"",IF(LEN(VLOOKUP($B70,Database!$B$1:$IX$10144,AJ$22,FALSE))=0,"",VLOOKUP($B70,Database!$B$1:$IX$10144,AJ$22,FALSE)))</f>
        <v/>
      </c>
      <c r="AK70" s="22" t="str">
        <f>IF(OR($B70="",AK$22=""),"",IF(LEN(VLOOKUP($B70,Database!$B$1:$IX$10144,AK$22,FALSE))=0,"",VLOOKUP($B70,Database!$B$1:$IX$10144,AK$22,FALSE)))</f>
        <v>ns</v>
      </c>
      <c r="AL70" s="22" t="str">
        <f>IF(OR($B70="",AL$22=""),"",IF(LEN(VLOOKUP($B70,Database!$B$1:$IX$10144,AL$22,FALSE))=0,"",VLOOKUP($B70,Database!$B$1:$IX$10144,AL$22,FALSE)))</f>
        <v>ns</v>
      </c>
      <c r="AM70" s="22" t="str">
        <f>IF(OR($B70="",AM$22=""),"",IF(LEN(VLOOKUP($B70,Database!$B$1:$IX$10144,AM$22,FALSE))=0,"",VLOOKUP($B70,Database!$B$1:$IX$10144,AM$22,FALSE)))</f>
        <v>ns</v>
      </c>
      <c r="AN70" s="22" t="str">
        <f>IF(OR($B70="",AN$22=""),"",IF(LEN(VLOOKUP($B70,Database!$B$1:$IX$10144,AN$22,FALSE))=0,"",VLOOKUP($B70,Database!$B$1:$IX$10144,AN$22,FALSE)))</f>
        <v>ns</v>
      </c>
      <c r="AO70" s="22" t="str">
        <f>IF(OR($B70="",AO$22=""),"",IF(LEN(VLOOKUP($B70,Database!$B$1:$IX$10144,AO$22,FALSE))=0,"",VLOOKUP($B70,Database!$B$1:$IX$10144,AO$22,FALSE)))</f>
        <v>ns</v>
      </c>
      <c r="AP70" s="22" t="str">
        <f>IF(OR($B70="",AP$22=""),"",IF(LEN(VLOOKUP($B70,Database!$B$1:$IX$10144,AP$22,FALSE))=0,"",VLOOKUP($B70,Database!$B$1:$IX$10144,AP$22,FALSE)))</f>
        <v>ns</v>
      </c>
      <c r="AQ70" s="22" t="str">
        <f>IF(OR($B70="",AQ$22=""),"",IF(LEN(VLOOKUP($B70,Database!$B$1:$IX$10144,AQ$22,FALSE))=0,"",VLOOKUP($B70,Database!$B$1:$IX$10144,AQ$22,FALSE)))</f>
        <v>Steffens DC, Byrum CE, McQuoid DR, Greenberg DL, Payne ME, Blitchington TF, MacFall JR, Krishnan KR.</v>
      </c>
      <c r="AR70" s="22"/>
      <c r="AS70" s="22"/>
      <c r="AT70" s="22"/>
      <c r="AU70" s="22"/>
    </row>
    <row r="71" spans="1:47">
      <c r="A71" s="10" t="s">
        <v>2335</v>
      </c>
      <c r="B71">
        <v>12091188</v>
      </c>
      <c r="C71" s="1" t="str">
        <f>IF($B71="","",HYPERLINK(IF(LEN(VLOOKUP($B71,Database!$B$1:$IX$10144,2,FALSE))=0,"",VLOOKUP($B71,Database!$B$1:$IX$10144,2,FALSE))))</f>
        <v/>
      </c>
      <c r="D71" s="1" t="str">
        <f t="shared" si="7"/>
        <v>http://www.ncbi.nlm.nih.gov/pubmed/12091188</v>
      </c>
      <c r="E71" s="22" t="str">
        <f>IF($B71="","",IF(LEN(VLOOKUP($B71,Database!$B$1:$IX$10144,4,FALSE))=0,"",VLOOKUP($B71,Database!$B$1:$IX$10144,4,FALSE)))</f>
        <v>Frodl T (B)</v>
      </c>
      <c r="F71" s="22">
        <f>IF($B71="","",IF(LEN(VLOOKUP($B71,Database!$B$1:$IX$10144,5,FALSE))=0,"",VLOOKUP($B71,Database!$B$1:$IX$10144,5,FALSE)))</f>
        <v>2002</v>
      </c>
      <c r="G71" s="1" t="str">
        <f>IF($B71="","",HYPERLINK(IF(LEN(VLOOKUP($B71,Database!$B$1:$IX$10144,6,FALSE))=0,"",VLOOKUP($B71,Database!$B$1:$IX$10144,6,FALSE))))</f>
        <v>http://ajp.psychiatryonline.org/cgi/reprint/159/7/1112</v>
      </c>
      <c r="H71" s="22">
        <f>IF($B71="","",IF(LEN(VLOOKUP($B71,Database!$B$1:$IX$10144,7,FALSE))=0,"",VLOOKUP($B71,Database!$B$1:$IX$10144,7,FALSE)))</f>
        <v>30</v>
      </c>
      <c r="I71" s="22">
        <f>IF($B71="","",IF(LEN(VLOOKUP($B71,Database!$B$1:$IX$10144,8,FALSE))=0,"",VLOOKUP($B71,Database!$B$1:$IX$10144,8,FALSE)))</f>
        <v>30</v>
      </c>
      <c r="J71" t="s">
        <v>869</v>
      </c>
      <c r="L71">
        <v>3681</v>
      </c>
      <c r="M71">
        <v>393</v>
      </c>
      <c r="N71">
        <v>3772</v>
      </c>
      <c r="O71">
        <v>397</v>
      </c>
      <c r="P71">
        <v>3847</v>
      </c>
      <c r="Q71">
        <v>400</v>
      </c>
      <c r="R71">
        <v>3763</v>
      </c>
      <c r="S71">
        <v>411</v>
      </c>
      <c r="Y71" s="22" t="str">
        <f>IF(OR($B71="",Y$22=""),"",IF(LEN(VLOOKUP($B71,Database!$B$1:$IX$10144,Y$22,FALSE))=0,"",VLOOKUP($B71,Database!$B$1:$IX$10144,Y$22,FALSE)))</f>
        <v>DSM-IV</v>
      </c>
      <c r="Z71" s="22" t="str">
        <f>IF(OR($B71="",Z$22=""),"",IF(LEN(VLOOKUP($B71,Database!$B$1:$IX$10144,Z$22,FALSE))=0,"",VLOOKUP($B71,Database!$B$1:$IX$10144,Z$22,FALSE)))</f>
        <v>MRI</v>
      </c>
      <c r="AA71" s="22" t="str">
        <f>IF(OR($B71="",AA$22=""),"",IF(LEN(VLOOKUP($B71,Database!$B$1:$IX$10144,AA$22,FALSE))=0,"",VLOOKUP($B71,Database!$B$1:$IX$10144,AA$22,FALSE)))</f>
        <v/>
      </c>
      <c r="AB71" s="22">
        <f>IF(OR($B71="",AB$22=""),"",IF(LEN(VLOOKUP($B71,Database!$B$1:$IX$10144,AB$22,FALSE))=0,"",VLOOKUP($B71,Database!$B$1:$IX$10144,AB$22,FALSE)))</f>
        <v>40.299999999999997</v>
      </c>
      <c r="AC71" s="22">
        <f>IF(OR($B71="",AC$22=""),"",IF(LEN(VLOOKUP($B71,Database!$B$1:$IX$10144,AC$22,FALSE))=0,"",VLOOKUP($B71,Database!$B$1:$IX$10144,AC$22,FALSE)))</f>
        <v>12.6</v>
      </c>
      <c r="AD71" s="22">
        <f>IF(OR($B71="",AD$22=""),"",IF(LEN(VLOOKUP($B71,Database!$B$1:$IX$10144,AD$22,FALSE))=0,"",VLOOKUP($B71,Database!$B$1:$IX$10144,AD$22,FALSE)))</f>
        <v>40.6</v>
      </c>
      <c r="AE71" s="22">
        <f>IF(OR($B71="",AE$22=""),"",IF(LEN(VLOOKUP($B71,Database!$B$1:$IX$10144,AE$22,FALSE))=0,"",VLOOKUP($B71,Database!$B$1:$IX$10144,AE$22,FALSE)))</f>
        <v>12.5</v>
      </c>
      <c r="AF71" s="22">
        <f>IF(OR($B71="",AF$22=""),"",IF(LEN(VLOOKUP($B71,Database!$B$1:$IX$10144,AF$22,FALSE))=0,"",VLOOKUP($B71,Database!$B$1:$IX$10144,AF$22,FALSE)))</f>
        <v>17</v>
      </c>
      <c r="AG71" s="22">
        <f>IF(OR($B71="",AG$22=""),"",IF(LEN(VLOOKUP($B71,Database!$B$1:$IX$10144,AG$22,FALSE))=0,"",VLOOKUP($B71,Database!$B$1:$IX$10144,AG$22,FALSE)))</f>
        <v>17</v>
      </c>
      <c r="AH71" s="22"/>
      <c r="AI71" s="22"/>
      <c r="AJ71" s="22" t="str">
        <f>IF(OR($B71="",AJ$22=""),"",IF(LEN(VLOOKUP($B71,Database!$B$1:$IX$10144,AJ$22,FALSE))=0,"",VLOOKUP($B71,Database!$B$1:$IX$10144,AJ$22,FALSE)))</f>
        <v/>
      </c>
      <c r="AK71" s="22">
        <f>IF(OR($B71="",AK$22=""),"",IF(LEN(VLOOKUP($B71,Database!$B$1:$IX$10144,AK$22,FALSE))=0,"",VLOOKUP($B71,Database!$B$1:$IX$10144,AK$22,FALSE)))</f>
        <v>40</v>
      </c>
      <c r="AL71" s="22">
        <f>IF(OR($B71="",AL$22=""),"",IF(LEN(VLOOKUP($B71,Database!$B$1:$IX$10144,AL$22,FALSE))=0,"",VLOOKUP($B71,Database!$B$1:$IX$10144,AL$22,FALSE)))</f>
        <v>24.8</v>
      </c>
      <c r="AM71" s="22" t="str">
        <f>IF(OR($B71="",AM$22=""),"",IF(LEN(VLOOKUP($B71,Database!$B$1:$IX$10144,AM$22,FALSE))=0,"",VLOOKUP($B71,Database!$B$1:$IX$10144,AM$22,FALSE)))</f>
        <v>ns</v>
      </c>
      <c r="AN71" s="22" t="str">
        <f>IF(OR($B71="",AN$22=""),"",IF(LEN(VLOOKUP($B71,Database!$B$1:$IX$10144,AN$22,FALSE))=0,"",VLOOKUP($B71,Database!$B$1:$IX$10144,AN$22,FALSE)))</f>
        <v>ns</v>
      </c>
      <c r="AO71" s="22" t="str">
        <f>IF(OR($B71="",AO$22=""),"",IF(LEN(VLOOKUP($B71,Database!$B$1:$IX$10144,AO$22,FALSE))=0,"",VLOOKUP($B71,Database!$B$1:$IX$10144,AO$22,FALSE)))</f>
        <v>ns</v>
      </c>
      <c r="AP71" s="22" t="str">
        <f>IF(OR($B71="",AP$22=""),"",IF(LEN(VLOOKUP($B71,Database!$B$1:$IX$10144,AP$22,FALSE))=0,"",VLOOKUP($B71,Database!$B$1:$IX$10144,AP$22,FALSE)))</f>
        <v>ns</v>
      </c>
      <c r="AQ71" s="22" t="str">
        <f>IF(OR($B71="",AQ$22=""),"",IF(LEN(VLOOKUP($B71,Database!$B$1:$IX$10144,AQ$22,FALSE))=0,"",VLOOKUP($B71,Database!$B$1:$IX$10144,AQ$22,FALSE)))</f>
        <v>Frodl T, Meisenzahl EM, Zetzsche T, Born C, Groll C, Jager M, Leinsinger G, Bottlender R, Hahn K, Moller HJ.</v>
      </c>
      <c r="AR71" s="22"/>
      <c r="AS71" s="22"/>
      <c r="AT71" s="22"/>
      <c r="AU71" s="22"/>
    </row>
    <row r="72" spans="1:47">
      <c r="A72" s="10" t="s">
        <v>2335</v>
      </c>
      <c r="B72">
        <v>15119911</v>
      </c>
      <c r="C72" s="1" t="str">
        <f>IF($B72="","",HYPERLINK(IF(LEN(VLOOKUP($B72,Database!$B$1:$IX$10144,2,FALSE))=0,"",VLOOKUP($B72,Database!$B$1:$IX$10144,2,FALSE))))</f>
        <v/>
      </c>
      <c r="D72" s="1" t="str">
        <f t="shared" si="7"/>
        <v>http://www.ncbi.nlm.nih.gov/pubmed/15119911</v>
      </c>
      <c r="E72" s="22" t="str">
        <f>IF($B72="","",IF(LEN(VLOOKUP($B72,Database!$B$1:$IX$10144,4,FALSE))=0,"",VLOOKUP($B72,Database!$B$1:$IX$10144,4,FALSE)))</f>
        <v>Frodl T (B)</v>
      </c>
      <c r="F72" s="22">
        <f>IF($B72="","",IF(LEN(VLOOKUP($B72,Database!$B$1:$IX$10144,5,FALSE))=0,"",VLOOKUP($B72,Database!$B$1:$IX$10144,5,FALSE)))</f>
        <v>2004</v>
      </c>
      <c r="G72" s="1" t="str">
        <f>IF($B72="","",HYPERLINK(IF(LEN(VLOOKUP($B72,Database!$B$1:$IX$10144,6,FALSE))=0,"",VLOOKUP($B72,Database!$B$1:$IX$10144,6,FALSE))))</f>
        <v>http://www.psychiatrist.com/abstracts/abstracts.asp?abstract=200404/040405.htm</v>
      </c>
      <c r="H72" s="22">
        <f>IF($B72="","",IF(LEN(VLOOKUP($B72,Database!$B$1:$IX$10144,7,FALSE))=0,"",VLOOKUP($B72,Database!$B$1:$IX$10144,7,FALSE)))</f>
        <v>30</v>
      </c>
      <c r="I72" s="22">
        <f>IF($B72="","",IF(LEN(VLOOKUP($B72,Database!$B$1:$IX$10144,8,FALSE))=0,"",VLOOKUP($B72,Database!$B$1:$IX$10144,8,FALSE)))</f>
        <v>30</v>
      </c>
      <c r="J72" t="s">
        <v>1381</v>
      </c>
      <c r="L72">
        <v>3.7</v>
      </c>
      <c r="M72">
        <v>0.33</v>
      </c>
      <c r="N72">
        <v>3.82</v>
      </c>
      <c r="O72">
        <v>0.34</v>
      </c>
      <c r="P72">
        <v>3.8</v>
      </c>
      <c r="Q72">
        <v>0.31</v>
      </c>
      <c r="R72">
        <v>3.93</v>
      </c>
      <c r="S72">
        <v>0.35</v>
      </c>
      <c r="Y72" s="22" t="str">
        <f>IF(OR($B72="",Y$22=""),"",IF(LEN(VLOOKUP($B72,Database!$B$1:$IX$10144,Y$22,FALSE))=0,"",VLOOKUP($B72,Database!$B$1:$IX$10144,Y$22,FALSE)))</f>
        <v>DSM-IV</v>
      </c>
      <c r="Z72" s="22" t="str">
        <f>IF(OR($B72="",Z$22=""),"",IF(LEN(VLOOKUP($B72,Database!$B$1:$IX$10144,Z$22,FALSE))=0,"",VLOOKUP($B72,Database!$B$1:$IX$10144,Z$22,FALSE)))</f>
        <v>MRI</v>
      </c>
      <c r="AA72" s="22" t="str">
        <f>IF(OR($B72="",AA$22=""),"",IF(LEN(VLOOKUP($B72,Database!$B$1:$IX$10144,AA$22,FALSE))=0,"",VLOOKUP($B72,Database!$B$1:$IX$10144,AA$22,FALSE)))</f>
        <v/>
      </c>
      <c r="AB72" s="22">
        <f>IF(OR($B72="",AB$22=""),"",IF(LEN(VLOOKUP($B72,Database!$B$1:$IX$10144,AB$22,FALSE))=0,"",VLOOKUP($B72,Database!$B$1:$IX$10144,AB$22,FALSE)))</f>
        <v>48.4</v>
      </c>
      <c r="AC72" s="22">
        <f>IF(OR($B72="",AC$22=""),"",IF(LEN(VLOOKUP($B72,Database!$B$1:$IX$10144,AC$22,FALSE))=0,"",VLOOKUP($B72,Database!$B$1:$IX$10144,AC$22,FALSE)))</f>
        <v>13.4</v>
      </c>
      <c r="AD72" s="22">
        <f>IF(OR($B72="",AD$22=""),"",IF(LEN(VLOOKUP($B72,Database!$B$1:$IX$10144,AD$22,FALSE))=0,"",VLOOKUP($B72,Database!$B$1:$IX$10144,AD$22,FALSE)))</f>
        <v>45.7</v>
      </c>
      <c r="AE72" s="22">
        <f>IF(OR($B72="",AE$22=""),"",IF(LEN(VLOOKUP($B72,Database!$B$1:$IX$10144,AE$22,FALSE))=0,"",VLOOKUP($B72,Database!$B$1:$IX$10144,AE$22,FALSE)))</f>
        <v>12.9</v>
      </c>
      <c r="AF72" s="22">
        <f>IF(OR($B72="",AF$22=""),"",IF(LEN(VLOOKUP($B72,Database!$B$1:$IX$10144,AF$22,FALSE))=0,"",VLOOKUP($B72,Database!$B$1:$IX$10144,AF$22,FALSE)))</f>
        <v>18</v>
      </c>
      <c r="AG72" s="22">
        <f>IF(OR($B72="",AG$22=""),"",IF(LEN(VLOOKUP($B72,Database!$B$1:$IX$10144,AG$22,FALSE))=0,"",VLOOKUP($B72,Database!$B$1:$IX$10144,AG$22,FALSE)))</f>
        <v>18</v>
      </c>
      <c r="AH72" s="22"/>
      <c r="AI72" s="22"/>
      <c r="AJ72" s="22" t="str">
        <f>IF(OR($B72="",AJ$22=""),"",IF(LEN(VLOOKUP($B72,Database!$B$1:$IX$10144,AJ$22,FALSE))=0,"",VLOOKUP($B72,Database!$B$1:$IX$10144,AJ$22,FALSE)))</f>
        <v/>
      </c>
      <c r="AK72" s="22">
        <f>IF(OR($B72="",AK$22=""),"",IF(LEN(VLOOKUP($B72,Database!$B$1:$IX$10144,AK$22,FALSE))=0,"",VLOOKUP($B72,Database!$B$1:$IX$10144,AK$22,FALSE)))</f>
        <v>39.299999999999997</v>
      </c>
      <c r="AL72" s="22">
        <f>IF(OR($B72="",AL$22=""),"",IF(LEN(VLOOKUP($B72,Database!$B$1:$IX$10144,AL$22,FALSE))=0,"",VLOOKUP($B72,Database!$B$1:$IX$10144,AL$22,FALSE)))</f>
        <v>23.7</v>
      </c>
      <c r="AM72" s="22" t="str">
        <f>IF(OR($B72="",AM$22=""),"",IF(LEN(VLOOKUP($B72,Database!$B$1:$IX$10144,AM$22,FALSE))=0,"",VLOOKUP($B72,Database!$B$1:$IX$10144,AM$22,FALSE)))</f>
        <v>ns</v>
      </c>
      <c r="AN72" s="22">
        <f>IF(OR($B72="",AN$22=""),"",IF(LEN(VLOOKUP($B72,Database!$B$1:$IX$10144,AN$22,FALSE))=0,"",VLOOKUP($B72,Database!$B$1:$IX$10144,AN$22,FALSE)))</f>
        <v>23.333333333333332</v>
      </c>
      <c r="AO72" s="22" t="str">
        <f>IF(OR($B72="",AO$22=""),"",IF(LEN(VLOOKUP($B72,Database!$B$1:$IX$10144,AO$22,FALSE))=0,"",VLOOKUP($B72,Database!$B$1:$IX$10144,AO$22,FALSE)))</f>
        <v>ns</v>
      </c>
      <c r="AP72" s="22">
        <f>IF(OR($B72="",AP$22=""),"",IF(LEN(VLOOKUP($B72,Database!$B$1:$IX$10144,AP$22,FALSE))=0,"",VLOOKUP($B72,Database!$B$1:$IX$10144,AP$22,FALSE)))</f>
        <v>6.666666666666667</v>
      </c>
      <c r="AQ72" s="22" t="str">
        <f>IF(OR($B72="",AQ$22=""),"",IF(LEN(VLOOKUP($B72,Database!$B$1:$IX$10144,AQ$22,FALSE))=0,"",VLOOKUP($B72,Database!$B$1:$IX$10144,AQ$22,FALSE)))</f>
        <v>Frodl T, Meisenzahl EM, Zetzsche T, Hohne T, Banac S, Schorr C, Jager M, Leinsinger G, Bottlender R, Reiser M, Moller HJ.</v>
      </c>
      <c r="AR72" s="22"/>
      <c r="AS72" s="22"/>
      <c r="AT72" s="22"/>
      <c r="AU72" s="22"/>
    </row>
    <row r="73" spans="1:47">
      <c r="A73" s="7" t="s">
        <v>72</v>
      </c>
      <c r="B73">
        <v>15738499</v>
      </c>
      <c r="C73" s="1" t="str">
        <f>IF($B73="","",HYPERLINK(IF(LEN(VLOOKUP($B73,Database!$B$1:$IX$10144,2,FALSE))=0,"",VLOOKUP($B73,Database!$B$1:$IX$10144,2,FALSE))))</f>
        <v/>
      </c>
      <c r="D73" s="1" t="str">
        <f t="shared" si="7"/>
        <v>http://www.ncbi.nlm.nih.gov/pubmed/15738499</v>
      </c>
      <c r="E73" s="22" t="str">
        <f>IF($B73="","",IF(LEN(VLOOKUP($B73,Database!$B$1:$IX$10144,4,FALSE))=0,"",VLOOKUP($B73,Database!$B$1:$IX$10144,4,FALSE)))</f>
        <v>Hickie I (A)</v>
      </c>
      <c r="F73" s="22">
        <f>IF($B73="","",IF(LEN(VLOOKUP($B73,Database!$B$1:$IX$10144,5,FALSE))=0,"",VLOOKUP($B73,Database!$B$1:$IX$10144,5,FALSE)))</f>
        <v>2005</v>
      </c>
      <c r="G73" s="1" t="str">
        <f>IF($B73="","",HYPERLINK(IF(LEN(VLOOKUP($B73,Database!$B$1:$IX$10144,6,FALSE))=0,"",VLOOKUP($B73,Database!$B$1:$IX$10144,6,FALSE))))</f>
        <v>http://bjp.rcpsych.org/cgi/content/full/186/3/197</v>
      </c>
      <c r="H73" s="22">
        <f>IF($B73="","",IF(LEN(VLOOKUP($B73,Database!$B$1:$IX$10144,7,FALSE))=0,"",VLOOKUP($B73,Database!$B$1:$IX$10144,7,FALSE)))</f>
        <v>51</v>
      </c>
      <c r="I73" s="22">
        <f>IF($B73="","",IF(LEN(VLOOKUP($B73,Database!$B$1:$IX$10144,8,FALSE))=0,"",VLOOKUP($B73,Database!$B$1:$IX$10144,8,FALSE)))</f>
        <v>20</v>
      </c>
      <c r="J73" t="s">
        <v>1054</v>
      </c>
      <c r="L73">
        <v>2.9</v>
      </c>
      <c r="M73">
        <v>0.4</v>
      </c>
      <c r="N73">
        <v>3.3</v>
      </c>
      <c r="O73">
        <v>0.5</v>
      </c>
      <c r="P73">
        <v>3</v>
      </c>
      <c r="Q73">
        <v>0.4</v>
      </c>
      <c r="R73">
        <v>3.3</v>
      </c>
      <c r="S73">
        <v>0.6</v>
      </c>
      <c r="T73">
        <v>5.9</v>
      </c>
      <c r="U73">
        <v>0.7</v>
      </c>
      <c r="V73">
        <v>6.6</v>
      </c>
      <c r="W73">
        <v>1.1000000000000001</v>
      </c>
      <c r="Y73" s="22" t="str">
        <f>IF(OR($B73="",Y$22=""),"",IF(LEN(VLOOKUP($B73,Database!$B$1:$IX$10144,Y$22,FALSE))=0,"",VLOOKUP($B73,Database!$B$1:$IX$10144,Y$22,FALSE)))</f>
        <v>DSM-IV</v>
      </c>
      <c r="Z73" s="22" t="str">
        <f>IF(OR($B73="",Z$22=""),"",IF(LEN(VLOOKUP($B73,Database!$B$1:$IX$10144,Z$22,FALSE))=0,"",VLOOKUP($B73,Database!$B$1:$IX$10144,Z$22,FALSE)))</f>
        <v>MRI</v>
      </c>
      <c r="AA73" s="22" t="str">
        <f>IF(OR($B73="",AA$22=""),"",IF(LEN(VLOOKUP($B73,Database!$B$1:$IX$10144,AA$22,FALSE))=0,"",VLOOKUP($B73,Database!$B$1:$IX$10144,AA$22,FALSE)))</f>
        <v/>
      </c>
      <c r="AB73" s="22">
        <f>IF(OR($B73="",AB$22=""),"",IF(LEN(VLOOKUP($B73,Database!$B$1:$IX$10144,AB$22,FALSE))=0,"",VLOOKUP($B73,Database!$B$1:$IX$10144,AB$22,FALSE)))</f>
        <v>53.5</v>
      </c>
      <c r="AC73" s="22">
        <f>IF(OR($B73="",AC$22=""),"",IF(LEN(VLOOKUP($B73,Database!$B$1:$IX$10144,AC$22,FALSE))=0,"",VLOOKUP($B73,Database!$B$1:$IX$10144,AC$22,FALSE)))</f>
        <v>13.5</v>
      </c>
      <c r="AD73" s="22">
        <f>IF(OR($B73="",AD$22=""),"",IF(LEN(VLOOKUP($B73,Database!$B$1:$IX$10144,AD$22,FALSE))=0,"",VLOOKUP($B73,Database!$B$1:$IX$10144,AD$22,FALSE)))</f>
        <v>55.8</v>
      </c>
      <c r="AE73" s="22">
        <f>IF(OR($B73="",AE$22=""),"",IF(LEN(VLOOKUP($B73,Database!$B$1:$IX$10144,AE$22,FALSE))=0,"",VLOOKUP($B73,Database!$B$1:$IX$10144,AE$22,FALSE)))</f>
        <v>10</v>
      </c>
      <c r="AF73" s="22">
        <f>IF(OR($B73="",AF$22=""),"",IF(LEN(VLOOKUP($B73,Database!$B$1:$IX$10144,AF$22,FALSE))=0,"",VLOOKUP($B73,Database!$B$1:$IX$10144,AF$22,FALSE)))</f>
        <v>44</v>
      </c>
      <c r="AG73" s="22">
        <f>IF(OR($B73="",AG$22=""),"",IF(LEN(VLOOKUP($B73,Database!$B$1:$IX$10144,AG$22,FALSE))=0,"",VLOOKUP($B73,Database!$B$1:$IX$10144,AG$22,FALSE)))</f>
        <v>11</v>
      </c>
      <c r="AH73" s="22">
        <f>IF(OR($B73="",AH$22=""),"",IF(LEN(VLOOKUP($B73,Database!$B$1:$IX$10144,AH$22,FALSE))=0,"",VLOOKUP($B73,Database!$B$1:$IX$10144,AH$22,FALSE)))</f>
        <v>1.5</v>
      </c>
      <c r="AI73" s="22">
        <f>IF(OR($B73="",AI$22=""),"",IF(LEN(VLOOKUP($B73,Database!$B$1:$IX$10144,AI$22,FALSE))=0,"",VLOOKUP($B73,Database!$B$1:$IX$10144,AI$22,FALSE)))</f>
        <v>1.5</v>
      </c>
      <c r="AJ73" s="22" t="str">
        <f>IF(OR($B73="",AJ$22=""),"",IF(LEN(VLOOKUP($B73,Database!$B$1:$IX$10144,AJ$22,FALSE))=0,"",VLOOKUP($B73,Database!$B$1:$IX$10144,AJ$22,FALSE)))</f>
        <v/>
      </c>
      <c r="AK73" s="22">
        <f>IF(OR($B73="",AK$22=""),"",IF(LEN(VLOOKUP($B73,Database!$B$1:$IX$10144,AK$22,FALSE))=0,"",VLOOKUP($B73,Database!$B$1:$IX$10144,AK$22,FALSE)))</f>
        <v>38.4</v>
      </c>
      <c r="AL73" s="22">
        <f>IF(OR($B73="",AL$22=""),"",IF(LEN(VLOOKUP($B73,Database!$B$1:$IX$10144,AL$22,FALSE))=0,"",VLOOKUP($B73,Database!$B$1:$IX$10144,AL$22,FALSE)))</f>
        <v>24.9</v>
      </c>
      <c r="AM73" s="22" t="str">
        <f>IF(OR($B73="",AM$22=""),"",IF(LEN(VLOOKUP($B73,Database!$B$1:$IX$10144,AM$22,FALSE))=0,"",VLOOKUP($B73,Database!$B$1:$IX$10144,AM$22,FALSE)))</f>
        <v>ns</v>
      </c>
      <c r="AN73" s="22" t="str">
        <f>IF(OR($B73="",AN$22=""),"",IF(LEN(VLOOKUP($B73,Database!$B$1:$IX$10144,AN$22,FALSE))=0,"",VLOOKUP($B73,Database!$B$1:$IX$10144,AN$22,FALSE)))</f>
        <v>ns</v>
      </c>
      <c r="AO73" s="22" t="str">
        <f>IF(OR($B73="",AO$22=""),"",IF(LEN(VLOOKUP($B73,Database!$B$1:$IX$10144,AO$22,FALSE))=0,"",VLOOKUP($B73,Database!$B$1:$IX$10144,AO$22,FALSE)))</f>
        <v>ns</v>
      </c>
      <c r="AP73" s="22" t="str">
        <f>IF(OR($B73="",AP$22=""),"",IF(LEN(VLOOKUP($B73,Database!$B$1:$IX$10144,AP$22,FALSE))=0,"",VLOOKUP($B73,Database!$B$1:$IX$10144,AP$22,FALSE)))</f>
        <v>ns</v>
      </c>
      <c r="AQ73" s="22" t="str">
        <f>IF(OR($B73="",AQ$22=""),"",IF(LEN(VLOOKUP($B73,Database!$B$1:$IX$10144,AQ$22,FALSE))=0,"",VLOOKUP($B73,Database!$B$1:$IX$10144,AQ$22,FALSE)))</f>
        <v>Hickie I, Naismith S, Ward PB, Turner K, Scott E, Mitchell P, Wilhelm K, Parker G.</v>
      </c>
      <c r="AR73" s="22"/>
      <c r="AS73" s="22"/>
      <c r="AT73" s="22"/>
      <c r="AU73" s="22"/>
    </row>
    <row r="74" spans="1:47">
      <c r="A74" s="10" t="s">
        <v>2335</v>
      </c>
      <c r="B74">
        <v>16951734</v>
      </c>
      <c r="C74" s="1" t="str">
        <f>IF($B74="","",HYPERLINK(IF(LEN(VLOOKUP($B74,Database!$B$1:$IX$10144,2,FALSE))=0,"",VLOOKUP($B74,Database!$B$1:$IX$10144,2,FALSE))))</f>
        <v/>
      </c>
      <c r="D74" s="1" t="str">
        <f t="shared" si="7"/>
        <v>http://www.ncbi.nlm.nih.gov/pubmed/16951734</v>
      </c>
      <c r="E74" s="22" t="str">
        <f>IF($B74="","",IF(LEN(VLOOKUP($B74,Database!$B$1:$IX$10144,4,FALSE))=0,"",VLOOKUP($B74,Database!$B$1:$IX$10144,4,FALSE)))</f>
        <v>Frodl T</v>
      </c>
      <c r="F74" s="22">
        <f>IF($B74="","",IF(LEN(VLOOKUP($B74,Database!$B$1:$IX$10144,5,FALSE))=0,"",VLOOKUP($B74,Database!$B$1:$IX$10144,5,FALSE)))</f>
        <v>2006</v>
      </c>
      <c r="G74" s="1" t="str">
        <f>IF($B74="","",HYPERLINK(IF(LEN(VLOOKUP($B74,Database!$B$1:$IX$10144,6,FALSE))=0,"",VLOOKUP($B74,Database!$B$1:$IX$10144,6,FALSE))))</f>
        <v>http://www.cma.ca/multimedia/staticContent/HTML/N0/l2/jpn/vol-31/issue-5/pdf/pg316.pdf</v>
      </c>
      <c r="H74" s="22">
        <f>IF($B74="","",IF(LEN(VLOOKUP($B74,Database!$B$1:$IX$10144,7,FALSE))=0,"",VLOOKUP($B74,Database!$B$1:$IX$10144,7,FALSE)))</f>
        <v>34</v>
      </c>
      <c r="I74" s="22">
        <f>IF($B74="","",IF(LEN(VLOOKUP($B74,Database!$B$1:$IX$10144,8,FALSE))=0,"",VLOOKUP($B74,Database!$B$1:$IX$10144,8,FALSE)))</f>
        <v>34</v>
      </c>
      <c r="J74" t="s">
        <v>878</v>
      </c>
      <c r="L74">
        <v>2.79</v>
      </c>
      <c r="M74">
        <v>0.31</v>
      </c>
      <c r="N74">
        <v>3.06</v>
      </c>
      <c r="O74">
        <v>0.3</v>
      </c>
      <c r="P74">
        <v>2.92</v>
      </c>
      <c r="Q74">
        <v>0.28999999999999998</v>
      </c>
      <c r="R74">
        <v>3.14</v>
      </c>
      <c r="S74">
        <v>0.3</v>
      </c>
      <c r="Y74" s="22" t="str">
        <f>IF(OR($B74="",Y$22=""),"",IF(LEN(VLOOKUP($B74,Database!$B$1:$IX$10144,Y$22,FALSE))=0,"",VLOOKUP($B74,Database!$B$1:$IX$10144,Y$22,FALSE)))</f>
        <v>DSM-IV</v>
      </c>
      <c r="Z74" s="22" t="str">
        <f>IF(OR($B74="",Z$22=""),"",IF(LEN(VLOOKUP($B74,Database!$B$1:$IX$10144,Z$22,FALSE))=0,"",VLOOKUP($B74,Database!$B$1:$IX$10144,Z$22,FALSE)))</f>
        <v>MRI</v>
      </c>
      <c r="AA74" s="22" t="str">
        <f>IF(OR($B74="",AA$22=""),"",IF(LEN(VLOOKUP($B74,Database!$B$1:$IX$10144,AA$22,FALSE))=0,"",VLOOKUP($B74,Database!$B$1:$IX$10144,AA$22,FALSE)))</f>
        <v/>
      </c>
      <c r="AB74" s="22">
        <f>IF(OR($B74="",AB$22=""),"",IF(LEN(VLOOKUP($B74,Database!$B$1:$IX$10144,AB$22,FALSE))=0,"",VLOOKUP($B74,Database!$B$1:$IX$10144,AB$22,FALSE)))</f>
        <v>45.5</v>
      </c>
      <c r="AC74" s="22">
        <f>IF(OR($B74="",AC$22=""),"",IF(LEN(VLOOKUP($B74,Database!$B$1:$IX$10144,AC$22,FALSE))=0,"",VLOOKUP($B74,Database!$B$1:$IX$10144,AC$22,FALSE)))</f>
        <v>11.9</v>
      </c>
      <c r="AD74" s="22">
        <f>IF(OR($B74="",AD$22=""),"",IF(LEN(VLOOKUP($B74,Database!$B$1:$IX$10144,AD$22,FALSE))=0,"",VLOOKUP($B74,Database!$B$1:$IX$10144,AD$22,FALSE)))</f>
        <v>43.6</v>
      </c>
      <c r="AE74" s="22">
        <f>IF(OR($B74="",AE$22=""),"",IF(LEN(VLOOKUP($B74,Database!$B$1:$IX$10144,AE$22,FALSE))=0,"",VLOOKUP($B74,Database!$B$1:$IX$10144,AE$22,FALSE)))</f>
        <v>13.2</v>
      </c>
      <c r="AF74" s="22">
        <f>IF(OR($B74="",AF$22=""),"",IF(LEN(VLOOKUP($B74,Database!$B$1:$IX$10144,AF$22,FALSE))=0,"",VLOOKUP($B74,Database!$B$1:$IX$10144,AF$22,FALSE)))</f>
        <v>15</v>
      </c>
      <c r="AG74" s="22">
        <f>IF(OR($B74="",AG$22=""),"",IF(LEN(VLOOKUP($B74,Database!$B$1:$IX$10144,AG$22,FALSE))=0,"",VLOOKUP($B74,Database!$B$1:$IX$10144,AG$22,FALSE)))</f>
        <v>15</v>
      </c>
      <c r="AH74" s="22"/>
      <c r="AI74" s="22"/>
      <c r="AJ74" s="22" t="str">
        <f>IF(OR($B74="",AJ$22=""),"",IF(LEN(VLOOKUP($B74,Database!$B$1:$IX$10144,AJ$22,FALSE))=0,"",VLOOKUP($B74,Database!$B$1:$IX$10144,AJ$22,FALSE)))</f>
        <v/>
      </c>
      <c r="AK74" s="22">
        <f>IF(OR($B74="",AK$22=""),"",IF(LEN(VLOOKUP($B74,Database!$B$1:$IX$10144,AK$22,FALSE))=0,"",VLOOKUP($B74,Database!$B$1:$IX$10144,AK$22,FALSE)))</f>
        <v>38.799999999999997</v>
      </c>
      <c r="AL74" s="22">
        <f>IF(OR($B74="",AL$22=""),"",IF(LEN(VLOOKUP($B74,Database!$B$1:$IX$10144,AL$22,FALSE))=0,"",VLOOKUP($B74,Database!$B$1:$IX$10144,AL$22,FALSE)))</f>
        <v>24.8</v>
      </c>
      <c r="AM74" s="22">
        <f>IF(OR($B74="",AM$22=""),"",IF(LEN(VLOOKUP($B74,Database!$B$1:$IX$10144,AM$22,FALSE))=0,"",VLOOKUP($B74,Database!$B$1:$IX$10144,AM$22,FALSE)))</f>
        <v>91.17647058823529</v>
      </c>
      <c r="AN74" s="22" t="str">
        <f>IF(OR($B74="",AN$22=""),"",IF(LEN(VLOOKUP($B74,Database!$B$1:$IX$10144,AN$22,FALSE))=0,"",VLOOKUP($B74,Database!$B$1:$IX$10144,AN$22,FALSE)))</f>
        <v>ns</v>
      </c>
      <c r="AO74" s="22">
        <f>IF(OR($B74="",AO$22=""),"",IF(LEN(VLOOKUP($B74,Database!$B$1:$IX$10144,AO$22,FALSE))=0,"",VLOOKUP($B74,Database!$B$1:$IX$10144,AO$22,FALSE)))</f>
        <v>11.76470588235294</v>
      </c>
      <c r="AP74" s="22">
        <f>IF(OR($B74="",AP$22=""),"",IF(LEN(VLOOKUP($B74,Database!$B$1:$IX$10144,AP$22,FALSE))=0,"",VLOOKUP($B74,Database!$B$1:$IX$10144,AP$22,FALSE)))</f>
        <v>8.8235294117647065</v>
      </c>
      <c r="AQ74" s="22" t="str">
        <f>IF(OR($B74="",AQ$22=""),"",IF(LEN(VLOOKUP($B74,Database!$B$1:$IX$10144,AQ$22,FALSE))=0,"",VLOOKUP($B74,Database!$B$1:$IX$10144,AQ$22,FALSE)))</f>
        <v>Frodl T, Schaub A, Banac S, Charypar M, Jager M, Kummler P, Bottlender R, Zetzsche T, Born C, Leinsinger G, Reiser M, Moller HJ, Meisenzahl EM.</v>
      </c>
      <c r="AR74" s="22"/>
      <c r="AS74" s="22"/>
      <c r="AT74" s="22"/>
      <c r="AU74" s="22"/>
    </row>
    <row r="75" spans="1:47">
      <c r="A75" s="10" t="s">
        <v>2336</v>
      </c>
      <c r="B75">
        <v>17389903</v>
      </c>
      <c r="C75" s="1" t="str">
        <f>IF($B75="","",HYPERLINK(IF(LEN(VLOOKUP($B75,Database!$B$1:$IX$10144,2,FALSE))=0,"",VLOOKUP($B75,Database!$B$1:$IX$10144,2,FALSE))))</f>
        <v/>
      </c>
      <c r="D75" s="1" t="str">
        <f t="shared" si="7"/>
        <v>http://www.ncbi.nlm.nih.gov/pubmed/17389903</v>
      </c>
      <c r="E75" s="22" t="str">
        <f>IF($B75="","",IF(LEN(VLOOKUP($B75,Database!$B$1:$IX$10144,4,FALSE))=0,"",VLOOKUP($B75,Database!$B$1:$IX$10144,4,FALSE)))</f>
        <v>Monkul ES</v>
      </c>
      <c r="F75" s="22">
        <f>IF($B75="","",IF(LEN(VLOOKUP($B75,Database!$B$1:$IX$10144,5,FALSE))=0,"",VLOOKUP($B75,Database!$B$1:$IX$10144,5,FALSE)))</f>
        <v>2007</v>
      </c>
      <c r="G75" s="1" t="str">
        <f>IF($B75="","",HYPERLINK(IF(LEN(VLOOKUP($B75,Database!$B$1:$IX$10144,6,FALSE))=0,"",VLOOKUP($B75,Database!$B$1:$IX$10144,6,FALSE))))</f>
        <v>http://www.nature.com/mp/journal/v12/n4/pdf/4001919a.pdf</v>
      </c>
      <c r="H75" s="83">
        <v>7</v>
      </c>
      <c r="I75" s="83">
        <v>8.5</v>
      </c>
      <c r="J75" t="s">
        <v>1378</v>
      </c>
      <c r="K75" t="s">
        <v>988</v>
      </c>
      <c r="L75">
        <v>3.44</v>
      </c>
      <c r="M75">
        <v>0.7</v>
      </c>
      <c r="N75">
        <v>3.32</v>
      </c>
      <c r="O75">
        <v>0.27</v>
      </c>
      <c r="P75">
        <v>3.35</v>
      </c>
      <c r="Q75">
        <v>0.49</v>
      </c>
      <c r="R75">
        <v>3.29</v>
      </c>
      <c r="S75">
        <v>0.34</v>
      </c>
      <c r="Y75" s="22" t="str">
        <f>IF(OR($B75="",Y$22=""),"",IF(LEN(VLOOKUP($B75,Database!$B$1:$IX$10144,Y$22,FALSE))=0,"",VLOOKUP($B75,Database!$B$1:$IX$10144,Y$22,FALSE)))</f>
        <v>DSM-IV</v>
      </c>
      <c r="Z75" s="22" t="str">
        <f>IF(OR($B75="",Z$22=""),"",IF(LEN(VLOOKUP($B75,Database!$B$1:$IX$10144,Z$22,FALSE))=0,"",VLOOKUP($B75,Database!$B$1:$IX$10144,Z$22,FALSE)))</f>
        <v>MRI</v>
      </c>
      <c r="AA75" s="22" t="str">
        <f>IF(OR($B75="",AA$22=""),"",IF(LEN(VLOOKUP($B75,Database!$B$1:$IX$10144,AA$22,FALSE))=0,"",VLOOKUP($B75,Database!$B$1:$IX$10144,AA$22,FALSE)))</f>
        <v/>
      </c>
      <c r="AB75" s="83">
        <v>31.4</v>
      </c>
      <c r="AC75" s="83">
        <v>13.9</v>
      </c>
      <c r="AD75" s="83">
        <f>IF(OR($B75="",AD$22=""),"",IF(LEN(VLOOKUP($B75,Database!$B$1:$IX$10144,AD$22,FALSE))=0,"",VLOOKUP($B75,Database!$B$1:$IX$10144,AD$22,FALSE)))</f>
        <v>31.3</v>
      </c>
      <c r="AE75" s="83">
        <f>IF(OR($B75="",AE$22=""),"",IF(LEN(VLOOKUP($B75,Database!$B$1:$IX$10144,AE$22,FALSE))=0,"",VLOOKUP($B75,Database!$B$1:$IX$10144,AE$22,FALSE)))</f>
        <v>8.3000000000000007</v>
      </c>
      <c r="AF75" s="83">
        <v>7</v>
      </c>
      <c r="AG75" s="83">
        <v>8.5</v>
      </c>
      <c r="AH75" s="22"/>
      <c r="AI75" s="22"/>
      <c r="AJ75" s="22" t="str">
        <f>IF(OR($B75="",AJ$22=""),"",IF(LEN(VLOOKUP($B75,Database!$B$1:$IX$10144,AJ$22,FALSE))=0,"",VLOOKUP($B75,Database!$B$1:$IX$10144,AJ$22,FALSE)))</f>
        <v/>
      </c>
      <c r="AK75" s="83">
        <v>16</v>
      </c>
      <c r="AL75" s="83">
        <v>13.7</v>
      </c>
      <c r="AM75" s="22">
        <f>IF(OR($B75="",AM$22=""),"",IF(LEN(VLOOKUP($B75,Database!$B$1:$IX$10144,AM$22,FALSE))=0,"",VLOOKUP($B75,Database!$B$1:$IX$10144,AM$22,FALSE)))</f>
        <v>0</v>
      </c>
      <c r="AN75" s="22">
        <f>IF(OR($B75="",AN$22=""),"",IF(LEN(VLOOKUP($B75,Database!$B$1:$IX$10144,AN$22,FALSE))=0,"",VLOOKUP($B75,Database!$B$1:$IX$10144,AN$22,FALSE)))</f>
        <v>0</v>
      </c>
      <c r="AO75" s="22">
        <f>IF(OR($B75="",AO$22=""),"",IF(LEN(VLOOKUP($B75,Database!$B$1:$IX$10144,AO$22,FALSE))=0,"",VLOOKUP($B75,Database!$B$1:$IX$10144,AO$22,FALSE)))</f>
        <v>0</v>
      </c>
      <c r="AP75" s="22">
        <f>IF(OR($B75="",AP$22=""),"",IF(LEN(VLOOKUP($B75,Database!$B$1:$IX$10144,AP$22,FALSE))=0,"",VLOOKUP($B75,Database!$B$1:$IX$10144,AP$22,FALSE)))</f>
        <v>100</v>
      </c>
      <c r="AQ75" s="22" t="str">
        <f>IF(OR($B75="",AQ$22=""),"",IF(LEN(VLOOKUP($B75,Database!$B$1:$IX$10144,AQ$22,FALSE))=0,"",VLOOKUP($B75,Database!$B$1:$IX$10144,AQ$22,FALSE)))</f>
        <v>Monkul ES, Hatch JP, Nicoletti MA, Spence S, Brambilla P, Lacerda AL, Sassi RB, Mallinger AG, Keshavan MS, Soares JC.</v>
      </c>
      <c r="AR75" s="22"/>
      <c r="AS75" s="22"/>
      <c r="AT75" s="22"/>
      <c r="AU75" s="22"/>
    </row>
    <row r="76" spans="1:47">
      <c r="A76" s="10" t="s">
        <v>2336</v>
      </c>
      <c r="B76">
        <v>17389903</v>
      </c>
      <c r="C76" s="1" t="str">
        <f>IF($B76="","",HYPERLINK(IF(LEN(VLOOKUP($B76,Database!$B$1:$IX$10144,2,FALSE))=0,"",VLOOKUP($B76,Database!$B$1:$IX$10144,2,FALSE))))</f>
        <v/>
      </c>
      <c r="D76" s="1" t="str">
        <f t="shared" si="7"/>
        <v>http://www.ncbi.nlm.nih.gov/pubmed/17389903</v>
      </c>
      <c r="E76" s="22" t="str">
        <f>IF($B76="","",IF(LEN(VLOOKUP($B76,Database!$B$1:$IX$10144,4,FALSE))=0,"",VLOOKUP($B76,Database!$B$1:$IX$10144,4,FALSE)))</f>
        <v>Monkul ES</v>
      </c>
      <c r="F76" s="22">
        <f>IF($B76="","",IF(LEN(VLOOKUP($B76,Database!$B$1:$IX$10144,5,FALSE))=0,"",VLOOKUP($B76,Database!$B$1:$IX$10144,5,FALSE)))</f>
        <v>2007</v>
      </c>
      <c r="G76" s="1" t="str">
        <f>IF($B76="","",HYPERLINK(IF(LEN(VLOOKUP($B76,Database!$B$1:$IX$10144,6,FALSE))=0,"",VLOOKUP($B76,Database!$B$1:$IX$10144,6,FALSE))))</f>
        <v>http://www.nature.com/mp/journal/v12/n4/pdf/4001919a.pdf</v>
      </c>
      <c r="H76" s="83">
        <v>10</v>
      </c>
      <c r="I76" s="83">
        <v>8.5</v>
      </c>
      <c r="J76" t="s">
        <v>1378</v>
      </c>
      <c r="K76" t="s">
        <v>989</v>
      </c>
      <c r="L76">
        <v>3.38</v>
      </c>
      <c r="M76">
        <v>0.43</v>
      </c>
      <c r="N76">
        <v>3.32</v>
      </c>
      <c r="O76">
        <v>0.27</v>
      </c>
      <c r="P76">
        <v>3.47</v>
      </c>
      <c r="Q76">
        <v>0.42</v>
      </c>
      <c r="R76">
        <v>3.29</v>
      </c>
      <c r="S76">
        <v>0.34</v>
      </c>
      <c r="Y76" s="22" t="str">
        <f>IF(OR($B76="",Y$22=""),"",IF(LEN(VLOOKUP($B76,Database!$B$1:$IX$10144,Y$22,FALSE))=0,"",VLOOKUP($B76,Database!$B$1:$IX$10144,Y$22,FALSE)))</f>
        <v>DSM-IV</v>
      </c>
      <c r="Z76" s="22" t="str">
        <f>IF(OR($B76="",Z$22=""),"",IF(LEN(VLOOKUP($B76,Database!$B$1:$IX$10144,Z$22,FALSE))=0,"",VLOOKUP($B76,Database!$B$1:$IX$10144,Z$22,FALSE)))</f>
        <v>MRI</v>
      </c>
      <c r="AA76" s="22" t="str">
        <f>IF(OR($B76="",AA$22=""),"",IF(LEN(VLOOKUP($B76,Database!$B$1:$IX$10144,AA$22,FALSE))=0,"",VLOOKUP($B76,Database!$B$1:$IX$10144,AA$22,FALSE)))</f>
        <v/>
      </c>
      <c r="AB76" s="83">
        <v>36.5</v>
      </c>
      <c r="AC76" s="83">
        <v>7.5</v>
      </c>
      <c r="AD76" s="83">
        <f>IF(OR($B76="",AD$22=""),"",IF(LEN(VLOOKUP($B76,Database!$B$1:$IX$10144,AD$22,FALSE))=0,"",VLOOKUP($B76,Database!$B$1:$IX$10144,AD$22,FALSE)))</f>
        <v>31.3</v>
      </c>
      <c r="AE76" s="83">
        <f>IF(OR($B76="",AE$22=""),"",IF(LEN(VLOOKUP($B76,Database!$B$1:$IX$10144,AE$22,FALSE))=0,"",VLOOKUP($B76,Database!$B$1:$IX$10144,AE$22,FALSE)))</f>
        <v>8.3000000000000007</v>
      </c>
      <c r="AF76" s="83">
        <v>10</v>
      </c>
      <c r="AG76" s="83">
        <v>8.5</v>
      </c>
      <c r="AH76" s="22"/>
      <c r="AI76" s="22"/>
      <c r="AJ76" s="22" t="str">
        <f>IF(OR($B76="",AJ$22=""),"",IF(LEN(VLOOKUP($B76,Database!$B$1:$IX$10144,AJ$22,FALSE))=0,"",VLOOKUP($B76,Database!$B$1:$IX$10144,AJ$22,FALSE)))</f>
        <v/>
      </c>
      <c r="AK76" s="83">
        <v>26.9</v>
      </c>
      <c r="AL76" s="83">
        <v>10.9</v>
      </c>
      <c r="AM76" s="22">
        <f>IF(OR($B76="",AM$22=""),"",IF(LEN(VLOOKUP($B76,Database!$B$1:$IX$10144,AM$22,FALSE))=0,"",VLOOKUP($B76,Database!$B$1:$IX$10144,AM$22,FALSE)))</f>
        <v>0</v>
      </c>
      <c r="AN76" s="22">
        <f>IF(OR($B76="",AN$22=""),"",IF(LEN(VLOOKUP($B76,Database!$B$1:$IX$10144,AN$22,FALSE))=0,"",VLOOKUP($B76,Database!$B$1:$IX$10144,AN$22,FALSE)))</f>
        <v>0</v>
      </c>
      <c r="AO76" s="22">
        <f>IF(OR($B76="",AO$22=""),"",IF(LEN(VLOOKUP($B76,Database!$B$1:$IX$10144,AO$22,FALSE))=0,"",VLOOKUP($B76,Database!$B$1:$IX$10144,AO$22,FALSE)))</f>
        <v>0</v>
      </c>
      <c r="AP76" s="22">
        <f>IF(OR($B76="",AP$22=""),"",IF(LEN(VLOOKUP($B76,Database!$B$1:$IX$10144,AP$22,FALSE))=0,"",VLOOKUP($B76,Database!$B$1:$IX$10144,AP$22,FALSE)))</f>
        <v>100</v>
      </c>
      <c r="AQ76" s="22" t="str">
        <f>IF(OR($B76="",AQ$22=""),"",IF(LEN(VLOOKUP($B76,Database!$B$1:$IX$10144,AQ$22,FALSE))=0,"",VLOOKUP($B76,Database!$B$1:$IX$10144,AQ$22,FALSE)))</f>
        <v>Monkul ES, Hatch JP, Nicoletti MA, Spence S, Brambilla P, Lacerda AL, Sassi RB, Mallinger AG, Keshavan MS, Soares JC.</v>
      </c>
      <c r="AR76" s="22"/>
      <c r="AS76" s="22"/>
      <c r="AT76" s="22"/>
      <c r="AU76" s="22"/>
    </row>
    <row r="77" spans="1:47">
      <c r="A77" s="10" t="s">
        <v>2335</v>
      </c>
      <c r="B77">
        <v>18787661</v>
      </c>
      <c r="C77" s="1" t="str">
        <f>IF($B77="","",HYPERLINK(IF(LEN(VLOOKUP($B77,Database!$B$1:$IX$10144,2,FALSE))=0,"",VLOOKUP($B77,Database!$B$1:$IX$10144,2,FALSE))))</f>
        <v/>
      </c>
      <c r="D77" s="1" t="str">
        <f t="shared" si="7"/>
        <v>http://www.ncbi.nlm.nih.gov/pubmed/18787661</v>
      </c>
      <c r="E77" s="22" t="str">
        <f>IF($B77="","",IF(LEN(VLOOKUP($B77,Database!$B$1:$IX$10144,4,FALSE))=0,"",VLOOKUP($B77,Database!$B$1:$IX$10144,4,FALSE)))</f>
        <v>Frodl T (C)</v>
      </c>
      <c r="F77" s="22">
        <f>IF($B77="","",IF(LEN(VLOOKUP($B77,Database!$B$1:$IX$10144,5,FALSE))=0,"",VLOOKUP($B77,Database!$B$1:$IX$10144,5,FALSE)))</f>
        <v>2008</v>
      </c>
      <c r="G77" s="1" t="str">
        <f>IF($B77="","",HYPERLINK(IF(LEN(VLOOKUP($B77,Database!$B$1:$IX$10144,6,FALSE))=0,"",VLOOKUP($B77,Database!$B$1:$IX$10144,6,FALSE))))</f>
        <v>http://www.cma.ca/multimedia/staticContent/HTML/N0/l2/jpn/vol-33/issue-5/pdf/pg423.pdf</v>
      </c>
      <c r="H77" s="22">
        <f>IF($B77="","",IF(LEN(VLOOKUP($B77,Database!$B$1:$IX$10144,7,FALSE))=0,"",VLOOKUP($B77,Database!$B$1:$IX$10144,7,FALSE)))</f>
        <v>30</v>
      </c>
      <c r="I77" s="22">
        <f>IF($B77="","",IF(LEN(VLOOKUP($B77,Database!$B$1:$IX$10144,8,FALSE))=0,"",VLOOKUP($B77,Database!$B$1:$IX$10144,8,FALSE)))</f>
        <v>30</v>
      </c>
      <c r="J77" t="s">
        <v>652</v>
      </c>
      <c r="L77">
        <v>3.71</v>
      </c>
      <c r="M77">
        <v>0.34</v>
      </c>
      <c r="N77">
        <v>3.72</v>
      </c>
      <c r="O77">
        <v>0.37</v>
      </c>
      <c r="P77">
        <v>3.85</v>
      </c>
      <c r="Q77">
        <v>0.34</v>
      </c>
      <c r="R77">
        <v>3.82</v>
      </c>
      <c r="S77">
        <v>0.47</v>
      </c>
      <c r="Y77" s="22" t="str">
        <f>IF(OR($B77="",Y$22=""),"",IF(LEN(VLOOKUP($B77,Database!$B$1:$IX$10144,Y$22,FALSE))=0,"",VLOOKUP($B77,Database!$B$1:$IX$10144,Y$22,FALSE)))</f>
        <v>DSM-IV</v>
      </c>
      <c r="Z77" s="22" t="str">
        <f>IF(OR($B77="",Z$22=""),"",IF(LEN(VLOOKUP($B77,Database!$B$1:$IX$10144,Z$22,FALSE))=0,"",VLOOKUP($B77,Database!$B$1:$IX$10144,Z$22,FALSE)))</f>
        <v>MRI</v>
      </c>
      <c r="AA77" s="22" t="str">
        <f>IF(OR($B77="",AA$22=""),"",IF(LEN(VLOOKUP($B77,Database!$B$1:$IX$10144,AA$22,FALSE))=0,"",VLOOKUP($B77,Database!$B$1:$IX$10144,AA$22,FALSE)))</f>
        <v/>
      </c>
      <c r="AB77" s="22">
        <f>IF(OR($B77="",AB$22=""),"",IF(LEN(VLOOKUP($B77,Database!$B$1:$IX$10144,AB$22,FALSE))=0,"",VLOOKUP($B77,Database!$B$1:$IX$10144,AB$22,FALSE)))</f>
        <v>45</v>
      </c>
      <c r="AC77" s="22">
        <f>IF(OR($B77="",AC$22=""),"",IF(LEN(VLOOKUP($B77,Database!$B$1:$IX$10144,AC$22,FALSE))=0,"",VLOOKUP($B77,Database!$B$1:$IX$10144,AC$22,FALSE)))</f>
        <v>11.1</v>
      </c>
      <c r="AD77" s="22">
        <f>IF(OR($B77="",AD$22=""),"",IF(LEN(VLOOKUP($B77,Database!$B$1:$IX$10144,AD$22,FALSE))=0,"",VLOOKUP($B77,Database!$B$1:$IX$10144,AD$22,FALSE)))</f>
        <v>43.6</v>
      </c>
      <c r="AE77" s="22">
        <f>IF(OR($B77="",AE$22=""),"",IF(LEN(VLOOKUP($B77,Database!$B$1:$IX$10144,AE$22,FALSE))=0,"",VLOOKUP($B77,Database!$B$1:$IX$10144,AE$22,FALSE)))</f>
        <v>13.1</v>
      </c>
      <c r="AF77" s="22">
        <f>IF(OR($B77="",AF$22=""),"",IF(LEN(VLOOKUP($B77,Database!$B$1:$IX$10144,AF$22,FALSE))=0,"",VLOOKUP($B77,Database!$B$1:$IX$10144,AF$22,FALSE)))</f>
        <v>19</v>
      </c>
      <c r="AG77" s="22">
        <f>IF(OR($B77="",AG$22=""),"",IF(LEN(VLOOKUP($B77,Database!$B$1:$IX$10144,AG$22,FALSE))=0,"",VLOOKUP($B77,Database!$B$1:$IX$10144,AG$22,FALSE)))</f>
        <v>19</v>
      </c>
      <c r="AH77" s="22"/>
      <c r="AI77" s="22"/>
      <c r="AJ77" s="22" t="str">
        <f>IF(OR($B77="",AJ$22=""),"",IF(LEN(VLOOKUP($B77,Database!$B$1:$IX$10144,AJ$22,FALSE))=0,"",VLOOKUP($B77,Database!$B$1:$IX$10144,AJ$22,FALSE)))</f>
        <v/>
      </c>
      <c r="AK77" s="22">
        <f>IF(OR($B77="",AK$22=""),"",IF(LEN(VLOOKUP($B77,Database!$B$1:$IX$10144,AK$22,FALSE))=0,"",VLOOKUP($B77,Database!$B$1:$IX$10144,AK$22,FALSE)))</f>
        <v>39.299999999999997</v>
      </c>
      <c r="AL77" s="22">
        <f>IF(OR($B77="",AL$22=""),"",IF(LEN(VLOOKUP($B77,Database!$B$1:$IX$10144,AL$22,FALSE))=0,"",VLOOKUP($B77,Database!$B$1:$IX$10144,AL$22,FALSE)))</f>
        <v>24</v>
      </c>
      <c r="AM77" s="22">
        <f>IF(OR($B77="",AM$22=""),"",IF(LEN(VLOOKUP($B77,Database!$B$1:$IX$10144,AM$22,FALSE))=0,"",VLOOKUP($B77,Database!$B$1:$IX$10144,AM$22,FALSE)))</f>
        <v>96.666666666666671</v>
      </c>
      <c r="AN77" s="22" t="str">
        <f>IF(OR($B77="",AN$22=""),"",IF(LEN(VLOOKUP($B77,Database!$B$1:$IX$10144,AN$22,FALSE))=0,"",VLOOKUP($B77,Database!$B$1:$IX$10144,AN$22,FALSE)))</f>
        <v>ns</v>
      </c>
      <c r="AO77" s="22" t="str">
        <f>IF(OR($B77="",AO$22=""),"",IF(LEN(VLOOKUP($B77,Database!$B$1:$IX$10144,AO$22,FALSE))=0,"",VLOOKUP($B77,Database!$B$1:$IX$10144,AO$22,FALSE)))</f>
        <v>ns</v>
      </c>
      <c r="AP77" s="22" t="str">
        <f>IF(OR($B77="",AP$22=""),"",IF(LEN(VLOOKUP($B77,Database!$B$1:$IX$10144,AP$22,FALSE))=0,"",VLOOKUP($B77,Database!$B$1:$IX$10144,AP$22,FALSE)))</f>
        <v>ns</v>
      </c>
      <c r="AQ77" s="22" t="str">
        <f>IF(OR($B77="",AQ$22=""),"",IF(LEN(VLOOKUP($B77,Database!$B$1:$IX$10144,AQ$22,FALSE))=0,"",VLOOKUP($B77,Database!$B$1:$IX$10144,AQ$22,FALSE)))</f>
        <v>Frodl T, Jäger M, Smajstrlova I, Born C, Bottlender R, Palladino T, Reiser M, Möller HJ, Meisenzahl EM.</v>
      </c>
      <c r="AR77" s="22"/>
      <c r="AS77" s="22"/>
      <c r="AT77" s="22"/>
      <c r="AU77" s="22"/>
    </row>
    <row r="78" spans="1:47">
      <c r="A78" s="10" t="s">
        <v>1188</v>
      </c>
      <c r="B78">
        <v>18508244</v>
      </c>
      <c r="C78" s="1" t="str">
        <f>IF($B78="","",HYPERLINK(IF(LEN(VLOOKUP($B78,Database!$B$1:$IX$10144,2,FALSE))=0,"",VLOOKUP($B78,Database!$B$1:$IX$10144,2,FALSE))))</f>
        <v/>
      </c>
      <c r="D78" s="1" t="str">
        <f t="shared" si="7"/>
        <v>http://www.ncbi.nlm.nih.gov/pubmed/18508244</v>
      </c>
      <c r="E78" s="22" t="str">
        <f>IF($B78="","",IF(LEN(VLOOKUP($B78,Database!$B$1:$IX$10144,4,FALSE))=0,"",VLOOKUP($B78,Database!$B$1:$IX$10144,4,FALSE)))</f>
        <v>Greenberg DL</v>
      </c>
      <c r="F78" s="22">
        <f>IF($B78="","",IF(LEN(VLOOKUP($B78,Database!$B$1:$IX$10144,5,FALSE))=0,"",VLOOKUP($B78,Database!$B$1:$IX$10144,5,FALSE)))</f>
        <v>2008</v>
      </c>
      <c r="G78" s="1" t="str">
        <f>IF($B78="","",HYPERLINK(IF(LEN(VLOOKUP($B78,Database!$B$1:$IX$10144,6,FALSE))=0,"",VLOOKUP($B78,Database!$B$1:$IX$10144,6,FALSE))))</f>
        <v>http://dx.doi.org/10.1016/j.pscychresns.2007.12.009</v>
      </c>
      <c r="H78" s="83">
        <v>56</v>
      </c>
      <c r="I78" s="83">
        <v>41.5</v>
      </c>
      <c r="J78" t="s">
        <v>609</v>
      </c>
      <c r="K78" t="s">
        <v>607</v>
      </c>
      <c r="L78">
        <v>2.91</v>
      </c>
      <c r="M78">
        <v>0.45</v>
      </c>
      <c r="N78">
        <v>2.95</v>
      </c>
      <c r="O78">
        <v>0.45</v>
      </c>
      <c r="P78">
        <v>3.13</v>
      </c>
      <c r="Q78">
        <v>0.36</v>
      </c>
      <c r="R78">
        <v>3.13</v>
      </c>
      <c r="S78">
        <v>0.44</v>
      </c>
      <c r="Y78" s="22" t="str">
        <f>IF(OR($B78="",Y$22=""),"",IF(LEN(VLOOKUP($B78,Database!$B$1:$IX$10144,Y$22,FALSE))=0,"",VLOOKUP($B78,Database!$B$1:$IX$10144,Y$22,FALSE)))</f>
        <v>DSM-IV</v>
      </c>
      <c r="Z78" s="22" t="str">
        <f>IF(OR($B78="",Z$22=""),"",IF(LEN(VLOOKUP($B78,Database!$B$1:$IX$10144,Z$22,FALSE))=0,"",VLOOKUP($B78,Database!$B$1:$IX$10144,Z$22,FALSE)))</f>
        <v>MRI</v>
      </c>
      <c r="AA78" s="83" t="s">
        <v>751</v>
      </c>
      <c r="AB78" s="83">
        <v>71</v>
      </c>
      <c r="AC78" s="83">
        <v>7</v>
      </c>
      <c r="AD78" s="22">
        <f>IF(OR($B78="",AD$22=""),"",IF(LEN(VLOOKUP($B78,Database!$B$1:$IX$10144,AD$22,FALSE))=0,"",VLOOKUP($B78,Database!$B$1:$IX$10144,AD$22,FALSE)))</f>
        <v>69</v>
      </c>
      <c r="AE78" s="22">
        <f>IF(OR($B78="",AE$22=""),"",IF(LEN(VLOOKUP($B78,Database!$B$1:$IX$10144,AE$22,FALSE))=0,"",VLOOKUP($B78,Database!$B$1:$IX$10144,AE$22,FALSE)))</f>
        <v>7</v>
      </c>
      <c r="AF78" s="83">
        <v>37</v>
      </c>
      <c r="AG78" s="83">
        <v>31.5</v>
      </c>
      <c r="AH78" s="22"/>
      <c r="AI78" s="22"/>
      <c r="AJ78" s="22" t="str">
        <f>IF(OR($B78="",AJ$22=""),"",IF(LEN(VLOOKUP($B78,Database!$B$1:$IX$10144,AJ$22,FALSE))=0,"",VLOOKUP($B78,Database!$B$1:$IX$10144,AJ$22,FALSE)))</f>
        <v/>
      </c>
      <c r="AK78" s="83">
        <v>49</v>
      </c>
      <c r="AL78" s="83">
        <v>21</v>
      </c>
      <c r="AM78" s="22" t="str">
        <f>IF(OR($B78="",AM$22=""),"",IF(LEN(VLOOKUP($B78,Database!$B$1:$IX$10144,AM$22,FALSE))=0,"",VLOOKUP($B78,Database!$B$1:$IX$10144,AM$22,FALSE)))</f>
        <v>ns</v>
      </c>
      <c r="AN78" s="22" t="str">
        <f>IF(OR($B78="",AN$22=""),"",IF(LEN(VLOOKUP($B78,Database!$B$1:$IX$10144,AN$22,FALSE))=0,"",VLOOKUP($B78,Database!$B$1:$IX$10144,AN$22,FALSE)))</f>
        <v>ns</v>
      </c>
      <c r="AO78" s="22" t="str">
        <f>IF(OR($B78="",AO$22=""),"",IF(LEN(VLOOKUP($B78,Database!$B$1:$IX$10144,AO$22,FALSE))=0,"",VLOOKUP($B78,Database!$B$1:$IX$10144,AO$22,FALSE)))</f>
        <v>ns</v>
      </c>
      <c r="AP78" s="22" t="str">
        <f>IF(OR($B78="",AP$22=""),"",IF(LEN(VLOOKUP($B78,Database!$B$1:$IX$10144,AP$22,FALSE))=0,"",VLOOKUP($B78,Database!$B$1:$IX$10144,AP$22,FALSE)))</f>
        <v>ns</v>
      </c>
      <c r="AQ78" s="22" t="str">
        <f>IF(OR($B78="",AQ$22=""),"",IF(LEN(VLOOKUP($B78,Database!$B$1:$IX$10144,AQ$22,FALSE))=0,"",VLOOKUP($B78,Database!$B$1:$IX$10144,AQ$22,FALSE)))</f>
        <v>Greenberg DL, Payne ME, MacFall JR, Steffens DC, Krishnan RR.</v>
      </c>
      <c r="AR78" s="22"/>
      <c r="AS78" s="22"/>
      <c r="AT78" s="22"/>
      <c r="AU78" s="22"/>
    </row>
    <row r="79" spans="1:47">
      <c r="A79" s="10" t="s">
        <v>1188</v>
      </c>
      <c r="B79">
        <v>18508244</v>
      </c>
      <c r="C79" s="1" t="str">
        <f>IF($B79="","",HYPERLINK(IF(LEN(VLOOKUP($B79,Database!$B$1:$IX$10144,2,FALSE))=0,"",VLOOKUP($B79,Database!$B$1:$IX$10144,2,FALSE))))</f>
        <v/>
      </c>
      <c r="D79" s="1" t="str">
        <f t="shared" si="7"/>
        <v>http://www.ncbi.nlm.nih.gov/pubmed/18508244</v>
      </c>
      <c r="E79" s="22" t="str">
        <f>IF($B79="","",IF(LEN(VLOOKUP($B79,Database!$B$1:$IX$10144,4,FALSE))=0,"",VLOOKUP($B79,Database!$B$1:$IX$10144,4,FALSE)))</f>
        <v>Greenberg DL</v>
      </c>
      <c r="F79" s="22">
        <f>IF($B79="","",IF(LEN(VLOOKUP($B79,Database!$B$1:$IX$10144,5,FALSE))=0,"",VLOOKUP($B79,Database!$B$1:$IX$10144,5,FALSE)))</f>
        <v>2008</v>
      </c>
      <c r="G79" s="1" t="str">
        <f>IF($B79="","",HYPERLINK(IF(LEN(VLOOKUP($B79,Database!$B$1:$IX$10144,6,FALSE))=0,"",VLOOKUP($B79,Database!$B$1:$IX$10144,6,FALSE))))</f>
        <v>http://dx.doi.org/10.1016/j.pscychresns.2007.12.009</v>
      </c>
      <c r="H79" s="83">
        <v>68</v>
      </c>
      <c r="I79" s="83">
        <v>41.5</v>
      </c>
      <c r="J79" t="s">
        <v>609</v>
      </c>
      <c r="K79" t="s">
        <v>608</v>
      </c>
      <c r="L79">
        <v>2.99</v>
      </c>
      <c r="M79">
        <v>0.48</v>
      </c>
      <c r="N79">
        <v>2.95</v>
      </c>
      <c r="O79">
        <v>0.45</v>
      </c>
      <c r="P79">
        <v>3.07</v>
      </c>
      <c r="Q79">
        <v>0.46</v>
      </c>
      <c r="R79">
        <v>3.13</v>
      </c>
      <c r="S79">
        <v>0.44</v>
      </c>
      <c r="Y79" s="22" t="str">
        <f>IF(OR($B79="",Y$22=""),"",IF(LEN(VLOOKUP($B79,Database!$B$1:$IX$10144,Y$22,FALSE))=0,"",VLOOKUP($B79,Database!$B$1:$IX$10144,Y$22,FALSE)))</f>
        <v>DSM-IV</v>
      </c>
      <c r="Z79" s="22" t="str">
        <f>IF(OR($B79="",Z$22=""),"",IF(LEN(VLOOKUP($B79,Database!$B$1:$IX$10144,Z$22,FALSE))=0,"",VLOOKUP($B79,Database!$B$1:$IX$10144,Z$22,FALSE)))</f>
        <v>MRI</v>
      </c>
      <c r="AA79" s="83" t="s">
        <v>752</v>
      </c>
      <c r="AB79" s="83">
        <v>70</v>
      </c>
      <c r="AC79" s="83">
        <v>8</v>
      </c>
      <c r="AD79" s="22">
        <f>IF(OR($B79="",AD$22=""),"",IF(LEN(VLOOKUP($B79,Database!$B$1:$IX$10144,AD$22,FALSE))=0,"",VLOOKUP($B79,Database!$B$1:$IX$10144,AD$22,FALSE)))</f>
        <v>69</v>
      </c>
      <c r="AE79" s="22">
        <f>IF(OR($B79="",AE$22=""),"",IF(LEN(VLOOKUP($B79,Database!$B$1:$IX$10144,AE$22,FALSE))=0,"",VLOOKUP($B79,Database!$B$1:$IX$10144,AE$22,FALSE)))</f>
        <v>7</v>
      </c>
      <c r="AF79" s="83">
        <v>48</v>
      </c>
      <c r="AG79" s="83">
        <v>31.5</v>
      </c>
      <c r="AH79" s="22"/>
      <c r="AI79" s="22"/>
      <c r="AJ79" s="22" t="str">
        <f>IF(OR($B79="",AJ$22=""),"",IF(LEN(VLOOKUP($B79,Database!$B$1:$IX$10144,AJ$22,FALSE))=0,"",VLOOKUP($B79,Database!$B$1:$IX$10144,AJ$22,FALSE)))</f>
        <v/>
      </c>
      <c r="AK79" s="83">
        <v>40</v>
      </c>
      <c r="AL79" s="83">
        <v>21</v>
      </c>
      <c r="AM79" s="22" t="str">
        <f>IF(OR($B79="",AM$22=""),"",IF(LEN(VLOOKUP($B79,Database!$B$1:$IX$10144,AM$22,FALSE))=0,"",VLOOKUP($B79,Database!$B$1:$IX$10144,AM$22,FALSE)))</f>
        <v>ns</v>
      </c>
      <c r="AN79" s="22" t="str">
        <f>IF(OR($B79="",AN$22=""),"",IF(LEN(VLOOKUP($B79,Database!$B$1:$IX$10144,AN$22,FALSE))=0,"",VLOOKUP($B79,Database!$B$1:$IX$10144,AN$22,FALSE)))</f>
        <v>ns</v>
      </c>
      <c r="AO79" s="22" t="str">
        <f>IF(OR($B79="",AO$22=""),"",IF(LEN(VLOOKUP($B79,Database!$B$1:$IX$10144,AO$22,FALSE))=0,"",VLOOKUP($B79,Database!$B$1:$IX$10144,AO$22,FALSE)))</f>
        <v>ns</v>
      </c>
      <c r="AP79" s="22" t="str">
        <f>IF(OR($B79="",AP$22=""),"",IF(LEN(VLOOKUP($B79,Database!$B$1:$IX$10144,AP$22,FALSE))=0,"",VLOOKUP($B79,Database!$B$1:$IX$10144,AP$22,FALSE)))</f>
        <v>ns</v>
      </c>
      <c r="AQ79" s="22" t="str">
        <f>IF(OR($B79="",AQ$22=""),"",IF(LEN(VLOOKUP($B79,Database!$B$1:$IX$10144,AQ$22,FALSE))=0,"",VLOOKUP($B79,Database!$B$1:$IX$10144,AQ$22,FALSE)))</f>
        <v>Greenberg DL, Payne ME, MacFall JR, Steffens DC, Krishnan RR.</v>
      </c>
      <c r="AR79" s="22"/>
      <c r="AS79" s="22"/>
      <c r="AT79" s="22"/>
      <c r="AU79" s="22"/>
    </row>
    <row r="80" spans="1:47">
      <c r="A80" s="7" t="s">
        <v>26</v>
      </c>
      <c r="B80">
        <v>18515903</v>
      </c>
      <c r="C80" s="1" t="str">
        <f>IF($B80="","",HYPERLINK(IF(LEN(VLOOKUP($B80,Database!$B$1:$IX$10144,2,FALSE))=0,"",VLOOKUP($B80,Database!$B$1:$IX$10144,2,FALSE))))</f>
        <v/>
      </c>
      <c r="D80" s="1" t="str">
        <f t="shared" si="7"/>
        <v>http://www.ncbi.nlm.nih.gov/pubmed/18515903</v>
      </c>
      <c r="E80" s="22" t="str">
        <f>IF($B80="","",IF(LEN(VLOOKUP($B80,Database!$B$1:$IX$10144,4,FALSE))=0,"",VLOOKUP($B80,Database!$B$1:$IX$10144,4,FALSE)))</f>
        <v>Kronmüller KT</v>
      </c>
      <c r="F80" s="22">
        <f>IF($B80="","",IF(LEN(VLOOKUP($B80,Database!$B$1:$IX$10144,5,FALSE))=0,"",VLOOKUP($B80,Database!$B$1:$IX$10144,5,FALSE)))</f>
        <v>2008</v>
      </c>
      <c r="G80" s="1" t="str">
        <f>IF($B80="","",HYPERLINK(IF(LEN(VLOOKUP($B80,Database!$B$1:$IX$10144,6,FALSE))=0,"",VLOOKUP($B80,Database!$B$1:$IX$10144,6,FALSE))))</f>
        <v>http://bjp.rcpsych.org/cgi/content/full/192/6/472</v>
      </c>
      <c r="H80" s="22">
        <f>IF($B80="","",IF(LEN(VLOOKUP($B80,Database!$B$1:$IX$10144,7,FALSE))=0,"",VLOOKUP($B80,Database!$B$1:$IX$10144,7,FALSE)))</f>
        <v>49</v>
      </c>
      <c r="I80" s="22">
        <f>IF($B80="","",IF(LEN(VLOOKUP($B80,Database!$B$1:$IX$10144,8,FALSE))=0,"",VLOOKUP($B80,Database!$B$1:$IX$10144,8,FALSE)))</f>
        <v>30</v>
      </c>
      <c r="K80" s="10"/>
      <c r="Y80" s="22" t="str">
        <f>IF(OR($B80="",Y$22=""),"",IF(LEN(VLOOKUP($B80,Database!$B$1:$IX$10144,Y$22,FALSE))=0,"",VLOOKUP($B80,Database!$B$1:$IX$10144,Y$22,FALSE)))</f>
        <v>DSM-IV</v>
      </c>
      <c r="Z80" s="22" t="str">
        <f>IF(OR($B80="",Z$22=""),"",IF(LEN(VLOOKUP($B80,Database!$B$1:$IX$10144,Z$22,FALSE))=0,"",VLOOKUP($B80,Database!$B$1:$IX$10144,Z$22,FALSE)))</f>
        <v>MRI</v>
      </c>
      <c r="AA80" s="22" t="str">
        <f>IF(OR($B80="",AA$22=""),"",IF(LEN(VLOOKUP($B80,Database!$B$1:$IX$10144,AA$22,FALSE))=0,"",VLOOKUP($B80,Database!$B$1:$IX$10144,AA$22,FALSE)))</f>
        <v/>
      </c>
      <c r="AB80" s="22" t="str">
        <f>IF(OR($B80="",AB$22=""),"",IF(LEN(VLOOKUP($B80,Database!$B$1:$IX$10144,AB$22,FALSE))=0,"",VLOOKUP($B80,Database!$B$1:$IX$10144,AB$22,FALSE)))</f>
        <v/>
      </c>
      <c r="AC80" s="22" t="str">
        <f>IF(OR($B80="",AC$22=""),"",IF(LEN(VLOOKUP($B80,Database!$B$1:$IX$10144,AC$22,FALSE))=0,"",VLOOKUP($B80,Database!$B$1:$IX$10144,AC$22,FALSE)))</f>
        <v/>
      </c>
      <c r="AD80" s="22" t="str">
        <f>IF(OR($B80="",AD$22=""),"",IF(LEN(VLOOKUP($B80,Database!$B$1:$IX$10144,AD$22,FALSE))=0,"",VLOOKUP($B80,Database!$B$1:$IX$10144,AD$22,FALSE)))</f>
        <v/>
      </c>
      <c r="AE80" s="22" t="str">
        <f>IF(OR($B80="",AE$22=""),"",IF(LEN(VLOOKUP($B80,Database!$B$1:$IX$10144,AE$22,FALSE))=0,"",VLOOKUP($B80,Database!$B$1:$IX$10144,AE$22,FALSE)))</f>
        <v/>
      </c>
      <c r="AF80" s="22" t="str">
        <f>IF(OR($B80="",AF$22=""),"",IF(LEN(VLOOKUP($B80,Database!$B$1:$IX$10144,AF$22,FALSE))=0,"",VLOOKUP($B80,Database!$B$1:$IX$10144,AF$22,FALSE)))</f>
        <v/>
      </c>
      <c r="AG80" s="22" t="str">
        <f>IF(OR($B80="",AG$22=""),"",IF(LEN(VLOOKUP($B80,Database!$B$1:$IX$10144,AG$22,FALSE))=0,"",VLOOKUP($B80,Database!$B$1:$IX$10144,AG$22,FALSE)))</f>
        <v/>
      </c>
      <c r="AH80" s="22">
        <f>IF(OR($B80="",AH$22=""),"",IF(LEN(VLOOKUP($B80,Database!$B$1:$IX$10144,AH$22,FALSE))=0,"",VLOOKUP($B80,Database!$B$1:$IX$10144,AH$22,FALSE)))</f>
        <v>1.5</v>
      </c>
      <c r="AI80" s="22" t="str">
        <f>IF(OR($B80="",AI$22=""),"",IF(LEN(VLOOKUP($B80,Database!$B$1:$IX$10144,AI$22,FALSE))=0,"",VLOOKUP($B80,Database!$B$1:$IX$10144,AI$22,FALSE)))</f>
        <v>ns</v>
      </c>
      <c r="AJ80" s="22" t="str">
        <f>IF(OR($B80="",AJ$22=""),"",IF(LEN(VLOOKUP($B80,Database!$B$1:$IX$10144,AJ$22,FALSE))=0,"",VLOOKUP($B80,Database!$B$1:$IX$10144,AJ$22,FALSE)))</f>
        <v/>
      </c>
      <c r="AK80" s="22" t="str">
        <f>IF(OR($B80="",AK$22=""),"",IF(LEN(VLOOKUP($B80,Database!$B$1:$IX$10144,AK$22,FALSE))=0,"",VLOOKUP($B80,Database!$B$1:$IX$10144,AK$22,FALSE)))</f>
        <v>ns</v>
      </c>
      <c r="AL80" s="22">
        <f>IF(OR($B80="",AL$22=""),"",IF(LEN(VLOOKUP($B80,Database!$B$1:$IX$10144,AL$22,FALSE))=0,"",VLOOKUP($B80,Database!$B$1:$IX$10144,AL$22,FALSE)))</f>
        <v>22.74</v>
      </c>
      <c r="AM80" s="22" t="str">
        <f>IF(OR($B80="",AM$22=""),"",IF(LEN(VLOOKUP($B80,Database!$B$1:$IX$10144,AM$22,FALSE))=0,"",VLOOKUP($B80,Database!$B$1:$IX$10144,AM$22,FALSE)))</f>
        <v>ns</v>
      </c>
      <c r="AN80" s="22" t="str">
        <f>IF(OR($B80="",AN$22=""),"",IF(LEN(VLOOKUP($B80,Database!$B$1:$IX$10144,AN$22,FALSE))=0,"",VLOOKUP($B80,Database!$B$1:$IX$10144,AN$22,FALSE)))</f>
        <v>ns</v>
      </c>
      <c r="AO80" s="22" t="str">
        <f>IF(OR($B80="",AO$22=""),"",IF(LEN(VLOOKUP($B80,Database!$B$1:$IX$10144,AO$22,FALSE))=0,"",VLOOKUP($B80,Database!$B$1:$IX$10144,AO$22,FALSE)))</f>
        <v>ns</v>
      </c>
      <c r="AP80" s="22" t="str">
        <f>IF(OR($B80="",AP$22=""),"",IF(LEN(VLOOKUP($B80,Database!$B$1:$IX$10144,AP$22,FALSE))=0,"",VLOOKUP($B80,Database!$B$1:$IX$10144,AP$22,FALSE)))</f>
        <v>ns</v>
      </c>
      <c r="AQ80" s="22" t="str">
        <f>IF(OR($B80="",AQ$22=""),"",IF(LEN(VLOOKUP($B80,Database!$B$1:$IX$10144,AQ$22,FALSE))=0,"",VLOOKUP($B80,Database!$B$1:$IX$10144,AQ$22,FALSE)))</f>
        <v>Kronmüller KT, Pantel J, Köhler S, Victor D, Giesel F, Magnotta VA, Mundt C, Essig M, Schröder J.</v>
      </c>
      <c r="AR80" s="22"/>
      <c r="AS80" s="22"/>
      <c r="AT80" s="22"/>
      <c r="AU80" s="22"/>
    </row>
    <row r="81" spans="1:63">
      <c r="A81" s="7" t="s">
        <v>2210</v>
      </c>
      <c r="B81">
        <v>18068956</v>
      </c>
      <c r="C81" s="1" t="str">
        <f>IF($B81="","",HYPERLINK(IF(LEN(VLOOKUP($B81,Database!$B$1:$IX$10144,2,FALSE))=0,"",VLOOKUP($B81,Database!$B$1:$IX$10144,2,FALSE))))</f>
        <v/>
      </c>
      <c r="D81" s="1" t="str">
        <f t="shared" si="7"/>
        <v>http://www.ncbi.nlm.nih.gov/pubmed/18068956</v>
      </c>
      <c r="E81" s="22" t="str">
        <f>IF($B81="","",IF(LEN(VLOOKUP($B81,Database!$B$1:$IX$10144,4,FALSE))=0,"",VLOOKUP($B81,Database!$B$1:$IX$10144,4,FALSE)))</f>
        <v>Lenze SN</v>
      </c>
      <c r="F81" s="22">
        <f>IF($B81="","",IF(LEN(VLOOKUP($B81,Database!$B$1:$IX$10144,5,FALSE))=0,"",VLOOKUP($B81,Database!$B$1:$IX$10144,5,FALSE)))</f>
        <v>2008</v>
      </c>
      <c r="G81" s="1" t="str">
        <f>IF($B81="","",HYPERLINK(IF(LEN(VLOOKUP($B81,Database!$B$1:$IX$10144,6,FALSE))=0,"",VLOOKUP($B81,Database!$B$1:$IX$10144,6,FALSE))))</f>
        <v>http://dx.doi.org/10.1016/j.pscychresns.2007.04.004</v>
      </c>
      <c r="H81" s="22">
        <f>IF($B81="","",IF(LEN(VLOOKUP($B81,Database!$B$1:$IX$10144,7,FALSE))=0,"",VLOOKUP($B81,Database!$B$1:$IX$10144,7,FALSE)))</f>
        <v>31</v>
      </c>
      <c r="I81" s="22">
        <f>IF($B81="","",IF(LEN(VLOOKUP($B81,Database!$B$1:$IX$10144,8,FALSE))=0,"",VLOOKUP($B81,Database!$B$1:$IX$10144,8,FALSE)))</f>
        <v>24</v>
      </c>
      <c r="J81" t="s">
        <v>1002</v>
      </c>
      <c r="K81" s="10"/>
      <c r="Y81" s="22" t="str">
        <f>IF(OR($B81="",Y$22=""),"",IF(LEN(VLOOKUP($B81,Database!$B$1:$IX$10144,Y$22,FALSE))=0,"",VLOOKUP($B81,Database!$B$1:$IX$10144,Y$22,FALSE)))</f>
        <v>DSM-IV</v>
      </c>
      <c r="Z81" s="22" t="str">
        <f>IF(OR($B81="",Z$22=""),"",IF(LEN(VLOOKUP($B81,Database!$B$1:$IX$10144,Z$22,FALSE))=0,"",VLOOKUP($B81,Database!$B$1:$IX$10144,Z$22,FALSE)))</f>
        <v>MRI</v>
      </c>
      <c r="AA81" s="22" t="str">
        <f>IF(OR($B81="",AA$22=""),"",IF(LEN(VLOOKUP($B81,Database!$B$1:$IX$10144,AA$22,FALSE))=0,"",VLOOKUP($B81,Database!$B$1:$IX$10144,AA$22,FALSE)))</f>
        <v/>
      </c>
      <c r="AB81" s="22">
        <f>IF(OR($B81="",AB$22=""),"",IF(LEN(VLOOKUP($B81,Database!$B$1:$IX$10144,AB$22,FALSE))=0,"",VLOOKUP($B81,Database!$B$1:$IX$10144,AB$22,FALSE)))</f>
        <v>50</v>
      </c>
      <c r="AC81" s="22">
        <f>IF(OR($B81="",AC$22=""),"",IF(LEN(VLOOKUP($B81,Database!$B$1:$IX$10144,AC$22,FALSE))=0,"",VLOOKUP($B81,Database!$B$1:$IX$10144,AC$22,FALSE)))</f>
        <v>15</v>
      </c>
      <c r="AD81" s="22">
        <f>IF(OR($B81="",AD$22=""),"",IF(LEN(VLOOKUP($B81,Database!$B$1:$IX$10144,AD$22,FALSE))=0,"",VLOOKUP($B81,Database!$B$1:$IX$10144,AD$22,FALSE)))</f>
        <v>46</v>
      </c>
      <c r="AE81" s="22">
        <f>IF(OR($B81="",AE$22=""),"",IF(LEN(VLOOKUP($B81,Database!$B$1:$IX$10144,AE$22,FALSE))=0,"",VLOOKUP($B81,Database!$B$1:$IX$10144,AE$22,FALSE)))</f>
        <v>14</v>
      </c>
      <c r="AF81" s="22">
        <f>IF(OR($B81="",AF$22=""),"",IF(LEN(VLOOKUP($B81,Database!$B$1:$IX$10144,AF$22,FALSE))=0,"",VLOOKUP($B81,Database!$B$1:$IX$10144,AF$22,FALSE)))</f>
        <v>31</v>
      </c>
      <c r="AG81" s="22">
        <f>IF(OR($B81="",AG$22=""),"",IF(LEN(VLOOKUP($B81,Database!$B$1:$IX$10144,AG$22,FALSE))=0,"",VLOOKUP($B81,Database!$B$1:$IX$10144,AG$22,FALSE)))</f>
        <v>24</v>
      </c>
      <c r="AH81" s="22">
        <f>IF(OR($B81="",AH$22=""),"",IF(LEN(VLOOKUP($B81,Database!$B$1:$IX$10144,AH$22,FALSE))=0,"",VLOOKUP($B81,Database!$B$1:$IX$10144,AH$22,FALSE)))</f>
        <v>1.5</v>
      </c>
      <c r="AI81" s="22">
        <f>IF(OR($B81="",AI$22=""),"",IF(LEN(VLOOKUP($B81,Database!$B$1:$IX$10144,AI$22,FALSE))=0,"",VLOOKUP($B81,Database!$B$1:$IX$10144,AI$22,FALSE)))</f>
        <v>1.25</v>
      </c>
      <c r="AJ81" s="22" t="str">
        <f>IF(OR($B81="",AJ$22=""),"",IF(LEN(VLOOKUP($B81,Database!$B$1:$IX$10144,AJ$22,FALSE))=0,"",VLOOKUP($B81,Database!$B$1:$IX$10144,AJ$22,FALSE)))</f>
        <v/>
      </c>
      <c r="AK81" s="22">
        <f>IF(OR($B81="",AK$22=""),"",IF(LEN(VLOOKUP($B81,Database!$B$1:$IX$10144,AK$22,FALSE))=0,"",VLOOKUP($B81,Database!$B$1:$IX$10144,AK$22,FALSE)))</f>
        <v>29</v>
      </c>
      <c r="AL81" s="22">
        <f>IF(OR($B81="",AL$22=""),"",IF(LEN(VLOOKUP($B81,Database!$B$1:$IX$10144,AL$22,FALSE))=0,"",VLOOKUP($B81,Database!$B$1:$IX$10144,AL$22,FALSE)))</f>
        <v>7</v>
      </c>
      <c r="AM81" s="22">
        <f>IF(OR($B81="",AM$22=""),"",IF(LEN(VLOOKUP($B81,Database!$B$1:$IX$10144,AM$22,FALSE))=0,"",VLOOKUP($B81,Database!$B$1:$IX$10144,AM$22,FALSE)))</f>
        <v>77.41935483870968</v>
      </c>
      <c r="AN81" s="22" t="str">
        <f>IF(OR($B81="",AN$22=""),"",IF(LEN(VLOOKUP($B81,Database!$B$1:$IX$10144,AN$22,FALSE))=0,"",VLOOKUP($B81,Database!$B$1:$IX$10144,AN$22,FALSE)))</f>
        <v>ns</v>
      </c>
      <c r="AO81" s="22" t="str">
        <f>IF(OR($B81="",AO$22=""),"",IF(LEN(VLOOKUP($B81,Database!$B$1:$IX$10144,AO$22,FALSE))=0,"",VLOOKUP($B81,Database!$B$1:$IX$10144,AO$22,FALSE)))</f>
        <v>ns</v>
      </c>
      <c r="AP81" s="22" t="str">
        <f>IF(OR($B81="",AP$22=""),"",IF(LEN(VLOOKUP($B81,Database!$B$1:$IX$10144,AP$22,FALSE))=0,"",VLOOKUP($B81,Database!$B$1:$IX$10144,AP$22,FALSE)))</f>
        <v>ns</v>
      </c>
      <c r="AQ81" s="22" t="str">
        <f>IF(OR($B81="",AQ$22=""),"",IF(LEN(VLOOKUP($B81,Database!$B$1:$IX$10144,AQ$22,FALSE))=0,"",VLOOKUP($B81,Database!$B$1:$IX$10144,AQ$22,FALSE)))</f>
        <v>Lenze SN, Xiong C, Sheline YI.</v>
      </c>
      <c r="AR81" s="22"/>
      <c r="AS81" s="22"/>
      <c r="AT81" s="22"/>
      <c r="AU81" s="22"/>
    </row>
    <row r="82" spans="1:63">
      <c r="A82" s="10" t="s">
        <v>1188</v>
      </c>
      <c r="B82">
        <v>18350172</v>
      </c>
      <c r="C82" s="1" t="str">
        <f>IF($B82="","",HYPERLINK(IF(LEN(VLOOKUP($B82,Database!$B$1:$IX$10144,2,FALSE))=0,"",VLOOKUP($B82,Database!$B$1:$IX$10144,2,FALSE))))</f>
        <v/>
      </c>
      <c r="D82" s="1" t="str">
        <f t="shared" si="7"/>
        <v>http://www.ncbi.nlm.nih.gov/pubmed/18350172</v>
      </c>
      <c r="E82" s="22" t="str">
        <f>IF($B82="","",IF(LEN(VLOOKUP($B82,Database!$B$1:$IX$10144,4,FALSE))=0,"",VLOOKUP($B82,Database!$B$1:$IX$10144,4,FALSE)))</f>
        <v>Zhao Z</v>
      </c>
      <c r="F82" s="22">
        <f>IF($B82="","",IF(LEN(VLOOKUP($B82,Database!$B$1:$IX$10144,5,FALSE))=0,"",VLOOKUP($B82,Database!$B$1:$IX$10144,5,FALSE)))</f>
        <v>2008</v>
      </c>
      <c r="G82" s="1" t="str">
        <f>IF($B82="","",HYPERLINK(IF(LEN(VLOOKUP($B82,Database!$B$1:$IX$10144,6,FALSE))=0,"",VLOOKUP($B82,Database!$B$1:$IX$10144,6,FALSE))))</f>
        <v>http://www.plosone.org/article/info:doi/10.1371/journal.pone.0001837</v>
      </c>
      <c r="H82" s="22">
        <f>IF($B82="","",IF(LEN(VLOOKUP($B82,Database!$B$1:$IX$10144,7,FALSE))=0,"",VLOOKUP($B82,Database!$B$1:$IX$10144,7,FALSE)))</f>
        <v>61</v>
      </c>
      <c r="I82" s="22">
        <f>IF($B82="","",IF(LEN(VLOOKUP($B82,Database!$B$1:$IX$10144,8,FALSE))=0,"",VLOOKUP($B82,Database!$B$1:$IX$10144,8,FALSE)))</f>
        <v>43</v>
      </c>
      <c r="J82" t="s">
        <v>1614</v>
      </c>
      <c r="L82">
        <v>3.42</v>
      </c>
      <c r="M82">
        <v>0.54</v>
      </c>
      <c r="N82">
        <v>3.55</v>
      </c>
      <c r="O82">
        <v>0.48</v>
      </c>
      <c r="P82">
        <v>3.65</v>
      </c>
      <c r="Q82">
        <v>0.55000000000000004</v>
      </c>
      <c r="R82">
        <v>3.66</v>
      </c>
      <c r="S82">
        <v>0.56999999999999995</v>
      </c>
      <c r="Y82" s="22" t="str">
        <f>IF(OR($B82="",Y$22=""),"",IF(LEN(VLOOKUP($B82,Database!$B$1:$IX$10144,Y$22,FALSE))=0,"",VLOOKUP($B82,Database!$B$1:$IX$10144,Y$22,FALSE)))</f>
        <v>DSM-IV</v>
      </c>
      <c r="Z82" s="22" t="str">
        <f>IF(OR($B82="",Z$22=""),"",IF(LEN(VLOOKUP($B82,Database!$B$1:$IX$10144,Z$22,FALSE))=0,"",VLOOKUP($B82,Database!$B$1:$IX$10144,Z$22,FALSE)))</f>
        <v>MRI</v>
      </c>
      <c r="AA82" s="22" t="str">
        <f>IF(OR($B82="",AA$22=""),"",IF(LEN(VLOOKUP($B82,Database!$B$1:$IX$10144,AA$22,FALSE))=0,"",VLOOKUP($B82,Database!$B$1:$IX$10144,AA$22,FALSE)))</f>
        <v/>
      </c>
      <c r="AB82" s="22">
        <f>IF(OR($B82="",AB$22=""),"",IF(LEN(VLOOKUP($B82,Database!$B$1:$IX$10144,AB$22,FALSE))=0,"",VLOOKUP($B82,Database!$B$1:$IX$10144,AB$22,FALSE)))</f>
        <v>65.900000000000006</v>
      </c>
      <c r="AC82" s="22">
        <f>IF(OR($B82="",AC$22=""),"",IF(LEN(VLOOKUP($B82,Database!$B$1:$IX$10144,AC$22,FALSE))=0,"",VLOOKUP($B82,Database!$B$1:$IX$10144,AC$22,FALSE)))</f>
        <v>5.5</v>
      </c>
      <c r="AD82" s="22">
        <f>IF(OR($B82="",AD$22=""),"",IF(LEN(VLOOKUP($B82,Database!$B$1:$IX$10144,AD$22,FALSE))=0,"",VLOOKUP($B82,Database!$B$1:$IX$10144,AD$22,FALSE)))</f>
        <v>69</v>
      </c>
      <c r="AE82" s="22">
        <f>IF(OR($B82="",AE$22=""),"",IF(LEN(VLOOKUP($B82,Database!$B$1:$IX$10144,AE$22,FALSE))=0,"",VLOOKUP($B82,Database!$B$1:$IX$10144,AE$22,FALSE)))</f>
        <v>5.5</v>
      </c>
      <c r="AF82" s="22">
        <f>IF(OR($B82="",AF$22=""),"",IF(LEN(VLOOKUP($B82,Database!$B$1:$IX$10144,AF$22,FALSE))=0,"",VLOOKUP($B82,Database!$B$1:$IX$10144,AF$22,FALSE)))</f>
        <v>37</v>
      </c>
      <c r="AG82" s="22">
        <f>IF(OR($B82="",AG$22=""),"",IF(LEN(VLOOKUP($B82,Database!$B$1:$IX$10144,AG$22,FALSE))=0,"",VLOOKUP($B82,Database!$B$1:$IX$10144,AG$22,FALSE)))</f>
        <v>29</v>
      </c>
      <c r="AH82" s="22"/>
      <c r="AI82" s="22"/>
      <c r="AJ82" s="22" t="str">
        <f>IF(OR($B82="",AJ$22=""),"",IF(LEN(VLOOKUP($B82,Database!$B$1:$IX$10144,AJ$22,FALSE))=0,"",VLOOKUP($B82,Database!$B$1:$IX$10144,AJ$22,FALSE)))</f>
        <v/>
      </c>
      <c r="AK82" s="22">
        <f>IF(OR($B82="",AK$22=""),"",IF(LEN(VLOOKUP($B82,Database!$B$1:$IX$10144,AK$22,FALSE))=0,"",VLOOKUP($B82,Database!$B$1:$IX$10144,AK$22,FALSE)))</f>
        <v>39.299999999999997</v>
      </c>
      <c r="AL82" s="22" t="str">
        <f>IF(OR($B82="",AL$22=""),"",IF(LEN(VLOOKUP($B82,Database!$B$1:$IX$10144,AL$22,FALSE))=0,"",VLOOKUP($B82,Database!$B$1:$IX$10144,AL$22,FALSE)))</f>
        <v>ns</v>
      </c>
      <c r="AM82" s="22">
        <f>IF(OR($B82="",AM$22=""),"",IF(LEN(VLOOKUP($B82,Database!$B$1:$IX$10144,AM$22,FALSE))=0,"",VLOOKUP($B82,Database!$B$1:$IX$10144,AM$22,FALSE)))</f>
        <v>88.52459016393442</v>
      </c>
      <c r="AN82" s="22" t="str">
        <f>IF(OR($B82="",AN$22=""),"",IF(LEN(VLOOKUP($B82,Database!$B$1:$IX$10144,AN$22,FALSE))=0,"",VLOOKUP($B82,Database!$B$1:$IX$10144,AN$22,FALSE)))</f>
        <v>ns</v>
      </c>
      <c r="AO82" s="22" t="str">
        <f>IF(OR($B82="",AO$22=""),"",IF(LEN(VLOOKUP($B82,Database!$B$1:$IX$10144,AO$22,FALSE))=0,"",VLOOKUP($B82,Database!$B$1:$IX$10144,AO$22,FALSE)))</f>
        <v>ns</v>
      </c>
      <c r="AP82" s="22" t="str">
        <f>IF(OR($B82="",AP$22=""),"",IF(LEN(VLOOKUP($B82,Database!$B$1:$IX$10144,AP$22,FALSE))=0,"",VLOOKUP($B82,Database!$B$1:$IX$10144,AP$22,FALSE)))</f>
        <v>ns</v>
      </c>
      <c r="AQ82" s="22" t="str">
        <f>IF(OR($B82="",AQ$22=""),"",IF(LEN(VLOOKUP($B82,Database!$B$1:$IX$10144,AQ$22,FALSE))=0,"",VLOOKUP($B82,Database!$B$1:$IX$10144,AQ$22,FALSE)))</f>
        <v>Zhao Z, Taylor WD, Styner M, Steffens DC, Krishnan KR, MacFall JR.</v>
      </c>
      <c r="AR82" s="22"/>
      <c r="AS82" s="22"/>
      <c r="AT82" s="22"/>
      <c r="AU82" s="22"/>
    </row>
    <row r="83" spans="1:63">
      <c r="A83" s="10" t="s">
        <v>1188</v>
      </c>
      <c r="B83">
        <v>19010425</v>
      </c>
      <c r="C83" s="1" t="str">
        <f>IF($B83="","",HYPERLINK(IF(LEN(VLOOKUP($B83,Database!$B$1:$IX$10144,2,FALSE))=0,"",VLOOKUP($B83,Database!$B$1:$IX$10144,2,FALSE))))</f>
        <v/>
      </c>
      <c r="D83" s="1" t="str">
        <f t="shared" si="7"/>
        <v>http://www.ncbi.nlm.nih.gov/pubmed/19010425</v>
      </c>
      <c r="E83" s="22" t="str">
        <f>IF($B83="","",IF(LEN(VLOOKUP($B83,Database!$B$1:$IX$10144,4,FALSE))=0,"",VLOOKUP($B83,Database!$B$1:$IX$10144,4,FALSE)))</f>
        <v>Qiu A</v>
      </c>
      <c r="F83" s="22">
        <f>IF($B83="","",IF(LEN(VLOOKUP($B83,Database!$B$1:$IX$10144,5,FALSE))=0,"",VLOOKUP($B83,Database!$B$1:$IX$10144,5,FALSE)))</f>
        <v>2009</v>
      </c>
      <c r="G83" s="1" t="str">
        <f>IF($B83="","",HYPERLINK(IF(LEN(VLOOKUP($B83,Database!$B$1:$IX$10144,6,FALSE))=0,"",VLOOKUP($B83,Database!$B$1:$IX$10144,6,FALSE))))</f>
        <v>http://dx.doi.org/10.1016/j.neuroimage.2008.10.010</v>
      </c>
      <c r="H83" s="83">
        <v>38</v>
      </c>
      <c r="I83" s="22">
        <f>IF($B83="","",IF(LEN(VLOOKUP($B83,Database!$B$1:$IX$10144,8,FALSE))=0,"",VLOOKUP($B83,Database!$B$1:$IX$10144,8,FALSE)))</f>
        <v>31</v>
      </c>
      <c r="J83" t="s">
        <v>887</v>
      </c>
      <c r="K83" t="s">
        <v>644</v>
      </c>
      <c r="L83">
        <v>3381.6</v>
      </c>
      <c r="M83">
        <v>414.9</v>
      </c>
      <c r="N83">
        <v>3520.2</v>
      </c>
      <c r="O83">
        <v>481.1</v>
      </c>
      <c r="P83">
        <v>3620.4</v>
      </c>
      <c r="Q83">
        <v>451.1</v>
      </c>
      <c r="R83">
        <v>3607.9</v>
      </c>
      <c r="S83">
        <v>542</v>
      </c>
      <c r="Y83" s="22" t="str">
        <f>IF(OR($B83="",Y$22=""),"",IF(LEN(VLOOKUP($B83,Database!$B$1:$IX$10144,Y$22,FALSE))=0,"",VLOOKUP($B83,Database!$B$1:$IX$10144,Y$22,FALSE)))</f>
        <v>DSM-IV</v>
      </c>
      <c r="Z83" s="22" t="str">
        <f>IF(OR($B83="",Z$22=""),"",IF(LEN(VLOOKUP($B83,Database!$B$1:$IX$10144,Z$22,FALSE))=0,"",VLOOKUP($B83,Database!$B$1:$IX$10144,Z$22,FALSE)))</f>
        <v>MRI</v>
      </c>
      <c r="AA83" s="22" t="str">
        <f>IF(OR($B83="",AA$22=""),"",IF(LEN(VLOOKUP($B83,Database!$B$1:$IX$10144,AA$22,FALSE))=0,"",VLOOKUP($B83,Database!$B$1:$IX$10144,AA$22,FALSE)))</f>
        <v/>
      </c>
      <c r="AB83" s="22" t="str">
        <f>IF(OR($B83="",AB$22=""),"",IF(LEN(VLOOKUP($B83,Database!$B$1:$IX$10144,AB$22,FALSE))=0,"",VLOOKUP($B83,Database!$B$1:$IX$10144,AB$22,FALSE)))</f>
        <v/>
      </c>
      <c r="AC83" s="22" t="str">
        <f>IF(OR($B83="",AC$22=""),"",IF(LEN(VLOOKUP($B83,Database!$B$1:$IX$10144,AC$22,FALSE))=0,"",VLOOKUP($B83,Database!$B$1:$IX$10144,AC$22,FALSE)))</f>
        <v/>
      </c>
      <c r="AD83" s="22">
        <f>IF(OR($B83="",AD$22=""),"",IF(LEN(VLOOKUP($B83,Database!$B$1:$IX$10144,AD$22,FALSE))=0,"",VLOOKUP($B83,Database!$B$1:$IX$10144,AD$22,FALSE)))</f>
        <v>68.900000000000006</v>
      </c>
      <c r="AE83" s="22">
        <f>IF(OR($B83="",AE$22=""),"",IF(LEN(VLOOKUP($B83,Database!$B$1:$IX$10144,AE$22,FALSE))=0,"",VLOOKUP($B83,Database!$B$1:$IX$10144,AE$22,FALSE)))</f>
        <v>5.9</v>
      </c>
      <c r="AF83" s="22">
        <f>IF(OR($B83="",AF$22=""),"",IF(LEN(VLOOKUP($B83,Database!$B$1:$IX$10144,AF$22,FALSE))=0,"",VLOOKUP($B83,Database!$B$1:$IX$10144,AF$22,FALSE)))</f>
        <v>34</v>
      </c>
      <c r="AG83" s="22">
        <f>IF(OR($B83="",AG$22=""),"",IF(LEN(VLOOKUP($B83,Database!$B$1:$IX$10144,AG$22,FALSE))=0,"",VLOOKUP($B83,Database!$B$1:$IX$10144,AG$22,FALSE)))</f>
        <v>21</v>
      </c>
      <c r="AH83" s="22"/>
      <c r="AI83" s="22"/>
      <c r="AJ83" s="22" t="str">
        <f>IF(OR($B83="",AJ$22=""),"",IF(LEN(VLOOKUP($B83,Database!$B$1:$IX$10144,AJ$22,FALSE))=0,"",VLOOKUP($B83,Database!$B$1:$IX$10144,AJ$22,FALSE)))</f>
        <v/>
      </c>
      <c r="AK83" s="22" t="str">
        <f>IF(OR($B83="",AK$22=""),"",IF(LEN(VLOOKUP($B83,Database!$B$1:$IX$10144,AK$22,FALSE))=0,"",VLOOKUP($B83,Database!$B$1:$IX$10144,AK$22,FALSE)))</f>
        <v>ns</v>
      </c>
      <c r="AL83" s="22" t="str">
        <f>IF(OR($B83="",AL$22=""),"",IF(LEN(VLOOKUP($B83,Database!$B$1:$IX$10144,AL$22,FALSE))=0,"",VLOOKUP($B83,Database!$B$1:$IX$10144,AL$22,FALSE)))</f>
        <v>ns</v>
      </c>
      <c r="AM83" s="22">
        <f>IF(OR($B83="",AM$22=""),"",IF(LEN(VLOOKUP($B83,Database!$B$1:$IX$10144,AM$22,FALSE))=0,"",VLOOKUP($B83,Database!$B$1:$IX$10144,AM$22,FALSE)))</f>
        <v>90.384615384615387</v>
      </c>
      <c r="AN83" s="22" t="str">
        <f>IF(OR($B83="",AN$22=""),"",IF(LEN(VLOOKUP($B83,Database!$B$1:$IX$10144,AN$22,FALSE))=0,"",VLOOKUP($B83,Database!$B$1:$IX$10144,AN$22,FALSE)))</f>
        <v>ns</v>
      </c>
      <c r="AO83" s="22" t="str">
        <f>IF(OR($B83="",AO$22=""),"",IF(LEN(VLOOKUP($B83,Database!$B$1:$IX$10144,AO$22,FALSE))=0,"",VLOOKUP($B83,Database!$B$1:$IX$10144,AO$22,FALSE)))</f>
        <v>ns</v>
      </c>
      <c r="AP83" s="22" t="str">
        <f>IF(OR($B83="",AP$22=""),"",IF(LEN(VLOOKUP($B83,Database!$B$1:$IX$10144,AP$22,FALSE))=0,"",VLOOKUP($B83,Database!$B$1:$IX$10144,AP$22,FALSE)))</f>
        <v>ns</v>
      </c>
      <c r="AQ83" s="22" t="str">
        <f>IF(OR($B83="",AQ$22=""),"",IF(LEN(VLOOKUP($B83,Database!$B$1:$IX$10144,AQ$22,FALSE))=0,"",VLOOKUP($B83,Database!$B$1:$IX$10144,AQ$22,FALSE)))</f>
        <v>Qiu A, Taylor WD, Zhao Z, MacFall JR, Miller MI, Key CR, Payne ME, Steffens DC, Krishnan KR.</v>
      </c>
      <c r="AR83" s="22"/>
      <c r="AS83" s="22"/>
      <c r="AT83" s="22"/>
      <c r="AU83" s="22"/>
    </row>
    <row r="84" spans="1:63">
      <c r="A84" s="4" t="s">
        <v>2011</v>
      </c>
      <c r="C84" s="1"/>
      <c r="D84" s="1"/>
      <c r="E84" s="22"/>
      <c r="F84" s="22"/>
      <c r="G84" s="1"/>
      <c r="H84" s="22"/>
      <c r="I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row>
    <row r="85" spans="1:63">
      <c r="A85" s="10" t="s">
        <v>2012</v>
      </c>
      <c r="B85">
        <v>10366636</v>
      </c>
      <c r="C85" s="1" t="str">
        <f>IF($B85="","",HYPERLINK(IF(LEN(VLOOKUP($B85,Database!$B$1:$IX$10144,2,FALSE))=0,"",VLOOKUP($B85,Database!$B$1:$IX$10144,2,FALSE))))</f>
        <v/>
      </c>
      <c r="D85" s="1" t="str">
        <f>IF($B85="","",HYPERLINK(CONCATENATE("http://www.ncbi.nlm.nih.gov/pubmed/",B85)))</f>
        <v>http://www.ncbi.nlm.nih.gov/pubmed/10366636</v>
      </c>
      <c r="E85" s="22" t="str">
        <f>IF($B85="","",IF(LEN(VLOOKUP($B85,Database!$B$1:$IX$10144,4,FALSE))=0,"",VLOOKUP($B85,Database!$B$1:$IX$10144,4,FALSE)))</f>
        <v>Sheline YI</v>
      </c>
      <c r="F85" s="22">
        <f>IF($B85="","",IF(LEN(VLOOKUP($B85,Database!$B$1:$IX$10144,5,FALSE))=0,"",VLOOKUP($B85,Database!$B$1:$IX$10144,5,FALSE)))</f>
        <v>1999</v>
      </c>
      <c r="G85" s="1" t="str">
        <f>IF($B85="","",HYPERLINK(IF(LEN(VLOOKUP($B85,Database!$B$1:$IX$10144,6,FALSE))=0,"",VLOOKUP($B85,Database!$B$1:$IX$10144,6,FALSE))))</f>
        <v>http://ajp.psychiatryonline.org/cgi/reprint/156/12/1989</v>
      </c>
      <c r="H85" s="22">
        <f>IF($B85="","",IF(LEN(VLOOKUP($B85,Database!$B$1:$IX$10144,7,FALSE))=0,"",VLOOKUP($B85,Database!$B$1:$IX$10144,7,FALSE)))</f>
        <v>24</v>
      </c>
      <c r="I85" s="22">
        <f>IF($B85="","",IF(LEN(VLOOKUP($B85,Database!$B$1:$IX$10144,8,FALSE))=0,"",VLOOKUP($B85,Database!$B$1:$IX$10144,8,FALSE)))</f>
        <v>24</v>
      </c>
      <c r="J85" t="s">
        <v>939</v>
      </c>
      <c r="L85">
        <v>2230</v>
      </c>
      <c r="M85">
        <v>323</v>
      </c>
      <c r="N85">
        <v>2482</v>
      </c>
      <c r="O85">
        <v>305</v>
      </c>
      <c r="P85">
        <v>2264</v>
      </c>
      <c r="Q85">
        <v>320</v>
      </c>
      <c r="R85">
        <v>2468</v>
      </c>
      <c r="S85">
        <v>309</v>
      </c>
      <c r="T85">
        <v>4496</v>
      </c>
      <c r="U85">
        <v>602</v>
      </c>
      <c r="V85">
        <v>4951</v>
      </c>
      <c r="W85">
        <v>601</v>
      </c>
      <c r="Y85" s="22" t="str">
        <f>IF(OR($B85="",Y$22=""),"",IF(LEN(VLOOKUP($B85,Database!$B$1:$IX$10144,Y$22,FALSE))=0,"",VLOOKUP($B85,Database!$B$1:$IX$10144,Y$22,FALSE)))</f>
        <v>DSM-IV</v>
      </c>
      <c r="Z85" s="22" t="str">
        <f>IF(OR($B85="",Z$22=""),"",IF(LEN(VLOOKUP($B85,Database!$B$1:$IX$10144,Z$22,FALSE))=0,"",VLOOKUP($B85,Database!$B$1:$IX$10144,Z$22,FALSE)))</f>
        <v>MRI</v>
      </c>
      <c r="AA85" s="22" t="str">
        <f>IF(OR($B85="",AA$22=""),"",IF(LEN(VLOOKUP($B85,Database!$B$1:$IX$10144,AA$22,FALSE))=0,"",VLOOKUP($B85,Database!$B$1:$IX$10144,AA$22,FALSE)))</f>
        <v/>
      </c>
      <c r="AB85" s="22"/>
      <c r="AC85" s="22"/>
      <c r="AD85" s="22">
        <f>IF(OR($B85="",AD$22=""),"",IF(LEN(VLOOKUP($B85,Database!$B$1:$IX$10144,AD$22,FALSE))=0,"",VLOOKUP($B85,Database!$B$1:$IX$10144,AD$22,FALSE)))</f>
        <v>52.8</v>
      </c>
      <c r="AE85" s="22">
        <f>IF(OR($B85="",AE$22=""),"",IF(LEN(VLOOKUP($B85,Database!$B$1:$IX$10144,AE$22,FALSE))=0,"",VLOOKUP($B85,Database!$B$1:$IX$10144,AE$22,FALSE)))</f>
        <v>17.8</v>
      </c>
      <c r="AF85" s="22">
        <f>IF(OR($B85="",AF$22=""),"",IF(LEN(VLOOKUP($B85,Database!$B$1:$IX$10144,AF$22,FALSE))=0,"",VLOOKUP($B85,Database!$B$1:$IX$10144,AF$22,FALSE)))</f>
        <v>24</v>
      </c>
      <c r="AG85" s="22">
        <f>IF(OR($B85="",AG$22=""),"",IF(LEN(VLOOKUP($B85,Database!$B$1:$IX$10144,AG$22,FALSE))=0,"",VLOOKUP($B85,Database!$B$1:$IX$10144,AG$22,FALSE)))</f>
        <v>24</v>
      </c>
      <c r="AH85" s="22">
        <f>IF(OR($B85="",AH$22=""),"",IF(LEN(VLOOKUP($B85,Database!$B$1:$IX$10144,AH$22,FALSE))=0,"",VLOOKUP($B85,Database!$B$1:$IX$10144,AH$22,FALSE)))</f>
        <v>1.5</v>
      </c>
      <c r="AI85" s="22">
        <f>IF(OR($B85="",AI$22=""),"",IF(LEN(VLOOKUP($B85,Database!$B$1:$IX$10144,AI$22,FALSE))=0,"",VLOOKUP($B85,Database!$B$1:$IX$10144,AI$22,FALSE)))</f>
        <v>1.25</v>
      </c>
      <c r="AJ85" s="22" t="str">
        <f>IF(OR($B85="",AJ$22=""),"",IF(LEN(VLOOKUP($B85,Database!$B$1:$IX$10144,AJ$22,FALSE))=0,"",VLOOKUP($B85,Database!$B$1:$IX$10144,AJ$22,FALSE)))</f>
        <v/>
      </c>
      <c r="AK85" s="22" t="str">
        <f>IF(OR($B85="",AK$22=""),"",IF(LEN(VLOOKUP($B85,Database!$B$1:$IX$10144,AK$22,FALSE))=0,"",VLOOKUP($B85,Database!$B$1:$IX$10144,AK$22,FALSE)))</f>
        <v>ns</v>
      </c>
      <c r="AL85" s="22" t="str">
        <f>IF(OR($B85="",AL$22=""),"",IF(LEN(VLOOKUP($B85,Database!$B$1:$IX$10144,AL$22,FALSE))=0,"",VLOOKUP($B85,Database!$B$1:$IX$10144,AL$22,FALSE)))</f>
        <v>ns</v>
      </c>
      <c r="AM85" s="22">
        <f>IF(OR($B85="",AM$22=""),"",IF(LEN(VLOOKUP($B85,Database!$B$1:$IX$10144,AM$22,FALSE))=0,"",VLOOKUP($B85,Database!$B$1:$IX$10144,AM$22,FALSE)))</f>
        <v>66.666666666666657</v>
      </c>
      <c r="AN85" s="22" t="str">
        <f>IF(OR($B85="",AN$22=""),"",IF(LEN(VLOOKUP($B85,Database!$B$1:$IX$10144,AN$22,FALSE))=0,"",VLOOKUP($B85,Database!$B$1:$IX$10144,AN$22,FALSE)))</f>
        <v>ns</v>
      </c>
      <c r="AO85" s="22" t="str">
        <f>IF(OR($B85="",AO$22=""),"",IF(LEN(VLOOKUP($B85,Database!$B$1:$IX$10144,AO$22,FALSE))=0,"",VLOOKUP($B85,Database!$B$1:$IX$10144,AO$22,FALSE)))</f>
        <v>ns</v>
      </c>
      <c r="AP85" s="22"/>
      <c r="AQ85" s="22"/>
      <c r="AR85" s="22"/>
      <c r="AS85" s="22"/>
      <c r="AT85" s="22"/>
      <c r="AU85" s="22"/>
    </row>
    <row r="86" spans="1:63">
      <c r="A86" s="4"/>
      <c r="C86" s="1"/>
      <c r="D86" s="1"/>
      <c r="E86" s="22"/>
      <c r="F86" s="22"/>
      <c r="G86" s="1"/>
      <c r="H86" s="22"/>
      <c r="I86" s="22"/>
      <c r="AE86" s="22"/>
      <c r="AF86" s="22"/>
      <c r="AG86" s="22"/>
      <c r="AH86" s="22"/>
      <c r="AI86" s="22"/>
      <c r="AJ86" s="22"/>
      <c r="AK86" s="22"/>
      <c r="AL86" s="22"/>
      <c r="AM86" s="22"/>
      <c r="AN86" s="22"/>
      <c r="AO86" s="22"/>
      <c r="AP86" s="22"/>
      <c r="AQ86" s="22"/>
    </row>
    <row r="87" spans="1:63">
      <c r="I87" s="22" t="str">
        <f>IF($B87="","",IF(LEN(VLOOKUP($B87,Database!$B$1:$IX$10144,8,FALSE))=0,"",VLOOKUP($B87,Database!$B$1:$IX$10144,8,FALSE)))</f>
        <v/>
      </c>
      <c r="AF87" t="s">
        <v>602</v>
      </c>
      <c r="AJ87" t="s">
        <v>329</v>
      </c>
      <c r="AN87" t="s">
        <v>330</v>
      </c>
    </row>
    <row r="88" spans="1:63" ht="45" customHeight="1">
      <c r="E88" s="60" t="s">
        <v>617</v>
      </c>
      <c r="F88" s="60" t="s">
        <v>740</v>
      </c>
      <c r="G88" s="60" t="s">
        <v>244</v>
      </c>
      <c r="H88" s="60" t="s">
        <v>245</v>
      </c>
      <c r="I88" s="60" t="s">
        <v>246</v>
      </c>
      <c r="J88" s="60" t="s">
        <v>593</v>
      </c>
      <c r="K88" s="60" t="s">
        <v>1039</v>
      </c>
      <c r="L88" s="60" t="s">
        <v>594</v>
      </c>
      <c r="M88" s="60" t="s">
        <v>1299</v>
      </c>
      <c r="N88" s="61" t="s">
        <v>595</v>
      </c>
      <c r="O88" s="61" t="s">
        <v>596</v>
      </c>
      <c r="P88" s="61" t="s">
        <v>597</v>
      </c>
      <c r="Q88" s="61" t="s">
        <v>598</v>
      </c>
      <c r="R88" s="61" t="s">
        <v>599</v>
      </c>
      <c r="S88" s="61" t="s">
        <v>600</v>
      </c>
      <c r="T88" s="61" t="s">
        <v>601</v>
      </c>
      <c r="U88" s="61" t="s">
        <v>484</v>
      </c>
      <c r="V88" s="61" t="s">
        <v>485</v>
      </c>
      <c r="W88" s="61" t="s">
        <v>486</v>
      </c>
      <c r="AF88" s="61" t="s">
        <v>1517</v>
      </c>
      <c r="AG88" s="62" t="s">
        <v>834</v>
      </c>
      <c r="AH88" s="62" t="s">
        <v>835</v>
      </c>
      <c r="AJ88" s="61" t="s">
        <v>836</v>
      </c>
      <c r="AK88" s="61" t="s">
        <v>837</v>
      </c>
      <c r="AL88" s="61" t="s">
        <v>487</v>
      </c>
      <c r="AN88" s="31" t="s">
        <v>488</v>
      </c>
      <c r="AO88" s="31" t="s">
        <v>489</v>
      </c>
      <c r="AP88" s="31" t="s">
        <v>490</v>
      </c>
      <c r="AQ88" s="31" t="s">
        <v>491</v>
      </c>
      <c r="AR88" s="31" t="s">
        <v>492</v>
      </c>
      <c r="AS88" s="31" t="s">
        <v>493</v>
      </c>
      <c r="AT88" s="31" t="s">
        <v>494</v>
      </c>
      <c r="AU88" s="31" t="s">
        <v>495</v>
      </c>
      <c r="AV88" s="31" t="s">
        <v>496</v>
      </c>
      <c r="AW88" s="31" t="s">
        <v>497</v>
      </c>
      <c r="AX88" s="31" t="s">
        <v>498</v>
      </c>
      <c r="AY88" s="31" t="s">
        <v>499</v>
      </c>
      <c r="AZ88" s="31"/>
      <c r="BA88" s="31"/>
      <c r="BB88" s="31"/>
      <c r="BC88" s="31"/>
      <c r="BD88" s="31"/>
      <c r="BE88" s="31"/>
      <c r="BF88" s="31"/>
      <c r="BG88" s="31"/>
      <c r="BH88" s="31"/>
      <c r="BI88" s="31"/>
      <c r="BJ88" s="207"/>
      <c r="BK88" s="31"/>
    </row>
    <row r="89" spans="1:63">
      <c r="E89" t="str">
        <f t="shared" ref="E89:F96" si="8">E24</f>
        <v>Lange C</v>
      </c>
      <c r="F89">
        <f t="shared" si="8"/>
        <v>2004</v>
      </c>
      <c r="G89">
        <v>43</v>
      </c>
      <c r="H89">
        <f t="shared" ref="H89:I96" si="9">H24</f>
        <v>17</v>
      </c>
      <c r="I89">
        <f t="shared" si="9"/>
        <v>17</v>
      </c>
      <c r="J89">
        <f t="shared" ref="J89:M96" si="10">IF($D$4="Total",T24,IF($D$4="Left",L24,IF($D$4="Right",P24,"error")))</f>
        <v>5.46</v>
      </c>
      <c r="K89">
        <f t="shared" si="10"/>
        <v>0.83</v>
      </c>
      <c r="L89">
        <f t="shared" si="10"/>
        <v>6.19</v>
      </c>
      <c r="M89">
        <f t="shared" si="10"/>
        <v>0.71</v>
      </c>
      <c r="N89">
        <f t="shared" ref="N89:N116" si="11">IF($D$3=1,SQRT((((I89-1)*(M89)^2)+((H89-1)*(K89)^2))/(H89+I89-2)),M89)</f>
        <v>0.77233412458598516</v>
      </c>
      <c r="O89" s="59">
        <f t="shared" ref="O89:O116" si="12">IF($D$6=1,LN(J89/L89),IF($D$5=1,(1-3/(4*(H89+I89)-9))*((J89-L89)/N89),(J89-L89)/N89))</f>
        <v>-0.9228595277903705</v>
      </c>
      <c r="P89" s="63">
        <f t="shared" ref="P89:P116" si="13">IF($D$6=1,(K89^2)/(H89*J89^2)+(M89^2)/(I89*L89^2),(IF($D$5=1,((H89+I89)/(H89*I89))+(O89*O89)/(2*(H89+I89-3.94)),((H89+I89)/(H89*I89))+((O89^2)/(2*(H89+I89-2))))))</f>
        <v>0.13181322163180395</v>
      </c>
      <c r="Q89" s="59">
        <f t="shared" ref="Q89:Q117" si="14">$R$134*SQRT(P89)</f>
        <v>0.71159937620878932</v>
      </c>
      <c r="R89" s="59">
        <f t="shared" ref="R89:R116" si="15">1/P89</f>
        <v>7.5864923686738841</v>
      </c>
      <c r="S89" s="59">
        <f t="shared" ref="S89:S116" si="16">O89*R89</f>
        <v>-7.0012667649396301</v>
      </c>
      <c r="T89" s="59">
        <f t="shared" ref="T89:T116" si="17">R89*(O89^2)</f>
        <v>6.4611857406266022</v>
      </c>
      <c r="U89" s="23">
        <f t="shared" ref="U89:U116" si="18">R89^2</f>
        <v>57.554866459947078</v>
      </c>
      <c r="V89" s="59">
        <f t="shared" ref="V89:V117" si="19">1/((1/R89)+$I$131)</f>
        <v>4.3822820868028485</v>
      </c>
      <c r="W89" s="59">
        <f t="shared" ref="W89:W116" si="20">V89*O89</f>
        <v>-4.0442307772710766</v>
      </c>
      <c r="AF89" s="59">
        <f t="shared" ref="AF89:AF116" si="21">IF($D$6=1,100*((EXP(O89))-1),O89)</f>
        <v>-0.9228595277903705</v>
      </c>
      <c r="AG89" s="59">
        <f t="shared" ref="AG89:AG116" si="22">IF($D$6=1,100*(EXP(O89+Q89)-EXP(O89)),Q89)</f>
        <v>0.71159937620878932</v>
      </c>
      <c r="AH89" s="59">
        <f t="shared" ref="AH89:AH116" si="23">IF($D$6=1,100*(EXP(O89)-EXP(O89-Q89)),Q89)</f>
        <v>0.71159937620878932</v>
      </c>
      <c r="AJ89">
        <f t="shared" ref="AJ89:AJ116" si="24">SQRT(P89)</f>
        <v>0.36306090622897413</v>
      </c>
      <c r="AK89">
        <f t="shared" ref="AK89:AK117" si="25">1/AJ89</f>
        <v>2.7543587944699368</v>
      </c>
      <c r="AL89">
        <f t="shared" ref="AL89:AL116" si="26">O89/AJ89</f>
        <v>-2.5418862564297799</v>
      </c>
      <c r="AN89" s="31" t="str">
        <f t="shared" ref="AN89:AO97" si="27">E89</f>
        <v>Lange C</v>
      </c>
      <c r="AO89" s="31">
        <f t="shared" si="27"/>
        <v>2004</v>
      </c>
      <c r="AP89" s="31" t="str">
        <f t="shared" ref="AP89:AP116" si="28">CONCATENATE(AN89," ",AO89)</f>
        <v>Lange C 2004</v>
      </c>
      <c r="AQ89" s="31">
        <f t="shared" ref="AQ89:AQ116" si="29">INT(H89)</f>
        <v>17</v>
      </c>
      <c r="AR89" s="31">
        <f t="shared" ref="AR89:AS97" si="30">J89</f>
        <v>5.46</v>
      </c>
      <c r="AS89" s="31">
        <f t="shared" si="30"/>
        <v>0.83</v>
      </c>
      <c r="AT89" s="31">
        <f t="shared" ref="AT89:AT116" si="31">INT(I89)</f>
        <v>17</v>
      </c>
      <c r="AU89" s="31">
        <f t="shared" ref="AU89:AV97" si="32">L89</f>
        <v>6.19</v>
      </c>
      <c r="AV89" s="31">
        <f t="shared" si="32"/>
        <v>0.71</v>
      </c>
      <c r="AW89" s="164">
        <f t="shared" ref="AW89:AW116" si="33">O89</f>
        <v>-0.9228595277903705</v>
      </c>
      <c r="AX89" s="31">
        <f t="shared" ref="AX89:AX116" si="34">SQRT(P89)</f>
        <v>0.36306090622897413</v>
      </c>
      <c r="AY89" s="31" t="str">
        <f>F3</f>
        <v>Pooled SD</v>
      </c>
      <c r="AZ89" s="31"/>
      <c r="BA89" s="31"/>
      <c r="BB89" s="31"/>
      <c r="BC89" s="165"/>
      <c r="BD89" s="31"/>
      <c r="BE89" s="31"/>
      <c r="BF89" s="31"/>
      <c r="BG89" s="31"/>
      <c r="BH89" s="31"/>
      <c r="BI89" s="32"/>
      <c r="BJ89" s="32"/>
      <c r="BK89" s="31"/>
    </row>
    <row r="90" spans="1:63">
      <c r="E90" t="str">
        <f t="shared" si="8"/>
        <v>Vythilingam M</v>
      </c>
      <c r="F90">
        <f t="shared" si="8"/>
        <v>2004</v>
      </c>
      <c r="G90">
        <v>41</v>
      </c>
      <c r="H90">
        <f t="shared" si="9"/>
        <v>38</v>
      </c>
      <c r="I90">
        <f t="shared" si="9"/>
        <v>33</v>
      </c>
      <c r="J90">
        <f t="shared" si="10"/>
        <v>3219</v>
      </c>
      <c r="K90">
        <f t="shared" si="10"/>
        <v>380</v>
      </c>
      <c r="L90">
        <f t="shared" si="10"/>
        <v>3285</v>
      </c>
      <c r="M90">
        <f t="shared" si="10"/>
        <v>389</v>
      </c>
      <c r="N90">
        <f t="shared" si="11"/>
        <v>384.20012900887315</v>
      </c>
      <c r="O90" s="59">
        <f t="shared" si="12"/>
        <v>-0.1699114473709413</v>
      </c>
      <c r="P90" s="63">
        <f t="shared" si="13"/>
        <v>5.6834074026249917E-2</v>
      </c>
      <c r="Q90" s="59">
        <f t="shared" si="14"/>
        <v>0.46726200228484416</v>
      </c>
      <c r="R90" s="59">
        <f t="shared" si="15"/>
        <v>17.595078606156768</v>
      </c>
      <c r="S90" s="59">
        <f t="shared" si="16"/>
        <v>-2.989605272577581</v>
      </c>
      <c r="T90" s="59">
        <f t="shared" si="17"/>
        <v>0.50796815893145431</v>
      </c>
      <c r="U90" s="23">
        <f t="shared" si="18"/>
        <v>309.5867911568356</v>
      </c>
      <c r="V90" s="59">
        <f t="shared" si="19"/>
        <v>6.5268842469643182</v>
      </c>
      <c r="W90" s="59">
        <f t="shared" si="20"/>
        <v>-1.1089923492243037</v>
      </c>
      <c r="AF90" s="59">
        <f t="shared" si="21"/>
        <v>-0.1699114473709413</v>
      </c>
      <c r="AG90" s="59">
        <f t="shared" si="22"/>
        <v>0.46726200228484416</v>
      </c>
      <c r="AH90" s="59">
        <f t="shared" si="23"/>
        <v>0.46726200228484416</v>
      </c>
      <c r="AJ90">
        <f t="shared" si="24"/>
        <v>0.23839898075757354</v>
      </c>
      <c r="AK90">
        <f t="shared" si="25"/>
        <v>4.1946488060571614</v>
      </c>
      <c r="AL90">
        <f t="shared" si="26"/>
        <v>-0.71271884984996314</v>
      </c>
      <c r="AN90" s="31" t="str">
        <f t="shared" si="27"/>
        <v>Vythilingam M</v>
      </c>
      <c r="AO90" s="31">
        <f t="shared" si="27"/>
        <v>2004</v>
      </c>
      <c r="AP90" s="31" t="str">
        <f t="shared" si="28"/>
        <v>Vythilingam M 2004</v>
      </c>
      <c r="AQ90" s="31">
        <f t="shared" si="29"/>
        <v>38</v>
      </c>
      <c r="AR90" s="31">
        <f t="shared" si="30"/>
        <v>3219</v>
      </c>
      <c r="AS90" s="31">
        <f t="shared" si="30"/>
        <v>380</v>
      </c>
      <c r="AT90" s="31">
        <f t="shared" si="31"/>
        <v>33</v>
      </c>
      <c r="AU90" s="31">
        <f t="shared" si="32"/>
        <v>3285</v>
      </c>
      <c r="AV90" s="31">
        <f t="shared" si="32"/>
        <v>389</v>
      </c>
      <c r="AW90" s="164">
        <f t="shared" si="33"/>
        <v>-0.1699114473709413</v>
      </c>
      <c r="AX90" s="31">
        <f t="shared" si="34"/>
        <v>0.23839898075757354</v>
      </c>
      <c r="AY90" s="31" t="str">
        <f>F6</f>
        <v>Cohens Effect size</v>
      </c>
      <c r="AZ90" s="31"/>
      <c r="BA90" s="31"/>
      <c r="BB90" s="31"/>
      <c r="BC90" s="165"/>
      <c r="BD90" s="31"/>
      <c r="BE90" s="31"/>
      <c r="BF90" s="31"/>
      <c r="BG90" s="31"/>
      <c r="BH90" s="31"/>
      <c r="BI90" s="32"/>
      <c r="BJ90" s="32"/>
      <c r="BK90" s="31"/>
    </row>
    <row r="91" spans="1:63">
      <c r="E91" t="str">
        <f t="shared" si="8"/>
        <v>Hickie I (A)</v>
      </c>
      <c r="F91">
        <f t="shared" si="8"/>
        <v>2005</v>
      </c>
      <c r="G91">
        <v>40</v>
      </c>
      <c r="H91">
        <f t="shared" si="9"/>
        <v>51</v>
      </c>
      <c r="I91">
        <f t="shared" si="9"/>
        <v>20</v>
      </c>
      <c r="J91">
        <f t="shared" si="10"/>
        <v>5.9</v>
      </c>
      <c r="K91">
        <f t="shared" si="10"/>
        <v>0.6</v>
      </c>
      <c r="L91">
        <f t="shared" si="10"/>
        <v>6.6</v>
      </c>
      <c r="M91">
        <f t="shared" si="10"/>
        <v>1.1000000000000001</v>
      </c>
      <c r="N91">
        <f t="shared" si="11"/>
        <v>0.77075156244700072</v>
      </c>
      <c r="O91" s="59">
        <f t="shared" si="12"/>
        <v>-0.89829676655536428</v>
      </c>
      <c r="P91" s="63">
        <f t="shared" si="13"/>
        <v>7.5624373712887341E-2</v>
      </c>
      <c r="Q91" s="59">
        <f t="shared" si="14"/>
        <v>0.53899776813585043</v>
      </c>
      <c r="R91" s="59">
        <f t="shared" si="15"/>
        <v>13.223250003981024</v>
      </c>
      <c r="S91" s="59">
        <f t="shared" si="16"/>
        <v>-11.878402721929362</v>
      </c>
      <c r="T91" s="59">
        <f t="shared" si="17"/>
        <v>10.670330756951584</v>
      </c>
      <c r="U91" s="23">
        <f t="shared" si="18"/>
        <v>174.85434066778413</v>
      </c>
      <c r="V91" s="59">
        <f t="shared" si="19"/>
        <v>5.8138601633529952</v>
      </c>
      <c r="W91" s="59">
        <f t="shared" si="20"/>
        <v>-5.2225717859450373</v>
      </c>
      <c r="AF91" s="59">
        <f t="shared" si="21"/>
        <v>-0.89829676655536428</v>
      </c>
      <c r="AG91" s="59">
        <f t="shared" si="22"/>
        <v>0.53899776813585043</v>
      </c>
      <c r="AH91" s="59">
        <f t="shared" si="23"/>
        <v>0.53899776813585043</v>
      </c>
      <c r="AJ91">
        <f t="shared" si="24"/>
        <v>0.27499886129380124</v>
      </c>
      <c r="AK91">
        <f t="shared" si="25"/>
        <v>3.6363786936980347</v>
      </c>
      <c r="AL91">
        <f t="shared" si="26"/>
        <v>-3.266547222519764</v>
      </c>
      <c r="AN91" s="31" t="str">
        <f t="shared" si="27"/>
        <v>Hickie I (A)</v>
      </c>
      <c r="AO91" s="31">
        <f t="shared" si="27"/>
        <v>2005</v>
      </c>
      <c r="AP91" s="31" t="str">
        <f t="shared" si="28"/>
        <v>Hickie I (A) 2005</v>
      </c>
      <c r="AQ91" s="31">
        <f t="shared" si="29"/>
        <v>51</v>
      </c>
      <c r="AR91" s="31">
        <f t="shared" si="30"/>
        <v>5.9</v>
      </c>
      <c r="AS91" s="31">
        <f t="shared" si="30"/>
        <v>0.6</v>
      </c>
      <c r="AT91" s="31">
        <f t="shared" si="31"/>
        <v>20</v>
      </c>
      <c r="AU91" s="31">
        <f t="shared" si="32"/>
        <v>6.6</v>
      </c>
      <c r="AV91" s="31">
        <f t="shared" si="32"/>
        <v>1.1000000000000001</v>
      </c>
      <c r="AW91" s="164">
        <f t="shared" si="33"/>
        <v>-0.89829676655536428</v>
      </c>
      <c r="AX91" s="31">
        <f t="shared" si="34"/>
        <v>0.27499886129380124</v>
      </c>
      <c r="AY91" s="31"/>
      <c r="AZ91" s="31"/>
      <c r="BA91" s="31"/>
      <c r="BB91" s="31"/>
      <c r="BC91" s="165"/>
      <c r="BD91" s="31"/>
      <c r="BE91" s="31"/>
      <c r="BF91" s="31"/>
      <c r="BG91" s="31"/>
      <c r="BH91" s="31"/>
      <c r="BI91" s="32"/>
      <c r="BJ91" s="32"/>
      <c r="BK91" s="31"/>
    </row>
    <row r="92" spans="1:63">
      <c r="E92" t="str">
        <f t="shared" si="8"/>
        <v>Colla M</v>
      </c>
      <c r="F92">
        <f t="shared" si="8"/>
        <v>2007</v>
      </c>
      <c r="G92">
        <v>37</v>
      </c>
      <c r="H92">
        <f t="shared" si="9"/>
        <v>24</v>
      </c>
      <c r="I92">
        <f t="shared" si="9"/>
        <v>14</v>
      </c>
      <c r="J92">
        <f t="shared" si="10"/>
        <v>3.46</v>
      </c>
      <c r="K92">
        <f t="shared" si="10"/>
        <v>0.52</v>
      </c>
      <c r="L92">
        <f t="shared" si="10"/>
        <v>3.86</v>
      </c>
      <c r="M92">
        <f t="shared" si="10"/>
        <v>0.32</v>
      </c>
      <c r="N92">
        <f t="shared" si="11"/>
        <v>0.45796651988254922</v>
      </c>
      <c r="O92" s="59">
        <f t="shared" si="12"/>
        <v>-0.85510266494769971</v>
      </c>
      <c r="P92" s="63">
        <f t="shared" si="13"/>
        <v>0.1238292452532043</v>
      </c>
      <c r="Q92" s="59">
        <f t="shared" si="14"/>
        <v>0.68971184458780288</v>
      </c>
      <c r="R92" s="59">
        <f t="shared" si="15"/>
        <v>8.0756367201884665</v>
      </c>
      <c r="S92" s="59">
        <f t="shared" si="16"/>
        <v>-6.9054984805826587</v>
      </c>
      <c r="T92" s="59">
        <f t="shared" si="17"/>
        <v>5.9049101535385224</v>
      </c>
      <c r="U92" s="23">
        <f t="shared" si="18"/>
        <v>65.215908436456331</v>
      </c>
      <c r="V92" s="59">
        <f t="shared" si="19"/>
        <v>4.5411686624690555</v>
      </c>
      <c r="W92" s="59">
        <f t="shared" si="20"/>
        <v>-3.8831654252542704</v>
      </c>
      <c r="AF92" s="59">
        <f t="shared" si="21"/>
        <v>-0.85510266494769971</v>
      </c>
      <c r="AG92" s="59">
        <f t="shared" si="22"/>
        <v>0.68971184458780288</v>
      </c>
      <c r="AH92" s="59">
        <f t="shared" si="23"/>
        <v>0.68971184458780288</v>
      </c>
      <c r="AJ92">
        <f t="shared" si="24"/>
        <v>0.35189379825908312</v>
      </c>
      <c r="AK92">
        <f t="shared" si="25"/>
        <v>2.841766478827644</v>
      </c>
      <c r="AL92">
        <f t="shared" si="26"/>
        <v>-2.4300020892045593</v>
      </c>
      <c r="AN92" s="31" t="str">
        <f t="shared" si="27"/>
        <v>Colla M</v>
      </c>
      <c r="AO92" s="31">
        <f t="shared" si="27"/>
        <v>2007</v>
      </c>
      <c r="AP92" s="31" t="str">
        <f t="shared" si="28"/>
        <v>Colla M 2007</v>
      </c>
      <c r="AQ92" s="31">
        <f t="shared" si="29"/>
        <v>24</v>
      </c>
      <c r="AR92" s="31">
        <f t="shared" si="30"/>
        <v>3.46</v>
      </c>
      <c r="AS92" s="31">
        <f t="shared" si="30"/>
        <v>0.52</v>
      </c>
      <c r="AT92" s="31">
        <f t="shared" si="31"/>
        <v>14</v>
      </c>
      <c r="AU92" s="31">
        <f t="shared" si="32"/>
        <v>3.86</v>
      </c>
      <c r="AV92" s="31">
        <f t="shared" si="32"/>
        <v>0.32</v>
      </c>
      <c r="AW92" s="164">
        <f t="shared" si="33"/>
        <v>-0.85510266494769971</v>
      </c>
      <c r="AX92" s="31">
        <f t="shared" si="34"/>
        <v>0.35189379825908312</v>
      </c>
      <c r="AY92" s="31"/>
      <c r="AZ92" s="31"/>
      <c r="BA92" s="31"/>
      <c r="BB92" s="31"/>
      <c r="BC92" s="165"/>
      <c r="BD92" s="31"/>
      <c r="BE92" s="31"/>
      <c r="BF92" s="31"/>
      <c r="BG92" s="31"/>
      <c r="BH92" s="31"/>
      <c r="BI92" s="32"/>
      <c r="BJ92" s="32"/>
      <c r="BK92" s="31"/>
    </row>
    <row r="93" spans="1:63">
      <c r="E93" t="str">
        <f t="shared" si="8"/>
        <v>Kronmüller KT</v>
      </c>
      <c r="F93">
        <f t="shared" si="8"/>
        <v>2009</v>
      </c>
      <c r="G93">
        <v>35</v>
      </c>
      <c r="H93">
        <f t="shared" si="9"/>
        <v>13</v>
      </c>
      <c r="I93">
        <f t="shared" si="9"/>
        <v>5.5</v>
      </c>
      <c r="J93">
        <f t="shared" si="10"/>
        <v>5.81</v>
      </c>
      <c r="K93">
        <f t="shared" si="10"/>
        <v>0.9</v>
      </c>
      <c r="L93">
        <f t="shared" si="10"/>
        <v>6.49</v>
      </c>
      <c r="M93">
        <f t="shared" si="10"/>
        <v>0.49</v>
      </c>
      <c r="N93">
        <f t="shared" si="11"/>
        <v>0.80905668977688283</v>
      </c>
      <c r="O93" s="59">
        <f t="shared" si="12"/>
        <v>-0.80169337057735313</v>
      </c>
      <c r="P93" s="63">
        <f t="shared" si="13"/>
        <v>0.28081242153067076</v>
      </c>
      <c r="Q93" s="59">
        <f t="shared" si="14"/>
        <v>1.038638049828825</v>
      </c>
      <c r="R93" s="59">
        <f t="shared" si="15"/>
        <v>3.5610960318248543</v>
      </c>
      <c r="S93" s="59">
        <f t="shared" si="16"/>
        <v>-2.8549070807033048</v>
      </c>
      <c r="T93" s="59">
        <f t="shared" si="17"/>
        <v>2.2887600802141836</v>
      </c>
      <c r="U93" s="23">
        <f t="shared" si="18"/>
        <v>12.681404947878724</v>
      </c>
      <c r="V93" s="59">
        <f t="shared" si="19"/>
        <v>2.6511780687587216</v>
      </c>
      <c r="W93" s="59">
        <f t="shared" si="20"/>
        <v>-2.1254318819439373</v>
      </c>
      <c r="AF93" s="59">
        <f t="shared" si="21"/>
        <v>-0.80169337057735313</v>
      </c>
      <c r="AG93" s="59">
        <f t="shared" si="22"/>
        <v>1.038638049828825</v>
      </c>
      <c r="AH93" s="59">
        <f t="shared" si="23"/>
        <v>1.038638049828825</v>
      </c>
      <c r="AJ93">
        <f t="shared" si="24"/>
        <v>0.52991737236164538</v>
      </c>
      <c r="AK93">
        <f t="shared" si="25"/>
        <v>1.8870866519121094</v>
      </c>
      <c r="AL93">
        <f t="shared" si="26"/>
        <v>-1.5128648585429514</v>
      </c>
      <c r="AN93" s="31" t="str">
        <f t="shared" si="27"/>
        <v>Kronmüller KT</v>
      </c>
      <c r="AO93" s="31">
        <f t="shared" si="27"/>
        <v>2009</v>
      </c>
      <c r="AP93" s="31" t="str">
        <f t="shared" si="28"/>
        <v>Kronmüller KT 2009</v>
      </c>
      <c r="AQ93" s="31">
        <f t="shared" si="29"/>
        <v>13</v>
      </c>
      <c r="AR93" s="31">
        <f t="shared" si="30"/>
        <v>5.81</v>
      </c>
      <c r="AS93" s="31">
        <f t="shared" si="30"/>
        <v>0.9</v>
      </c>
      <c r="AT93" s="31">
        <f t="shared" si="31"/>
        <v>5</v>
      </c>
      <c r="AU93" s="31">
        <f t="shared" si="32"/>
        <v>6.49</v>
      </c>
      <c r="AV93" s="31">
        <f t="shared" si="32"/>
        <v>0.49</v>
      </c>
      <c r="AW93" s="164">
        <f t="shared" si="33"/>
        <v>-0.80169337057735313</v>
      </c>
      <c r="AX93" s="31">
        <f t="shared" si="34"/>
        <v>0.52991737236164538</v>
      </c>
      <c r="AY93" s="31"/>
      <c r="AZ93" s="31"/>
      <c r="BA93" s="31"/>
      <c r="BB93" s="31"/>
      <c r="BC93" s="165"/>
      <c r="BD93" s="31"/>
      <c r="BE93" s="31"/>
      <c r="BF93" s="31"/>
      <c r="BG93" s="31"/>
      <c r="BH93" s="31"/>
      <c r="BI93" s="32"/>
      <c r="BJ93" s="32"/>
      <c r="BK93" s="31"/>
    </row>
    <row r="94" spans="1:63">
      <c r="E94" t="str">
        <f t="shared" si="8"/>
        <v>Kronmüller KT</v>
      </c>
      <c r="F94">
        <f t="shared" si="8"/>
        <v>2009</v>
      </c>
      <c r="G94">
        <v>34</v>
      </c>
      <c r="H94">
        <f t="shared" si="9"/>
        <v>13</v>
      </c>
      <c r="I94">
        <f t="shared" si="9"/>
        <v>9.5</v>
      </c>
      <c r="J94">
        <f t="shared" si="10"/>
        <v>5.52</v>
      </c>
      <c r="K94">
        <f t="shared" si="10"/>
        <v>0.56999999999999995</v>
      </c>
      <c r="L94">
        <f t="shared" si="10"/>
        <v>5.51</v>
      </c>
      <c r="M94">
        <f t="shared" si="10"/>
        <v>0.66</v>
      </c>
      <c r="N94">
        <f t="shared" si="11"/>
        <v>0.6089334939055332</v>
      </c>
      <c r="O94" s="59">
        <f t="shared" si="12"/>
        <v>1.5813926686587081E-2</v>
      </c>
      <c r="P94" s="63">
        <f t="shared" si="13"/>
        <v>0.18219297189424827</v>
      </c>
      <c r="Q94" s="59">
        <f t="shared" si="14"/>
        <v>0.83660774609666633</v>
      </c>
      <c r="R94" s="59">
        <f t="shared" si="15"/>
        <v>5.4886859224209701</v>
      </c>
      <c r="S94" s="59">
        <f t="shared" si="16"/>
        <v>8.6797676782867816E-2</v>
      </c>
      <c r="T94" s="59">
        <f t="shared" si="17"/>
        <v>1.3726120972103531E-3</v>
      </c>
      <c r="U94" s="23">
        <f t="shared" si="18"/>
        <v>30.125673154982135</v>
      </c>
      <c r="V94" s="59">
        <f t="shared" si="19"/>
        <v>3.5897444842870887</v>
      </c>
      <c r="W94" s="59">
        <f t="shared" si="20"/>
        <v>5.6767956098096373E-2</v>
      </c>
      <c r="AF94" s="59">
        <f t="shared" si="21"/>
        <v>1.5813926686587081E-2</v>
      </c>
      <c r="AG94" s="59">
        <f t="shared" si="22"/>
        <v>0.83660774609666633</v>
      </c>
      <c r="AH94" s="59">
        <f t="shared" si="23"/>
        <v>0.83660774609666633</v>
      </c>
      <c r="AJ94">
        <f t="shared" si="24"/>
        <v>0.42684068678401343</v>
      </c>
      <c r="AK94">
        <f t="shared" si="25"/>
        <v>2.3427944686679134</v>
      </c>
      <c r="AL94">
        <f t="shared" si="26"/>
        <v>3.7048779969256117E-2</v>
      </c>
      <c r="AN94" s="31" t="str">
        <f t="shared" si="27"/>
        <v>Kronmüller KT</v>
      </c>
      <c r="AO94" s="31">
        <f t="shared" si="27"/>
        <v>2009</v>
      </c>
      <c r="AP94" s="31" t="str">
        <f t="shared" si="28"/>
        <v>Kronmüller KT 2009</v>
      </c>
      <c r="AQ94" s="31">
        <f t="shared" si="29"/>
        <v>13</v>
      </c>
      <c r="AR94" s="31">
        <f t="shared" si="30"/>
        <v>5.52</v>
      </c>
      <c r="AS94" s="31">
        <f t="shared" si="30"/>
        <v>0.56999999999999995</v>
      </c>
      <c r="AT94" s="31">
        <f t="shared" si="31"/>
        <v>9</v>
      </c>
      <c r="AU94" s="31">
        <f t="shared" si="32"/>
        <v>5.51</v>
      </c>
      <c r="AV94" s="31">
        <f t="shared" si="32"/>
        <v>0.66</v>
      </c>
      <c r="AW94" s="164">
        <f t="shared" si="33"/>
        <v>1.5813926686587081E-2</v>
      </c>
      <c r="AX94" s="31">
        <f t="shared" si="34"/>
        <v>0.42684068678401343</v>
      </c>
      <c r="AY94" s="31"/>
      <c r="AZ94" s="31"/>
      <c r="BA94" s="31"/>
      <c r="BB94" s="31"/>
      <c r="BC94" s="165"/>
      <c r="BD94" s="31"/>
      <c r="BE94" s="31"/>
      <c r="BF94" s="31"/>
      <c r="BG94" s="31"/>
      <c r="BH94" s="31"/>
      <c r="BI94" s="32"/>
      <c r="BJ94" s="32"/>
      <c r="BK94" s="31"/>
    </row>
    <row r="95" spans="1:63">
      <c r="E95" t="str">
        <f t="shared" si="8"/>
        <v>Kronmüller KT</v>
      </c>
      <c r="F95">
        <f t="shared" si="8"/>
        <v>2009</v>
      </c>
      <c r="G95">
        <v>33</v>
      </c>
      <c r="H95">
        <f t="shared" si="9"/>
        <v>11</v>
      </c>
      <c r="I95">
        <f t="shared" si="9"/>
        <v>5.5</v>
      </c>
      <c r="J95">
        <f t="shared" si="10"/>
        <v>6.07</v>
      </c>
      <c r="K95">
        <f t="shared" si="10"/>
        <v>0.85</v>
      </c>
      <c r="L95">
        <f t="shared" si="10"/>
        <v>6.49</v>
      </c>
      <c r="M95">
        <f t="shared" si="10"/>
        <v>0.49</v>
      </c>
      <c r="N95">
        <f t="shared" si="11"/>
        <v>0.75682868284203786</v>
      </c>
      <c r="O95" s="59">
        <f t="shared" si="12"/>
        <v>-0.52573950467618868</v>
      </c>
      <c r="P95" s="63">
        <f t="shared" si="13"/>
        <v>0.28373053812445281</v>
      </c>
      <c r="Q95" s="59">
        <f t="shared" si="14"/>
        <v>1.0440207063362767</v>
      </c>
      <c r="R95" s="59">
        <f t="shared" si="15"/>
        <v>3.5244708116733268</v>
      </c>
      <c r="S95" s="59">
        <f t="shared" si="16"/>
        <v>-1.8529535387748195</v>
      </c>
      <c r="T95" s="59">
        <f t="shared" si="17"/>
        <v>0.97417087566346472</v>
      </c>
      <c r="U95" s="23">
        <f t="shared" si="18"/>
        <v>12.421894502337238</v>
      </c>
      <c r="V95" s="59">
        <f t="shared" si="19"/>
        <v>2.6308248326232757</v>
      </c>
      <c r="W95" s="59">
        <f t="shared" si="20"/>
        <v>-1.383128544393178</v>
      </c>
      <c r="AF95" s="59">
        <f t="shared" si="21"/>
        <v>-0.52573950467618868</v>
      </c>
      <c r="AG95" s="59">
        <f t="shared" si="22"/>
        <v>1.0440207063362767</v>
      </c>
      <c r="AH95" s="59">
        <f t="shared" si="23"/>
        <v>1.0440207063362767</v>
      </c>
      <c r="AJ95">
        <f t="shared" si="24"/>
        <v>0.53266362568177383</v>
      </c>
      <c r="AK95">
        <f t="shared" si="25"/>
        <v>1.8773574011554981</v>
      </c>
      <c r="AL95">
        <f t="shared" si="26"/>
        <v>-0.98700095018366851</v>
      </c>
      <c r="AN95" s="31" t="str">
        <f t="shared" si="27"/>
        <v>Kronmüller KT</v>
      </c>
      <c r="AO95" s="31">
        <f t="shared" si="27"/>
        <v>2009</v>
      </c>
      <c r="AP95" s="31" t="str">
        <f t="shared" si="28"/>
        <v>Kronmüller KT 2009</v>
      </c>
      <c r="AQ95" s="31">
        <f t="shared" si="29"/>
        <v>11</v>
      </c>
      <c r="AR95" s="31">
        <f t="shared" si="30"/>
        <v>6.07</v>
      </c>
      <c r="AS95" s="31">
        <f t="shared" si="30"/>
        <v>0.85</v>
      </c>
      <c r="AT95" s="31">
        <f t="shared" si="31"/>
        <v>5</v>
      </c>
      <c r="AU95" s="31">
        <f t="shared" si="32"/>
        <v>6.49</v>
      </c>
      <c r="AV95" s="31">
        <f t="shared" si="32"/>
        <v>0.49</v>
      </c>
      <c r="AW95" s="164">
        <f t="shared" si="33"/>
        <v>-0.52573950467618868</v>
      </c>
      <c r="AX95" s="31">
        <f t="shared" si="34"/>
        <v>0.53266362568177383</v>
      </c>
      <c r="AY95" s="31"/>
      <c r="AZ95" s="31"/>
      <c r="BA95" s="31"/>
      <c r="BB95" s="31"/>
      <c r="BC95" s="165"/>
      <c r="BD95" s="31"/>
      <c r="BE95" s="31"/>
      <c r="BF95" s="31"/>
      <c r="BG95" s="31"/>
      <c r="BH95" s="31"/>
      <c r="BI95" s="32"/>
      <c r="BJ95" s="32"/>
      <c r="BK95" s="31"/>
    </row>
    <row r="96" spans="1:63">
      <c r="E96" t="str">
        <f t="shared" si="8"/>
        <v>Kronmüller KT</v>
      </c>
      <c r="F96">
        <f t="shared" si="8"/>
        <v>2009</v>
      </c>
      <c r="G96">
        <v>32</v>
      </c>
      <c r="H96">
        <f t="shared" si="9"/>
        <v>20</v>
      </c>
      <c r="I96">
        <f t="shared" si="9"/>
        <v>9.5</v>
      </c>
      <c r="J96">
        <f t="shared" si="10"/>
        <v>5.59</v>
      </c>
      <c r="K96">
        <f t="shared" si="10"/>
        <v>0.73</v>
      </c>
      <c r="L96">
        <f t="shared" si="10"/>
        <v>5.51</v>
      </c>
      <c r="M96">
        <f t="shared" si="10"/>
        <v>0.66</v>
      </c>
      <c r="N96">
        <f t="shared" si="11"/>
        <v>0.70910186471723125</v>
      </c>
      <c r="O96" s="59">
        <f t="shared" si="12"/>
        <v>0.1097136659887904</v>
      </c>
      <c r="P96" s="63">
        <f t="shared" si="13"/>
        <v>0.15549862519725446</v>
      </c>
      <c r="Q96" s="59">
        <f t="shared" si="14"/>
        <v>0.77289295413904036</v>
      </c>
      <c r="R96" s="59">
        <f t="shared" si="15"/>
        <v>6.4309250241374887</v>
      </c>
      <c r="S96" s="59">
        <f t="shared" si="16"/>
        <v>0.70556036009717427</v>
      </c>
      <c r="T96" s="59">
        <f t="shared" si="17"/>
        <v>7.740961368263205E-2</v>
      </c>
      <c r="U96" s="23">
        <f t="shared" si="18"/>
        <v>41.356796666077763</v>
      </c>
      <c r="V96" s="59">
        <f t="shared" si="19"/>
        <v>3.9701916036283222</v>
      </c>
      <c r="W96" s="59">
        <f t="shared" si="20"/>
        <v>0.43558427551197787</v>
      </c>
      <c r="AF96" s="59">
        <f t="shared" si="21"/>
        <v>0.1097136659887904</v>
      </c>
      <c r="AG96" s="59">
        <f t="shared" si="22"/>
        <v>0.77289295413904036</v>
      </c>
      <c r="AH96" s="59">
        <f t="shared" si="23"/>
        <v>0.77289295413904036</v>
      </c>
      <c r="AJ96">
        <f t="shared" si="24"/>
        <v>0.39433313986685731</v>
      </c>
      <c r="AK96">
        <f t="shared" si="25"/>
        <v>2.5359268570164812</v>
      </c>
      <c r="AL96">
        <f t="shared" si="26"/>
        <v>0.27822583216270924</v>
      </c>
      <c r="AN96" s="31" t="str">
        <f t="shared" si="27"/>
        <v>Kronmüller KT</v>
      </c>
      <c r="AO96" s="31">
        <f t="shared" si="27"/>
        <v>2009</v>
      </c>
      <c r="AP96" s="31" t="str">
        <f t="shared" si="28"/>
        <v>Kronmüller KT 2009</v>
      </c>
      <c r="AQ96" s="31">
        <f t="shared" si="29"/>
        <v>20</v>
      </c>
      <c r="AR96" s="31">
        <f t="shared" si="30"/>
        <v>5.59</v>
      </c>
      <c r="AS96" s="31">
        <f t="shared" si="30"/>
        <v>0.73</v>
      </c>
      <c r="AT96" s="31">
        <f t="shared" si="31"/>
        <v>9</v>
      </c>
      <c r="AU96" s="31">
        <f t="shared" si="32"/>
        <v>5.51</v>
      </c>
      <c r="AV96" s="31">
        <f t="shared" si="32"/>
        <v>0.66</v>
      </c>
      <c r="AW96" s="164">
        <f t="shared" si="33"/>
        <v>0.1097136659887904</v>
      </c>
      <c r="AX96" s="31">
        <f t="shared" si="34"/>
        <v>0.39433313986685731</v>
      </c>
      <c r="AY96" s="31"/>
      <c r="AZ96" s="31"/>
      <c r="BA96" s="31"/>
      <c r="BB96" s="31"/>
      <c r="BC96" s="165"/>
      <c r="BD96" s="31"/>
      <c r="BE96" s="31"/>
      <c r="BF96" s="31"/>
      <c r="BG96" s="31"/>
      <c r="BH96" s="31"/>
      <c r="BI96" s="32"/>
      <c r="BJ96" s="32"/>
      <c r="BK96" s="31"/>
    </row>
    <row r="97" spans="5:63">
      <c r="E97" t="str">
        <f t="shared" ref="E97:F104" si="35">E34</f>
        <v>Bremner JD</v>
      </c>
      <c r="F97">
        <f t="shared" si="35"/>
        <v>2000</v>
      </c>
      <c r="G97">
        <v>29</v>
      </c>
      <c r="H97">
        <f t="shared" ref="H97:I104" si="36">H34</f>
        <v>16</v>
      </c>
      <c r="I97">
        <f t="shared" si="36"/>
        <v>16</v>
      </c>
      <c r="J97">
        <f t="shared" ref="J97:M104" si="37">IF($D$4="Total",T34,IF($D$4="Left",L34,IF($D$4="Right",P34,"error")))</f>
        <v>1922</v>
      </c>
      <c r="K97">
        <f t="shared" si="37"/>
        <v>452.93288686073572</v>
      </c>
      <c r="L97">
        <f t="shared" si="37"/>
        <v>2279</v>
      </c>
      <c r="M97">
        <f t="shared" si="37"/>
        <v>419.66558114765621</v>
      </c>
      <c r="N97">
        <f t="shared" si="11"/>
        <v>436.61619301166559</v>
      </c>
      <c r="O97" s="59">
        <f t="shared" si="12"/>
        <v>-0.79703869341076428</v>
      </c>
      <c r="P97" s="63">
        <f t="shared" si="13"/>
        <v>0.13631986241614288</v>
      </c>
      <c r="Q97" s="59">
        <f t="shared" si="14"/>
        <v>0.72366178803212655</v>
      </c>
      <c r="R97" s="59">
        <f t="shared" si="15"/>
        <v>7.3356881548728792</v>
      </c>
      <c r="S97" s="59">
        <f t="shared" si="16"/>
        <v>-5.8468273022287001</v>
      </c>
      <c r="T97" s="59">
        <f t="shared" si="17"/>
        <v>4.6601475935667462</v>
      </c>
      <c r="U97" s="23">
        <f t="shared" si="18"/>
        <v>53.81232070554227</v>
      </c>
      <c r="V97" s="59">
        <f t="shared" si="19"/>
        <v>4.2974109233607001</v>
      </c>
      <c r="W97" s="59">
        <f t="shared" si="20"/>
        <v>-3.4252027874045585</v>
      </c>
      <c r="AF97" s="59">
        <f t="shared" si="21"/>
        <v>-0.79703869341076428</v>
      </c>
      <c r="AG97" s="59">
        <f t="shared" si="22"/>
        <v>0.72366178803212655</v>
      </c>
      <c r="AH97" s="59">
        <f t="shared" si="23"/>
        <v>0.72366178803212655</v>
      </c>
      <c r="AJ97">
        <f t="shared" si="24"/>
        <v>0.36921519797557478</v>
      </c>
      <c r="AK97">
        <f t="shared" si="25"/>
        <v>2.7084475543884694</v>
      </c>
      <c r="AL97">
        <f t="shared" si="26"/>
        <v>-2.1587374999213655</v>
      </c>
      <c r="AN97" s="31" t="str">
        <f t="shared" si="27"/>
        <v>Bremner JD</v>
      </c>
      <c r="AO97" s="31">
        <f t="shared" si="27"/>
        <v>2000</v>
      </c>
      <c r="AP97" s="31" t="str">
        <f t="shared" si="28"/>
        <v>Bremner JD 2000</v>
      </c>
      <c r="AQ97" s="31">
        <f t="shared" si="29"/>
        <v>16</v>
      </c>
      <c r="AR97" s="31">
        <f t="shared" si="30"/>
        <v>1922</v>
      </c>
      <c r="AS97" s="31">
        <f t="shared" si="30"/>
        <v>452.93288686073572</v>
      </c>
      <c r="AT97" s="31">
        <f t="shared" si="31"/>
        <v>16</v>
      </c>
      <c r="AU97" s="31">
        <f t="shared" si="32"/>
        <v>2279</v>
      </c>
      <c r="AV97" s="31">
        <f t="shared" si="32"/>
        <v>419.66558114765621</v>
      </c>
      <c r="AW97" s="164">
        <f t="shared" si="33"/>
        <v>-0.79703869341076428</v>
      </c>
      <c r="AX97" s="31">
        <f t="shared" si="34"/>
        <v>0.36921519797557478</v>
      </c>
      <c r="AY97" s="31"/>
      <c r="AZ97" s="31"/>
      <c r="BA97" s="31"/>
      <c r="BB97" s="31"/>
      <c r="BC97" s="165"/>
      <c r="BD97" s="31"/>
      <c r="BE97" s="31"/>
      <c r="BF97" s="31"/>
      <c r="BG97" s="31"/>
      <c r="BH97" s="31"/>
      <c r="BI97" s="32"/>
      <c r="BJ97" s="32"/>
      <c r="BK97" s="31"/>
    </row>
    <row r="98" spans="5:63">
      <c r="E98" t="str">
        <f t="shared" si="35"/>
        <v>Vakili K</v>
      </c>
      <c r="F98">
        <f t="shared" si="35"/>
        <v>2000</v>
      </c>
      <c r="G98">
        <v>28</v>
      </c>
      <c r="H98">
        <f t="shared" si="36"/>
        <v>38</v>
      </c>
      <c r="I98">
        <f t="shared" si="36"/>
        <v>20</v>
      </c>
      <c r="J98">
        <f t="shared" si="37"/>
        <v>5.25</v>
      </c>
      <c r="K98">
        <f t="shared" si="37"/>
        <v>1.0720541031123383</v>
      </c>
      <c r="L98">
        <f t="shared" si="37"/>
        <v>5.0600000000000005</v>
      </c>
      <c r="M98">
        <f t="shared" si="37"/>
        <v>0.84532833857620082</v>
      </c>
      <c r="N98">
        <f t="shared" si="11"/>
        <v>1.0009024499349146</v>
      </c>
      <c r="O98" s="59">
        <f t="shared" si="12"/>
        <v>0.18727493993098845</v>
      </c>
      <c r="P98" s="63">
        <f t="shared" si="13"/>
        <v>7.664016889586471E-2</v>
      </c>
      <c r="Q98" s="59">
        <f t="shared" si="14"/>
        <v>0.54260563287746455</v>
      </c>
      <c r="R98" s="59">
        <f t="shared" si="15"/>
        <v>13.047987946878823</v>
      </c>
      <c r="S98" s="59">
        <f t="shared" si="16"/>
        <v>2.4435611589719932</v>
      </c>
      <c r="T98" s="59">
        <f t="shared" si="17"/>
        <v>0.45761776926417647</v>
      </c>
      <c r="U98" s="23">
        <f t="shared" si="18"/>
        <v>170.24998946189504</v>
      </c>
      <c r="V98" s="59">
        <f t="shared" si="19"/>
        <v>5.7797268814687159</v>
      </c>
      <c r="W98" s="59">
        <f t="shared" si="20"/>
        <v>1.0823980045445729</v>
      </c>
      <c r="AF98" s="59">
        <f t="shared" si="21"/>
        <v>0.18727493993098845</v>
      </c>
      <c r="AG98" s="59">
        <f t="shared" si="22"/>
        <v>0.54260563287746455</v>
      </c>
      <c r="AH98" s="59">
        <f t="shared" si="23"/>
        <v>0.54260563287746455</v>
      </c>
      <c r="AJ98">
        <f t="shared" si="24"/>
        <v>0.2768396086109513</v>
      </c>
      <c r="AK98">
        <f t="shared" si="25"/>
        <v>3.6121998763743437</v>
      </c>
      <c r="AL98">
        <f t="shared" si="26"/>
        <v>0.67647451486672916</v>
      </c>
      <c r="AN98" s="31" t="str">
        <f t="shared" ref="AN98:AO111" si="38">E98</f>
        <v>Vakili K</v>
      </c>
      <c r="AO98" s="31">
        <f t="shared" si="38"/>
        <v>2000</v>
      </c>
      <c r="AP98" s="31" t="str">
        <f t="shared" si="28"/>
        <v>Vakili K 2000</v>
      </c>
      <c r="AQ98" s="31">
        <f t="shared" si="29"/>
        <v>38</v>
      </c>
      <c r="AR98" s="31">
        <f t="shared" ref="AR98:AS111" si="39">J98</f>
        <v>5.25</v>
      </c>
      <c r="AS98" s="31">
        <f t="shared" si="39"/>
        <v>1.0720541031123383</v>
      </c>
      <c r="AT98" s="31">
        <f t="shared" si="31"/>
        <v>20</v>
      </c>
      <c r="AU98" s="31">
        <f t="shared" ref="AU98:AV111" si="40">L98</f>
        <v>5.0600000000000005</v>
      </c>
      <c r="AV98" s="31">
        <f t="shared" si="40"/>
        <v>0.84532833857620082</v>
      </c>
      <c r="AW98" s="164">
        <f t="shared" si="33"/>
        <v>0.18727493993098845</v>
      </c>
      <c r="AX98" s="31">
        <f t="shared" si="34"/>
        <v>0.2768396086109513</v>
      </c>
      <c r="AY98" s="31"/>
      <c r="AZ98" s="31"/>
      <c r="BA98" s="31"/>
      <c r="BB98" s="31"/>
      <c r="BC98" s="165"/>
      <c r="BD98" s="31"/>
      <c r="BE98" s="31"/>
      <c r="BF98" s="31"/>
      <c r="BG98" s="31"/>
      <c r="BH98" s="31"/>
      <c r="BI98" s="32"/>
      <c r="BJ98" s="32"/>
      <c r="BK98" s="31"/>
    </row>
    <row r="99" spans="5:63">
      <c r="E99" t="str">
        <f t="shared" si="35"/>
        <v>Rusch BD</v>
      </c>
      <c r="F99">
        <f t="shared" si="35"/>
        <v>2001</v>
      </c>
      <c r="G99">
        <v>27</v>
      </c>
      <c r="H99">
        <f t="shared" si="36"/>
        <v>25</v>
      </c>
      <c r="I99">
        <f t="shared" si="36"/>
        <v>15</v>
      </c>
      <c r="J99">
        <f t="shared" si="37"/>
        <v>4.46</v>
      </c>
      <c r="K99">
        <f t="shared" si="37"/>
        <v>0.53141321022345689</v>
      </c>
      <c r="L99">
        <f t="shared" si="37"/>
        <v>4.33</v>
      </c>
      <c r="M99">
        <f t="shared" si="37"/>
        <v>0.48392148123430107</v>
      </c>
      <c r="N99">
        <f t="shared" si="11"/>
        <v>0.51442660977257515</v>
      </c>
      <c r="O99" s="59">
        <f t="shared" si="12"/>
        <v>0.24768784530679047</v>
      </c>
      <c r="P99" s="63">
        <f t="shared" si="13"/>
        <v>0.107517322084203</v>
      </c>
      <c r="Q99" s="59">
        <f t="shared" si="14"/>
        <v>0.64268074852034751</v>
      </c>
      <c r="R99" s="59">
        <f t="shared" si="15"/>
        <v>9.300826886451306</v>
      </c>
      <c r="S99" s="59">
        <f t="shared" si="16"/>
        <v>2.3037017710765886</v>
      </c>
      <c r="T99" s="59">
        <f t="shared" si="17"/>
        <v>0.57059892790739741</v>
      </c>
      <c r="U99" s="23">
        <f t="shared" si="18"/>
        <v>86.505380771735489</v>
      </c>
      <c r="V99" s="59">
        <f t="shared" si="19"/>
        <v>4.9044680892120684</v>
      </c>
      <c r="W99" s="59">
        <f t="shared" si="20"/>
        <v>1.214777133392849</v>
      </c>
      <c r="AF99" s="59">
        <f t="shared" si="21"/>
        <v>0.24768784530679047</v>
      </c>
      <c r="AG99" s="59">
        <f t="shared" si="22"/>
        <v>0.64268074852034751</v>
      </c>
      <c r="AH99" s="59">
        <f t="shared" si="23"/>
        <v>0.64268074852034751</v>
      </c>
      <c r="AJ99">
        <f t="shared" si="24"/>
        <v>0.32789834108180999</v>
      </c>
      <c r="AK99">
        <f t="shared" si="25"/>
        <v>3.0497257067564791</v>
      </c>
      <c r="AL99">
        <f t="shared" si="26"/>
        <v>0.755379989083241</v>
      </c>
      <c r="AN99" s="31" t="str">
        <f t="shared" si="38"/>
        <v>Rusch BD</v>
      </c>
      <c r="AO99" s="31">
        <f t="shared" si="38"/>
        <v>2001</v>
      </c>
      <c r="AP99" s="31" t="str">
        <f t="shared" si="28"/>
        <v>Rusch BD 2001</v>
      </c>
      <c r="AQ99" s="31">
        <f t="shared" si="29"/>
        <v>25</v>
      </c>
      <c r="AR99" s="31">
        <f t="shared" si="39"/>
        <v>4.46</v>
      </c>
      <c r="AS99" s="31">
        <f t="shared" si="39"/>
        <v>0.53141321022345689</v>
      </c>
      <c r="AT99" s="31">
        <f t="shared" si="31"/>
        <v>15</v>
      </c>
      <c r="AU99" s="31">
        <f t="shared" si="40"/>
        <v>4.33</v>
      </c>
      <c r="AV99" s="31">
        <f t="shared" si="40"/>
        <v>0.48392148123430107</v>
      </c>
      <c r="AW99" s="164">
        <f t="shared" si="33"/>
        <v>0.24768784530679047</v>
      </c>
      <c r="AX99" s="31">
        <f t="shared" si="34"/>
        <v>0.32789834108180999</v>
      </c>
      <c r="AY99" s="31"/>
      <c r="AZ99" s="31"/>
      <c r="BA99" s="31"/>
      <c r="BB99" s="31"/>
      <c r="BC99" s="165"/>
      <c r="BD99" s="31"/>
      <c r="BE99" s="31"/>
      <c r="BF99" s="31"/>
      <c r="BG99" s="31"/>
      <c r="BH99" s="31"/>
      <c r="BI99" s="32"/>
      <c r="BJ99" s="32"/>
      <c r="BK99" s="31"/>
    </row>
    <row r="100" spans="5:63">
      <c r="E100" t="str">
        <f t="shared" si="35"/>
        <v>MacQueen GM</v>
      </c>
      <c r="F100">
        <f t="shared" si="35"/>
        <v>2003</v>
      </c>
      <c r="G100">
        <v>25</v>
      </c>
      <c r="H100">
        <f t="shared" si="36"/>
        <v>20</v>
      </c>
      <c r="I100">
        <f t="shared" si="36"/>
        <v>20</v>
      </c>
      <c r="J100">
        <f t="shared" si="37"/>
        <v>5531</v>
      </c>
      <c r="K100">
        <f t="shared" si="37"/>
        <v>573.85916216437636</v>
      </c>
      <c r="L100">
        <f t="shared" si="37"/>
        <v>5545</v>
      </c>
      <c r="M100">
        <f t="shared" si="37"/>
        <v>674.1852623722948</v>
      </c>
      <c r="N100">
        <f t="shared" si="11"/>
        <v>626.03518511342475</v>
      </c>
      <c r="O100" s="59">
        <f t="shared" si="12"/>
        <v>-2.1918663089439044E-2</v>
      </c>
      <c r="P100" s="63">
        <f t="shared" si="13"/>
        <v>0.10000666150570756</v>
      </c>
      <c r="Q100" s="59">
        <f t="shared" si="14"/>
        <v>0.61982706526927822</v>
      </c>
      <c r="R100" s="59">
        <f t="shared" si="15"/>
        <v>9.9993338938019463</v>
      </c>
      <c r="S100" s="59">
        <f t="shared" si="16"/>
        <v>-0.21917203073705352</v>
      </c>
      <c r="T100" s="59">
        <f t="shared" si="17"/>
        <v>4.8039579003536547E-3</v>
      </c>
      <c r="U100" s="23">
        <f t="shared" si="18"/>
        <v>99.986678319736399</v>
      </c>
      <c r="V100" s="59">
        <f t="shared" si="19"/>
        <v>5.0920373332450275</v>
      </c>
      <c r="W100" s="59">
        <f t="shared" si="20"/>
        <v>-0.11161065074624341</v>
      </c>
      <c r="AF100" s="59">
        <f t="shared" si="21"/>
        <v>-2.1918663089439044E-2</v>
      </c>
      <c r="AG100" s="59">
        <f t="shared" si="22"/>
        <v>0.61982706526927822</v>
      </c>
      <c r="AH100" s="59">
        <f t="shared" si="23"/>
        <v>0.61982706526927822</v>
      </c>
      <c r="AJ100">
        <f t="shared" si="24"/>
        <v>0.3162382986067746</v>
      </c>
      <c r="AK100">
        <f t="shared" si="25"/>
        <v>3.1621723377769828</v>
      </c>
      <c r="AL100">
        <f t="shared" si="26"/>
        <v>-6.9310590102477532E-2</v>
      </c>
      <c r="AN100" s="31" t="str">
        <f t="shared" si="38"/>
        <v>MacQueen GM</v>
      </c>
      <c r="AO100" s="31">
        <f t="shared" si="38"/>
        <v>2003</v>
      </c>
      <c r="AP100" s="31" t="str">
        <f t="shared" si="28"/>
        <v>MacQueen GM 2003</v>
      </c>
      <c r="AQ100" s="31">
        <f t="shared" si="29"/>
        <v>20</v>
      </c>
      <c r="AR100" s="31">
        <f t="shared" si="39"/>
        <v>5531</v>
      </c>
      <c r="AS100" s="31">
        <f t="shared" si="39"/>
        <v>573.85916216437636</v>
      </c>
      <c r="AT100" s="31">
        <f t="shared" si="31"/>
        <v>20</v>
      </c>
      <c r="AU100" s="31">
        <f t="shared" si="40"/>
        <v>5545</v>
      </c>
      <c r="AV100" s="31">
        <f t="shared" si="40"/>
        <v>674.1852623722948</v>
      </c>
      <c r="AW100" s="164">
        <f t="shared" si="33"/>
        <v>-2.1918663089439044E-2</v>
      </c>
      <c r="AX100" s="31">
        <f t="shared" si="34"/>
        <v>0.3162382986067746</v>
      </c>
      <c r="AY100" s="31"/>
      <c r="AZ100" s="31"/>
      <c r="BA100" s="31"/>
      <c r="BB100" s="31"/>
      <c r="BC100" s="165"/>
      <c r="BD100" s="31"/>
      <c r="BE100" s="31"/>
      <c r="BF100" s="31"/>
      <c r="BG100" s="31"/>
      <c r="BH100" s="31"/>
      <c r="BI100" s="32"/>
      <c r="BJ100" s="32"/>
      <c r="BK100" s="31"/>
    </row>
    <row r="101" spans="5:63">
      <c r="E101" t="str">
        <f t="shared" si="35"/>
        <v>MacQueen GM</v>
      </c>
      <c r="F101">
        <f t="shared" si="35"/>
        <v>2003</v>
      </c>
      <c r="G101">
        <v>24</v>
      </c>
      <c r="H101">
        <f t="shared" si="36"/>
        <v>17</v>
      </c>
      <c r="I101">
        <f t="shared" si="36"/>
        <v>17</v>
      </c>
      <c r="J101">
        <f t="shared" si="37"/>
        <v>4773</v>
      </c>
      <c r="K101">
        <f t="shared" si="37"/>
        <v>503.01993996262217</v>
      </c>
      <c r="L101">
        <f t="shared" si="37"/>
        <v>5395</v>
      </c>
      <c r="M101">
        <f t="shared" si="37"/>
        <v>416.98303322797199</v>
      </c>
      <c r="N101">
        <f t="shared" si="11"/>
        <v>462.00860922714418</v>
      </c>
      <c r="O101" s="59">
        <f t="shared" si="12"/>
        <v>-1.3144930083231281</v>
      </c>
      <c r="P101" s="63">
        <f t="shared" si="13"/>
        <v>0.14638777520627039</v>
      </c>
      <c r="Q101" s="59">
        <f t="shared" si="14"/>
        <v>0.74990884594889817</v>
      </c>
      <c r="R101" s="59">
        <f t="shared" si="15"/>
        <v>6.831171514089422</v>
      </c>
      <c r="S101" s="59">
        <f t="shared" si="16"/>
        <v>-8.9795271939266623</v>
      </c>
      <c r="T101" s="59">
        <f t="shared" si="17"/>
        <v>11.803525714463994</v>
      </c>
      <c r="U101" s="23">
        <f t="shared" si="18"/>
        <v>46.664904254906766</v>
      </c>
      <c r="V101" s="59">
        <f t="shared" si="19"/>
        <v>4.1191902110488572</v>
      </c>
      <c r="W101" s="59">
        <f t="shared" si="20"/>
        <v>-5.4146467323767933</v>
      </c>
      <c r="AF101" s="59">
        <f t="shared" si="21"/>
        <v>-1.3144930083231281</v>
      </c>
      <c r="AG101" s="59">
        <f t="shared" si="22"/>
        <v>0.74990884594889817</v>
      </c>
      <c r="AH101" s="59">
        <f t="shared" si="23"/>
        <v>0.74990884594889817</v>
      </c>
      <c r="AJ101">
        <f t="shared" si="24"/>
        <v>0.38260655405556032</v>
      </c>
      <c r="AK101">
        <f t="shared" si="25"/>
        <v>2.6136509931682581</v>
      </c>
      <c r="AL101">
        <f t="shared" si="26"/>
        <v>-3.4356259567164749</v>
      </c>
      <c r="AN101" s="31" t="str">
        <f t="shared" si="38"/>
        <v>MacQueen GM</v>
      </c>
      <c r="AO101" s="31">
        <f t="shared" si="38"/>
        <v>2003</v>
      </c>
      <c r="AP101" s="31" t="str">
        <f t="shared" si="28"/>
        <v>MacQueen GM 2003</v>
      </c>
      <c r="AQ101" s="31">
        <f t="shared" si="29"/>
        <v>17</v>
      </c>
      <c r="AR101" s="31">
        <f t="shared" si="39"/>
        <v>4773</v>
      </c>
      <c r="AS101" s="31">
        <f t="shared" si="39"/>
        <v>503.01993996262217</v>
      </c>
      <c r="AT101" s="31">
        <f t="shared" si="31"/>
        <v>17</v>
      </c>
      <c r="AU101" s="31">
        <f t="shared" si="40"/>
        <v>5395</v>
      </c>
      <c r="AV101" s="31">
        <f t="shared" si="40"/>
        <v>416.98303322797199</v>
      </c>
      <c r="AW101" s="164">
        <f t="shared" si="33"/>
        <v>-1.3144930083231281</v>
      </c>
      <c r="AX101" s="31">
        <f t="shared" si="34"/>
        <v>0.38260655405556032</v>
      </c>
      <c r="AY101" s="31"/>
      <c r="AZ101" s="31"/>
      <c r="BA101" s="31"/>
      <c r="BB101" s="31"/>
      <c r="BC101" s="165"/>
      <c r="BD101" s="31"/>
      <c r="BE101" s="31"/>
      <c r="BF101" s="31"/>
      <c r="BG101" s="31"/>
      <c r="BH101" s="31"/>
      <c r="BI101" s="32"/>
      <c r="BJ101" s="32"/>
      <c r="BK101" s="31"/>
    </row>
    <row r="102" spans="5:63">
      <c r="E102" t="str">
        <f t="shared" si="35"/>
        <v>Posener JA</v>
      </c>
      <c r="F102">
        <f t="shared" si="35"/>
        <v>2003</v>
      </c>
      <c r="G102">
        <v>23</v>
      </c>
      <c r="H102">
        <f t="shared" si="36"/>
        <v>27</v>
      </c>
      <c r="I102">
        <f t="shared" si="36"/>
        <v>42</v>
      </c>
      <c r="J102">
        <f t="shared" si="37"/>
        <v>5494.4</v>
      </c>
      <c r="K102">
        <f t="shared" si="37"/>
        <v>796.50783046998345</v>
      </c>
      <c r="L102">
        <f t="shared" si="37"/>
        <v>5468.9</v>
      </c>
      <c r="M102">
        <f t="shared" si="37"/>
        <v>734.10596510313144</v>
      </c>
      <c r="N102">
        <f t="shared" si="11"/>
        <v>758.93107381762297</v>
      </c>
      <c r="O102" s="59">
        <f t="shared" si="12"/>
        <v>3.3222362367160647E-2</v>
      </c>
      <c r="P102" s="63">
        <f t="shared" si="13"/>
        <v>6.0855043211771841E-2</v>
      </c>
      <c r="Q102" s="59">
        <f t="shared" si="14"/>
        <v>0.48350877344919263</v>
      </c>
      <c r="R102" s="59">
        <f t="shared" si="15"/>
        <v>16.432491823562774</v>
      </c>
      <c r="S102" s="59">
        <f t="shared" si="16"/>
        <v>0.54592619795780695</v>
      </c>
      <c r="T102" s="59">
        <f t="shared" si="17"/>
        <v>1.813695797428054E-2</v>
      </c>
      <c r="U102" s="23">
        <f t="shared" si="18"/>
        <v>270.02678753145744</v>
      </c>
      <c r="V102" s="59">
        <f t="shared" si="19"/>
        <v>6.3599706309733186</v>
      </c>
      <c r="W102" s="59">
        <f t="shared" si="20"/>
        <v>0.21129324894669493</v>
      </c>
      <c r="AF102" s="59">
        <f t="shared" si="21"/>
        <v>3.3222362367160647E-2</v>
      </c>
      <c r="AG102" s="59">
        <f t="shared" si="22"/>
        <v>0.48350877344919263</v>
      </c>
      <c r="AH102" s="59">
        <f t="shared" si="23"/>
        <v>0.48350877344919263</v>
      </c>
      <c r="AJ102">
        <f t="shared" si="24"/>
        <v>0.24668814971897585</v>
      </c>
      <c r="AK102">
        <f t="shared" si="25"/>
        <v>4.0537010032268999</v>
      </c>
      <c r="AL102">
        <f t="shared" si="26"/>
        <v>0.13467352365732671</v>
      </c>
      <c r="AN102" s="31" t="str">
        <f t="shared" si="38"/>
        <v>Posener JA</v>
      </c>
      <c r="AO102" s="31">
        <f t="shared" si="38"/>
        <v>2003</v>
      </c>
      <c r="AP102" s="31" t="str">
        <f t="shared" si="28"/>
        <v>Posener JA 2003</v>
      </c>
      <c r="AQ102" s="31">
        <f t="shared" si="29"/>
        <v>27</v>
      </c>
      <c r="AR102" s="31">
        <f t="shared" si="39"/>
        <v>5494.4</v>
      </c>
      <c r="AS102" s="31">
        <f t="shared" si="39"/>
        <v>796.50783046998345</v>
      </c>
      <c r="AT102" s="31">
        <f t="shared" si="31"/>
        <v>42</v>
      </c>
      <c r="AU102" s="31">
        <f t="shared" si="40"/>
        <v>5468.9</v>
      </c>
      <c r="AV102" s="31">
        <f t="shared" si="40"/>
        <v>734.10596510313144</v>
      </c>
      <c r="AW102" s="164">
        <f t="shared" si="33"/>
        <v>3.3222362367160647E-2</v>
      </c>
      <c r="AX102" s="31">
        <f t="shared" si="34"/>
        <v>0.24668814971897585</v>
      </c>
      <c r="AY102" s="31"/>
      <c r="AZ102" s="31"/>
      <c r="BA102" s="31"/>
      <c r="BB102" s="31"/>
      <c r="BC102" s="165"/>
      <c r="BD102" s="31"/>
      <c r="BE102" s="31"/>
      <c r="BF102" s="31"/>
      <c r="BG102" s="31"/>
      <c r="BH102" s="31"/>
      <c r="BI102" s="32"/>
      <c r="BJ102" s="32"/>
      <c r="BK102" s="31"/>
    </row>
    <row r="103" spans="5:63">
      <c r="E103" t="str">
        <f t="shared" si="35"/>
        <v>Sheline YI</v>
      </c>
      <c r="F103">
        <f t="shared" si="35"/>
        <v>2003</v>
      </c>
      <c r="G103">
        <v>22</v>
      </c>
      <c r="H103">
        <f t="shared" si="36"/>
        <v>38</v>
      </c>
      <c r="I103">
        <f t="shared" si="36"/>
        <v>38</v>
      </c>
      <c r="J103">
        <f t="shared" si="37"/>
        <v>4374</v>
      </c>
      <c r="K103">
        <f t="shared" si="37"/>
        <v>598.61924459542729</v>
      </c>
      <c r="L103">
        <f t="shared" si="37"/>
        <v>4850</v>
      </c>
      <c r="M103">
        <f t="shared" si="37"/>
        <v>610.95728164905279</v>
      </c>
      <c r="N103">
        <f t="shared" si="11"/>
        <v>604.81972520743739</v>
      </c>
      <c r="O103" s="59">
        <f t="shared" si="12"/>
        <v>-0.77900786366103214</v>
      </c>
      <c r="P103" s="63">
        <f t="shared" si="13"/>
        <v>5.6842328681241061E-2</v>
      </c>
      <c r="Q103" s="59">
        <f t="shared" si="14"/>
        <v>0.46729593392394897</v>
      </c>
      <c r="R103" s="59">
        <f t="shared" si="15"/>
        <v>17.592523445120872</v>
      </c>
      <c r="S103" s="59">
        <f t="shared" si="16"/>
        <v>-13.704714105390231</v>
      </c>
      <c r="T103" s="59">
        <f t="shared" si="17"/>
        <v>10.676080057325258</v>
      </c>
      <c r="U103" s="23">
        <f t="shared" si="18"/>
        <v>309.49688116712753</v>
      </c>
      <c r="V103" s="59">
        <f t="shared" si="19"/>
        <v>6.5265326158072954</v>
      </c>
      <c r="W103" s="59">
        <f t="shared" si="20"/>
        <v>-5.0842202301540889</v>
      </c>
      <c r="AF103" s="59">
        <f t="shared" si="21"/>
        <v>-0.77900786366103214</v>
      </c>
      <c r="AG103" s="59">
        <f t="shared" si="22"/>
        <v>0.46729593392394897</v>
      </c>
      <c r="AH103" s="59">
        <f t="shared" si="23"/>
        <v>0.46729593392394897</v>
      </c>
      <c r="AJ103">
        <f t="shared" si="24"/>
        <v>0.23841629281834131</v>
      </c>
      <c r="AK103">
        <f t="shared" si="25"/>
        <v>4.1943442211054727</v>
      </c>
      <c r="AL103">
        <f t="shared" si="26"/>
        <v>-3.2674271311423699</v>
      </c>
      <c r="AN103" s="31" t="str">
        <f t="shared" si="38"/>
        <v>Sheline YI</v>
      </c>
      <c r="AO103" s="31">
        <f t="shared" si="38"/>
        <v>2003</v>
      </c>
      <c r="AP103" s="31" t="str">
        <f t="shared" si="28"/>
        <v>Sheline YI 2003</v>
      </c>
      <c r="AQ103" s="31">
        <f t="shared" si="29"/>
        <v>38</v>
      </c>
      <c r="AR103" s="31">
        <f t="shared" si="39"/>
        <v>4374</v>
      </c>
      <c r="AS103" s="31">
        <f t="shared" si="39"/>
        <v>598.61924459542729</v>
      </c>
      <c r="AT103" s="31">
        <f t="shared" si="31"/>
        <v>38</v>
      </c>
      <c r="AU103" s="31">
        <f t="shared" si="40"/>
        <v>4850</v>
      </c>
      <c r="AV103" s="31">
        <f t="shared" si="40"/>
        <v>610.95728164905279</v>
      </c>
      <c r="AW103" s="164">
        <f t="shared" si="33"/>
        <v>-0.77900786366103214</v>
      </c>
      <c r="AX103" s="31">
        <f t="shared" si="34"/>
        <v>0.23841629281834131</v>
      </c>
      <c r="AY103" s="31"/>
      <c r="AZ103" s="31"/>
      <c r="BA103" s="31"/>
      <c r="BB103" s="31"/>
      <c r="BC103" s="165"/>
      <c r="BD103" s="31"/>
      <c r="BE103" s="31"/>
      <c r="BF103" s="31"/>
      <c r="BG103" s="31"/>
      <c r="BH103" s="31"/>
      <c r="BI103" s="32"/>
      <c r="BJ103" s="32"/>
      <c r="BK103" s="31"/>
    </row>
    <row r="104" spans="5:63">
      <c r="E104" t="str">
        <f t="shared" si="35"/>
        <v>Caetano SC</v>
      </c>
      <c r="F104">
        <f t="shared" si="35"/>
        <v>2004</v>
      </c>
      <c r="G104">
        <v>21</v>
      </c>
      <c r="H104">
        <f t="shared" si="36"/>
        <v>31</v>
      </c>
      <c r="I104">
        <f t="shared" si="36"/>
        <v>31</v>
      </c>
      <c r="J104">
        <f t="shared" si="37"/>
        <v>6.54</v>
      </c>
      <c r="K104">
        <f t="shared" si="37"/>
        <v>0.82584502178072128</v>
      </c>
      <c r="L104">
        <f t="shared" si="37"/>
        <v>6.6899999999999995</v>
      </c>
      <c r="M104">
        <f t="shared" si="37"/>
        <v>0.80638700386352946</v>
      </c>
      <c r="N104">
        <f t="shared" si="11"/>
        <v>0.81617400105614735</v>
      </c>
      <c r="O104" s="59">
        <f t="shared" si="12"/>
        <v>-0.18147742346613352</v>
      </c>
      <c r="P104" s="63">
        <f t="shared" si="13"/>
        <v>6.4799749900565903E-2</v>
      </c>
      <c r="Q104" s="59">
        <f t="shared" si="14"/>
        <v>0.4989335819706005</v>
      </c>
      <c r="R104" s="59">
        <f t="shared" si="15"/>
        <v>15.432158326760254</v>
      </c>
      <c r="S104" s="59">
        <f t="shared" si="16"/>
        <v>-2.8005883316618889</v>
      </c>
      <c r="T104" s="59">
        <f t="shared" si="17"/>
        <v>0.50824355461931703</v>
      </c>
      <c r="U104" s="23">
        <f t="shared" si="18"/>
        <v>238.15151062219584</v>
      </c>
      <c r="V104" s="59">
        <f t="shared" si="19"/>
        <v>6.2043154091752859</v>
      </c>
      <c r="W104" s="59">
        <f t="shared" si="20"/>
        <v>-1.1259431748283608</v>
      </c>
      <c r="AF104" s="59">
        <f t="shared" si="21"/>
        <v>-0.18147742346613352</v>
      </c>
      <c r="AG104" s="59">
        <f t="shared" si="22"/>
        <v>0.4989335819706005</v>
      </c>
      <c r="AH104" s="59">
        <f t="shared" si="23"/>
        <v>0.4989335819706005</v>
      </c>
      <c r="AJ104">
        <f t="shared" si="24"/>
        <v>0.25455794998500025</v>
      </c>
      <c r="AK104">
        <f t="shared" si="25"/>
        <v>3.9283785875040427</v>
      </c>
      <c r="AL104">
        <f t="shared" si="26"/>
        <v>-0.71291202445976254</v>
      </c>
      <c r="AN104" s="31" t="str">
        <f t="shared" si="38"/>
        <v>Caetano SC</v>
      </c>
      <c r="AO104" s="31">
        <f t="shared" si="38"/>
        <v>2004</v>
      </c>
      <c r="AP104" s="31" t="str">
        <f t="shared" si="28"/>
        <v>Caetano SC 2004</v>
      </c>
      <c r="AQ104" s="31">
        <f t="shared" si="29"/>
        <v>31</v>
      </c>
      <c r="AR104" s="31">
        <f t="shared" si="39"/>
        <v>6.54</v>
      </c>
      <c r="AS104" s="31">
        <f t="shared" si="39"/>
        <v>0.82584502178072128</v>
      </c>
      <c r="AT104" s="31">
        <f t="shared" si="31"/>
        <v>31</v>
      </c>
      <c r="AU104" s="31">
        <f t="shared" si="40"/>
        <v>6.6899999999999995</v>
      </c>
      <c r="AV104" s="31">
        <f t="shared" si="40"/>
        <v>0.80638700386352946</v>
      </c>
      <c r="AW104" s="164">
        <f t="shared" si="33"/>
        <v>-0.18147742346613352</v>
      </c>
      <c r="AX104" s="31">
        <f t="shared" si="34"/>
        <v>0.25455794998500025</v>
      </c>
      <c r="AY104" s="31"/>
      <c r="AZ104" s="31"/>
      <c r="BA104" s="31"/>
      <c r="BB104" s="32"/>
      <c r="BC104" s="165"/>
      <c r="BD104" s="31"/>
      <c r="BE104" s="31"/>
      <c r="BF104" s="31"/>
      <c r="BG104" s="31"/>
      <c r="BH104" s="31"/>
      <c r="BI104" s="32"/>
      <c r="BJ104" s="32"/>
      <c r="BK104" s="31"/>
    </row>
    <row r="105" spans="5:63">
      <c r="E105" t="str">
        <f t="shared" ref="E105:F117" si="41">E43</f>
        <v>Saylam C</v>
      </c>
      <c r="F105">
        <f t="shared" si="41"/>
        <v>2006</v>
      </c>
      <c r="G105">
        <v>17</v>
      </c>
      <c r="H105">
        <f t="shared" ref="H105:I117" si="42">H43</f>
        <v>24</v>
      </c>
      <c r="I105">
        <f t="shared" si="42"/>
        <v>24</v>
      </c>
      <c r="J105">
        <f t="shared" ref="J105:J117" si="43">IF($D$4="Total",T43,IF($D$4="Left",L43,IF($D$4="Right",P43,"error")))</f>
        <v>5335.1</v>
      </c>
      <c r="K105">
        <f t="shared" ref="K105:K117" si="44">IF($D$4="Total",U43,IF($D$4="Left",M43,IF($D$4="Right",Q43,"error")))</f>
        <v>421.19255454008209</v>
      </c>
      <c r="L105">
        <f t="shared" ref="L105:L117" si="45">IF($D$4="Total",V43,IF($D$4="Left",N43,IF($D$4="Right",R43,"error")))</f>
        <v>5593</v>
      </c>
      <c r="M105">
        <f t="shared" ref="M105:M117" si="46">IF($D$4="Total",W43,IF($D$4="Left",O43,IF($D$4="Right",S43,"error")))</f>
        <v>480.03976501952422</v>
      </c>
      <c r="N105">
        <f t="shared" si="11"/>
        <v>451.57576551449262</v>
      </c>
      <c r="O105" s="59">
        <f t="shared" si="12"/>
        <v>-0.5617487706819807</v>
      </c>
      <c r="P105" s="63">
        <f t="shared" si="13"/>
        <v>8.691437828751758E-2</v>
      </c>
      <c r="Q105" s="59">
        <f t="shared" si="14"/>
        <v>0.5778323940636485</v>
      </c>
      <c r="R105" s="59">
        <f t="shared" si="15"/>
        <v>11.505576173966805</v>
      </c>
      <c r="S105" s="59">
        <f t="shared" si="16"/>
        <v>-6.4632432717137398</v>
      </c>
      <c r="T105" s="59">
        <f t="shared" si="17"/>
        <v>3.6307189625037766</v>
      </c>
      <c r="U105" s="23">
        <f t="shared" si="18"/>
        <v>132.37828309495262</v>
      </c>
      <c r="V105" s="59">
        <f t="shared" si="19"/>
        <v>5.4557526971642636</v>
      </c>
      <c r="W105" s="59">
        <f t="shared" si="20"/>
        <v>-3.0647623707769256</v>
      </c>
      <c r="AF105" s="59">
        <f t="shared" si="21"/>
        <v>-0.5617487706819807</v>
      </c>
      <c r="AG105" s="59">
        <f t="shared" si="22"/>
        <v>0.5778323940636485</v>
      </c>
      <c r="AH105" s="59">
        <f t="shared" si="23"/>
        <v>0.5778323940636485</v>
      </c>
      <c r="AJ105">
        <f t="shared" si="24"/>
        <v>0.29481244595084105</v>
      </c>
      <c r="AK105">
        <f t="shared" si="25"/>
        <v>3.3919870539208734</v>
      </c>
      <c r="AL105">
        <f t="shared" si="26"/>
        <v>-1.9054445577092438</v>
      </c>
      <c r="AN105" s="31" t="str">
        <f t="shared" si="38"/>
        <v>Saylam C</v>
      </c>
      <c r="AO105" s="31">
        <f t="shared" si="38"/>
        <v>2006</v>
      </c>
      <c r="AP105" s="31" t="str">
        <f t="shared" si="28"/>
        <v>Saylam C 2006</v>
      </c>
      <c r="AQ105" s="31">
        <f t="shared" si="29"/>
        <v>24</v>
      </c>
      <c r="AR105" s="31">
        <f t="shared" si="39"/>
        <v>5335.1</v>
      </c>
      <c r="AS105" s="31">
        <f t="shared" si="39"/>
        <v>421.19255454008209</v>
      </c>
      <c r="AT105" s="31">
        <f t="shared" si="31"/>
        <v>24</v>
      </c>
      <c r="AU105" s="31">
        <f t="shared" si="40"/>
        <v>5593</v>
      </c>
      <c r="AV105" s="31">
        <f t="shared" si="40"/>
        <v>480.03976501952422</v>
      </c>
      <c r="AW105" s="164">
        <f t="shared" si="33"/>
        <v>-0.5617487706819807</v>
      </c>
      <c r="AX105" s="31">
        <f t="shared" si="34"/>
        <v>0.29481244595084105</v>
      </c>
      <c r="AY105" s="31"/>
      <c r="AZ105" s="31"/>
      <c r="BA105" s="31"/>
      <c r="BB105" s="31"/>
      <c r="BC105" s="165"/>
      <c r="BD105" s="31"/>
      <c r="BE105" s="31"/>
      <c r="BF105" s="31"/>
      <c r="BG105" s="31"/>
      <c r="BH105" s="31"/>
      <c r="BI105" s="32"/>
      <c r="BJ105" s="32"/>
      <c r="BK105" s="31"/>
    </row>
    <row r="106" spans="5:63">
      <c r="E106" t="str">
        <f t="shared" si="41"/>
        <v>Weniger G</v>
      </c>
      <c r="F106">
        <f t="shared" si="41"/>
        <v>2006</v>
      </c>
      <c r="G106">
        <v>16</v>
      </c>
      <c r="H106">
        <f t="shared" si="42"/>
        <v>21</v>
      </c>
      <c r="I106">
        <f t="shared" si="42"/>
        <v>23</v>
      </c>
      <c r="J106">
        <f t="shared" si="43"/>
        <v>5.4</v>
      </c>
      <c r="K106">
        <f t="shared" si="44"/>
        <v>0.85440037453175322</v>
      </c>
      <c r="L106">
        <f t="shared" si="45"/>
        <v>6.2</v>
      </c>
      <c r="M106">
        <f t="shared" si="46"/>
        <v>0.85440037453175322</v>
      </c>
      <c r="N106">
        <f t="shared" si="11"/>
        <v>0.85440037453175322</v>
      </c>
      <c r="O106" s="59">
        <f t="shared" si="12"/>
        <v>-0.9195088929420554</v>
      </c>
      <c r="P106" s="63">
        <f t="shared" si="13"/>
        <v>0.10165018672375417</v>
      </c>
      <c r="Q106" s="59">
        <f t="shared" si="14"/>
        <v>0.62489947777060428</v>
      </c>
      <c r="R106" s="59">
        <f t="shared" si="15"/>
        <v>9.8376602368435648</v>
      </c>
      <c r="S106" s="59">
        <f t="shared" si="16"/>
        <v>-9.0458160735201041</v>
      </c>
      <c r="T106" s="59">
        <f t="shared" si="17"/>
        <v>8.3177083235199216</v>
      </c>
      <c r="U106" s="23">
        <f t="shared" si="18"/>
        <v>96.779558935572979</v>
      </c>
      <c r="V106" s="59">
        <f t="shared" si="19"/>
        <v>5.0497763019195157</v>
      </c>
      <c r="W106" s="59">
        <f t="shared" si="20"/>
        <v>-4.6433142169830406</v>
      </c>
      <c r="AF106" s="59">
        <f t="shared" si="21"/>
        <v>-0.9195088929420554</v>
      </c>
      <c r="AG106" s="59">
        <f t="shared" si="22"/>
        <v>0.62489947777060428</v>
      </c>
      <c r="AH106" s="59">
        <f t="shared" si="23"/>
        <v>0.62489947777060428</v>
      </c>
      <c r="AJ106">
        <f t="shared" si="24"/>
        <v>0.31882626416867565</v>
      </c>
      <c r="AK106">
        <f t="shared" si="25"/>
        <v>3.1365044614735629</v>
      </c>
      <c r="AL106">
        <f t="shared" si="26"/>
        <v>-2.8840437450773737</v>
      </c>
      <c r="AN106" s="31" t="str">
        <f t="shared" si="38"/>
        <v>Weniger G</v>
      </c>
      <c r="AO106" s="31">
        <f t="shared" si="38"/>
        <v>2006</v>
      </c>
      <c r="AP106" s="31" t="str">
        <f t="shared" si="28"/>
        <v>Weniger G 2006</v>
      </c>
      <c r="AQ106" s="31">
        <f t="shared" si="29"/>
        <v>21</v>
      </c>
      <c r="AR106" s="31">
        <f t="shared" si="39"/>
        <v>5.4</v>
      </c>
      <c r="AS106" s="31">
        <f t="shared" si="39"/>
        <v>0.85440037453175322</v>
      </c>
      <c r="AT106" s="31">
        <f t="shared" si="31"/>
        <v>23</v>
      </c>
      <c r="AU106" s="31">
        <f t="shared" si="40"/>
        <v>6.2</v>
      </c>
      <c r="AV106" s="31">
        <f t="shared" si="40"/>
        <v>0.85440037453175322</v>
      </c>
      <c r="AW106" s="164">
        <f t="shared" si="33"/>
        <v>-0.9195088929420554</v>
      </c>
      <c r="AX106" s="31">
        <f t="shared" si="34"/>
        <v>0.31882626416867565</v>
      </c>
      <c r="AY106" s="31"/>
      <c r="AZ106" s="31"/>
      <c r="BA106" s="31"/>
      <c r="BB106" s="31"/>
      <c r="BC106" s="165"/>
      <c r="BD106" s="31"/>
      <c r="BE106" s="31"/>
      <c r="BF106" s="31"/>
      <c r="BG106" s="31"/>
      <c r="BH106" s="31"/>
      <c r="BI106" s="32"/>
      <c r="BJ106" s="32"/>
      <c r="BK106" s="31"/>
    </row>
    <row r="107" spans="5:63">
      <c r="E107" t="str">
        <f t="shared" si="41"/>
        <v>Velakoulis D</v>
      </c>
      <c r="F107">
        <f t="shared" si="41"/>
        <v>2006</v>
      </c>
      <c r="G107">
        <v>15</v>
      </c>
      <c r="H107">
        <f t="shared" si="42"/>
        <v>12</v>
      </c>
      <c r="I107">
        <f t="shared" si="42"/>
        <v>87</v>
      </c>
      <c r="J107">
        <f t="shared" si="43"/>
        <v>5941</v>
      </c>
      <c r="K107">
        <f t="shared" si="44"/>
        <v>782.88607089409891</v>
      </c>
      <c r="L107">
        <f t="shared" si="45"/>
        <v>5992</v>
      </c>
      <c r="M107">
        <f t="shared" si="46"/>
        <v>707.78132216101892</v>
      </c>
      <c r="N107">
        <f t="shared" si="11"/>
        <v>716.69412158711464</v>
      </c>
      <c r="O107" s="59">
        <f t="shared" si="12"/>
        <v>-7.0608436205290781E-2</v>
      </c>
      <c r="P107" s="63">
        <f t="shared" si="13"/>
        <v>9.4853809388378535E-2</v>
      </c>
      <c r="Q107" s="59">
        <f t="shared" si="14"/>
        <v>0.60364757445582018</v>
      </c>
      <c r="R107" s="59">
        <f t="shared" si="15"/>
        <v>10.542539160504393</v>
      </c>
      <c r="S107" s="59">
        <f t="shared" si="16"/>
        <v>-0.74439220375625426</v>
      </c>
      <c r="T107" s="59">
        <f t="shared" si="17"/>
        <v>5.2560369430639298E-2</v>
      </c>
      <c r="U107" s="23">
        <f t="shared" si="18"/>
        <v>111.14513195076869</v>
      </c>
      <c r="V107" s="59">
        <f t="shared" si="19"/>
        <v>5.2292449573489348</v>
      </c>
      <c r="W107" s="59">
        <f t="shared" si="20"/>
        <v>-0.3692288089728108</v>
      </c>
      <c r="AF107" s="59">
        <f t="shared" si="21"/>
        <v>-7.0608436205290781E-2</v>
      </c>
      <c r="AG107" s="59">
        <f t="shared" si="22"/>
        <v>0.60364757445582018</v>
      </c>
      <c r="AH107" s="59">
        <f t="shared" si="23"/>
        <v>0.60364757445582018</v>
      </c>
      <c r="AJ107">
        <f t="shared" si="24"/>
        <v>0.30798345635501029</v>
      </c>
      <c r="AK107">
        <f t="shared" si="25"/>
        <v>3.2469276494101917</v>
      </c>
      <c r="AL107">
        <f t="shared" si="26"/>
        <v>-0.22926048379657429</v>
      </c>
      <c r="AN107" s="31" t="str">
        <f t="shared" si="38"/>
        <v>Velakoulis D</v>
      </c>
      <c r="AO107" s="31">
        <f t="shared" si="38"/>
        <v>2006</v>
      </c>
      <c r="AP107" s="31" t="str">
        <f t="shared" si="28"/>
        <v>Velakoulis D 2006</v>
      </c>
      <c r="AQ107" s="31">
        <f t="shared" si="29"/>
        <v>12</v>
      </c>
      <c r="AR107" s="31">
        <f t="shared" si="39"/>
        <v>5941</v>
      </c>
      <c r="AS107" s="31">
        <f t="shared" si="39"/>
        <v>782.88607089409891</v>
      </c>
      <c r="AT107" s="31">
        <f t="shared" si="31"/>
        <v>87</v>
      </c>
      <c r="AU107" s="31">
        <f t="shared" si="40"/>
        <v>5992</v>
      </c>
      <c r="AV107" s="31">
        <f t="shared" si="40"/>
        <v>707.78132216101892</v>
      </c>
      <c r="AW107" s="164">
        <f t="shared" si="33"/>
        <v>-7.0608436205290781E-2</v>
      </c>
      <c r="AX107" s="31">
        <f t="shared" si="34"/>
        <v>0.30798345635501029</v>
      </c>
      <c r="AY107" s="31"/>
      <c r="AZ107" s="31"/>
      <c r="BA107" s="31"/>
      <c r="BB107" s="31"/>
      <c r="BC107" s="165"/>
      <c r="BD107" s="31"/>
      <c r="BE107" s="31"/>
      <c r="BF107" s="31"/>
      <c r="BG107" s="31"/>
      <c r="BH107" s="31"/>
      <c r="BI107" s="32"/>
      <c r="BJ107" s="32"/>
      <c r="BK107" s="31"/>
    </row>
    <row r="108" spans="5:63">
      <c r="E108" t="str">
        <f t="shared" si="41"/>
        <v>Maller JJ</v>
      </c>
      <c r="F108">
        <f t="shared" si="41"/>
        <v>2007</v>
      </c>
      <c r="G108">
        <v>13</v>
      </c>
      <c r="H108">
        <f t="shared" si="42"/>
        <v>22</v>
      </c>
      <c r="I108">
        <f t="shared" si="42"/>
        <v>13</v>
      </c>
      <c r="J108">
        <f t="shared" si="43"/>
        <v>5988.3600000000006</v>
      </c>
      <c r="K108">
        <f t="shared" si="44"/>
        <v>538.83460171002378</v>
      </c>
      <c r="L108">
        <f t="shared" si="45"/>
        <v>6472.81</v>
      </c>
      <c r="M108">
        <f t="shared" si="46"/>
        <v>869.83889355443284</v>
      </c>
      <c r="N108">
        <f t="shared" si="11"/>
        <v>678.15779197362713</v>
      </c>
      <c r="O108" s="59">
        <f t="shared" si="12"/>
        <v>-0.6980023392686282</v>
      </c>
      <c r="P108" s="63">
        <f t="shared" si="13"/>
        <v>0.13022062407795201</v>
      </c>
      <c r="Q108" s="59">
        <f t="shared" si="14"/>
        <v>0.70728745885803779</v>
      </c>
      <c r="R108" s="59">
        <f t="shared" si="15"/>
        <v>7.6792751308071221</v>
      </c>
      <c r="S108" s="59">
        <f t="shared" si="16"/>
        <v>-5.3601520051907716</v>
      </c>
      <c r="T108" s="59">
        <f t="shared" si="17"/>
        <v>3.7413986384585871</v>
      </c>
      <c r="U108" s="23">
        <f t="shared" si="18"/>
        <v>58.97126653463274</v>
      </c>
      <c r="V108" s="59">
        <f t="shared" si="19"/>
        <v>4.4130819199113853</v>
      </c>
      <c r="W108" s="59">
        <f t="shared" si="20"/>
        <v>-3.0803415034822357</v>
      </c>
      <c r="AF108" s="59">
        <f t="shared" si="21"/>
        <v>-0.6980023392686282</v>
      </c>
      <c r="AG108" s="59">
        <f t="shared" si="22"/>
        <v>0.70728745885803779</v>
      </c>
      <c r="AH108" s="59">
        <f t="shared" si="23"/>
        <v>0.70728745885803779</v>
      </c>
      <c r="AJ108">
        <f t="shared" si="24"/>
        <v>0.36086094839695804</v>
      </c>
      <c r="AK108">
        <f t="shared" si="25"/>
        <v>2.7711505067042319</v>
      </c>
      <c r="AL108">
        <f t="shared" si="26"/>
        <v>-1.9342695361449984</v>
      </c>
      <c r="AN108" s="31" t="str">
        <f t="shared" si="38"/>
        <v>Maller JJ</v>
      </c>
      <c r="AO108" s="31">
        <f t="shared" si="38"/>
        <v>2007</v>
      </c>
      <c r="AP108" s="31" t="str">
        <f t="shared" si="28"/>
        <v>Maller JJ 2007</v>
      </c>
      <c r="AQ108" s="31">
        <f t="shared" si="29"/>
        <v>22</v>
      </c>
      <c r="AR108" s="31">
        <f t="shared" si="39"/>
        <v>5988.3600000000006</v>
      </c>
      <c r="AS108" s="31">
        <f t="shared" si="39"/>
        <v>538.83460171002378</v>
      </c>
      <c r="AT108" s="31">
        <f t="shared" si="31"/>
        <v>13</v>
      </c>
      <c r="AU108" s="31">
        <f t="shared" si="40"/>
        <v>6472.81</v>
      </c>
      <c r="AV108" s="31">
        <f t="shared" si="40"/>
        <v>869.83889355443284</v>
      </c>
      <c r="AW108" s="164">
        <f t="shared" si="33"/>
        <v>-0.6980023392686282</v>
      </c>
      <c r="AX108" s="31">
        <f t="shared" si="34"/>
        <v>0.36086094839695804</v>
      </c>
      <c r="AY108" s="31"/>
      <c r="AZ108" s="31"/>
      <c r="BA108" s="31"/>
      <c r="BB108" s="31"/>
      <c r="BC108" s="165"/>
      <c r="BD108" s="31"/>
      <c r="BE108" s="31"/>
      <c r="BF108" s="31"/>
      <c r="BG108" s="31"/>
      <c r="BH108" s="31"/>
      <c r="BI108" s="32"/>
      <c r="BJ108" s="32"/>
      <c r="BK108" s="31"/>
    </row>
    <row r="109" spans="5:63">
      <c r="E109" t="str">
        <f t="shared" si="41"/>
        <v>Maller JJ</v>
      </c>
      <c r="F109">
        <f t="shared" si="41"/>
        <v>2007</v>
      </c>
      <c r="G109">
        <v>12</v>
      </c>
      <c r="H109">
        <f t="shared" si="42"/>
        <v>23</v>
      </c>
      <c r="I109">
        <f t="shared" si="42"/>
        <v>17</v>
      </c>
      <c r="J109">
        <f t="shared" si="43"/>
        <v>5598.4500000000007</v>
      </c>
      <c r="K109">
        <f t="shared" si="44"/>
        <v>585.82101595965287</v>
      </c>
      <c r="L109">
        <f t="shared" si="45"/>
        <v>5950.99</v>
      </c>
      <c r="M109">
        <f t="shared" si="46"/>
        <v>506.43591697272024</v>
      </c>
      <c r="N109">
        <f t="shared" si="11"/>
        <v>553.78447233273164</v>
      </c>
      <c r="O109" s="59">
        <f t="shared" si="12"/>
        <v>-0.62395374248074797</v>
      </c>
      <c r="P109" s="63">
        <f t="shared" si="13"/>
        <v>0.1076999915119973</v>
      </c>
      <c r="Q109" s="59">
        <f t="shared" si="14"/>
        <v>0.64322646664490479</v>
      </c>
      <c r="R109" s="59">
        <f t="shared" si="15"/>
        <v>9.2850517995500912</v>
      </c>
      <c r="S109" s="59">
        <f t="shared" si="16"/>
        <v>-5.7934428194568834</v>
      </c>
      <c r="T109" s="59">
        <f t="shared" si="17"/>
        <v>3.6148403290483384</v>
      </c>
      <c r="U109" s="23">
        <f t="shared" si="18"/>
        <v>86.212186920328392</v>
      </c>
      <c r="V109" s="59">
        <f t="shared" si="19"/>
        <v>4.9000781269588991</v>
      </c>
      <c r="W109" s="59">
        <f t="shared" si="20"/>
        <v>-3.0574220857640588</v>
      </c>
      <c r="AF109" s="59">
        <f t="shared" si="21"/>
        <v>-0.62395374248074797</v>
      </c>
      <c r="AG109" s="59">
        <f t="shared" si="22"/>
        <v>0.64322646664490479</v>
      </c>
      <c r="AH109" s="59">
        <f t="shared" si="23"/>
        <v>0.64322646664490479</v>
      </c>
      <c r="AJ109">
        <f t="shared" si="24"/>
        <v>0.32817676869638002</v>
      </c>
      <c r="AK109">
        <f t="shared" si="25"/>
        <v>3.0471382967548566</v>
      </c>
      <c r="AL109">
        <f t="shared" si="26"/>
        <v>-1.901273344116605</v>
      </c>
      <c r="AN109" s="31" t="str">
        <f t="shared" si="38"/>
        <v>Maller JJ</v>
      </c>
      <c r="AO109" s="31">
        <f t="shared" si="38"/>
        <v>2007</v>
      </c>
      <c r="AP109" s="31" t="str">
        <f t="shared" si="28"/>
        <v>Maller JJ 2007</v>
      </c>
      <c r="AQ109" s="31">
        <f t="shared" si="29"/>
        <v>23</v>
      </c>
      <c r="AR109" s="31">
        <f t="shared" si="39"/>
        <v>5598.4500000000007</v>
      </c>
      <c r="AS109" s="31">
        <f t="shared" si="39"/>
        <v>585.82101595965287</v>
      </c>
      <c r="AT109" s="31">
        <f t="shared" si="31"/>
        <v>17</v>
      </c>
      <c r="AU109" s="31">
        <f t="shared" si="40"/>
        <v>5950.99</v>
      </c>
      <c r="AV109" s="31">
        <f t="shared" si="40"/>
        <v>506.43591697272024</v>
      </c>
      <c r="AW109" s="164">
        <f t="shared" si="33"/>
        <v>-0.62395374248074797</v>
      </c>
      <c r="AX109" s="31">
        <f t="shared" si="34"/>
        <v>0.32817676869638002</v>
      </c>
      <c r="AY109" s="31"/>
      <c r="AZ109" s="31"/>
      <c r="BA109" s="31"/>
      <c r="BB109" s="31"/>
      <c r="BC109" s="165"/>
      <c r="BD109" s="31"/>
      <c r="BE109" s="31"/>
      <c r="BF109" s="31"/>
      <c r="BG109" s="31"/>
      <c r="BH109" s="31"/>
      <c r="BI109" s="32"/>
      <c r="BJ109" s="32"/>
      <c r="BK109" s="31"/>
    </row>
    <row r="110" spans="5:63">
      <c r="E110" t="str">
        <f t="shared" si="41"/>
        <v>Keller J</v>
      </c>
      <c r="F110">
        <f t="shared" si="41"/>
        <v>2008</v>
      </c>
      <c r="G110">
        <v>10</v>
      </c>
      <c r="H110">
        <f t="shared" si="42"/>
        <v>23</v>
      </c>
      <c r="I110">
        <f t="shared" si="42"/>
        <v>11</v>
      </c>
      <c r="J110">
        <f t="shared" si="43"/>
        <v>7.84</v>
      </c>
      <c r="K110">
        <f t="shared" si="44"/>
        <v>1.0909903757595665</v>
      </c>
      <c r="L110">
        <f t="shared" si="45"/>
        <v>7.67</v>
      </c>
      <c r="M110">
        <f t="shared" si="46"/>
        <v>0.90129906246484026</v>
      </c>
      <c r="N110">
        <f t="shared" si="11"/>
        <v>1.0354515923016392</v>
      </c>
      <c r="O110" s="59">
        <f t="shared" si="12"/>
        <v>0.16030131510015652</v>
      </c>
      <c r="P110" s="63">
        <f t="shared" si="13"/>
        <v>0.1348147721316641</v>
      </c>
      <c r="Q110" s="59">
        <f t="shared" si="14"/>
        <v>0.71965577092176569</v>
      </c>
      <c r="R110" s="59">
        <f t="shared" si="15"/>
        <v>7.4175847660326895</v>
      </c>
      <c r="S110" s="59">
        <f t="shared" si="16"/>
        <v>1.189048592861927</v>
      </c>
      <c r="T110" s="59">
        <f t="shared" si="17"/>
        <v>0.19060605315375748</v>
      </c>
      <c r="U110" s="23">
        <f t="shared" si="18"/>
        <v>55.020563761280229</v>
      </c>
      <c r="V110" s="59">
        <f t="shared" si="19"/>
        <v>4.3253874925905862</v>
      </c>
      <c r="W110" s="59">
        <f t="shared" si="20"/>
        <v>0.69336530338003954</v>
      </c>
      <c r="AF110" s="59">
        <f t="shared" si="21"/>
        <v>0.16030131510015652</v>
      </c>
      <c r="AG110" s="59">
        <f t="shared" si="22"/>
        <v>0.71965577092176569</v>
      </c>
      <c r="AH110" s="59">
        <f t="shared" si="23"/>
        <v>0.71965577092176569</v>
      </c>
      <c r="AJ110">
        <f t="shared" si="24"/>
        <v>0.3671713116947784</v>
      </c>
      <c r="AK110">
        <f t="shared" si="25"/>
        <v>2.7235243281514281</v>
      </c>
      <c r="AL110">
        <f t="shared" si="26"/>
        <v>0.4365845315099442</v>
      </c>
      <c r="AN110" s="31" t="str">
        <f t="shared" si="38"/>
        <v>Keller J</v>
      </c>
      <c r="AO110" s="31">
        <f t="shared" si="38"/>
        <v>2008</v>
      </c>
      <c r="AP110" s="31" t="str">
        <f t="shared" si="28"/>
        <v>Keller J 2008</v>
      </c>
      <c r="AQ110" s="31">
        <f t="shared" si="29"/>
        <v>23</v>
      </c>
      <c r="AR110" s="31">
        <f t="shared" si="39"/>
        <v>7.84</v>
      </c>
      <c r="AS110" s="31">
        <f t="shared" si="39"/>
        <v>1.0909903757595665</v>
      </c>
      <c r="AT110" s="31">
        <f t="shared" si="31"/>
        <v>11</v>
      </c>
      <c r="AU110" s="31">
        <f t="shared" si="40"/>
        <v>7.67</v>
      </c>
      <c r="AV110" s="31">
        <f t="shared" si="40"/>
        <v>0.90129906246484026</v>
      </c>
      <c r="AW110" s="164">
        <f t="shared" si="33"/>
        <v>0.16030131510015652</v>
      </c>
      <c r="AX110" s="31">
        <f t="shared" si="34"/>
        <v>0.3671713116947784</v>
      </c>
      <c r="AY110" s="31"/>
      <c r="AZ110" s="31"/>
      <c r="BA110" s="31"/>
      <c r="BB110" s="31"/>
      <c r="BC110" s="165"/>
      <c r="BD110" s="31"/>
      <c r="BE110" s="31"/>
      <c r="BF110" s="31"/>
      <c r="BG110" s="31"/>
      <c r="BH110" s="31"/>
      <c r="BI110" s="32"/>
      <c r="BJ110" s="32"/>
      <c r="BK110" s="31"/>
    </row>
    <row r="111" spans="5:63">
      <c r="E111" t="str">
        <f t="shared" si="41"/>
        <v>Keller J</v>
      </c>
      <c r="F111">
        <f t="shared" si="41"/>
        <v>2008</v>
      </c>
      <c r="G111">
        <v>9</v>
      </c>
      <c r="H111">
        <f t="shared" si="42"/>
        <v>19</v>
      </c>
      <c r="I111">
        <f t="shared" si="42"/>
        <v>11</v>
      </c>
      <c r="J111">
        <f t="shared" si="43"/>
        <v>7.9399999999999995</v>
      </c>
      <c r="K111">
        <f t="shared" si="44"/>
        <v>0.67446274915668991</v>
      </c>
      <c r="L111">
        <f t="shared" si="45"/>
        <v>7.67</v>
      </c>
      <c r="M111">
        <f t="shared" si="46"/>
        <v>0.90129906246484026</v>
      </c>
      <c r="N111">
        <f t="shared" si="11"/>
        <v>0.76325431073603689</v>
      </c>
      <c r="O111" s="59">
        <f t="shared" si="12"/>
        <v>0.34418764363003401</v>
      </c>
      <c r="P111" s="63">
        <f t="shared" si="13"/>
        <v>0.14581360028676621</v>
      </c>
      <c r="Q111" s="59">
        <f t="shared" si="14"/>
        <v>0.7484367220157232</v>
      </c>
      <c r="R111" s="59">
        <f t="shared" si="15"/>
        <v>6.858070838614073</v>
      </c>
      <c r="S111" s="59">
        <f t="shared" si="16"/>
        <v>2.3604632417904292</v>
      </c>
      <c r="T111" s="59">
        <f t="shared" si="17"/>
        <v>0.81244228106715899</v>
      </c>
      <c r="U111" s="23">
        <f t="shared" si="18"/>
        <v>47.033135627448736</v>
      </c>
      <c r="V111" s="59">
        <f t="shared" si="19"/>
        <v>4.1289557517334199</v>
      </c>
      <c r="W111" s="59">
        <f t="shared" si="20"/>
        <v>1.4211355508418015</v>
      </c>
      <c r="AF111" s="59">
        <f t="shared" si="21"/>
        <v>0.34418764363003401</v>
      </c>
      <c r="AG111" s="59">
        <f t="shared" si="22"/>
        <v>0.7484367220157232</v>
      </c>
      <c r="AH111" s="59">
        <f t="shared" si="23"/>
        <v>0.7484367220157232</v>
      </c>
      <c r="AJ111">
        <f t="shared" si="24"/>
        <v>0.38185547041618534</v>
      </c>
      <c r="AK111">
        <f t="shared" si="25"/>
        <v>2.6187918662264997</v>
      </c>
      <c r="AL111">
        <f t="shared" si="26"/>
        <v>0.9013558015939982</v>
      </c>
      <c r="AN111" s="31" t="str">
        <f t="shared" si="38"/>
        <v>Keller J</v>
      </c>
      <c r="AO111" s="31">
        <f t="shared" si="38"/>
        <v>2008</v>
      </c>
      <c r="AP111" s="31" t="str">
        <f t="shared" si="28"/>
        <v>Keller J 2008</v>
      </c>
      <c r="AQ111" s="31">
        <f t="shared" si="29"/>
        <v>19</v>
      </c>
      <c r="AR111" s="31">
        <f t="shared" si="39"/>
        <v>7.9399999999999995</v>
      </c>
      <c r="AS111" s="31">
        <f t="shared" si="39"/>
        <v>0.67446274915668991</v>
      </c>
      <c r="AT111" s="31">
        <f t="shared" si="31"/>
        <v>11</v>
      </c>
      <c r="AU111" s="31">
        <f t="shared" si="40"/>
        <v>7.67</v>
      </c>
      <c r="AV111" s="31">
        <f t="shared" si="40"/>
        <v>0.90129906246484026</v>
      </c>
      <c r="AW111" s="164">
        <f t="shared" si="33"/>
        <v>0.34418764363003401</v>
      </c>
      <c r="AX111" s="31">
        <f t="shared" si="34"/>
        <v>0.38185547041618534</v>
      </c>
      <c r="AY111" s="31"/>
      <c r="AZ111" s="31"/>
      <c r="BA111" s="31"/>
      <c r="BB111" s="31"/>
      <c r="BC111" s="165"/>
      <c r="BD111" s="31"/>
      <c r="BE111" s="31"/>
      <c r="BF111" s="31"/>
      <c r="BG111" s="31"/>
      <c r="BH111" s="31"/>
      <c r="BI111" s="32"/>
      <c r="BJ111" s="32"/>
      <c r="BK111" s="31"/>
    </row>
    <row r="112" spans="5:63">
      <c r="E112" t="str">
        <f t="shared" si="41"/>
        <v>Tae WS</v>
      </c>
      <c r="F112">
        <f t="shared" si="41"/>
        <v>2008</v>
      </c>
      <c r="G112">
        <v>7</v>
      </c>
      <c r="H112">
        <f t="shared" si="42"/>
        <v>21</v>
      </c>
      <c r="I112">
        <f t="shared" si="42"/>
        <v>20</v>
      </c>
      <c r="J112">
        <f t="shared" si="43"/>
        <v>5247.8</v>
      </c>
      <c r="K112">
        <f t="shared" si="44"/>
        <v>749.11499300174205</v>
      </c>
      <c r="L112">
        <f t="shared" si="45"/>
        <v>5683</v>
      </c>
      <c r="M112">
        <f t="shared" si="46"/>
        <v>479.09846541186079</v>
      </c>
      <c r="N112">
        <f t="shared" si="11"/>
        <v>632.14402988884001</v>
      </c>
      <c r="O112" s="59">
        <f t="shared" si="12"/>
        <v>-0.6751258479315152</v>
      </c>
      <c r="P112" s="63">
        <f t="shared" si="13"/>
        <v>0.10376846627184372</v>
      </c>
      <c r="Q112" s="59">
        <f t="shared" si="14"/>
        <v>0.63137701892760933</v>
      </c>
      <c r="R112" s="59">
        <f t="shared" si="15"/>
        <v>9.6368389736077038</v>
      </c>
      <c r="S112" s="59">
        <f t="shared" si="16"/>
        <v>-6.506079083436374</v>
      </c>
      <c r="T112" s="59">
        <f t="shared" si="17"/>
        <v>4.3924221579144769</v>
      </c>
      <c r="U112" s="23">
        <f t="shared" si="18"/>
        <v>92.868665403244378</v>
      </c>
      <c r="V112" s="59">
        <f t="shared" si="19"/>
        <v>4.9963313555009812</v>
      </c>
      <c r="W112" s="59">
        <f t="shared" si="20"/>
        <v>-3.3731524429294164</v>
      </c>
      <c r="AF112" s="59">
        <f t="shared" si="21"/>
        <v>-0.6751258479315152</v>
      </c>
      <c r="AG112" s="59">
        <f t="shared" si="22"/>
        <v>0.63137701892760933</v>
      </c>
      <c r="AH112" s="59">
        <f t="shared" si="23"/>
        <v>0.63137701892760933</v>
      </c>
      <c r="AJ112">
        <f t="shared" si="24"/>
        <v>0.32213113210592315</v>
      </c>
      <c r="AK112">
        <f t="shared" si="25"/>
        <v>3.1043258484907321</v>
      </c>
      <c r="AL112">
        <f t="shared" si="26"/>
        <v>-2.095810620718026</v>
      </c>
      <c r="AN112" s="31" t="str">
        <f t="shared" ref="AN112:AO116" si="47">E112</f>
        <v>Tae WS</v>
      </c>
      <c r="AO112" s="31">
        <f t="shared" si="47"/>
        <v>2008</v>
      </c>
      <c r="AP112" s="31" t="str">
        <f t="shared" si="28"/>
        <v>Tae WS 2008</v>
      </c>
      <c r="AQ112" s="31">
        <f t="shared" si="29"/>
        <v>21</v>
      </c>
      <c r="AR112" s="31">
        <f t="shared" ref="AR112:AS116" si="48">J112</f>
        <v>5247.8</v>
      </c>
      <c r="AS112" s="31">
        <f t="shared" si="48"/>
        <v>749.11499300174205</v>
      </c>
      <c r="AT112" s="31">
        <f t="shared" si="31"/>
        <v>20</v>
      </c>
      <c r="AU112" s="31">
        <f t="shared" ref="AU112:AV116" si="49">L112</f>
        <v>5683</v>
      </c>
      <c r="AV112" s="31">
        <f t="shared" si="49"/>
        <v>479.09846541186079</v>
      </c>
      <c r="AW112" s="164">
        <f t="shared" si="33"/>
        <v>-0.6751258479315152</v>
      </c>
      <c r="AX112" s="31">
        <f t="shared" si="34"/>
        <v>0.32213113210592315</v>
      </c>
      <c r="AY112" s="31"/>
      <c r="AZ112" s="31"/>
      <c r="BA112" s="31"/>
      <c r="BB112" s="31"/>
      <c r="BC112" s="165"/>
      <c r="BD112" s="31"/>
      <c r="BE112" s="31"/>
      <c r="BF112" s="31"/>
      <c r="BG112" s="31"/>
      <c r="BH112" s="31"/>
      <c r="BI112" s="32"/>
      <c r="BJ112" s="32"/>
      <c r="BK112" s="31"/>
    </row>
    <row r="113" spans="5:63">
      <c r="E113" t="str">
        <f t="shared" si="41"/>
        <v>Bergouignan L</v>
      </c>
      <c r="F113">
        <f t="shared" si="41"/>
        <v>2009</v>
      </c>
      <c r="G113">
        <v>6</v>
      </c>
      <c r="H113">
        <f t="shared" si="42"/>
        <v>21</v>
      </c>
      <c r="I113">
        <f t="shared" si="42"/>
        <v>21</v>
      </c>
      <c r="J113">
        <f t="shared" si="43"/>
        <v>7.8800000000000008</v>
      </c>
      <c r="K113">
        <f t="shared" si="44"/>
        <v>1.4705441169852744</v>
      </c>
      <c r="L113">
        <f t="shared" si="45"/>
        <v>8.92</v>
      </c>
      <c r="M113">
        <f t="shared" si="46"/>
        <v>1.9922449648574847</v>
      </c>
      <c r="N113">
        <f t="shared" si="11"/>
        <v>1.7509340364502601</v>
      </c>
      <c r="O113" s="59">
        <f t="shared" si="12"/>
        <v>-0.58276173587853586</v>
      </c>
      <c r="P113" s="63">
        <f t="shared" si="13"/>
        <v>9.9699619683762133E-2</v>
      </c>
      <c r="Q113" s="59">
        <f t="shared" si="14"/>
        <v>0.61887483304553637</v>
      </c>
      <c r="R113" s="59">
        <f t="shared" si="15"/>
        <v>10.030128531802895</v>
      </c>
      <c r="S113" s="59">
        <f t="shared" si="16"/>
        <v>-5.8451751142782848</v>
      </c>
      <c r="T113" s="59">
        <f t="shared" si="17"/>
        <v>3.4063443961108324</v>
      </c>
      <c r="U113" s="23">
        <f t="shared" si="18"/>
        <v>100.60347836448649</v>
      </c>
      <c r="V113" s="59">
        <f t="shared" si="19"/>
        <v>5.1000110394479456</v>
      </c>
      <c r="W113" s="59">
        <f t="shared" si="20"/>
        <v>-2.9720912863483808</v>
      </c>
      <c r="AF113" s="59">
        <f t="shared" si="21"/>
        <v>-0.58276173587853586</v>
      </c>
      <c r="AG113" s="59">
        <f t="shared" si="22"/>
        <v>0.61887483304553637</v>
      </c>
      <c r="AH113" s="59">
        <f t="shared" si="23"/>
        <v>0.61887483304553637</v>
      </c>
      <c r="AJ113">
        <f t="shared" si="24"/>
        <v>0.3157524658395594</v>
      </c>
      <c r="AK113">
        <f t="shared" si="25"/>
        <v>3.1670378166044837</v>
      </c>
      <c r="AL113">
        <f t="shared" si="26"/>
        <v>-1.845628455597397</v>
      </c>
      <c r="AN113" s="31" t="str">
        <f t="shared" si="47"/>
        <v>Bergouignan L</v>
      </c>
      <c r="AO113" s="31">
        <f t="shared" si="47"/>
        <v>2009</v>
      </c>
      <c r="AP113" s="31" t="str">
        <f t="shared" si="28"/>
        <v>Bergouignan L 2009</v>
      </c>
      <c r="AQ113" s="31">
        <f t="shared" si="29"/>
        <v>21</v>
      </c>
      <c r="AR113" s="31">
        <f t="shared" si="48"/>
        <v>7.8800000000000008</v>
      </c>
      <c r="AS113" s="31">
        <f t="shared" si="48"/>
        <v>1.4705441169852744</v>
      </c>
      <c r="AT113" s="31">
        <f t="shared" si="31"/>
        <v>21</v>
      </c>
      <c r="AU113" s="31">
        <f t="shared" si="49"/>
        <v>8.92</v>
      </c>
      <c r="AV113" s="31">
        <f t="shared" si="49"/>
        <v>1.9922449648574847</v>
      </c>
      <c r="AW113" s="164">
        <f t="shared" si="33"/>
        <v>-0.58276173587853586</v>
      </c>
      <c r="AX113" s="31">
        <f t="shared" si="34"/>
        <v>0.3157524658395594</v>
      </c>
      <c r="AY113" s="31"/>
      <c r="AZ113" s="31"/>
      <c r="BA113" s="31"/>
      <c r="BB113" s="31"/>
      <c r="BC113" s="165"/>
      <c r="BD113" s="31"/>
      <c r="BE113" s="31"/>
      <c r="BF113" s="31"/>
      <c r="BG113" s="31"/>
      <c r="BH113" s="31"/>
      <c r="BI113" s="32"/>
      <c r="BJ113" s="32"/>
      <c r="BK113" s="31"/>
    </row>
    <row r="114" spans="5:63">
      <c r="E114" t="str">
        <f t="shared" si="41"/>
        <v>van Eijndhoven P</v>
      </c>
      <c r="F114">
        <f t="shared" si="41"/>
        <v>2009</v>
      </c>
      <c r="G114">
        <v>5</v>
      </c>
      <c r="H114">
        <f t="shared" si="42"/>
        <v>20</v>
      </c>
      <c r="I114">
        <f t="shared" si="42"/>
        <v>10</v>
      </c>
      <c r="J114">
        <f t="shared" si="43"/>
        <v>7372</v>
      </c>
      <c r="K114">
        <f t="shared" si="44"/>
        <v>784.76811861848716</v>
      </c>
      <c r="L114">
        <f t="shared" si="45"/>
        <v>7597</v>
      </c>
      <c r="M114">
        <f t="shared" si="46"/>
        <v>752.5866063118583</v>
      </c>
      <c r="N114">
        <f t="shared" si="11"/>
        <v>774.56988986515239</v>
      </c>
      <c r="O114" s="59">
        <f t="shared" si="12"/>
        <v>-0.28263288023890432</v>
      </c>
      <c r="P114" s="63">
        <f t="shared" si="13"/>
        <v>0.15153264284328738</v>
      </c>
      <c r="Q114" s="59">
        <f t="shared" si="14"/>
        <v>0.76297300132230939</v>
      </c>
      <c r="R114" s="59">
        <f t="shared" si="15"/>
        <v>6.5992381656946613</v>
      </c>
      <c r="S114" s="59">
        <f t="shared" si="16"/>
        <v>-1.8651616901527859</v>
      </c>
      <c r="T114" s="59">
        <f t="shared" si="17"/>
        <v>0.52715602059914468</v>
      </c>
      <c r="U114" s="23">
        <f t="shared" si="18"/>
        <v>43.549944367561039</v>
      </c>
      <c r="V114" s="59">
        <f t="shared" si="19"/>
        <v>4.0337051545799465</v>
      </c>
      <c r="W114" s="59">
        <f t="shared" si="20"/>
        <v>-1.1400577058734451</v>
      </c>
      <c r="AF114" s="59">
        <f t="shared" si="21"/>
        <v>-0.28263288023890432</v>
      </c>
      <c r="AG114" s="59">
        <f t="shared" si="22"/>
        <v>0.76297300132230939</v>
      </c>
      <c r="AH114" s="59">
        <f t="shared" si="23"/>
        <v>0.76297300132230939</v>
      </c>
      <c r="AJ114">
        <f t="shared" si="24"/>
        <v>0.38927193945015787</v>
      </c>
      <c r="AK114">
        <f t="shared" si="25"/>
        <v>2.5688982396534632</v>
      </c>
      <c r="AL114">
        <f t="shared" si="26"/>
        <v>-0.72605510851390931</v>
      </c>
      <c r="AN114" s="31" t="str">
        <f t="shared" si="47"/>
        <v>van Eijndhoven P</v>
      </c>
      <c r="AO114" s="31">
        <f t="shared" si="47"/>
        <v>2009</v>
      </c>
      <c r="AP114" s="31" t="str">
        <f t="shared" si="28"/>
        <v>van Eijndhoven P 2009</v>
      </c>
      <c r="AQ114" s="31">
        <f t="shared" si="29"/>
        <v>20</v>
      </c>
      <c r="AR114" s="31">
        <f t="shared" si="48"/>
        <v>7372</v>
      </c>
      <c r="AS114" s="31">
        <f t="shared" si="48"/>
        <v>784.76811861848716</v>
      </c>
      <c r="AT114" s="31">
        <f t="shared" si="31"/>
        <v>10</v>
      </c>
      <c r="AU114" s="31">
        <f t="shared" si="49"/>
        <v>7597</v>
      </c>
      <c r="AV114" s="31">
        <f t="shared" si="49"/>
        <v>752.5866063118583</v>
      </c>
      <c r="AW114" s="164">
        <f t="shared" si="33"/>
        <v>-0.28263288023890432</v>
      </c>
      <c r="AX114" s="31">
        <f t="shared" si="34"/>
        <v>0.38927193945015787</v>
      </c>
      <c r="AY114" s="31"/>
      <c r="AZ114" s="31"/>
      <c r="BA114" s="31"/>
      <c r="BB114" s="31"/>
      <c r="BC114" s="165"/>
      <c r="BD114" s="31"/>
      <c r="BE114" s="31"/>
      <c r="BF114" s="31"/>
      <c r="BG114" s="31"/>
      <c r="BH114" s="31"/>
      <c r="BI114" s="32"/>
      <c r="BJ114" s="32"/>
      <c r="BK114" s="31"/>
    </row>
    <row r="115" spans="5:63">
      <c r="E115" t="str">
        <f t="shared" si="41"/>
        <v>van Eijndhoven P</v>
      </c>
      <c r="F115">
        <f t="shared" si="41"/>
        <v>2009</v>
      </c>
      <c r="G115">
        <v>4</v>
      </c>
      <c r="H115">
        <f t="shared" si="42"/>
        <v>20</v>
      </c>
      <c r="I115">
        <f t="shared" si="42"/>
        <v>10</v>
      </c>
      <c r="J115">
        <f t="shared" si="43"/>
        <v>7415</v>
      </c>
      <c r="K115">
        <f t="shared" si="44"/>
        <v>777.60208333054254</v>
      </c>
      <c r="L115">
        <f t="shared" si="45"/>
        <v>7597</v>
      </c>
      <c r="M115">
        <f t="shared" si="46"/>
        <v>752.5866063118583</v>
      </c>
      <c r="N115">
        <f t="shared" si="11"/>
        <v>769.65006890887014</v>
      </c>
      <c r="O115" s="59">
        <f t="shared" si="12"/>
        <v>-0.23007999119928391</v>
      </c>
      <c r="P115" s="63">
        <f t="shared" si="13"/>
        <v>0.15101567157233811</v>
      </c>
      <c r="Q115" s="59">
        <f t="shared" si="14"/>
        <v>0.76167040372610917</v>
      </c>
      <c r="R115" s="59">
        <f t="shared" si="15"/>
        <v>6.6218293080992545</v>
      </c>
      <c r="S115" s="59">
        <f t="shared" si="16"/>
        <v>-1.5235504289306367</v>
      </c>
      <c r="T115" s="59">
        <f t="shared" si="17"/>
        <v>0.35053846928002613</v>
      </c>
      <c r="U115" s="23">
        <f t="shared" si="18"/>
        <v>43.848623385602252</v>
      </c>
      <c r="V115" s="59">
        <f t="shared" si="19"/>
        <v>4.0421342562740215</v>
      </c>
      <c r="W115" s="59">
        <f t="shared" si="20"/>
        <v>-0.93001421410985086</v>
      </c>
      <c r="AF115" s="59">
        <f t="shared" si="21"/>
        <v>-0.23007999119928391</v>
      </c>
      <c r="AG115" s="59">
        <f t="shared" si="22"/>
        <v>0.76167040372610917</v>
      </c>
      <c r="AH115" s="59">
        <f t="shared" si="23"/>
        <v>0.76167040372610917</v>
      </c>
      <c r="AJ115">
        <f t="shared" si="24"/>
        <v>0.3886073488398516</v>
      </c>
      <c r="AK115">
        <f t="shared" si="25"/>
        <v>2.5732915318904803</v>
      </c>
      <c r="AL115">
        <f t="shared" si="26"/>
        <v>-0.59206289301055348</v>
      </c>
      <c r="AN115" s="31" t="str">
        <f t="shared" si="47"/>
        <v>van Eijndhoven P</v>
      </c>
      <c r="AO115" s="31">
        <f t="shared" si="47"/>
        <v>2009</v>
      </c>
      <c r="AP115" s="31" t="str">
        <f t="shared" si="28"/>
        <v>van Eijndhoven P 2009</v>
      </c>
      <c r="AQ115" s="31">
        <f t="shared" si="29"/>
        <v>20</v>
      </c>
      <c r="AR115" s="31">
        <f t="shared" si="48"/>
        <v>7415</v>
      </c>
      <c r="AS115" s="31">
        <f t="shared" si="48"/>
        <v>777.60208333054254</v>
      </c>
      <c r="AT115" s="31">
        <f t="shared" si="31"/>
        <v>10</v>
      </c>
      <c r="AU115" s="31">
        <f t="shared" si="49"/>
        <v>7597</v>
      </c>
      <c r="AV115" s="31">
        <f t="shared" si="49"/>
        <v>752.5866063118583</v>
      </c>
      <c r="AW115" s="164">
        <f t="shared" si="33"/>
        <v>-0.23007999119928391</v>
      </c>
      <c r="AX115" s="31">
        <f t="shared" si="34"/>
        <v>0.3886073488398516</v>
      </c>
      <c r="AY115" s="31"/>
      <c r="AZ115" s="31"/>
      <c r="BA115" s="31"/>
      <c r="BB115" s="31"/>
      <c r="BC115" s="165"/>
      <c r="BD115" s="31"/>
      <c r="BE115" s="31"/>
      <c r="BF115" s="31"/>
      <c r="BG115" s="31"/>
      <c r="BH115" s="31"/>
      <c r="BI115" s="32"/>
      <c r="BJ115" s="32"/>
      <c r="BK115" s="31"/>
    </row>
    <row r="116" spans="5:63">
      <c r="E116" t="str">
        <f t="shared" si="41"/>
        <v>Meisenzahl EM</v>
      </c>
      <c r="F116">
        <f t="shared" si="41"/>
        <v>2009</v>
      </c>
      <c r="G116">
        <v>3</v>
      </c>
      <c r="H116">
        <f t="shared" si="42"/>
        <v>92</v>
      </c>
      <c r="I116">
        <f t="shared" si="42"/>
        <v>138</v>
      </c>
      <c r="J116">
        <f t="shared" si="43"/>
        <v>7.4399999999999995</v>
      </c>
      <c r="K116">
        <f t="shared" si="44"/>
        <v>0.78741348731146321</v>
      </c>
      <c r="L116">
        <f t="shared" si="45"/>
        <v>7.77</v>
      </c>
      <c r="M116">
        <f t="shared" si="46"/>
        <v>0.77792030440142124</v>
      </c>
      <c r="N116">
        <f t="shared" si="11"/>
        <v>0.78172307431230448</v>
      </c>
      <c r="O116" s="59">
        <f t="shared" si="12"/>
        <v>-0.42075421964091947</v>
      </c>
      <c r="P116" s="63">
        <f t="shared" si="13"/>
        <v>1.8507506466182797E-2</v>
      </c>
      <c r="Q116" s="59">
        <f t="shared" si="14"/>
        <v>0.26664290135026625</v>
      </c>
      <c r="R116" s="59">
        <f t="shared" si="15"/>
        <v>54.0321302508912</v>
      </c>
      <c r="S116" s="59">
        <f t="shared" si="16"/>
        <v>-22.734246799250243</v>
      </c>
      <c r="T116" s="59">
        <f t="shared" si="17"/>
        <v>9.5655302711426078</v>
      </c>
      <c r="U116" s="23">
        <f t="shared" si="18"/>
        <v>2919.4710994492721</v>
      </c>
      <c r="V116" s="59">
        <f t="shared" si="19"/>
        <v>8.7042888171620056</v>
      </c>
      <c r="W116" s="59">
        <f t="shared" si="20"/>
        <v>-3.6623662487941817</v>
      </c>
      <c r="AF116" s="59">
        <f t="shared" si="21"/>
        <v>-0.42075421964091947</v>
      </c>
      <c r="AG116" s="59">
        <f t="shared" si="22"/>
        <v>0.26664290135026625</v>
      </c>
      <c r="AH116" s="59">
        <f t="shared" si="23"/>
        <v>0.26664290135026625</v>
      </c>
      <c r="AJ116">
        <f t="shared" si="24"/>
        <v>0.13604229660727871</v>
      </c>
      <c r="AK116">
        <f t="shared" si="25"/>
        <v>7.3506550899148575</v>
      </c>
      <c r="AL116">
        <f t="shared" si="26"/>
        <v>-3.0928191462066787</v>
      </c>
      <c r="AN116" s="31" t="str">
        <f t="shared" si="47"/>
        <v>Meisenzahl EM</v>
      </c>
      <c r="AO116" s="31">
        <f t="shared" si="47"/>
        <v>2009</v>
      </c>
      <c r="AP116" s="31" t="str">
        <f t="shared" si="28"/>
        <v>Meisenzahl EM 2009</v>
      </c>
      <c r="AQ116" s="31">
        <f t="shared" si="29"/>
        <v>92</v>
      </c>
      <c r="AR116" s="31">
        <f t="shared" si="48"/>
        <v>7.4399999999999995</v>
      </c>
      <c r="AS116" s="31">
        <f t="shared" si="48"/>
        <v>0.78741348731146321</v>
      </c>
      <c r="AT116" s="31">
        <f t="shared" si="31"/>
        <v>138</v>
      </c>
      <c r="AU116" s="31">
        <f t="shared" si="49"/>
        <v>7.77</v>
      </c>
      <c r="AV116" s="31">
        <f t="shared" si="49"/>
        <v>0.77792030440142124</v>
      </c>
      <c r="AW116" s="164">
        <f t="shared" si="33"/>
        <v>-0.42075421964091947</v>
      </c>
      <c r="AX116" s="31">
        <f t="shared" si="34"/>
        <v>0.13604229660727871</v>
      </c>
      <c r="AY116" s="31"/>
      <c r="AZ116" s="31"/>
      <c r="BA116" s="31"/>
      <c r="BB116" s="31"/>
      <c r="BC116" s="165"/>
      <c r="BD116" s="31"/>
      <c r="BE116" s="31"/>
      <c r="BF116" s="31"/>
      <c r="BG116" s="31"/>
      <c r="BH116" s="31"/>
      <c r="BI116" s="32"/>
      <c r="BJ116" s="32"/>
      <c r="BK116" s="31"/>
    </row>
    <row r="117" spans="5:63">
      <c r="E117" t="str">
        <f t="shared" si="41"/>
        <v>Jessen F</v>
      </c>
      <c r="F117">
        <f t="shared" si="41"/>
        <v>2009</v>
      </c>
      <c r="G117">
        <v>2</v>
      </c>
      <c r="H117">
        <f t="shared" si="42"/>
        <v>79</v>
      </c>
      <c r="I117">
        <f t="shared" si="42"/>
        <v>84</v>
      </c>
      <c r="J117">
        <f t="shared" si="43"/>
        <v>4.1099999999999994</v>
      </c>
      <c r="K117">
        <f t="shared" si="44"/>
        <v>0.55994642600877453</v>
      </c>
      <c r="L117">
        <f t="shared" si="45"/>
        <v>4.68</v>
      </c>
      <c r="M117">
        <f t="shared" si="46"/>
        <v>0.55973207876626119</v>
      </c>
      <c r="N117">
        <f>IF($D$3=1,SQRT((((I117-1)*(M117)^2)+((H117-1)*(K117)^2))/(H117+I117-2)),M117)</f>
        <v>0.55983593426282086</v>
      </c>
      <c r="O117" s="59">
        <f>IF($D$6=1,LN(J117/L117),IF($D$5=1,(1-3/(4*(H117+I117)-9))*((J117-L117)/N117),(J117-L117)/N117))</f>
        <v>-1.0134051000617594</v>
      </c>
      <c r="P117" s="63">
        <f>IF($D$6=1,(K117^2)/(H117*J117^2)+(M117^2)/(I117*L117^2),(IF($D$5=1,((H117+I117)/(H117*I117))+(O117*O117)/(2*(H117+I117-3.94)),((H117+I117)/(H117*I117))+((O117^2)/(2*(H117+I117-2))))))</f>
        <v>2.7791299500226383E-2</v>
      </c>
      <c r="Q117" s="59">
        <f t="shared" si="14"/>
        <v>0.32674616472128581</v>
      </c>
      <c r="R117" s="59">
        <f>1/P117</f>
        <v>35.982484373998204</v>
      </c>
      <c r="S117" s="59">
        <f>O117*R117</f>
        <v>-36.464833177502342</v>
      </c>
      <c r="T117" s="59">
        <f>R117*(O117^2)</f>
        <v>36.953647914982128</v>
      </c>
      <c r="U117" s="23">
        <f>R117^2</f>
        <v>1294.739181725025</v>
      </c>
      <c r="V117" s="59">
        <f t="shared" si="19"/>
        <v>8.0534953908735218</v>
      </c>
      <c r="W117" s="59">
        <f>V117*O117</f>
        <v>-8.161453302435099</v>
      </c>
      <c r="AF117" s="59">
        <f>IF($D$6=1,100*((EXP(O117))-1),O117)</f>
        <v>-1.0134051000617594</v>
      </c>
      <c r="AG117" s="59">
        <f>IF($D$6=1,100*(EXP(O117+Q117)-EXP(O117)),Q117)</f>
        <v>0.32674616472128581</v>
      </c>
      <c r="AH117" s="59">
        <f>IF($D$6=1,100*(EXP(O117)-EXP(O117-Q117)),Q117)</f>
        <v>0.32674616472128581</v>
      </c>
      <c r="AJ117">
        <f>SQRT(P117)</f>
        <v>0.16670722689861522</v>
      </c>
      <c r="AK117">
        <f t="shared" si="25"/>
        <v>5.9985401869119963</v>
      </c>
      <c r="AL117">
        <f>O117/AJ117</f>
        <v>-6.0789512183420369</v>
      </c>
      <c r="AN117" s="31" t="str">
        <f>E117</f>
        <v>Jessen F</v>
      </c>
      <c r="AO117" s="31">
        <f>F117</f>
        <v>2009</v>
      </c>
      <c r="AP117" s="31" t="str">
        <f>CONCATENATE(AN117," ",AO117)</f>
        <v>Jessen F 2009</v>
      </c>
      <c r="AQ117" s="31">
        <f>INT(H117)</f>
        <v>79</v>
      </c>
      <c r="AR117" s="31">
        <f>J117</f>
        <v>4.1099999999999994</v>
      </c>
      <c r="AS117" s="31">
        <f>K117</f>
        <v>0.55994642600877453</v>
      </c>
      <c r="AT117" s="31">
        <f>INT(I117)</f>
        <v>84</v>
      </c>
      <c r="AU117" s="31">
        <f>L117</f>
        <v>4.68</v>
      </c>
      <c r="AV117" s="31">
        <f>M117</f>
        <v>0.55973207876626119</v>
      </c>
      <c r="AW117" s="164">
        <f>O117</f>
        <v>-1.0134051000617594</v>
      </c>
      <c r="AX117" s="31">
        <f>SQRT(P117)</f>
        <v>0.16670722689861522</v>
      </c>
      <c r="AY117" s="31"/>
      <c r="AZ117" s="31"/>
      <c r="BA117" s="31"/>
      <c r="BB117" s="31"/>
      <c r="BC117" s="165"/>
      <c r="BD117" s="31"/>
      <c r="BE117" s="31"/>
      <c r="BF117" s="31"/>
      <c r="BG117" s="31"/>
      <c r="BH117" s="31"/>
      <c r="BI117" s="32"/>
      <c r="BJ117" s="32"/>
      <c r="BK117" s="31"/>
    </row>
    <row r="118" spans="5:63">
      <c r="U118" s="23"/>
      <c r="BI118" s="23"/>
      <c r="BJ118" s="59"/>
    </row>
    <row r="119" spans="5:63">
      <c r="L119" t="s">
        <v>500</v>
      </c>
      <c r="N119" s="7"/>
      <c r="O119" s="66">
        <f>COUNT(O89:O117)</f>
        <v>29</v>
      </c>
      <c r="Q119" t="s">
        <v>885</v>
      </c>
      <c r="R119" s="59">
        <f t="shared" ref="R119:W119" si="50">SUM(R89:R117)</f>
        <v>347.48622519100775</v>
      </c>
      <c r="S119" s="59">
        <f t="shared" si="50"/>
        <v>-157.74449649110153</v>
      </c>
      <c r="T119" s="59">
        <f t="shared" si="50"/>
        <v>131.14117671193861</v>
      </c>
      <c r="U119" s="23">
        <f t="shared" si="50"/>
        <v>7061.3132483470708</v>
      </c>
      <c r="V119" s="59">
        <f t="shared" si="50"/>
        <v>145.82202950464335</v>
      </c>
      <c r="W119" s="59">
        <f t="shared" si="50"/>
        <v>-62.268027053295263</v>
      </c>
      <c r="BI119" s="23"/>
    </row>
    <row r="120" spans="5:63">
      <c r="L120" t="s">
        <v>501</v>
      </c>
      <c r="N120" s="7"/>
      <c r="O120" s="2">
        <v>7</v>
      </c>
      <c r="BI120" s="23"/>
    </row>
    <row r="121" spans="5:63">
      <c r="N121" s="7"/>
      <c r="O121" s="7"/>
    </row>
    <row r="122" spans="5:63">
      <c r="G122" s="67" t="s">
        <v>502</v>
      </c>
      <c r="H122" s="40"/>
      <c r="I122" s="40">
        <f>S119/R119</f>
        <v>-0.45395899191224587</v>
      </c>
      <c r="J122" s="40"/>
      <c r="K122" s="68" t="s">
        <v>879</v>
      </c>
      <c r="L122" s="40"/>
      <c r="M122" s="42"/>
      <c r="N122" s="7"/>
      <c r="O122" s="69" t="s">
        <v>503</v>
      </c>
      <c r="P122" s="70">
        <f>T119-((S119^2)/R119)</f>
        <v>59.531644105133353</v>
      </c>
      <c r="Q122" s="71" t="s">
        <v>824</v>
      </c>
      <c r="R122" s="28"/>
      <c r="S122" s="29"/>
      <c r="T122" s="30"/>
      <c r="U122" s="31"/>
      <c r="AF122" s="2" t="s">
        <v>1518</v>
      </c>
    </row>
    <row r="123" spans="5:63">
      <c r="G123" s="43" t="s">
        <v>504</v>
      </c>
      <c r="H123" s="31"/>
      <c r="I123" s="31">
        <f>1/R119</f>
        <v>2.8778119174373475E-3</v>
      </c>
      <c r="J123" s="31"/>
      <c r="K123" s="31"/>
      <c r="L123" s="31"/>
      <c r="M123" s="44"/>
      <c r="N123" s="7"/>
      <c r="O123" s="30" t="s">
        <v>505</v>
      </c>
      <c r="P123" s="31">
        <f>CHIDIST(P122,I127-1)</f>
        <v>4.6727417631414433E-4</v>
      </c>
      <c r="Q123" s="31"/>
      <c r="R123" s="31"/>
      <c r="S123" s="34"/>
      <c r="T123" s="30"/>
      <c r="U123" s="31"/>
      <c r="AF123" s="2"/>
    </row>
    <row r="124" spans="5:63">
      <c r="G124" s="72" t="s">
        <v>506</v>
      </c>
      <c r="H124" s="31"/>
      <c r="I124" s="31">
        <f>$R$134*SQRT(I123)</f>
        <v>0.1051446730083237</v>
      </c>
      <c r="J124" s="31"/>
      <c r="K124" s="31" t="s">
        <v>507</v>
      </c>
      <c r="L124" s="31"/>
      <c r="M124" s="44">
        <f>ABS(I122/SQRT(I123))</f>
        <v>8.4622415828671116</v>
      </c>
      <c r="N124" s="7"/>
      <c r="O124" s="35" t="s">
        <v>508</v>
      </c>
      <c r="P124" s="37">
        <f>IF(((P122-(I127-1))/P122)&lt;0,0,100*((P122-(I127-1))/P122))</f>
        <v>52.966190635434529</v>
      </c>
      <c r="Q124" s="36"/>
      <c r="R124" s="36"/>
      <c r="S124" s="38"/>
      <c r="T124" s="30"/>
      <c r="U124" s="31"/>
      <c r="AF124" s="2" t="s">
        <v>1535</v>
      </c>
      <c r="AH124">
        <f>IF($D$6=1,100*((EXP(I122))-1),I122)</f>
        <v>-0.45395899191224587</v>
      </c>
    </row>
    <row r="125" spans="5:63">
      <c r="G125" s="45" t="s">
        <v>509</v>
      </c>
      <c r="H125" s="46"/>
      <c r="I125" s="46">
        <v>-2</v>
      </c>
      <c r="J125" s="46"/>
      <c r="K125" s="46" t="s">
        <v>825</v>
      </c>
      <c r="L125" s="46"/>
      <c r="M125" s="47">
        <f>2*(1-NORMDIST(M124,0,1,1))</f>
        <v>0</v>
      </c>
      <c r="N125" s="7"/>
      <c r="O125" s="7"/>
      <c r="AF125" s="79" t="s">
        <v>834</v>
      </c>
      <c r="AH125">
        <f>IF($D$6=1,100*(EXP(I122+I124)-EXP(I122)),I124)</f>
        <v>0.1051446730083237</v>
      </c>
    </row>
    <row r="126" spans="5:63">
      <c r="G126" s="40"/>
      <c r="H126" s="40"/>
      <c r="I126" s="40"/>
      <c r="J126" s="40"/>
      <c r="K126" s="40"/>
      <c r="L126" s="40"/>
      <c r="M126" s="40"/>
      <c r="N126" s="7"/>
      <c r="O126" s="7"/>
      <c r="AF126" s="79" t="s">
        <v>835</v>
      </c>
      <c r="AH126">
        <f>IF($D$6=1,100*(EXP(I122)-EXP(I122-I124)),I124)</f>
        <v>0.1051446730083237</v>
      </c>
    </row>
    <row r="127" spans="5:63">
      <c r="G127" s="73" t="s">
        <v>1110</v>
      </c>
      <c r="H127" s="74"/>
      <c r="I127" s="74">
        <f>O119</f>
        <v>29</v>
      </c>
      <c r="J127" s="74"/>
      <c r="K127" s="75" t="s">
        <v>1167</v>
      </c>
      <c r="L127" s="74"/>
      <c r="M127" s="76"/>
      <c r="N127" s="77"/>
      <c r="O127" s="101" t="s">
        <v>1513</v>
      </c>
      <c r="P127" s="102"/>
      <c r="Q127" s="103"/>
      <c r="AF127" s="7"/>
    </row>
    <row r="128" spans="5:63">
      <c r="G128" s="77" t="s">
        <v>1531</v>
      </c>
      <c r="H128" s="31"/>
      <c r="I128" s="31">
        <f>R119/I127</f>
        <v>11.982283627276129</v>
      </c>
      <c r="J128" s="31"/>
      <c r="K128" s="31"/>
      <c r="L128" s="31"/>
      <c r="M128" s="78"/>
      <c r="N128" s="77"/>
      <c r="O128" s="104" t="s">
        <v>1514</v>
      </c>
      <c r="P128" s="31"/>
      <c r="Q128" s="105">
        <f>INDEX(LINEST(AL89:AL117,AK89:AK117,TRUE,TRUE),1,2)</f>
        <v>0.67398017912582442</v>
      </c>
      <c r="AF128" s="2" t="s">
        <v>1687</v>
      </c>
      <c r="AH128">
        <f>IF($D$6=1,100*((EXP(I133))-1),I133)</f>
        <v>-0.42701385562126254</v>
      </c>
    </row>
    <row r="129" spans="7:34">
      <c r="G129" s="77" t="s">
        <v>1532</v>
      </c>
      <c r="H129" s="31"/>
      <c r="I129" s="31">
        <f>(1/(I127-1))*(U119-(I127*I128^2))</f>
        <v>103.48695505488834</v>
      </c>
      <c r="J129" s="31"/>
      <c r="K129" s="31"/>
      <c r="L129" s="31"/>
      <c r="M129" s="78"/>
      <c r="N129" s="77"/>
      <c r="O129" s="104" t="s">
        <v>1516</v>
      </c>
      <c r="P129" s="31"/>
      <c r="Q129" s="105">
        <f>INDEX(LINEST(AL89:AL117,AK89:AK117,TRUE,TRUE),2,2)</f>
        <v>0.85068750442175889</v>
      </c>
      <c r="AF129" s="79" t="s">
        <v>834</v>
      </c>
      <c r="AG129" s="7"/>
      <c r="AH129">
        <f>IF($D$6=1,100*(EXP(I133+I135)-EXP(I133)),I135)</f>
        <v>0.16230971015176582</v>
      </c>
    </row>
    <row r="130" spans="7:34">
      <c r="G130" s="77" t="s">
        <v>1669</v>
      </c>
      <c r="H130" s="31"/>
      <c r="I130" s="31">
        <f>(I127-1)*(I128-(I129/(I127*I128)))</f>
        <v>327.1650937721563</v>
      </c>
      <c r="J130" s="31"/>
      <c r="K130" s="31"/>
      <c r="L130" s="31"/>
      <c r="M130" s="78"/>
      <c r="N130" s="77"/>
      <c r="O130" s="104" t="s">
        <v>1349</v>
      </c>
      <c r="P130" s="31"/>
      <c r="Q130" s="105">
        <f>ABS(Q128/Q129)</f>
        <v>0.79227704136074217</v>
      </c>
      <c r="AF130" s="79" t="s">
        <v>835</v>
      </c>
      <c r="AH130">
        <f>IF($D$6=1,100*(EXP(I133)-EXP(I133-I135)),I135)</f>
        <v>0.16230971015176582</v>
      </c>
    </row>
    <row r="131" spans="7:34">
      <c r="G131" s="77" t="s">
        <v>1685</v>
      </c>
      <c r="H131" s="31"/>
      <c r="I131" s="31">
        <f>IF(P122&gt;(I127-1),(P122-(I127-1))/I130,0)</f>
        <v>9.6378387258796508E-2</v>
      </c>
      <c r="J131" s="31"/>
      <c r="K131" s="31"/>
      <c r="L131" s="31"/>
      <c r="M131" s="78"/>
      <c r="N131" s="77"/>
      <c r="O131" s="106" t="s">
        <v>1515</v>
      </c>
      <c r="P131" s="107"/>
      <c r="Q131" s="108">
        <f>TDIST(Q130,I127-2,2)</f>
        <v>0.43510546321285604</v>
      </c>
    </row>
    <row r="132" spans="7:34">
      <c r="G132" s="77"/>
      <c r="H132" s="31"/>
      <c r="I132" s="31"/>
      <c r="J132" s="31"/>
      <c r="K132" s="31"/>
      <c r="L132" s="31"/>
      <c r="M132" s="78"/>
      <c r="N132" s="77"/>
    </row>
    <row r="133" spans="7:34">
      <c r="G133" s="77" t="s">
        <v>1686</v>
      </c>
      <c r="H133" s="31"/>
      <c r="I133" s="31">
        <f>W119/V119</f>
        <v>-0.42701385562126254</v>
      </c>
      <c r="J133" s="31"/>
      <c r="N133" s="77"/>
    </row>
    <row r="134" spans="7:34">
      <c r="G134" s="77" t="s">
        <v>504</v>
      </c>
      <c r="H134" s="31"/>
      <c r="I134" s="31">
        <f>1/V119</f>
        <v>6.8576744089832971E-3</v>
      </c>
      <c r="J134" s="31"/>
      <c r="N134" s="77"/>
      <c r="O134" t="s">
        <v>805</v>
      </c>
      <c r="R134">
        <v>1.96</v>
      </c>
    </row>
    <row r="135" spans="7:34">
      <c r="G135" s="80" t="s">
        <v>506</v>
      </c>
      <c r="H135" s="31"/>
      <c r="I135" s="31">
        <f>$R$134*SQRT(I134)</f>
        <v>0.16230971015176582</v>
      </c>
      <c r="J135" s="31"/>
      <c r="K135" s="31" t="s">
        <v>507</v>
      </c>
      <c r="L135" s="31"/>
      <c r="M135" s="78">
        <f>ABS(I133/(SQRT(I134)))</f>
        <v>5.1564823585421768</v>
      </c>
      <c r="N135" s="77"/>
    </row>
    <row r="136" spans="7:34">
      <c r="G136" s="81" t="s">
        <v>509</v>
      </c>
      <c r="H136" s="82"/>
      <c r="I136" s="82">
        <v>-3</v>
      </c>
      <c r="J136" s="82"/>
      <c r="K136" s="31" t="s">
        <v>825</v>
      </c>
      <c r="L136" s="31"/>
      <c r="M136" s="78">
        <f>2*(1-NORMDIST(M135,0,1,1))</f>
        <v>2.5163217842738561E-7</v>
      </c>
      <c r="N136" s="77"/>
    </row>
    <row r="137" spans="7:34">
      <c r="G137" s="74"/>
      <c r="H137" s="74"/>
      <c r="I137" s="74"/>
      <c r="J137" s="74"/>
      <c r="K137" s="74"/>
      <c r="L137" s="74"/>
      <c r="M137" s="74"/>
      <c r="N137" s="31"/>
      <c r="O137" s="7"/>
    </row>
  </sheetData>
  <phoneticPr fontId="31" type="noConversion"/>
  <conditionalFormatting sqref="D17 D13 F13">
    <cfRule type="cellIs" dxfId="86" priority="0" stopIfTrue="1" operator="lessThan">
      <formula>0.05</formula>
    </cfRule>
  </conditionalFormatting>
  <conditionalFormatting sqref="D21">
    <cfRule type="cellIs" dxfId="8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7.xml><?xml version="1.0" encoding="utf-8"?>
<worksheet xmlns="http://schemas.openxmlformats.org/spreadsheetml/2006/main" xmlns:r="http://schemas.openxmlformats.org/officeDocument/2006/relationships">
  <sheetPr published="0" enableFormatConditionsCalculation="0"/>
  <dimension ref="A1:BJ9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5" max="5" width="14.33203125" customWidth="1"/>
    <col min="6" max="6" width="6.33203125" customWidth="1"/>
    <col min="7" max="23" width="5.6640625" customWidth="1"/>
    <col min="24" max="24" width="9.6640625" customWidth="1"/>
    <col min="25" max="25" width="7.33203125" customWidth="1"/>
    <col min="26" max="41" width="5.6640625" customWidth="1"/>
    <col min="42" max="42" width="8.6640625" customWidth="1"/>
    <col min="43" max="48" width="5.6640625" customWidth="1"/>
    <col min="49" max="49" width="6.6640625" customWidth="1"/>
    <col min="50" max="50" width="7.33203125" customWidth="1"/>
    <col min="51" max="53" width="5.6640625" customWidth="1"/>
    <col min="54" max="54" width="8" customWidth="1"/>
    <col min="55" max="55" width="9.77734375" customWidth="1"/>
  </cols>
  <sheetData>
    <row r="1" spans="2:30">
      <c r="B1" s="4" t="s">
        <v>31</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I82-O75</f>
        <v>8</v>
      </c>
      <c r="AD7" s="89"/>
    </row>
    <row r="8" spans="2:30">
      <c r="B8" t="s">
        <v>822</v>
      </c>
      <c r="D8">
        <f>SUM(H24:H33)</f>
        <v>444</v>
      </c>
      <c r="E8" t="s">
        <v>298</v>
      </c>
      <c r="F8">
        <f>Summary!C78</f>
        <v>0.8</v>
      </c>
      <c r="AD8" s="89"/>
    </row>
    <row r="9" spans="2:30">
      <c r="B9" t="s">
        <v>823</v>
      </c>
      <c r="D9">
        <f>SUM(I24:I33)</f>
        <v>366</v>
      </c>
      <c r="AB9" s="59"/>
      <c r="AD9" s="89"/>
    </row>
    <row r="10" spans="2:30">
      <c r="AB10" s="59"/>
    </row>
    <row r="11" spans="2:30">
      <c r="B11" s="27" t="s">
        <v>516</v>
      </c>
      <c r="C11" s="28"/>
      <c r="D11" s="109">
        <f>P77</f>
        <v>10.974614162976305</v>
      </c>
      <c r="E11" s="110" t="s">
        <v>1513</v>
      </c>
      <c r="F11" s="103"/>
    </row>
    <row r="12" spans="2:30">
      <c r="B12" s="30" t="s">
        <v>826</v>
      </c>
      <c r="C12" s="31"/>
      <c r="D12" s="112">
        <f>P79</f>
        <v>36.216436440972736</v>
      </c>
      <c r="E12" s="31"/>
      <c r="F12" s="105"/>
    </row>
    <row r="13" spans="2:30">
      <c r="B13" s="35" t="s">
        <v>825</v>
      </c>
      <c r="C13" s="36"/>
      <c r="D13" s="113">
        <f>P78</f>
        <v>0.13973017776478558</v>
      </c>
      <c r="E13" s="111" t="s">
        <v>825</v>
      </c>
      <c r="F13" s="115">
        <f>Q86</f>
        <v>7.3432693041168631E-2</v>
      </c>
    </row>
    <row r="14" spans="2:30">
      <c r="Z14" s="2"/>
    </row>
    <row r="15" spans="2:30">
      <c r="B15" s="39" t="s">
        <v>879</v>
      </c>
      <c r="C15" s="40"/>
      <c r="D15" s="41">
        <f>AH79</f>
        <v>-0.31300375811512543</v>
      </c>
      <c r="E15" s="116"/>
      <c r="Z15" s="2"/>
    </row>
    <row r="16" spans="2:30">
      <c r="B16" s="43" t="s">
        <v>1165</v>
      </c>
      <c r="C16" s="31"/>
      <c r="D16" s="33">
        <f>AH79-AH81</f>
        <v>-0.45559690573921841</v>
      </c>
      <c r="E16" s="117">
        <f>AH79+AH80</f>
        <v>-0.17041061049103243</v>
      </c>
    </row>
    <row r="17" spans="1:43">
      <c r="B17" s="45" t="s">
        <v>1166</v>
      </c>
      <c r="C17" s="46"/>
      <c r="D17" s="123">
        <f>M80</f>
        <v>1.6898678252497135E-5</v>
      </c>
      <c r="E17" s="118"/>
    </row>
    <row r="18" spans="1:43">
      <c r="D18" s="48"/>
      <c r="F18" s="49"/>
    </row>
    <row r="19" spans="1:43">
      <c r="B19" s="50" t="s">
        <v>1167</v>
      </c>
      <c r="C19" s="51"/>
      <c r="D19" s="52">
        <f>AH83</f>
        <v>-0.3410461280714982</v>
      </c>
      <c r="E19" s="120"/>
      <c r="F19" s="33"/>
      <c r="G19" s="31"/>
    </row>
    <row r="20" spans="1:43">
      <c r="B20" s="53" t="s">
        <v>1165</v>
      </c>
      <c r="C20" s="31"/>
      <c r="D20" s="33">
        <f>AH83-AH85</f>
        <v>-0.52404690808806564</v>
      </c>
      <c r="E20" s="121">
        <f>AH83+AH84</f>
        <v>-0.15804534805493076</v>
      </c>
      <c r="F20" s="31"/>
      <c r="G20" s="31"/>
    </row>
    <row r="21" spans="1:43">
      <c r="B21" s="54" t="s">
        <v>1440</v>
      </c>
      <c r="C21" s="55"/>
      <c r="D21" s="114">
        <f>M91</f>
        <v>2.5947821653904413E-4</v>
      </c>
      <c r="E21" s="56"/>
      <c r="F21" s="119"/>
      <c r="G21" s="31"/>
      <c r="L21" s="4" t="s">
        <v>1511</v>
      </c>
      <c r="N21" s="4"/>
      <c r="O21" s="4"/>
      <c r="Q21" s="4" t="str">
        <f>IF(D6=1,F6,CONCATENATE(F6," with ",F5))</f>
        <v>Cohens Effect size with H Correction</v>
      </c>
      <c r="AA21" s="4"/>
    </row>
    <row r="22" spans="1:43">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row>
    <row r="23" spans="1:43" ht="52.8"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row>
    <row r="24" spans="1:43">
      <c r="B24">
        <v>10405084</v>
      </c>
      <c r="C24" s="1" t="str">
        <f>IF($B24="","",HYPERLINK(IF(LEN(VLOOKUP($B24,Database!$B$1:$IX$10144,2,FALSE))=0,"",VLOOKUP($B24,Database!$B$1:$IX$10144,2,FALSE))))</f>
        <v/>
      </c>
      <c r="D24" s="1" t="str">
        <f t="shared" ref="D24:D29" si="0">IF($B24="","",HYPERLINK(CONCATENATE("http://www.ncbi.nlm.nih.gov/pubmed/",B24)))</f>
        <v>http://www.ncbi.nlm.nih.gov/pubmed/10405084</v>
      </c>
      <c r="E24" s="22" t="str">
        <f>IF($B24="","",IF(LEN(VLOOKUP($B24,Database!$B$1:$IX$10144,4,FALSE))=0,"",VLOOKUP($B24,Database!$B$1:$IX$10144,4,FALSE)))</f>
        <v>Ashtari M</v>
      </c>
      <c r="F24" s="22">
        <f>IF($B24="","",IF(LEN(VLOOKUP($B24,Database!$B$1:$IX$10144,5,FALSE))=0,"",VLOOKUP($B24,Database!$B$1:$IX$10144,5,FALSE)))</f>
        <v>1999</v>
      </c>
      <c r="G24" s="1" t="str">
        <f>IF($B24="","",HYPERLINK(IF(LEN(VLOOKUP($B24,Database!$B$1:$IX$10144,6,FALSE))=0,"",VLOOKUP($B24,Database!$B$1:$IX$10144,6,FALSE))))</f>
        <v>http://dx.doi.org/10.1017/S0033291799008405</v>
      </c>
      <c r="H24" s="22">
        <f>IF($B24="","",IF(LEN(VLOOKUP($B24,Database!$B$1:$IX$10144,7,FALSE))=0,"",VLOOKUP($B24,Database!$B$1:$IX$10144,7,FALSE)))</f>
        <v>40</v>
      </c>
      <c r="I24" s="22">
        <f>IF($B24="","",IF(LEN(VLOOKUP($B24,Database!$B$1:$IX$10144,8,FALSE))=0,"",VLOOKUP($B24,Database!$B$1:$IX$10144,8,FALSE)))</f>
        <v>46</v>
      </c>
      <c r="J24" t="s">
        <v>940</v>
      </c>
      <c r="L24">
        <v>1745</v>
      </c>
      <c r="M24">
        <v>380</v>
      </c>
      <c r="N24">
        <v>1853</v>
      </c>
      <c r="O24">
        <v>348</v>
      </c>
      <c r="P24">
        <v>1742</v>
      </c>
      <c r="Q24">
        <v>345</v>
      </c>
      <c r="R24">
        <v>1843</v>
      </c>
      <c r="S24">
        <v>337</v>
      </c>
      <c r="T24">
        <v>3487</v>
      </c>
      <c r="U24">
        <v>662</v>
      </c>
      <c r="V24">
        <v>3697</v>
      </c>
      <c r="W24">
        <v>597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74.3</v>
      </c>
      <c r="AC24" s="22">
        <f>IF(OR($B24="",AC$22=""),"",IF(LEN(VLOOKUP($B24,Database!$B$1:$IX$10144,AC$22,FALSE))=0,"",VLOOKUP($B24,Database!$B$1:$IX$10144,AC$22,FALSE)))</f>
        <v>6</v>
      </c>
      <c r="AD24" s="22">
        <f>IF(OR($B24="",AD$22=""),"",IF(LEN(VLOOKUP($B24,Database!$B$1:$IX$10144,AD$22,FALSE))=0,"",VLOOKUP($B24,Database!$B$1:$IX$10144,AD$22,FALSE)))</f>
        <v>71.400000000000006</v>
      </c>
      <c r="AE24" s="22">
        <f>IF(OR($B24="",AE$22=""),"",IF(LEN(VLOOKUP($B24,Database!$B$1:$IX$10144,AE$22,FALSE))=0,"",VLOOKUP($B24,Database!$B$1:$IX$10144,AE$22,FALSE)))</f>
        <v>0.3</v>
      </c>
      <c r="AF24" s="22">
        <f>IF(OR($B24="",AF$22=""),"",IF(LEN(VLOOKUP($B24,Database!$B$1:$IX$10144,AF$22,FALSE))=0,"",VLOOKUP($B24,Database!$B$1:$IX$10144,AF$22,FALSE)))</f>
        <v>28</v>
      </c>
      <c r="AG24" s="22">
        <f>IF(OR($B24="",AG$22=""),"",IF(LEN(VLOOKUP($B24,Database!$B$1:$IX$10144,AG$22,FALSE))=0,"",VLOOKUP($B24,Database!$B$1:$IX$10144,AG$22,FALSE)))</f>
        <v>28</v>
      </c>
      <c r="AH24" s="22">
        <f>IF(OR($B24="",AH$22=""),"",IF(LEN(VLOOKUP($B24,Database!$B$1:$IX$10144,AH$22,FALSE))=0,"",VLOOKUP($B24,Database!$B$1:$IX$10144,AH$22,FALSE)))</f>
        <v>1</v>
      </c>
      <c r="AI24" s="22">
        <f>IF(OR($B24="",AI$22=""),"",IF(LEN(VLOOKUP($B24,Database!$B$1:$IX$10144,AI$22,FALSE))=0,"",VLOOKUP($B24,Database!$B$1:$IX$10144,AI$22,FALSE)))</f>
        <v>3.1</v>
      </c>
      <c r="AJ24" s="22" t="str">
        <f>IF(OR($B24="",AJ$22=""),"",IF(LEN(VLOOKUP($B24,Database!$B$1:$IX$10144,AJ$22,FALSE))=0,"",VLOOKUP($B24,Database!$B$1:$IX$10144,AJ$22,FALSE)))</f>
        <v/>
      </c>
      <c r="AK24" s="22">
        <f>IF(OR($B24="",AK$22=""),"",IF(LEN(VLOOKUP($B24,Database!$B$1:$IX$10144,AK$22,FALSE))=0,"",VLOOKUP($B24,Database!$B$1:$IX$10144,AK$22,FALSE)))</f>
        <v>61.5</v>
      </c>
      <c r="AL24" s="22">
        <f>IF(OR($B24="",AL$22=""),"",IF(LEN(VLOOKUP($B24,Database!$B$1:$IX$10144,AL$22,FALSE))=0,"",VLOOKUP($B24,Database!$B$1:$IX$10144,AL$22,FALSE)))</f>
        <v>26.1</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Ashtari M, Greenwald BS, Kramer-Ginsberg E, Hu J, Wu H, Patel M, Aupperle P, Pollack S.</v>
      </c>
    </row>
    <row r="25" spans="1:43">
      <c r="A25" s="10"/>
      <c r="B25">
        <v>15576058</v>
      </c>
      <c r="C25" s="1" t="str">
        <f>IF($B25="","",HYPERLINK(IF(LEN(VLOOKUP($B25,Database!$B$1:$IX$10144,2,FALSE))=0,"",VLOOKUP($B25,Database!$B$1:$IX$10144,2,FALSE))))</f>
        <v/>
      </c>
      <c r="D25" s="1" t="str">
        <f t="shared" si="0"/>
        <v>http://www.ncbi.nlm.nih.gov/pubmed/15576058</v>
      </c>
      <c r="E25" s="22" t="str">
        <f>IF($B25="","",IF(LEN(VLOOKUP($B25,Database!$B$1:$IX$10144,4,FALSE))=0,"",VLOOKUP($B25,Database!$B$1:$IX$10144,4,FALSE)))</f>
        <v>Janssen J</v>
      </c>
      <c r="F25" s="22">
        <f>IF($B25="","",IF(LEN(VLOOKUP($B25,Database!$B$1:$IX$10144,5,FALSE))=0,"",VLOOKUP($B25,Database!$B$1:$IX$10144,5,FALSE)))</f>
        <v>2004</v>
      </c>
      <c r="G25" s="1" t="str">
        <f>IF($B25="","",HYPERLINK(IF(LEN(VLOOKUP($B25,Database!$B$1:$IX$10144,6,FALSE))=0,"",VLOOKUP($B25,Database!$B$1:$IX$10144,6,FALSE))))</f>
        <v>http://dx.doi.org/10.1016/j.biopsych.2004.09.011</v>
      </c>
      <c r="H25" s="22">
        <f>IF($B25="","",IF(LEN(VLOOKUP($B25,Database!$B$1:$IX$10144,7,FALSE))=0,"",VLOOKUP($B25,Database!$B$1:$IX$10144,7,FALSE)))</f>
        <v>28</v>
      </c>
      <c r="I25" s="22">
        <f>IF($B25="","",IF(LEN(VLOOKUP($B25,Database!$B$1:$IX$10144,8,FALSE))=0,"",VLOOKUP($B25,Database!$B$1:$IX$10144,8,FALSE)))</f>
        <v>41</v>
      </c>
      <c r="J25" t="s">
        <v>877</v>
      </c>
      <c r="L25">
        <v>3.1</v>
      </c>
      <c r="M25">
        <v>0.37</v>
      </c>
      <c r="N25">
        <v>3.2</v>
      </c>
      <c r="O25">
        <v>0.52</v>
      </c>
      <c r="P25">
        <v>2.84</v>
      </c>
      <c r="Q25">
        <v>0.39</v>
      </c>
      <c r="R25">
        <v>3.12</v>
      </c>
      <c r="S25">
        <v>0.45</v>
      </c>
      <c r="T25">
        <v>5.94</v>
      </c>
      <c r="U25">
        <v>0.7</v>
      </c>
      <c r="V25">
        <v>6.32</v>
      </c>
      <c r="W25">
        <v>0.93</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64.040000000000006</v>
      </c>
      <c r="AC25" s="22">
        <f>IF(OR($B25="",AC$22=""),"",IF(LEN(VLOOKUP($B25,Database!$B$1:$IX$10144,AC$22,FALSE))=0,"",VLOOKUP($B25,Database!$B$1:$IX$10144,AC$22,FALSE)))</f>
        <v>10.9</v>
      </c>
      <c r="AD25" s="22">
        <f>IF(OR($B25="",AD$22=""),"",IF(LEN(VLOOKUP($B25,Database!$B$1:$IX$10144,AD$22,FALSE))=0,"",VLOOKUP($B25,Database!$B$1:$IX$10144,AD$22,FALSE)))</f>
        <v>62.37</v>
      </c>
      <c r="AE25" s="22">
        <f>IF(OR($B25="",AE$22=""),"",IF(LEN(VLOOKUP($B25,Database!$B$1:$IX$10144,AE$22,FALSE))=0,"",VLOOKUP($B25,Database!$B$1:$IX$10144,AE$22,FALSE)))</f>
        <v>11.38</v>
      </c>
      <c r="AF25" s="22">
        <f>IF(OR($B25="",AF$22=""),"",IF(LEN(VLOOKUP($B25,Database!$B$1:$IX$10144,AF$22,FALSE))=0,"",VLOOKUP($B25,Database!$B$1:$IX$10144,AF$22,FALSE)))</f>
        <v>28</v>
      </c>
      <c r="AG25" s="22">
        <f>IF(OR($B25="",AG$22=""),"",IF(LEN(VLOOKUP($B25,Database!$B$1:$IX$10144,AG$22,FALSE))=0,"",VLOOKUP($B25,Database!$B$1:$IX$10144,AG$22,FALSE)))</f>
        <v>41</v>
      </c>
      <c r="AH25" s="22">
        <f>IF(OR($B25="",AH$22=""),"",IF(LEN(VLOOKUP($B25,Database!$B$1:$IX$10144,AH$22,FALSE))=0,"",VLOOKUP($B25,Database!$B$1:$IX$10144,AH$22,FALSE)))</f>
        <v>1.5</v>
      </c>
      <c r="AI25" s="22">
        <f>IF(OR($B25="",AI$22=""),"",IF(LEN(VLOOKUP($B25,Database!$B$1:$IX$10144,AI$22,FALSE))=0,"",VLOOKUP($B25,Database!$B$1:$IX$10144,AI$22,FALSE)))</f>
        <v>1.2</v>
      </c>
      <c r="AJ25" s="22" t="str">
        <f>IF(OR($B25="",AJ$22=""),"",IF(LEN(VLOOKUP($B25,Database!$B$1:$IX$10144,AJ$22,FALSE))=0,"",VLOOKUP($B25,Database!$B$1:$IX$10144,AJ$22,FALSE)))</f>
        <v/>
      </c>
      <c r="AK25" s="22">
        <f>IF(OR($B25="",AK$22=""),"",IF(LEN(VLOOKUP($B25,Database!$B$1:$IX$10144,AK$22,FALSE))=0,"",VLOOKUP($B25,Database!$B$1:$IX$10144,AK$22,FALSE)))</f>
        <v>33.04</v>
      </c>
      <c r="AL25" s="22" t="str">
        <f>IF(OR($B25="",AL$22=""),"",IF(LEN(VLOOKUP($B25,Database!$B$1:$IX$10144,AL$22,FALSE))=0,"",VLOOKUP($B25,Database!$B$1:$IX$10144,AL$22,FALSE)))</f>
        <v>ns</v>
      </c>
      <c r="AM25" s="22">
        <f>IF(OR($B25="",AM$22=""),"",IF(LEN(VLOOKUP($B25,Database!$B$1:$IX$10144,AM$22,FALSE))=0,"",VLOOKUP($B25,Database!$B$1:$IX$10144,AM$22,FALSE)))</f>
        <v>60.714285714285708</v>
      </c>
      <c r="AN25" s="22">
        <f>IF(OR($B25="",AN$22=""),"",IF(LEN(VLOOKUP($B25,Database!$B$1:$IX$10144,AN$22,FALSE))=0,"",VLOOKUP($B25,Database!$B$1:$IX$10144,AN$22,FALSE)))</f>
        <v>25</v>
      </c>
      <c r="AO25" s="22">
        <f>IF(OR($B25="",AO$22=""),"",IF(LEN(VLOOKUP($B25,Database!$B$1:$IX$10144,AO$22,FALSE))=0,"",VLOOKUP($B25,Database!$B$1:$IX$10144,AO$22,FALSE)))</f>
        <v>14.285714285714285</v>
      </c>
      <c r="AP25" s="22">
        <f>IF(OR($B25="",AP$22=""),"",IF(LEN(VLOOKUP($B25,Database!$B$1:$IX$10144,AP$22,FALSE))=0,"",VLOOKUP($B25,Database!$B$1:$IX$10144,AP$22,FALSE)))</f>
        <v>21.428571428571427</v>
      </c>
      <c r="AQ25" s="22" t="str">
        <f>IF(OR($B25="",AQ$22=""),"",IF(LEN(VLOOKUP($B25,Database!$B$1:$IX$10144,AQ$22,FALSE))=0,"",VLOOKUP($B25,Database!$B$1:$IX$10144,AQ$22,FALSE)))</f>
        <v>Janssen J, Hulshoff Pol HE, Lampe IK, Schnack HG, de Leeuw FE, Kahn RS, Heeren TJ.</v>
      </c>
    </row>
    <row r="26" spans="1:43">
      <c r="B26">
        <v>15867107</v>
      </c>
      <c r="C26" s="1" t="str">
        <f>IF($B26="","",HYPERLINK(IF(LEN(VLOOKUP($B26,Database!$B$1:$IX$10144,2,FALSE))=0,"",VLOOKUP($B26,Database!$B$1:$IX$10144,2,FALSE))))</f>
        <v/>
      </c>
      <c r="D26" s="1" t="str">
        <f t="shared" si="0"/>
        <v>http://www.ncbi.nlm.nih.gov/pubmed/15867107</v>
      </c>
      <c r="E26" s="22" t="str">
        <f>IF($B26="","",IF(LEN(VLOOKUP($B26,Database!$B$1:$IX$10144,4,FALSE))=0,"",VLOOKUP($B26,Database!$B$1:$IX$10144,4,FALSE)))</f>
        <v>Taylor WD (B)</v>
      </c>
      <c r="F26" s="22">
        <f>IF($B26="","",IF(LEN(VLOOKUP($B26,Database!$B$1:$IX$10144,5,FALSE))=0,"",VLOOKUP($B26,Database!$B$1:$IX$10144,5,FALSE)))</f>
        <v>2005</v>
      </c>
      <c r="G26" s="1" t="str">
        <f>IF($B26="","",HYPERLINK(IF(LEN(VLOOKUP($B26,Database!$B$1:$IX$10144,6,FALSE))=0,"",VLOOKUP($B26,Database!$B$1:$IX$10144,6,FALSE))))</f>
        <v>http://archpsyc.ama-assn.org/cgi/reprint/62/5/537</v>
      </c>
      <c r="H26" s="22">
        <f>IF($B26="","",IF(LEN(VLOOKUP($B26,Database!$B$1:$IX$10144,7,FALSE))=0,"",VLOOKUP($B26,Database!$B$1:$IX$10144,7,FALSE)))</f>
        <v>135</v>
      </c>
      <c r="I26" s="22">
        <f>IF($B26="","",IF(LEN(VLOOKUP($B26,Database!$B$1:$IX$10144,8,FALSE))=0,"",VLOOKUP($B26,Database!$B$1:$IX$10144,8,FALSE)))</f>
        <v>83</v>
      </c>
      <c r="J26" t="s">
        <v>877</v>
      </c>
      <c r="L26">
        <v>2.95</v>
      </c>
      <c r="M26">
        <v>0.43</v>
      </c>
      <c r="N26">
        <v>2.96</v>
      </c>
      <c r="O26">
        <v>0.45</v>
      </c>
      <c r="P26">
        <v>3.09</v>
      </c>
      <c r="Q26">
        <v>0.42</v>
      </c>
      <c r="R26">
        <v>3.12</v>
      </c>
      <c r="S26">
        <v>0.44</v>
      </c>
      <c r="T26">
        <v>6.04</v>
      </c>
      <c r="U26">
        <v>0.79</v>
      </c>
      <c r="V26">
        <v>6.09</v>
      </c>
      <c r="W26">
        <v>0.84</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70</v>
      </c>
      <c r="AC26" s="22">
        <f>IF(OR($B26="",AC$22=""),"",IF(LEN(VLOOKUP($B26,Database!$B$1:$IX$10144,AC$22,FALSE))=0,"",VLOOKUP($B26,Database!$B$1:$IX$10144,AC$22,FALSE)))</f>
        <v>7.3</v>
      </c>
      <c r="AD26" s="22">
        <f>IF(OR($B26="",AD$22=""),"",IF(LEN(VLOOKUP($B26,Database!$B$1:$IX$10144,AD$22,FALSE))=0,"",VLOOKUP($B26,Database!$B$1:$IX$10144,AD$22,FALSE)))</f>
        <v>69.400000000000006</v>
      </c>
      <c r="AE26" s="22">
        <f>IF(OR($B26="",AE$22=""),"",IF(LEN(VLOOKUP($B26,Database!$B$1:$IX$10144,AE$22,FALSE))=0,"",VLOOKUP($B26,Database!$B$1:$IX$10144,AE$22,FALSE)))</f>
        <v>6.3</v>
      </c>
      <c r="AF26" s="22">
        <f>IF(OR($B26="",AF$22=""),"",IF(LEN(VLOOKUP($B26,Database!$B$1:$IX$10144,AF$22,FALSE))=0,"",VLOOKUP($B26,Database!$B$1:$IX$10144,AF$22,FALSE)))</f>
        <v>90</v>
      </c>
      <c r="AG26" s="22">
        <f>IF(OR($B26="",AG$22=""),"",IF(LEN(VLOOKUP($B26,Database!$B$1:$IX$10144,AG$22,FALSE))=0,"",VLOOKUP($B26,Database!$B$1:$IX$10144,AG$22,FALSE)))</f>
        <v>64</v>
      </c>
      <c r="AH26" s="22">
        <f>IF(OR($B26="",AH$22=""),"",IF(LEN(VLOOKUP($B26,Database!$B$1:$IX$10144,AH$22,FALSE))=0,"",VLOOKUP($B26,Database!$B$1:$IX$10144,AH$22,FALSE)))</f>
        <v>1.5</v>
      </c>
      <c r="AI26" s="22">
        <f>IF(OR($B26="",AI$22=""),"",IF(LEN(VLOOKUP($B26,Database!$B$1:$IX$10144,AI$22,FALSE))=0,"",VLOOKUP($B26,Database!$B$1:$IX$10144,AI$22,FALSE)))</f>
        <v>3</v>
      </c>
      <c r="AJ26" s="22" t="str">
        <f>IF(OR($B26="",AJ$22=""),"",IF(LEN(VLOOKUP($B26,Database!$B$1:$IX$10144,AJ$22,FALSE))=0,"",VLOOKUP($B26,Database!$B$1:$IX$10144,AJ$22,FALSE)))</f>
        <v/>
      </c>
      <c r="AK26" s="22">
        <f>IF(OR($B26="",AK$22=""),"",IF(LEN(VLOOKUP($B26,Database!$B$1:$IX$10144,AK$22,FALSE))=0,"",VLOOKUP($B26,Database!$B$1:$IX$10144,AK$22,FALSE)))</f>
        <v>46.9</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Taylor WD, Steffens DC, Payne ME, MacFall JR, Marchuk DA, Svenson IK, Krishnan KR.</v>
      </c>
    </row>
    <row r="27" spans="1:43">
      <c r="B27">
        <v>18075490</v>
      </c>
      <c r="C27" s="1" t="str">
        <f>IF($B27="","",HYPERLINK(IF(LEN(VLOOKUP($B27,Database!$B$1:$IX$10144,2,FALSE))=0,"",VLOOKUP($B27,Database!$B$1:$IX$10144,2,FALSE))))</f>
        <v/>
      </c>
      <c r="D27" s="1" t="str">
        <f t="shared" si="0"/>
        <v>http://www.ncbi.nlm.nih.gov/pubmed/18075490</v>
      </c>
      <c r="E27" s="22" t="str">
        <f>IF($B27="","",IF(LEN(VLOOKUP($B27,Database!$B$1:$IX$10144,4,FALSE))=0,"",VLOOKUP($B27,Database!$B$1:$IX$10144,4,FALSE)))</f>
        <v>Andreescu C</v>
      </c>
      <c r="F27" s="22">
        <f>IF($B27="","",IF(LEN(VLOOKUP($B27,Database!$B$1:$IX$10144,5,FALSE))=0,"",VLOOKUP($B27,Database!$B$1:$IX$10144,5,FALSE)))</f>
        <v>2008</v>
      </c>
      <c r="G27" s="1" t="str">
        <f>IF($B27="","",HYPERLINK(IF(LEN(VLOOKUP($B27,Database!$B$1:$IX$10144,6,FALSE))=0,"",VLOOKUP($B27,Database!$B$1:$IX$10144,6,FALSE))))</f>
        <v>http://www.nature.com/npp/journal/v33/n11/pdf/1301655a.pdf</v>
      </c>
      <c r="H27" s="22">
        <f>IF($B27="","",IF(LEN(VLOOKUP($B27,Database!$B$1:$IX$10144,7,FALSE))=0,"",VLOOKUP($B27,Database!$B$1:$IX$10144,7,FALSE)))</f>
        <v>71</v>
      </c>
      <c r="I27" s="22">
        <f>IF($B27="","",IF(LEN(VLOOKUP($B27,Database!$B$1:$IX$10144,8,FALSE))=0,"",VLOOKUP($B27,Database!$B$1:$IX$10144,8,FALSE)))</f>
        <v>32</v>
      </c>
      <c r="J27" t="s">
        <v>205</v>
      </c>
      <c r="T27">
        <v>0.75</v>
      </c>
      <c r="U27">
        <v>0.11</v>
      </c>
      <c r="V27">
        <v>0.83</v>
      </c>
      <c r="W27">
        <v>0.13</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72.2</v>
      </c>
      <c r="AC27" s="22">
        <f>IF(OR($B27="",AC$22=""),"",IF(LEN(VLOOKUP($B27,Database!$B$1:$IX$10144,AC$22,FALSE))=0,"",VLOOKUP($B27,Database!$B$1:$IX$10144,AC$22,FALSE)))</f>
        <v>6.2</v>
      </c>
      <c r="AD27" s="22">
        <f>IF(OR($B27="",AD$22=""),"",IF(LEN(VLOOKUP($B27,Database!$B$1:$IX$10144,AD$22,FALSE))=0,"",VLOOKUP($B27,Database!$B$1:$IX$10144,AD$22,FALSE)))</f>
        <v>71</v>
      </c>
      <c r="AE27" s="22">
        <f>IF(OR($B27="",AE$22=""),"",IF(LEN(VLOOKUP($B27,Database!$B$1:$IX$10144,AE$22,FALSE))=0,"",VLOOKUP($B27,Database!$B$1:$IX$10144,AE$22,FALSE)))</f>
        <v>6.7</v>
      </c>
      <c r="AF27" s="22">
        <f>IF(OR($B27="",AF$22=""),"",IF(LEN(VLOOKUP($B27,Database!$B$1:$IX$10144,AF$22,FALSE))=0,"",VLOOKUP($B27,Database!$B$1:$IX$10144,AF$22,FALSE)))</f>
        <v>49</v>
      </c>
      <c r="AG27" s="22">
        <f>IF(OR($B27="",AG$22=""),"",IF(LEN(VLOOKUP($B27,Database!$B$1:$IX$10144,AG$22,FALSE))=0,"",VLOOKUP($B27,Database!$B$1:$IX$10144,AG$22,FALSE)))</f>
        <v>17</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52.3</v>
      </c>
      <c r="AL27" s="22">
        <f>IF(OR($B27="",AL$22=""),"",IF(LEN(VLOOKUP($B27,Database!$B$1:$IX$10144,AL$22,FALSE))=0,"",VLOOKUP($B27,Database!$B$1:$IX$10144,AL$22,FALSE)))</f>
        <v>18.3</v>
      </c>
      <c r="AM27" s="22">
        <f>IF(OR($B27="",AM$22=""),"",IF(LEN(VLOOKUP($B27,Database!$B$1:$IX$10144,AM$22,FALSE))=0,"",VLOOKUP($B27,Database!$B$1:$IX$10144,AM$22,FALSE)))</f>
        <v>16.901408450704224</v>
      </c>
      <c r="AN27" s="22" t="str">
        <f>IF(OR($B27="",AN$22=""),"",IF(LEN(VLOOKUP($B27,Database!$B$1:$IX$10144,AN$22,FALSE))=0,"",VLOOKUP($B27,Database!$B$1:$IX$10144,AN$22,FALSE)))</f>
        <v>ns</v>
      </c>
      <c r="AO27" s="22">
        <f>IF(OR($B27="",AO$22=""),"",IF(LEN(VLOOKUP($B27,Database!$B$1:$IX$10144,AO$22,FALSE))=0,"",VLOOKUP($B27,Database!$B$1:$IX$10144,AO$22,FALSE)))</f>
        <v>1.4084507042253522</v>
      </c>
      <c r="AP27" s="22" t="str">
        <f>IF(OR($B27="",AP$22=""),"",IF(LEN(VLOOKUP($B27,Database!$B$1:$IX$10144,AP$22,FALSE))=0,"",VLOOKUP($B27,Database!$B$1:$IX$10144,AP$22,FALSE)))</f>
        <v>ns</v>
      </c>
      <c r="AQ27" s="22" t="str">
        <f>IF(OR($B27="",AQ$22=""),"",IF(LEN(VLOOKUP($B27,Database!$B$1:$IX$10144,AQ$22,FALSE))=0,"",VLOOKUP($B27,Database!$B$1:$IX$10144,AQ$22,FALSE)))</f>
        <v>Andreescu C, Butters MA, Begley A, Rajji T, Wu M, Meltzer CC, Reynolds CF 3rd, Aizenstein H.</v>
      </c>
    </row>
    <row r="28" spans="1:43">
      <c r="B28">
        <v>20018381</v>
      </c>
      <c r="C28" s="1" t="str">
        <f>IF($B28="","",HYPERLINK(IF(LEN(VLOOKUP($B28,Database!$B$1:$IX$10144,2,FALSE))=0,"",VLOOKUP($B28,Database!$B$1:$IX$10144,2,FALSE))))</f>
        <v/>
      </c>
      <c r="D28" s="1" t="str">
        <f t="shared" si="0"/>
        <v>http://www.ncbi.nlm.nih.gov/pubmed/20018381</v>
      </c>
      <c r="E28" s="22" t="str">
        <f>IF($B28="","",IF(LEN(VLOOKUP($B28,Database!$B$1:$IX$10144,4,FALSE))=0,"",VLOOKUP($B28,Database!$B$1:$IX$10144,4,FALSE)))</f>
        <v>Weber K</v>
      </c>
      <c r="F28" s="22">
        <f>IF($B28="","",IF(LEN(VLOOKUP($B28,Database!$B$1:$IX$10144,5,FALSE))=0,"",VLOOKUP($B28,Database!$B$1:$IX$10144,5,FALSE)))</f>
        <v>2009</v>
      </c>
      <c r="G28" s="1" t="str">
        <f>IF($B28="","",HYPERLINK(IF(LEN(VLOOKUP($B28,Database!$B$1:$IX$10144,6,FALSE))=0,"",VLOOKUP($B28,Database!$B$1:$IX$10144,6,FALSE))))</f>
        <v>http://dx.doi.org/10.1016/j.jad.2009.11.016</v>
      </c>
      <c r="H28" s="22">
        <f>IF($B28="","",IF(LEN(VLOOKUP($B28,Database!$B$1:$IX$10144,7,FALSE))=0,"",VLOOKUP($B28,Database!$B$1:$IX$10144,7,FALSE)))</f>
        <v>38</v>
      </c>
      <c r="I28" s="22">
        <f>IF($B28="","",IF(LEN(VLOOKUP($B28,Database!$B$1:$IX$10144,8,FALSE))=0,"",VLOOKUP($B28,Database!$B$1:$IX$10144,8,FALSE)))</f>
        <v>62</v>
      </c>
      <c r="J28" t="s">
        <v>2389</v>
      </c>
      <c r="L28">
        <v>1.74</v>
      </c>
      <c r="M28">
        <v>0.23</v>
      </c>
      <c r="N28">
        <v>1.76</v>
      </c>
      <c r="O28">
        <v>0.26</v>
      </c>
      <c r="P28">
        <v>1.83</v>
      </c>
      <c r="Q28">
        <v>0.23</v>
      </c>
      <c r="R28">
        <v>1.87</v>
      </c>
      <c r="S28">
        <v>0.27</v>
      </c>
      <c r="T28">
        <v>3.58</v>
      </c>
      <c r="U28">
        <v>0.45</v>
      </c>
      <c r="V28">
        <v>3.63</v>
      </c>
      <c r="W28">
        <v>0.52</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66.11</v>
      </c>
      <c r="AC28" s="22">
        <f>IF(OR($B28="",AC$22=""),"",IF(LEN(VLOOKUP($B28,Database!$B$1:$IX$10144,AC$22,FALSE))=0,"",VLOOKUP($B28,Database!$B$1:$IX$10144,AC$22,FALSE)))</f>
        <v>6.22</v>
      </c>
      <c r="AD28" s="22">
        <f>IF(OR($B28="",AD$22=""),"",IF(LEN(VLOOKUP($B28,Database!$B$1:$IX$10144,AD$22,FALSE))=0,"",VLOOKUP($B28,Database!$B$1:$IX$10144,AD$22,FALSE)))</f>
        <v>71.099999999999994</v>
      </c>
      <c r="AE28" s="22">
        <f>IF(OR($B28="",AE$22=""),"",IF(LEN(VLOOKUP($B28,Database!$B$1:$IX$10144,AE$22,FALSE))=0,"",VLOOKUP($B28,Database!$B$1:$IX$10144,AE$22,FALSE)))</f>
        <v>7.26</v>
      </c>
      <c r="AF28" s="22">
        <f>IF(OR($B28="",AF$22=""),"",IF(LEN(VLOOKUP($B28,Database!$B$1:$IX$10144,AF$22,FALSE))=0,"",VLOOKUP($B28,Database!$B$1:$IX$10144,AF$22,FALSE)))</f>
        <v>31</v>
      </c>
      <c r="AG28" s="22">
        <f>IF(OR($B28="",AG$22=""),"",IF(LEN(VLOOKUP($B28,Database!$B$1:$IX$10144,AG$22,FALSE))=0,"",VLOOKUP($B28,Database!$B$1:$IX$10144,AG$22,FALSE)))</f>
        <v>48</v>
      </c>
      <c r="AH28" s="22">
        <f>IF(OR($B28="",AH$22=""),"",IF(LEN(VLOOKUP($B28,Database!$B$1:$IX$10144,AH$22,FALSE))=0,"",VLOOKUP($B28,Database!$B$1:$IX$10144,AH$22,FALSE)))</f>
        <v>3</v>
      </c>
      <c r="AI28" s="22">
        <f>IF(OR($B28="",AI$22=""),"",IF(LEN(VLOOKUP($B28,Database!$B$1:$IX$10144,AI$22,FALSE))=0,"",VLOOKUP($B28,Database!$B$1:$IX$10144,AI$22,FALSE)))</f>
        <v>0.9</v>
      </c>
      <c r="AJ28" s="22" t="str">
        <f>IF(OR($B28="",AJ$22=""),"",IF(LEN(VLOOKUP($B28,Database!$B$1:$IX$10144,AJ$22,FALSE))=0,"",VLOOKUP($B28,Database!$B$1:$IX$10144,AJ$22,FALSE)))</f>
        <v/>
      </c>
      <c r="AK28" s="22">
        <f>IF(OR($B28="",AK$22=""),"",IF(LEN(VLOOKUP($B28,Database!$B$1:$IX$10144,AK$22,FALSE))=0,"",VLOOKUP($B28,Database!$B$1:$IX$10144,AK$22,FALSE)))</f>
        <v>37.76</v>
      </c>
      <c r="AL28" s="22" t="str">
        <f>IF(OR($B28="",AL$22=""),"",IF(LEN(VLOOKUP($B28,Database!$B$1:$IX$10144,AL$22,FALSE))=0,"",VLOOKUP($B28,Database!$B$1:$IX$10144,AL$22,FALSE)))</f>
        <v>ns</v>
      </c>
      <c r="AM28" s="22">
        <f>IF(OR($B28="",AM$22=""),"",IF(LEN(VLOOKUP($B28,Database!$B$1:$IX$10144,AM$22,FALSE))=0,"",VLOOKUP($B28,Database!$B$1:$IX$10144,AM$22,FALSE)))</f>
        <v>47.368421052631575</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Weber K, Giannakopoulos P, Delaloye C, de Bilbao F, Moy G, Moussa A, Rubio MM, Ebbing K, Meuli R, Lazeyras F, Meiler-Mititelu C, Herrmann FR, Gold G, Canuto A.</v>
      </c>
    </row>
    <row r="29" spans="1:43">
      <c r="A29" s="10"/>
      <c r="B29">
        <v>20118461</v>
      </c>
      <c r="C29" s="1" t="str">
        <f>IF($B29="","",HYPERLINK(IF(LEN(VLOOKUP($B29,Database!$B$1:$IX$10144,2,FALSE))=0,"",VLOOKUP($B29,Database!$B$1:$IX$10144,2,FALSE))))</f>
        <v/>
      </c>
      <c r="D29" s="1" t="str">
        <f t="shared" si="0"/>
        <v>http://www.ncbi.nlm.nih.gov/pubmed/20118461</v>
      </c>
      <c r="E29" s="22" t="str">
        <f>IF($B29="","",IF(LEN(VLOOKUP($B29,Database!$B$1:$IX$10144,4,FALSE))=0,"",VLOOKUP($B29,Database!$B$1:$IX$10144,4,FALSE)))</f>
        <v>Köhler S</v>
      </c>
      <c r="F29" s="22">
        <f>IF($B29="","",IF(LEN(VLOOKUP($B29,Database!$B$1:$IX$10144,5,FALSE))=0,"",VLOOKUP($B29,Database!$B$1:$IX$10144,5,FALSE)))</f>
        <v>2010</v>
      </c>
      <c r="G29" s="1" t="str">
        <f>IF($B29="","",HYPERLINK(IF(LEN(VLOOKUP($B29,Database!$B$1:$IX$10144,6,FALSE))=0,"",VLOOKUP($B29,Database!$B$1:$IX$10144,6,FALSE))))</f>
        <v>http://bjp.rcpsych.org/cgi/reprint/196/2/143</v>
      </c>
      <c r="H29" s="22">
        <f>IF($B29="","",IF(LEN(VLOOKUP($B29,Database!$B$1:$IX$10144,7,FALSE))=0,"",VLOOKUP($B29,Database!$B$1:$IX$10144,7,FALSE)))</f>
        <v>35</v>
      </c>
      <c r="I29" s="22">
        <f>IF($B29="","",IF(LEN(VLOOKUP($B29,Database!$B$1:$IX$10144,8,FALSE))=0,"",VLOOKUP($B29,Database!$B$1:$IX$10144,8,FALSE)))</f>
        <v>29</v>
      </c>
      <c r="J29" t="s">
        <v>2390</v>
      </c>
      <c r="T29">
        <v>5.6</v>
      </c>
      <c r="U29">
        <v>0.9</v>
      </c>
      <c r="V29">
        <v>5.8</v>
      </c>
      <c r="W29">
        <v>0.8</v>
      </c>
      <c r="X29" s="170"/>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74.099999999999994</v>
      </c>
      <c r="AC29" s="22">
        <f>IF(OR($B29="",AC$22=""),"",IF(LEN(VLOOKUP($B29,Database!$B$1:$IX$10144,AC$22,FALSE))=0,"",VLOOKUP($B29,Database!$B$1:$IX$10144,AC$22,FALSE)))</f>
        <v>6.5</v>
      </c>
      <c r="AD29" s="22">
        <f>IF(OR($B29="",AD$22=""),"",IF(LEN(VLOOKUP($B29,Database!$B$1:$IX$10144,AD$22,FALSE))=0,"",VLOOKUP($B29,Database!$B$1:$IX$10144,AD$22,FALSE)))</f>
        <v>72.8</v>
      </c>
      <c r="AE29" s="22">
        <f>IF(OR($B29="",AE$22=""),"",IF(LEN(VLOOKUP($B29,Database!$B$1:$IX$10144,AE$22,FALSE))=0,"",VLOOKUP($B29,Database!$B$1:$IX$10144,AE$22,FALSE)))</f>
        <v>6.9</v>
      </c>
      <c r="AF29" s="22">
        <f>IF(OR($B29="",AF$22=""),"",IF(LEN(VLOOKUP($B29,Database!$B$1:$IX$10144,AF$22,FALSE))=0,"",VLOOKUP($B29,Database!$B$1:$IX$10144,AF$22,FALSE)))</f>
        <v>28</v>
      </c>
      <c r="AG29" s="22">
        <f>IF(OR($B29="",AG$22=""),"",IF(LEN(VLOOKUP($B29,Database!$B$1:$IX$10144,AG$22,FALSE))=0,"",VLOOKUP($B29,Database!$B$1:$IX$10144,AG$22,FALSE)))</f>
        <v>22</v>
      </c>
      <c r="AH29" s="22">
        <f>IF(OR($B29="",AH$22=""),"",IF(LEN(VLOOKUP($B29,Database!$B$1:$IX$10144,AH$22,FALSE))=0,"",VLOOKUP($B29,Database!$B$1:$IX$10144,AH$22,FALSE)))</f>
        <v>1</v>
      </c>
      <c r="AI29" s="22">
        <f>IF(OR($B29="",AI$22=""),"",IF(LEN(VLOOKUP($B29,Database!$B$1:$IX$10144,AI$22,FALSE))=0,"",VLOOKUP($B29,Database!$B$1:$IX$10144,AI$22,FALSE)))</f>
        <v>1</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80</v>
      </c>
      <c r="AN29" s="22" t="str">
        <f>IF(OR($B29="",AN$22=""),"",IF(LEN(VLOOKUP($B29,Database!$B$1:$IX$10144,AN$22,FALSE))=0,"",VLOOKUP($B29,Database!$B$1:$IX$10144,AN$22,FALSE)))</f>
        <v>ns</v>
      </c>
      <c r="AO29" s="22">
        <f>IF(OR($B29="",AO$22=""),"",IF(LEN(VLOOKUP($B29,Database!$B$1:$IX$10144,AO$22,FALSE))=0,"",VLOOKUP($B29,Database!$B$1:$IX$10144,AO$22,FALSE)))</f>
        <v>0</v>
      </c>
      <c r="AP29" s="22" t="str">
        <f>IF(OR($B29="",AP$22=""),"",IF(LEN(VLOOKUP($B29,Database!$B$1:$IX$10144,AP$22,FALSE))=0,"",VLOOKUP($B29,Database!$B$1:$IX$10144,AP$22,FALSE)))</f>
        <v>ns</v>
      </c>
      <c r="AQ29" s="22" t="str">
        <f>IF(OR($B29="",AQ$22=""),"",IF(LEN(VLOOKUP($B29,Database!$B$1:$IX$10144,AQ$22,FALSE))=0,"",VLOOKUP($B29,Database!$B$1:$IX$10144,AQ$22,FALSE)))</f>
        <v>Köhler S, Thomas AJ, Lloyd A, Barber R, Almeida OP, O'Brien JT.</v>
      </c>
    </row>
    <row r="30" spans="1:43">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t="str">
        <f>IF(OR($B30="",AP$22=""),"",IF(LEN(VLOOKUP($B30,Database!$B$1:$IX$10144,AP$22,FALSE))=0,"",VLOOKUP($B30,Database!$B$1:$IX$10144,AP$22,FALSE)))</f>
        <v/>
      </c>
      <c r="AQ30" s="22" t="str">
        <f>IF(OR($B30="",AQ$22=""),"",IF(LEN(VLOOKUP($B30,Database!$B$1:$IX$10144,AQ$22,FALSE))=0,"",VLOOKUP($B30,Database!$B$1:$IX$10144,AQ$22,FALSE)))</f>
        <v/>
      </c>
    </row>
    <row r="31" spans="1:43">
      <c r="A31" s="4" t="s">
        <v>397</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t="str">
        <f>IF(OR($B31="",AP$22=""),"",IF(LEN(VLOOKUP($B31,Database!$B$1:$IX$10144,AP$22,FALSE))=0,"",VLOOKUP($B31,Database!$B$1:$IX$10144,AP$22,FALSE)))</f>
        <v/>
      </c>
      <c r="AQ31" s="22" t="str">
        <f>IF(OR($B31="",AQ$22=""),"",IF(LEN(VLOOKUP($B31,Database!$B$1:$IX$10144,AQ$22,FALSE))=0,"",VLOOKUP($B31,Database!$B$1:$IX$10144,AQ$22,FALSE)))</f>
        <v/>
      </c>
    </row>
    <row r="32" spans="1:43">
      <c r="A32" s="10"/>
      <c r="B32">
        <v>15172942</v>
      </c>
      <c r="C32" s="1" t="str">
        <f>IF($B32="","",HYPERLINK(IF(LEN(VLOOKUP($B32,Database!$B$1:$IX$10144,2,FALSE))=0,"",VLOOKUP($B32,Database!$B$1:$IX$10144,2,FALSE))))</f>
        <v/>
      </c>
      <c r="D32" s="1" t="str">
        <f>IF($B32="","",HYPERLINK(CONCATENATE("http://www.ncbi.nlm.nih.gov/pubmed/",B32)))</f>
        <v>http://www.ncbi.nlm.nih.gov/pubmed/15172942</v>
      </c>
      <c r="E32" s="22" t="str">
        <f>IF($B32="","",IF(LEN(VLOOKUP($B32,Database!$B$1:$IX$10144,4,FALSE))=0,"",VLOOKUP($B32,Database!$B$1:$IX$10144,4,FALSE)))</f>
        <v>Lloyd AJ</v>
      </c>
      <c r="F32" s="22">
        <f>IF($B32="","",IF(LEN(VLOOKUP($B32,Database!$B$1:$IX$10144,5,FALSE))=0,"",VLOOKUP($B32,Database!$B$1:$IX$10144,5,FALSE)))</f>
        <v>2004</v>
      </c>
      <c r="G32" s="1" t="str">
        <f>IF($B32="","",HYPERLINK(IF(LEN(VLOOKUP($B32,Database!$B$1:$IX$10144,6,FALSE))=0,"",VLOOKUP($B32,Database!$B$1:$IX$10144,6,FALSE))))</f>
        <v>http://bjp.rcpsych.org/cgi/reprint/184/6/488</v>
      </c>
      <c r="H32" s="22">
        <f>IF($B32="","",IF(LEN(VLOOKUP($B32,Database!$B$1:$IX$10144,7,FALSE))=0,"",VLOOKUP($B32,Database!$B$1:$IX$10144,7,FALSE)))</f>
        <v>51</v>
      </c>
      <c r="I32" s="22">
        <f>IF($B32="","",IF(LEN(VLOOKUP($B32,Database!$B$1:$IX$10144,8,FALSE))=0,"",VLOOKUP($B32,Database!$B$1:$IX$10144,8,FALSE)))</f>
        <v>39</v>
      </c>
      <c r="J32" t="s">
        <v>1612</v>
      </c>
      <c r="L32">
        <v>2.7</v>
      </c>
      <c r="M32">
        <v>0.4</v>
      </c>
      <c r="N32">
        <v>2.8</v>
      </c>
      <c r="O32">
        <v>0.4</v>
      </c>
      <c r="P32">
        <v>2.8</v>
      </c>
      <c r="Q32">
        <v>0.5</v>
      </c>
      <c r="R32">
        <v>3</v>
      </c>
      <c r="S32">
        <v>0.4</v>
      </c>
      <c r="T32">
        <f>L32+P32</f>
        <v>5.5</v>
      </c>
      <c r="U32">
        <f>2*SQRT(0.25*(M32^2+Q32^2+2*$F$8*M32*Q32))</f>
        <v>0.85440037453175322</v>
      </c>
      <c r="V32">
        <f>N32+R32</f>
        <v>5.8</v>
      </c>
      <c r="W32">
        <f>2*SQRT(0.25*(O32^2+S32^2+2*$F$8*O32*S32))</f>
        <v>0.7589466384404111</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74</v>
      </c>
      <c r="AC32" s="22">
        <f>IF(OR($B32="",AC$22=""),"",IF(LEN(VLOOKUP($B32,Database!$B$1:$IX$10144,AC$22,FALSE))=0,"",VLOOKUP($B32,Database!$B$1:$IX$10144,AC$22,FALSE)))</f>
        <v>6.3</v>
      </c>
      <c r="AD32" s="22">
        <f>IF(OR($B32="",AD$22=""),"",IF(LEN(VLOOKUP($B32,Database!$B$1:$IX$10144,AD$22,FALSE))=0,"",VLOOKUP($B32,Database!$B$1:$IX$10144,AD$22,FALSE)))</f>
        <v>73.099999999999994</v>
      </c>
      <c r="AE32" s="22">
        <f>IF(OR($B32="",AE$22=""),"",IF(LEN(VLOOKUP($B32,Database!$B$1:$IX$10144,AE$22,FALSE))=0,"",VLOOKUP($B32,Database!$B$1:$IX$10144,AE$22,FALSE)))</f>
        <v>6.7</v>
      </c>
      <c r="AF32" s="22">
        <f>IF(OR($B32="",AF$22=""),"",IF(LEN(VLOOKUP($B32,Database!$B$1:$IX$10144,AF$22,FALSE))=0,"",VLOOKUP($B32,Database!$B$1:$IX$10144,AF$22,FALSE)))</f>
        <v>41</v>
      </c>
      <c r="AG32" s="22">
        <f>IF(OR($B32="",AG$22=""),"",IF(LEN(VLOOKUP($B32,Database!$B$1:$IX$10144,AG$22,FALSE))=0,"",VLOOKUP($B32,Database!$B$1:$IX$10144,AG$22,FALSE)))</f>
        <v>29</v>
      </c>
      <c r="AH32" s="22">
        <f>IF(OR($B32="",AH$22=""),"",IF(LEN(VLOOKUP($B32,Database!$B$1:$IX$10144,AH$22,FALSE))=0,"",VLOOKUP($B32,Database!$B$1:$IX$10144,AH$22,FALSE)))</f>
        <v>1</v>
      </c>
      <c r="AI32" s="22">
        <f>IF(OR($B32="",AI$22=""),"",IF(LEN(VLOOKUP($B32,Database!$B$1:$IX$10144,AI$22,FALSE))=0,"",VLOOKUP($B32,Database!$B$1:$IX$10144,AI$22,FALSE)))</f>
        <v>1</v>
      </c>
      <c r="AJ32" s="22" t="str">
        <f>IF(OR($B32="",AJ$22=""),"",IF(LEN(VLOOKUP($B32,Database!$B$1:$IX$10144,AJ$22,FALSE))=0,"",VLOOKUP($B32,Database!$B$1:$IX$10144,AJ$22,FALSE)))</f>
        <v/>
      </c>
      <c r="AK32" s="167">
        <f>((23*38.7)+(28*72))/51</f>
        <v>56.982352941176465</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Lloyd AJ, Ferrier IN, Barber R, Gholkar A, Young AH, O'Brien JT.</v>
      </c>
    </row>
    <row r="33" spans="1:43">
      <c r="B33">
        <v>17986679</v>
      </c>
      <c r="C33" s="1" t="str">
        <f>IF($B33="","",HYPERLINK(IF(LEN(VLOOKUP($B33,Database!$B$1:$IX$10144,2,FALSE))=0,"",VLOOKUP($B33,Database!$B$1:$IX$10144,2,FALSE))))</f>
        <v/>
      </c>
      <c r="D33" s="1" t="str">
        <f>IF($B33="","",HYPERLINK(CONCATENATE("http://www.ncbi.nlm.nih.gov/pubmed/",B33)))</f>
        <v>http://www.ncbi.nlm.nih.gov/pubmed/17986679</v>
      </c>
      <c r="E33" s="22" t="str">
        <f>IF($B33="","",IF(LEN(VLOOKUP($B33,Database!$B$1:$IX$10144,4,FALSE))=0,"",VLOOKUP($B33,Database!$B$1:$IX$10144,4,FALSE)))</f>
        <v>Ballmaier M (A)</v>
      </c>
      <c r="F33" s="22">
        <f>IF($B33="","",IF(LEN(VLOOKUP($B33,Database!$B$1:$IX$10144,5,FALSE))=0,"",VLOOKUP($B33,Database!$B$1:$IX$10144,5,FALSE)))</f>
        <v>2008</v>
      </c>
      <c r="G33" s="1" t="str">
        <f>IF($B33="","",HYPERLINK(IF(LEN(VLOOKUP($B33,Database!$B$1:$IX$10144,6,FALSE))=0,"",VLOOKUP($B33,Database!$B$1:$IX$10144,6,FALSE))))</f>
        <v>http://ajp.psychiatryonline.org/cgi/reprint/165/2/229</v>
      </c>
      <c r="H33" s="22">
        <f>IF($B33="","",IF(LEN(VLOOKUP($B33,Database!$B$1:$IX$10144,7,FALSE))=0,"",VLOOKUP($B33,Database!$B$1:$IX$10144,7,FALSE)))</f>
        <v>46</v>
      </c>
      <c r="I33" s="22">
        <f>IF($B33="","",IF(LEN(VLOOKUP($B33,Database!$B$1:$IX$10144,8,FALSE))=0,"",VLOOKUP($B33,Database!$B$1:$IX$10144,8,FALSE)))</f>
        <v>34</v>
      </c>
      <c r="J33" t="s">
        <v>1379</v>
      </c>
      <c r="L33">
        <v>1116.0999999999999</v>
      </c>
      <c r="M33">
        <v>222</v>
      </c>
      <c r="N33">
        <v>1272.75</v>
      </c>
      <c r="O33">
        <v>257.64999999999998</v>
      </c>
      <c r="P33">
        <v>1127.53</v>
      </c>
      <c r="Q33">
        <v>231.12</v>
      </c>
      <c r="R33">
        <v>1308.45</v>
      </c>
      <c r="S33">
        <v>245.62</v>
      </c>
      <c r="T33">
        <f>L33+P33</f>
        <v>2243.63</v>
      </c>
      <c r="U33">
        <f>2*SQRT(0.25*(M33^2+Q33^2+2*$F$8*M33*Q33))</f>
        <v>429.87705032950993</v>
      </c>
      <c r="V33">
        <f>N33+R33</f>
        <v>2581.1999999999998</v>
      </c>
      <c r="W33">
        <f>2*SQRT(0.25*(O33^2+S33^2+2*$F$8*O33*S33))</f>
        <v>477.45899897268669</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71.099999999999994</v>
      </c>
      <c r="AC33" s="22">
        <f>IF(OR($B33="",AC$22=""),"",IF(LEN(VLOOKUP($B33,Database!$B$1:$IX$10144,AC$22,FALSE))=0,"",VLOOKUP($B33,Database!$B$1:$IX$10144,AC$22,FALSE)))</f>
        <v>7.66</v>
      </c>
      <c r="AD33" s="22">
        <f>IF(OR($B33="",AD$22=""),"",IF(LEN(VLOOKUP($B33,Database!$B$1:$IX$10144,AD$22,FALSE))=0,"",VLOOKUP($B33,Database!$B$1:$IX$10144,AD$22,FALSE)))</f>
        <v>72.38</v>
      </c>
      <c r="AE33" s="22">
        <f>IF(OR($B33="",AE$22=""),"",IF(LEN(VLOOKUP($B33,Database!$B$1:$IX$10144,AE$22,FALSE))=0,"",VLOOKUP($B33,Database!$B$1:$IX$10144,AE$22,FALSE)))</f>
        <v>6.93</v>
      </c>
      <c r="AF33" s="22">
        <f>IF(OR($B33="",AF$22=""),"",IF(LEN(VLOOKUP($B33,Database!$B$1:$IX$10144,AF$22,FALSE))=0,"",VLOOKUP($B33,Database!$B$1:$IX$10144,AF$22,FALSE)))</f>
        <v>34</v>
      </c>
      <c r="AG33" s="22">
        <f>IF(OR($B33="",AG$22=""),"",IF(LEN(VLOOKUP($B33,Database!$B$1:$IX$10144,AG$22,FALSE))=0,"",VLOOKUP($B33,Database!$B$1:$IX$10144,AG$22,FALSE)))</f>
        <v>19</v>
      </c>
      <c r="AH33" s="22">
        <f>IF(OR($B33="",AH$22=""),"",IF(LEN(VLOOKUP($B33,Database!$B$1:$IX$10144,AH$22,FALSE))=0,"",VLOOKUP($B33,Database!$B$1:$IX$10144,AH$22,FALSE)))</f>
        <v>1.5</v>
      </c>
      <c r="AI33" s="22">
        <f>IF(OR($B33="",AI$22=""),"",IF(LEN(VLOOKUP($B33,Database!$B$1:$IX$10144,AI$22,FALSE))=0,"",VLOOKUP($B33,Database!$B$1:$IX$10144,AI$22,FALSE)))</f>
        <v>1.4</v>
      </c>
      <c r="AJ33" s="22" t="str">
        <f>IF(OR($B33="",AJ$22=""),"",IF(LEN(VLOOKUP($B33,Database!$B$1:$IX$10144,AJ$22,FALSE))=0,"",VLOOKUP($B33,Database!$B$1:$IX$10144,AJ$22,FALSE)))</f>
        <v/>
      </c>
      <c r="AK33" s="22">
        <f>IF(OR($B33="",AK$22=""),"",IF(LEN(VLOOKUP($B33,Database!$B$1:$IX$10144,AK$22,FALSE))=0,"",VLOOKUP($B33,Database!$B$1:$IX$10144,AK$22,FALSE)))</f>
        <v>51.43</v>
      </c>
      <c r="AL33" s="22">
        <f>IF(OR($B33="",AL$22=""),"",IF(LEN(VLOOKUP($B33,Database!$B$1:$IX$10144,AL$22,FALSE))=0,"",VLOOKUP($B33,Database!$B$1:$IX$10144,AL$22,FALSE)))</f>
        <v>17.73</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Ballmaier M, Narr KL, Toga AW, Elderkin-Thompson V, Thompson PM, Hamilton L, Haroon E, Pham D, Heinz A, Kumar A.</v>
      </c>
    </row>
    <row r="34" spans="1:43">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t="str">
        <f>IF(OR($B34="",AP$22=""),"",IF(LEN(VLOOKUP($B34,Database!$B$1:$IX$10144,AP$22,FALSE))=0,"",VLOOKUP($B34,Database!$B$1:$IX$10144,AP$22,FALSE)))</f>
        <v/>
      </c>
      <c r="AQ34" s="22" t="str">
        <f>IF(OR($B34="",AQ$22=""),"",IF(LEN(VLOOKUP($B34,Database!$B$1:$IX$10144,AQ$22,FALSE))=0,"",VLOOKUP($B34,Database!$B$1:$IX$10144,AQ$22,FALSE)))</f>
        <v/>
      </c>
    </row>
    <row r="35" spans="1:43">
      <c r="A35" s="4" t="s">
        <v>350</v>
      </c>
      <c r="C35" s="1"/>
      <c r="D35" s="1" t="str">
        <f t="shared" ref="D35:D42" si="1">IF($B35="","",HYPERLINK(CONCATENATE("http://www.ncbi.nlm.nih.gov/pubmed/",B35)))</f>
        <v/>
      </c>
      <c r="E35" s="22" t="str">
        <f>IF($B35="","",IF(LEN(VLOOKUP($B35,Database!$B$1:$IX$10144,4,FALSE))=0,"",VLOOKUP($B35,Database!$B$1:$IX$10144,4,FALSE)))</f>
        <v/>
      </c>
      <c r="F35" s="22" t="str">
        <f>IF($B35="","",IF(LEN(VLOOKUP($B35,Database!$B$1:$IX$10144,5,FALSE))=0,"",VLOOKUP($B35,Database!$B$1:$IX$10144,5,FALSE)))</f>
        <v/>
      </c>
      <c r="G35" s="1" t="str">
        <f>IF($B35="","",HYPERLINK(IF(LEN(VLOOKUP($B35,Database!$B$1:$IX$10144,6,FALSE))=0,"",VLOOKUP($B35,Database!$B$1:$IX$10144,6,FALSE))))</f>
        <v/>
      </c>
      <c r="H35" s="22" t="str">
        <f>IF($B35="","",IF(LEN(VLOOKUP($B35,Database!$B$1:$IX$10144,7,FALSE))=0,"",VLOOKUP($B35,Database!$B$1:$IX$10144,7,FALSE)))</f>
        <v/>
      </c>
      <c r="I35" s="22" t="str">
        <f>IF($B35="","",IF(LEN(VLOOKUP($B35,Database!$B$1:$IX$10144,8,FALSE))=0,"",VLOOKUP($B35,Database!$B$1:$IX$10144,8,FALSE)))</f>
        <v/>
      </c>
      <c r="Y35" s="22" t="str">
        <f>IF(OR($B35="",Y$22=""),"",IF(LEN(VLOOKUP($B35,Database!$B$1:$IX$10144,Y$22,FALSE))=0,"",VLOOKUP($B35,Database!$B$1:$IX$10144,Y$22,FALSE)))</f>
        <v/>
      </c>
      <c r="Z35" s="22" t="str">
        <f>IF(OR($B35="",Z$22=""),"",IF(LEN(VLOOKUP($B35,Database!$B$1:$IX$10144,Z$22,FALSE))=0,"",VLOOKUP($B35,Database!$B$1:$IX$10144,Z$22,FALSE)))</f>
        <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t="str">
        <f>IF(OR($B35="",AD$22=""),"",IF(LEN(VLOOKUP($B35,Database!$B$1:$IX$10144,AD$22,FALSE))=0,"",VLOOKUP($B35,Database!$B$1:$IX$10144,AD$22,FALSE)))</f>
        <v/>
      </c>
      <c r="AE35" s="22" t="str">
        <f>IF(OR($B35="",AE$22=""),"",IF(LEN(VLOOKUP($B35,Database!$B$1:$IX$10144,AE$22,FALSE))=0,"",VLOOKUP($B35,Database!$B$1:$IX$10144,AE$22,FALSE)))</f>
        <v/>
      </c>
      <c r="AF35" s="22" t="str">
        <f>IF(OR($B35="",AF$22=""),"",IF(LEN(VLOOKUP($B35,Database!$B$1:$IX$10144,AF$22,FALSE))=0,"",VLOOKUP($B35,Database!$B$1:$IX$10144,AF$22,FALSE)))</f>
        <v/>
      </c>
      <c r="AG35" s="22" t="str">
        <f>IF(OR($B35="",AG$22=""),"",IF(LEN(VLOOKUP($B35,Database!$B$1:$IX$10144,AG$22,FALSE))=0,"",VLOOKUP($B35,Database!$B$1:$IX$10144,AG$22,FALSE)))</f>
        <v/>
      </c>
      <c r="AH35" s="22" t="str">
        <f>IF(OR($B35="",AH$22=""),"",IF(LEN(VLOOKUP($B35,Database!$B$1:$IX$10144,AH$22,FALSE))=0,"",VLOOKUP($B35,Database!$B$1:$IX$10144,AH$22,FALSE)))</f>
        <v/>
      </c>
      <c r="AI35" s="22" t="str">
        <f>IF(OR($B35="",AI$22=""),"",IF(LEN(VLOOKUP($B35,Database!$B$1:$IX$10144,AI$22,FALSE))=0,"",VLOOKUP($B35,Database!$B$1:$IX$10144,AI$22,FALSE)))</f>
        <v/>
      </c>
      <c r="AJ35" s="22" t="str">
        <f>IF(OR($B35="",AJ$22=""),"",IF(LEN(VLOOKUP($B35,Database!$B$1:$IX$10144,AJ$22,FALSE))=0,"",VLOOKUP($B35,Database!$B$1:$IX$10144,AJ$22,FALSE)))</f>
        <v/>
      </c>
      <c r="AK35" s="22" t="str">
        <f>IF(OR($B35="",AK$22=""),"",IF(LEN(VLOOKUP($B35,Database!$B$1:$IX$10144,AK$22,FALSE))=0,"",VLOOKUP($B35,Database!$B$1:$IX$10144,AK$22,FALSE)))</f>
        <v/>
      </c>
      <c r="AL35" s="22" t="str">
        <f>IF(OR($B35="",AL$22=""),"",IF(LEN(VLOOKUP($B35,Database!$B$1:$IX$10144,AL$22,FALSE))=0,"",VLOOKUP($B35,Database!$B$1:$IX$10144,AL$22,FALSE)))</f>
        <v/>
      </c>
      <c r="AM35" s="22" t="str">
        <f>IF(OR($B35="",AM$22=""),"",IF(LEN(VLOOKUP($B35,Database!$B$1:$IX$10144,AM$22,FALSE))=0,"",VLOOKUP($B35,Database!$B$1:$IX$10144,AM$22,FALSE)))</f>
        <v/>
      </c>
      <c r="AN35" s="22" t="str">
        <f>IF(OR($B35="",AN$22=""),"",IF(LEN(VLOOKUP($B35,Database!$B$1:$IX$10144,AN$22,FALSE))=0,"",VLOOKUP($B35,Database!$B$1:$IX$10144,AN$22,FALSE)))</f>
        <v/>
      </c>
      <c r="AO35" s="22" t="str">
        <f>IF(OR($B35="",AO$22=""),"",IF(LEN(VLOOKUP($B35,Database!$B$1:$IX$10144,AO$22,FALSE))=0,"",VLOOKUP($B35,Database!$B$1:$IX$10144,AO$22,FALSE)))</f>
        <v/>
      </c>
      <c r="AP35" s="22" t="str">
        <f>IF(OR($B35="",AP$22=""),"",IF(LEN(VLOOKUP($B35,Database!$B$1:$IX$10144,AP$22,FALSE))=0,"",VLOOKUP($B35,Database!$B$1:$IX$10144,AP$22,FALSE)))</f>
        <v/>
      </c>
      <c r="AQ35" s="22" t="str">
        <f>IF(OR($B35="",AQ$22=""),"",IF(LEN(VLOOKUP($B35,Database!$B$1:$IX$10144,AQ$22,FALSE))=0,"",VLOOKUP($B35,Database!$B$1:$IX$10144,AQ$22,FALSE)))</f>
        <v/>
      </c>
    </row>
    <row r="36" spans="1:43">
      <c r="A36" s="10" t="s">
        <v>2323</v>
      </c>
      <c r="B36">
        <v>10366636</v>
      </c>
      <c r="C36" s="1" t="str">
        <f>IF($B36="","",HYPERLINK(IF(LEN(VLOOKUP($B36,Database!$B$1:$IX$10144,2,FALSE))=0,"",VLOOKUP($B36,Database!$B$1:$IX$10144,2,FALSE))))</f>
        <v/>
      </c>
      <c r="D36" s="1" t="str">
        <f t="shared" si="1"/>
        <v>http://www.ncbi.nlm.nih.gov/pubmed/10366636</v>
      </c>
      <c r="E36" s="22" t="str">
        <f>IF($B36="","",IF(LEN(VLOOKUP($B36,Database!$B$1:$IX$10144,4,FALSE))=0,"",VLOOKUP($B36,Database!$B$1:$IX$10144,4,FALSE)))</f>
        <v>Sheline YI</v>
      </c>
      <c r="F36" s="22">
        <f>IF($B36="","",IF(LEN(VLOOKUP($B36,Database!$B$1:$IX$10144,5,FALSE))=0,"",VLOOKUP($B36,Database!$B$1:$IX$10144,5,FALSE)))</f>
        <v>1999</v>
      </c>
      <c r="G36" s="1" t="str">
        <f>IF($B36="","",HYPERLINK(IF(LEN(VLOOKUP($B36,Database!$B$1:$IX$10144,6,FALSE))=0,"",VLOOKUP($B36,Database!$B$1:$IX$10144,6,FALSE))))</f>
        <v>http://ajp.psychiatryonline.org/cgi/reprint/156/12/1989</v>
      </c>
      <c r="H36" s="22">
        <f>IF($B36="","",IF(LEN(VLOOKUP($B36,Database!$B$1:$IX$10144,7,FALSE))=0,"",VLOOKUP($B36,Database!$B$1:$IX$10144,7,FALSE)))</f>
        <v>24</v>
      </c>
      <c r="I36" s="22">
        <f>IF($B36="","",IF(LEN(VLOOKUP($B36,Database!$B$1:$IX$10144,8,FALSE))=0,"",VLOOKUP($B36,Database!$B$1:$IX$10144,8,FALSE)))</f>
        <v>24</v>
      </c>
      <c r="J36" t="s">
        <v>939</v>
      </c>
      <c r="L36">
        <v>2230</v>
      </c>
      <c r="M36">
        <v>323</v>
      </c>
      <c r="N36">
        <v>2482</v>
      </c>
      <c r="O36">
        <v>305</v>
      </c>
      <c r="P36">
        <v>2264</v>
      </c>
      <c r="Q36">
        <v>320</v>
      </c>
      <c r="R36">
        <v>2468</v>
      </c>
      <c r="S36">
        <v>309</v>
      </c>
      <c r="T36">
        <v>4496</v>
      </c>
      <c r="U36">
        <v>602</v>
      </c>
      <c r="V36">
        <v>4951</v>
      </c>
      <c r="W36">
        <v>601</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c r="AC36" s="22"/>
      <c r="AD36" s="22">
        <f>IF(OR($B36="",AD$22=""),"",IF(LEN(VLOOKUP($B36,Database!$B$1:$IX$10144,AD$22,FALSE))=0,"",VLOOKUP($B36,Database!$B$1:$IX$10144,AD$22,FALSE)))</f>
        <v>52.8</v>
      </c>
      <c r="AE36" s="22">
        <f>IF(OR($B36="",AE$22=""),"",IF(LEN(VLOOKUP($B36,Database!$B$1:$IX$10144,AE$22,FALSE))=0,"",VLOOKUP($B36,Database!$B$1:$IX$10144,AE$22,FALSE)))</f>
        <v>17.8</v>
      </c>
      <c r="AF36" s="22">
        <f>IF(OR($B36="",AF$22=""),"",IF(LEN(VLOOKUP($B36,Database!$B$1:$IX$10144,AF$22,FALSE))=0,"",VLOOKUP($B36,Database!$B$1:$IX$10144,AF$22,FALSE)))</f>
        <v>24</v>
      </c>
      <c r="AG36" s="22">
        <f>IF(OR($B36="",AG$22=""),"",IF(LEN(VLOOKUP($B36,Database!$B$1:$IX$10144,AG$22,FALSE))=0,"",VLOOKUP($B36,Database!$B$1:$IX$10144,AG$22,FALSE)))</f>
        <v>24</v>
      </c>
      <c r="AH36" s="22">
        <f>IF(OR($B36="",AH$22=""),"",IF(LEN(VLOOKUP($B36,Database!$B$1:$IX$10144,AH$22,FALSE))=0,"",VLOOKUP($B36,Database!$B$1:$IX$10144,AH$22,FALSE)))</f>
        <v>1.5</v>
      </c>
      <c r="AI36" s="22">
        <f>IF(OR($B36="",AI$22=""),"",IF(LEN(VLOOKUP($B36,Database!$B$1:$IX$10144,AI$22,FALSE))=0,"",VLOOKUP($B36,Database!$B$1:$IX$10144,AI$22,FALSE)))</f>
        <v>1.25</v>
      </c>
      <c r="AJ36" s="22" t="str">
        <f>IF(OR($B36="",AJ$22=""),"",IF(LEN(VLOOKUP($B36,Database!$B$1:$IX$10144,AJ$22,FALSE))=0,"",VLOOKUP($B36,Database!$B$1:$IX$10144,AJ$22,FALSE)))</f>
        <v/>
      </c>
      <c r="AK36" s="22" t="str">
        <f>IF(OR($B36="",AK$22=""),"",IF(LEN(VLOOKUP($B36,Database!$B$1:$IX$10144,AK$22,FALSE))=0,"",VLOOKUP($B36,Database!$B$1:$IX$10144,AK$22,FALSE)))</f>
        <v>ns</v>
      </c>
      <c r="AL36" s="22" t="str">
        <f>IF(OR($B36="",AL$22=""),"",IF(LEN(VLOOKUP($B36,Database!$B$1:$IX$10144,AL$22,FALSE))=0,"",VLOOKUP($B36,Database!$B$1:$IX$10144,AL$22,FALSE)))</f>
        <v>ns</v>
      </c>
      <c r="AM36" s="22">
        <f>IF(OR($B36="",AM$22=""),"",IF(LEN(VLOOKUP($B36,Database!$B$1:$IX$10144,AM$22,FALSE))=0,"",VLOOKUP($B36,Database!$B$1:$IX$10144,AM$22,FALSE)))</f>
        <v>66.666666666666657</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Sheline YI, Sanghavi M, Mintun MA, Gado MH.</v>
      </c>
    </row>
    <row r="37" spans="1:43">
      <c r="A37" s="7" t="s">
        <v>30</v>
      </c>
      <c r="B37">
        <v>10618023</v>
      </c>
      <c r="C37" s="1" t="str">
        <f>IF($B37="","",HYPERLINK(IF(LEN(VLOOKUP($B37,Database!$B$1:$IX$10144,2,FALSE))=0,"",VLOOKUP($B37,Database!$B$1:$IX$10144,2,FALSE))))</f>
        <v/>
      </c>
      <c r="D37" s="1" t="str">
        <f t="shared" si="1"/>
        <v>http://www.ncbi.nlm.nih.gov/pubmed/10618023</v>
      </c>
      <c r="E37" s="22" t="str">
        <f>IF($B37="","",IF(LEN(VLOOKUP($B37,Database!$B$1:$IX$10144,4,FALSE))=0,"",VLOOKUP($B37,Database!$B$1:$IX$10144,4,FALSE)))</f>
        <v>Bremner JD</v>
      </c>
      <c r="F37" s="22">
        <f>IF($B37="","",IF(LEN(VLOOKUP($B37,Database!$B$1:$IX$10144,5,FALSE))=0,"",VLOOKUP($B37,Database!$B$1:$IX$10144,5,FALSE)))</f>
        <v>2000</v>
      </c>
      <c r="G37" s="1" t="str">
        <f>IF($B37="","",HYPERLINK(IF(LEN(VLOOKUP($B37,Database!$B$1:$IX$10144,6,FALSE))=0,"",VLOOKUP($B37,Database!$B$1:$IX$10144,6,FALSE))))</f>
        <v>http://ajp.psychiatryonline.org/cgi/reprint/157/1/115</v>
      </c>
      <c r="H37" s="22">
        <f>IF($B37="","",IF(LEN(VLOOKUP($B37,Database!$B$1:$IX$10144,7,FALSE))=0,"",VLOOKUP($B37,Database!$B$1:$IX$10144,7,FALSE)))</f>
        <v>16</v>
      </c>
      <c r="I37" s="22">
        <f>IF($B37="","",IF(LEN(VLOOKUP($B37,Database!$B$1:$IX$10144,8,FALSE))=0,"",VLOOKUP($B37,Database!$B$1:$IX$10144,8,FALSE)))</f>
        <v>16</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43</v>
      </c>
      <c r="AC37" s="22">
        <f>IF(OR($B37="",AC$22=""),"",IF(LEN(VLOOKUP($B37,Database!$B$1:$IX$10144,AC$22,FALSE))=0,"",VLOOKUP($B37,Database!$B$1:$IX$10144,AC$22,FALSE)))</f>
        <v>8</v>
      </c>
      <c r="AD37" s="22">
        <f>IF(OR($B37="",AD$22=""),"",IF(LEN(VLOOKUP($B37,Database!$B$1:$IX$10144,AD$22,FALSE))=0,"",VLOOKUP($B37,Database!$B$1:$IX$10144,AD$22,FALSE)))</f>
        <v>45</v>
      </c>
      <c r="AE37" s="22">
        <f>IF(OR($B37="",AE$22=""),"",IF(LEN(VLOOKUP($B37,Database!$B$1:$IX$10144,AE$22,FALSE))=0,"",VLOOKUP($B37,Database!$B$1:$IX$10144,AE$22,FALSE)))</f>
        <v>10</v>
      </c>
      <c r="AF37" s="22">
        <f>IF(OR($B37="",AF$22=""),"",IF(LEN(VLOOKUP($B37,Database!$B$1:$IX$10144,AF$22,FALSE))=0,"",VLOOKUP($B37,Database!$B$1:$IX$10144,AF$22,FALSE)))</f>
        <v>6</v>
      </c>
      <c r="AG37" s="22">
        <f>IF(OR($B37="",AG$22=""),"",IF(LEN(VLOOKUP($B37,Database!$B$1:$IX$10144,AG$22,FALSE))=0,"",VLOOKUP($B37,Database!$B$1:$IX$10144,AG$22,FALSE)))</f>
        <v>6</v>
      </c>
      <c r="AH37" s="22">
        <f>IF(OR($B37="",AH$22=""),"",IF(LEN(VLOOKUP($B37,Database!$B$1:$IX$10144,AH$22,FALSE))=0,"",VLOOKUP($B37,Database!$B$1:$IX$10144,AH$22,FALSE)))</f>
        <v>1.5</v>
      </c>
      <c r="AI37" s="22">
        <f>IF(OR($B37="",AI$22=""),"",IF(LEN(VLOOKUP($B37,Database!$B$1:$IX$10144,AI$22,FALSE))=0,"",VLOOKUP($B37,Database!$B$1:$IX$10144,AI$22,FALSE)))</f>
        <v>3</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f>IF(OR($B37="",AM$22=""),"",IF(LEN(VLOOKUP($B37,Database!$B$1:$IX$10144,AM$22,FALSE))=0,"",VLOOKUP($B37,Database!$B$1:$IX$10144,AM$22,FALSE)))</f>
        <v>100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0</v>
      </c>
      <c r="AQ37" s="22" t="str">
        <f>IF(OR($B37="",AQ$22=""),"",IF(LEN(VLOOKUP($B37,Database!$B$1:$IX$10144,AQ$22,FALSE))=0,"",VLOOKUP($B37,Database!$B$1:$IX$10144,AQ$22,FALSE)))</f>
        <v>Bremner JD, Narayan M, Anderson ER, Staib LH, Miller HL, Charney DS.</v>
      </c>
    </row>
    <row r="38" spans="1:43">
      <c r="A38" s="10" t="s">
        <v>2015</v>
      </c>
      <c r="B38">
        <v>16930719</v>
      </c>
      <c r="C38" s="1" t="str">
        <f>IF($B38="","",HYPERLINK(IF(LEN(VLOOKUP($B38,Database!$B$1:$IX$10144,2,FALSE))=0,"",VLOOKUP($B38,Database!$B$1:$IX$10144,2,FALSE))))</f>
        <v/>
      </c>
      <c r="D38" s="1" t="str">
        <f t="shared" si="1"/>
        <v>http://www.ncbi.nlm.nih.gov/pubmed/16930719</v>
      </c>
      <c r="E38" s="22" t="str">
        <f>IF($B38="","",IF(LEN(VLOOKUP($B38,Database!$B$1:$IX$10144,4,FALSE))=0,"",VLOOKUP($B38,Database!$B$1:$IX$10144,4,FALSE)))</f>
        <v>Hickie IB (A)</v>
      </c>
      <c r="F38" s="22">
        <f>IF($B38="","",IF(LEN(VLOOKUP($B38,Database!$B$1:$IX$10144,5,FALSE))=0,"",VLOOKUP($B38,Database!$B$1:$IX$10144,5,FALSE)))</f>
        <v>2007</v>
      </c>
      <c r="G38" s="1" t="str">
        <f>IF($B38="","",HYPERLINK(IF(LEN(VLOOKUP($B38,Database!$B$1:$IX$10144,6,FALSE))=0,"",VLOOKUP($B38,Database!$B$1:$IX$10144,6,FALSE))))</f>
        <v>http://dx.doi.org/10.1016/j.jad.2006.07.010</v>
      </c>
      <c r="H38" s="22">
        <f>IF($B38="","",IF(LEN(VLOOKUP($B38,Database!$B$1:$IX$10144,7,FALSE))=0,"",VLOOKUP($B38,Database!$B$1:$IX$10144,7,FALSE)))</f>
        <v>45</v>
      </c>
      <c r="I38" s="22">
        <f>IF($B38="","",IF(LEN(VLOOKUP($B38,Database!$B$1:$IX$10144,8,FALSE))=0,"",VLOOKUP($B38,Database!$B$1:$IX$10144,8,FALSE)))</f>
        <v>16</v>
      </c>
      <c r="J38" t="s">
        <v>1224</v>
      </c>
      <c r="T38">
        <v>5.9</v>
      </c>
      <c r="U38">
        <v>0.7</v>
      </c>
      <c r="V38">
        <v>6.4</v>
      </c>
      <c r="W38">
        <v>0.7</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52</v>
      </c>
      <c r="AC38" s="22">
        <f>IF(OR($B38="",AC$22=""),"",IF(LEN(VLOOKUP($B38,Database!$B$1:$IX$10144,AC$22,FALSE))=0,"",VLOOKUP($B38,Database!$B$1:$IX$10144,AC$22,FALSE)))</f>
        <v>12.8</v>
      </c>
      <c r="AD38" s="22">
        <f>IF(OR($B38="",AD$22=""),"",IF(LEN(VLOOKUP($B38,Database!$B$1:$IX$10144,AD$22,FALSE))=0,"",VLOOKUP($B38,Database!$B$1:$IX$10144,AD$22,FALSE)))</f>
        <v>55.8</v>
      </c>
      <c r="AE38" s="22">
        <f>IF(OR($B38="",AE$22=""),"",IF(LEN(VLOOKUP($B38,Database!$B$1:$IX$10144,AE$22,FALSE))=0,"",VLOOKUP($B38,Database!$B$1:$IX$10144,AE$22,FALSE)))</f>
        <v>10.3</v>
      </c>
      <c r="AF38" s="22">
        <f>IF(OR($B38="",AF$22=""),"",IF(LEN(VLOOKUP($B38,Database!$B$1:$IX$10144,AF$22,FALSE))=0,"",VLOOKUP($B38,Database!$B$1:$IX$10144,AF$22,FALSE)))</f>
        <v>30</v>
      </c>
      <c r="AG38" s="22">
        <f>IF(OR($B38="",AG$22=""),"",IF(LEN(VLOOKUP($B38,Database!$B$1:$IX$10144,AG$22,FALSE))=0,"",VLOOKUP($B38,Database!$B$1:$IX$10144,AG$22,FALSE)))</f>
        <v>9</v>
      </c>
      <c r="AH38" s="22">
        <f>IF(OR($B38="",AH$22=""),"",IF(LEN(VLOOKUP($B38,Database!$B$1:$IX$10144,AH$22,FALSE))=0,"",VLOOKUP($B38,Database!$B$1:$IX$10144,AH$22,FALSE)))</f>
        <v>1.5</v>
      </c>
      <c r="AI38" s="22">
        <f>IF(OR($B38="",AI$22=""),"",IF(LEN(VLOOKUP($B38,Database!$B$1:$IX$10144,AI$22,FALSE))=0,"",VLOOKUP($B38,Database!$B$1:$IX$10144,AI$22,FALSE)))</f>
        <v>1.5</v>
      </c>
      <c r="AJ38" s="22" t="str">
        <f>IF(OR($B38="",AJ$22=""),"",IF(LEN(VLOOKUP($B38,Database!$B$1:$IX$10144,AJ$22,FALSE))=0,"",VLOOKUP($B38,Database!$B$1:$IX$10144,AJ$22,FALSE)))</f>
        <v/>
      </c>
      <c r="AK38" s="22">
        <f>IF(OR($B38="",AK$22=""),"",IF(LEN(VLOOKUP($B38,Database!$B$1:$IX$10144,AK$22,FALSE))=0,"",VLOOKUP($B38,Database!$B$1:$IX$10144,AK$22,FALSE)))</f>
        <v>36.1</v>
      </c>
      <c r="AL38" s="22">
        <f>IF(OR($B38="",AL$22=""),"",IF(LEN(VLOOKUP($B38,Database!$B$1:$IX$10144,AL$22,FALSE))=0,"",VLOOKUP($B38,Database!$B$1:$IX$10144,AL$22,FALSE)))</f>
        <v>26.8</v>
      </c>
      <c r="AM38" s="22">
        <f>IF(OR($B38="",AM$22=""),"",IF(LEN(VLOOKUP($B38,Database!$B$1:$IX$10144,AM$22,FALSE))=0,"",VLOOKUP($B38,Database!$B$1:$IX$10144,AM$22,FALSE)))</f>
        <v>64.444444444444443</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Hickie IB, Naismith SL, Ward PB, Scott EM, Mitchell PB, Schofield PR, Scimone A, Wilhelm K, Parker G.</v>
      </c>
    </row>
    <row r="39" spans="1:43">
      <c r="A39" s="10" t="s">
        <v>2016</v>
      </c>
      <c r="B39">
        <v>17210630</v>
      </c>
      <c r="C39" s="1" t="str">
        <f>IF($B39="","",HYPERLINK(IF(LEN(VLOOKUP($B39,Database!$B$1:$IX$10144,2,FALSE))=0,"",VLOOKUP($B39,Database!$B$1:$IX$10144,2,FALSE))))</f>
        <v/>
      </c>
      <c r="D39" s="1" t="str">
        <f t="shared" si="1"/>
        <v>http://www.ncbi.nlm.nih.gov/pubmed/17210630</v>
      </c>
      <c r="E39" s="22" t="str">
        <f>IF($B39="","",IF(LEN(VLOOKUP($B39,Database!$B$1:$IX$10144,4,FALSE))=0,"",VLOOKUP($B39,Database!$B$1:$IX$10144,4,FALSE)))</f>
        <v>Janssen J</v>
      </c>
      <c r="F39" s="22">
        <f>IF($B39="","",IF(LEN(VLOOKUP($B39,Database!$B$1:$IX$10144,5,FALSE))=0,"",VLOOKUP($B39,Database!$B$1:$IX$10144,5,FALSE)))</f>
        <v>2007</v>
      </c>
      <c r="G39" s="1" t="str">
        <f>IF($B39="","",HYPERLINK(IF(LEN(VLOOKUP($B39,Database!$B$1:$IX$10144,6,FALSE))=0,"",VLOOKUP($B39,Database!$B$1:$IX$10144,6,FALSE))))</f>
        <v>http://jnnp.bmj.com/cgi/reprint/78/6/638</v>
      </c>
      <c r="H39" s="83">
        <v>13</v>
      </c>
      <c r="I39" s="83">
        <v>11</v>
      </c>
      <c r="J39" t="s">
        <v>877</v>
      </c>
      <c r="K39" t="s">
        <v>1225</v>
      </c>
      <c r="M39" s="10"/>
      <c r="T39">
        <v>5.51</v>
      </c>
      <c r="U39" s="10"/>
      <c r="V39">
        <v>6</v>
      </c>
      <c r="W39" s="10"/>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t="str">
        <f>IF(OR($B39="",AB$22=""),"",IF(LEN(VLOOKUP($B39,Database!$B$1:$IX$10144,AB$22,FALSE))=0,"",VLOOKUP($B39,Database!$B$1:$IX$10144,AB$22,FALSE)))</f>
        <v/>
      </c>
      <c r="AC39" s="22" t="str">
        <f>IF(OR($B39="",AC$22=""),"",IF(LEN(VLOOKUP($B39,Database!$B$1:$IX$10144,AC$22,FALSE))=0,"",VLOOKUP($B39,Database!$B$1:$IX$10144,AC$22,FALSE)))</f>
        <v/>
      </c>
      <c r="AD39" s="22">
        <f>IF(OR($B39="",AD$22=""),"",IF(LEN(VLOOKUP($B39,Database!$B$1:$IX$10144,AD$22,FALSE))=0,"",VLOOKUP($B39,Database!$B$1:$IX$10144,AD$22,FALSE)))</f>
        <v>71.05</v>
      </c>
      <c r="AE39" s="22">
        <f>IF(OR($B39="",AE$22=""),"",IF(LEN(VLOOKUP($B39,Database!$B$1:$IX$10144,AE$22,FALSE))=0,"",VLOOKUP($B39,Database!$B$1:$IX$10144,AE$22,FALSE)))</f>
        <v>7.5</v>
      </c>
      <c r="AF39" s="22">
        <f>IF(OR($B39="",AF$22=""),"",IF(LEN(VLOOKUP($B39,Database!$B$1:$IX$10144,AF$22,FALSE))=0,"",VLOOKUP($B39,Database!$B$1:$IX$10144,AF$22,FALSE)))</f>
        <v>28</v>
      </c>
      <c r="AG39" s="22">
        <f>IF(OR($B39="",AG$22=""),"",IF(LEN(VLOOKUP($B39,Database!$B$1:$IX$10144,AG$22,FALSE))=0,"",VLOOKUP($B39,Database!$B$1:$IX$10144,AG$22,FALSE)))</f>
        <v>22</v>
      </c>
      <c r="AH39" s="22">
        <f>IF(OR($B39="",AH$22=""),"",IF(LEN(VLOOKUP($B39,Database!$B$1:$IX$10144,AH$22,FALSE))=0,"",VLOOKUP($B39,Database!$B$1:$IX$10144,AH$22,FALSE)))</f>
        <v>1.5</v>
      </c>
      <c r="AI39" s="22" t="str">
        <f>IF(OR($B39="",AI$22=""),"",IF(LEN(VLOOKUP($B39,Database!$B$1:$IX$10144,AI$22,FALSE))=0,"",VLOOKUP($B39,Database!$B$1:$IX$10144,AI$22,FALSE)))</f>
        <v>ns</v>
      </c>
      <c r="AJ39" s="22" t="str">
        <f>IF(OR($B39="",AJ$22=""),"",IF(LEN(VLOOKUP($B39,Database!$B$1:$IX$10144,AJ$22,FALSE))=0,"",VLOOKUP($B39,Database!$B$1:$IX$10144,AJ$22,FALSE)))</f>
        <v/>
      </c>
      <c r="AK39" s="22">
        <f>IF(OR($B39="",AK$22=""),"",IF(LEN(VLOOKUP($B39,Database!$B$1:$IX$10144,AK$22,FALSE))=0,"",VLOOKUP($B39,Database!$B$1:$IX$10144,AK$22,FALSE)))</f>
        <v>33.619999999999997</v>
      </c>
      <c r="AL39" s="22" t="str">
        <f>IF(OR($B39="",AL$22=""),"",IF(LEN(VLOOKUP($B39,Database!$B$1:$IX$10144,AL$22,FALSE))=0,"",VLOOKUP($B39,Database!$B$1:$IX$10144,AL$22,FALSE)))</f>
        <v>ns</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Janssen J, Hulshoff Pol HE, de Leeuw FE, Schnack HG, Lampe IK, Kok RM, Kahn RS, Heeren TJ.</v>
      </c>
    </row>
    <row r="40" spans="1:43">
      <c r="A40" s="10" t="s">
        <v>2016</v>
      </c>
      <c r="B40">
        <v>17210630</v>
      </c>
      <c r="C40" s="1" t="str">
        <f>IF($B40="","",HYPERLINK(IF(LEN(VLOOKUP($B40,Database!$B$1:$IX$10144,2,FALSE))=0,"",VLOOKUP($B40,Database!$B$1:$IX$10144,2,FALSE))))</f>
        <v/>
      </c>
      <c r="D40" s="1" t="str">
        <f t="shared" si="1"/>
        <v>http://www.ncbi.nlm.nih.gov/pubmed/17210630</v>
      </c>
      <c r="E40" s="22" t="str">
        <f>IF($B40="","",IF(LEN(VLOOKUP($B40,Database!$B$1:$IX$10144,4,FALSE))=0,"",VLOOKUP($B40,Database!$B$1:$IX$10144,4,FALSE)))</f>
        <v>Janssen J</v>
      </c>
      <c r="F40" s="22">
        <f>IF($B40="","",IF(LEN(VLOOKUP($B40,Database!$B$1:$IX$10144,5,FALSE))=0,"",VLOOKUP($B40,Database!$B$1:$IX$10144,5,FALSE)))</f>
        <v>2007</v>
      </c>
      <c r="G40" s="1" t="str">
        <f>IF($B40="","",HYPERLINK(IF(LEN(VLOOKUP($B40,Database!$B$1:$IX$10144,6,FALSE))=0,"",VLOOKUP($B40,Database!$B$1:$IX$10144,6,FALSE))))</f>
        <v>http://jnnp.bmj.com/cgi/reprint/78/6/638</v>
      </c>
      <c r="H40" s="83">
        <v>15</v>
      </c>
      <c r="I40" s="83">
        <v>11</v>
      </c>
      <c r="J40" t="s">
        <v>877</v>
      </c>
      <c r="K40" t="s">
        <v>1366</v>
      </c>
      <c r="M40" s="10"/>
      <c r="T40">
        <v>5.92</v>
      </c>
      <c r="U40" s="10"/>
      <c r="V40">
        <v>6</v>
      </c>
      <c r="W40" s="10"/>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f>IF(OR($B40="",AD$22=""),"",IF(LEN(VLOOKUP($B40,Database!$B$1:$IX$10144,AD$22,FALSE))=0,"",VLOOKUP($B40,Database!$B$1:$IX$10144,AD$22,FALSE)))</f>
        <v>71.05</v>
      </c>
      <c r="AE40" s="22">
        <f>IF(OR($B40="",AE$22=""),"",IF(LEN(VLOOKUP($B40,Database!$B$1:$IX$10144,AE$22,FALSE))=0,"",VLOOKUP($B40,Database!$B$1:$IX$10144,AE$22,FALSE)))</f>
        <v>7.5</v>
      </c>
      <c r="AF40" s="22">
        <f>IF(OR($B40="",AF$22=""),"",IF(LEN(VLOOKUP($B40,Database!$B$1:$IX$10144,AF$22,FALSE))=0,"",VLOOKUP($B40,Database!$B$1:$IX$10144,AF$22,FALSE)))</f>
        <v>28</v>
      </c>
      <c r="AG40" s="22">
        <f>IF(OR($B40="",AG$22=""),"",IF(LEN(VLOOKUP($B40,Database!$B$1:$IX$10144,AG$22,FALSE))=0,"",VLOOKUP($B40,Database!$B$1:$IX$10144,AG$22,FALSE)))</f>
        <v>22</v>
      </c>
      <c r="AH40" s="22">
        <f>IF(OR($B40="",AH$22=""),"",IF(LEN(VLOOKUP($B40,Database!$B$1:$IX$10144,AH$22,FALSE))=0,"",VLOOKUP($B40,Database!$B$1:$IX$10144,AH$22,FALSE)))</f>
        <v>1.5</v>
      </c>
      <c r="AI40" s="22" t="str">
        <f>IF(OR($B40="",AI$22=""),"",IF(LEN(VLOOKUP($B40,Database!$B$1:$IX$10144,AI$22,FALSE))=0,"",VLOOKUP($B40,Database!$B$1:$IX$10144,AI$22,FALSE)))</f>
        <v>ns</v>
      </c>
      <c r="AJ40" s="22" t="str">
        <f>IF(OR($B40="",AJ$22=""),"",IF(LEN(VLOOKUP($B40,Database!$B$1:$IX$10144,AJ$22,FALSE))=0,"",VLOOKUP($B40,Database!$B$1:$IX$10144,AJ$22,FALSE)))</f>
        <v/>
      </c>
      <c r="AK40" s="22">
        <f>IF(OR($B40="",AK$22=""),"",IF(LEN(VLOOKUP($B40,Database!$B$1:$IX$10144,AK$22,FALSE))=0,"",VLOOKUP($B40,Database!$B$1:$IX$10144,AK$22,FALSE)))</f>
        <v>33.619999999999997</v>
      </c>
      <c r="AL40" s="22" t="str">
        <f>IF(OR($B40="",AL$22=""),"",IF(LEN(VLOOKUP($B40,Database!$B$1:$IX$10144,AL$22,FALSE))=0,"",VLOOKUP($B40,Database!$B$1:$IX$10144,AL$22,FALSE)))</f>
        <v>ns</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Janssen J, Hulshoff Pol HE, de Leeuw FE, Schnack HG, Lampe IK, Kok RM, Kahn RS, Heeren TJ.</v>
      </c>
    </row>
    <row r="41" spans="1:43">
      <c r="A41" s="7" t="s">
        <v>26</v>
      </c>
      <c r="B41">
        <v>18515903</v>
      </c>
      <c r="C41" s="1" t="str">
        <f>IF($B41="","",HYPERLINK(IF(LEN(VLOOKUP($B41,Database!$B$1:$IX$10144,2,FALSE))=0,"",VLOOKUP($B41,Database!$B$1:$IX$10144,2,FALSE))))</f>
        <v/>
      </c>
      <c r="D41" s="1" t="str">
        <f t="shared" si="1"/>
        <v>http://www.ncbi.nlm.nih.gov/pubmed/18515903</v>
      </c>
      <c r="E41" s="22" t="str">
        <f>IF($B41="","",IF(LEN(VLOOKUP($B41,Database!$B$1:$IX$10144,4,FALSE))=0,"",VLOOKUP($B41,Database!$B$1:$IX$10144,4,FALSE)))</f>
        <v>Kronmüller KT</v>
      </c>
      <c r="F41" s="22">
        <f>IF($B41="","",IF(LEN(VLOOKUP($B41,Database!$B$1:$IX$10144,5,FALSE))=0,"",VLOOKUP($B41,Database!$B$1:$IX$10144,5,FALSE)))</f>
        <v>2008</v>
      </c>
      <c r="G41" s="1" t="str">
        <f>IF($B41="","",HYPERLINK(IF(LEN(VLOOKUP($B41,Database!$B$1:$IX$10144,6,FALSE))=0,"",VLOOKUP($B41,Database!$B$1:$IX$10144,6,FALSE))))</f>
        <v>http://bjp.rcpsych.org/cgi/content/full/192/6/472</v>
      </c>
      <c r="H41" s="22">
        <f>IF($B41="","",IF(LEN(VLOOKUP($B41,Database!$B$1:$IX$10144,7,FALSE))=0,"",VLOOKUP($B41,Database!$B$1:$IX$10144,7,FALSE)))</f>
        <v>49</v>
      </c>
      <c r="I41" s="22">
        <f>IF($B41="","",IF(LEN(VLOOKUP($B41,Database!$B$1:$IX$10144,8,FALSE))=0,"",VLOOKUP($B41,Database!$B$1:$IX$10144,8,FALSE)))</f>
        <v>30</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t="str">
        <f>IF(OR($B41="",AD$22=""),"",IF(LEN(VLOOKUP($B41,Database!$B$1:$IX$10144,AD$22,FALSE))=0,"",VLOOKUP($B41,Database!$B$1:$IX$10144,AD$22,FALSE)))</f>
        <v/>
      </c>
      <c r="AE41" s="22" t="str">
        <f>IF(OR($B41="",AE$22=""),"",IF(LEN(VLOOKUP($B41,Database!$B$1:$IX$10144,AE$22,FALSE))=0,"",VLOOKUP($B41,Database!$B$1:$IX$10144,AE$22,FALSE)))</f>
        <v/>
      </c>
      <c r="AF41" s="22" t="str">
        <f>IF(OR($B41="",AF$22=""),"",IF(LEN(VLOOKUP($B41,Database!$B$1:$IX$10144,AF$22,FALSE))=0,"",VLOOKUP($B41,Database!$B$1:$IX$10144,AF$22,FALSE)))</f>
        <v/>
      </c>
      <c r="AG41" s="22" t="str">
        <f>IF(OR($B41="",AG$22=""),"",IF(LEN(VLOOKUP($B41,Database!$B$1:$IX$10144,AG$22,FALSE))=0,"",VLOOKUP($B41,Database!$B$1:$IX$10144,AG$22,FALSE)))</f>
        <v/>
      </c>
      <c r="AH41" s="22">
        <f>IF(OR($B41="",AH$22=""),"",IF(LEN(VLOOKUP($B41,Database!$B$1:$IX$10144,AH$22,FALSE))=0,"",VLOOKUP($B41,Database!$B$1:$IX$10144,AH$22,FALSE)))</f>
        <v>1.5</v>
      </c>
      <c r="AI41" s="22" t="str">
        <f>IF(OR($B41="",AI$22=""),"",IF(LEN(VLOOKUP($B41,Database!$B$1:$IX$10144,AI$22,FALSE))=0,"",VLOOKUP($B41,Database!$B$1:$IX$10144,AI$22,FALSE)))</f>
        <v>ns</v>
      </c>
      <c r="AJ41" s="22" t="str">
        <f>IF(OR($B41="",AJ$22=""),"",IF(LEN(VLOOKUP($B41,Database!$B$1:$IX$10144,AJ$22,FALSE))=0,"",VLOOKUP($B41,Database!$B$1:$IX$10144,AJ$22,FALSE)))</f>
        <v/>
      </c>
      <c r="AK41" s="22" t="str">
        <f>IF(OR($B41="",AK$22=""),"",IF(LEN(VLOOKUP($B41,Database!$B$1:$IX$10144,AK$22,FALSE))=0,"",VLOOKUP($B41,Database!$B$1:$IX$10144,AK$22,FALSE)))</f>
        <v>ns</v>
      </c>
      <c r="AL41" s="22">
        <f>IF(OR($B41="",AL$22=""),"",IF(LEN(VLOOKUP($B41,Database!$B$1:$IX$10144,AL$22,FALSE))=0,"",VLOOKUP($B41,Database!$B$1:$IX$10144,AL$22,FALSE)))</f>
        <v>22.74</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Kronmüller KT, Pantel J, Köhler S, Victor D, Giesel F, Magnotta VA, Mundt C, Essig M, Schröder J.</v>
      </c>
    </row>
    <row r="42" spans="1:43">
      <c r="A42" s="7" t="s">
        <v>2210</v>
      </c>
      <c r="B42">
        <v>18068956</v>
      </c>
      <c r="C42" s="1" t="str">
        <f>IF($B42="","",HYPERLINK(IF(LEN(VLOOKUP($B42,Database!$B$1:$IX$10144,2,FALSE))=0,"",VLOOKUP($B42,Database!$B$1:$IX$10144,2,FALSE))))</f>
        <v/>
      </c>
      <c r="D42" s="1" t="str">
        <f t="shared" si="1"/>
        <v>http://www.ncbi.nlm.nih.gov/pubmed/18068956</v>
      </c>
      <c r="E42" s="22" t="str">
        <f>IF($B42="","",IF(LEN(VLOOKUP($B42,Database!$B$1:$IX$10144,4,FALSE))=0,"",VLOOKUP($B42,Database!$B$1:$IX$10144,4,FALSE)))</f>
        <v>Lenze SN</v>
      </c>
      <c r="F42" s="22">
        <f>IF($B42="","",IF(LEN(VLOOKUP($B42,Database!$B$1:$IX$10144,5,FALSE))=0,"",VLOOKUP($B42,Database!$B$1:$IX$10144,5,FALSE)))</f>
        <v>2008</v>
      </c>
      <c r="G42" s="1" t="str">
        <f>IF($B42="","",HYPERLINK(IF(LEN(VLOOKUP($B42,Database!$B$1:$IX$10144,6,FALSE))=0,"",VLOOKUP($B42,Database!$B$1:$IX$10144,6,FALSE))))</f>
        <v>http://dx.doi.org/10.1016/j.pscychresns.2007.04.004</v>
      </c>
      <c r="H42" s="22">
        <f>IF($B42="","",IF(LEN(VLOOKUP($B42,Database!$B$1:$IX$10144,7,FALSE))=0,"",VLOOKUP($B42,Database!$B$1:$IX$10144,7,FALSE)))</f>
        <v>31</v>
      </c>
      <c r="I42" s="22">
        <f>IF($B42="","",IF(LEN(VLOOKUP($B42,Database!$B$1:$IX$10144,8,FALSE))=0,"",VLOOKUP($B42,Database!$B$1:$IX$10144,8,FALSE)))</f>
        <v>24</v>
      </c>
      <c r="J42" t="s">
        <v>1002</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50</v>
      </c>
      <c r="AC42" s="22">
        <f>IF(OR($B42="",AC$22=""),"",IF(LEN(VLOOKUP($B42,Database!$B$1:$IX$10144,AC$22,FALSE))=0,"",VLOOKUP($B42,Database!$B$1:$IX$10144,AC$22,FALSE)))</f>
        <v>15</v>
      </c>
      <c r="AD42" s="22">
        <f>IF(OR($B42="",AD$22=""),"",IF(LEN(VLOOKUP($B42,Database!$B$1:$IX$10144,AD$22,FALSE))=0,"",VLOOKUP($B42,Database!$B$1:$IX$10144,AD$22,FALSE)))</f>
        <v>46</v>
      </c>
      <c r="AE42" s="22">
        <f>IF(OR($B42="",AE$22=""),"",IF(LEN(VLOOKUP($B42,Database!$B$1:$IX$10144,AE$22,FALSE))=0,"",VLOOKUP($B42,Database!$B$1:$IX$10144,AE$22,FALSE)))</f>
        <v>14</v>
      </c>
      <c r="AF42" s="22">
        <f>IF(OR($B42="",AF$22=""),"",IF(LEN(VLOOKUP($B42,Database!$B$1:$IX$10144,AF$22,FALSE))=0,"",VLOOKUP($B42,Database!$B$1:$IX$10144,AF$22,FALSE)))</f>
        <v>31</v>
      </c>
      <c r="AG42" s="22">
        <f>IF(OR($B42="",AG$22=""),"",IF(LEN(VLOOKUP($B42,Database!$B$1:$IX$10144,AG$22,FALSE))=0,"",VLOOKUP($B42,Database!$B$1:$IX$10144,AG$22,FALSE)))</f>
        <v>24</v>
      </c>
      <c r="AH42" s="22">
        <f>IF(OR($B42="",AH$22=""),"",IF(LEN(VLOOKUP($B42,Database!$B$1:$IX$10144,AH$22,FALSE))=0,"",VLOOKUP($B42,Database!$B$1:$IX$10144,AH$22,FALSE)))</f>
        <v>1.5</v>
      </c>
      <c r="AI42" s="22">
        <f>IF(OR($B42="",AI$22=""),"",IF(LEN(VLOOKUP($B42,Database!$B$1:$IX$10144,AI$22,FALSE))=0,"",VLOOKUP($B42,Database!$B$1:$IX$10144,AI$22,FALSE)))</f>
        <v>1.25</v>
      </c>
      <c r="AJ42" s="22" t="str">
        <f>IF(OR($B42="",AJ$22=""),"",IF(LEN(VLOOKUP($B42,Database!$B$1:$IX$10144,AJ$22,FALSE))=0,"",VLOOKUP($B42,Database!$B$1:$IX$10144,AJ$22,FALSE)))</f>
        <v/>
      </c>
      <c r="AK42" s="22">
        <f>IF(OR($B42="",AK$22=""),"",IF(LEN(VLOOKUP($B42,Database!$B$1:$IX$10144,AK$22,FALSE))=0,"",VLOOKUP($B42,Database!$B$1:$IX$10144,AK$22,FALSE)))</f>
        <v>29</v>
      </c>
      <c r="AL42" s="22">
        <f>IF(OR($B42="",AL$22=""),"",IF(LEN(VLOOKUP($B42,Database!$B$1:$IX$10144,AL$22,FALSE))=0,"",VLOOKUP($B42,Database!$B$1:$IX$10144,AL$22,FALSE)))</f>
        <v>7</v>
      </c>
      <c r="AM42" s="22">
        <f>IF(OR($B42="",AM$22=""),"",IF(LEN(VLOOKUP($B42,Database!$B$1:$IX$10144,AM$22,FALSE))=0,"",VLOOKUP($B42,Database!$B$1:$IX$10144,AM$22,FALSE)))</f>
        <v>77.41935483870968</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Lenze SN, Xiong C, Sheline YI.</v>
      </c>
    </row>
    <row r="43" spans="1:43">
      <c r="A43" s="4" t="s">
        <v>351</v>
      </c>
      <c r="C43" s="1"/>
      <c r="D43" s="1"/>
      <c r="E43" s="22"/>
      <c r="F43" s="22"/>
      <c r="G43" s="1"/>
      <c r="H43" s="22"/>
      <c r="I43" s="22"/>
      <c r="Y43" s="22"/>
      <c r="Z43" s="22"/>
      <c r="AA43" s="22"/>
      <c r="AB43" s="22"/>
      <c r="AC43" s="22"/>
      <c r="AD43" s="22"/>
      <c r="AE43" s="22"/>
      <c r="AF43" s="22"/>
      <c r="AG43" s="22"/>
      <c r="AH43" s="22"/>
      <c r="AI43" s="22"/>
      <c r="AJ43" s="22"/>
      <c r="AK43" s="22"/>
      <c r="AL43" s="22"/>
      <c r="AM43" s="22"/>
      <c r="AN43" s="22"/>
      <c r="AO43" s="22"/>
      <c r="AP43" s="22" t="str">
        <f>IF(OR($B43="",AP$22=""),"",IF(LEN(VLOOKUP($B43,Database!$B$1:$IX$10144,AP$22,FALSE))=0,"",VLOOKUP($B43,Database!$B$1:$IX$10144,AP$22,FALSE)))</f>
        <v/>
      </c>
      <c r="AQ43" s="22" t="str">
        <f>IF(OR($B43="",AQ$22=""),"",IF(LEN(VLOOKUP($B43,Database!$B$1:$IX$10144,AQ$22,FALSE))=0,"",VLOOKUP($B43,Database!$B$1:$IX$10144,AQ$22,FALSE)))</f>
        <v/>
      </c>
    </row>
    <row r="44" spans="1:43">
      <c r="A44" s="10" t="s">
        <v>418</v>
      </c>
      <c r="B44">
        <v>8632988</v>
      </c>
      <c r="C44" s="1" t="str">
        <f>IF($B44="","",HYPERLINK(IF(LEN(VLOOKUP($B44,Database!$B$1:$IX$10144,2,FALSE))=0,"",VLOOKUP($B44,Database!$B$1:$IX$10144,2,FALSE))))</f>
        <v/>
      </c>
      <c r="D44" s="1" t="str">
        <f t="shared" ref="D44:D59" si="2">IF($B44="","",HYPERLINK(CONCATENATE("http://www.ncbi.nlm.nih.gov/pubmed/",B44)))</f>
        <v>http://www.ncbi.nlm.nih.gov/pubmed/8632988</v>
      </c>
      <c r="E44" s="22" t="str">
        <f>IF($B44="","",IF(LEN(VLOOKUP($B44,Database!$B$1:$IX$10144,4,FALSE))=0,"",VLOOKUP($B44,Database!$B$1:$IX$10144,4,FALSE)))</f>
        <v>Sheline YI</v>
      </c>
      <c r="F44" s="22">
        <f>IF($B44="","",IF(LEN(VLOOKUP($B44,Database!$B$1:$IX$10144,5,FALSE))=0,"",VLOOKUP($B44,Database!$B$1:$IX$10144,5,FALSE)))</f>
        <v>1996</v>
      </c>
      <c r="G44" s="1" t="str">
        <f>IF($B44="","",HYPERLINK(IF(LEN(VLOOKUP($B44,Database!$B$1:$IX$10144,6,FALSE))=0,"",VLOOKUP($B44,Database!$B$1:$IX$10144,6,FALSE))))</f>
        <v>http://www.pnas.org/content/93/9/3908</v>
      </c>
      <c r="H44" s="22">
        <f>IF($B44="","",IF(LEN(VLOOKUP($B44,Database!$B$1:$IX$10144,7,FALSE))=0,"",VLOOKUP($B44,Database!$B$1:$IX$10144,7,FALSE)))</f>
        <v>10</v>
      </c>
      <c r="I44" s="22">
        <f>IF($B44="","",IF(LEN(VLOOKUP($B44,Database!$B$1:$IX$10144,8,FALSE))=0,"",VLOOKUP($B44,Database!$B$1:$IX$10144,8,FALSE)))</f>
        <v>10</v>
      </c>
      <c r="J44" t="s">
        <v>939</v>
      </c>
      <c r="L44">
        <v>2159</v>
      </c>
      <c r="M44">
        <v>301</v>
      </c>
      <c r="N44">
        <v>2544</v>
      </c>
      <c r="O44">
        <v>333</v>
      </c>
      <c r="P44">
        <v>2283</v>
      </c>
      <c r="Q44">
        <v>324</v>
      </c>
      <c r="R44">
        <v>2577</v>
      </c>
      <c r="S44">
        <v>259</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68.5</v>
      </c>
      <c r="AC44" s="22">
        <f>IF(OR($B44="",AC$22=""),"",IF(LEN(VLOOKUP($B44,Database!$B$1:$IX$10144,AC$22,FALSE))=0,"",VLOOKUP($B44,Database!$B$1:$IX$10144,AC$22,FALSE)))</f>
        <v>10.4</v>
      </c>
      <c r="AD44" s="22">
        <f>IF(OR($B44="",AD$22=""),"",IF(LEN(VLOOKUP($B44,Database!$B$1:$IX$10144,AD$22,FALSE))=0,"",VLOOKUP($B44,Database!$B$1:$IX$10144,AD$22,FALSE)))</f>
        <v>68</v>
      </c>
      <c r="AE44" s="22">
        <f>IF(OR($B44="",AE$22=""),"",IF(LEN(VLOOKUP($B44,Database!$B$1:$IX$10144,AE$22,FALSE))=0,"",VLOOKUP($B44,Database!$B$1:$IX$10144,AE$22,FALSE)))</f>
        <v>9.5</v>
      </c>
      <c r="AF44" s="22">
        <f>IF(OR($B44="",AF$22=""),"",IF(LEN(VLOOKUP($B44,Database!$B$1:$IX$10144,AF$22,FALSE))=0,"",VLOOKUP($B44,Database!$B$1:$IX$10144,AF$22,FALSE)))</f>
        <v>10</v>
      </c>
      <c r="AG44" s="22">
        <f>IF(OR($B44="",AG$22=""),"",IF(LEN(VLOOKUP($B44,Database!$B$1:$IX$10144,AG$22,FALSE))=0,"",VLOOKUP($B44,Database!$B$1:$IX$10144,AG$22,FALSE)))</f>
        <v>10</v>
      </c>
      <c r="AH44" s="22"/>
      <c r="AI44" s="22"/>
      <c r="AJ44" s="22" t="str">
        <f>IF(OR($B44="",AJ$22=""),"",IF(LEN(VLOOKUP($B44,Database!$B$1:$IX$10144,AJ$22,FALSE))=0,"",VLOOKUP($B44,Database!$B$1:$IX$10144,AJ$22,FALSE)))</f>
        <v/>
      </c>
      <c r="AK44" s="22" t="str">
        <f>IF(OR($B44="",AK$22=""),"",IF(LEN(VLOOKUP($B44,Database!$B$1:$IX$10144,AK$22,FALSE))=0,"",VLOOKUP($B44,Database!$B$1:$IX$10144,AK$22,FALSE)))</f>
        <v>ns</v>
      </c>
      <c r="AL44" s="22" t="str">
        <f>IF(OR($B44="",AL$22=""),"",IF(LEN(VLOOKUP($B44,Database!$B$1:$IX$10144,AL$22,FALSE))=0,"",VLOOKUP($B44,Database!$B$1:$IX$10144,AL$22,FALSE)))</f>
        <v>ns</v>
      </c>
      <c r="AM44" s="22">
        <f>IF(OR($B44="",AM$22=""),"",IF(LEN(VLOOKUP($B44,Database!$B$1:$IX$10144,AM$22,FALSE))=0,"",VLOOKUP($B44,Database!$B$1:$IX$10144,AM$22,FALSE)))</f>
        <v>80</v>
      </c>
      <c r="AN44" s="22" t="str">
        <f>IF(OR($B44="",AN$22=""),"",IF(LEN(VLOOKUP($B44,Database!$B$1:$IX$10144,AN$22,FALSE))=0,"",VLOOKUP($B44,Database!$B$1:$IX$10144,AN$22,FALSE)))</f>
        <v/>
      </c>
      <c r="AO44" s="22" t="str">
        <f>IF(OR($B44="",AO$22=""),"",IF(LEN(VLOOKUP($B44,Database!$B$1:$IX$10144,AO$22,FALSE))=0,"",VLOOKUP($B44,Database!$B$1:$IX$10144,AO$22,FALSE)))</f>
        <v/>
      </c>
      <c r="AP44" s="22" t="str">
        <f>IF(OR($B44="",AP$22=""),"",IF(LEN(VLOOKUP($B44,Database!$B$1:$IX$10144,AP$22,FALSE))=0,"",VLOOKUP($B44,Database!$B$1:$IX$10144,AP$22,FALSE)))</f>
        <v/>
      </c>
      <c r="AQ44" s="22" t="str">
        <f>IF(OR($B44="",AQ$22=""),"",IF(LEN(VLOOKUP($B44,Database!$B$1:$IX$10144,AQ$22,FALSE))=0,"",VLOOKUP($B44,Database!$B$1:$IX$10144,AQ$22,FALSE)))</f>
        <v>Sheline YI, Wang PW, Gado MH, Csernansky JG, Vannier MW.</v>
      </c>
    </row>
    <row r="45" spans="1:43">
      <c r="A45" s="10" t="s">
        <v>418</v>
      </c>
      <c r="B45">
        <v>10366636</v>
      </c>
      <c r="C45" s="1" t="str">
        <f>IF($B45="","",HYPERLINK(IF(LEN(VLOOKUP($B45,Database!$B$1:$IX$10144,2,FALSE))=0,"",VLOOKUP($B45,Database!$B$1:$IX$10144,2,FALSE))))</f>
        <v/>
      </c>
      <c r="D45" s="1" t="str">
        <f t="shared" si="2"/>
        <v>http://www.ncbi.nlm.nih.gov/pubmed/10366636</v>
      </c>
      <c r="E45" s="22" t="str">
        <f>IF($B45="","",IF(LEN(VLOOKUP($B45,Database!$B$1:$IX$10144,4,FALSE))=0,"",VLOOKUP($B45,Database!$B$1:$IX$10144,4,FALSE)))</f>
        <v>Sheline YI</v>
      </c>
      <c r="F45" s="22">
        <f>IF($B45="","",IF(LEN(VLOOKUP($B45,Database!$B$1:$IX$10144,5,FALSE))=0,"",VLOOKUP($B45,Database!$B$1:$IX$10144,5,FALSE)))</f>
        <v>1999</v>
      </c>
      <c r="G45" s="1" t="str">
        <f>IF($B45="","",HYPERLINK(IF(LEN(VLOOKUP($B45,Database!$B$1:$IX$10144,6,FALSE))=0,"",VLOOKUP($B45,Database!$B$1:$IX$10144,6,FALSE))))</f>
        <v>http://ajp.psychiatryonline.org/cgi/reprint/156/12/1989</v>
      </c>
      <c r="H45" s="22">
        <f>IF($B45="","",IF(LEN(VLOOKUP($B45,Database!$B$1:$IX$10144,7,FALSE))=0,"",VLOOKUP($B45,Database!$B$1:$IX$10144,7,FALSE)))</f>
        <v>24</v>
      </c>
      <c r="I45" s="22">
        <f>IF($B45="","",IF(LEN(VLOOKUP($B45,Database!$B$1:$IX$10144,8,FALSE))=0,"",VLOOKUP($B45,Database!$B$1:$IX$10144,8,FALSE)))</f>
        <v>24</v>
      </c>
      <c r="J45" t="s">
        <v>939</v>
      </c>
      <c r="L45">
        <v>2230</v>
      </c>
      <c r="M45">
        <v>323</v>
      </c>
      <c r="N45">
        <v>2482</v>
      </c>
      <c r="O45">
        <v>305</v>
      </c>
      <c r="P45">
        <v>2264</v>
      </c>
      <c r="Q45">
        <v>320</v>
      </c>
      <c r="R45">
        <v>2468</v>
      </c>
      <c r="S45">
        <v>309</v>
      </c>
      <c r="T45">
        <v>4496</v>
      </c>
      <c r="U45">
        <v>602</v>
      </c>
      <c r="V45">
        <v>4951</v>
      </c>
      <c r="W45">
        <v>601</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c r="AC45" s="22"/>
      <c r="AD45" s="22">
        <f>IF(OR($B45="",AD$22=""),"",IF(LEN(VLOOKUP($B45,Database!$B$1:$IX$10144,AD$22,FALSE))=0,"",VLOOKUP($B45,Database!$B$1:$IX$10144,AD$22,FALSE)))</f>
        <v>52.8</v>
      </c>
      <c r="AE45" s="22">
        <f>IF(OR($B45="",AE$22=""),"",IF(LEN(VLOOKUP($B45,Database!$B$1:$IX$10144,AE$22,FALSE))=0,"",VLOOKUP($B45,Database!$B$1:$IX$10144,AE$22,FALSE)))</f>
        <v>17.8</v>
      </c>
      <c r="AF45" s="22">
        <f>IF(OR($B45="",AF$22=""),"",IF(LEN(VLOOKUP($B45,Database!$B$1:$IX$10144,AF$22,FALSE))=0,"",VLOOKUP($B45,Database!$B$1:$IX$10144,AF$22,FALSE)))</f>
        <v>24</v>
      </c>
      <c r="AG45" s="22">
        <f>IF(OR($B45="",AG$22=""),"",IF(LEN(VLOOKUP($B45,Database!$B$1:$IX$10144,AG$22,FALSE))=0,"",VLOOKUP($B45,Database!$B$1:$IX$10144,AG$22,FALSE)))</f>
        <v>24</v>
      </c>
      <c r="AH45" s="22"/>
      <c r="AI45" s="22"/>
      <c r="AJ45" s="22" t="str">
        <f>IF(OR($B45="",AJ$22=""),"",IF(LEN(VLOOKUP($B45,Database!$B$1:$IX$10144,AJ$22,FALSE))=0,"",VLOOKUP($B45,Database!$B$1:$IX$10144,AJ$22,FALSE)))</f>
        <v/>
      </c>
      <c r="AK45" s="22" t="str">
        <f>IF(OR($B45="",AK$22=""),"",IF(LEN(VLOOKUP($B45,Database!$B$1:$IX$10144,AK$22,FALSE))=0,"",VLOOKUP($B45,Database!$B$1:$IX$10144,AK$22,FALSE)))</f>
        <v>ns</v>
      </c>
      <c r="AL45" s="22" t="str">
        <f>IF(OR($B45="",AL$22=""),"",IF(LEN(VLOOKUP($B45,Database!$B$1:$IX$10144,AL$22,FALSE))=0,"",VLOOKUP($B45,Database!$B$1:$IX$10144,AL$22,FALSE)))</f>
        <v>ns</v>
      </c>
      <c r="AM45" s="22">
        <f>IF(OR($B45="",AM$22=""),"",IF(LEN(VLOOKUP($B45,Database!$B$1:$IX$10144,AM$22,FALSE))=0,"",VLOOKUP($B45,Database!$B$1:$IX$10144,AM$22,FALSE)))</f>
        <v>66.666666666666657</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2" t="str">
        <f>IF(OR($B45="",AQ$22=""),"",IF(LEN(VLOOKUP($B45,Database!$B$1:$IX$10144,AQ$22,FALSE))=0,"",VLOOKUP($B45,Database!$B$1:$IX$10144,AQ$22,FALSE)))</f>
        <v>Sheline YI, Sanghavi M, Mintun MA, Gado MH.</v>
      </c>
    </row>
    <row r="46" spans="1:43">
      <c r="A46" s="10" t="s">
        <v>1188</v>
      </c>
      <c r="B46">
        <v>10960161</v>
      </c>
      <c r="C46" s="1" t="str">
        <f>IF($B46="","",HYPERLINK(IF(LEN(VLOOKUP($B46,Database!$B$1:$IX$10144,2,FALSE))=0,"",VLOOKUP($B46,Database!$B$1:$IX$10144,2,FALSE))))</f>
        <v/>
      </c>
      <c r="D46" s="1" t="str">
        <f t="shared" si="2"/>
        <v>http://www.ncbi.nlm.nih.gov/pubmed/10960161</v>
      </c>
      <c r="E46" s="22" t="str">
        <f>IF($B46="","",IF(LEN(VLOOKUP($B46,Database!$B$1:$IX$10144,4,FALSE))=0,"",VLOOKUP($B46,Database!$B$1:$IX$10144,4,FALSE)))</f>
        <v>Steffens DC</v>
      </c>
      <c r="F46" s="22">
        <f>IF($B46="","",IF(LEN(VLOOKUP($B46,Database!$B$1:$IX$10144,5,FALSE))=0,"",VLOOKUP($B46,Database!$B$1:$IX$10144,5,FALSE)))</f>
        <v>2000</v>
      </c>
      <c r="G46" s="1" t="str">
        <f>IF($B46="","",HYPERLINK(IF(LEN(VLOOKUP($B46,Database!$B$1:$IX$10144,6,FALSE))=0,"",VLOOKUP($B46,Database!$B$1:$IX$10144,6,FALSE))))</f>
        <v>http://dx.doi.org/10.1016/S0006-3223(00)00829-5</v>
      </c>
      <c r="H46" s="22">
        <f>IF($B46="","",IF(LEN(VLOOKUP($B46,Database!$B$1:$IX$10144,7,FALSE))=0,"",VLOOKUP($B46,Database!$B$1:$IX$10144,7,FALSE)))</f>
        <v>66</v>
      </c>
      <c r="I46" s="22">
        <f>IF($B46="","",IF(LEN(VLOOKUP($B46,Database!$B$1:$IX$10144,8,FALSE))=0,"",VLOOKUP($B46,Database!$B$1:$IX$10144,8,FALSE)))</f>
        <v>18</v>
      </c>
      <c r="J46" t="s">
        <v>1045</v>
      </c>
      <c r="L46">
        <v>2.92</v>
      </c>
      <c r="M46">
        <v>0.36</v>
      </c>
      <c r="N46">
        <v>3.17</v>
      </c>
      <c r="O46">
        <v>0.44</v>
      </c>
      <c r="P46">
        <v>2.98</v>
      </c>
      <c r="Q46">
        <v>0.39</v>
      </c>
      <c r="R46">
        <v>3.3</v>
      </c>
      <c r="S46">
        <v>0.44</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71.739999999999995</v>
      </c>
      <c r="AC46" s="22">
        <f>IF(OR($B46="",AC$22=""),"",IF(LEN(VLOOKUP($B46,Database!$B$1:$IX$10144,AC$22,FALSE))=0,"",VLOOKUP($B46,Database!$B$1:$IX$10144,AC$22,FALSE)))</f>
        <v>8.42</v>
      </c>
      <c r="AD46" s="22">
        <f>IF(OR($B46="",AD$22=""),"",IF(LEN(VLOOKUP($B46,Database!$B$1:$IX$10144,AD$22,FALSE))=0,"",VLOOKUP($B46,Database!$B$1:$IX$10144,AD$22,FALSE)))</f>
        <v>67.11</v>
      </c>
      <c r="AE46" s="22">
        <f>IF(OR($B46="",AE$22=""),"",IF(LEN(VLOOKUP($B46,Database!$B$1:$IX$10144,AE$22,FALSE))=0,"",VLOOKUP($B46,Database!$B$1:$IX$10144,AE$22,FALSE)))</f>
        <v>5.04</v>
      </c>
      <c r="AF46" s="22">
        <f>IF(OR($B46="",AF$22=""),"",IF(LEN(VLOOKUP($B46,Database!$B$1:$IX$10144,AF$22,FALSE))=0,"",VLOOKUP($B46,Database!$B$1:$IX$10144,AF$22,FALSE)))</f>
        <v>51</v>
      </c>
      <c r="AG46" s="22">
        <f>IF(OR($B46="",AG$22=""),"",IF(LEN(VLOOKUP($B46,Database!$B$1:$IX$10144,AG$22,FALSE))=0,"",VLOOKUP($B46,Database!$B$1:$IX$10144,AG$22,FALSE)))</f>
        <v>9</v>
      </c>
      <c r="AH46" s="22"/>
      <c r="AI46" s="22"/>
      <c r="AJ46" s="22" t="str">
        <f>IF(OR($B46="",AJ$22=""),"",IF(LEN(VLOOKUP($B46,Database!$B$1:$IX$10144,AJ$22,FALSE))=0,"",VLOOKUP($B46,Database!$B$1:$IX$10144,AJ$22,FALSE)))</f>
        <v/>
      </c>
      <c r="AK46" s="22" t="str">
        <f>IF(OR($B46="",AK$22=""),"",IF(LEN(VLOOKUP($B46,Database!$B$1:$IX$10144,AK$22,FALSE))=0,"",VLOOKUP($B46,Database!$B$1:$IX$10144,AK$22,FALSE)))</f>
        <v>ns</v>
      </c>
      <c r="AL46" s="22" t="str">
        <f>IF(OR($B46="",AL$22=""),"",IF(LEN(VLOOKUP($B46,Database!$B$1:$IX$10144,AL$22,FALSE))=0,"",VLOOKUP($B46,Database!$B$1:$IX$10144,AL$22,FALSE)))</f>
        <v>ns</v>
      </c>
      <c r="AM46" s="22" t="str">
        <f>IF(OR($B46="",AM$22=""),"",IF(LEN(VLOOKUP($B46,Database!$B$1:$IX$10144,AM$22,FALSE))=0,"",VLOOKUP($B46,Database!$B$1:$IX$10144,AM$22,FALSE)))</f>
        <v>ns</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Steffens DC, Byrum CE, McQuoid DR, Greenberg DL, Payne ME, Blitchington TF, MacFall JR, Krishnan KR.</v>
      </c>
    </row>
    <row r="47" spans="1:43">
      <c r="A47" s="10" t="s">
        <v>2335</v>
      </c>
      <c r="B47">
        <v>12091188</v>
      </c>
      <c r="C47" s="1" t="str">
        <f>IF($B47="","",HYPERLINK(IF(LEN(VLOOKUP($B47,Database!$B$1:$IX$10144,2,FALSE))=0,"",VLOOKUP($B47,Database!$B$1:$IX$10144,2,FALSE))))</f>
        <v/>
      </c>
      <c r="D47" s="1" t="str">
        <f t="shared" si="2"/>
        <v>http://www.ncbi.nlm.nih.gov/pubmed/12091188</v>
      </c>
      <c r="E47" s="22" t="str">
        <f>IF($B47="","",IF(LEN(VLOOKUP($B47,Database!$B$1:$IX$10144,4,FALSE))=0,"",VLOOKUP($B47,Database!$B$1:$IX$10144,4,FALSE)))</f>
        <v>Frodl T (B)</v>
      </c>
      <c r="F47" s="22">
        <f>IF($B47="","",IF(LEN(VLOOKUP($B47,Database!$B$1:$IX$10144,5,FALSE))=0,"",VLOOKUP($B47,Database!$B$1:$IX$10144,5,FALSE)))</f>
        <v>2002</v>
      </c>
      <c r="G47" s="1" t="str">
        <f>IF($B47="","",HYPERLINK(IF(LEN(VLOOKUP($B47,Database!$B$1:$IX$10144,6,FALSE))=0,"",VLOOKUP($B47,Database!$B$1:$IX$10144,6,FALSE))))</f>
        <v>http://ajp.psychiatryonline.org/cgi/reprint/159/7/1112</v>
      </c>
      <c r="H47" s="22">
        <f>IF($B47="","",IF(LEN(VLOOKUP($B47,Database!$B$1:$IX$10144,7,FALSE))=0,"",VLOOKUP($B47,Database!$B$1:$IX$10144,7,FALSE)))</f>
        <v>30</v>
      </c>
      <c r="I47" s="22">
        <f>IF($B47="","",IF(LEN(VLOOKUP($B47,Database!$B$1:$IX$10144,8,FALSE))=0,"",VLOOKUP($B47,Database!$B$1:$IX$10144,8,FALSE)))</f>
        <v>30</v>
      </c>
      <c r="J47" t="s">
        <v>869</v>
      </c>
      <c r="L47">
        <v>3681</v>
      </c>
      <c r="M47">
        <v>393</v>
      </c>
      <c r="N47">
        <v>3772</v>
      </c>
      <c r="O47">
        <v>397</v>
      </c>
      <c r="P47">
        <v>3847</v>
      </c>
      <c r="Q47">
        <v>400</v>
      </c>
      <c r="R47">
        <v>3763</v>
      </c>
      <c r="S47">
        <v>411</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f>IF(OR($B47="",AB$22=""),"",IF(LEN(VLOOKUP($B47,Database!$B$1:$IX$10144,AB$22,FALSE))=0,"",VLOOKUP($B47,Database!$B$1:$IX$10144,AB$22,FALSE)))</f>
        <v>40.299999999999997</v>
      </c>
      <c r="AC47" s="22">
        <f>IF(OR($B47="",AC$22=""),"",IF(LEN(VLOOKUP($B47,Database!$B$1:$IX$10144,AC$22,FALSE))=0,"",VLOOKUP($B47,Database!$B$1:$IX$10144,AC$22,FALSE)))</f>
        <v>12.6</v>
      </c>
      <c r="AD47" s="22">
        <f>IF(OR($B47="",AD$22=""),"",IF(LEN(VLOOKUP($B47,Database!$B$1:$IX$10144,AD$22,FALSE))=0,"",VLOOKUP($B47,Database!$B$1:$IX$10144,AD$22,FALSE)))</f>
        <v>40.6</v>
      </c>
      <c r="AE47" s="22">
        <f>IF(OR($B47="",AE$22=""),"",IF(LEN(VLOOKUP($B47,Database!$B$1:$IX$10144,AE$22,FALSE))=0,"",VLOOKUP($B47,Database!$B$1:$IX$10144,AE$22,FALSE)))</f>
        <v>12.5</v>
      </c>
      <c r="AF47" s="22">
        <f>IF(OR($B47="",AF$22=""),"",IF(LEN(VLOOKUP($B47,Database!$B$1:$IX$10144,AF$22,FALSE))=0,"",VLOOKUP($B47,Database!$B$1:$IX$10144,AF$22,FALSE)))</f>
        <v>17</v>
      </c>
      <c r="AG47" s="22">
        <f>IF(OR($B47="",AG$22=""),"",IF(LEN(VLOOKUP($B47,Database!$B$1:$IX$10144,AG$22,FALSE))=0,"",VLOOKUP($B47,Database!$B$1:$IX$10144,AG$22,FALSE)))</f>
        <v>17</v>
      </c>
      <c r="AH47" s="22"/>
      <c r="AI47" s="22"/>
      <c r="AJ47" s="22" t="str">
        <f>IF(OR($B47="",AJ$22=""),"",IF(LEN(VLOOKUP($B47,Database!$B$1:$IX$10144,AJ$22,FALSE))=0,"",VLOOKUP($B47,Database!$B$1:$IX$10144,AJ$22,FALSE)))</f>
        <v/>
      </c>
      <c r="AK47" s="22">
        <f>IF(OR($B47="",AK$22=""),"",IF(LEN(VLOOKUP($B47,Database!$B$1:$IX$10144,AK$22,FALSE))=0,"",VLOOKUP($B47,Database!$B$1:$IX$10144,AK$22,FALSE)))</f>
        <v>40</v>
      </c>
      <c r="AL47" s="22">
        <f>IF(OR($B47="",AL$22=""),"",IF(LEN(VLOOKUP($B47,Database!$B$1:$IX$10144,AL$22,FALSE))=0,"",VLOOKUP($B47,Database!$B$1:$IX$10144,AL$22,FALSE)))</f>
        <v>24.8</v>
      </c>
      <c r="AM47" s="22" t="str">
        <f>IF(OR($B47="",AM$22=""),"",IF(LEN(VLOOKUP($B47,Database!$B$1:$IX$10144,AM$22,FALSE))=0,"",VLOOKUP($B47,Database!$B$1:$IX$10144,AM$22,FALSE)))</f>
        <v>ns</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Frodl T, Meisenzahl EM, Zetzsche T, Born C, Groll C, Jager M, Leinsinger G, Bottlender R, Hahn K, Moller HJ.</v>
      </c>
    </row>
    <row r="48" spans="1:43">
      <c r="A48" s="10" t="s">
        <v>2335</v>
      </c>
      <c r="B48">
        <v>15119911</v>
      </c>
      <c r="C48" s="1" t="str">
        <f>IF($B48="","",HYPERLINK(IF(LEN(VLOOKUP($B48,Database!$B$1:$IX$10144,2,FALSE))=0,"",VLOOKUP($B48,Database!$B$1:$IX$10144,2,FALSE))))</f>
        <v/>
      </c>
      <c r="D48" s="1" t="str">
        <f t="shared" si="2"/>
        <v>http://www.ncbi.nlm.nih.gov/pubmed/15119911</v>
      </c>
      <c r="E48" s="22" t="str">
        <f>IF($B48="","",IF(LEN(VLOOKUP($B48,Database!$B$1:$IX$10144,4,FALSE))=0,"",VLOOKUP($B48,Database!$B$1:$IX$10144,4,FALSE)))</f>
        <v>Frodl T (B)</v>
      </c>
      <c r="F48" s="22">
        <f>IF($B48="","",IF(LEN(VLOOKUP($B48,Database!$B$1:$IX$10144,5,FALSE))=0,"",VLOOKUP($B48,Database!$B$1:$IX$10144,5,FALSE)))</f>
        <v>2004</v>
      </c>
      <c r="G48" s="1" t="str">
        <f>IF($B48="","",HYPERLINK(IF(LEN(VLOOKUP($B48,Database!$B$1:$IX$10144,6,FALSE))=0,"",VLOOKUP($B48,Database!$B$1:$IX$10144,6,FALSE))))</f>
        <v>http://www.psychiatrist.com/abstracts/abstracts.asp?abstract=200404/040405.htm</v>
      </c>
      <c r="H48" s="22">
        <f>IF($B48="","",IF(LEN(VLOOKUP($B48,Database!$B$1:$IX$10144,7,FALSE))=0,"",VLOOKUP($B48,Database!$B$1:$IX$10144,7,FALSE)))</f>
        <v>30</v>
      </c>
      <c r="I48" s="22">
        <f>IF($B48="","",IF(LEN(VLOOKUP($B48,Database!$B$1:$IX$10144,8,FALSE))=0,"",VLOOKUP($B48,Database!$B$1:$IX$10144,8,FALSE)))</f>
        <v>30</v>
      </c>
      <c r="J48" t="s">
        <v>1381</v>
      </c>
      <c r="L48">
        <v>3.7</v>
      </c>
      <c r="M48">
        <v>0.33</v>
      </c>
      <c r="N48">
        <v>3.82</v>
      </c>
      <c r="O48">
        <v>0.34</v>
      </c>
      <c r="P48">
        <v>3.8</v>
      </c>
      <c r="Q48">
        <v>0.31</v>
      </c>
      <c r="R48">
        <v>3.93</v>
      </c>
      <c r="S48">
        <v>0.35</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22">
        <f>IF(OR($B48="",AB$22=""),"",IF(LEN(VLOOKUP($B48,Database!$B$1:$IX$10144,AB$22,FALSE))=0,"",VLOOKUP($B48,Database!$B$1:$IX$10144,AB$22,FALSE)))</f>
        <v>48.4</v>
      </c>
      <c r="AC48" s="22">
        <f>IF(OR($B48="",AC$22=""),"",IF(LEN(VLOOKUP($B48,Database!$B$1:$IX$10144,AC$22,FALSE))=0,"",VLOOKUP($B48,Database!$B$1:$IX$10144,AC$22,FALSE)))</f>
        <v>13.4</v>
      </c>
      <c r="AD48" s="22">
        <f>IF(OR($B48="",AD$22=""),"",IF(LEN(VLOOKUP($B48,Database!$B$1:$IX$10144,AD$22,FALSE))=0,"",VLOOKUP($B48,Database!$B$1:$IX$10144,AD$22,FALSE)))</f>
        <v>45.7</v>
      </c>
      <c r="AE48" s="22">
        <f>IF(OR($B48="",AE$22=""),"",IF(LEN(VLOOKUP($B48,Database!$B$1:$IX$10144,AE$22,FALSE))=0,"",VLOOKUP($B48,Database!$B$1:$IX$10144,AE$22,FALSE)))</f>
        <v>12.9</v>
      </c>
      <c r="AF48" s="22">
        <f>IF(OR($B48="",AF$22=""),"",IF(LEN(VLOOKUP($B48,Database!$B$1:$IX$10144,AF$22,FALSE))=0,"",VLOOKUP($B48,Database!$B$1:$IX$10144,AF$22,FALSE)))</f>
        <v>18</v>
      </c>
      <c r="AG48" s="22">
        <f>IF(OR($B48="",AG$22=""),"",IF(LEN(VLOOKUP($B48,Database!$B$1:$IX$10144,AG$22,FALSE))=0,"",VLOOKUP($B48,Database!$B$1:$IX$10144,AG$22,FALSE)))</f>
        <v>18</v>
      </c>
      <c r="AH48" s="22"/>
      <c r="AI48" s="22"/>
      <c r="AJ48" s="22" t="str">
        <f>IF(OR($B48="",AJ$22=""),"",IF(LEN(VLOOKUP($B48,Database!$B$1:$IX$10144,AJ$22,FALSE))=0,"",VLOOKUP($B48,Database!$B$1:$IX$10144,AJ$22,FALSE)))</f>
        <v/>
      </c>
      <c r="AK48" s="22">
        <f>IF(OR($B48="",AK$22=""),"",IF(LEN(VLOOKUP($B48,Database!$B$1:$IX$10144,AK$22,FALSE))=0,"",VLOOKUP($B48,Database!$B$1:$IX$10144,AK$22,FALSE)))</f>
        <v>39.299999999999997</v>
      </c>
      <c r="AL48" s="22">
        <f>IF(OR($B48="",AL$22=""),"",IF(LEN(VLOOKUP($B48,Database!$B$1:$IX$10144,AL$22,FALSE))=0,"",VLOOKUP($B48,Database!$B$1:$IX$10144,AL$22,FALSE)))</f>
        <v>23.7</v>
      </c>
      <c r="AM48" s="22" t="str">
        <f>IF(OR($B48="",AM$22=""),"",IF(LEN(VLOOKUP($B48,Database!$B$1:$IX$10144,AM$22,FALSE))=0,"",VLOOKUP($B48,Database!$B$1:$IX$10144,AM$22,FALSE)))</f>
        <v>ns</v>
      </c>
      <c r="AN48" s="22">
        <f>IF(OR($B48="",AN$22=""),"",IF(LEN(VLOOKUP($B48,Database!$B$1:$IX$10144,AN$22,FALSE))=0,"",VLOOKUP($B48,Database!$B$1:$IX$10144,AN$22,FALSE)))</f>
        <v>23.333333333333332</v>
      </c>
      <c r="AO48" s="22" t="str">
        <f>IF(OR($B48="",AO$22=""),"",IF(LEN(VLOOKUP($B48,Database!$B$1:$IX$10144,AO$22,FALSE))=0,"",VLOOKUP($B48,Database!$B$1:$IX$10144,AO$22,FALSE)))</f>
        <v>ns</v>
      </c>
      <c r="AP48" s="22">
        <f>IF(OR($B48="",AP$22=""),"",IF(LEN(VLOOKUP($B48,Database!$B$1:$IX$10144,AP$22,FALSE))=0,"",VLOOKUP($B48,Database!$B$1:$IX$10144,AP$22,FALSE)))</f>
        <v>6.666666666666667</v>
      </c>
      <c r="AQ48" s="22" t="str">
        <f>IF(OR($B48="",AQ$22=""),"",IF(LEN(VLOOKUP($B48,Database!$B$1:$IX$10144,AQ$22,FALSE))=0,"",VLOOKUP($B48,Database!$B$1:$IX$10144,AQ$22,FALSE)))</f>
        <v>Frodl T, Meisenzahl EM, Zetzsche T, Hohne T, Banac S, Schorr C, Jager M, Leinsinger G, Bottlender R, Reiser M, Moller HJ.</v>
      </c>
    </row>
    <row r="49" spans="1:62">
      <c r="A49" s="7" t="s">
        <v>72</v>
      </c>
      <c r="B49">
        <v>15738499</v>
      </c>
      <c r="C49" s="1" t="str">
        <f>IF($B49="","",HYPERLINK(IF(LEN(VLOOKUP($B49,Database!$B$1:$IX$10144,2,FALSE))=0,"",VLOOKUP($B49,Database!$B$1:$IX$10144,2,FALSE))))</f>
        <v/>
      </c>
      <c r="D49" s="1" t="str">
        <f t="shared" si="2"/>
        <v>http://www.ncbi.nlm.nih.gov/pubmed/15738499</v>
      </c>
      <c r="E49" s="22" t="str">
        <f>IF($B49="","",IF(LEN(VLOOKUP($B49,Database!$B$1:$IX$10144,4,FALSE))=0,"",VLOOKUP($B49,Database!$B$1:$IX$10144,4,FALSE)))</f>
        <v>Hickie I (A)</v>
      </c>
      <c r="F49" s="22">
        <f>IF($B49="","",IF(LEN(VLOOKUP($B49,Database!$B$1:$IX$10144,5,FALSE))=0,"",VLOOKUP($B49,Database!$B$1:$IX$10144,5,FALSE)))</f>
        <v>2005</v>
      </c>
      <c r="G49" s="1" t="str">
        <f>IF($B49="","",HYPERLINK(IF(LEN(VLOOKUP($B49,Database!$B$1:$IX$10144,6,FALSE))=0,"",VLOOKUP($B49,Database!$B$1:$IX$10144,6,FALSE))))</f>
        <v>http://bjp.rcpsych.org/cgi/content/full/186/3/197</v>
      </c>
      <c r="H49" s="22">
        <f>IF($B49="","",IF(LEN(VLOOKUP($B49,Database!$B$1:$IX$10144,7,FALSE))=0,"",VLOOKUP($B49,Database!$B$1:$IX$10144,7,FALSE)))</f>
        <v>51</v>
      </c>
      <c r="I49" s="22">
        <f>IF($B49="","",IF(LEN(VLOOKUP($B49,Database!$B$1:$IX$10144,8,FALSE))=0,"",VLOOKUP($B49,Database!$B$1:$IX$10144,8,FALSE)))</f>
        <v>20</v>
      </c>
      <c r="J49" t="s">
        <v>1054</v>
      </c>
      <c r="L49">
        <v>2.9</v>
      </c>
      <c r="M49">
        <v>0.4</v>
      </c>
      <c r="N49">
        <v>3.3</v>
      </c>
      <c r="O49">
        <v>0.5</v>
      </c>
      <c r="P49">
        <v>3</v>
      </c>
      <c r="Q49">
        <v>0.4</v>
      </c>
      <c r="R49">
        <v>3.3</v>
      </c>
      <c r="S49">
        <v>0.6</v>
      </c>
      <c r="T49">
        <v>5.9</v>
      </c>
      <c r="U49">
        <v>0.7</v>
      </c>
      <c r="V49">
        <v>6.6</v>
      </c>
      <c r="W49">
        <v>1.1000000000000001</v>
      </c>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53.5</v>
      </c>
      <c r="AC49" s="22">
        <f>IF(OR($B49="",AC$22=""),"",IF(LEN(VLOOKUP($B49,Database!$B$1:$IX$10144,AC$22,FALSE))=0,"",VLOOKUP($B49,Database!$B$1:$IX$10144,AC$22,FALSE)))</f>
        <v>13.5</v>
      </c>
      <c r="AD49" s="22">
        <f>IF(OR($B49="",AD$22=""),"",IF(LEN(VLOOKUP($B49,Database!$B$1:$IX$10144,AD$22,FALSE))=0,"",VLOOKUP($B49,Database!$B$1:$IX$10144,AD$22,FALSE)))</f>
        <v>55.8</v>
      </c>
      <c r="AE49" s="22">
        <f>IF(OR($B49="",AE$22=""),"",IF(LEN(VLOOKUP($B49,Database!$B$1:$IX$10144,AE$22,FALSE))=0,"",VLOOKUP($B49,Database!$B$1:$IX$10144,AE$22,FALSE)))</f>
        <v>10</v>
      </c>
      <c r="AF49" s="22">
        <f>IF(OR($B49="",AF$22=""),"",IF(LEN(VLOOKUP($B49,Database!$B$1:$IX$10144,AF$22,FALSE))=0,"",VLOOKUP($B49,Database!$B$1:$IX$10144,AF$22,FALSE)))</f>
        <v>44</v>
      </c>
      <c r="AG49" s="22">
        <f>IF(OR($B49="",AG$22=""),"",IF(LEN(VLOOKUP($B49,Database!$B$1:$IX$10144,AG$22,FALSE))=0,"",VLOOKUP($B49,Database!$B$1:$IX$10144,AG$22,FALSE)))</f>
        <v>11</v>
      </c>
      <c r="AH49" s="22">
        <f>IF(OR($B49="",AH$22=""),"",IF(LEN(VLOOKUP($B49,Database!$B$1:$IX$10144,AH$22,FALSE))=0,"",VLOOKUP($B49,Database!$B$1:$IX$10144,AH$22,FALSE)))</f>
        <v>1.5</v>
      </c>
      <c r="AI49" s="22">
        <f>IF(OR($B49="",AI$22=""),"",IF(LEN(VLOOKUP($B49,Database!$B$1:$IX$10144,AI$22,FALSE))=0,"",VLOOKUP($B49,Database!$B$1:$IX$10144,AI$22,FALSE)))</f>
        <v>1.5</v>
      </c>
      <c r="AJ49" s="22" t="str">
        <f>IF(OR($B49="",AJ$22=""),"",IF(LEN(VLOOKUP($B49,Database!$B$1:$IX$10144,AJ$22,FALSE))=0,"",VLOOKUP($B49,Database!$B$1:$IX$10144,AJ$22,FALSE)))</f>
        <v/>
      </c>
      <c r="AK49" s="22">
        <f>IF(OR($B49="",AK$22=""),"",IF(LEN(VLOOKUP($B49,Database!$B$1:$IX$10144,AK$22,FALSE))=0,"",VLOOKUP($B49,Database!$B$1:$IX$10144,AK$22,FALSE)))</f>
        <v>38.4</v>
      </c>
      <c r="AL49" s="22">
        <f>IF(OR($B49="",AL$22=""),"",IF(LEN(VLOOKUP($B49,Database!$B$1:$IX$10144,AL$22,FALSE))=0,"",VLOOKUP($B49,Database!$B$1:$IX$10144,AL$22,FALSE)))</f>
        <v>24.9</v>
      </c>
      <c r="AM49" s="22" t="str">
        <f>IF(OR($B49="",AM$22=""),"",IF(LEN(VLOOKUP($B49,Database!$B$1:$IX$10144,AM$22,FALSE))=0,"",VLOOKUP($B49,Database!$B$1:$IX$10144,AM$22,FALSE)))</f>
        <v>ns</v>
      </c>
      <c r="AN49" s="22" t="str">
        <f>IF(OR($B49="",AN$22=""),"",IF(LEN(VLOOKUP($B49,Database!$B$1:$IX$10144,AN$22,FALSE))=0,"",VLOOKUP($B49,Database!$B$1:$IX$10144,AN$22,FALSE)))</f>
        <v>ns</v>
      </c>
      <c r="AO49" s="22" t="str">
        <f>IF(OR($B49="",AO$22=""),"",IF(LEN(VLOOKUP($B49,Database!$B$1:$IX$10144,AO$22,FALSE))=0,"",VLOOKUP($B49,Database!$B$1:$IX$10144,AO$22,FALSE)))</f>
        <v>ns</v>
      </c>
      <c r="AP49" s="22" t="str">
        <f>IF(OR($B49="",AP$22=""),"",IF(LEN(VLOOKUP($B49,Database!$B$1:$IX$10144,AP$22,FALSE))=0,"",VLOOKUP($B49,Database!$B$1:$IX$10144,AP$22,FALSE)))</f>
        <v>ns</v>
      </c>
      <c r="AQ49" s="22" t="str">
        <f>IF(OR($B49="",AQ$22=""),"",IF(LEN(VLOOKUP($B49,Database!$B$1:$IX$10144,AQ$22,FALSE))=0,"",VLOOKUP($B49,Database!$B$1:$IX$10144,AQ$22,FALSE)))</f>
        <v>Hickie I, Naismith S, Ward PB, Turner K, Scott E, Mitchell P, Wilhelm K, Parker G.</v>
      </c>
    </row>
    <row r="50" spans="1:62">
      <c r="A50" s="10" t="s">
        <v>2335</v>
      </c>
      <c r="B50">
        <v>16951734</v>
      </c>
      <c r="C50" s="1" t="str">
        <f>IF($B50="","",HYPERLINK(IF(LEN(VLOOKUP($B50,Database!$B$1:$IX$10144,2,FALSE))=0,"",VLOOKUP($B50,Database!$B$1:$IX$10144,2,FALSE))))</f>
        <v/>
      </c>
      <c r="D50" s="1" t="str">
        <f t="shared" si="2"/>
        <v>http://www.ncbi.nlm.nih.gov/pubmed/16951734</v>
      </c>
      <c r="E50" s="22" t="str">
        <f>IF($B50="","",IF(LEN(VLOOKUP($B50,Database!$B$1:$IX$10144,4,FALSE))=0,"",VLOOKUP($B50,Database!$B$1:$IX$10144,4,FALSE)))</f>
        <v>Frodl T</v>
      </c>
      <c r="F50" s="22">
        <f>IF($B50="","",IF(LEN(VLOOKUP($B50,Database!$B$1:$IX$10144,5,FALSE))=0,"",VLOOKUP($B50,Database!$B$1:$IX$10144,5,FALSE)))</f>
        <v>2006</v>
      </c>
      <c r="G50" s="1" t="str">
        <f>IF($B50="","",HYPERLINK(IF(LEN(VLOOKUP($B50,Database!$B$1:$IX$10144,6,FALSE))=0,"",VLOOKUP($B50,Database!$B$1:$IX$10144,6,FALSE))))</f>
        <v>http://www.cma.ca/multimedia/staticContent/HTML/N0/l2/jpn/vol-31/issue-5/pdf/pg316.pdf</v>
      </c>
      <c r="H50" s="22">
        <f>IF($B50="","",IF(LEN(VLOOKUP($B50,Database!$B$1:$IX$10144,7,FALSE))=0,"",VLOOKUP($B50,Database!$B$1:$IX$10144,7,FALSE)))</f>
        <v>34</v>
      </c>
      <c r="I50" s="22">
        <f>IF($B50="","",IF(LEN(VLOOKUP($B50,Database!$B$1:$IX$10144,8,FALSE))=0,"",VLOOKUP($B50,Database!$B$1:$IX$10144,8,FALSE)))</f>
        <v>34</v>
      </c>
      <c r="J50" t="s">
        <v>878</v>
      </c>
      <c r="L50">
        <v>2.79</v>
      </c>
      <c r="M50">
        <v>0.31</v>
      </c>
      <c r="N50">
        <v>3.06</v>
      </c>
      <c r="O50">
        <v>0.3</v>
      </c>
      <c r="P50">
        <v>2.92</v>
      </c>
      <c r="Q50">
        <v>0.28999999999999998</v>
      </c>
      <c r="R50">
        <v>3.14</v>
      </c>
      <c r="S50">
        <v>0.3</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45.5</v>
      </c>
      <c r="AC50" s="22">
        <f>IF(OR($B50="",AC$22=""),"",IF(LEN(VLOOKUP($B50,Database!$B$1:$IX$10144,AC$22,FALSE))=0,"",VLOOKUP($B50,Database!$B$1:$IX$10144,AC$22,FALSE)))</f>
        <v>11.9</v>
      </c>
      <c r="AD50" s="22">
        <f>IF(OR($B50="",AD$22=""),"",IF(LEN(VLOOKUP($B50,Database!$B$1:$IX$10144,AD$22,FALSE))=0,"",VLOOKUP($B50,Database!$B$1:$IX$10144,AD$22,FALSE)))</f>
        <v>43.6</v>
      </c>
      <c r="AE50" s="22">
        <f>IF(OR($B50="",AE$22=""),"",IF(LEN(VLOOKUP($B50,Database!$B$1:$IX$10144,AE$22,FALSE))=0,"",VLOOKUP($B50,Database!$B$1:$IX$10144,AE$22,FALSE)))</f>
        <v>13.2</v>
      </c>
      <c r="AF50" s="22">
        <f>IF(OR($B50="",AF$22=""),"",IF(LEN(VLOOKUP($B50,Database!$B$1:$IX$10144,AF$22,FALSE))=0,"",VLOOKUP($B50,Database!$B$1:$IX$10144,AF$22,FALSE)))</f>
        <v>15</v>
      </c>
      <c r="AG50" s="22">
        <f>IF(OR($B50="",AG$22=""),"",IF(LEN(VLOOKUP($B50,Database!$B$1:$IX$10144,AG$22,FALSE))=0,"",VLOOKUP($B50,Database!$B$1:$IX$10144,AG$22,FALSE)))</f>
        <v>15</v>
      </c>
      <c r="AH50" s="22"/>
      <c r="AI50" s="22"/>
      <c r="AJ50" s="22" t="str">
        <f>IF(OR($B50="",AJ$22=""),"",IF(LEN(VLOOKUP($B50,Database!$B$1:$IX$10144,AJ$22,FALSE))=0,"",VLOOKUP($B50,Database!$B$1:$IX$10144,AJ$22,FALSE)))</f>
        <v/>
      </c>
      <c r="AK50" s="22">
        <f>IF(OR($B50="",AK$22=""),"",IF(LEN(VLOOKUP($B50,Database!$B$1:$IX$10144,AK$22,FALSE))=0,"",VLOOKUP($B50,Database!$B$1:$IX$10144,AK$22,FALSE)))</f>
        <v>38.799999999999997</v>
      </c>
      <c r="AL50" s="22">
        <f>IF(OR($B50="",AL$22=""),"",IF(LEN(VLOOKUP($B50,Database!$B$1:$IX$10144,AL$22,FALSE))=0,"",VLOOKUP($B50,Database!$B$1:$IX$10144,AL$22,FALSE)))</f>
        <v>24.8</v>
      </c>
      <c r="AM50" s="22">
        <f>IF(OR($B50="",AM$22=""),"",IF(LEN(VLOOKUP($B50,Database!$B$1:$IX$10144,AM$22,FALSE))=0,"",VLOOKUP($B50,Database!$B$1:$IX$10144,AM$22,FALSE)))</f>
        <v>91.17647058823529</v>
      </c>
      <c r="AN50" s="22" t="str">
        <f>IF(OR($B50="",AN$22=""),"",IF(LEN(VLOOKUP($B50,Database!$B$1:$IX$10144,AN$22,FALSE))=0,"",VLOOKUP($B50,Database!$B$1:$IX$10144,AN$22,FALSE)))</f>
        <v>ns</v>
      </c>
      <c r="AO50" s="22">
        <f>IF(OR($B50="",AO$22=""),"",IF(LEN(VLOOKUP($B50,Database!$B$1:$IX$10144,AO$22,FALSE))=0,"",VLOOKUP($B50,Database!$B$1:$IX$10144,AO$22,FALSE)))</f>
        <v>11.76470588235294</v>
      </c>
      <c r="AP50" s="22">
        <f>IF(OR($B50="",AP$22=""),"",IF(LEN(VLOOKUP($B50,Database!$B$1:$IX$10144,AP$22,FALSE))=0,"",VLOOKUP($B50,Database!$B$1:$IX$10144,AP$22,FALSE)))</f>
        <v>8.8235294117647065</v>
      </c>
      <c r="AQ50" s="22" t="str">
        <f>IF(OR($B50="",AQ$22=""),"",IF(LEN(VLOOKUP($B50,Database!$B$1:$IX$10144,AQ$22,FALSE))=0,"",VLOOKUP($B50,Database!$B$1:$IX$10144,AQ$22,FALSE)))</f>
        <v>Frodl T, Schaub A, Banac S, Charypar M, Jager M, Kummler P, Bottlender R, Zetzsche T, Born C, Leinsinger G, Reiser M, Moller HJ, Meisenzahl EM.</v>
      </c>
    </row>
    <row r="51" spans="1:62">
      <c r="A51" s="10" t="s">
        <v>2336</v>
      </c>
      <c r="B51">
        <v>17389903</v>
      </c>
      <c r="C51" s="1" t="str">
        <f>IF($B51="","",HYPERLINK(IF(LEN(VLOOKUP($B51,Database!$B$1:$IX$10144,2,FALSE))=0,"",VLOOKUP($B51,Database!$B$1:$IX$10144,2,FALSE))))</f>
        <v/>
      </c>
      <c r="D51" s="1" t="str">
        <f t="shared" si="2"/>
        <v>http://www.ncbi.nlm.nih.gov/pubmed/17389903</v>
      </c>
      <c r="E51" s="22" t="str">
        <f>IF($B51="","",IF(LEN(VLOOKUP($B51,Database!$B$1:$IX$10144,4,FALSE))=0,"",VLOOKUP($B51,Database!$B$1:$IX$10144,4,FALSE)))</f>
        <v>Monkul ES</v>
      </c>
      <c r="F51" s="22">
        <f>IF($B51="","",IF(LEN(VLOOKUP($B51,Database!$B$1:$IX$10144,5,FALSE))=0,"",VLOOKUP($B51,Database!$B$1:$IX$10144,5,FALSE)))</f>
        <v>2007</v>
      </c>
      <c r="G51" s="1" t="str">
        <f>IF($B51="","",HYPERLINK(IF(LEN(VLOOKUP($B51,Database!$B$1:$IX$10144,6,FALSE))=0,"",VLOOKUP($B51,Database!$B$1:$IX$10144,6,FALSE))))</f>
        <v>http://www.nature.com/mp/journal/v12/n4/pdf/4001919a.pdf</v>
      </c>
      <c r="H51" s="83">
        <v>7</v>
      </c>
      <c r="I51" s="83">
        <v>8.5</v>
      </c>
      <c r="J51" t="s">
        <v>1378</v>
      </c>
      <c r="K51" t="s">
        <v>988</v>
      </c>
      <c r="L51">
        <v>3.44</v>
      </c>
      <c r="M51">
        <v>0.7</v>
      </c>
      <c r="N51">
        <v>3.32</v>
      </c>
      <c r="O51">
        <v>0.27</v>
      </c>
      <c r="P51">
        <v>3.35</v>
      </c>
      <c r="Q51">
        <v>0.49</v>
      </c>
      <c r="R51">
        <v>3.29</v>
      </c>
      <c r="S51">
        <v>0.34</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83">
        <v>31.4</v>
      </c>
      <c r="AC51" s="83">
        <v>13.9</v>
      </c>
      <c r="AD51" s="83">
        <f>IF(OR($B51="",AD$22=""),"",IF(LEN(VLOOKUP($B51,Database!$B$1:$IX$10144,AD$22,FALSE))=0,"",VLOOKUP($B51,Database!$B$1:$IX$10144,AD$22,FALSE)))</f>
        <v>31.3</v>
      </c>
      <c r="AE51" s="83">
        <f>IF(OR($B51="",AE$22=""),"",IF(LEN(VLOOKUP($B51,Database!$B$1:$IX$10144,AE$22,FALSE))=0,"",VLOOKUP($B51,Database!$B$1:$IX$10144,AE$22,FALSE)))</f>
        <v>8.3000000000000007</v>
      </c>
      <c r="AF51" s="83">
        <v>7</v>
      </c>
      <c r="AG51" s="83">
        <v>8.5</v>
      </c>
      <c r="AH51" s="22"/>
      <c r="AI51" s="22"/>
      <c r="AJ51" s="22" t="str">
        <f>IF(OR($B51="",AJ$22=""),"",IF(LEN(VLOOKUP($B51,Database!$B$1:$IX$10144,AJ$22,FALSE))=0,"",VLOOKUP($B51,Database!$B$1:$IX$10144,AJ$22,FALSE)))</f>
        <v/>
      </c>
      <c r="AK51" s="83">
        <v>16</v>
      </c>
      <c r="AL51" s="83">
        <v>13.7</v>
      </c>
      <c r="AM51" s="22">
        <f>IF(OR($B51="",AM$22=""),"",IF(LEN(VLOOKUP($B51,Database!$B$1:$IX$10144,AM$22,FALSE))=0,"",VLOOKUP($B51,Database!$B$1:$IX$10144,AM$22,FALSE)))</f>
        <v>0</v>
      </c>
      <c r="AN51" s="22">
        <f>IF(OR($B51="",AN$22=""),"",IF(LEN(VLOOKUP($B51,Database!$B$1:$IX$10144,AN$22,FALSE))=0,"",VLOOKUP($B51,Database!$B$1:$IX$10144,AN$22,FALSE)))</f>
        <v>0</v>
      </c>
      <c r="AO51" s="22">
        <f>IF(OR($B51="",AO$22=""),"",IF(LEN(VLOOKUP($B51,Database!$B$1:$IX$10144,AO$22,FALSE))=0,"",VLOOKUP($B51,Database!$B$1:$IX$10144,AO$22,FALSE)))</f>
        <v>0</v>
      </c>
      <c r="AP51" s="22">
        <f>IF(OR($B51="",AP$22=""),"",IF(LEN(VLOOKUP($B51,Database!$B$1:$IX$10144,AP$22,FALSE))=0,"",VLOOKUP($B51,Database!$B$1:$IX$10144,AP$22,FALSE)))</f>
        <v>100</v>
      </c>
      <c r="AQ51" s="22" t="str">
        <f>IF(OR($B51="",AQ$22=""),"",IF(LEN(VLOOKUP($B51,Database!$B$1:$IX$10144,AQ$22,FALSE))=0,"",VLOOKUP($B51,Database!$B$1:$IX$10144,AQ$22,FALSE)))</f>
        <v>Monkul ES, Hatch JP, Nicoletti MA, Spence S, Brambilla P, Lacerda AL, Sassi RB, Mallinger AG, Keshavan MS, Soares JC.</v>
      </c>
    </row>
    <row r="52" spans="1:62">
      <c r="A52" s="10" t="s">
        <v>2336</v>
      </c>
      <c r="B52">
        <v>17389903</v>
      </c>
      <c r="C52" s="1" t="str">
        <f>IF($B52="","",HYPERLINK(IF(LEN(VLOOKUP($B52,Database!$B$1:$IX$10144,2,FALSE))=0,"",VLOOKUP($B52,Database!$B$1:$IX$10144,2,FALSE))))</f>
        <v/>
      </c>
      <c r="D52" s="1" t="str">
        <f t="shared" si="2"/>
        <v>http://www.ncbi.nlm.nih.gov/pubmed/17389903</v>
      </c>
      <c r="E52" s="22" t="str">
        <f>IF($B52="","",IF(LEN(VLOOKUP($B52,Database!$B$1:$IX$10144,4,FALSE))=0,"",VLOOKUP($B52,Database!$B$1:$IX$10144,4,FALSE)))</f>
        <v>Monkul ES</v>
      </c>
      <c r="F52" s="22">
        <f>IF($B52="","",IF(LEN(VLOOKUP($B52,Database!$B$1:$IX$10144,5,FALSE))=0,"",VLOOKUP($B52,Database!$B$1:$IX$10144,5,FALSE)))</f>
        <v>2007</v>
      </c>
      <c r="G52" s="1" t="str">
        <f>IF($B52="","",HYPERLINK(IF(LEN(VLOOKUP($B52,Database!$B$1:$IX$10144,6,FALSE))=0,"",VLOOKUP($B52,Database!$B$1:$IX$10144,6,FALSE))))</f>
        <v>http://www.nature.com/mp/journal/v12/n4/pdf/4001919a.pdf</v>
      </c>
      <c r="H52" s="83">
        <v>10</v>
      </c>
      <c r="I52" s="83">
        <v>8.5</v>
      </c>
      <c r="J52" t="s">
        <v>1378</v>
      </c>
      <c r="K52" t="s">
        <v>989</v>
      </c>
      <c r="L52">
        <v>3.38</v>
      </c>
      <c r="M52">
        <v>0.43</v>
      </c>
      <c r="N52">
        <v>3.32</v>
      </c>
      <c r="O52">
        <v>0.27</v>
      </c>
      <c r="P52">
        <v>3.47</v>
      </c>
      <c r="Q52">
        <v>0.42</v>
      </c>
      <c r="R52">
        <v>3.29</v>
      </c>
      <c r="S52">
        <v>0.34</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83">
        <v>36.5</v>
      </c>
      <c r="AC52" s="83">
        <v>7.5</v>
      </c>
      <c r="AD52" s="83">
        <f>IF(OR($B52="",AD$22=""),"",IF(LEN(VLOOKUP($B52,Database!$B$1:$IX$10144,AD$22,FALSE))=0,"",VLOOKUP($B52,Database!$B$1:$IX$10144,AD$22,FALSE)))</f>
        <v>31.3</v>
      </c>
      <c r="AE52" s="83">
        <f>IF(OR($B52="",AE$22=""),"",IF(LEN(VLOOKUP($B52,Database!$B$1:$IX$10144,AE$22,FALSE))=0,"",VLOOKUP($B52,Database!$B$1:$IX$10144,AE$22,FALSE)))</f>
        <v>8.3000000000000007</v>
      </c>
      <c r="AF52" s="83">
        <v>10</v>
      </c>
      <c r="AG52" s="83">
        <v>8.5</v>
      </c>
      <c r="AH52" s="22"/>
      <c r="AI52" s="22"/>
      <c r="AJ52" s="22" t="str">
        <f>IF(OR($B52="",AJ$22=""),"",IF(LEN(VLOOKUP($B52,Database!$B$1:$IX$10144,AJ$22,FALSE))=0,"",VLOOKUP($B52,Database!$B$1:$IX$10144,AJ$22,FALSE)))</f>
        <v/>
      </c>
      <c r="AK52" s="83">
        <v>26.9</v>
      </c>
      <c r="AL52" s="83">
        <v>10.9</v>
      </c>
      <c r="AM52" s="22">
        <f>IF(OR($B52="",AM$22=""),"",IF(LEN(VLOOKUP($B52,Database!$B$1:$IX$10144,AM$22,FALSE))=0,"",VLOOKUP($B52,Database!$B$1:$IX$10144,AM$22,FALSE)))</f>
        <v>0</v>
      </c>
      <c r="AN52" s="22">
        <f>IF(OR($B52="",AN$22=""),"",IF(LEN(VLOOKUP($B52,Database!$B$1:$IX$10144,AN$22,FALSE))=0,"",VLOOKUP($B52,Database!$B$1:$IX$10144,AN$22,FALSE)))</f>
        <v>0</v>
      </c>
      <c r="AO52" s="22">
        <f>IF(OR($B52="",AO$22=""),"",IF(LEN(VLOOKUP($B52,Database!$B$1:$IX$10144,AO$22,FALSE))=0,"",VLOOKUP($B52,Database!$B$1:$IX$10144,AO$22,FALSE)))</f>
        <v>0</v>
      </c>
      <c r="AP52" s="22">
        <f>IF(OR($B52="",AP$22=""),"",IF(LEN(VLOOKUP($B52,Database!$B$1:$IX$10144,AP$22,FALSE))=0,"",VLOOKUP($B52,Database!$B$1:$IX$10144,AP$22,FALSE)))</f>
        <v>100</v>
      </c>
      <c r="AQ52" s="22" t="str">
        <f>IF(OR($B52="",AQ$22=""),"",IF(LEN(VLOOKUP($B52,Database!$B$1:$IX$10144,AQ$22,FALSE))=0,"",VLOOKUP($B52,Database!$B$1:$IX$10144,AQ$22,FALSE)))</f>
        <v>Monkul ES, Hatch JP, Nicoletti MA, Spence S, Brambilla P, Lacerda AL, Sassi RB, Mallinger AG, Keshavan MS, Soares JC.</v>
      </c>
    </row>
    <row r="53" spans="1:62">
      <c r="A53" s="10" t="s">
        <v>2335</v>
      </c>
      <c r="B53">
        <v>18787661</v>
      </c>
      <c r="C53" s="1" t="str">
        <f>IF($B53="","",HYPERLINK(IF(LEN(VLOOKUP($B53,Database!$B$1:$IX$10144,2,FALSE))=0,"",VLOOKUP($B53,Database!$B$1:$IX$10144,2,FALSE))))</f>
        <v/>
      </c>
      <c r="D53" s="1" t="str">
        <f t="shared" si="2"/>
        <v>http://www.ncbi.nlm.nih.gov/pubmed/18787661</v>
      </c>
      <c r="E53" s="22" t="str">
        <f>IF($B53="","",IF(LEN(VLOOKUP($B53,Database!$B$1:$IX$10144,4,FALSE))=0,"",VLOOKUP($B53,Database!$B$1:$IX$10144,4,FALSE)))</f>
        <v>Frodl T (C)</v>
      </c>
      <c r="F53" s="22">
        <f>IF($B53="","",IF(LEN(VLOOKUP($B53,Database!$B$1:$IX$10144,5,FALSE))=0,"",VLOOKUP($B53,Database!$B$1:$IX$10144,5,FALSE)))</f>
        <v>2008</v>
      </c>
      <c r="G53" s="1" t="str">
        <f>IF($B53="","",HYPERLINK(IF(LEN(VLOOKUP($B53,Database!$B$1:$IX$10144,6,FALSE))=0,"",VLOOKUP($B53,Database!$B$1:$IX$10144,6,FALSE))))</f>
        <v>http://www.cma.ca/multimedia/staticContent/HTML/N0/l2/jpn/vol-33/issue-5/pdf/pg423.pdf</v>
      </c>
      <c r="H53" s="22">
        <f>IF($B53="","",IF(LEN(VLOOKUP($B53,Database!$B$1:$IX$10144,7,FALSE))=0,"",VLOOKUP($B53,Database!$B$1:$IX$10144,7,FALSE)))</f>
        <v>30</v>
      </c>
      <c r="I53" s="22">
        <f>IF($B53="","",IF(LEN(VLOOKUP($B53,Database!$B$1:$IX$10144,8,FALSE))=0,"",VLOOKUP($B53,Database!$B$1:$IX$10144,8,FALSE)))</f>
        <v>30</v>
      </c>
      <c r="J53" t="s">
        <v>652</v>
      </c>
      <c r="L53">
        <v>3.71</v>
      </c>
      <c r="M53">
        <v>0.34</v>
      </c>
      <c r="N53">
        <v>3.72</v>
      </c>
      <c r="O53">
        <v>0.37</v>
      </c>
      <c r="P53">
        <v>3.85</v>
      </c>
      <c r="Q53">
        <v>0.34</v>
      </c>
      <c r="R53">
        <v>3.82</v>
      </c>
      <c r="S53">
        <v>0.47</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45</v>
      </c>
      <c r="AC53" s="22">
        <f>IF(OR($B53="",AC$22=""),"",IF(LEN(VLOOKUP($B53,Database!$B$1:$IX$10144,AC$22,FALSE))=0,"",VLOOKUP($B53,Database!$B$1:$IX$10144,AC$22,FALSE)))</f>
        <v>11.1</v>
      </c>
      <c r="AD53" s="22">
        <f>IF(OR($B53="",AD$22=""),"",IF(LEN(VLOOKUP($B53,Database!$B$1:$IX$10144,AD$22,FALSE))=0,"",VLOOKUP($B53,Database!$B$1:$IX$10144,AD$22,FALSE)))</f>
        <v>43.6</v>
      </c>
      <c r="AE53" s="22">
        <f>IF(OR($B53="",AE$22=""),"",IF(LEN(VLOOKUP($B53,Database!$B$1:$IX$10144,AE$22,FALSE))=0,"",VLOOKUP($B53,Database!$B$1:$IX$10144,AE$22,FALSE)))</f>
        <v>13.1</v>
      </c>
      <c r="AF53" s="22">
        <f>IF(OR($B53="",AF$22=""),"",IF(LEN(VLOOKUP($B53,Database!$B$1:$IX$10144,AF$22,FALSE))=0,"",VLOOKUP($B53,Database!$B$1:$IX$10144,AF$22,FALSE)))</f>
        <v>19</v>
      </c>
      <c r="AG53" s="22">
        <f>IF(OR($B53="",AG$22=""),"",IF(LEN(VLOOKUP($B53,Database!$B$1:$IX$10144,AG$22,FALSE))=0,"",VLOOKUP($B53,Database!$B$1:$IX$10144,AG$22,FALSE)))</f>
        <v>19</v>
      </c>
      <c r="AH53" s="22"/>
      <c r="AI53" s="22"/>
      <c r="AJ53" s="22" t="str">
        <f>IF(OR($B53="",AJ$22=""),"",IF(LEN(VLOOKUP($B53,Database!$B$1:$IX$10144,AJ$22,FALSE))=0,"",VLOOKUP($B53,Database!$B$1:$IX$10144,AJ$22,FALSE)))</f>
        <v/>
      </c>
      <c r="AK53" s="22">
        <f>IF(OR($B53="",AK$22=""),"",IF(LEN(VLOOKUP($B53,Database!$B$1:$IX$10144,AK$22,FALSE))=0,"",VLOOKUP($B53,Database!$B$1:$IX$10144,AK$22,FALSE)))</f>
        <v>39.299999999999997</v>
      </c>
      <c r="AL53" s="22">
        <f>IF(OR($B53="",AL$22=""),"",IF(LEN(VLOOKUP($B53,Database!$B$1:$IX$10144,AL$22,FALSE))=0,"",VLOOKUP($B53,Database!$B$1:$IX$10144,AL$22,FALSE)))</f>
        <v>24</v>
      </c>
      <c r="AM53" s="22">
        <f>IF(OR($B53="",AM$22=""),"",IF(LEN(VLOOKUP($B53,Database!$B$1:$IX$10144,AM$22,FALSE))=0,"",VLOOKUP($B53,Database!$B$1:$IX$10144,AM$22,FALSE)))</f>
        <v>96.666666666666671</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Frodl T, Jäger M, Smajstrlova I, Born C, Bottlender R, Palladino T, Reiser M, Möller HJ, Meisenzahl EM.</v>
      </c>
    </row>
    <row r="54" spans="1:62">
      <c r="A54" s="10" t="s">
        <v>1188</v>
      </c>
      <c r="B54">
        <v>18508244</v>
      </c>
      <c r="C54" s="1" t="str">
        <f>IF($B54="","",HYPERLINK(IF(LEN(VLOOKUP($B54,Database!$B$1:$IX$10144,2,FALSE))=0,"",VLOOKUP($B54,Database!$B$1:$IX$10144,2,FALSE))))</f>
        <v/>
      </c>
      <c r="D54" s="1" t="str">
        <f t="shared" si="2"/>
        <v>http://www.ncbi.nlm.nih.gov/pubmed/18508244</v>
      </c>
      <c r="E54" s="22" t="str">
        <f>IF($B54="","",IF(LEN(VLOOKUP($B54,Database!$B$1:$IX$10144,4,FALSE))=0,"",VLOOKUP($B54,Database!$B$1:$IX$10144,4,FALSE)))</f>
        <v>Greenberg DL</v>
      </c>
      <c r="F54" s="22">
        <f>IF($B54="","",IF(LEN(VLOOKUP($B54,Database!$B$1:$IX$10144,5,FALSE))=0,"",VLOOKUP($B54,Database!$B$1:$IX$10144,5,FALSE)))</f>
        <v>2008</v>
      </c>
      <c r="G54" s="1" t="str">
        <f>IF($B54="","",HYPERLINK(IF(LEN(VLOOKUP($B54,Database!$B$1:$IX$10144,6,FALSE))=0,"",VLOOKUP($B54,Database!$B$1:$IX$10144,6,FALSE))))</f>
        <v>http://dx.doi.org/10.1016/j.pscychresns.2007.12.009</v>
      </c>
      <c r="H54" s="83">
        <v>56</v>
      </c>
      <c r="I54" s="83">
        <v>41.5</v>
      </c>
      <c r="J54" t="s">
        <v>609</v>
      </c>
      <c r="K54" t="s">
        <v>607</v>
      </c>
      <c r="L54">
        <v>2.91</v>
      </c>
      <c r="M54">
        <v>0.45</v>
      </c>
      <c r="N54">
        <v>2.95</v>
      </c>
      <c r="O54">
        <v>0.45</v>
      </c>
      <c r="P54">
        <v>3.13</v>
      </c>
      <c r="Q54">
        <v>0.36</v>
      </c>
      <c r="R54">
        <v>3.13</v>
      </c>
      <c r="S54">
        <v>0.44</v>
      </c>
      <c r="Y54" s="22" t="str">
        <f>IF(OR($B54="",Y$22=""),"",IF(LEN(VLOOKUP($B54,Database!$B$1:$IX$10144,Y$22,FALSE))=0,"",VLOOKUP($B54,Database!$B$1:$IX$10144,Y$22,FALSE)))</f>
        <v>DSM-IV</v>
      </c>
      <c r="Z54" s="22" t="str">
        <f>IF(OR($B54="",Z$22=""),"",IF(LEN(VLOOKUP($B54,Database!$B$1:$IX$10144,Z$22,FALSE))=0,"",VLOOKUP($B54,Database!$B$1:$IX$10144,Z$22,FALSE)))</f>
        <v>MRI</v>
      </c>
      <c r="AA54" s="83" t="s">
        <v>751</v>
      </c>
      <c r="AB54" s="83">
        <v>71</v>
      </c>
      <c r="AC54" s="83">
        <v>7</v>
      </c>
      <c r="AD54" s="22">
        <f>IF(OR($B54="",AD$22=""),"",IF(LEN(VLOOKUP($B54,Database!$B$1:$IX$10144,AD$22,FALSE))=0,"",VLOOKUP($B54,Database!$B$1:$IX$10144,AD$22,FALSE)))</f>
        <v>69</v>
      </c>
      <c r="AE54" s="22">
        <f>IF(OR($B54="",AE$22=""),"",IF(LEN(VLOOKUP($B54,Database!$B$1:$IX$10144,AE$22,FALSE))=0,"",VLOOKUP($B54,Database!$B$1:$IX$10144,AE$22,FALSE)))</f>
        <v>7</v>
      </c>
      <c r="AF54" s="83">
        <v>37</v>
      </c>
      <c r="AG54" s="83">
        <v>31.5</v>
      </c>
      <c r="AH54" s="22"/>
      <c r="AI54" s="22"/>
      <c r="AJ54" s="22" t="str">
        <f>IF(OR($B54="",AJ$22=""),"",IF(LEN(VLOOKUP($B54,Database!$B$1:$IX$10144,AJ$22,FALSE))=0,"",VLOOKUP($B54,Database!$B$1:$IX$10144,AJ$22,FALSE)))</f>
        <v/>
      </c>
      <c r="AK54" s="83">
        <v>49</v>
      </c>
      <c r="AL54" s="83">
        <v>21</v>
      </c>
      <c r="AM54" s="22" t="str">
        <f>IF(OR($B54="",AM$22=""),"",IF(LEN(VLOOKUP($B54,Database!$B$1:$IX$10144,AM$22,FALSE))=0,"",VLOOKUP($B54,Database!$B$1:$IX$10144,AM$22,FALSE)))</f>
        <v>ns</v>
      </c>
      <c r="AN54" s="22" t="str">
        <f>IF(OR($B54="",AN$22=""),"",IF(LEN(VLOOKUP($B54,Database!$B$1:$IX$10144,AN$22,FALSE))=0,"",VLOOKUP($B54,Database!$B$1:$IX$10144,AN$22,FALSE)))</f>
        <v>ns</v>
      </c>
      <c r="AO54" s="22" t="str">
        <f>IF(OR($B54="",AO$22=""),"",IF(LEN(VLOOKUP($B54,Database!$B$1:$IX$10144,AO$22,FALSE))=0,"",VLOOKUP($B54,Database!$B$1:$IX$10144,AO$22,FALSE)))</f>
        <v>ns</v>
      </c>
      <c r="AP54" s="22" t="str">
        <f>IF(OR($B54="",AP$22=""),"",IF(LEN(VLOOKUP($B54,Database!$B$1:$IX$10144,AP$22,FALSE))=0,"",VLOOKUP($B54,Database!$B$1:$IX$10144,AP$22,FALSE)))</f>
        <v>ns</v>
      </c>
      <c r="AQ54" s="22" t="str">
        <f>IF(OR($B54="",AQ$22=""),"",IF(LEN(VLOOKUP($B54,Database!$B$1:$IX$10144,AQ$22,FALSE))=0,"",VLOOKUP($B54,Database!$B$1:$IX$10144,AQ$22,FALSE)))</f>
        <v>Greenberg DL, Payne ME, MacFall JR, Steffens DC, Krishnan RR.</v>
      </c>
    </row>
    <row r="55" spans="1:62">
      <c r="A55" s="10" t="s">
        <v>1188</v>
      </c>
      <c r="B55">
        <v>18508244</v>
      </c>
      <c r="C55" s="1" t="str">
        <f>IF($B55="","",HYPERLINK(IF(LEN(VLOOKUP($B55,Database!$B$1:$IX$10144,2,FALSE))=0,"",VLOOKUP($B55,Database!$B$1:$IX$10144,2,FALSE))))</f>
        <v/>
      </c>
      <c r="D55" s="1" t="str">
        <f t="shared" si="2"/>
        <v>http://www.ncbi.nlm.nih.gov/pubmed/18508244</v>
      </c>
      <c r="E55" s="22" t="str">
        <f>IF($B55="","",IF(LEN(VLOOKUP($B55,Database!$B$1:$IX$10144,4,FALSE))=0,"",VLOOKUP($B55,Database!$B$1:$IX$10144,4,FALSE)))</f>
        <v>Greenberg DL</v>
      </c>
      <c r="F55" s="22">
        <f>IF($B55="","",IF(LEN(VLOOKUP($B55,Database!$B$1:$IX$10144,5,FALSE))=0,"",VLOOKUP($B55,Database!$B$1:$IX$10144,5,FALSE)))</f>
        <v>2008</v>
      </c>
      <c r="G55" s="1" t="str">
        <f>IF($B55="","",HYPERLINK(IF(LEN(VLOOKUP($B55,Database!$B$1:$IX$10144,6,FALSE))=0,"",VLOOKUP($B55,Database!$B$1:$IX$10144,6,FALSE))))</f>
        <v>http://dx.doi.org/10.1016/j.pscychresns.2007.12.009</v>
      </c>
      <c r="H55" s="83">
        <v>68</v>
      </c>
      <c r="I55" s="83">
        <v>41.5</v>
      </c>
      <c r="J55" t="s">
        <v>609</v>
      </c>
      <c r="K55" t="s">
        <v>608</v>
      </c>
      <c r="L55">
        <v>2.99</v>
      </c>
      <c r="M55">
        <v>0.48</v>
      </c>
      <c r="N55">
        <v>2.95</v>
      </c>
      <c r="O55">
        <v>0.45</v>
      </c>
      <c r="P55">
        <v>3.07</v>
      </c>
      <c r="Q55">
        <v>0.46</v>
      </c>
      <c r="R55">
        <v>3.13</v>
      </c>
      <c r="S55">
        <v>0.44</v>
      </c>
      <c r="Y55" s="22" t="str">
        <f>IF(OR($B55="",Y$22=""),"",IF(LEN(VLOOKUP($B55,Database!$B$1:$IX$10144,Y$22,FALSE))=0,"",VLOOKUP($B55,Database!$B$1:$IX$10144,Y$22,FALSE)))</f>
        <v>DSM-IV</v>
      </c>
      <c r="Z55" s="22" t="str">
        <f>IF(OR($B55="",Z$22=""),"",IF(LEN(VLOOKUP($B55,Database!$B$1:$IX$10144,Z$22,FALSE))=0,"",VLOOKUP($B55,Database!$B$1:$IX$10144,Z$22,FALSE)))</f>
        <v>MRI</v>
      </c>
      <c r="AA55" s="83" t="s">
        <v>752</v>
      </c>
      <c r="AB55" s="83">
        <v>70</v>
      </c>
      <c r="AC55" s="83">
        <v>8</v>
      </c>
      <c r="AD55" s="22">
        <f>IF(OR($B55="",AD$22=""),"",IF(LEN(VLOOKUP($B55,Database!$B$1:$IX$10144,AD$22,FALSE))=0,"",VLOOKUP($B55,Database!$B$1:$IX$10144,AD$22,FALSE)))</f>
        <v>69</v>
      </c>
      <c r="AE55" s="22">
        <f>IF(OR($B55="",AE$22=""),"",IF(LEN(VLOOKUP($B55,Database!$B$1:$IX$10144,AE$22,FALSE))=0,"",VLOOKUP($B55,Database!$B$1:$IX$10144,AE$22,FALSE)))</f>
        <v>7</v>
      </c>
      <c r="AF55" s="83">
        <v>48</v>
      </c>
      <c r="AG55" s="83">
        <v>31.5</v>
      </c>
      <c r="AH55" s="22"/>
      <c r="AI55" s="22"/>
      <c r="AJ55" s="22" t="str">
        <f>IF(OR($B55="",AJ$22=""),"",IF(LEN(VLOOKUP($B55,Database!$B$1:$IX$10144,AJ$22,FALSE))=0,"",VLOOKUP($B55,Database!$B$1:$IX$10144,AJ$22,FALSE)))</f>
        <v/>
      </c>
      <c r="AK55" s="83">
        <v>40</v>
      </c>
      <c r="AL55" s="83">
        <v>21</v>
      </c>
      <c r="AM55" s="22" t="str">
        <f>IF(OR($B55="",AM$22=""),"",IF(LEN(VLOOKUP($B55,Database!$B$1:$IX$10144,AM$22,FALSE))=0,"",VLOOKUP($B55,Database!$B$1:$IX$10144,AM$22,FALSE)))</f>
        <v>ns</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Greenberg DL, Payne ME, MacFall JR, Steffens DC, Krishnan RR.</v>
      </c>
    </row>
    <row r="56" spans="1:62">
      <c r="A56" s="7" t="s">
        <v>26</v>
      </c>
      <c r="B56">
        <v>18515903</v>
      </c>
      <c r="C56" s="1" t="str">
        <f>IF($B56="","",HYPERLINK(IF(LEN(VLOOKUP($B56,Database!$B$1:$IX$10144,2,FALSE))=0,"",VLOOKUP($B56,Database!$B$1:$IX$10144,2,FALSE))))</f>
        <v/>
      </c>
      <c r="D56" s="1" t="str">
        <f t="shared" si="2"/>
        <v>http://www.ncbi.nlm.nih.gov/pubmed/18515903</v>
      </c>
      <c r="E56" s="22" t="str">
        <f>IF($B56="","",IF(LEN(VLOOKUP($B56,Database!$B$1:$IX$10144,4,FALSE))=0,"",VLOOKUP($B56,Database!$B$1:$IX$10144,4,FALSE)))</f>
        <v>Kronmüller KT</v>
      </c>
      <c r="F56" s="22">
        <f>IF($B56="","",IF(LEN(VLOOKUP($B56,Database!$B$1:$IX$10144,5,FALSE))=0,"",VLOOKUP($B56,Database!$B$1:$IX$10144,5,FALSE)))</f>
        <v>2008</v>
      </c>
      <c r="G56" s="1" t="str">
        <f>IF($B56="","",HYPERLINK(IF(LEN(VLOOKUP($B56,Database!$B$1:$IX$10144,6,FALSE))=0,"",VLOOKUP($B56,Database!$B$1:$IX$10144,6,FALSE))))</f>
        <v>http://bjp.rcpsych.org/cgi/content/full/192/6/472</v>
      </c>
      <c r="H56" s="22">
        <f>IF($B56="","",IF(LEN(VLOOKUP($B56,Database!$B$1:$IX$10144,7,FALSE))=0,"",VLOOKUP($B56,Database!$B$1:$IX$10144,7,FALSE)))</f>
        <v>49</v>
      </c>
      <c r="I56" s="22">
        <f>IF($B56="","",IF(LEN(VLOOKUP($B56,Database!$B$1:$IX$10144,8,FALSE))=0,"",VLOOKUP($B56,Database!$B$1:$IX$10144,8,FALSE)))</f>
        <v>30</v>
      </c>
      <c r="K56" s="10"/>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t="str">
        <f>IF(OR($B56="",AB$22=""),"",IF(LEN(VLOOKUP($B56,Database!$B$1:$IX$10144,AB$22,FALSE))=0,"",VLOOKUP($B56,Database!$B$1:$IX$10144,AB$22,FALSE)))</f>
        <v/>
      </c>
      <c r="AC56" s="22" t="str">
        <f>IF(OR($B56="",AC$22=""),"",IF(LEN(VLOOKUP($B56,Database!$B$1:$IX$10144,AC$22,FALSE))=0,"",VLOOKUP($B56,Database!$B$1:$IX$10144,AC$22,FALSE)))</f>
        <v/>
      </c>
      <c r="AD56" s="22" t="str">
        <f>IF(OR($B56="",AD$22=""),"",IF(LEN(VLOOKUP($B56,Database!$B$1:$IX$10144,AD$22,FALSE))=0,"",VLOOKUP($B56,Database!$B$1:$IX$10144,AD$22,FALSE)))</f>
        <v/>
      </c>
      <c r="AE56" s="22" t="str">
        <f>IF(OR($B56="",AE$22=""),"",IF(LEN(VLOOKUP($B56,Database!$B$1:$IX$10144,AE$22,FALSE))=0,"",VLOOKUP($B56,Database!$B$1:$IX$10144,AE$22,FALSE)))</f>
        <v/>
      </c>
      <c r="AF56" s="22" t="str">
        <f>IF(OR($B56="",AF$22=""),"",IF(LEN(VLOOKUP($B56,Database!$B$1:$IX$10144,AF$22,FALSE))=0,"",VLOOKUP($B56,Database!$B$1:$IX$10144,AF$22,FALSE)))</f>
        <v/>
      </c>
      <c r="AG56" s="22" t="str">
        <f>IF(OR($B56="",AG$22=""),"",IF(LEN(VLOOKUP($B56,Database!$B$1:$IX$10144,AG$22,FALSE))=0,"",VLOOKUP($B56,Database!$B$1:$IX$10144,AG$22,FALSE)))</f>
        <v/>
      </c>
      <c r="AH56" s="22">
        <f>IF(OR($B56="",AH$22=""),"",IF(LEN(VLOOKUP($B56,Database!$B$1:$IX$10144,AH$22,FALSE))=0,"",VLOOKUP($B56,Database!$B$1:$IX$10144,AH$22,FALSE)))</f>
        <v>1.5</v>
      </c>
      <c r="AI56" s="22" t="str">
        <f>IF(OR($B56="",AI$22=""),"",IF(LEN(VLOOKUP($B56,Database!$B$1:$IX$10144,AI$22,FALSE))=0,"",VLOOKUP($B56,Database!$B$1:$IX$10144,AI$22,FALSE)))</f>
        <v>ns</v>
      </c>
      <c r="AJ56" s="22" t="str">
        <f>IF(OR($B56="",AJ$22=""),"",IF(LEN(VLOOKUP($B56,Database!$B$1:$IX$10144,AJ$22,FALSE))=0,"",VLOOKUP($B56,Database!$B$1:$IX$10144,AJ$22,FALSE)))</f>
        <v/>
      </c>
      <c r="AK56" s="22" t="str">
        <f>IF(OR($B56="",AK$22=""),"",IF(LEN(VLOOKUP($B56,Database!$B$1:$IX$10144,AK$22,FALSE))=0,"",VLOOKUP($B56,Database!$B$1:$IX$10144,AK$22,FALSE)))</f>
        <v>ns</v>
      </c>
      <c r="AL56" s="22">
        <f>IF(OR($B56="",AL$22=""),"",IF(LEN(VLOOKUP($B56,Database!$B$1:$IX$10144,AL$22,FALSE))=0,"",VLOOKUP($B56,Database!$B$1:$IX$10144,AL$22,FALSE)))</f>
        <v>22.74</v>
      </c>
      <c r="AM56" s="22" t="str">
        <f>IF(OR($B56="",AM$22=""),"",IF(LEN(VLOOKUP($B56,Database!$B$1:$IX$10144,AM$22,FALSE))=0,"",VLOOKUP($B56,Database!$B$1:$IX$10144,AM$22,FALSE)))</f>
        <v>ns</v>
      </c>
      <c r="AN56" s="22" t="str">
        <f>IF(OR($B56="",AN$22=""),"",IF(LEN(VLOOKUP($B56,Database!$B$1:$IX$10144,AN$22,FALSE))=0,"",VLOOKUP($B56,Database!$B$1:$IX$10144,AN$22,FALSE)))</f>
        <v>ns</v>
      </c>
      <c r="AO56" s="22" t="str">
        <f>IF(OR($B56="",AO$22=""),"",IF(LEN(VLOOKUP($B56,Database!$B$1:$IX$10144,AO$22,FALSE))=0,"",VLOOKUP($B56,Database!$B$1:$IX$10144,AO$22,FALSE)))</f>
        <v>ns</v>
      </c>
      <c r="AP56" s="22" t="str">
        <f>IF(OR($B56="",AP$22=""),"",IF(LEN(VLOOKUP($B56,Database!$B$1:$IX$10144,AP$22,FALSE))=0,"",VLOOKUP($B56,Database!$B$1:$IX$10144,AP$22,FALSE)))</f>
        <v>ns</v>
      </c>
      <c r="AQ56" s="22" t="str">
        <f>IF(OR($B56="",AQ$22=""),"",IF(LEN(VLOOKUP($B56,Database!$B$1:$IX$10144,AQ$22,FALSE))=0,"",VLOOKUP($B56,Database!$B$1:$IX$10144,AQ$22,FALSE)))</f>
        <v>Kronmüller KT, Pantel J, Köhler S, Victor D, Giesel F, Magnotta VA, Mundt C, Essig M, Schröder J.</v>
      </c>
    </row>
    <row r="57" spans="1:62">
      <c r="A57" s="7" t="s">
        <v>2210</v>
      </c>
      <c r="B57">
        <v>18068956</v>
      </c>
      <c r="C57" s="1" t="str">
        <f>IF($B57="","",HYPERLINK(IF(LEN(VLOOKUP($B57,Database!$B$1:$IX$10144,2,FALSE))=0,"",VLOOKUP($B57,Database!$B$1:$IX$10144,2,FALSE))))</f>
        <v/>
      </c>
      <c r="D57" s="1" t="str">
        <f t="shared" si="2"/>
        <v>http://www.ncbi.nlm.nih.gov/pubmed/18068956</v>
      </c>
      <c r="E57" s="22" t="str">
        <f>IF($B57="","",IF(LEN(VLOOKUP($B57,Database!$B$1:$IX$10144,4,FALSE))=0,"",VLOOKUP($B57,Database!$B$1:$IX$10144,4,FALSE)))</f>
        <v>Lenze SN</v>
      </c>
      <c r="F57" s="22">
        <f>IF($B57="","",IF(LEN(VLOOKUP($B57,Database!$B$1:$IX$10144,5,FALSE))=0,"",VLOOKUP($B57,Database!$B$1:$IX$10144,5,FALSE)))</f>
        <v>2008</v>
      </c>
      <c r="G57" s="1" t="str">
        <f>IF($B57="","",HYPERLINK(IF(LEN(VLOOKUP($B57,Database!$B$1:$IX$10144,6,FALSE))=0,"",VLOOKUP($B57,Database!$B$1:$IX$10144,6,FALSE))))</f>
        <v>http://dx.doi.org/10.1016/j.pscychresns.2007.04.004</v>
      </c>
      <c r="H57" s="22">
        <f>IF($B57="","",IF(LEN(VLOOKUP($B57,Database!$B$1:$IX$10144,7,FALSE))=0,"",VLOOKUP($B57,Database!$B$1:$IX$10144,7,FALSE)))</f>
        <v>31</v>
      </c>
      <c r="I57" s="22">
        <f>IF($B57="","",IF(LEN(VLOOKUP($B57,Database!$B$1:$IX$10144,8,FALSE))=0,"",VLOOKUP($B57,Database!$B$1:$IX$10144,8,FALSE)))</f>
        <v>24</v>
      </c>
      <c r="J57" t="s">
        <v>1002</v>
      </c>
      <c r="K57" s="10"/>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f>IF(OR($B57="",AB$22=""),"",IF(LEN(VLOOKUP($B57,Database!$B$1:$IX$10144,AB$22,FALSE))=0,"",VLOOKUP($B57,Database!$B$1:$IX$10144,AB$22,FALSE)))</f>
        <v>50</v>
      </c>
      <c r="AC57" s="22">
        <f>IF(OR($B57="",AC$22=""),"",IF(LEN(VLOOKUP($B57,Database!$B$1:$IX$10144,AC$22,FALSE))=0,"",VLOOKUP($B57,Database!$B$1:$IX$10144,AC$22,FALSE)))</f>
        <v>15</v>
      </c>
      <c r="AD57" s="22">
        <f>IF(OR($B57="",AD$22=""),"",IF(LEN(VLOOKUP($B57,Database!$B$1:$IX$10144,AD$22,FALSE))=0,"",VLOOKUP($B57,Database!$B$1:$IX$10144,AD$22,FALSE)))</f>
        <v>46</v>
      </c>
      <c r="AE57" s="22">
        <f>IF(OR($B57="",AE$22=""),"",IF(LEN(VLOOKUP($B57,Database!$B$1:$IX$10144,AE$22,FALSE))=0,"",VLOOKUP($B57,Database!$B$1:$IX$10144,AE$22,FALSE)))</f>
        <v>14</v>
      </c>
      <c r="AF57" s="22">
        <f>IF(OR($B57="",AF$22=""),"",IF(LEN(VLOOKUP($B57,Database!$B$1:$IX$10144,AF$22,FALSE))=0,"",VLOOKUP($B57,Database!$B$1:$IX$10144,AF$22,FALSE)))</f>
        <v>31</v>
      </c>
      <c r="AG57" s="22">
        <f>IF(OR($B57="",AG$22=""),"",IF(LEN(VLOOKUP($B57,Database!$B$1:$IX$10144,AG$22,FALSE))=0,"",VLOOKUP($B57,Database!$B$1:$IX$10144,AG$22,FALSE)))</f>
        <v>24</v>
      </c>
      <c r="AH57" s="22">
        <f>IF(OR($B57="",AH$22=""),"",IF(LEN(VLOOKUP($B57,Database!$B$1:$IX$10144,AH$22,FALSE))=0,"",VLOOKUP($B57,Database!$B$1:$IX$10144,AH$22,FALSE)))</f>
        <v>1.5</v>
      </c>
      <c r="AI57" s="22">
        <f>IF(OR($B57="",AI$22=""),"",IF(LEN(VLOOKUP($B57,Database!$B$1:$IX$10144,AI$22,FALSE))=0,"",VLOOKUP($B57,Database!$B$1:$IX$10144,AI$22,FALSE)))</f>
        <v>1.25</v>
      </c>
      <c r="AJ57" s="22" t="str">
        <f>IF(OR($B57="",AJ$22=""),"",IF(LEN(VLOOKUP($B57,Database!$B$1:$IX$10144,AJ$22,FALSE))=0,"",VLOOKUP($B57,Database!$B$1:$IX$10144,AJ$22,FALSE)))</f>
        <v/>
      </c>
      <c r="AK57" s="22">
        <f>IF(OR($B57="",AK$22=""),"",IF(LEN(VLOOKUP($B57,Database!$B$1:$IX$10144,AK$22,FALSE))=0,"",VLOOKUP($B57,Database!$B$1:$IX$10144,AK$22,FALSE)))</f>
        <v>29</v>
      </c>
      <c r="AL57" s="22">
        <f>IF(OR($B57="",AL$22=""),"",IF(LEN(VLOOKUP($B57,Database!$B$1:$IX$10144,AL$22,FALSE))=0,"",VLOOKUP($B57,Database!$B$1:$IX$10144,AL$22,FALSE)))</f>
        <v>7</v>
      </c>
      <c r="AM57" s="22">
        <f>IF(OR($B57="",AM$22=""),"",IF(LEN(VLOOKUP($B57,Database!$B$1:$IX$10144,AM$22,FALSE))=0,"",VLOOKUP($B57,Database!$B$1:$IX$10144,AM$22,FALSE)))</f>
        <v>77.41935483870968</v>
      </c>
      <c r="AN57" s="22" t="str">
        <f>IF(OR($B57="",AN$22=""),"",IF(LEN(VLOOKUP($B57,Database!$B$1:$IX$10144,AN$22,FALSE))=0,"",VLOOKUP($B57,Database!$B$1:$IX$10144,AN$22,FALSE)))</f>
        <v>ns</v>
      </c>
      <c r="AO57" s="22" t="str">
        <f>IF(OR($B57="",AO$22=""),"",IF(LEN(VLOOKUP($B57,Database!$B$1:$IX$10144,AO$22,FALSE))=0,"",VLOOKUP($B57,Database!$B$1:$IX$10144,AO$22,FALSE)))</f>
        <v>ns</v>
      </c>
      <c r="AP57" s="22" t="str">
        <f>IF(OR($B57="",AP$22=""),"",IF(LEN(VLOOKUP($B57,Database!$B$1:$IX$10144,AP$22,FALSE))=0,"",VLOOKUP($B57,Database!$B$1:$IX$10144,AP$22,FALSE)))</f>
        <v>ns</v>
      </c>
      <c r="AQ57" s="22" t="str">
        <f>IF(OR($B57="",AQ$22=""),"",IF(LEN(VLOOKUP($B57,Database!$B$1:$IX$10144,AQ$22,FALSE))=0,"",VLOOKUP($B57,Database!$B$1:$IX$10144,AQ$22,FALSE)))</f>
        <v>Lenze SN, Xiong C, Sheline YI.</v>
      </c>
    </row>
    <row r="58" spans="1:62">
      <c r="A58" s="10" t="s">
        <v>1188</v>
      </c>
      <c r="B58">
        <v>18350172</v>
      </c>
      <c r="C58" s="1" t="str">
        <f>IF($B58="","",HYPERLINK(IF(LEN(VLOOKUP($B58,Database!$B$1:$IX$10144,2,FALSE))=0,"",VLOOKUP($B58,Database!$B$1:$IX$10144,2,FALSE))))</f>
        <v/>
      </c>
      <c r="D58" s="1" t="str">
        <f t="shared" si="2"/>
        <v>http://www.ncbi.nlm.nih.gov/pubmed/18350172</v>
      </c>
      <c r="E58" s="22" t="str">
        <f>IF($B58="","",IF(LEN(VLOOKUP($B58,Database!$B$1:$IX$10144,4,FALSE))=0,"",VLOOKUP($B58,Database!$B$1:$IX$10144,4,FALSE)))</f>
        <v>Zhao Z</v>
      </c>
      <c r="F58" s="22">
        <f>IF($B58="","",IF(LEN(VLOOKUP($B58,Database!$B$1:$IX$10144,5,FALSE))=0,"",VLOOKUP($B58,Database!$B$1:$IX$10144,5,FALSE)))</f>
        <v>2008</v>
      </c>
      <c r="G58" s="1" t="str">
        <f>IF($B58="","",HYPERLINK(IF(LEN(VLOOKUP($B58,Database!$B$1:$IX$10144,6,FALSE))=0,"",VLOOKUP($B58,Database!$B$1:$IX$10144,6,FALSE))))</f>
        <v>http://www.plosone.org/article/info:doi/10.1371/journal.pone.0001837</v>
      </c>
      <c r="H58" s="22">
        <f>IF($B58="","",IF(LEN(VLOOKUP($B58,Database!$B$1:$IX$10144,7,FALSE))=0,"",VLOOKUP($B58,Database!$B$1:$IX$10144,7,FALSE)))</f>
        <v>61</v>
      </c>
      <c r="I58" s="22">
        <f>IF($B58="","",IF(LEN(VLOOKUP($B58,Database!$B$1:$IX$10144,8,FALSE))=0,"",VLOOKUP($B58,Database!$B$1:$IX$10144,8,FALSE)))</f>
        <v>43</v>
      </c>
      <c r="J58" t="s">
        <v>1614</v>
      </c>
      <c r="L58">
        <v>3.42</v>
      </c>
      <c r="M58">
        <v>0.54</v>
      </c>
      <c r="N58">
        <v>3.55</v>
      </c>
      <c r="O58">
        <v>0.48</v>
      </c>
      <c r="P58">
        <v>3.65</v>
      </c>
      <c r="Q58">
        <v>0.55000000000000004</v>
      </c>
      <c r="R58">
        <v>3.66</v>
      </c>
      <c r="S58">
        <v>0.56999999999999995</v>
      </c>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f>IF(OR($B58="",AB$22=""),"",IF(LEN(VLOOKUP($B58,Database!$B$1:$IX$10144,AB$22,FALSE))=0,"",VLOOKUP($B58,Database!$B$1:$IX$10144,AB$22,FALSE)))</f>
        <v>65.900000000000006</v>
      </c>
      <c r="AC58" s="22">
        <f>IF(OR($B58="",AC$22=""),"",IF(LEN(VLOOKUP($B58,Database!$B$1:$IX$10144,AC$22,FALSE))=0,"",VLOOKUP($B58,Database!$B$1:$IX$10144,AC$22,FALSE)))</f>
        <v>5.5</v>
      </c>
      <c r="AD58" s="22">
        <f>IF(OR($B58="",AD$22=""),"",IF(LEN(VLOOKUP($B58,Database!$B$1:$IX$10144,AD$22,FALSE))=0,"",VLOOKUP($B58,Database!$B$1:$IX$10144,AD$22,FALSE)))</f>
        <v>69</v>
      </c>
      <c r="AE58" s="22">
        <f>IF(OR($B58="",AE$22=""),"",IF(LEN(VLOOKUP($B58,Database!$B$1:$IX$10144,AE$22,FALSE))=0,"",VLOOKUP($B58,Database!$B$1:$IX$10144,AE$22,FALSE)))</f>
        <v>5.5</v>
      </c>
      <c r="AF58" s="22">
        <f>IF(OR($B58="",AF$22=""),"",IF(LEN(VLOOKUP($B58,Database!$B$1:$IX$10144,AF$22,FALSE))=0,"",VLOOKUP($B58,Database!$B$1:$IX$10144,AF$22,FALSE)))</f>
        <v>37</v>
      </c>
      <c r="AG58" s="22">
        <f>IF(OR($B58="",AG$22=""),"",IF(LEN(VLOOKUP($B58,Database!$B$1:$IX$10144,AG$22,FALSE))=0,"",VLOOKUP($B58,Database!$B$1:$IX$10144,AG$22,FALSE)))</f>
        <v>29</v>
      </c>
      <c r="AH58" s="22"/>
      <c r="AI58" s="22"/>
      <c r="AJ58" s="22" t="str">
        <f>IF(OR($B58="",AJ$22=""),"",IF(LEN(VLOOKUP($B58,Database!$B$1:$IX$10144,AJ$22,FALSE))=0,"",VLOOKUP($B58,Database!$B$1:$IX$10144,AJ$22,FALSE)))</f>
        <v/>
      </c>
      <c r="AK58" s="22">
        <f>IF(OR($B58="",AK$22=""),"",IF(LEN(VLOOKUP($B58,Database!$B$1:$IX$10144,AK$22,FALSE))=0,"",VLOOKUP($B58,Database!$B$1:$IX$10144,AK$22,FALSE)))</f>
        <v>39.299999999999997</v>
      </c>
      <c r="AL58" s="22" t="str">
        <f>IF(OR($B58="",AL$22=""),"",IF(LEN(VLOOKUP($B58,Database!$B$1:$IX$10144,AL$22,FALSE))=0,"",VLOOKUP($B58,Database!$B$1:$IX$10144,AL$22,FALSE)))</f>
        <v>ns</v>
      </c>
      <c r="AM58" s="22">
        <f>IF(OR($B58="",AM$22=""),"",IF(LEN(VLOOKUP($B58,Database!$B$1:$IX$10144,AM$22,FALSE))=0,"",VLOOKUP($B58,Database!$B$1:$IX$10144,AM$22,FALSE)))</f>
        <v>88.52459016393442</v>
      </c>
      <c r="AN58" s="22" t="str">
        <f>IF(OR($B58="",AN$22=""),"",IF(LEN(VLOOKUP($B58,Database!$B$1:$IX$10144,AN$22,FALSE))=0,"",VLOOKUP($B58,Database!$B$1:$IX$10144,AN$22,FALSE)))</f>
        <v>ns</v>
      </c>
      <c r="AO58" s="22" t="str">
        <f>IF(OR($B58="",AO$22=""),"",IF(LEN(VLOOKUP($B58,Database!$B$1:$IX$10144,AO$22,FALSE))=0,"",VLOOKUP($B58,Database!$B$1:$IX$10144,AO$22,FALSE)))</f>
        <v>ns</v>
      </c>
      <c r="AP58" s="22" t="str">
        <f>IF(OR($B58="",AP$22=""),"",IF(LEN(VLOOKUP($B58,Database!$B$1:$IX$10144,AP$22,FALSE))=0,"",VLOOKUP($B58,Database!$B$1:$IX$10144,AP$22,FALSE)))</f>
        <v>ns</v>
      </c>
      <c r="AQ58" s="22" t="str">
        <f>IF(OR($B58="",AQ$22=""),"",IF(LEN(VLOOKUP($B58,Database!$B$1:$IX$10144,AQ$22,FALSE))=0,"",VLOOKUP($B58,Database!$B$1:$IX$10144,AQ$22,FALSE)))</f>
        <v>Zhao Z, Taylor WD, Styner M, Steffens DC, Krishnan KR, MacFall JR.</v>
      </c>
    </row>
    <row r="59" spans="1:62">
      <c r="A59" s="10" t="s">
        <v>1188</v>
      </c>
      <c r="B59">
        <v>19010425</v>
      </c>
      <c r="C59" s="1" t="str">
        <f>IF($B59="","",HYPERLINK(IF(LEN(VLOOKUP($B59,Database!$B$1:$IX$10144,2,FALSE))=0,"",VLOOKUP($B59,Database!$B$1:$IX$10144,2,FALSE))))</f>
        <v/>
      </c>
      <c r="D59" s="1" t="str">
        <f t="shared" si="2"/>
        <v>http://www.ncbi.nlm.nih.gov/pubmed/19010425</v>
      </c>
      <c r="E59" s="22" t="str">
        <f>IF($B59="","",IF(LEN(VLOOKUP($B59,Database!$B$1:$IX$10144,4,FALSE))=0,"",VLOOKUP($B59,Database!$B$1:$IX$10144,4,FALSE)))</f>
        <v>Qiu A</v>
      </c>
      <c r="F59" s="22">
        <f>IF($B59="","",IF(LEN(VLOOKUP($B59,Database!$B$1:$IX$10144,5,FALSE))=0,"",VLOOKUP($B59,Database!$B$1:$IX$10144,5,FALSE)))</f>
        <v>2009</v>
      </c>
      <c r="G59" s="1" t="str">
        <f>IF($B59="","",HYPERLINK(IF(LEN(VLOOKUP($B59,Database!$B$1:$IX$10144,6,FALSE))=0,"",VLOOKUP($B59,Database!$B$1:$IX$10144,6,FALSE))))</f>
        <v>http://dx.doi.org/10.1016/j.neuroimage.2008.10.010</v>
      </c>
      <c r="H59" s="83">
        <v>38</v>
      </c>
      <c r="I59" s="22">
        <f>IF($B59="","",IF(LEN(VLOOKUP($B59,Database!$B$1:$IX$10144,8,FALSE))=0,"",VLOOKUP($B59,Database!$B$1:$IX$10144,8,FALSE)))</f>
        <v>31</v>
      </c>
      <c r="J59" t="s">
        <v>887</v>
      </c>
      <c r="K59" t="s">
        <v>644</v>
      </c>
      <c r="L59">
        <v>3381.6</v>
      </c>
      <c r="M59">
        <v>414.9</v>
      </c>
      <c r="N59">
        <v>3520.2</v>
      </c>
      <c r="O59">
        <v>481.1</v>
      </c>
      <c r="P59">
        <v>3620.4</v>
      </c>
      <c r="Q59">
        <v>451.1</v>
      </c>
      <c r="R59">
        <v>3607.9</v>
      </c>
      <c r="S59">
        <v>542</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t="str">
        <f>IF(OR($B59="",AB$22=""),"",IF(LEN(VLOOKUP($B59,Database!$B$1:$IX$10144,AB$22,FALSE))=0,"",VLOOKUP($B59,Database!$B$1:$IX$10144,AB$22,FALSE)))</f>
        <v/>
      </c>
      <c r="AC59" s="22" t="str">
        <f>IF(OR($B59="",AC$22=""),"",IF(LEN(VLOOKUP($B59,Database!$B$1:$IX$10144,AC$22,FALSE))=0,"",VLOOKUP($B59,Database!$B$1:$IX$10144,AC$22,FALSE)))</f>
        <v/>
      </c>
      <c r="AD59" s="22">
        <f>IF(OR($B59="",AD$22=""),"",IF(LEN(VLOOKUP($B59,Database!$B$1:$IX$10144,AD$22,FALSE))=0,"",VLOOKUP($B59,Database!$B$1:$IX$10144,AD$22,FALSE)))</f>
        <v>68.900000000000006</v>
      </c>
      <c r="AE59" s="22">
        <f>IF(OR($B59="",AE$22=""),"",IF(LEN(VLOOKUP($B59,Database!$B$1:$IX$10144,AE$22,FALSE))=0,"",VLOOKUP($B59,Database!$B$1:$IX$10144,AE$22,FALSE)))</f>
        <v>5.9</v>
      </c>
      <c r="AF59" s="22">
        <f>IF(OR($B59="",AF$22=""),"",IF(LEN(VLOOKUP($B59,Database!$B$1:$IX$10144,AF$22,FALSE))=0,"",VLOOKUP($B59,Database!$B$1:$IX$10144,AF$22,FALSE)))</f>
        <v>34</v>
      </c>
      <c r="AG59" s="22">
        <f>IF(OR($B59="",AG$22=""),"",IF(LEN(VLOOKUP($B59,Database!$B$1:$IX$10144,AG$22,FALSE))=0,"",VLOOKUP($B59,Database!$B$1:$IX$10144,AG$22,FALSE)))</f>
        <v>21</v>
      </c>
      <c r="AH59" s="22"/>
      <c r="AI59" s="22"/>
      <c r="AJ59" s="22" t="str">
        <f>IF(OR($B59="",AJ$22=""),"",IF(LEN(VLOOKUP($B59,Database!$B$1:$IX$10144,AJ$22,FALSE))=0,"",VLOOKUP($B59,Database!$B$1:$IX$10144,AJ$22,FALSE)))</f>
        <v/>
      </c>
      <c r="AK59" s="22" t="str">
        <f>IF(OR($B59="",AK$22=""),"",IF(LEN(VLOOKUP($B59,Database!$B$1:$IX$10144,AK$22,FALSE))=0,"",VLOOKUP($B59,Database!$B$1:$IX$10144,AK$22,FALSE)))</f>
        <v>ns</v>
      </c>
      <c r="AL59" s="22" t="str">
        <f>IF(OR($B59="",AL$22=""),"",IF(LEN(VLOOKUP($B59,Database!$B$1:$IX$10144,AL$22,FALSE))=0,"",VLOOKUP($B59,Database!$B$1:$IX$10144,AL$22,FALSE)))</f>
        <v>ns</v>
      </c>
      <c r="AM59" s="22">
        <f>IF(OR($B59="",AM$22=""),"",IF(LEN(VLOOKUP($B59,Database!$B$1:$IX$10144,AM$22,FALSE))=0,"",VLOOKUP($B59,Database!$B$1:$IX$10144,AM$22,FALSE)))</f>
        <v>90.384615384615387</v>
      </c>
      <c r="AN59" s="22" t="str">
        <f>IF(OR($B59="",AN$22=""),"",IF(LEN(VLOOKUP($B59,Database!$B$1:$IX$10144,AN$22,FALSE))=0,"",VLOOKUP($B59,Database!$B$1:$IX$10144,AN$22,FALSE)))</f>
        <v>ns</v>
      </c>
      <c r="AO59" s="22" t="str">
        <f>IF(OR($B59="",AO$22=""),"",IF(LEN(VLOOKUP($B59,Database!$B$1:$IX$10144,AO$22,FALSE))=0,"",VLOOKUP($B59,Database!$B$1:$IX$10144,AO$22,FALSE)))</f>
        <v>ns</v>
      </c>
      <c r="AP59" s="22" t="str">
        <f>IF(OR($B59="",AP$22=""),"",IF(LEN(VLOOKUP($B59,Database!$B$1:$IX$10144,AP$22,FALSE))=0,"",VLOOKUP($B59,Database!$B$1:$IX$10144,AP$22,FALSE)))</f>
        <v>ns</v>
      </c>
      <c r="AQ59" s="22" t="str">
        <f>IF(OR($B59="",AQ$22=""),"",IF(LEN(VLOOKUP($B59,Database!$B$1:$IX$10144,AQ$22,FALSE))=0,"",VLOOKUP($B59,Database!$B$1:$IX$10144,AQ$22,FALSE)))</f>
        <v>Qiu A, Taylor WD, Zhao Z, MacFall JR, Miller MI, Key CR, Payne ME, Steffens DC, Krishnan KR.</v>
      </c>
    </row>
    <row r="60" spans="1:62">
      <c r="A60" s="4" t="s">
        <v>2011</v>
      </c>
      <c r="C60" s="1"/>
      <c r="D60" s="1"/>
      <c r="E60" s="22"/>
      <c r="F60" s="22"/>
      <c r="G60" s="1"/>
      <c r="H60" s="22"/>
      <c r="I60" s="22"/>
      <c r="Y60" s="22"/>
      <c r="Z60" s="22"/>
      <c r="AA60" s="22"/>
      <c r="AB60" s="22"/>
      <c r="AC60" s="22"/>
      <c r="AD60" s="22"/>
      <c r="AE60" s="22"/>
      <c r="AF60" s="22"/>
      <c r="AG60" s="22"/>
      <c r="AH60" s="22"/>
      <c r="AI60" s="22"/>
      <c r="AJ60" s="22"/>
      <c r="AK60" s="22"/>
      <c r="AL60" s="22"/>
      <c r="AM60" s="22"/>
      <c r="AN60" s="22"/>
      <c r="AO60" s="22"/>
      <c r="AP60" s="22" t="str">
        <f>IF(OR($B60="",AP$22=""),"",IF(LEN(VLOOKUP($B60,Database!$B$1:$IX$10144,AP$22,FALSE))=0,"",VLOOKUP($B60,Database!$B$1:$IX$10144,AP$22,FALSE)))</f>
        <v/>
      </c>
      <c r="AQ60" s="22" t="str">
        <f>IF(OR($B60="",AQ$22=""),"",IF(LEN(VLOOKUP($B60,Database!$B$1:$IX$10144,AQ$22,FALSE))=0,"",VLOOKUP($B60,Database!$B$1:$IX$10144,AQ$22,FALSE)))</f>
        <v/>
      </c>
    </row>
    <row r="61" spans="1:62">
      <c r="A61" s="10" t="s">
        <v>2012</v>
      </c>
      <c r="B61">
        <v>10366636</v>
      </c>
      <c r="C61" s="1" t="str">
        <f>IF($B61="","",HYPERLINK(IF(LEN(VLOOKUP($B61,Database!$B$1:$IX$10144,2,FALSE))=0,"",VLOOKUP($B61,Database!$B$1:$IX$10144,2,FALSE))))</f>
        <v/>
      </c>
      <c r="D61" s="1" t="str">
        <f>IF($B61="","",HYPERLINK(CONCATENATE("http://www.ncbi.nlm.nih.gov/pubmed/",B61)))</f>
        <v>http://www.ncbi.nlm.nih.gov/pubmed/10366636</v>
      </c>
      <c r="E61" s="22" t="str">
        <f>IF($B61="","",IF(LEN(VLOOKUP($B61,Database!$B$1:$IX$10144,4,FALSE))=0,"",VLOOKUP($B61,Database!$B$1:$IX$10144,4,FALSE)))</f>
        <v>Sheline YI</v>
      </c>
      <c r="F61" s="22">
        <f>IF($B61="","",IF(LEN(VLOOKUP($B61,Database!$B$1:$IX$10144,5,FALSE))=0,"",VLOOKUP($B61,Database!$B$1:$IX$10144,5,FALSE)))</f>
        <v>1999</v>
      </c>
      <c r="G61" s="1" t="str">
        <f>IF($B61="","",HYPERLINK(IF(LEN(VLOOKUP($B61,Database!$B$1:$IX$10144,6,FALSE))=0,"",VLOOKUP($B61,Database!$B$1:$IX$10144,6,FALSE))))</f>
        <v>http://ajp.psychiatryonline.org/cgi/reprint/156/12/1989</v>
      </c>
      <c r="H61" s="22">
        <f>IF($B61="","",IF(LEN(VLOOKUP($B61,Database!$B$1:$IX$10144,7,FALSE))=0,"",VLOOKUP($B61,Database!$B$1:$IX$10144,7,FALSE)))</f>
        <v>24</v>
      </c>
      <c r="I61" s="22">
        <f>IF($B61="","",IF(LEN(VLOOKUP($B61,Database!$B$1:$IX$10144,8,FALSE))=0,"",VLOOKUP($B61,Database!$B$1:$IX$10144,8,FALSE)))</f>
        <v>24</v>
      </c>
      <c r="J61" t="s">
        <v>939</v>
      </c>
      <c r="L61">
        <v>2230</v>
      </c>
      <c r="M61">
        <v>323</v>
      </c>
      <c r="N61">
        <v>2482</v>
      </c>
      <c r="O61">
        <v>305</v>
      </c>
      <c r="P61">
        <v>2264</v>
      </c>
      <c r="Q61">
        <v>320</v>
      </c>
      <c r="R61">
        <v>2468</v>
      </c>
      <c r="S61">
        <v>309</v>
      </c>
      <c r="T61">
        <v>4496</v>
      </c>
      <c r="U61">
        <v>602</v>
      </c>
      <c r="V61">
        <v>4951</v>
      </c>
      <c r="W61">
        <v>601</v>
      </c>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c r="AC61" s="22"/>
      <c r="AD61" s="22">
        <f>IF(OR($B61="",AD$22=""),"",IF(LEN(VLOOKUP($B61,Database!$B$1:$IX$10144,AD$22,FALSE))=0,"",VLOOKUP($B61,Database!$B$1:$IX$10144,AD$22,FALSE)))</f>
        <v>52.8</v>
      </c>
      <c r="AE61" s="22">
        <f>IF(OR($B61="",AE$22=""),"",IF(LEN(VLOOKUP($B61,Database!$B$1:$IX$10144,AE$22,FALSE))=0,"",VLOOKUP($B61,Database!$B$1:$IX$10144,AE$22,FALSE)))</f>
        <v>17.8</v>
      </c>
      <c r="AF61" s="22">
        <f>IF(OR($B61="",AF$22=""),"",IF(LEN(VLOOKUP($B61,Database!$B$1:$IX$10144,AF$22,FALSE))=0,"",VLOOKUP($B61,Database!$B$1:$IX$10144,AF$22,FALSE)))</f>
        <v>24</v>
      </c>
      <c r="AG61" s="22">
        <f>IF(OR($B61="",AG$22=""),"",IF(LEN(VLOOKUP($B61,Database!$B$1:$IX$10144,AG$22,FALSE))=0,"",VLOOKUP($B61,Database!$B$1:$IX$10144,AG$22,FALSE)))</f>
        <v>24</v>
      </c>
      <c r="AH61" s="22">
        <f>IF(OR($B61="",AH$22=""),"",IF(LEN(VLOOKUP($B61,Database!$B$1:$IX$10144,AH$22,FALSE))=0,"",VLOOKUP($B61,Database!$B$1:$IX$10144,AH$22,FALSE)))</f>
        <v>1.5</v>
      </c>
      <c r="AI61" s="22">
        <f>IF(OR($B61="",AI$22=""),"",IF(LEN(VLOOKUP($B61,Database!$B$1:$IX$10144,AI$22,FALSE))=0,"",VLOOKUP($B61,Database!$B$1:$IX$10144,AI$22,FALSE)))</f>
        <v>1.25</v>
      </c>
      <c r="AJ61" s="22" t="str">
        <f>IF(OR($B61="",AJ$22=""),"",IF(LEN(VLOOKUP($B61,Database!$B$1:$IX$10144,AJ$22,FALSE))=0,"",VLOOKUP($B61,Database!$B$1:$IX$10144,AJ$22,FALSE)))</f>
        <v/>
      </c>
      <c r="AK61" s="22" t="str">
        <f>IF(OR($B61="",AK$22=""),"",IF(LEN(VLOOKUP($B61,Database!$B$1:$IX$10144,AK$22,FALSE))=0,"",VLOOKUP($B61,Database!$B$1:$IX$10144,AK$22,FALSE)))</f>
        <v>ns</v>
      </c>
      <c r="AL61" s="22" t="str">
        <f>IF(OR($B61="",AL$22=""),"",IF(LEN(VLOOKUP($B61,Database!$B$1:$IX$10144,AL$22,FALSE))=0,"",VLOOKUP($B61,Database!$B$1:$IX$10144,AL$22,FALSE)))</f>
        <v>ns</v>
      </c>
      <c r="AM61" s="22">
        <f>IF(OR($B61="",AM$22=""),"",IF(LEN(VLOOKUP($B61,Database!$B$1:$IX$10144,AM$22,FALSE))=0,"",VLOOKUP($B61,Database!$B$1:$IX$10144,AM$22,FALSE)))</f>
        <v>66.666666666666657</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Sheline YI, Sanghavi M, Mintun MA, Gado MH.</v>
      </c>
    </row>
    <row r="62" spans="1:62">
      <c r="A62" s="4"/>
      <c r="C62" s="1"/>
      <c r="D62" s="1"/>
      <c r="E62" s="22"/>
      <c r="F62" s="22"/>
      <c r="G62" s="1"/>
      <c r="H62" s="22"/>
      <c r="I62" s="22"/>
      <c r="Y62" s="22"/>
      <c r="Z62" s="22"/>
      <c r="AA62" s="22"/>
      <c r="AB62" s="22"/>
      <c r="AC62" s="22"/>
      <c r="AD62" s="22"/>
      <c r="AE62" s="22"/>
      <c r="AF62" s="22"/>
      <c r="AG62" s="22"/>
      <c r="AH62" s="22"/>
      <c r="AI62" s="22"/>
      <c r="AJ62" s="22"/>
      <c r="AK62" s="22"/>
      <c r="AL62" s="22"/>
      <c r="AM62" s="22"/>
      <c r="AN62" s="22"/>
      <c r="AO62" s="22"/>
      <c r="AP62" s="22"/>
      <c r="AQ62" s="22"/>
    </row>
    <row r="63" spans="1:62">
      <c r="I63" s="22" t="str">
        <f>IF($B63="","",IF(LEN(VLOOKUP($B63,Database!$B$1:$IX$10144,8,FALSE))=0,"",VLOOKUP($B63,Database!$B$1:$IX$10144,8,FALSE)))</f>
        <v/>
      </c>
      <c r="AF63" t="s">
        <v>602</v>
      </c>
      <c r="AJ63" t="s">
        <v>329</v>
      </c>
      <c r="AN63" t="s">
        <v>330</v>
      </c>
    </row>
    <row r="64" spans="1:62" ht="45" customHeight="1">
      <c r="E64" s="60" t="s">
        <v>617</v>
      </c>
      <c r="F64" s="60" t="s">
        <v>740</v>
      </c>
      <c r="G64" s="60" t="s">
        <v>244</v>
      </c>
      <c r="H64" s="60" t="s">
        <v>245</v>
      </c>
      <c r="I64" s="60" t="s">
        <v>246</v>
      </c>
      <c r="J64" s="60" t="s">
        <v>593</v>
      </c>
      <c r="K64" s="60" t="s">
        <v>1039</v>
      </c>
      <c r="L64" s="60" t="s">
        <v>594</v>
      </c>
      <c r="M64" s="60" t="s">
        <v>1299</v>
      </c>
      <c r="N64" s="61" t="s">
        <v>595</v>
      </c>
      <c r="O64" s="61" t="s">
        <v>596</v>
      </c>
      <c r="P64" s="61" t="s">
        <v>597</v>
      </c>
      <c r="Q64" s="61" t="s">
        <v>598</v>
      </c>
      <c r="R64" s="61" t="s">
        <v>599</v>
      </c>
      <c r="S64" s="61" t="s">
        <v>600</v>
      </c>
      <c r="T64" s="61" t="s">
        <v>601</v>
      </c>
      <c r="U64" s="61" t="s">
        <v>484</v>
      </c>
      <c r="V64" s="61" t="s">
        <v>485</v>
      </c>
      <c r="W64" s="61" t="s">
        <v>486</v>
      </c>
      <c r="AF64" s="61" t="s">
        <v>1517</v>
      </c>
      <c r="AG64" s="62" t="s">
        <v>834</v>
      </c>
      <c r="AH64" s="62" t="s">
        <v>835</v>
      </c>
      <c r="AJ64" s="61" t="s">
        <v>836</v>
      </c>
      <c r="AK64" s="61" t="s">
        <v>837</v>
      </c>
      <c r="AL64" s="61" t="s">
        <v>487</v>
      </c>
      <c r="AN64" t="s">
        <v>488</v>
      </c>
      <c r="AO64" t="s">
        <v>489</v>
      </c>
      <c r="AP64" t="s">
        <v>490</v>
      </c>
      <c r="AQ64" t="s">
        <v>491</v>
      </c>
      <c r="AR64" t="s">
        <v>492</v>
      </c>
      <c r="AS64" t="s">
        <v>493</v>
      </c>
      <c r="AT64" t="s">
        <v>494</v>
      </c>
      <c r="AU64" t="s">
        <v>495</v>
      </c>
      <c r="AV64" t="s">
        <v>496</v>
      </c>
      <c r="AW64" t="s">
        <v>497</v>
      </c>
      <c r="AX64" t="s">
        <v>498</v>
      </c>
      <c r="AY64" t="s">
        <v>499</v>
      </c>
      <c r="BJ64" s="2"/>
    </row>
    <row r="65" spans="5:62">
      <c r="E65" t="str">
        <f t="shared" ref="E65:F70" si="3">E24</f>
        <v>Ashtari M</v>
      </c>
      <c r="F65">
        <f t="shared" si="3"/>
        <v>1999</v>
      </c>
      <c r="G65">
        <v>44</v>
      </c>
      <c r="H65">
        <f t="shared" ref="H65:I70" si="4">H24</f>
        <v>40</v>
      </c>
      <c r="I65">
        <f t="shared" si="4"/>
        <v>46</v>
      </c>
      <c r="J65">
        <f t="shared" ref="J65:M70" si="5">IF($D$4="Total",T24,IF($D$4="Left",L24,IF($D$4="Right",P24,"error")))</f>
        <v>3487</v>
      </c>
      <c r="K65">
        <f t="shared" si="5"/>
        <v>662</v>
      </c>
      <c r="L65">
        <f t="shared" si="5"/>
        <v>3697</v>
      </c>
      <c r="M65">
        <f t="shared" si="5"/>
        <v>597</v>
      </c>
      <c r="N65">
        <f t="shared" ref="N65:N72" si="6">IF($D$3=1,SQRT((((I65-1)*(M65)^2)+((H65-1)*(K65)^2))/(H65+I65-2)),M65)</f>
        <v>628.01578119388955</v>
      </c>
      <c r="O65" s="59">
        <f t="shared" ref="O65:O72" si="7">IF($D$6=1,LN(J65/L65),IF($D$5=1,(1-3/(4*(H65+I65)-9))*((J65-L65)/N65),(J65-L65)/N65))</f>
        <v>-0.33139199557920213</v>
      </c>
      <c r="P65" s="63">
        <f t="shared" ref="P65:P72" si="8">IF($D$6=1,(K65^2)/(H65*J65^2)+(M65^2)/(I65*L65^2),(IF($D$5=1,((H65+I65)/(H65*I65))+(O65*O65)/(2*(H65+I65-3.94)),((H65+I65)/(H65*I65))+((O65^2)/(2*(H65+I65-2))))))</f>
        <v>4.74082789525377E-2</v>
      </c>
      <c r="Q65" s="59">
        <f t="shared" ref="Q65:Q72" si="9">$R$89*SQRT(P65)</f>
        <v>0.42675946905027057</v>
      </c>
      <c r="R65" s="59">
        <f t="shared" ref="R65:R72" si="10">1/P65</f>
        <v>21.093362216357601</v>
      </c>
      <c r="S65" s="59">
        <f t="shared" ref="S65:S72" si="11">O65*R65</f>
        <v>-6.9901713983536871</v>
      </c>
      <c r="T65" s="59">
        <f t="shared" ref="T65:T72" si="12">R65*(O65^2)</f>
        <v>2.3164868491410902</v>
      </c>
      <c r="U65" s="23">
        <f t="shared" ref="U65:U72" si="13">R65^2</f>
        <v>444.92992959046245</v>
      </c>
      <c r="V65" s="59">
        <f t="shared" ref="V65:V72" si="14">1/((1/R65)+$I$86)</f>
        <v>13.85225964752788</v>
      </c>
      <c r="W65" s="59">
        <f t="shared" ref="W65:W72" si="15">V65*O65</f>
        <v>-4.5905279678755191</v>
      </c>
      <c r="AF65" s="59">
        <f t="shared" ref="AF65:AF72" si="16">IF($D$6=1,100*((EXP(O65))-1),O65)</f>
        <v>-0.33139199557920213</v>
      </c>
      <c r="AG65" s="59">
        <f t="shared" ref="AG65:AG72" si="17">IF($D$6=1,100*(EXP(O65+Q65)-EXP(O65)),Q65)</f>
        <v>0.42675946905027057</v>
      </c>
      <c r="AH65" s="59">
        <f t="shared" ref="AH65:AH72" si="18">IF($D$6=1,100*(EXP(O65)-EXP(O65-Q65)),Q65)</f>
        <v>0.42675946905027057</v>
      </c>
      <c r="AJ65">
        <f t="shared" ref="AJ65:AJ72" si="19">SQRT(P65)</f>
        <v>0.21773442298483192</v>
      </c>
      <c r="AK65">
        <f t="shared" ref="AK65:AK72" si="20">1/AJ65</f>
        <v>4.5927510509886771</v>
      </c>
      <c r="AL65">
        <f t="shared" ref="AL65:AL72" si="21">O65/AJ65</f>
        <v>-1.5220009359856157</v>
      </c>
      <c r="AN65" t="str">
        <f t="shared" ref="AN65:AO70" si="22">E65</f>
        <v>Ashtari M</v>
      </c>
      <c r="AO65">
        <f t="shared" si="22"/>
        <v>1999</v>
      </c>
      <c r="AP65" t="str">
        <f t="shared" ref="AP65:AP72" si="23">CONCATENATE(AN65," ",AO65)</f>
        <v>Ashtari M 1999</v>
      </c>
      <c r="AQ65">
        <f>INT(H65)</f>
        <v>40</v>
      </c>
      <c r="AR65">
        <f t="shared" ref="AR65:AS70" si="24">J65</f>
        <v>3487</v>
      </c>
      <c r="AS65">
        <f t="shared" si="24"/>
        <v>662</v>
      </c>
      <c r="AT65">
        <f t="shared" ref="AT65:AT72" si="25">INT(I65)</f>
        <v>46</v>
      </c>
      <c r="AU65">
        <f t="shared" ref="AU65:AV70" si="26">L65</f>
        <v>3697</v>
      </c>
      <c r="AV65">
        <f t="shared" si="26"/>
        <v>597</v>
      </c>
      <c r="AW65" s="65">
        <f t="shared" ref="AW65:AW72" si="27">O65</f>
        <v>-0.33139199557920213</v>
      </c>
      <c r="AX65">
        <f t="shared" ref="AX65:AX72" si="28">SQRT(P65)</f>
        <v>0.21773442298483192</v>
      </c>
      <c r="AY65" t="str">
        <f>$F$4</f>
        <v>Total</v>
      </c>
      <c r="BC65" s="23"/>
      <c r="BI65" s="59"/>
      <c r="BJ65" s="59"/>
    </row>
    <row r="66" spans="5:62">
      <c r="E66" t="str">
        <f t="shared" si="3"/>
        <v>Janssen J</v>
      </c>
      <c r="F66">
        <f t="shared" si="3"/>
        <v>2004</v>
      </c>
      <c r="G66">
        <v>42</v>
      </c>
      <c r="H66">
        <f t="shared" si="4"/>
        <v>28</v>
      </c>
      <c r="I66">
        <f t="shared" si="4"/>
        <v>41</v>
      </c>
      <c r="J66">
        <f t="shared" si="5"/>
        <v>5.94</v>
      </c>
      <c r="K66">
        <f t="shared" si="5"/>
        <v>0.7</v>
      </c>
      <c r="L66">
        <f t="shared" si="5"/>
        <v>6.32</v>
      </c>
      <c r="M66">
        <f t="shared" si="5"/>
        <v>0.93</v>
      </c>
      <c r="N66">
        <f t="shared" si="6"/>
        <v>0.84487921948784372</v>
      </c>
      <c r="O66" s="59">
        <f t="shared" si="7"/>
        <v>-0.44471485203105726</v>
      </c>
      <c r="P66" s="63">
        <f t="shared" si="8"/>
        <v>6.1624444307909837E-2</v>
      </c>
      <c r="Q66" s="59">
        <f t="shared" si="9"/>
        <v>0.48655571649428436</v>
      </c>
      <c r="R66" s="59">
        <f t="shared" si="10"/>
        <v>16.227326854315251</v>
      </c>
      <c r="S66" s="59">
        <f t="shared" si="11"/>
        <v>-7.2165332608764086</v>
      </c>
      <c r="T66" s="59">
        <f t="shared" si="12"/>
        <v>3.2092995212878552</v>
      </c>
      <c r="U66" s="23">
        <f t="shared" si="13"/>
        <v>263.3261368367809</v>
      </c>
      <c r="V66" s="59">
        <f t="shared" si="14"/>
        <v>11.573196245244242</v>
      </c>
      <c r="W66" s="59">
        <f t="shared" si="15"/>
        <v>-5.1467722557301805</v>
      </c>
      <c r="AF66" s="59">
        <f t="shared" si="16"/>
        <v>-0.44471485203105726</v>
      </c>
      <c r="AG66" s="59">
        <f t="shared" si="17"/>
        <v>0.48655571649428436</v>
      </c>
      <c r="AH66" s="59">
        <f t="shared" si="18"/>
        <v>0.48655571649428436</v>
      </c>
      <c r="AJ66">
        <f t="shared" si="19"/>
        <v>0.24824271249708385</v>
      </c>
      <c r="AK66">
        <f t="shared" si="20"/>
        <v>4.0283156348919897</v>
      </c>
      <c r="AL66">
        <f t="shared" si="21"/>
        <v>-1.7914517915053856</v>
      </c>
      <c r="AN66" t="str">
        <f t="shared" si="22"/>
        <v>Janssen J</v>
      </c>
      <c r="AO66">
        <f t="shared" si="22"/>
        <v>2004</v>
      </c>
      <c r="AP66" t="str">
        <f t="shared" si="23"/>
        <v>Janssen J 2004</v>
      </c>
      <c r="AQ66">
        <f t="shared" ref="AQ66:AQ72" si="29">INT(H66)</f>
        <v>28</v>
      </c>
      <c r="AR66">
        <f t="shared" si="24"/>
        <v>5.94</v>
      </c>
      <c r="AS66">
        <f t="shared" si="24"/>
        <v>0.7</v>
      </c>
      <c r="AT66">
        <f t="shared" si="25"/>
        <v>41</v>
      </c>
      <c r="AU66">
        <f t="shared" si="26"/>
        <v>6.32</v>
      </c>
      <c r="AV66">
        <f t="shared" si="26"/>
        <v>0.93</v>
      </c>
      <c r="AW66" s="65">
        <f t="shared" si="27"/>
        <v>-0.44471485203105726</v>
      </c>
      <c r="AX66">
        <f t="shared" si="28"/>
        <v>0.24824271249708385</v>
      </c>
      <c r="AY66" t="str">
        <f>F5</f>
        <v>H Correction</v>
      </c>
      <c r="BC66" s="23"/>
      <c r="BI66" s="59"/>
      <c r="BJ66" s="59"/>
    </row>
    <row r="67" spans="5:62">
      <c r="E67" t="str">
        <f t="shared" si="3"/>
        <v>Taylor WD (B)</v>
      </c>
      <c r="F67">
        <f t="shared" si="3"/>
        <v>2005</v>
      </c>
      <c r="G67">
        <v>38</v>
      </c>
      <c r="H67">
        <f t="shared" si="4"/>
        <v>135</v>
      </c>
      <c r="I67">
        <f t="shared" si="4"/>
        <v>83</v>
      </c>
      <c r="J67">
        <f t="shared" si="5"/>
        <v>6.04</v>
      </c>
      <c r="K67">
        <f t="shared" si="5"/>
        <v>0.79</v>
      </c>
      <c r="L67">
        <f t="shared" si="5"/>
        <v>6.09</v>
      </c>
      <c r="M67">
        <f t="shared" si="5"/>
        <v>0.84</v>
      </c>
      <c r="N67">
        <f t="shared" si="6"/>
        <v>0.80934530011288441</v>
      </c>
      <c r="O67" s="59">
        <f t="shared" si="7"/>
        <v>-6.1563572075250955E-2</v>
      </c>
      <c r="P67" s="63">
        <f t="shared" si="8"/>
        <v>1.9464453008087804E-2</v>
      </c>
      <c r="Q67" s="59">
        <f t="shared" si="9"/>
        <v>0.27344952491432511</v>
      </c>
      <c r="R67" s="59">
        <f t="shared" si="10"/>
        <v>51.375705219380343</v>
      </c>
      <c r="S67" s="59">
        <f t="shared" si="11"/>
        <v>-3.1628719311901685</v>
      </c>
      <c r="T67" s="59">
        <f t="shared" si="12"/>
        <v>0.19471769410061412</v>
      </c>
      <c r="U67" s="23">
        <f t="shared" si="13"/>
        <v>2639.4630867886644</v>
      </c>
      <c r="V67" s="59">
        <f t="shared" si="14"/>
        <v>22.600625931393676</v>
      </c>
      <c r="W67" s="59">
        <f t="shared" si="15"/>
        <v>-1.3913752634731402</v>
      </c>
      <c r="AF67" s="59">
        <f t="shared" si="16"/>
        <v>-6.1563572075250955E-2</v>
      </c>
      <c r="AG67" s="59">
        <f t="shared" si="17"/>
        <v>0.27344952491432511</v>
      </c>
      <c r="AH67" s="59">
        <f t="shared" si="18"/>
        <v>0.27344952491432511</v>
      </c>
      <c r="AJ67">
        <f t="shared" si="19"/>
        <v>0.13951506373179853</v>
      </c>
      <c r="AK67">
        <f t="shared" si="20"/>
        <v>7.1676847879479419</v>
      </c>
      <c r="AL67">
        <f t="shared" si="21"/>
        <v>-0.44126827905551297</v>
      </c>
      <c r="AN67" t="str">
        <f t="shared" si="22"/>
        <v>Taylor WD (B)</v>
      </c>
      <c r="AO67">
        <f t="shared" si="22"/>
        <v>2005</v>
      </c>
      <c r="AP67" t="str">
        <f t="shared" si="23"/>
        <v>Taylor WD (B) 2005</v>
      </c>
      <c r="AQ67">
        <f t="shared" si="29"/>
        <v>135</v>
      </c>
      <c r="AR67">
        <f t="shared" si="24"/>
        <v>6.04</v>
      </c>
      <c r="AS67">
        <f t="shared" si="24"/>
        <v>0.79</v>
      </c>
      <c r="AT67">
        <f t="shared" si="25"/>
        <v>83</v>
      </c>
      <c r="AU67">
        <f t="shared" si="26"/>
        <v>6.09</v>
      </c>
      <c r="AV67">
        <f t="shared" si="26"/>
        <v>0.84</v>
      </c>
      <c r="AW67" s="65">
        <f t="shared" si="27"/>
        <v>-6.1563572075250955E-2</v>
      </c>
      <c r="AX67">
        <f t="shared" si="28"/>
        <v>0.13951506373179853</v>
      </c>
      <c r="BC67" s="23"/>
      <c r="BI67" s="59"/>
      <c r="BJ67" s="59"/>
    </row>
    <row r="68" spans="5:62">
      <c r="E68" t="str">
        <f t="shared" si="3"/>
        <v>Andreescu C</v>
      </c>
      <c r="F68">
        <f t="shared" si="3"/>
        <v>2008</v>
      </c>
      <c r="G68">
        <v>36</v>
      </c>
      <c r="H68">
        <f t="shared" si="4"/>
        <v>71</v>
      </c>
      <c r="I68">
        <f t="shared" si="4"/>
        <v>32</v>
      </c>
      <c r="J68">
        <f t="shared" si="5"/>
        <v>0.75</v>
      </c>
      <c r="K68">
        <f t="shared" si="5"/>
        <v>0.11</v>
      </c>
      <c r="L68">
        <f t="shared" si="5"/>
        <v>0.83</v>
      </c>
      <c r="M68">
        <f t="shared" si="5"/>
        <v>0.13</v>
      </c>
      <c r="N68">
        <f t="shared" si="6"/>
        <v>0.11650436612733736</v>
      </c>
      <c r="O68" s="59">
        <f t="shared" si="7"/>
        <v>-0.68155786036767829</v>
      </c>
      <c r="P68" s="63">
        <f t="shared" si="8"/>
        <v>4.767915229275306E-2</v>
      </c>
      <c r="Q68" s="59">
        <f t="shared" si="9"/>
        <v>0.42797690527391796</v>
      </c>
      <c r="R68" s="59">
        <f t="shared" si="10"/>
        <v>20.97352725274845</v>
      </c>
      <c r="S68" s="59">
        <f t="shared" si="11"/>
        <v>-14.294672358746423</v>
      </c>
      <c r="T68" s="59">
        <f t="shared" si="12"/>
        <v>9.7426463074842058</v>
      </c>
      <c r="U68" s="23">
        <f t="shared" si="13"/>
        <v>439.88884542178198</v>
      </c>
      <c r="V68" s="59">
        <f t="shared" si="14"/>
        <v>13.800477388073073</v>
      </c>
      <c r="W68" s="59">
        <f t="shared" si="15"/>
        <v>-9.40582384066761</v>
      </c>
      <c r="AF68" s="59">
        <f t="shared" si="16"/>
        <v>-0.68155786036767829</v>
      </c>
      <c r="AG68" s="59">
        <f t="shared" si="17"/>
        <v>0.42797690527391796</v>
      </c>
      <c r="AH68" s="59">
        <f t="shared" si="18"/>
        <v>0.42797690527391796</v>
      </c>
      <c r="AJ68">
        <f t="shared" si="19"/>
        <v>0.21835556391526428</v>
      </c>
      <c r="AK68">
        <f t="shared" si="20"/>
        <v>4.5796863705660504</v>
      </c>
      <c r="AL68">
        <f t="shared" si="21"/>
        <v>-3.1213212438780156</v>
      </c>
      <c r="AN68" t="str">
        <f t="shared" si="22"/>
        <v>Andreescu C</v>
      </c>
      <c r="AO68">
        <f t="shared" si="22"/>
        <v>2008</v>
      </c>
      <c r="AP68" t="str">
        <f t="shared" si="23"/>
        <v>Andreescu C 2008</v>
      </c>
      <c r="AQ68">
        <f t="shared" si="29"/>
        <v>71</v>
      </c>
      <c r="AR68">
        <f t="shared" si="24"/>
        <v>0.75</v>
      </c>
      <c r="AS68">
        <f t="shared" si="24"/>
        <v>0.11</v>
      </c>
      <c r="AT68">
        <f t="shared" si="25"/>
        <v>32</v>
      </c>
      <c r="AU68">
        <f t="shared" si="26"/>
        <v>0.83</v>
      </c>
      <c r="AV68">
        <f t="shared" si="26"/>
        <v>0.13</v>
      </c>
      <c r="AW68" s="65">
        <f t="shared" si="27"/>
        <v>-0.68155786036767829</v>
      </c>
      <c r="AX68">
        <f t="shared" si="28"/>
        <v>0.21835556391526428</v>
      </c>
      <c r="BC68" s="23"/>
      <c r="BI68" s="59"/>
      <c r="BJ68" s="59"/>
    </row>
    <row r="69" spans="5:62">
      <c r="E69" t="str">
        <f t="shared" si="3"/>
        <v>Weber K</v>
      </c>
      <c r="F69">
        <f t="shared" si="3"/>
        <v>2009</v>
      </c>
      <c r="G69">
        <v>31</v>
      </c>
      <c r="H69">
        <f t="shared" si="4"/>
        <v>38</v>
      </c>
      <c r="I69">
        <f t="shared" si="4"/>
        <v>62</v>
      </c>
      <c r="J69">
        <f t="shared" si="5"/>
        <v>3.58</v>
      </c>
      <c r="K69">
        <f t="shared" si="5"/>
        <v>0.45</v>
      </c>
      <c r="L69">
        <f t="shared" si="5"/>
        <v>3.63</v>
      </c>
      <c r="M69">
        <f t="shared" si="5"/>
        <v>0.52</v>
      </c>
      <c r="N69">
        <f t="shared" si="6"/>
        <v>0.49473658214678823</v>
      </c>
      <c r="O69" s="59">
        <f t="shared" si="7"/>
        <v>-0.10028845667960666</v>
      </c>
      <c r="P69" s="63">
        <f t="shared" si="8"/>
        <v>4.2497173254459411E-2</v>
      </c>
      <c r="Q69" s="59">
        <f t="shared" si="9"/>
        <v>0.40405091359175427</v>
      </c>
      <c r="R69" s="59">
        <f t="shared" si="10"/>
        <v>23.530976849032321</v>
      </c>
      <c r="S69" s="59">
        <f t="shared" si="11"/>
        <v>-2.3598853523530052</v>
      </c>
      <c r="T69" s="59">
        <f t="shared" si="12"/>
        <v>0.23666925992829266</v>
      </c>
      <c r="U69" s="23">
        <f t="shared" si="13"/>
        <v>553.7068714696951</v>
      </c>
      <c r="V69" s="59">
        <f t="shared" si="14"/>
        <v>14.863416557333631</v>
      </c>
      <c r="W69" s="59">
        <f t="shared" si="15"/>
        <v>-1.4906291075211022</v>
      </c>
      <c r="AF69" s="59">
        <f t="shared" si="16"/>
        <v>-0.10028845667960666</v>
      </c>
      <c r="AG69" s="59">
        <f t="shared" si="17"/>
        <v>0.40405091359175427</v>
      </c>
      <c r="AH69" s="59">
        <f t="shared" si="18"/>
        <v>0.40405091359175427</v>
      </c>
      <c r="AJ69">
        <f t="shared" si="19"/>
        <v>0.20614842530191543</v>
      </c>
      <c r="AK69">
        <f t="shared" si="20"/>
        <v>4.850873823243842</v>
      </c>
      <c r="AL69">
        <f t="shared" si="21"/>
        <v>-0.48648664928062796</v>
      </c>
      <c r="AN69" t="str">
        <f t="shared" si="22"/>
        <v>Weber K</v>
      </c>
      <c r="AO69">
        <f t="shared" si="22"/>
        <v>2009</v>
      </c>
      <c r="AP69" t="str">
        <f t="shared" si="23"/>
        <v>Weber K 2009</v>
      </c>
      <c r="AQ69">
        <f t="shared" si="29"/>
        <v>38</v>
      </c>
      <c r="AR69">
        <f t="shared" si="24"/>
        <v>3.58</v>
      </c>
      <c r="AS69">
        <f t="shared" si="24"/>
        <v>0.45</v>
      </c>
      <c r="AT69">
        <f t="shared" si="25"/>
        <v>62</v>
      </c>
      <c r="AU69">
        <f t="shared" si="26"/>
        <v>3.63</v>
      </c>
      <c r="AV69">
        <f t="shared" si="26"/>
        <v>0.52</v>
      </c>
      <c r="AW69" s="65">
        <f t="shared" si="27"/>
        <v>-0.10028845667960666</v>
      </c>
      <c r="AX69">
        <f t="shared" si="28"/>
        <v>0.20614842530191543</v>
      </c>
      <c r="BC69" s="23"/>
      <c r="BI69" s="59"/>
      <c r="BJ69" s="59"/>
    </row>
    <row r="70" spans="5:62">
      <c r="E70" t="str">
        <f t="shared" si="3"/>
        <v>Köhler S</v>
      </c>
      <c r="F70">
        <f t="shared" si="3"/>
        <v>2010</v>
      </c>
      <c r="G70">
        <v>30</v>
      </c>
      <c r="H70">
        <f t="shared" si="4"/>
        <v>35</v>
      </c>
      <c r="I70">
        <f t="shared" si="4"/>
        <v>29</v>
      </c>
      <c r="J70">
        <f t="shared" si="5"/>
        <v>5.6</v>
      </c>
      <c r="K70">
        <f t="shared" si="5"/>
        <v>0.9</v>
      </c>
      <c r="L70">
        <f t="shared" si="5"/>
        <v>5.8</v>
      </c>
      <c r="M70">
        <f t="shared" si="5"/>
        <v>0.8</v>
      </c>
      <c r="N70">
        <f t="shared" si="6"/>
        <v>0.85628605410319103</v>
      </c>
      <c r="O70" s="59">
        <f t="shared" si="7"/>
        <v>-0.2307299637261406</v>
      </c>
      <c r="P70" s="63">
        <f t="shared" si="8"/>
        <v>6.3497379967351872E-2</v>
      </c>
      <c r="Q70" s="59">
        <f t="shared" si="9"/>
        <v>0.49389425475761406</v>
      </c>
      <c r="R70" s="59">
        <f t="shared" si="10"/>
        <v>15.74868129227009</v>
      </c>
      <c r="S70" s="59">
        <f t="shared" si="11"/>
        <v>-3.6336926633000268</v>
      </c>
      <c r="T70" s="59">
        <f t="shared" si="12"/>
        <v>0.83840177639515845</v>
      </c>
      <c r="U70" s="23">
        <f t="shared" si="13"/>
        <v>248.02096244549793</v>
      </c>
      <c r="V70" s="59">
        <f t="shared" si="14"/>
        <v>11.327659573486335</v>
      </c>
      <c r="W70" s="59">
        <f t="shared" si="15"/>
        <v>-2.6136304824925713</v>
      </c>
      <c r="AF70" s="59">
        <f t="shared" si="16"/>
        <v>-0.2307299637261406</v>
      </c>
      <c r="AG70" s="59">
        <f t="shared" si="17"/>
        <v>0.49389425475761406</v>
      </c>
      <c r="AH70" s="59">
        <f t="shared" si="18"/>
        <v>0.49389425475761406</v>
      </c>
      <c r="AJ70">
        <f t="shared" si="19"/>
        <v>0.25198686467225206</v>
      </c>
      <c r="AK70">
        <f t="shared" si="20"/>
        <v>3.9684608215616906</v>
      </c>
      <c r="AL70">
        <f t="shared" si="21"/>
        <v>-0.91564282140753905</v>
      </c>
      <c r="AN70" t="str">
        <f t="shared" si="22"/>
        <v>Köhler S</v>
      </c>
      <c r="AO70">
        <f t="shared" si="22"/>
        <v>2010</v>
      </c>
      <c r="AP70" t="str">
        <f t="shared" si="23"/>
        <v>Köhler S 2010</v>
      </c>
      <c r="AQ70">
        <f t="shared" si="29"/>
        <v>35</v>
      </c>
      <c r="AR70">
        <f t="shared" si="24"/>
        <v>5.6</v>
      </c>
      <c r="AS70">
        <f t="shared" si="24"/>
        <v>0.9</v>
      </c>
      <c r="AT70">
        <f t="shared" si="25"/>
        <v>29</v>
      </c>
      <c r="AU70">
        <f t="shared" si="26"/>
        <v>5.8</v>
      </c>
      <c r="AV70">
        <f t="shared" si="26"/>
        <v>0.8</v>
      </c>
      <c r="AW70" s="65">
        <f t="shared" si="27"/>
        <v>-0.2307299637261406</v>
      </c>
      <c r="AX70">
        <f t="shared" si="28"/>
        <v>0.25198686467225206</v>
      </c>
      <c r="BC70" s="23"/>
      <c r="BI70" s="59"/>
      <c r="BJ70" s="59"/>
    </row>
    <row r="71" spans="5:62">
      <c r="E71" t="str">
        <f>E32</f>
        <v>Lloyd AJ</v>
      </c>
      <c r="F71">
        <f>F32</f>
        <v>2004</v>
      </c>
      <c r="G71">
        <v>20</v>
      </c>
      <c r="H71">
        <f>H32</f>
        <v>51</v>
      </c>
      <c r="I71">
        <f>I32</f>
        <v>39</v>
      </c>
      <c r="J71">
        <f t="shared" ref="J71:M72" si="30">IF($D$4="Total",T32,IF($D$4="Left",L32,IF($D$4="Right",P32,"error")))</f>
        <v>5.5</v>
      </c>
      <c r="K71">
        <f t="shared" si="30"/>
        <v>0.85440037453175322</v>
      </c>
      <c r="L71">
        <f t="shared" si="30"/>
        <v>5.8</v>
      </c>
      <c r="M71">
        <f t="shared" si="30"/>
        <v>0.7589466384404111</v>
      </c>
      <c r="N71">
        <f t="shared" si="6"/>
        <v>0.81455509328712694</v>
      </c>
      <c r="O71" s="59">
        <f t="shared" si="7"/>
        <v>-0.36515135671867005</v>
      </c>
      <c r="P71" s="63">
        <f t="shared" si="8"/>
        <v>4.6023534786376552E-2</v>
      </c>
      <c r="Q71" s="59">
        <f t="shared" si="9"/>
        <v>0.42048069068073046</v>
      </c>
      <c r="R71" s="59">
        <f t="shared" si="10"/>
        <v>21.728013822528261</v>
      </c>
      <c r="S71" s="59">
        <f t="shared" si="11"/>
        <v>-7.9340137260982111</v>
      </c>
      <c r="T71" s="59">
        <f t="shared" si="12"/>
        <v>2.8971158763093121</v>
      </c>
      <c r="U71" s="23">
        <f t="shared" si="13"/>
        <v>472.10658467197919</v>
      </c>
      <c r="V71" s="59">
        <f t="shared" si="14"/>
        <v>14.123167934914123</v>
      </c>
      <c r="W71" s="59">
        <f t="shared" si="15"/>
        <v>-5.1570939325995093</v>
      </c>
      <c r="AF71" s="59">
        <f t="shared" si="16"/>
        <v>-0.36515135671867005</v>
      </c>
      <c r="AG71" s="59">
        <f t="shared" si="17"/>
        <v>0.42048069068073046</v>
      </c>
      <c r="AH71" s="59">
        <f t="shared" si="18"/>
        <v>0.42048069068073046</v>
      </c>
      <c r="AJ71">
        <f t="shared" si="19"/>
        <v>0.21453096463302576</v>
      </c>
      <c r="AK71">
        <f t="shared" si="20"/>
        <v>4.6613317649067056</v>
      </c>
      <c r="AL71">
        <f t="shared" si="21"/>
        <v>-1.7020916180715162</v>
      </c>
      <c r="AN71" t="str">
        <f>E71</f>
        <v>Lloyd AJ</v>
      </c>
      <c r="AO71">
        <f>F71</f>
        <v>2004</v>
      </c>
      <c r="AP71" t="str">
        <f t="shared" si="23"/>
        <v>Lloyd AJ 2004</v>
      </c>
      <c r="AQ71">
        <f t="shared" si="29"/>
        <v>51</v>
      </c>
      <c r="AR71">
        <f>J71</f>
        <v>5.5</v>
      </c>
      <c r="AS71">
        <f>K71</f>
        <v>0.85440037453175322</v>
      </c>
      <c r="AT71">
        <f t="shared" si="25"/>
        <v>39</v>
      </c>
      <c r="AU71">
        <f>L71</f>
        <v>5.8</v>
      </c>
      <c r="AV71">
        <f>M71</f>
        <v>0.7589466384404111</v>
      </c>
      <c r="AW71" s="65">
        <f t="shared" si="27"/>
        <v>-0.36515135671867005</v>
      </c>
      <c r="AX71">
        <f t="shared" si="28"/>
        <v>0.21453096463302576</v>
      </c>
      <c r="BC71" s="23"/>
      <c r="BI71" s="59"/>
      <c r="BJ71" s="59"/>
    </row>
    <row r="72" spans="5:62">
      <c r="E72" t="str">
        <f>E33</f>
        <v>Ballmaier M (A)</v>
      </c>
      <c r="F72">
        <f>F33</f>
        <v>2008</v>
      </c>
      <c r="G72">
        <v>11</v>
      </c>
      <c r="H72">
        <f>H33</f>
        <v>46</v>
      </c>
      <c r="I72">
        <f>I33</f>
        <v>34</v>
      </c>
      <c r="J72">
        <f t="shared" si="30"/>
        <v>2243.63</v>
      </c>
      <c r="K72">
        <f t="shared" si="30"/>
        <v>429.87705032950993</v>
      </c>
      <c r="L72">
        <f t="shared" si="30"/>
        <v>2581.1999999999998</v>
      </c>
      <c r="M72">
        <f t="shared" si="30"/>
        <v>477.45899897268669</v>
      </c>
      <c r="N72">
        <f t="shared" si="6"/>
        <v>450.62146098898376</v>
      </c>
      <c r="O72" s="59">
        <f t="shared" si="7"/>
        <v>-0.74189475355983714</v>
      </c>
      <c r="P72" s="63">
        <f t="shared" si="8"/>
        <v>5.4769142743607453E-2</v>
      </c>
      <c r="Q72" s="59">
        <f t="shared" si="9"/>
        <v>0.45869503895708574</v>
      </c>
      <c r="R72" s="59">
        <f t="shared" si="10"/>
        <v>18.258456311455014</v>
      </c>
      <c r="S72" s="59">
        <f t="shared" si="11"/>
        <v>-13.545852945569971</v>
      </c>
      <c r="T72" s="59">
        <f t="shared" si="12"/>
        <v>10.049597232811427</v>
      </c>
      <c r="U72" s="23">
        <f t="shared" si="13"/>
        <v>333.37122687731141</v>
      </c>
      <c r="V72" s="59">
        <f t="shared" si="14"/>
        <v>12.570512421158906</v>
      </c>
      <c r="W72" s="59">
        <f t="shared" si="15"/>
        <v>-9.3259972148165584</v>
      </c>
      <c r="AF72" s="59">
        <f t="shared" si="16"/>
        <v>-0.74189475355983714</v>
      </c>
      <c r="AG72" s="59">
        <f t="shared" si="17"/>
        <v>0.45869503895708574</v>
      </c>
      <c r="AH72" s="59">
        <f t="shared" si="18"/>
        <v>0.45869503895708574</v>
      </c>
      <c r="AJ72">
        <f t="shared" si="19"/>
        <v>0.23402808110055395</v>
      </c>
      <c r="AK72">
        <f t="shared" si="20"/>
        <v>4.2729914944281147</v>
      </c>
      <c r="AL72">
        <f t="shared" si="21"/>
        <v>-3.170109971722026</v>
      </c>
      <c r="AN72" t="str">
        <f>E72</f>
        <v>Ballmaier M (A)</v>
      </c>
      <c r="AO72">
        <f>F72</f>
        <v>2008</v>
      </c>
      <c r="AP72" t="str">
        <f t="shared" si="23"/>
        <v>Ballmaier M (A) 2008</v>
      </c>
      <c r="AQ72">
        <f t="shared" si="29"/>
        <v>46</v>
      </c>
      <c r="AR72">
        <f>J72</f>
        <v>2243.63</v>
      </c>
      <c r="AS72">
        <f>K72</f>
        <v>429.87705032950993</v>
      </c>
      <c r="AT72">
        <f t="shared" si="25"/>
        <v>34</v>
      </c>
      <c r="AU72">
        <f>L72</f>
        <v>2581.1999999999998</v>
      </c>
      <c r="AV72">
        <f>M72</f>
        <v>477.45899897268669</v>
      </c>
      <c r="AW72" s="65">
        <f t="shared" si="27"/>
        <v>-0.74189475355983714</v>
      </c>
      <c r="AX72">
        <f t="shared" si="28"/>
        <v>0.23402808110055395</v>
      </c>
      <c r="BC72" s="23"/>
      <c r="BI72" s="59"/>
      <c r="BJ72" s="59"/>
    </row>
    <row r="73" spans="5:62">
      <c r="U73" s="23"/>
      <c r="BI73" s="23"/>
      <c r="BJ73" s="59"/>
    </row>
    <row r="74" spans="5:62">
      <c r="L74" t="s">
        <v>500</v>
      </c>
      <c r="N74" s="7"/>
      <c r="O74" s="66">
        <f>COUNT(O65:O72)</f>
        <v>8</v>
      </c>
      <c r="Q74" t="s">
        <v>885</v>
      </c>
      <c r="R74" s="59">
        <f t="shared" ref="R74:W74" si="31">SUM(R65:R72)</f>
        <v>188.93604981808733</v>
      </c>
      <c r="S74" s="59">
        <f t="shared" si="31"/>
        <v>-59.137693636487889</v>
      </c>
      <c r="T74" s="59">
        <f t="shared" si="31"/>
        <v>29.484934517457951</v>
      </c>
      <c r="U74" s="23">
        <f t="shared" si="31"/>
        <v>5394.8136441021743</v>
      </c>
      <c r="V74" s="59">
        <f t="shared" si="31"/>
        <v>114.71131569913187</v>
      </c>
      <c r="W74" s="59">
        <f t="shared" si="31"/>
        <v>-39.12185006517619</v>
      </c>
      <c r="BI74" s="23"/>
    </row>
    <row r="75" spans="5:62">
      <c r="L75" t="s">
        <v>501</v>
      </c>
      <c r="N75" s="7"/>
      <c r="O75" s="2">
        <v>0</v>
      </c>
      <c r="BI75" s="23"/>
    </row>
    <row r="76" spans="5:62">
      <c r="N76" s="7"/>
      <c r="O76" s="7"/>
    </row>
    <row r="77" spans="5:62">
      <c r="G77" s="67" t="s">
        <v>502</v>
      </c>
      <c r="H77" s="40"/>
      <c r="I77" s="40">
        <f>S74/R74</f>
        <v>-0.31300375811512543</v>
      </c>
      <c r="J77" s="40"/>
      <c r="K77" s="68" t="s">
        <v>879</v>
      </c>
      <c r="L77" s="40"/>
      <c r="M77" s="42"/>
      <c r="N77" s="7"/>
      <c r="O77" s="69" t="s">
        <v>503</v>
      </c>
      <c r="P77" s="70">
        <f>T74-((S74^2)/R74)</f>
        <v>10.974614162976305</v>
      </c>
      <c r="Q77" s="71" t="s">
        <v>824</v>
      </c>
      <c r="R77" s="28"/>
      <c r="S77" s="29"/>
      <c r="T77" s="30"/>
      <c r="U77" s="31"/>
      <c r="AF77" s="2" t="s">
        <v>1518</v>
      </c>
    </row>
    <row r="78" spans="5:62">
      <c r="G78" s="43" t="s">
        <v>504</v>
      </c>
      <c r="H78" s="31"/>
      <c r="I78" s="31">
        <f>1/R74</f>
        <v>5.2927961654899991E-3</v>
      </c>
      <c r="J78" s="31"/>
      <c r="K78" s="31"/>
      <c r="L78" s="31"/>
      <c r="M78" s="44"/>
      <c r="N78" s="7"/>
      <c r="O78" s="30" t="s">
        <v>505</v>
      </c>
      <c r="P78" s="31">
        <f>CHIDIST(P77,I82-1)</f>
        <v>0.13973017776478558</v>
      </c>
      <c r="Q78" s="31"/>
      <c r="R78" s="31"/>
      <c r="S78" s="34"/>
      <c r="T78" s="30"/>
      <c r="U78" s="31"/>
      <c r="AF78" s="2"/>
    </row>
    <row r="79" spans="5:62">
      <c r="G79" s="72" t="s">
        <v>506</v>
      </c>
      <c r="H79" s="31"/>
      <c r="I79" s="31">
        <f>$R$89*SQRT(I78)</f>
        <v>0.142593147624093</v>
      </c>
      <c r="J79" s="31"/>
      <c r="K79" s="31" t="s">
        <v>507</v>
      </c>
      <c r="L79" s="31"/>
      <c r="M79" s="44">
        <f>ABS(I77/SQRT(I78))</f>
        <v>4.3023621830898486</v>
      </c>
      <c r="N79" s="7"/>
      <c r="O79" s="35" t="s">
        <v>508</v>
      </c>
      <c r="P79" s="37">
        <f>IF(((P77-(I82-1))/P77)&lt;0,0,100*((P77-(I82-1))/P77))</f>
        <v>36.216436440972736</v>
      </c>
      <c r="Q79" s="36"/>
      <c r="R79" s="36"/>
      <c r="S79" s="38"/>
      <c r="T79" s="30"/>
      <c r="U79" s="31"/>
      <c r="AF79" s="2" t="s">
        <v>1535</v>
      </c>
      <c r="AH79">
        <f>IF($D$6=1,100*((EXP(I77))-1),I77)</f>
        <v>-0.31300375811512543</v>
      </c>
    </row>
    <row r="80" spans="5:62">
      <c r="G80" s="45" t="s">
        <v>509</v>
      </c>
      <c r="H80" s="46"/>
      <c r="I80" s="46">
        <v>-2</v>
      </c>
      <c r="J80" s="46"/>
      <c r="K80" s="46" t="s">
        <v>825</v>
      </c>
      <c r="L80" s="46"/>
      <c r="M80" s="47">
        <f>2*(1-NORMDIST(M79,0,1,1))</f>
        <v>1.6898678252497135E-5</v>
      </c>
      <c r="N80" s="7"/>
      <c r="O80" s="7"/>
      <c r="AF80" s="79" t="s">
        <v>834</v>
      </c>
      <c r="AH80">
        <f>IF($D$6=1,100*(EXP(I77+I79)-EXP(I77)),I79)</f>
        <v>0.142593147624093</v>
      </c>
    </row>
    <row r="81" spans="7:34">
      <c r="G81" s="40"/>
      <c r="H81" s="40"/>
      <c r="I81" s="40"/>
      <c r="J81" s="40"/>
      <c r="K81" s="40"/>
      <c r="L81" s="40"/>
      <c r="M81" s="40"/>
      <c r="N81" s="7"/>
      <c r="O81" s="7"/>
      <c r="AF81" s="79" t="s">
        <v>835</v>
      </c>
      <c r="AH81">
        <f>IF($D$6=1,100*(EXP(I77)-EXP(I77-I79)),I79)</f>
        <v>0.142593147624093</v>
      </c>
    </row>
    <row r="82" spans="7:34">
      <c r="G82" s="73" t="s">
        <v>1110</v>
      </c>
      <c r="H82" s="74"/>
      <c r="I82" s="74">
        <f>O74</f>
        <v>8</v>
      </c>
      <c r="J82" s="74"/>
      <c r="K82" s="75" t="s">
        <v>1167</v>
      </c>
      <c r="L82" s="74"/>
      <c r="M82" s="76"/>
      <c r="N82" s="77"/>
      <c r="O82" s="101" t="s">
        <v>1513</v>
      </c>
      <c r="P82" s="102"/>
      <c r="Q82" s="103"/>
      <c r="AF82" s="7"/>
    </row>
    <row r="83" spans="7:34">
      <c r="G83" s="77" t="s">
        <v>1531</v>
      </c>
      <c r="H83" s="31"/>
      <c r="I83" s="31">
        <f>R74/I82</f>
        <v>23.617006227260916</v>
      </c>
      <c r="J83" s="31"/>
      <c r="K83" s="31"/>
      <c r="L83" s="31"/>
      <c r="M83" s="78"/>
      <c r="N83" s="77"/>
      <c r="O83" s="104" t="s">
        <v>1514</v>
      </c>
      <c r="P83" s="31"/>
      <c r="Q83" s="105">
        <f>INDEX(LINEST(AL65:AL72,AK65:AK72,TRUE,TRUE),1,2)</f>
        <v>-3.9544612925632063</v>
      </c>
      <c r="AF83" s="2" t="s">
        <v>1687</v>
      </c>
      <c r="AH83">
        <f>IF($D$6=1,100*((EXP(I88))-1),I88)</f>
        <v>-0.3410461280714982</v>
      </c>
    </row>
    <row r="84" spans="7:34">
      <c r="G84" s="77" t="s">
        <v>1532</v>
      </c>
      <c r="H84" s="31"/>
      <c r="I84" s="31">
        <f>(1/(I82-1))*(U74-(I82*I83^2))</f>
        <v>133.24425414204674</v>
      </c>
      <c r="J84" s="31"/>
      <c r="K84" s="31"/>
      <c r="L84" s="31"/>
      <c r="M84" s="78"/>
      <c r="N84" s="77"/>
      <c r="O84" s="104" t="s">
        <v>1516</v>
      </c>
      <c r="P84" s="31"/>
      <c r="Q84" s="105">
        <f>INDEX(LINEST(AL65:AL72,AK65:AK72,TRUE,TRUE),2,2)</f>
        <v>1.8254191298297764</v>
      </c>
      <c r="AF84" s="79" t="s">
        <v>834</v>
      </c>
      <c r="AG84" s="7"/>
      <c r="AH84">
        <f>IF($D$6=1,100*(EXP(I88+I90)-EXP(I88)),I90)</f>
        <v>0.18300078001656744</v>
      </c>
    </row>
    <row r="85" spans="7:34">
      <c r="G85" s="77" t="s">
        <v>1669</v>
      </c>
      <c r="H85" s="31"/>
      <c r="I85" s="31">
        <f>(I82-1)*(I83-(I84/(I82*I83)))</f>
        <v>160.38240084905021</v>
      </c>
      <c r="J85" s="31"/>
      <c r="K85" s="31"/>
      <c r="L85" s="31"/>
      <c r="M85" s="78"/>
      <c r="N85" s="77"/>
      <c r="O85" s="104" t="s">
        <v>1349</v>
      </c>
      <c r="P85" s="31"/>
      <c r="Q85" s="105">
        <f>ABS(Q83/Q84)</f>
        <v>2.166330585640333</v>
      </c>
      <c r="AF85" s="79" t="s">
        <v>835</v>
      </c>
      <c r="AH85">
        <f>IF($D$6=1,100*(EXP(I88)-EXP(I88-I90)),I90)</f>
        <v>0.18300078001656744</v>
      </c>
    </row>
    <row r="86" spans="7:34">
      <c r="G86" s="77" t="s">
        <v>1685</v>
      </c>
      <c r="H86" s="31"/>
      <c r="I86" s="31">
        <f>IF(P77&gt;(I82-1),(P77-(I82-1))/I85,0)</f>
        <v>2.4782109146234563E-2</v>
      </c>
      <c r="J86" s="31"/>
      <c r="K86" s="31"/>
      <c r="L86" s="31"/>
      <c r="M86" s="78"/>
      <c r="N86" s="77"/>
      <c r="O86" s="106" t="s">
        <v>1515</v>
      </c>
      <c r="P86" s="107"/>
      <c r="Q86" s="108">
        <f>TDIST(Q85,I82-2,2)</f>
        <v>7.3432693041168631E-2</v>
      </c>
    </row>
    <row r="87" spans="7:34">
      <c r="G87" s="77"/>
      <c r="H87" s="31"/>
      <c r="I87" s="31"/>
      <c r="J87" s="31"/>
      <c r="K87" s="31"/>
      <c r="L87" s="31"/>
      <c r="M87" s="78"/>
      <c r="N87" s="77"/>
    </row>
    <row r="88" spans="7:34">
      <c r="G88" s="77" t="s">
        <v>1686</v>
      </c>
      <c r="H88" s="31"/>
      <c r="I88" s="31">
        <f>W74/V74</f>
        <v>-0.3410461280714982</v>
      </c>
      <c r="J88" s="31"/>
      <c r="N88" s="77"/>
    </row>
    <row r="89" spans="7:34">
      <c r="G89" s="77" t="s">
        <v>504</v>
      </c>
      <c r="H89" s="31"/>
      <c r="I89" s="31">
        <f>1/V74</f>
        <v>8.717535788908817E-3</v>
      </c>
      <c r="J89" s="31"/>
      <c r="N89" s="77"/>
      <c r="O89" t="s">
        <v>805</v>
      </c>
      <c r="R89">
        <v>1.96</v>
      </c>
    </row>
    <row r="90" spans="7:34">
      <c r="G90" s="80" t="s">
        <v>506</v>
      </c>
      <c r="H90" s="31"/>
      <c r="I90" s="31">
        <f>$R$89*SQRT(I89)</f>
        <v>0.18300078001656744</v>
      </c>
      <c r="J90" s="31"/>
      <c r="K90" s="31" t="s">
        <v>507</v>
      </c>
      <c r="L90" s="31"/>
      <c r="M90" s="78">
        <f>ABS(I88/(SQRT(I89)))</f>
        <v>3.6527189171522672</v>
      </c>
      <c r="N90" s="77"/>
    </row>
    <row r="91" spans="7:34">
      <c r="G91" s="81" t="s">
        <v>509</v>
      </c>
      <c r="H91" s="82"/>
      <c r="I91" s="82">
        <v>-3</v>
      </c>
      <c r="J91" s="82"/>
      <c r="K91" s="31" t="s">
        <v>825</v>
      </c>
      <c r="L91" s="31"/>
      <c r="M91" s="78">
        <f>2*(1-NORMDIST(M90,0,1,1))</f>
        <v>2.5947821653904413E-4</v>
      </c>
      <c r="N91" s="77"/>
    </row>
    <row r="92" spans="7:34">
      <c r="G92" s="74"/>
      <c r="H92" s="74"/>
      <c r="I92" s="74"/>
      <c r="J92" s="74"/>
      <c r="K92" s="74"/>
      <c r="L92" s="74"/>
      <c r="M92" s="74"/>
      <c r="N92" s="31"/>
      <c r="O92" s="7"/>
    </row>
  </sheetData>
  <phoneticPr fontId="31" type="noConversion"/>
  <conditionalFormatting sqref="D17 D13 F13">
    <cfRule type="cellIs" dxfId="84" priority="0" stopIfTrue="1" operator="lessThan">
      <formula>0.05</formula>
    </cfRule>
  </conditionalFormatting>
  <conditionalFormatting sqref="D21">
    <cfRule type="cellIs" dxfId="8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8.xml><?xml version="1.0" encoding="utf-8"?>
<worksheet xmlns="http://schemas.openxmlformats.org/spreadsheetml/2006/main" xmlns:r="http://schemas.openxmlformats.org/officeDocument/2006/relationships">
  <sheetPr published="0" codeName="Sheet93"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429</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47</v>
      </c>
      <c r="AD8" s="89"/>
    </row>
    <row r="9" spans="2:30">
      <c r="B9" t="s">
        <v>823</v>
      </c>
      <c r="D9">
        <f>SUM(I24:I26)</f>
        <v>72</v>
      </c>
      <c r="AD9" s="89"/>
    </row>
    <row r="11" spans="2:30">
      <c r="B11" s="27" t="s">
        <v>516</v>
      </c>
      <c r="C11" s="28"/>
      <c r="D11" s="109">
        <f>P40</f>
        <v>0.33812989272856375</v>
      </c>
      <c r="E11" s="110" t="s">
        <v>1513</v>
      </c>
      <c r="F11" s="103"/>
    </row>
    <row r="12" spans="2:30">
      <c r="B12" s="30" t="s">
        <v>826</v>
      </c>
      <c r="C12" s="31"/>
      <c r="D12" s="112">
        <f>P42</f>
        <v>0</v>
      </c>
      <c r="E12" s="31"/>
      <c r="F12" s="105"/>
    </row>
    <row r="13" spans="2:30">
      <c r="B13" s="35" t="s">
        <v>825</v>
      </c>
      <c r="C13" s="36"/>
      <c r="D13" s="113">
        <f>P41</f>
        <v>0.84445405805344254</v>
      </c>
      <c r="E13" s="111" t="s">
        <v>825</v>
      </c>
      <c r="F13" s="115">
        <f>Q49</f>
        <v>0.44587070817489804</v>
      </c>
    </row>
    <row r="15" spans="2:30">
      <c r="B15" s="39" t="s">
        <v>879</v>
      </c>
      <c r="C15" s="40"/>
      <c r="D15" s="41">
        <f>AH42</f>
        <v>-4.8468431775493072E-2</v>
      </c>
      <c r="E15" s="116"/>
    </row>
    <row r="16" spans="2:30">
      <c r="B16" s="43" t="s">
        <v>1165</v>
      </c>
      <c r="C16" s="31"/>
      <c r="D16" s="33">
        <f>AH42-AH44</f>
        <v>-0.43163370841511822</v>
      </c>
      <c r="E16" s="117">
        <f>AH42+AH43</f>
        <v>0.33469684486413204</v>
      </c>
    </row>
    <row r="17" spans="1:65">
      <c r="B17" s="45" t="s">
        <v>1166</v>
      </c>
      <c r="C17" s="46"/>
      <c r="D17" s="123">
        <f>M43</f>
        <v>0.8041886500762625</v>
      </c>
      <c r="E17" s="118"/>
    </row>
    <row r="18" spans="1:65">
      <c r="D18" s="48"/>
      <c r="F18" s="49"/>
    </row>
    <row r="19" spans="1:65">
      <c r="B19" s="50" t="s">
        <v>1167</v>
      </c>
      <c r="C19" s="51"/>
      <c r="D19" s="52">
        <f>AH46</f>
        <v>-4.8468431775493072E-2</v>
      </c>
      <c r="E19" s="120"/>
      <c r="F19" s="33"/>
      <c r="G19" s="31"/>
    </row>
    <row r="20" spans="1:65">
      <c r="B20" s="53" t="s">
        <v>1165</v>
      </c>
      <c r="C20" s="31"/>
      <c r="D20" s="33">
        <f>AH46-AH48</f>
        <v>-0.43163370841511822</v>
      </c>
      <c r="E20" s="121">
        <f>AH46+AH47</f>
        <v>0.33469684486413204</v>
      </c>
      <c r="F20" s="31"/>
      <c r="G20" s="31"/>
    </row>
    <row r="21" spans="1:65">
      <c r="B21" s="54" t="s">
        <v>1440</v>
      </c>
      <c r="C21" s="55"/>
      <c r="D21" s="114">
        <f>M54</f>
        <v>0.8041886500762625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8341769</v>
      </c>
      <c r="C24" s="1" t="str">
        <f>IF($B24="","",HYPERLINK(IF(LEN(VLOOKUP($B24,Database!$B$1:$IX$10144,2,FALSE))=0,"",VLOOKUP($B24,Database!$B$1:$IX$10144,2,FALSE))))</f>
        <v/>
      </c>
      <c r="D24" s="1" t="str">
        <f>IF($B24="","",HYPERLINK(CONCATENATE("http://www.ncbi.nlm.nih.gov/pubmed/",B24)))</f>
        <v>http://www.ncbi.nlm.nih.gov/pubmed/8341769</v>
      </c>
      <c r="E24" s="22" t="str">
        <f>IF($B24="","",IF(LEN(VLOOKUP($B24,Database!$B$1:$IX$10144,4,FALSE))=0,"",VLOOKUP($B24,Database!$B$1:$IX$10144,4,FALSE)))</f>
        <v>Axelson DA</v>
      </c>
      <c r="F24" s="22">
        <f>IF($B24="","",IF(LEN(VLOOKUP($B24,Database!$B$1:$IX$10144,5,FALSE))=0,"",VLOOKUP($B24,Database!$B$1:$IX$10144,5,FALSE)))</f>
        <v>1993</v>
      </c>
      <c r="G24" s="1" t="str">
        <f>IF($B24="","",HYPERLINK(IF(LEN(VLOOKUP($B24,Database!$B$1:$IX$10144,6,FALSE))=0,"",VLOOKUP($B24,Database!$B$1:$IX$10144,6,FALSE))))</f>
        <v>http://dx.doi.org/10.1016/0165-1781(93)90046-J</v>
      </c>
      <c r="H24" s="22">
        <f>IF($B24="","",IF(LEN(VLOOKUP($B24,Database!$B$1:$IX$10144,7,FALSE))=0,"",VLOOKUP($B24,Database!$B$1:$IX$10144,7,FALSE)))</f>
        <v>19</v>
      </c>
      <c r="I24" s="22">
        <f>IF($B24="","",IF(LEN(VLOOKUP($B24,Database!$B$1:$IX$10144,8,FALSE))=0,"",VLOOKUP($B24,Database!$B$1:$IX$10144,8,FALSE)))</f>
        <v>30</v>
      </c>
      <c r="J24" t="s">
        <v>430</v>
      </c>
      <c r="L24">
        <v>4.1100000000000003</v>
      </c>
      <c r="M24">
        <v>0.77</v>
      </c>
      <c r="N24">
        <v>4.0599999999999996</v>
      </c>
      <c r="O24">
        <v>0.79</v>
      </c>
      <c r="P24">
        <v>4.3600000000000003</v>
      </c>
      <c r="Q24">
        <v>0.88</v>
      </c>
      <c r="R24">
        <v>4.3</v>
      </c>
      <c r="S24">
        <v>0.79</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46.7</v>
      </c>
      <c r="AC24" s="22">
        <f>IF(OR($B24="",AC$22=""),"",IF(LEN(VLOOKUP($B24,Database!$B$1:$IX$10144,AC$22,FALSE))=0,"",VLOOKUP($B24,Database!$B$1:$IX$10144,AC$22,FALSE)))</f>
        <v>20.399999999999999</v>
      </c>
      <c r="AD24" s="22">
        <f>IF(OR($B24="",AD$22=""),"",IF(LEN(VLOOKUP($B24,Database!$B$1:$IX$10144,AD$22,FALSE))=0,"",VLOOKUP($B24,Database!$B$1:$IX$10144,AD$22,FALSE)))</f>
        <v>56.6</v>
      </c>
      <c r="AE24" s="22">
        <f>IF(OR($B24="",AE$22=""),"",IF(LEN(VLOOKUP($B24,Database!$B$1:$IX$10144,AE$22,FALSE))=0,"",VLOOKUP($B24,Database!$B$1:$IX$10144,AE$22,FALSE)))</f>
        <v>19.100000000000001</v>
      </c>
      <c r="AF24" s="22">
        <f>IF(OR($B24="",AF$22=""),"",IF(LEN(VLOOKUP($B24,Database!$B$1:$IX$10144,AF$22,FALSE))=0,"",VLOOKUP($B24,Database!$B$1:$IX$10144,AF$22,FALSE)))</f>
        <v>14</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34</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Axelson DA, Doraiswamy PM, McDonald WM, Boyko OB, Tupler LA, Patterson LJ, Nemeroff CB, Ellinwood EH Jr, Krishnan KR.</v>
      </c>
      <c r="AR24" s="13"/>
      <c r="AX24" s="13"/>
      <c r="AY24" s="13"/>
      <c r="AZ24" s="13"/>
      <c r="BA24" s="13"/>
      <c r="BC24" s="23"/>
      <c r="BF24" s="136"/>
      <c r="BG24" s="136"/>
      <c r="BH24" s="136"/>
      <c r="BI24" s="136"/>
    </row>
    <row r="25" spans="1:65">
      <c r="B25">
        <v>9089060</v>
      </c>
      <c r="C25" s="1" t="str">
        <f>IF($B25="","",HYPERLINK(IF(LEN(VLOOKUP($B25,Database!$B$1:$IX$10144,2,FALSE))=0,"",VLOOKUP($B25,Database!$B$1:$IX$10144,2,FALSE))))</f>
        <v/>
      </c>
      <c r="D25" s="1" t="str">
        <f>IF($B25="","",HYPERLINK(CONCATENATE("http://www.ncbi.nlm.nih.gov/pubmed/",B25)))</f>
        <v>http://www.ncbi.nlm.nih.gov/pubmed/9089060</v>
      </c>
      <c r="E25" s="22" t="str">
        <f>IF($B25="","",IF(LEN(VLOOKUP($B25,Database!$B$1:$IX$10144,4,FALSE))=0,"",VLOOKUP($B25,Database!$B$1:$IX$10144,4,FALSE)))</f>
        <v>Pantel J</v>
      </c>
      <c r="F25" s="22">
        <f>IF($B25="","",IF(LEN(VLOOKUP($B25,Database!$B$1:$IX$10144,5,FALSE))=0,"",VLOOKUP($B25,Database!$B$1:$IX$10144,5,FALSE)))</f>
        <v>1997</v>
      </c>
      <c r="G25" s="1" t="str">
        <f>IF($B25="","",HYPERLINK(IF(LEN(VLOOKUP($B25,Database!$B$1:$IX$10144,6,FALSE))=0,"",VLOOKUP($B25,Database!$B$1:$IX$10144,6,FALSE))))</f>
        <v>http://dx.doi.org/10.1016/S0165-0327(96)00105-X</v>
      </c>
      <c r="H25" s="22">
        <f>IF($B25="","",IF(LEN(VLOOKUP($B25,Database!$B$1:$IX$10144,7,FALSE))=0,"",VLOOKUP($B25,Database!$B$1:$IX$10144,7,FALSE)))</f>
        <v>19</v>
      </c>
      <c r="I25" s="22">
        <f>IF($B25="","",IF(LEN(VLOOKUP($B25,Database!$B$1:$IX$10144,8,FALSE))=0,"",VLOOKUP($B25,Database!$B$1:$IX$10144,8,FALSE)))</f>
        <v>13</v>
      </c>
      <c r="J25" t="s">
        <v>431</v>
      </c>
      <c r="L25">
        <v>4.47</v>
      </c>
      <c r="M25">
        <v>0.71</v>
      </c>
      <c r="N25">
        <v>4.62</v>
      </c>
      <c r="O25">
        <v>0.7</v>
      </c>
      <c r="P25">
        <v>4.58</v>
      </c>
      <c r="Q25">
        <v>0.76</v>
      </c>
      <c r="R25">
        <v>4.75</v>
      </c>
      <c r="S25">
        <v>0.61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72.400000000000006</v>
      </c>
      <c r="AC25" s="22">
        <f>IF(OR($B25="",AC$22=""),"",IF(LEN(VLOOKUP($B25,Database!$B$1:$IX$10144,AC$22,FALSE))=0,"",VLOOKUP($B25,Database!$B$1:$IX$10144,AC$22,FALSE)))</f>
        <v>8.8000000000000007</v>
      </c>
      <c r="AD25" s="22">
        <f>IF(OR($B25="",AD$22=""),"",IF(LEN(VLOOKUP($B25,Database!$B$1:$IX$10144,AD$22,FALSE))=0,"",VLOOKUP($B25,Database!$B$1:$IX$10144,AD$22,FALSE)))</f>
        <v>68.2</v>
      </c>
      <c r="AE25" s="22">
        <f>IF(OR($B25="",AE$22=""),"",IF(LEN(VLOOKUP($B25,Database!$B$1:$IX$10144,AE$22,FALSE))=0,"",VLOOKUP($B25,Database!$B$1:$IX$10144,AE$22,FALSE)))</f>
        <v>5.3</v>
      </c>
      <c r="AF25" s="22">
        <f>IF(OR($B25="",AF$22=""),"",IF(LEN(VLOOKUP($B25,Database!$B$1:$IX$10144,AF$22,FALSE))=0,"",VLOOKUP($B25,Database!$B$1:$IX$10144,AF$22,FALSE)))</f>
        <v>15</v>
      </c>
      <c r="AG25" s="22">
        <f>IF(OR($B25="",AG$22=""),"",IF(LEN(VLOOKUP($B25,Database!$B$1:$IX$10144,AG$22,FALSE))=0,"",VLOOKUP($B25,Database!$B$1:$IX$10144,AG$22,FALSE)))</f>
        <v>10</v>
      </c>
      <c r="AH25" s="22">
        <f>IF(OR($B25="",AH$22=""),"",IF(LEN(VLOOKUP($B25,Database!$B$1:$IX$10144,AH$22,FALSE))=0,"",VLOOKUP($B25,Database!$B$1:$IX$10144,AH$22,FALSE)))</f>
        <v>1.5</v>
      </c>
      <c r="AI25" s="22">
        <f>IF(OR($B25="",AI$22=""),"",IF(LEN(VLOOKUP($B25,Database!$B$1:$IX$10144,AI$22,FALSE))=0,"",VLOOKUP($B25,Database!$B$1:$IX$10144,AI$22,FALSE)))</f>
        <v>1.25</v>
      </c>
      <c r="AJ25" s="22" t="str">
        <f>IF(OR($B25="",AJ$22=""),"",IF(LEN(VLOOKUP($B25,Database!$B$1:$IX$10144,AJ$22,FALSE))=0,"",VLOOKUP($B25,Database!$B$1:$IX$10144,AJ$22,FALSE)))</f>
        <v/>
      </c>
      <c r="AK25" s="22">
        <f>IF(OR($B25="",AK$22=""),"",IF(LEN(VLOOKUP($B25,Database!$B$1:$IX$10144,AK$22,FALSE))=0,"",VLOOKUP($B25,Database!$B$1:$IX$10144,AK$22,FALSE)))</f>
        <v>64.2</v>
      </c>
      <c r="AL25" s="22">
        <f>IF(OR($B25="",AL$22=""),"",IF(LEN(VLOOKUP($B25,Database!$B$1:$IX$10144,AL$22,FALSE))=0,"",VLOOKUP($B25,Database!$B$1:$IX$10144,AL$22,FALSE)))</f>
        <v>26.7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Pantel J, Schroder J, Essig M, Popp D, Dech H, Knopp MV, Schad LR, Eysenbach K, Backenstrass M, Friedlinger M.</v>
      </c>
      <c r="AR25" s="13"/>
      <c r="AX25" s="13"/>
      <c r="AY25" s="13"/>
      <c r="AZ25" s="13"/>
      <c r="BA25" s="13"/>
      <c r="BC25" s="23"/>
      <c r="BF25" s="136"/>
      <c r="BG25" s="136"/>
      <c r="BH25" s="136"/>
      <c r="BI25" s="136"/>
    </row>
    <row r="26" spans="1:65">
      <c r="B26">
        <v>11200955</v>
      </c>
      <c r="C26" s="1" t="str">
        <f>IF($B26="","",HYPERLINK(IF(LEN(VLOOKUP($B26,Database!$B$1:$IX$10144,2,FALSE))=0,"",VLOOKUP($B26,Database!$B$1:$IX$10144,2,FALSE))))</f>
        <v/>
      </c>
      <c r="D26" s="1" t="str">
        <f>IF($B26="","",HYPERLINK(CONCATENATE("http://www.ncbi.nlm.nih.gov/pubmed/",B26)))</f>
        <v>http://www.ncbi.nlm.nih.gov/pubmed/11200955</v>
      </c>
      <c r="E26" s="22" t="str">
        <f>IF($B26="","",IF(LEN(VLOOKUP($B26,Database!$B$1:$IX$10144,4,FALSE))=0,"",VLOOKUP($B26,Database!$B$1:$IX$10144,4,FALSE)))</f>
        <v>McIntosh AM</v>
      </c>
      <c r="F26" s="22">
        <f>IF($B26="","",IF(LEN(VLOOKUP($B26,Database!$B$1:$IX$10144,5,FALSE))=0,"",VLOOKUP($B26,Database!$B$1:$IX$10144,5,FALSE)))</f>
        <v>2001</v>
      </c>
      <c r="G26" s="1" t="str">
        <f>IF($B26="","",HYPERLINK(IF(LEN(VLOOKUP($B26,Database!$B$1:$IX$10144,6,FALSE))=0,"",VLOOKUP($B26,Database!$B$1:$IX$10144,6,FALSE))))</f>
        <v>http://dx.doi.org/10.1017/S0033291799003177</v>
      </c>
      <c r="H26" s="22">
        <f>IF($B26="","",IF(LEN(VLOOKUP($B26,Database!$B$1:$IX$10144,7,FALSE))=0,"",VLOOKUP($B26,Database!$B$1:$IX$10144,7,FALSE)))</f>
        <v>9</v>
      </c>
      <c r="I26" s="22">
        <f>IF($B26="","",IF(LEN(VLOOKUP($B26,Database!$B$1:$IX$10144,8,FALSE))=0,"",VLOOKUP($B26,Database!$B$1:$IX$10144,8,FALSE)))</f>
        <v>29</v>
      </c>
      <c r="J26" t="s">
        <v>432</v>
      </c>
      <c r="L26">
        <v>4465</v>
      </c>
      <c r="M26">
        <v>521</v>
      </c>
      <c r="N26">
        <v>4495</v>
      </c>
      <c r="O26">
        <v>483</v>
      </c>
      <c r="P26">
        <v>4931</v>
      </c>
      <c r="Q26">
        <v>547</v>
      </c>
      <c r="R26">
        <v>4922</v>
      </c>
      <c r="S26">
        <v>654</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43.56</v>
      </c>
      <c r="AC26" s="22">
        <f>IF(OR($B26="",AC$22=""),"",IF(LEN(VLOOKUP($B26,Database!$B$1:$IX$10144,AC$22,FALSE))=0,"",VLOOKUP($B26,Database!$B$1:$IX$10144,AC$22,FALSE)))</f>
        <v>9.3800000000000008</v>
      </c>
      <c r="AD26" s="22">
        <f>IF(OR($B26="",AD$22=""),"",IF(LEN(VLOOKUP($B26,Database!$B$1:$IX$10144,AD$22,FALSE))=0,"",VLOOKUP($B26,Database!$B$1:$IX$10144,AD$22,FALSE)))</f>
        <v>42.76</v>
      </c>
      <c r="AE26" s="22">
        <f>IF(OR($B26="",AE$22=""),"",IF(LEN(VLOOKUP($B26,Database!$B$1:$IX$10144,AE$22,FALSE))=0,"",VLOOKUP($B26,Database!$B$1:$IX$10144,AE$22,FALSE)))</f>
        <v>9.91</v>
      </c>
      <c r="AF26" s="22">
        <f>IF(OR($B26="",AF$22=""),"",IF(LEN(VLOOKUP($B26,Database!$B$1:$IX$10144,AF$22,FALSE))=0,"",VLOOKUP($B26,Database!$B$1:$IX$10144,AF$22,FALSE)))</f>
        <v>5</v>
      </c>
      <c r="AG26" s="22">
        <f>IF(OR($B26="",AG$22=""),"",IF(LEN(VLOOKUP($B26,Database!$B$1:$IX$10144,AG$22,FALSE))=0,"",VLOOKUP($B26,Database!$B$1:$IX$10144,AG$22,FALSE)))</f>
        <v>16</v>
      </c>
      <c r="AH26" s="22">
        <f>IF(OR($B26="",AH$22=""),"",IF(LEN(VLOOKUP($B26,Database!$B$1:$IX$10144,AH$22,FALSE))=0,"",VLOOKUP($B26,Database!$B$1:$IX$10144,AH$22,FALSE)))</f>
        <v>1</v>
      </c>
      <c r="AI26" s="22">
        <f>IF(OR($B26="",AI$22=""),"",IF(LEN(VLOOKUP($B26,Database!$B$1:$IX$10144,AI$22,FALSE))=0,"",VLOOKUP($B26,Database!$B$1:$IX$10144,AI$22,FALSE)))</f>
        <v>1.88</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 M. McINTOSH, A. FORRESTER, S.M. LAWRIE, M. BYRNE, A. HARPER, J. N. KESTELMAN, J. J. K. BEST, P. MILLER, E. C. JOHNSTONE and D. G. C. OWENS</v>
      </c>
      <c r="AR26" s="13"/>
      <c r="AX26" s="13"/>
      <c r="AY26" s="13"/>
      <c r="AZ26" s="13"/>
      <c r="BA26" s="13"/>
      <c r="BC26" s="23"/>
      <c r="BF26" s="136"/>
      <c r="BG26" s="136"/>
      <c r="BH26" s="136"/>
      <c r="BI26" s="136"/>
    </row>
    <row r="27" spans="1:65">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7" t="s">
        <v>35</v>
      </c>
      <c r="B29">
        <v>9859118</v>
      </c>
      <c r="C29" s="1" t="str">
        <f>IF($B29="","",HYPERLINK(IF(LEN(VLOOKUP($B29,Database!$B$1:$IX$10144,2,FALSE))=0,"",VLOOKUP($B29,Database!$B$1:$IX$10144,2,FALSE))))</f>
        <v/>
      </c>
      <c r="D29" s="1" t="str">
        <f>IF($B29="","",HYPERLINK(CONCATENATE("http://www.ncbi.nlm.nih.gov/pubmed/",B29)))</f>
        <v>http://www.ncbi.nlm.nih.gov/pubmed/9859118</v>
      </c>
      <c r="E29" s="22" t="str">
        <f>IF($B29="","",IF(LEN(VLOOKUP($B29,Database!$B$1:$IX$10144,4,FALSE))=0,"",VLOOKUP($B29,Database!$B$1:$IX$10144,4,FALSE)))</f>
        <v>Pantel J</v>
      </c>
      <c r="F29" s="22">
        <f>IF($B29="","",IF(LEN(VLOOKUP($B29,Database!$B$1:$IX$10144,5,FALSE))=0,"",VLOOKUP($B29,Database!$B$1:$IX$10144,5,FALSE)))</f>
        <v>1998</v>
      </c>
      <c r="G29" s="1" t="str">
        <f>IF($B29="","",HYPERLINK(IF(LEN(VLOOKUP($B29,Database!$B$1:$IX$10144,6,FALSE))=0,"",VLOOKUP($B29,Database!$B$1:$IX$10144,6,FALSE))))</f>
        <v>http://dx.doi.org/10.1007/s001150050371</v>
      </c>
      <c r="H29" s="22">
        <f>IF($B29="","",IF(LEN(VLOOKUP($B29,Database!$B$1:$IX$10144,7,FALSE))=0,"",VLOOKUP($B29,Database!$B$1:$IX$10144,7,FALSE)))</f>
        <v>19</v>
      </c>
      <c r="I29" s="22">
        <f>IF($B29="","",IF(LEN(VLOOKUP($B29,Database!$B$1:$IX$10144,8,FALSE))=0,"",VLOOKUP($B29,Database!$B$1:$IX$10144,8,FALSE)))</f>
        <v>13</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72.400000000000006</v>
      </c>
      <c r="AC29" s="22">
        <f>IF(OR($B29="",AC$22=""),"",IF(LEN(VLOOKUP($B29,Database!$B$1:$IX$10144,AC$22,FALSE))=0,"",VLOOKUP($B29,Database!$B$1:$IX$10144,AC$22,FALSE)))</f>
        <v>8.8000000000000007</v>
      </c>
      <c r="AD29" s="22">
        <f>IF(OR($B29="",AD$22=""),"",IF(LEN(VLOOKUP($B29,Database!$B$1:$IX$10144,AD$22,FALSE))=0,"",VLOOKUP($B29,Database!$B$1:$IX$10144,AD$22,FALSE)))</f>
        <v>68.2</v>
      </c>
      <c r="AE29" s="22">
        <f>IF(OR($B29="",AE$22=""),"",IF(LEN(VLOOKUP($B29,Database!$B$1:$IX$10144,AE$22,FALSE))=0,"",VLOOKUP($B29,Database!$B$1:$IX$10144,AE$22,FALSE)))</f>
        <v>5.3</v>
      </c>
      <c r="AF29" s="22">
        <f>IF(OR($B29="",AF$22=""),"",IF(LEN(VLOOKUP($B29,Database!$B$1:$IX$10144,AF$22,FALSE))=0,"",VLOOKUP($B29,Database!$B$1:$IX$10144,AF$22,FALSE)))</f>
        <v>15</v>
      </c>
      <c r="AG29" s="22">
        <f>IF(OR($B29="",AG$22=""),"",IF(LEN(VLOOKUP($B29,Database!$B$1:$IX$10144,AG$22,FALSE))=0,"",VLOOKUP($B29,Database!$B$1:$IX$10144,AG$22,FALSE)))</f>
        <v>10</v>
      </c>
      <c r="AH29" s="22">
        <f>IF(OR($B29="",AH$22=""),"",IF(LEN(VLOOKUP($B29,Database!$B$1:$IX$10144,AH$22,FALSE))=0,"",VLOOKUP($B29,Database!$B$1:$IX$10144,AH$22,FALSE)))</f>
        <v>1.5</v>
      </c>
      <c r="AI29" s="22">
        <f>IF(OR($B29="",AI$22=""),"",IF(LEN(VLOOKUP($B29,Database!$B$1:$IX$10144,AI$22,FALSE))=0,"",VLOOKUP($B29,Database!$B$1:$IX$10144,AI$22,FALSE)))</f>
        <v>1.2</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26.7</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Pantel J, Schroder J, Essig M, Schad LR, Popp D, Eysenbach K, Jauss M, Knopp MV.</v>
      </c>
    </row>
    <row r="30" spans="1:65">
      <c r="B30" s="13"/>
      <c r="C30" s="1" t="str">
        <f>IF($B30="","",HYPERLINK(IF(LEN(VLOOKUP($B30,Database!$B$1:$IX$10144,2,FALSE))=0,"",VLOOKUP($B30,Database!$B$1:$IX$10144,2,FALSE))))</f>
        <v/>
      </c>
      <c r="D30" s="1" t="str">
        <f>IF($B30="","",HYPERLINK(CONCATENATE("http://www.ncbi.nlm.nih.gov/pubmed/",B30)))</f>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K30" s="10"/>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5" si="0">E24</f>
        <v>Axelson DA</v>
      </c>
      <c r="F33">
        <f t="shared" si="0"/>
        <v>1993</v>
      </c>
      <c r="G33">
        <v>3</v>
      </c>
      <c r="H33">
        <f t="shared" ref="H33:I35" si="1">H24</f>
        <v>19</v>
      </c>
      <c r="I33">
        <f t="shared" si="1"/>
        <v>30</v>
      </c>
      <c r="J33">
        <f t="shared" ref="J33:M35" si="2">IF($D$4="Total",T24,IF($D$4="Left",L24,IF($D$4="Right",P24,"error")))</f>
        <v>4.1100000000000003</v>
      </c>
      <c r="K33">
        <f t="shared" si="2"/>
        <v>0.77</v>
      </c>
      <c r="L33">
        <f t="shared" si="2"/>
        <v>4.0599999999999996</v>
      </c>
      <c r="M33">
        <f t="shared" si="2"/>
        <v>0.79</v>
      </c>
      <c r="N33">
        <f>IF($D$3=1,SQRT((((I33-1)*(M33)^2)+((H33-1)*(K33)^2))/(H33+I33-2)),M33)</f>
        <v>0.78240083322411369</v>
      </c>
      <c r="O33" s="59">
        <f>IF($D$6=1,LN(J33/L33),IF($D$5=1,(1-3/(4*(H33+I33)-9))*((J33-L33)/N33),(J33-L33)/N33))</f>
        <v>6.2880634673960198E-2</v>
      </c>
      <c r="P33" s="63">
        <f>IF($D$6=1,(K33^2)/(H33*J33^2)+(M33^2)/(I33*L33^2),(IF($D$5=1,((H33+I33)/(H33*I33))+(O33*O33)/(2*(H33+I33-3.94)),((H33+I33)/(H33*I33))+((O33^2)/(2*(H33+I33-2))))))</f>
        <v>8.6008786828160697E-2</v>
      </c>
      <c r="Q33" s="59">
        <f>$R$52*SQRT(P33)</f>
        <v>0.57481419213434715</v>
      </c>
      <c r="R33" s="59">
        <f>1/P33</f>
        <v>11.626719046717021</v>
      </c>
      <c r="S33" s="59">
        <f>O33*R33</f>
        <v>0.73109547283338772</v>
      </c>
      <c r="T33" s="59">
        <f>R33*(O33^2)</f>
        <v>4.5971747339022449E-2</v>
      </c>
      <c r="U33" s="23">
        <f>R33^2</f>
        <v>135.18059579129235</v>
      </c>
      <c r="V33" s="59">
        <f>1/((1/R33)+$I$49)</f>
        <v>11.626719046717021</v>
      </c>
      <c r="W33" s="59">
        <f>V33*O33</f>
        <v>0.73109547283338772</v>
      </c>
      <c r="AF33" s="59">
        <f>IF($D$6=1,100*((EXP(O33))-1),O33)</f>
        <v>6.2880634673960198E-2</v>
      </c>
      <c r="AG33" s="59">
        <f>IF($D$6=1,100*(EXP(O33+Q33)-EXP(O33)),Q33)</f>
        <v>0.57481419213434715</v>
      </c>
      <c r="AH33" s="59">
        <f>IF($D$6=1,100*(EXP(O33)-EXP(O33-Q33)),Q33)</f>
        <v>0.57481419213434715</v>
      </c>
      <c r="AJ33">
        <f>SQRT(P33)</f>
        <v>0.29327254700731997</v>
      </c>
      <c r="AK33">
        <f>1/AJ33</f>
        <v>3.4097975081692198</v>
      </c>
      <c r="AL33">
        <f>O33/AJ33</f>
        <v>0.21441023142336851</v>
      </c>
      <c r="AN33" t="str">
        <f t="shared" ref="AN33:AO35" si="3">E33</f>
        <v>Axelson DA</v>
      </c>
      <c r="AO33">
        <f t="shared" si="3"/>
        <v>1993</v>
      </c>
      <c r="AP33" t="str">
        <f>CONCATENATE(AN33," ",AO33)</f>
        <v>Axelson DA 1993</v>
      </c>
      <c r="AQ33">
        <f>INT(H33)</f>
        <v>19</v>
      </c>
      <c r="AR33">
        <f t="shared" ref="AR33:AS35" si="4">J33</f>
        <v>4.1100000000000003</v>
      </c>
      <c r="AS33">
        <f t="shared" si="4"/>
        <v>0.77</v>
      </c>
      <c r="AT33">
        <f>INT(I33)</f>
        <v>30</v>
      </c>
      <c r="AU33">
        <f t="shared" ref="AU33:AV35" si="5">L33</f>
        <v>4.0599999999999996</v>
      </c>
      <c r="AV33">
        <f t="shared" si="5"/>
        <v>0.79</v>
      </c>
      <c r="AW33" s="65">
        <f>O33</f>
        <v>6.2880634673960198E-2</v>
      </c>
      <c r="AX33">
        <f>SQRT(P33)</f>
        <v>0.29327254700731997</v>
      </c>
      <c r="AY33" t="str">
        <f>$F$3</f>
        <v>Pooled SD</v>
      </c>
    </row>
    <row r="34" spans="5:51">
      <c r="E34" t="str">
        <f t="shared" si="0"/>
        <v>Pantel J</v>
      </c>
      <c r="F34">
        <f t="shared" si="0"/>
        <v>1997</v>
      </c>
      <c r="G34">
        <v>2</v>
      </c>
      <c r="H34">
        <f t="shared" si="1"/>
        <v>19</v>
      </c>
      <c r="I34">
        <f t="shared" si="1"/>
        <v>13</v>
      </c>
      <c r="J34">
        <f t="shared" si="2"/>
        <v>4.47</v>
      </c>
      <c r="K34">
        <f t="shared" si="2"/>
        <v>0.71</v>
      </c>
      <c r="L34">
        <f t="shared" si="2"/>
        <v>4.62</v>
      </c>
      <c r="M34">
        <f t="shared" si="2"/>
        <v>0.7</v>
      </c>
      <c r="N34">
        <f>IF($D$3=1,SQRT((((I34-1)*(M34)^2)+((H34-1)*(K34)^2))/(H34+I34-2)),M34)</f>
        <v>0.70601699696253772</v>
      </c>
      <c r="O34" s="59">
        <f>IF($D$6=1,LN(J34/L34),IF($D$5=1,(1-3/(4*(H34+I34)-9))*((J34-L34)/N34),(J34-L34)/N34))</f>
        <v>-0.20710335306944019</v>
      </c>
      <c r="P34" s="63">
        <f>IF($D$6=1,(K34^2)/(H34*J34^2)+(M34^2)/(I34*L34^2),(IF($D$5=1,((H34+I34)/(H34*I34))+(O34*O34)/(2*(H34+I34-3.94)),((H34+I34)/(H34*I34))+((O34^2)/(2*(H34+I34-2))))))</f>
        <v>0.13031894309162506</v>
      </c>
      <c r="Q34" s="59">
        <f>$R$52*SQRT(P34)</f>
        <v>0.70755441612697656</v>
      </c>
      <c r="R34" s="59">
        <f>1/P34</f>
        <v>7.6734815083400179</v>
      </c>
      <c r="S34" s="59">
        <f>O34*R34</f>
        <v>-1.5892037500935632</v>
      </c>
      <c r="T34" s="59">
        <f>R34*(O34^2)</f>
        <v>0.32912942535490564</v>
      </c>
      <c r="U34" s="23">
        <f>R34^2</f>
        <v>58.882318458836195</v>
      </c>
      <c r="V34" s="59">
        <f>1/((1/R34)+$I$49)</f>
        <v>7.6734815083400179</v>
      </c>
      <c r="W34" s="59">
        <f>V34*O34</f>
        <v>-1.5892037500935632</v>
      </c>
      <c r="AF34" s="59">
        <f>IF($D$6=1,100*((EXP(O34))-1),O34)</f>
        <v>-0.20710335306944019</v>
      </c>
      <c r="AG34" s="59">
        <f>IF($D$6=1,100*(EXP(O34+Q34)-EXP(O34)),Q34)</f>
        <v>0.70755441612697656</v>
      </c>
      <c r="AH34" s="59">
        <f>IF($D$6=1,100*(EXP(O34)-EXP(O34-Q34)),Q34)</f>
        <v>0.70755441612697656</v>
      </c>
      <c r="AJ34">
        <f>SQRT(P34)</f>
        <v>0.36099715108519215</v>
      </c>
      <c r="AK34">
        <f>1/AJ34</f>
        <v>2.7701049634156498</v>
      </c>
      <c r="AL34">
        <f>O34/AJ34</f>
        <v>-0.57369802627768007</v>
      </c>
      <c r="AN34" t="str">
        <f t="shared" si="3"/>
        <v>Pantel J</v>
      </c>
      <c r="AO34">
        <f t="shared" si="3"/>
        <v>1997</v>
      </c>
      <c r="AP34" t="str">
        <f>CONCATENATE(AN34," ",AO34)</f>
        <v>Pantel J 1997</v>
      </c>
      <c r="AQ34">
        <f>INT(H34)</f>
        <v>19</v>
      </c>
      <c r="AR34">
        <f t="shared" si="4"/>
        <v>4.47</v>
      </c>
      <c r="AS34">
        <f t="shared" si="4"/>
        <v>0.71</v>
      </c>
      <c r="AT34">
        <f>INT(I34)</f>
        <v>13</v>
      </c>
      <c r="AU34">
        <f t="shared" si="5"/>
        <v>4.62</v>
      </c>
      <c r="AV34">
        <f t="shared" si="5"/>
        <v>0.7</v>
      </c>
      <c r="AW34" s="65">
        <f>O34</f>
        <v>-0.20710335306944019</v>
      </c>
      <c r="AX34">
        <f>SQRT(P34)</f>
        <v>0.36099715108519215</v>
      </c>
      <c r="AY34" t="str">
        <f>$F$4</f>
        <v>Left</v>
      </c>
    </row>
    <row r="35" spans="5:51">
      <c r="E35" t="str">
        <f t="shared" si="0"/>
        <v>McIntosh AM</v>
      </c>
      <c r="F35">
        <f t="shared" si="0"/>
        <v>2001</v>
      </c>
      <c r="G35">
        <v>1</v>
      </c>
      <c r="H35">
        <f t="shared" si="1"/>
        <v>9</v>
      </c>
      <c r="I35">
        <f t="shared" si="1"/>
        <v>29</v>
      </c>
      <c r="J35">
        <f t="shared" si="2"/>
        <v>4465</v>
      </c>
      <c r="K35">
        <f t="shared" si="2"/>
        <v>521</v>
      </c>
      <c r="L35">
        <f t="shared" si="2"/>
        <v>4495</v>
      </c>
      <c r="M35">
        <f t="shared" si="2"/>
        <v>483</v>
      </c>
      <c r="N35">
        <f>IF($D$3=1,SQRT((((I35-1)*(M35)^2)+((H35-1)*(K35)^2))/(H35+I35-2)),M35)</f>
        <v>491.69830406685583</v>
      </c>
      <c r="O35" s="59">
        <f>IF($D$6=1,LN(J35/L35),IF($D$5=1,(1-3/(4*(H35+I35)-9))*((J35-L35)/N35),(J35-L35)/N35))</f>
        <v>-5.9733029639727764E-2</v>
      </c>
      <c r="P35" s="63">
        <f>IF($D$6=1,(K35^2)/(H35*J35^2)+(M35^2)/(I35*L35^2),(IF($D$5=1,((H35+I35)/(H35*I35))+(O35*O35)/(2*(H35+I35-3.94)),((H35+I35)/(H35*I35))+((O35^2)/(2*(H35+I35-2))))))</f>
        <v>0.14564624839929843</v>
      </c>
      <c r="Q35" s="59">
        <f>$R$52*SQRT(P35)</f>
        <v>0.7480071041445695</v>
      </c>
      <c r="R35" s="59">
        <f>1/P35</f>
        <v>6.8659509667453742</v>
      </c>
      <c r="S35" s="59">
        <f>O35*R35</f>
        <v>-0.41012405260151891</v>
      </c>
      <c r="T35" s="59">
        <f>R35*(O35^2)</f>
        <v>2.4497952190011801E-2</v>
      </c>
      <c r="U35" s="23">
        <f>R35^2</f>
        <v>47.14128267775174</v>
      </c>
      <c r="V35" s="59">
        <f>1/((1/R35)+$I$49)</f>
        <v>6.8659509667453742</v>
      </c>
      <c r="W35" s="59">
        <f>V35*O35</f>
        <v>-0.41012405260151891</v>
      </c>
      <c r="AF35" s="59">
        <f>IF($D$6=1,100*((EXP(O35))-1),O35)</f>
        <v>-5.9733029639727764E-2</v>
      </c>
      <c r="AG35" s="59">
        <f>IF($D$6=1,100*(EXP(O35+Q35)-EXP(O35)),Q35)</f>
        <v>0.7480071041445695</v>
      </c>
      <c r="AH35" s="59">
        <f>IF($D$6=1,100*(EXP(O35)-EXP(O35-Q35)),Q35)</f>
        <v>0.7480071041445695</v>
      </c>
      <c r="AJ35">
        <f>SQRT(P35)</f>
        <v>0.38163627762478036</v>
      </c>
      <c r="AK35">
        <f>1/AJ35</f>
        <v>2.6202959693029668</v>
      </c>
      <c r="AL35">
        <f>O35/AJ35</f>
        <v>-0.15651821679923331</v>
      </c>
      <c r="AN35" t="str">
        <f t="shared" si="3"/>
        <v>McIntosh AM</v>
      </c>
      <c r="AO35">
        <f t="shared" si="3"/>
        <v>2001</v>
      </c>
      <c r="AP35" t="str">
        <f>CONCATENATE(AN35," ",AO35)</f>
        <v>McIntosh AM 2001</v>
      </c>
      <c r="AQ35">
        <f>INT(H35)</f>
        <v>9</v>
      </c>
      <c r="AR35">
        <f t="shared" si="4"/>
        <v>4465</v>
      </c>
      <c r="AS35">
        <f t="shared" si="4"/>
        <v>521</v>
      </c>
      <c r="AT35">
        <f>INT(I35)</f>
        <v>29</v>
      </c>
      <c r="AU35">
        <f t="shared" si="5"/>
        <v>4495</v>
      </c>
      <c r="AV35">
        <f t="shared" si="5"/>
        <v>483</v>
      </c>
      <c r="AW35" s="65">
        <f>O35</f>
        <v>-5.9733029639727764E-2</v>
      </c>
      <c r="AX35">
        <f>SQRT(P35)</f>
        <v>0.38163627762478036</v>
      </c>
      <c r="AY35" t="str">
        <f>$F$5</f>
        <v>H Correction</v>
      </c>
    </row>
    <row r="36" spans="5:51">
      <c r="U36" s="23"/>
    </row>
    <row r="37" spans="5:51">
      <c r="L37" t="s">
        <v>500</v>
      </c>
      <c r="N37" s="7"/>
      <c r="O37" s="66">
        <f>COUNT(O33:O35)</f>
        <v>3</v>
      </c>
      <c r="Q37" t="s">
        <v>885</v>
      </c>
      <c r="R37" s="59">
        <f t="shared" ref="R37:W37" si="6">SUM(R33:R35)</f>
        <v>26.166151521802412</v>
      </c>
      <c r="S37" s="59">
        <f t="shared" si="6"/>
        <v>-1.2682323298616944</v>
      </c>
      <c r="T37" s="59">
        <f t="shared" si="6"/>
        <v>0.39959912488393989</v>
      </c>
      <c r="U37" s="23">
        <f t="shared" si="6"/>
        <v>241.20419692788028</v>
      </c>
      <c r="V37" s="59">
        <f t="shared" si="6"/>
        <v>26.166151521802412</v>
      </c>
      <c r="W37" s="59">
        <f t="shared" si="6"/>
        <v>-1.2682323298616944</v>
      </c>
    </row>
    <row r="38" spans="5:51">
      <c r="L38" t="s">
        <v>501</v>
      </c>
      <c r="N38" s="7"/>
      <c r="O38" s="2">
        <v>0</v>
      </c>
    </row>
    <row r="39" spans="5:51">
      <c r="N39" s="7"/>
      <c r="O39" s="7"/>
    </row>
    <row r="40" spans="5:51">
      <c r="G40" s="67" t="s">
        <v>502</v>
      </c>
      <c r="H40" s="40"/>
      <c r="I40" s="40">
        <f>S37/R37</f>
        <v>-4.8468431775493072E-2</v>
      </c>
      <c r="J40" s="40"/>
      <c r="K40" s="68" t="s">
        <v>879</v>
      </c>
      <c r="L40" s="40"/>
      <c r="M40" s="42"/>
      <c r="N40" s="7"/>
      <c r="O40" s="69" t="s">
        <v>503</v>
      </c>
      <c r="P40" s="70">
        <f>T37-((S37^2)/R37)</f>
        <v>0.33812989272856375</v>
      </c>
      <c r="Q40" s="71" t="s">
        <v>824</v>
      </c>
      <c r="R40" s="28"/>
      <c r="S40" s="29"/>
      <c r="T40" s="30"/>
      <c r="U40" s="31"/>
      <c r="AF40" s="2" t="s">
        <v>1518</v>
      </c>
    </row>
    <row r="41" spans="5:51">
      <c r="G41" s="43" t="s">
        <v>504</v>
      </c>
      <c r="H41" s="31"/>
      <c r="I41" s="31">
        <f>1/R37</f>
        <v>3.8217312896272511E-2</v>
      </c>
      <c r="J41" s="31"/>
      <c r="K41" s="31"/>
      <c r="L41" s="31"/>
      <c r="M41" s="44"/>
      <c r="N41" s="7"/>
      <c r="O41" s="30" t="s">
        <v>505</v>
      </c>
      <c r="P41" s="31">
        <f>CHIDIST(P40,I45-1)</f>
        <v>0.84445405805344254</v>
      </c>
      <c r="Q41" s="31"/>
      <c r="R41" s="31"/>
      <c r="S41" s="34"/>
      <c r="T41" s="30"/>
      <c r="U41" s="31"/>
      <c r="AF41" s="2"/>
    </row>
    <row r="42" spans="5:51">
      <c r="G42" s="72" t="s">
        <v>506</v>
      </c>
      <c r="H42" s="31"/>
      <c r="I42" s="31">
        <f>$R$52*SQRT(I41)</f>
        <v>0.38316527663962513</v>
      </c>
      <c r="J42" s="31"/>
      <c r="K42" s="31" t="s">
        <v>507</v>
      </c>
      <c r="L42" s="31"/>
      <c r="M42" s="44">
        <f>ABS(I40/SQRT(I41))</f>
        <v>0.24792989362998599</v>
      </c>
      <c r="N42" s="7"/>
      <c r="O42" s="35" t="s">
        <v>508</v>
      </c>
      <c r="P42" s="37">
        <f>IF(((P40-(I45-1))/P40)&lt;0,0,100*((P40-(I45-1))/P40))</f>
        <v>0</v>
      </c>
      <c r="Q42" s="36"/>
      <c r="R42" s="36"/>
      <c r="S42" s="38"/>
      <c r="T42" s="30"/>
      <c r="U42" s="31"/>
      <c r="AF42" s="2" t="s">
        <v>1535</v>
      </c>
      <c r="AH42">
        <f>IF($D$6=1,100*((EXP(I40))-1),I40)</f>
        <v>-4.8468431775493072E-2</v>
      </c>
    </row>
    <row r="43" spans="5:51">
      <c r="G43" s="45" t="s">
        <v>509</v>
      </c>
      <c r="H43" s="46"/>
      <c r="I43" s="46">
        <v>-2</v>
      </c>
      <c r="J43" s="46"/>
      <c r="K43" s="46" t="s">
        <v>825</v>
      </c>
      <c r="L43" s="46"/>
      <c r="M43" s="47">
        <f>2*(1-NORMDIST(M42,0,1,1))</f>
        <v>0.8041886500762625</v>
      </c>
      <c r="N43" s="7"/>
      <c r="O43" s="7"/>
      <c r="AF43" s="79" t="s">
        <v>834</v>
      </c>
      <c r="AH43">
        <f>IF($D$6=1,100*(EXP(I40+I42)-EXP(I40)),I42)</f>
        <v>0.38316527663962513</v>
      </c>
    </row>
    <row r="44" spans="5:51">
      <c r="G44" s="40"/>
      <c r="H44" s="40"/>
      <c r="I44" s="40"/>
      <c r="J44" s="40"/>
      <c r="K44" s="40"/>
      <c r="L44" s="40"/>
      <c r="M44" s="40"/>
      <c r="N44" s="7"/>
      <c r="O44" s="7"/>
      <c r="AF44" s="79" t="s">
        <v>835</v>
      </c>
      <c r="AH44">
        <f>IF($D$6=1,100*(EXP(I40)-EXP(I40-I42)),I42)</f>
        <v>0.38316527663962513</v>
      </c>
    </row>
    <row r="45" spans="5:51">
      <c r="G45" s="73" t="s">
        <v>1110</v>
      </c>
      <c r="H45" s="74"/>
      <c r="I45" s="74">
        <f>O37</f>
        <v>3</v>
      </c>
      <c r="J45" s="74"/>
      <c r="K45" s="75" t="s">
        <v>1167</v>
      </c>
      <c r="L45" s="74"/>
      <c r="M45" s="76"/>
      <c r="N45" s="77"/>
      <c r="O45" s="101" t="s">
        <v>1513</v>
      </c>
      <c r="P45" s="102"/>
      <c r="Q45" s="103"/>
      <c r="AF45" s="7"/>
    </row>
    <row r="46" spans="5:51">
      <c r="G46" s="77" t="s">
        <v>1531</v>
      </c>
      <c r="H46" s="31"/>
      <c r="I46" s="31">
        <f>R37/I45</f>
        <v>8.7220505072674701</v>
      </c>
      <c r="J46" s="31"/>
      <c r="K46" s="31"/>
      <c r="L46" s="31"/>
      <c r="M46" s="78"/>
      <c r="N46" s="77"/>
      <c r="O46" s="104" t="s">
        <v>1514</v>
      </c>
      <c r="P46" s="31"/>
      <c r="Q46" s="105">
        <f>INDEX(LINEST(AL33:AL35,AK33:AK35,TRUE,TRUE),1,2)</f>
        <v>-2.2142618968686958</v>
      </c>
      <c r="AF46" s="2" t="s">
        <v>1687</v>
      </c>
      <c r="AH46">
        <f>IF($D$6=1,100*((EXP(I51))-1),I51)</f>
        <v>-4.8468431775493072E-2</v>
      </c>
    </row>
    <row r="47" spans="5:51">
      <c r="G47" s="77" t="s">
        <v>1532</v>
      </c>
      <c r="H47" s="31"/>
      <c r="I47" s="31">
        <f>(1/(I45-1))*(U37-(I45*I46^2))</f>
        <v>6.4908508869530408</v>
      </c>
      <c r="J47" s="31"/>
      <c r="K47" s="31"/>
      <c r="L47" s="31"/>
      <c r="M47" s="78"/>
      <c r="N47" s="77"/>
      <c r="O47" s="104" t="s">
        <v>1516</v>
      </c>
      <c r="P47" s="31"/>
      <c r="Q47" s="105">
        <f>INDEX(LINEST(AL33:AL35,AK33:AK35,TRUE,TRUE),2,2)</f>
        <v>1.8664558670125835</v>
      </c>
      <c r="AF47" s="79" t="s">
        <v>834</v>
      </c>
      <c r="AG47" s="7"/>
      <c r="AH47">
        <f>IF($D$6=1,100*(EXP(I51+I53)-EXP(I51)),I53)</f>
        <v>0.38316527663962513</v>
      </c>
    </row>
    <row r="48" spans="5:51">
      <c r="G48" s="77" t="s">
        <v>1669</v>
      </c>
      <c r="H48" s="31"/>
      <c r="I48" s="31">
        <f>(I45-1)*(I46-(I47/(I45*I46)))</f>
        <v>16.947975255915477</v>
      </c>
      <c r="J48" s="31"/>
      <c r="K48" s="31"/>
      <c r="L48" s="31"/>
      <c r="M48" s="78"/>
      <c r="N48" s="77"/>
      <c r="O48" s="104" t="s">
        <v>1349</v>
      </c>
      <c r="P48" s="31"/>
      <c r="Q48" s="105">
        <f>ABS(Q46/Q47)</f>
        <v>1.1863457025709396</v>
      </c>
      <c r="AF48" s="79" t="s">
        <v>835</v>
      </c>
      <c r="AH48">
        <f>IF($D$6=1,100*(EXP(I51)-EXP(I51-I53)),I53)</f>
        <v>0.38316527663962513</v>
      </c>
    </row>
    <row r="49" spans="7:18">
      <c r="G49" s="77" t="s">
        <v>1685</v>
      </c>
      <c r="H49" s="31"/>
      <c r="I49" s="31">
        <f>IF(P40&gt;(I45-1),(P40-(I45-1))/I48,0)</f>
        <v>0</v>
      </c>
      <c r="J49" s="31"/>
      <c r="K49" s="31"/>
      <c r="L49" s="31"/>
      <c r="M49" s="78"/>
      <c r="N49" s="77"/>
      <c r="O49" s="106" t="s">
        <v>1515</v>
      </c>
      <c r="P49" s="107"/>
      <c r="Q49" s="108">
        <f>TDIST(Q48,I45-2,2)</f>
        <v>0.44587070817489804</v>
      </c>
    </row>
    <row r="50" spans="7:18">
      <c r="G50" s="77"/>
      <c r="H50" s="31"/>
      <c r="I50" s="31"/>
      <c r="J50" s="31"/>
      <c r="K50" s="31"/>
      <c r="L50" s="31"/>
      <c r="M50" s="78"/>
      <c r="N50" s="77"/>
    </row>
    <row r="51" spans="7:18">
      <c r="G51" s="77" t="s">
        <v>1686</v>
      </c>
      <c r="H51" s="31"/>
      <c r="I51" s="31">
        <f>W37/V37</f>
        <v>-4.8468431775493072E-2</v>
      </c>
      <c r="J51" s="31"/>
      <c r="N51" s="77"/>
    </row>
    <row r="52" spans="7:18">
      <c r="G52" s="77" t="s">
        <v>504</v>
      </c>
      <c r="H52" s="31"/>
      <c r="I52" s="31">
        <f>1/V37</f>
        <v>3.8217312896272511E-2</v>
      </c>
      <c r="J52" s="31"/>
      <c r="N52" s="77"/>
      <c r="O52" t="s">
        <v>805</v>
      </c>
      <c r="R52">
        <v>1.96</v>
      </c>
    </row>
    <row r="53" spans="7:18">
      <c r="G53" s="80" t="s">
        <v>506</v>
      </c>
      <c r="H53" s="31"/>
      <c r="I53" s="31">
        <f>$R$52*SQRT(I52)</f>
        <v>0.38316527663962513</v>
      </c>
      <c r="J53" s="31"/>
      <c r="K53" s="31" t="s">
        <v>507</v>
      </c>
      <c r="L53" s="31"/>
      <c r="M53" s="78">
        <f>ABS(I51/(SQRT(I52)))</f>
        <v>0.24792989362998599</v>
      </c>
      <c r="N53" s="77"/>
    </row>
    <row r="54" spans="7:18">
      <c r="G54" s="81" t="s">
        <v>509</v>
      </c>
      <c r="H54" s="82"/>
      <c r="I54" s="82">
        <v>-3</v>
      </c>
      <c r="J54" s="82"/>
      <c r="K54" s="31" t="s">
        <v>825</v>
      </c>
      <c r="L54" s="31"/>
      <c r="M54" s="78">
        <f>2*(1-NORMDIST(M53,0,1,1))</f>
        <v>0.8041886500762625</v>
      </c>
      <c r="N54" s="77"/>
    </row>
    <row r="55" spans="7:18">
      <c r="G55" s="74"/>
      <c r="H55" s="74"/>
      <c r="I55" s="74"/>
      <c r="J55" s="74"/>
      <c r="K55" s="74"/>
      <c r="L55" s="74"/>
      <c r="M55" s="74"/>
      <c r="N55" s="31"/>
      <c r="O55" s="7"/>
    </row>
  </sheetData>
  <phoneticPr fontId="10" type="noConversion"/>
  <conditionalFormatting sqref="D17 D13 F13">
    <cfRule type="cellIs" dxfId="82" priority="0" stopIfTrue="1" operator="lessThan">
      <formula>0.05</formula>
    </cfRule>
  </conditionalFormatting>
  <conditionalFormatting sqref="D21">
    <cfRule type="cellIs" dxfId="8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39.xml><?xml version="1.0" encoding="utf-8"?>
<worksheet xmlns="http://schemas.openxmlformats.org/spreadsheetml/2006/main" xmlns:r="http://schemas.openxmlformats.org/officeDocument/2006/relationships">
  <sheetPr published="0" codeName="Sheet94"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2459</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47</v>
      </c>
      <c r="AD8" s="89"/>
    </row>
    <row r="9" spans="2:30">
      <c r="B9" t="s">
        <v>823</v>
      </c>
      <c r="D9">
        <f>SUM(I24:I26)</f>
        <v>72</v>
      </c>
      <c r="AD9" s="89"/>
    </row>
    <row r="11" spans="2:30">
      <c r="B11" s="27" t="s">
        <v>516</v>
      </c>
      <c r="C11" s="28"/>
      <c r="D11" s="109">
        <f>P40</f>
        <v>0.45603182947706594</v>
      </c>
      <c r="E11" s="110" t="s">
        <v>1513</v>
      </c>
      <c r="F11" s="103"/>
    </row>
    <row r="12" spans="2:30">
      <c r="B12" s="30" t="s">
        <v>826</v>
      </c>
      <c r="C12" s="31"/>
      <c r="D12" s="112">
        <f>P42</f>
        <v>0</v>
      </c>
      <c r="E12" s="31"/>
      <c r="F12" s="105"/>
    </row>
    <row r="13" spans="2:30">
      <c r="B13" s="35" t="s">
        <v>825</v>
      </c>
      <c r="C13" s="36"/>
      <c r="D13" s="113">
        <f>P41</f>
        <v>0.79611158996634324</v>
      </c>
      <c r="E13" s="111" t="s">
        <v>825</v>
      </c>
      <c r="F13" s="115">
        <f>Q49</f>
        <v>0.61906346135349977</v>
      </c>
    </row>
    <row r="15" spans="2:30">
      <c r="B15" s="39" t="s">
        <v>879</v>
      </c>
      <c r="C15" s="40"/>
      <c r="D15" s="41">
        <f>AH42</f>
        <v>-3.351408104707209E-2</v>
      </c>
      <c r="E15" s="116"/>
    </row>
    <row r="16" spans="2:30">
      <c r="B16" s="43" t="s">
        <v>1165</v>
      </c>
      <c r="C16" s="31"/>
      <c r="D16" s="33">
        <f>AH42-AH44</f>
        <v>-0.41677119440329263</v>
      </c>
      <c r="E16" s="117">
        <f>AH42+AH43</f>
        <v>0.34974303230914844</v>
      </c>
    </row>
    <row r="17" spans="1:65">
      <c r="B17" s="45" t="s">
        <v>1166</v>
      </c>
      <c r="C17" s="46"/>
      <c r="D17" s="123">
        <f>M43</f>
        <v>0.86391473304746125</v>
      </c>
      <c r="E17" s="118"/>
    </row>
    <row r="18" spans="1:65">
      <c r="D18" s="48"/>
      <c r="F18" s="49"/>
    </row>
    <row r="19" spans="1:65">
      <c r="B19" s="50" t="s">
        <v>1167</v>
      </c>
      <c r="C19" s="51"/>
      <c r="D19" s="52">
        <f>AH46</f>
        <v>-3.351408104707209E-2</v>
      </c>
      <c r="E19" s="120"/>
      <c r="F19" s="33"/>
      <c r="G19" s="31"/>
    </row>
    <row r="20" spans="1:65">
      <c r="B20" s="53" t="s">
        <v>1165</v>
      </c>
      <c r="C20" s="31"/>
      <c r="D20" s="33">
        <f>AH46-AH48</f>
        <v>-0.41677119440329263</v>
      </c>
      <c r="E20" s="121">
        <f>AH46+AH47</f>
        <v>0.34974303230914844</v>
      </c>
      <c r="F20" s="31"/>
      <c r="G20" s="31"/>
    </row>
    <row r="21" spans="1:65">
      <c r="B21" s="54" t="s">
        <v>1440</v>
      </c>
      <c r="C21" s="55"/>
      <c r="D21" s="114">
        <f>M54</f>
        <v>0.86391473304746125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8341769</v>
      </c>
      <c r="C24" s="1" t="str">
        <f>IF($B24="","",HYPERLINK(IF(LEN(VLOOKUP($B24,Database!$B$1:$IX$10144,2,FALSE))=0,"",VLOOKUP($B24,Database!$B$1:$IX$10144,2,FALSE))))</f>
        <v/>
      </c>
      <c r="D24" s="1" t="str">
        <f>IF($B24="","",HYPERLINK(CONCATENATE("http://www.ncbi.nlm.nih.gov/pubmed/",B24)))</f>
        <v>http://www.ncbi.nlm.nih.gov/pubmed/8341769</v>
      </c>
      <c r="E24" s="22" t="str">
        <f>IF($B24="","",IF(LEN(VLOOKUP($B24,Database!$B$1:$IX$10144,4,FALSE))=0,"",VLOOKUP($B24,Database!$B$1:$IX$10144,4,FALSE)))</f>
        <v>Axelson DA</v>
      </c>
      <c r="F24" s="22">
        <f>IF($B24="","",IF(LEN(VLOOKUP($B24,Database!$B$1:$IX$10144,5,FALSE))=0,"",VLOOKUP($B24,Database!$B$1:$IX$10144,5,FALSE)))</f>
        <v>1993</v>
      </c>
      <c r="G24" s="1" t="str">
        <f>IF($B24="","",HYPERLINK(IF(LEN(VLOOKUP($B24,Database!$B$1:$IX$10144,6,FALSE))=0,"",VLOOKUP($B24,Database!$B$1:$IX$10144,6,FALSE))))</f>
        <v>http://dx.doi.org/10.1016/0165-1781(93)90046-J</v>
      </c>
      <c r="H24" s="22">
        <f>IF($B24="","",IF(LEN(VLOOKUP($B24,Database!$B$1:$IX$10144,7,FALSE))=0,"",VLOOKUP($B24,Database!$B$1:$IX$10144,7,FALSE)))</f>
        <v>19</v>
      </c>
      <c r="I24" s="22">
        <f>IF($B24="","",IF(LEN(VLOOKUP($B24,Database!$B$1:$IX$10144,8,FALSE))=0,"",VLOOKUP($B24,Database!$B$1:$IX$10144,8,FALSE)))</f>
        <v>30</v>
      </c>
      <c r="J24" t="s">
        <v>430</v>
      </c>
      <c r="L24">
        <v>4.1100000000000003</v>
      </c>
      <c r="M24">
        <v>0.77</v>
      </c>
      <c r="N24">
        <v>4.0599999999999996</v>
      </c>
      <c r="O24">
        <v>0.79</v>
      </c>
      <c r="P24">
        <v>4.3600000000000003</v>
      </c>
      <c r="Q24">
        <v>0.88</v>
      </c>
      <c r="R24">
        <v>4.3</v>
      </c>
      <c r="S24">
        <v>0.79</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46.7</v>
      </c>
      <c r="AC24" s="22">
        <f>IF(OR($B24="",AC$22=""),"",IF(LEN(VLOOKUP($B24,Database!$B$1:$IX$10144,AC$22,FALSE))=0,"",VLOOKUP($B24,Database!$B$1:$IX$10144,AC$22,FALSE)))</f>
        <v>20.399999999999999</v>
      </c>
      <c r="AD24" s="22">
        <f>IF(OR($B24="",AD$22=""),"",IF(LEN(VLOOKUP($B24,Database!$B$1:$IX$10144,AD$22,FALSE))=0,"",VLOOKUP($B24,Database!$B$1:$IX$10144,AD$22,FALSE)))</f>
        <v>56.6</v>
      </c>
      <c r="AE24" s="22">
        <f>IF(OR($B24="",AE$22=""),"",IF(LEN(VLOOKUP($B24,Database!$B$1:$IX$10144,AE$22,FALSE))=0,"",VLOOKUP($B24,Database!$B$1:$IX$10144,AE$22,FALSE)))</f>
        <v>19.100000000000001</v>
      </c>
      <c r="AF24" s="22">
        <f>IF(OR($B24="",AF$22=""),"",IF(LEN(VLOOKUP($B24,Database!$B$1:$IX$10144,AF$22,FALSE))=0,"",VLOOKUP($B24,Database!$B$1:$IX$10144,AF$22,FALSE)))</f>
        <v>14</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34</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Axelson DA, Doraiswamy PM, McDonald WM, Boyko OB, Tupler LA, Patterson LJ, Nemeroff CB, Ellinwood EH Jr, Krishnan KR.</v>
      </c>
      <c r="AR24" s="13"/>
      <c r="AX24" s="13"/>
      <c r="AY24" s="13"/>
      <c r="AZ24" s="13"/>
      <c r="BA24" s="13"/>
      <c r="BC24" s="23"/>
      <c r="BF24" s="136"/>
      <c r="BG24" s="136"/>
      <c r="BH24" s="136"/>
      <c r="BI24" s="136"/>
    </row>
    <row r="25" spans="1:65">
      <c r="B25">
        <v>9089060</v>
      </c>
      <c r="C25" s="1" t="str">
        <f>IF($B25="","",HYPERLINK(IF(LEN(VLOOKUP($B25,Database!$B$1:$IX$10144,2,FALSE))=0,"",VLOOKUP($B25,Database!$B$1:$IX$10144,2,FALSE))))</f>
        <v/>
      </c>
      <c r="D25" s="1" t="str">
        <f>IF($B25="","",HYPERLINK(CONCATENATE("http://www.ncbi.nlm.nih.gov/pubmed/",B25)))</f>
        <v>http://www.ncbi.nlm.nih.gov/pubmed/9089060</v>
      </c>
      <c r="E25" s="22" t="str">
        <f>IF($B25="","",IF(LEN(VLOOKUP($B25,Database!$B$1:$IX$10144,4,FALSE))=0,"",VLOOKUP($B25,Database!$B$1:$IX$10144,4,FALSE)))</f>
        <v>Pantel J</v>
      </c>
      <c r="F25" s="22">
        <f>IF($B25="","",IF(LEN(VLOOKUP($B25,Database!$B$1:$IX$10144,5,FALSE))=0,"",VLOOKUP($B25,Database!$B$1:$IX$10144,5,FALSE)))</f>
        <v>1997</v>
      </c>
      <c r="G25" s="1" t="str">
        <f>IF($B25="","",HYPERLINK(IF(LEN(VLOOKUP($B25,Database!$B$1:$IX$10144,6,FALSE))=0,"",VLOOKUP($B25,Database!$B$1:$IX$10144,6,FALSE))))</f>
        <v>http://dx.doi.org/10.1016/S0165-0327(96)00105-X</v>
      </c>
      <c r="H25" s="22">
        <f>IF($B25="","",IF(LEN(VLOOKUP($B25,Database!$B$1:$IX$10144,7,FALSE))=0,"",VLOOKUP($B25,Database!$B$1:$IX$10144,7,FALSE)))</f>
        <v>19</v>
      </c>
      <c r="I25" s="22">
        <f>IF($B25="","",IF(LEN(VLOOKUP($B25,Database!$B$1:$IX$10144,8,FALSE))=0,"",VLOOKUP($B25,Database!$B$1:$IX$10144,8,FALSE)))</f>
        <v>13</v>
      </c>
      <c r="J25" t="s">
        <v>431</v>
      </c>
      <c r="L25">
        <v>4.47</v>
      </c>
      <c r="M25">
        <v>0.71</v>
      </c>
      <c r="N25">
        <v>4.62</v>
      </c>
      <c r="O25">
        <v>0.7</v>
      </c>
      <c r="P25">
        <v>4.58</v>
      </c>
      <c r="Q25">
        <v>0.76</v>
      </c>
      <c r="R25">
        <v>4.75</v>
      </c>
      <c r="S25">
        <v>0.61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72.400000000000006</v>
      </c>
      <c r="AC25" s="22">
        <f>IF(OR($B25="",AC$22=""),"",IF(LEN(VLOOKUP($B25,Database!$B$1:$IX$10144,AC$22,FALSE))=0,"",VLOOKUP($B25,Database!$B$1:$IX$10144,AC$22,FALSE)))</f>
        <v>8.8000000000000007</v>
      </c>
      <c r="AD25" s="22">
        <f>IF(OR($B25="",AD$22=""),"",IF(LEN(VLOOKUP($B25,Database!$B$1:$IX$10144,AD$22,FALSE))=0,"",VLOOKUP($B25,Database!$B$1:$IX$10144,AD$22,FALSE)))</f>
        <v>68.2</v>
      </c>
      <c r="AE25" s="22">
        <f>IF(OR($B25="",AE$22=""),"",IF(LEN(VLOOKUP($B25,Database!$B$1:$IX$10144,AE$22,FALSE))=0,"",VLOOKUP($B25,Database!$B$1:$IX$10144,AE$22,FALSE)))</f>
        <v>5.3</v>
      </c>
      <c r="AF25" s="22">
        <f>IF(OR($B25="",AF$22=""),"",IF(LEN(VLOOKUP($B25,Database!$B$1:$IX$10144,AF$22,FALSE))=0,"",VLOOKUP($B25,Database!$B$1:$IX$10144,AF$22,FALSE)))</f>
        <v>15</v>
      </c>
      <c r="AG25" s="22">
        <f>IF(OR($B25="",AG$22=""),"",IF(LEN(VLOOKUP($B25,Database!$B$1:$IX$10144,AG$22,FALSE))=0,"",VLOOKUP($B25,Database!$B$1:$IX$10144,AG$22,FALSE)))</f>
        <v>10</v>
      </c>
      <c r="AH25" s="22">
        <f>IF(OR($B25="",AH$22=""),"",IF(LEN(VLOOKUP($B25,Database!$B$1:$IX$10144,AH$22,FALSE))=0,"",VLOOKUP($B25,Database!$B$1:$IX$10144,AH$22,FALSE)))</f>
        <v>1.5</v>
      </c>
      <c r="AI25" s="22">
        <f>IF(OR($B25="",AI$22=""),"",IF(LEN(VLOOKUP($B25,Database!$B$1:$IX$10144,AI$22,FALSE))=0,"",VLOOKUP($B25,Database!$B$1:$IX$10144,AI$22,FALSE)))</f>
        <v>1.25</v>
      </c>
      <c r="AJ25" s="22" t="str">
        <f>IF(OR($B25="",AJ$22=""),"",IF(LEN(VLOOKUP($B25,Database!$B$1:$IX$10144,AJ$22,FALSE))=0,"",VLOOKUP($B25,Database!$B$1:$IX$10144,AJ$22,FALSE)))</f>
        <v/>
      </c>
      <c r="AK25" s="22">
        <f>IF(OR($B25="",AK$22=""),"",IF(LEN(VLOOKUP($B25,Database!$B$1:$IX$10144,AK$22,FALSE))=0,"",VLOOKUP($B25,Database!$B$1:$IX$10144,AK$22,FALSE)))</f>
        <v>64.2</v>
      </c>
      <c r="AL25" s="22">
        <f>IF(OR($B25="",AL$22=""),"",IF(LEN(VLOOKUP($B25,Database!$B$1:$IX$10144,AL$22,FALSE))=0,"",VLOOKUP($B25,Database!$B$1:$IX$10144,AL$22,FALSE)))</f>
        <v>26.7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Pantel J, Schroder J, Essig M, Popp D, Dech H, Knopp MV, Schad LR, Eysenbach K, Backenstrass M, Friedlinger M.</v>
      </c>
      <c r="AR25" s="13"/>
      <c r="AX25" s="13"/>
      <c r="AY25" s="13"/>
      <c r="AZ25" s="13"/>
      <c r="BA25" s="13"/>
      <c r="BC25" s="23"/>
      <c r="BF25" s="136"/>
      <c r="BG25" s="136"/>
      <c r="BH25" s="136"/>
      <c r="BI25" s="136"/>
    </row>
    <row r="26" spans="1:65">
      <c r="B26">
        <v>11200955</v>
      </c>
      <c r="C26" s="1" t="str">
        <f>IF($B26="","",HYPERLINK(IF(LEN(VLOOKUP($B26,Database!$B$1:$IX$10144,2,FALSE))=0,"",VLOOKUP($B26,Database!$B$1:$IX$10144,2,FALSE))))</f>
        <v/>
      </c>
      <c r="D26" s="1" t="str">
        <f>IF($B26="","",HYPERLINK(CONCATENATE("http://www.ncbi.nlm.nih.gov/pubmed/",B26)))</f>
        <v>http://www.ncbi.nlm.nih.gov/pubmed/11200955</v>
      </c>
      <c r="E26" s="22" t="str">
        <f>IF($B26="","",IF(LEN(VLOOKUP($B26,Database!$B$1:$IX$10144,4,FALSE))=0,"",VLOOKUP($B26,Database!$B$1:$IX$10144,4,FALSE)))</f>
        <v>McIntosh AM</v>
      </c>
      <c r="F26" s="22">
        <f>IF($B26="","",IF(LEN(VLOOKUP($B26,Database!$B$1:$IX$10144,5,FALSE))=0,"",VLOOKUP($B26,Database!$B$1:$IX$10144,5,FALSE)))</f>
        <v>2001</v>
      </c>
      <c r="G26" s="1" t="str">
        <f>IF($B26="","",HYPERLINK(IF(LEN(VLOOKUP($B26,Database!$B$1:$IX$10144,6,FALSE))=0,"",VLOOKUP($B26,Database!$B$1:$IX$10144,6,FALSE))))</f>
        <v>http://dx.doi.org/10.1017/S0033291799003177</v>
      </c>
      <c r="H26" s="22">
        <f>IF($B26="","",IF(LEN(VLOOKUP($B26,Database!$B$1:$IX$10144,7,FALSE))=0,"",VLOOKUP($B26,Database!$B$1:$IX$10144,7,FALSE)))</f>
        <v>9</v>
      </c>
      <c r="I26" s="22">
        <f>IF($B26="","",IF(LEN(VLOOKUP($B26,Database!$B$1:$IX$10144,8,FALSE))=0,"",VLOOKUP($B26,Database!$B$1:$IX$10144,8,FALSE)))</f>
        <v>29</v>
      </c>
      <c r="J26" t="s">
        <v>432</v>
      </c>
      <c r="L26">
        <v>4465</v>
      </c>
      <c r="M26">
        <v>521</v>
      </c>
      <c r="N26">
        <v>4495</v>
      </c>
      <c r="O26">
        <v>483</v>
      </c>
      <c r="P26">
        <v>4931</v>
      </c>
      <c r="Q26">
        <v>547</v>
      </c>
      <c r="R26">
        <v>4922</v>
      </c>
      <c r="S26">
        <v>654</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43.56</v>
      </c>
      <c r="AC26" s="22">
        <f>IF(OR($B26="",AC$22=""),"",IF(LEN(VLOOKUP($B26,Database!$B$1:$IX$10144,AC$22,FALSE))=0,"",VLOOKUP($B26,Database!$B$1:$IX$10144,AC$22,FALSE)))</f>
        <v>9.3800000000000008</v>
      </c>
      <c r="AD26" s="22">
        <f>IF(OR($B26="",AD$22=""),"",IF(LEN(VLOOKUP($B26,Database!$B$1:$IX$10144,AD$22,FALSE))=0,"",VLOOKUP($B26,Database!$B$1:$IX$10144,AD$22,FALSE)))</f>
        <v>42.76</v>
      </c>
      <c r="AE26" s="22">
        <f>IF(OR($B26="",AE$22=""),"",IF(LEN(VLOOKUP($B26,Database!$B$1:$IX$10144,AE$22,FALSE))=0,"",VLOOKUP($B26,Database!$B$1:$IX$10144,AE$22,FALSE)))</f>
        <v>9.91</v>
      </c>
      <c r="AF26" s="22">
        <f>IF(OR($B26="",AF$22=""),"",IF(LEN(VLOOKUP($B26,Database!$B$1:$IX$10144,AF$22,FALSE))=0,"",VLOOKUP($B26,Database!$B$1:$IX$10144,AF$22,FALSE)))</f>
        <v>5</v>
      </c>
      <c r="AG26" s="22">
        <f>IF(OR($B26="",AG$22=""),"",IF(LEN(VLOOKUP($B26,Database!$B$1:$IX$10144,AG$22,FALSE))=0,"",VLOOKUP($B26,Database!$B$1:$IX$10144,AG$22,FALSE)))</f>
        <v>16</v>
      </c>
      <c r="AH26" s="22">
        <f>IF(OR($B26="",AH$22=""),"",IF(LEN(VLOOKUP($B26,Database!$B$1:$IX$10144,AH$22,FALSE))=0,"",VLOOKUP($B26,Database!$B$1:$IX$10144,AH$22,FALSE)))</f>
        <v>1</v>
      </c>
      <c r="AI26" s="22">
        <f>IF(OR($B26="",AI$22=""),"",IF(LEN(VLOOKUP($B26,Database!$B$1:$IX$10144,AI$22,FALSE))=0,"",VLOOKUP($B26,Database!$B$1:$IX$10144,AI$22,FALSE)))</f>
        <v>1.88</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 M. McINTOSH, A. FORRESTER, S.M. LAWRIE, M. BYRNE, A. HARPER, J. N. KESTELMAN, J. J. K. BEST, P. MILLER, E. C. JOHNSTONE and D. G. C. OWENS</v>
      </c>
      <c r="AR26" s="13"/>
      <c r="AX26" s="13"/>
      <c r="AY26" s="13"/>
      <c r="AZ26" s="13"/>
      <c r="BA26" s="13"/>
      <c r="BC26" s="23"/>
      <c r="BF26" s="136"/>
      <c r="BG26" s="136"/>
      <c r="BH26" s="136"/>
      <c r="BI26" s="136"/>
    </row>
    <row r="27" spans="1:65">
      <c r="C27" s="1"/>
      <c r="D27" s="1"/>
      <c r="E27" s="22"/>
      <c r="F27" s="22"/>
      <c r="G27" s="1"/>
      <c r="H27" s="22"/>
      <c r="I27" s="22"/>
      <c r="Y27" s="22"/>
      <c r="Z27" s="22"/>
      <c r="AA27" s="22"/>
      <c r="AB27" s="22"/>
      <c r="AC27" s="22"/>
      <c r="AD27" s="22"/>
      <c r="AE27" s="22"/>
      <c r="AF27" s="22"/>
      <c r="AG27" s="22"/>
      <c r="AH27" s="22"/>
      <c r="AI27" s="22"/>
      <c r="AJ27" s="22"/>
      <c r="AK27" s="22"/>
      <c r="AL27" s="22"/>
      <c r="AM27" s="22"/>
      <c r="AN27" s="22"/>
      <c r="AO27" s="22"/>
      <c r="AP27" s="22"/>
      <c r="AQ27" s="22"/>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7" t="s">
        <v>35</v>
      </c>
      <c r="B29">
        <v>9859118</v>
      </c>
      <c r="C29" s="1" t="str">
        <f>IF($B29="","",HYPERLINK(IF(LEN(VLOOKUP($B29,Database!$B$1:$IX$10144,2,FALSE))=0,"",VLOOKUP($B29,Database!$B$1:$IX$10144,2,FALSE))))</f>
        <v/>
      </c>
      <c r="D29" s="1" t="str">
        <f>IF($B29="","",HYPERLINK(CONCATENATE("http://www.ncbi.nlm.nih.gov/pubmed/",B29)))</f>
        <v>http://www.ncbi.nlm.nih.gov/pubmed/9859118</v>
      </c>
      <c r="E29" s="22" t="str">
        <f>IF($B29="","",IF(LEN(VLOOKUP($B29,Database!$B$1:$IX$10144,4,FALSE))=0,"",VLOOKUP($B29,Database!$B$1:$IX$10144,4,FALSE)))</f>
        <v>Pantel J</v>
      </c>
      <c r="F29" s="22">
        <f>IF($B29="","",IF(LEN(VLOOKUP($B29,Database!$B$1:$IX$10144,5,FALSE))=0,"",VLOOKUP($B29,Database!$B$1:$IX$10144,5,FALSE)))</f>
        <v>1998</v>
      </c>
      <c r="G29" s="1" t="str">
        <f>IF($B29="","",HYPERLINK(IF(LEN(VLOOKUP($B29,Database!$B$1:$IX$10144,6,FALSE))=0,"",VLOOKUP($B29,Database!$B$1:$IX$10144,6,FALSE))))</f>
        <v>http://dx.doi.org/10.1007/s001150050371</v>
      </c>
      <c r="H29" s="22">
        <f>IF($B29="","",IF(LEN(VLOOKUP($B29,Database!$B$1:$IX$10144,7,FALSE))=0,"",VLOOKUP($B29,Database!$B$1:$IX$10144,7,FALSE)))</f>
        <v>19</v>
      </c>
      <c r="I29" s="22">
        <f>IF($B29="","",IF(LEN(VLOOKUP($B29,Database!$B$1:$IX$10144,8,FALSE))=0,"",VLOOKUP($B29,Database!$B$1:$IX$10144,8,FALSE)))</f>
        <v>13</v>
      </c>
      <c r="K29" s="10"/>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72.400000000000006</v>
      </c>
      <c r="AC29" s="22">
        <f>IF(OR($B29="",AC$22=""),"",IF(LEN(VLOOKUP($B29,Database!$B$1:$IX$10144,AC$22,FALSE))=0,"",VLOOKUP($B29,Database!$B$1:$IX$10144,AC$22,FALSE)))</f>
        <v>8.8000000000000007</v>
      </c>
      <c r="AD29" s="22">
        <f>IF(OR($B29="",AD$22=""),"",IF(LEN(VLOOKUP($B29,Database!$B$1:$IX$10144,AD$22,FALSE))=0,"",VLOOKUP($B29,Database!$B$1:$IX$10144,AD$22,FALSE)))</f>
        <v>68.2</v>
      </c>
      <c r="AE29" s="22">
        <f>IF(OR($B29="",AE$22=""),"",IF(LEN(VLOOKUP($B29,Database!$B$1:$IX$10144,AE$22,FALSE))=0,"",VLOOKUP($B29,Database!$B$1:$IX$10144,AE$22,FALSE)))</f>
        <v>5.3</v>
      </c>
      <c r="AF29" s="22">
        <f>IF(OR($B29="",AF$22=""),"",IF(LEN(VLOOKUP($B29,Database!$B$1:$IX$10144,AF$22,FALSE))=0,"",VLOOKUP($B29,Database!$B$1:$IX$10144,AF$22,FALSE)))</f>
        <v>15</v>
      </c>
      <c r="AG29" s="22">
        <f>IF(OR($B29="",AG$22=""),"",IF(LEN(VLOOKUP($B29,Database!$B$1:$IX$10144,AG$22,FALSE))=0,"",VLOOKUP($B29,Database!$B$1:$IX$10144,AG$22,FALSE)))</f>
        <v>10</v>
      </c>
      <c r="AH29" s="22">
        <f>IF(OR($B29="",AH$22=""),"",IF(LEN(VLOOKUP($B29,Database!$B$1:$IX$10144,AH$22,FALSE))=0,"",VLOOKUP($B29,Database!$B$1:$IX$10144,AH$22,FALSE)))</f>
        <v>1.5</v>
      </c>
      <c r="AI29" s="22">
        <f>IF(OR($B29="",AI$22=""),"",IF(LEN(VLOOKUP($B29,Database!$B$1:$IX$10144,AI$22,FALSE))=0,"",VLOOKUP($B29,Database!$B$1:$IX$10144,AI$22,FALSE)))</f>
        <v>1.2</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26.7</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Pantel J, Schroder J, Essig M, Schad LR, Popp D, Eysenbach K, Jauss M, Knopp MV.</v>
      </c>
    </row>
    <row r="30" spans="1:65">
      <c r="B30" s="13"/>
      <c r="C30" s="1" t="str">
        <f>IF($B30="","",HYPERLINK(IF(LEN(VLOOKUP($B30,Database!$B$1:$IX$10144,2,FALSE))=0,"",VLOOKUP($B30,Database!$B$1:$IX$10144,2,FALSE))))</f>
        <v/>
      </c>
      <c r="D30" s="1" t="str">
        <f>IF($B30="","",HYPERLINK(CONCATENATE("http://www.ncbi.nlm.nih.gov/pubmed/",B30)))</f>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K30" s="10"/>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5" si="0">E24</f>
        <v>Axelson DA</v>
      </c>
      <c r="F33">
        <f t="shared" si="0"/>
        <v>1993</v>
      </c>
      <c r="G33">
        <v>3</v>
      </c>
      <c r="H33">
        <f t="shared" ref="H33:I35" si="1">H24</f>
        <v>19</v>
      </c>
      <c r="I33">
        <f t="shared" si="1"/>
        <v>30</v>
      </c>
      <c r="J33">
        <f t="shared" ref="J33:M35" si="2">IF($D$4="Total",T24,IF($D$4="Left",L24,IF($D$4="Right",P24,"error")))</f>
        <v>4.3600000000000003</v>
      </c>
      <c r="K33">
        <f t="shared" si="2"/>
        <v>0.88</v>
      </c>
      <c r="L33">
        <f t="shared" si="2"/>
        <v>4.3</v>
      </c>
      <c r="M33">
        <f t="shared" si="2"/>
        <v>0.79</v>
      </c>
      <c r="N33">
        <f>IF($D$3=1,SQRT((((I33-1)*(M33)^2)+((H33-1)*(K33)^2))/(H33+I33-2)),M33)</f>
        <v>0.82562806524951626</v>
      </c>
      <c r="O33" s="59">
        <f>IF($D$6=1,LN(J33/L33),IF($D$5=1,(1-3/(4*(H33+I33)-9))*((J33-L33)/N33),(J33-L33)/N33))</f>
        <v>7.1506088080034891E-2</v>
      </c>
      <c r="P33" s="63">
        <f>IF($D$6=1,(K33^2)/(H33*J33^2)+(M33^2)/(I33*L33^2),(IF($D$5=1,((H33+I33)/(H33*I33))+(O33*O33)/(2*(H33+I33-3.94)),((H33+I33)/(H33*I33))+((O33^2)/(2*(H33+I33-2))))))</f>
        <v>8.6021649083104224E-2</v>
      </c>
      <c r="Q33" s="59">
        <f>$R$52*SQRT(P33)</f>
        <v>0.57485717105873624</v>
      </c>
      <c r="R33" s="59">
        <f>1/P33</f>
        <v>11.624980579411062</v>
      </c>
      <c r="S33" s="59">
        <f>O33*R33</f>
        <v>0.83125688524006247</v>
      </c>
      <c r="T33" s="59">
        <f>R33*(O33^2)</f>
        <v>5.9439928053111366E-2</v>
      </c>
      <c r="U33" s="23">
        <f>R33^2</f>
        <v>135.14017347168436</v>
      </c>
      <c r="V33" s="59">
        <f>1/((1/R33)+$I$49)</f>
        <v>11.624980579411062</v>
      </c>
      <c r="W33" s="59">
        <f>V33*O33</f>
        <v>0.83125688524006247</v>
      </c>
      <c r="AF33" s="59">
        <f>IF($D$6=1,100*((EXP(O33))-1),O33)</f>
        <v>7.1506088080034891E-2</v>
      </c>
      <c r="AG33" s="59">
        <f>IF($D$6=1,100*(EXP(O33+Q33)-EXP(O33)),Q33)</f>
        <v>0.57485717105873624</v>
      </c>
      <c r="AH33" s="59">
        <f>IF($D$6=1,100*(EXP(O33)-EXP(O33-Q33)),Q33)</f>
        <v>0.57485717105873624</v>
      </c>
      <c r="AJ33">
        <f>SQRT(P33)</f>
        <v>0.29329447502996747</v>
      </c>
      <c r="AK33">
        <f>1/AJ33</f>
        <v>3.4095425762719351</v>
      </c>
      <c r="AL33">
        <f>O33/AJ33</f>
        <v>0.24380305177153005</v>
      </c>
      <c r="AN33" t="str">
        <f t="shared" ref="AN33:AO35" si="3">E33</f>
        <v>Axelson DA</v>
      </c>
      <c r="AO33">
        <f t="shared" si="3"/>
        <v>1993</v>
      </c>
      <c r="AP33" t="str">
        <f>CONCATENATE(AN33," ",AO33)</f>
        <v>Axelson DA 1993</v>
      </c>
      <c r="AQ33">
        <f>INT(H33)</f>
        <v>19</v>
      </c>
      <c r="AR33">
        <f t="shared" ref="AR33:AS35" si="4">J33</f>
        <v>4.3600000000000003</v>
      </c>
      <c r="AS33">
        <f t="shared" si="4"/>
        <v>0.88</v>
      </c>
      <c r="AT33">
        <f>INT(I33)</f>
        <v>30</v>
      </c>
      <c r="AU33">
        <f t="shared" ref="AU33:AV35" si="5">L33</f>
        <v>4.3</v>
      </c>
      <c r="AV33">
        <f t="shared" si="5"/>
        <v>0.79</v>
      </c>
      <c r="AW33" s="65">
        <f>O33</f>
        <v>7.1506088080034891E-2</v>
      </c>
      <c r="AX33">
        <f>SQRT(P33)</f>
        <v>0.29329447502996747</v>
      </c>
      <c r="AY33" t="str">
        <f>$F$3</f>
        <v>Pooled SD</v>
      </c>
    </row>
    <row r="34" spans="5:51">
      <c r="E34" t="str">
        <f t="shared" si="0"/>
        <v>Pantel J</v>
      </c>
      <c r="F34">
        <f t="shared" si="0"/>
        <v>1997</v>
      </c>
      <c r="G34">
        <v>2</v>
      </c>
      <c r="H34">
        <f t="shared" si="1"/>
        <v>19</v>
      </c>
      <c r="I34">
        <f t="shared" si="1"/>
        <v>13</v>
      </c>
      <c r="J34">
        <f t="shared" si="2"/>
        <v>4.58</v>
      </c>
      <c r="K34">
        <f t="shared" si="2"/>
        <v>0.76</v>
      </c>
      <c r="L34">
        <f t="shared" si="2"/>
        <v>4.75</v>
      </c>
      <c r="M34">
        <f t="shared" si="2"/>
        <v>0.61</v>
      </c>
      <c r="N34">
        <f>IF($D$3=1,SQRT((((I34-1)*(M34)^2)+((H34-1)*(K34)^2))/(H34+I34-2)),M34)</f>
        <v>0.70384657419071095</v>
      </c>
      <c r="O34" s="59">
        <f>IF($D$6=1,LN(J34/L34),IF($D$5=1,(1-3/(4*(H34+I34)-9))*((J34-L34)/N34),(J34-L34)/N34))</f>
        <v>-0.23544092106269809</v>
      </c>
      <c r="P34" s="63">
        <f>IF($D$6=1,(K34^2)/(H34*J34^2)+(M34^2)/(I34*L34^2),(IF($D$5=1,((H34+I34)/(H34*I34))+(O34*O34)/(2*(H34+I34-3.94)),((H34+I34)/(H34*I34))+((O34^2)/(2*(H34+I34-2))))))</f>
        <v>0.13054240404063158</v>
      </c>
      <c r="Q34" s="59">
        <f>$R$52*SQRT(P34)</f>
        <v>0.70816078637728197</v>
      </c>
      <c r="R34" s="59">
        <f>1/P34</f>
        <v>7.6603461331135589</v>
      </c>
      <c r="S34" s="59">
        <f>O34*R34</f>
        <v>-1.803558949239334</v>
      </c>
      <c r="T34" s="59">
        <f>R34*(O34^2)</f>
        <v>0.42463158019978076</v>
      </c>
      <c r="U34" s="23">
        <f>R34^2</f>
        <v>58.680902879107855</v>
      </c>
      <c r="V34" s="59">
        <f>1/((1/R34)+$I$49)</f>
        <v>7.6603461331135589</v>
      </c>
      <c r="W34" s="59">
        <f>V34*O34</f>
        <v>-1.803558949239334</v>
      </c>
      <c r="AF34" s="59">
        <f>IF($D$6=1,100*((EXP(O34))-1),O34)</f>
        <v>-0.23544092106269809</v>
      </c>
      <c r="AG34" s="59">
        <f>IF($D$6=1,100*(EXP(O34+Q34)-EXP(O34)),Q34)</f>
        <v>0.70816078637728197</v>
      </c>
      <c r="AH34" s="59">
        <f>IF($D$6=1,100*(EXP(O34)-EXP(O34-Q34)),Q34)</f>
        <v>0.70816078637728197</v>
      </c>
      <c r="AJ34">
        <f>SQRT(P34)</f>
        <v>0.36130652366187854</v>
      </c>
      <c r="AK34">
        <f>1/AJ34</f>
        <v>2.7677330314019737</v>
      </c>
      <c r="AL34">
        <f>O34/AJ34</f>
        <v>-0.65163761416893418</v>
      </c>
      <c r="AN34" t="str">
        <f t="shared" si="3"/>
        <v>Pantel J</v>
      </c>
      <c r="AO34">
        <f t="shared" si="3"/>
        <v>1997</v>
      </c>
      <c r="AP34" t="str">
        <f>CONCATENATE(AN34," ",AO34)</f>
        <v>Pantel J 1997</v>
      </c>
      <c r="AQ34">
        <f>INT(H34)</f>
        <v>19</v>
      </c>
      <c r="AR34">
        <f t="shared" si="4"/>
        <v>4.58</v>
      </c>
      <c r="AS34">
        <f t="shared" si="4"/>
        <v>0.76</v>
      </c>
      <c r="AT34">
        <f>INT(I34)</f>
        <v>13</v>
      </c>
      <c r="AU34">
        <f t="shared" si="5"/>
        <v>4.75</v>
      </c>
      <c r="AV34">
        <f t="shared" si="5"/>
        <v>0.61</v>
      </c>
      <c r="AW34" s="65">
        <f>O34</f>
        <v>-0.23544092106269809</v>
      </c>
      <c r="AX34">
        <f>SQRT(P34)</f>
        <v>0.36130652366187854</v>
      </c>
      <c r="AY34" t="str">
        <f>$F$4</f>
        <v>Right</v>
      </c>
    </row>
    <row r="35" spans="5:51">
      <c r="E35" t="str">
        <f t="shared" si="0"/>
        <v>McIntosh AM</v>
      </c>
      <c r="F35">
        <f t="shared" si="0"/>
        <v>2001</v>
      </c>
      <c r="G35">
        <v>1</v>
      </c>
      <c r="H35">
        <f t="shared" si="1"/>
        <v>9</v>
      </c>
      <c r="I35">
        <f t="shared" si="1"/>
        <v>29</v>
      </c>
      <c r="J35">
        <f t="shared" si="2"/>
        <v>4931</v>
      </c>
      <c r="K35">
        <f t="shared" si="2"/>
        <v>547</v>
      </c>
      <c r="L35">
        <f t="shared" si="2"/>
        <v>4922</v>
      </c>
      <c r="M35">
        <f t="shared" si="2"/>
        <v>654</v>
      </c>
      <c r="N35">
        <f>IF($D$3=1,SQRT((((I35-1)*(M35)^2)+((H35-1)*(K35)^2))/(H35+I35-2)),M35)</f>
        <v>631.79022538251479</v>
      </c>
      <c r="O35" s="59">
        <f>IF($D$6=1,LN(J35/L35),IF($D$5=1,(1-3/(4*(H35+I35)-9))*((J35-L35)/N35),(J35-L35)/N35))</f>
        <v>1.3946383557697674E-2</v>
      </c>
      <c r="P35" s="63">
        <f>IF($D$6=1,(K35^2)/(H35*J35^2)+(M35^2)/(I35*L35^2),(IF($D$5=1,((H35+I35)/(H35*I35))+(O35*O35)/(2*(H35+I35-3.94)),((H35+I35)/(H35*I35))+((O35^2)/(2*(H35+I35-2))))))</f>
        <v>0.14559672501093082</v>
      </c>
      <c r="Q35" s="59">
        <f>$R$52*SQRT(P35)</f>
        <v>0.74787992271620174</v>
      </c>
      <c r="R35" s="59">
        <f>1/P35</f>
        <v>6.8682863568869701</v>
      </c>
      <c r="S35" s="59">
        <f>O35*R35</f>
        <v>9.5787755917247697E-2</v>
      </c>
      <c r="T35" s="59">
        <f>R35*(O35^2)</f>
        <v>1.3358927841530615E-3</v>
      </c>
      <c r="U35" s="23">
        <f>R35^2</f>
        <v>47.173357480199691</v>
      </c>
      <c r="V35" s="59">
        <f>1/((1/R35)+$I$49)</f>
        <v>6.8682863568869701</v>
      </c>
      <c r="W35" s="59">
        <f>V35*O35</f>
        <v>9.5787755917247697E-2</v>
      </c>
      <c r="AF35" s="59">
        <f>IF($D$6=1,100*((EXP(O35))-1),O35)</f>
        <v>1.3946383557697674E-2</v>
      </c>
      <c r="AG35" s="59">
        <f>IF($D$6=1,100*(EXP(O35+Q35)-EXP(O35)),Q35)</f>
        <v>0.74787992271620174</v>
      </c>
      <c r="AH35" s="59">
        <f>IF($D$6=1,100*(EXP(O35)-EXP(O35-Q35)),Q35)</f>
        <v>0.74787992271620174</v>
      </c>
      <c r="AJ35">
        <f>SQRT(P35)</f>
        <v>0.38157138914091926</v>
      </c>
      <c r="AK35">
        <f>1/AJ35</f>
        <v>2.6207415662149844</v>
      </c>
      <c r="AL35">
        <f>O35/AJ35</f>
        <v>3.6549867088035509E-2</v>
      </c>
      <c r="AN35" t="str">
        <f t="shared" si="3"/>
        <v>McIntosh AM</v>
      </c>
      <c r="AO35">
        <f t="shared" si="3"/>
        <v>2001</v>
      </c>
      <c r="AP35" t="str">
        <f>CONCATENATE(AN35," ",AO35)</f>
        <v>McIntosh AM 2001</v>
      </c>
      <c r="AQ35">
        <f>INT(H35)</f>
        <v>9</v>
      </c>
      <c r="AR35">
        <f t="shared" si="4"/>
        <v>4931</v>
      </c>
      <c r="AS35">
        <f t="shared" si="4"/>
        <v>547</v>
      </c>
      <c r="AT35">
        <f>INT(I35)</f>
        <v>29</v>
      </c>
      <c r="AU35">
        <f t="shared" si="5"/>
        <v>4922</v>
      </c>
      <c r="AV35">
        <f t="shared" si="5"/>
        <v>654</v>
      </c>
      <c r="AW35" s="65">
        <f>O35</f>
        <v>1.3946383557697674E-2</v>
      </c>
      <c r="AX35">
        <f>SQRT(P35)</f>
        <v>0.38157138914091926</v>
      </c>
      <c r="AY35" t="str">
        <f>$F$5</f>
        <v>H Correction</v>
      </c>
    </row>
    <row r="36" spans="5:51">
      <c r="U36" s="23"/>
    </row>
    <row r="37" spans="5:51">
      <c r="L37" t="s">
        <v>500</v>
      </c>
      <c r="N37" s="7"/>
      <c r="O37" s="66">
        <f>COUNT(O33:O35)</f>
        <v>3</v>
      </c>
      <c r="Q37" t="s">
        <v>885</v>
      </c>
      <c r="R37" s="59">
        <f t="shared" ref="R37:W37" si="6">SUM(R33:R35)</f>
        <v>26.153613069411591</v>
      </c>
      <c r="S37" s="59">
        <f t="shared" si="6"/>
        <v>-0.87651430808202391</v>
      </c>
      <c r="T37" s="59">
        <f t="shared" si="6"/>
        <v>0.48540740103704522</v>
      </c>
      <c r="U37" s="23">
        <f t="shared" si="6"/>
        <v>240.99443383099191</v>
      </c>
      <c r="V37" s="59">
        <f t="shared" si="6"/>
        <v>26.153613069411591</v>
      </c>
      <c r="W37" s="59">
        <f t="shared" si="6"/>
        <v>-0.87651430808202391</v>
      </c>
    </row>
    <row r="38" spans="5:51">
      <c r="L38" t="s">
        <v>501</v>
      </c>
      <c r="N38" s="7"/>
      <c r="O38" s="2">
        <v>0</v>
      </c>
    </row>
    <row r="39" spans="5:51">
      <c r="N39" s="7"/>
      <c r="O39" s="7"/>
    </row>
    <row r="40" spans="5:51">
      <c r="G40" s="67" t="s">
        <v>502</v>
      </c>
      <c r="H40" s="40"/>
      <c r="I40" s="40">
        <f>S37/R37</f>
        <v>-3.351408104707209E-2</v>
      </c>
      <c r="J40" s="40"/>
      <c r="K40" s="68" t="s">
        <v>879</v>
      </c>
      <c r="L40" s="40"/>
      <c r="M40" s="42"/>
      <c r="N40" s="7"/>
      <c r="O40" s="69" t="s">
        <v>503</v>
      </c>
      <c r="P40" s="70">
        <f>T37-((S37^2)/R37)</f>
        <v>0.45603182947706594</v>
      </c>
      <c r="Q40" s="71" t="s">
        <v>824</v>
      </c>
      <c r="R40" s="28"/>
      <c r="S40" s="29"/>
      <c r="T40" s="30"/>
      <c r="U40" s="31"/>
      <c r="AF40" s="2" t="s">
        <v>1518</v>
      </c>
    </row>
    <row r="41" spans="5:51">
      <c r="G41" s="43" t="s">
        <v>504</v>
      </c>
      <c r="H41" s="31"/>
      <c r="I41" s="31">
        <f>1/R37</f>
        <v>3.8235634875609874E-2</v>
      </c>
      <c r="J41" s="31"/>
      <c r="K41" s="31"/>
      <c r="L41" s="31"/>
      <c r="M41" s="44"/>
      <c r="N41" s="7"/>
      <c r="O41" s="30" t="s">
        <v>505</v>
      </c>
      <c r="P41" s="31">
        <f>CHIDIST(P40,I45-1)</f>
        <v>0.79611158996634324</v>
      </c>
      <c r="Q41" s="31"/>
      <c r="R41" s="31"/>
      <c r="S41" s="34"/>
      <c r="T41" s="30"/>
      <c r="U41" s="31"/>
      <c r="AF41" s="2"/>
    </row>
    <row r="42" spans="5:51">
      <c r="G42" s="72" t="s">
        <v>506</v>
      </c>
      <c r="H42" s="31"/>
      <c r="I42" s="31">
        <f>$R$52*SQRT(I41)</f>
        <v>0.38325711335622054</v>
      </c>
      <c r="J42" s="31"/>
      <c r="K42" s="31" t="s">
        <v>507</v>
      </c>
      <c r="L42" s="31"/>
      <c r="M42" s="44">
        <f>ABS(I40/SQRT(I41))</f>
        <v>0.17139303241374565</v>
      </c>
      <c r="N42" s="7"/>
      <c r="O42" s="35" t="s">
        <v>508</v>
      </c>
      <c r="P42" s="37">
        <f>IF(((P40-(I45-1))/P40)&lt;0,0,100*((P40-(I45-1))/P40))</f>
        <v>0</v>
      </c>
      <c r="Q42" s="36"/>
      <c r="R42" s="36"/>
      <c r="S42" s="38"/>
      <c r="T42" s="30"/>
      <c r="U42" s="31"/>
      <c r="AF42" s="2" t="s">
        <v>1535</v>
      </c>
      <c r="AH42">
        <f>IF($D$6=1,100*((EXP(I40))-1),I40)</f>
        <v>-3.351408104707209E-2</v>
      </c>
    </row>
    <row r="43" spans="5:51">
      <c r="G43" s="45" t="s">
        <v>509</v>
      </c>
      <c r="H43" s="46"/>
      <c r="I43" s="46">
        <v>-2</v>
      </c>
      <c r="J43" s="46"/>
      <c r="K43" s="46" t="s">
        <v>825</v>
      </c>
      <c r="L43" s="46"/>
      <c r="M43" s="47">
        <f>2*(1-NORMDIST(M42,0,1,1))</f>
        <v>0.86391473304746125</v>
      </c>
      <c r="N43" s="7"/>
      <c r="O43" s="7"/>
      <c r="AF43" s="79" t="s">
        <v>834</v>
      </c>
      <c r="AH43">
        <f>IF($D$6=1,100*(EXP(I40+I42)-EXP(I40)),I42)</f>
        <v>0.38325711335622054</v>
      </c>
    </row>
    <row r="44" spans="5:51">
      <c r="G44" s="40"/>
      <c r="H44" s="40"/>
      <c r="I44" s="40"/>
      <c r="J44" s="40"/>
      <c r="K44" s="40"/>
      <c r="L44" s="40"/>
      <c r="M44" s="40"/>
      <c r="N44" s="7"/>
      <c r="O44" s="7"/>
      <c r="AF44" s="79" t="s">
        <v>835</v>
      </c>
      <c r="AH44">
        <f>IF($D$6=1,100*(EXP(I40)-EXP(I40-I42)),I42)</f>
        <v>0.38325711335622054</v>
      </c>
    </row>
    <row r="45" spans="5:51">
      <c r="G45" s="73" t="s">
        <v>1110</v>
      </c>
      <c r="H45" s="74"/>
      <c r="I45" s="74">
        <f>O37</f>
        <v>3</v>
      </c>
      <c r="J45" s="74"/>
      <c r="K45" s="75" t="s">
        <v>1167</v>
      </c>
      <c r="L45" s="74"/>
      <c r="M45" s="76"/>
      <c r="N45" s="77"/>
      <c r="O45" s="101" t="s">
        <v>1513</v>
      </c>
      <c r="P45" s="102"/>
      <c r="Q45" s="103"/>
      <c r="AF45" s="7"/>
    </row>
    <row r="46" spans="5:51">
      <c r="G46" s="77" t="s">
        <v>1531</v>
      </c>
      <c r="H46" s="31"/>
      <c r="I46" s="31">
        <f>R37/I45</f>
        <v>8.7178710231371976</v>
      </c>
      <c r="J46" s="31"/>
      <c r="K46" s="31"/>
      <c r="L46" s="31"/>
      <c r="M46" s="78"/>
      <c r="N46" s="77"/>
      <c r="O46" s="104" t="s">
        <v>1514</v>
      </c>
      <c r="P46" s="31"/>
      <c r="Q46" s="105">
        <f>INDEX(LINEST(AL33:AL35,AK33:AK35,TRUE,TRUE),1,2)</f>
        <v>-1.8933274733251673</v>
      </c>
      <c r="AF46" s="2" t="s">
        <v>1687</v>
      </c>
      <c r="AH46">
        <f>IF($D$6=1,100*((EXP(I51))-1),I51)</f>
        <v>-3.351408104707209E-2</v>
      </c>
    </row>
    <row r="47" spans="5:51">
      <c r="G47" s="77" t="s">
        <v>1532</v>
      </c>
      <c r="H47" s="31"/>
      <c r="I47" s="31">
        <f>(1/(I45-1))*(U37-(I45*I46^2))</f>
        <v>6.4953041514131513</v>
      </c>
      <c r="J47" s="31"/>
      <c r="K47" s="31"/>
      <c r="L47" s="31"/>
      <c r="M47" s="78"/>
      <c r="N47" s="77"/>
      <c r="O47" s="104" t="s">
        <v>1516</v>
      </c>
      <c r="P47" s="31"/>
      <c r="Q47" s="105">
        <f>INDEX(LINEST(AL33:AL35,AK33:AK35,TRUE,TRUE),2,2)</f>
        <v>2.7771498459030943</v>
      </c>
      <c r="AF47" s="79" t="s">
        <v>834</v>
      </c>
      <c r="AG47" s="7"/>
      <c r="AH47">
        <f>IF($D$6=1,100*(EXP(I51+I53)-EXP(I51)),I53)</f>
        <v>0.38325711335622054</v>
      </c>
    </row>
    <row r="48" spans="5:51">
      <c r="G48" s="77" t="s">
        <v>1669</v>
      </c>
      <c r="H48" s="31"/>
      <c r="I48" s="31">
        <f>(I45-1)*(I46-(I47/(I45*I46)))</f>
        <v>16.939037890395461</v>
      </c>
      <c r="J48" s="31"/>
      <c r="K48" s="31"/>
      <c r="L48" s="31"/>
      <c r="M48" s="78"/>
      <c r="N48" s="77"/>
      <c r="O48" s="104" t="s">
        <v>1349</v>
      </c>
      <c r="P48" s="31"/>
      <c r="Q48" s="105">
        <f>ABS(Q46/Q47)</f>
        <v>0.68175200417011739</v>
      </c>
      <c r="AF48" s="79" t="s">
        <v>835</v>
      </c>
      <c r="AH48">
        <f>IF($D$6=1,100*(EXP(I51)-EXP(I51-I53)),I53)</f>
        <v>0.38325711335622054</v>
      </c>
    </row>
    <row r="49" spans="7:18">
      <c r="G49" s="77" t="s">
        <v>1685</v>
      </c>
      <c r="H49" s="31"/>
      <c r="I49" s="31">
        <f>IF(P40&gt;(I45-1),(P40-(I45-1))/I48,0)</f>
        <v>0</v>
      </c>
      <c r="J49" s="31"/>
      <c r="K49" s="31"/>
      <c r="L49" s="31"/>
      <c r="M49" s="78"/>
      <c r="N49" s="77"/>
      <c r="O49" s="106" t="s">
        <v>1515</v>
      </c>
      <c r="P49" s="107"/>
      <c r="Q49" s="108">
        <f>TDIST(Q48,I45-2,2)</f>
        <v>0.61906346135349977</v>
      </c>
    </row>
    <row r="50" spans="7:18">
      <c r="G50" s="77"/>
      <c r="H50" s="31"/>
      <c r="I50" s="31"/>
      <c r="J50" s="31"/>
      <c r="K50" s="31"/>
      <c r="L50" s="31"/>
      <c r="M50" s="78"/>
      <c r="N50" s="77"/>
    </row>
    <row r="51" spans="7:18">
      <c r="G51" s="77" t="s">
        <v>1686</v>
      </c>
      <c r="H51" s="31"/>
      <c r="I51" s="31">
        <f>W37/V37</f>
        <v>-3.351408104707209E-2</v>
      </c>
      <c r="J51" s="31"/>
      <c r="N51" s="77"/>
    </row>
    <row r="52" spans="7:18">
      <c r="G52" s="77" t="s">
        <v>504</v>
      </c>
      <c r="H52" s="31"/>
      <c r="I52" s="31">
        <f>1/V37</f>
        <v>3.8235634875609874E-2</v>
      </c>
      <c r="J52" s="31"/>
      <c r="N52" s="77"/>
      <c r="O52" t="s">
        <v>805</v>
      </c>
      <c r="R52">
        <v>1.96</v>
      </c>
    </row>
    <row r="53" spans="7:18">
      <c r="G53" s="80" t="s">
        <v>506</v>
      </c>
      <c r="H53" s="31"/>
      <c r="I53" s="31">
        <f>$R$52*SQRT(I52)</f>
        <v>0.38325711335622054</v>
      </c>
      <c r="J53" s="31"/>
      <c r="K53" s="31" t="s">
        <v>507</v>
      </c>
      <c r="L53" s="31"/>
      <c r="M53" s="78">
        <f>ABS(I51/(SQRT(I52)))</f>
        <v>0.17139303241374565</v>
      </c>
      <c r="N53" s="77"/>
    </row>
    <row r="54" spans="7:18">
      <c r="G54" s="81" t="s">
        <v>509</v>
      </c>
      <c r="H54" s="82"/>
      <c r="I54" s="82">
        <v>-3</v>
      </c>
      <c r="J54" s="82"/>
      <c r="K54" s="31" t="s">
        <v>825</v>
      </c>
      <c r="L54" s="31"/>
      <c r="M54" s="78">
        <f>2*(1-NORMDIST(M53,0,1,1))</f>
        <v>0.86391473304746125</v>
      </c>
      <c r="N54" s="77"/>
    </row>
    <row r="55" spans="7:18">
      <c r="G55" s="74"/>
      <c r="H55" s="74"/>
      <c r="I55" s="74"/>
      <c r="J55" s="74"/>
      <c r="K55" s="74"/>
      <c r="L55" s="74"/>
      <c r="M55" s="74"/>
      <c r="N55" s="31"/>
      <c r="O55" s="7"/>
    </row>
  </sheetData>
  <phoneticPr fontId="10" type="noConversion"/>
  <conditionalFormatting sqref="D17 D13 F13">
    <cfRule type="cellIs" dxfId="80" priority="0" stopIfTrue="1" operator="lessThan">
      <formula>0.05</formula>
    </cfRule>
  </conditionalFormatting>
  <conditionalFormatting sqref="D21">
    <cfRule type="cellIs" dxfId="7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sheetPr published="0" codeName="Sheet9" enableFormatConditionsCalculation="0"/>
  <dimension ref="A1:EJ8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383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I74-O67</f>
        <v>15</v>
      </c>
      <c r="AD7" s="89"/>
    </row>
    <row r="8" spans="2:30">
      <c r="B8" t="s">
        <v>822</v>
      </c>
      <c r="D8">
        <f>SUM(H24:H39)</f>
        <v>371</v>
      </c>
      <c r="AD8" s="89"/>
    </row>
    <row r="9" spans="2:30">
      <c r="B9" t="s">
        <v>823</v>
      </c>
      <c r="D9">
        <f>SUM(I24:I39)</f>
        <v>539</v>
      </c>
      <c r="AD9" s="89"/>
    </row>
    <row r="11" spans="2:30">
      <c r="B11" s="27" t="s">
        <v>516</v>
      </c>
      <c r="C11" s="28"/>
      <c r="D11" s="109">
        <f>P69</f>
        <v>24.604918339099584</v>
      </c>
      <c r="E11" s="110" t="s">
        <v>1513</v>
      </c>
      <c r="F11" s="103"/>
    </row>
    <row r="12" spans="2:30">
      <c r="B12" s="30" t="s">
        <v>826</v>
      </c>
      <c r="C12" s="31"/>
      <c r="D12" s="112">
        <f>P71</f>
        <v>39.03657881211678</v>
      </c>
      <c r="E12" s="31"/>
      <c r="F12" s="105"/>
    </row>
    <row r="13" spans="2:30">
      <c r="B13" s="35" t="s">
        <v>825</v>
      </c>
      <c r="C13" s="36"/>
      <c r="D13" s="113">
        <f>P70</f>
        <v>5.5507462336169697E-2</v>
      </c>
      <c r="E13" s="111" t="s">
        <v>825</v>
      </c>
      <c r="F13" s="115">
        <f>Q78</f>
        <v>0.15373787832499286</v>
      </c>
    </row>
    <row r="15" spans="2:30">
      <c r="B15" s="39" t="s">
        <v>879</v>
      </c>
      <c r="C15" s="40"/>
      <c r="D15" s="41">
        <f>AH71</f>
        <v>0.4077332261690394</v>
      </c>
      <c r="E15" s="116"/>
    </row>
    <row r="16" spans="2:30">
      <c r="B16" s="43" t="s">
        <v>1165</v>
      </c>
      <c r="C16" s="31"/>
      <c r="D16" s="33">
        <f>AH71-AH73</f>
        <v>0.26210499295088358</v>
      </c>
      <c r="E16" s="117">
        <f>AH71+AH72</f>
        <v>0.55336145938719516</v>
      </c>
    </row>
    <row r="17" spans="2:65">
      <c r="B17" s="45" t="s">
        <v>1166</v>
      </c>
      <c r="C17" s="46"/>
      <c r="D17" s="123">
        <f>M72</f>
        <v>4.0731057193710285E-8</v>
      </c>
      <c r="E17" s="118"/>
    </row>
    <row r="18" spans="2:65">
      <c r="D18" s="48"/>
      <c r="F18" s="49"/>
      <c r="BC18" s="4"/>
    </row>
    <row r="19" spans="2:65">
      <c r="B19" s="50" t="s">
        <v>1167</v>
      </c>
      <c r="C19" s="51"/>
      <c r="D19" s="52">
        <f>AH75</f>
        <v>0.43635842628460597</v>
      </c>
      <c r="E19" s="120"/>
      <c r="F19" s="33"/>
      <c r="G19" s="31"/>
    </row>
    <row r="20" spans="2:65">
      <c r="B20" s="53" t="s">
        <v>1165</v>
      </c>
      <c r="C20" s="31"/>
      <c r="D20" s="33">
        <f>AH75-AH77</f>
        <v>0.24055683504233358</v>
      </c>
      <c r="E20" s="121">
        <f>AH75+AH76</f>
        <v>0.63216001752687834</v>
      </c>
      <c r="F20" s="31"/>
      <c r="G20" s="31"/>
    </row>
    <row r="21" spans="2:65">
      <c r="B21" s="54" t="s">
        <v>1440</v>
      </c>
      <c r="C21" s="55"/>
      <c r="D21" s="144">
        <f>M83</f>
        <v>1.2538607925494105E-5</v>
      </c>
      <c r="E21" s="56"/>
      <c r="F21" s="119"/>
      <c r="G21" s="31"/>
      <c r="L21" s="4" t="s">
        <v>1511</v>
      </c>
      <c r="N21" s="4"/>
      <c r="O21" s="4"/>
      <c r="Q21" s="4" t="str">
        <f>IF(D6=1,F6,CONCATENATE(F6," with ",F5))</f>
        <v>Cohens Effect size with H Correction</v>
      </c>
    </row>
    <row r="22" spans="2: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2: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2:65">
      <c r="B24">
        <v>6574534</v>
      </c>
      <c r="C24" s="1" t="str">
        <f>IF($B24="","",HYPERLINK(IF(LEN(VLOOKUP($B24,Database!$B$1:$IX$10144,2,FALSE))=0,"",VLOOKUP($B24,Database!$B$1:$IX$10144,2,FALSE))))</f>
        <v/>
      </c>
      <c r="D24" s="1" t="str">
        <f t="shared" ref="D24:D40" si="0">IF($B24="","",HYPERLINK(CONCATENATE("http://www.ncbi.nlm.nih.gov/pubmed/",B24)))</f>
        <v>http://www.ncbi.nlm.nih.gov/pubmed/6574534</v>
      </c>
      <c r="E24" s="22" t="str">
        <f>IF($B24="","",IF(LEN(VLOOKUP($B24,Database!$B$1:$IX$10144,4,FALSE))=0,"",VLOOKUP($B24,Database!$B$1:$IX$10144,4,FALSE)))</f>
        <v>Scott ML</v>
      </c>
      <c r="F24" s="22">
        <f>IF($B24="","",IF(LEN(VLOOKUP($B24,Database!$B$1:$IX$10144,5,FALSE))=0,"",VLOOKUP($B24,Database!$B$1:$IX$10144,5,FALSE)))</f>
        <v>1983</v>
      </c>
      <c r="G24" s="1" t="str">
        <f>IF($B24="","",HYPERLINK(IF(LEN(VLOOKUP($B24,Database!$B$1:$IX$10144,6,FALSE))=0,"",VLOOKUP($B24,Database!$B$1:$IX$10144,6,FALSE))))</f>
        <v>http://dx.doi.org/10.1016/0165-1781(83)90095-1</v>
      </c>
      <c r="H24" s="22">
        <f>IF($B24="","",IF(LEN(VLOOKUP($B24,Database!$B$1:$IX$10144,7,FALSE))=0,"",VLOOKUP($B24,Database!$B$1:$IX$10144,7,FALSE)))</f>
        <v>10</v>
      </c>
      <c r="I24" s="22">
        <f>IF($B24="","",IF(LEN(VLOOKUP($B24,Database!$B$1:$IX$10144,8,FALSE))=0,"",VLOOKUP($B24,Database!$B$1:$IX$10144,8,FALSE)))</f>
        <v>10</v>
      </c>
      <c r="J24" t="s">
        <v>1487</v>
      </c>
      <c r="T24">
        <v>9.4499999999999993</v>
      </c>
      <c r="U24">
        <v>3.41</v>
      </c>
      <c r="V24">
        <v>4.16</v>
      </c>
      <c r="W24">
        <v>2.91</v>
      </c>
      <c r="Y24" s="22" t="str">
        <f>IF(OR($B24="",Y$22=""),"",IF(LEN(VLOOKUP($B24,Database!$B$1:$IX$10144,Y$22,FALSE))=0,"",VLOOKUP($B24,Database!$B$1:$IX$10144,Y$22,FALSE)))</f>
        <v>DSM-III</v>
      </c>
      <c r="Z24" s="22" t="str">
        <f>IF(OR($B24="",Z$22=""),"",IF(LEN(VLOOKUP($B24,Database!$B$1:$IX$10144,Z$22,FALSE))=0,"",VLOOKUP($B24,Database!$B$1:$IX$10144,Z$22,FALSE)))</f>
        <v>CT</v>
      </c>
      <c r="AA24" s="22" t="str">
        <f>IF(OR($B24="",AA$22=""),"",IF(LEN(VLOOKUP($B24,Database!$B$1:$IX$10144,AA$22,FALSE))=0,"",VLOOKUP($B24,Database!$B$1:$IX$10144,AA$22,FALSE)))</f>
        <v/>
      </c>
      <c r="AB24" s="22">
        <f>IF(OR($B24="",AB$22=""),"",IF(LEN(VLOOKUP($B24,Database!$B$1:$IX$10144,AB$22,FALSE))=0,"",VLOOKUP($B24,Database!$B$1:$IX$10144,AB$22,FALSE)))</f>
        <v>39.15</v>
      </c>
      <c r="AC24" s="22">
        <f>IF(OR($B24="",AC$22=""),"",IF(LEN(VLOOKUP($B24,Database!$B$1:$IX$10144,AC$22,FALSE))=0,"",VLOOKUP($B24,Database!$B$1:$IX$10144,AC$22,FALSE)))</f>
        <v>11.35</v>
      </c>
      <c r="AD24" s="22">
        <f>IF(OR($B24="",AD$22=""),"",IF(LEN(VLOOKUP($B24,Database!$B$1:$IX$10144,AD$22,FALSE))=0,"",VLOOKUP($B24,Database!$B$1:$IX$10144,AD$22,FALSE)))</f>
        <v>39.9</v>
      </c>
      <c r="AE24" s="22">
        <f>IF(OR($B24="",AE$22=""),"",IF(LEN(VLOOKUP($B24,Database!$B$1:$IX$10144,AE$22,FALSE))=0,"",VLOOKUP($B24,Database!$B$1:$IX$10144,AE$22,FALSE)))</f>
        <v>11.11</v>
      </c>
      <c r="AF24" s="22" t="str">
        <f>IF(OR($B24="",AF$22=""),"",IF(LEN(VLOOKUP($B24,Database!$B$1:$IX$10144,AF$22,FALSE))=0,"",VLOOKUP($B24,Database!$B$1:$IX$10144,AF$22,FALSE)))</f>
        <v>ns</v>
      </c>
      <c r="AG24" s="22" t="str">
        <f>IF(OR($B24="",AG$22=""),"",IF(LEN(VLOOKUP($B24,Database!$B$1:$IX$10144,AG$22,FALSE))=0,"",VLOOKUP($B24,Database!$B$1:$IX$10144,AG$22,FALSE)))</f>
        <v>ns</v>
      </c>
      <c r="AH24" s="22" t="str">
        <f>IF(OR($B24="",AH$22=""),"",IF(LEN(VLOOKUP($B24,Database!$B$1:$IX$10144,AH$22,FALSE))=0,"",VLOOKUP($B24,Database!$B$1:$IX$10144,AH$22,FALSE)))</f>
        <v/>
      </c>
      <c r="AI24" s="22" t="str">
        <f>IF(OR($B24="",AI$22=""),"",IF(LEN(VLOOKUP($B24,Database!$B$1:$IX$10144,AI$22,FALSE))=0,"",VLOOKUP($B24,Database!$B$1:$IX$10144,AI$22,FALSE)))</f>
        <v>ns</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Scott ML, Golden CJ, Ruedrich SL, Bishop RJ.</v>
      </c>
      <c r="AR24" s="13"/>
      <c r="BC24" s="23"/>
      <c r="BF24" s="136"/>
      <c r="BG24" s="136"/>
      <c r="BH24" s="136"/>
      <c r="BI24" s="136"/>
    </row>
    <row r="25" spans="2:65">
      <c r="B25">
        <v>3381925</v>
      </c>
      <c r="C25" s="1" t="str">
        <f>IF($B25="","",HYPERLINK(IF(LEN(VLOOKUP($B25,Database!$B$1:$IX$10144,2,FALSE))=0,"",VLOOKUP($B25,Database!$B$1:$IX$10144,2,FALSE))))</f>
        <v/>
      </c>
      <c r="D25" s="1" t="str">
        <f t="shared" si="0"/>
        <v>http://www.ncbi.nlm.nih.gov/pubmed/3381925</v>
      </c>
      <c r="E25" s="22" t="str">
        <f>IF($B25="","",IF(LEN(VLOOKUP($B25,Database!$B$1:$IX$10144,4,FALSE))=0,"",VLOOKUP($B25,Database!$B$1:$IX$10144,4,FALSE)))</f>
        <v>Iacono WG</v>
      </c>
      <c r="F25" s="22">
        <f>IF($B25="","",IF(LEN(VLOOKUP($B25,Database!$B$1:$IX$10144,5,FALSE))=0,"",VLOOKUP($B25,Database!$B$1:$IX$10144,5,FALSE)))</f>
        <v>1988</v>
      </c>
      <c r="G25" s="1" t="str">
        <f>IF($B25="","",HYPERLINK(IF(LEN(VLOOKUP($B25,Database!$B$1:$IX$10144,6,FALSE))=0,"",VLOOKUP($B25,Database!$B$1:$IX$10144,6,FALSE))))</f>
        <v>http://ajp.psychiatryonline.org/cgi/reprint/145/7/820</v>
      </c>
      <c r="H25" s="22">
        <f>IF($B25="","",IF(LEN(VLOOKUP($B25,Database!$B$1:$IX$10144,7,FALSE))=0,"",VLOOKUP($B25,Database!$B$1:$IX$10144,7,FALSE)))</f>
        <v>16</v>
      </c>
      <c r="I25" s="22">
        <f>IF($B25="","",IF(LEN(VLOOKUP($B25,Database!$B$1:$IX$10144,8,FALSE))=0,"",VLOOKUP($B25,Database!$B$1:$IX$10144,8,FALSE)))</f>
        <v>44</v>
      </c>
      <c r="J25" t="s">
        <v>1488</v>
      </c>
      <c r="T25">
        <v>6.36</v>
      </c>
      <c r="U25">
        <v>2.96</v>
      </c>
      <c r="V25">
        <v>6.39</v>
      </c>
      <c r="W25">
        <v>2.76</v>
      </c>
      <c r="Y25" s="22" t="str">
        <f>IF(OR($B25="",Y$22=""),"",IF(LEN(VLOOKUP($B25,Database!$B$1:$IX$10144,Y$22,FALSE))=0,"",VLOOKUP($B25,Database!$B$1:$IX$10144,Y$22,FALSE)))</f>
        <v>DSM-III</v>
      </c>
      <c r="Z25" s="22" t="str">
        <f>IF(OR($B25="",Z$22=""),"",IF(LEN(VLOOKUP($B25,Database!$B$1:$IX$10144,Z$22,FALSE))=0,"",VLOOKUP($B25,Database!$B$1:$IX$10144,Z$22,FALSE)))</f>
        <v>CT</v>
      </c>
      <c r="AA25" s="22" t="str">
        <f>IF(OR($B25="",AA$22=""),"",IF(LEN(VLOOKUP($B25,Database!$B$1:$IX$10144,AA$22,FALSE))=0,"",VLOOKUP($B25,Database!$B$1:$IX$10144,AA$22,FALSE)))</f>
        <v/>
      </c>
      <c r="AB25" s="22">
        <f>IF(OR($B25="",AB$22=""),"",IF(LEN(VLOOKUP($B25,Database!$B$1:$IX$10144,AB$22,FALSE))=0,"",VLOOKUP($B25,Database!$B$1:$IX$10144,AB$22,FALSE)))</f>
        <v>22.6</v>
      </c>
      <c r="AC25" s="22">
        <f>IF(OR($B25="",AC$22=""),"",IF(LEN(VLOOKUP($B25,Database!$B$1:$IX$10144,AC$22,FALSE))=0,"",VLOOKUP($B25,Database!$B$1:$IX$10144,AC$22,FALSE)))</f>
        <v>4</v>
      </c>
      <c r="AD25" s="22">
        <f>IF(OR($B25="",AD$22=""),"",IF(LEN(VLOOKUP($B25,Database!$B$1:$IX$10144,AD$22,FALSE))=0,"",VLOOKUP($B25,Database!$B$1:$IX$10144,AD$22,FALSE)))</f>
        <v>23.2</v>
      </c>
      <c r="AE25" s="22">
        <f>IF(OR($B25="",AE$22=""),"",IF(LEN(VLOOKUP($B25,Database!$B$1:$IX$10144,AE$22,FALSE))=0,"",VLOOKUP($B25,Database!$B$1:$IX$10144,AE$22,FALSE)))</f>
        <v>5.6</v>
      </c>
      <c r="AF25" s="22">
        <f>IF(OR($B25="",AF$22=""),"",IF(LEN(VLOOKUP($B25,Database!$B$1:$IX$10144,AF$22,FALSE))=0,"",VLOOKUP($B25,Database!$B$1:$IX$10144,AF$22,FALSE)))</f>
        <v>5</v>
      </c>
      <c r="AG25" s="22">
        <f>IF(OR($B25="",AG$22=""),"",IF(LEN(VLOOKUP($B25,Database!$B$1:$IX$10144,AG$22,FALSE))=0,"",VLOOKUP($B25,Database!$B$1:$IX$10144,AG$22,FALSE)))</f>
        <v>15</v>
      </c>
      <c r="AH25" s="22" t="str">
        <f>IF(OR($B25="",AH$22=""),"",IF(LEN(VLOOKUP($B25,Database!$B$1:$IX$10144,AH$22,FALSE))=0,"",VLOOKUP($B25,Database!$B$1:$IX$10144,AH$22,FALSE)))</f>
        <v/>
      </c>
      <c r="AI25" s="22">
        <f>IF(OR($B25="",AI$22=""),"",IF(LEN(VLOOKUP($B25,Database!$B$1:$IX$10144,AI$22,FALSE))=0,"",VLOOKUP($B25,Database!$B$1:$IX$10144,AI$22,FALSE)))</f>
        <v>8</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Iacono WG, Smith GN, Moreau M, Beiser M, Fleming JA, Lin TY, Flak B.</v>
      </c>
      <c r="AR25" s="13"/>
      <c r="BC25" s="23"/>
      <c r="BF25" s="136"/>
      <c r="BG25" s="136"/>
      <c r="BH25" s="136"/>
      <c r="BI25" s="136"/>
    </row>
    <row r="26" spans="2:65">
      <c r="B26">
        <v>2798631</v>
      </c>
      <c r="C26" s="1" t="str">
        <f>IF($B26="","",HYPERLINK(IF(LEN(VLOOKUP($B26,Database!$B$1:$IX$10144,2,FALSE))=0,"",VLOOKUP($B26,Database!$B$1:$IX$10144,2,FALSE))))</f>
        <v/>
      </c>
      <c r="D26" s="1" t="str">
        <f>IF($B26="","",HYPERLINK(CONCATENATE("http://www.ncbi.nlm.nih.gov/pubmed/",B26)))</f>
        <v>http://www.ncbi.nlm.nih.gov/pubmed/2798631</v>
      </c>
      <c r="E26" s="22" t="str">
        <f>IF($B26="","",IF(LEN(VLOOKUP($B26,Database!$B$1:$IX$10144,4,FALSE))=0,"",VLOOKUP($B26,Database!$B$1:$IX$10144,4,FALSE)))</f>
        <v>Pearlson GD</v>
      </c>
      <c r="F26" s="22">
        <f>IF($B26="","",IF(LEN(VLOOKUP($B26,Database!$B$1:$IX$10144,5,FALSE))=0,"",VLOOKUP($B26,Database!$B$1:$IX$10144,5,FALSE)))</f>
        <v>1989</v>
      </c>
      <c r="G26" s="1" t="str">
        <f>IF($B26="","",HYPERLINK(IF(LEN(VLOOKUP($B26,Database!$B$1:$IX$10144,6,FALSE))=0,"",VLOOKUP($B26,Database!$B$1:$IX$10144,6,FALSE))))</f>
        <v>http://dx.doi.org/10.1017/S003329170002417X</v>
      </c>
      <c r="H26" s="22">
        <f>IF($B26="","",IF(LEN(VLOOKUP($B26,Database!$B$1:$IX$10144,7,FALSE))=0,"",VLOOKUP($B26,Database!$B$1:$IX$10144,7,FALSE)))</f>
        <v>11</v>
      </c>
      <c r="I26" s="22">
        <f>IF($B26="","",IF(LEN(VLOOKUP($B26,Database!$B$1:$IX$10144,8,FALSE))=0,"",VLOOKUP($B26,Database!$B$1:$IX$10144,8,FALSE)))</f>
        <v>31</v>
      </c>
      <c r="J26" t="s">
        <v>721</v>
      </c>
      <c r="T26">
        <v>11</v>
      </c>
      <c r="U26">
        <v>4.3099999999999996</v>
      </c>
      <c r="V26">
        <v>8.6</v>
      </c>
      <c r="W26">
        <v>2.78</v>
      </c>
      <c r="X26" s="151"/>
      <c r="Y26" s="22" t="str">
        <f>IF(OR($B26="",Y$22=""),"",IF(LEN(VLOOKUP($B26,Database!$B$1:$IX$10144,Y$22,FALSE))=0,"",VLOOKUP($B26,Database!$B$1:$IX$10144,Y$22,FALSE)))</f>
        <v>DSM-III</v>
      </c>
      <c r="Z26" s="22" t="str">
        <f>IF(OR($B26="",Z$22=""),"",IF(LEN(VLOOKUP($B26,Database!$B$1:$IX$10144,Z$22,FALSE))=0,"",VLOOKUP($B26,Database!$B$1:$IX$10144,Z$22,FALSE)))</f>
        <v>CT</v>
      </c>
      <c r="AA26" s="22" t="str">
        <f>IF(OR($B26="",AA$22=""),"",IF(LEN(VLOOKUP($B26,Database!$B$1:$IX$10144,AA$22,FALSE))=0,"",VLOOKUP($B26,Database!$B$1:$IX$10144,AA$22,FALSE)))</f>
        <v/>
      </c>
      <c r="AB26" s="22">
        <f>IF(OR($B26="",AB$22=""),"",IF(LEN(VLOOKUP($B26,Database!$B$1:$IX$10144,AB$22,FALSE))=0,"",VLOOKUP($B26,Database!$B$1:$IX$10144,AB$22,FALSE)))</f>
        <v>70</v>
      </c>
      <c r="AC26" s="22">
        <f>IF(OR($B26="",AC$22=""),"",IF(LEN(VLOOKUP($B26,Database!$B$1:$IX$10144,AC$22,FALSE))=0,"",VLOOKUP($B26,Database!$B$1:$IX$10144,AC$22,FALSE)))</f>
        <v>6.96</v>
      </c>
      <c r="AD26" s="22">
        <f>IF(OR($B26="",AD$22=""),"",IF(LEN(VLOOKUP($B26,Database!$B$1:$IX$10144,AD$22,FALSE))=0,"",VLOOKUP($B26,Database!$B$1:$IX$10144,AD$22,FALSE)))</f>
        <v>68.3</v>
      </c>
      <c r="AE26" s="22">
        <f>IF(OR($B26="",AE$22=""),"",IF(LEN(VLOOKUP($B26,Database!$B$1:$IX$10144,AE$22,FALSE))=0,"",VLOOKUP($B26,Database!$B$1:$IX$10144,AE$22,FALSE)))</f>
        <v>6.68</v>
      </c>
      <c r="AF26" s="22">
        <f>IF(OR($B26="",AF$22=""),"",IF(LEN(VLOOKUP($B26,Database!$B$1:$IX$10144,AF$22,FALSE))=0,"",VLOOKUP($B26,Database!$B$1:$IX$10144,AF$22,FALSE)))</f>
        <v>6</v>
      </c>
      <c r="AG26" s="22">
        <f>IF(OR($B26="",AG$22=""),"",IF(LEN(VLOOKUP($B26,Database!$B$1:$IX$10144,AG$22,FALSE))=0,"",VLOOKUP($B26,Database!$B$1:$IX$10144,AG$22,FALSE)))</f>
        <v>16</v>
      </c>
      <c r="AH26" s="22" t="str">
        <f>IF(OR($B26="",AH$22=""),"",IF(LEN(VLOOKUP($B26,Database!$B$1:$IX$10144,AH$22,FALSE))=0,"",VLOOKUP($B26,Database!$B$1:$IX$10144,AH$22,FALSE)))</f>
        <v/>
      </c>
      <c r="AI26" s="22">
        <f>IF(OR($B26="",AI$22=""),"",IF(LEN(VLOOKUP($B26,Database!$B$1:$IX$10144,AI$22,FALSE))=0,"",VLOOKUP($B26,Database!$B$1:$IX$10144,AI$22,FALSE)))</f>
        <v>8</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12.5</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Pearlson GD, Rabins PV, Kim WS, Speedie LJ, Moberg PJ, Burns A, Bascom MJ.</v>
      </c>
      <c r="AR26" s="13"/>
      <c r="BC26" s="23"/>
      <c r="BF26" s="136"/>
      <c r="BG26" s="136"/>
      <c r="BH26" s="136"/>
      <c r="BI26" s="136"/>
    </row>
    <row r="27" spans="2:65">
      <c r="B27">
        <v>2356874</v>
      </c>
      <c r="C27" s="1" t="str">
        <f>IF($B27="","",HYPERLINK(IF(LEN(VLOOKUP($B27,Database!$B$1:$IX$10144,2,FALSE))=0,"",VLOOKUP($B27,Database!$B$1:$IX$10144,2,FALSE))))</f>
        <v/>
      </c>
      <c r="D27" s="1" t="str">
        <f t="shared" si="0"/>
        <v>http://www.ncbi.nlm.nih.gov/pubmed/2356874</v>
      </c>
      <c r="E27" s="22" t="str">
        <f>IF($B27="","",IF(LEN(VLOOKUP($B27,Database!$B$1:$IX$10144,4,FALSE))=0,"",VLOOKUP($B27,Database!$B$1:$IX$10144,4,FALSE)))</f>
        <v>Andreasen NC</v>
      </c>
      <c r="F27" s="22">
        <f>IF($B27="","",IF(LEN(VLOOKUP($B27,Database!$B$1:$IX$10144,5,FALSE))=0,"",VLOOKUP($B27,Database!$B$1:$IX$10144,5,FALSE)))</f>
        <v>1990</v>
      </c>
      <c r="G27" s="1" t="str">
        <f>IF($B27="","",HYPERLINK(IF(LEN(VLOOKUP($B27,Database!$B$1:$IX$10144,6,FALSE))=0,"",VLOOKUP($B27,Database!$B$1:$IX$10144,6,FALSE))))</f>
        <v>http://ajp.psychiatryonline.org/cgi/reprint/147/7/893</v>
      </c>
      <c r="H27" s="83">
        <v>26</v>
      </c>
      <c r="I27" s="22">
        <f>IF($B27="","",IF(LEN(VLOOKUP($B27,Database!$B$1:$IX$10144,8,FALSE))=0,"",VLOOKUP($B27,Database!$B$1:$IX$10144,8,FALSE)))</f>
        <v>75</v>
      </c>
      <c r="J27" t="s">
        <v>1489</v>
      </c>
      <c r="T27">
        <v>6.22</v>
      </c>
      <c r="U27">
        <v>3.17</v>
      </c>
      <c r="V27">
        <v>5.75</v>
      </c>
      <c r="W27">
        <v>2.5099999999999998</v>
      </c>
      <c r="Y27" s="22" t="str">
        <f>IF(OR($B27="",Y$22=""),"",IF(LEN(VLOOKUP($B27,Database!$B$1:$IX$10144,Y$22,FALSE))=0,"",VLOOKUP($B27,Database!$B$1:$IX$10144,Y$22,FALSE)))</f>
        <v>DSM-III</v>
      </c>
      <c r="Z27" s="22" t="str">
        <f>IF(OR($B27="",Z$22=""),"",IF(LEN(VLOOKUP($B27,Database!$B$1:$IX$10144,Z$22,FALSE))=0,"",VLOOKUP($B27,Database!$B$1:$IX$10144,Z$22,FALSE)))</f>
        <v>CT</v>
      </c>
      <c r="AA27" s="22" t="str">
        <f>IF(OR($B27="",AA$22=""),"",IF(LEN(VLOOKUP($B27,Database!$B$1:$IX$10144,AA$22,FALSE))=0,"",VLOOKUP($B27,Database!$B$1:$IX$10144,AA$22,FALSE)))</f>
        <v/>
      </c>
      <c r="AB27" s="22">
        <f>IF(OR($B27="",AB$22=""),"",IF(LEN(VLOOKUP($B27,Database!$B$1:$IX$10144,AB$22,FALSE))=0,"",VLOOKUP($B27,Database!$B$1:$IX$10144,AB$22,FALSE)))</f>
        <v>37.26</v>
      </c>
      <c r="AC27" s="22">
        <f>IF(OR($B27="",AC$22=""),"",IF(LEN(VLOOKUP($B27,Database!$B$1:$IX$10144,AC$22,FALSE))=0,"",VLOOKUP($B27,Database!$B$1:$IX$10144,AC$22,FALSE)))</f>
        <v>13.27</v>
      </c>
      <c r="AD27" s="22">
        <f>IF(OR($B27="",AD$22=""),"",IF(LEN(VLOOKUP($B27,Database!$B$1:$IX$10144,AD$22,FALSE))=0,"",VLOOKUP($B27,Database!$B$1:$IX$10144,AD$22,FALSE)))</f>
        <v>34.89</v>
      </c>
      <c r="AE27" s="22">
        <f>IF(OR($B27="",AE$22=""),"",IF(LEN(VLOOKUP($B27,Database!$B$1:$IX$10144,AE$22,FALSE))=0,"",VLOOKUP($B27,Database!$B$1:$IX$10144,AE$22,FALSE)))</f>
        <v>13.67</v>
      </c>
      <c r="AF27" s="22">
        <f>IF(OR($B27="",AF$22=""),"",IF(LEN(VLOOKUP($B27,Database!$B$1:$IX$10144,AF$22,FALSE))=0,"",VLOOKUP($B27,Database!$B$1:$IX$10144,AF$22,FALSE)))</f>
        <v>15</v>
      </c>
      <c r="AG27" s="22">
        <f>IF(OR($B27="",AG$22=""),"",IF(LEN(VLOOKUP($B27,Database!$B$1:$IX$10144,AG$22,FALSE))=0,"",VLOOKUP($B27,Database!$B$1:$IX$10144,AG$22,FALSE)))</f>
        <v>39</v>
      </c>
      <c r="AH27" s="22" t="str">
        <f>IF(OR($B27="",AH$22=""),"",IF(LEN(VLOOKUP($B27,Database!$B$1:$IX$10144,AH$22,FALSE))=0,"",VLOOKUP($B27,Database!$B$1:$IX$10144,AH$22,FALSE)))</f>
        <v/>
      </c>
      <c r="AI27" s="22">
        <f>IF(OR($B27="",AI$22=""),"",IF(LEN(VLOOKUP($B27,Database!$B$1:$IX$10144,AI$22,FALSE))=0,"",VLOOKUP($B27,Database!$B$1:$IX$10144,AI$22,FALSE)))</f>
        <v>8</v>
      </c>
      <c r="AJ27" s="22" t="str">
        <f>IF(OR($B27="",AJ$22=""),"",IF(LEN(VLOOKUP($B27,Database!$B$1:$IX$10144,AJ$22,FALSE))=0,"",VLOOKUP($B27,Database!$B$1:$IX$10144,AJ$22,FALSE)))</f>
        <v/>
      </c>
      <c r="AK27" s="22">
        <f>IF(OR($B27="",AK$22=""),"",IF(LEN(VLOOKUP($B27,Database!$B$1:$IX$10144,AK$22,FALSE))=0,"",VLOOKUP($B27,Database!$B$1:$IX$10144,AK$22,FALSE)))</f>
        <v>24.85</v>
      </c>
      <c r="AL27" s="22" t="str">
        <f>IF(OR($B27="",AL$22=""),"",IF(LEN(VLOOKUP($B27,Database!$B$1:$IX$10144,AL$22,FALSE))=0,"",VLOOKUP($B27,Database!$B$1:$IX$10144,AL$22,FALSE)))</f>
        <v>ns</v>
      </c>
      <c r="AM27" s="22">
        <f>IF(OR($B27="",AM$22=""),"",IF(LEN(VLOOKUP($B27,Database!$B$1:$IX$10144,AM$22,FALSE))=0,"",VLOOKUP($B27,Database!$B$1:$IX$10144,AM$22,FALSE)))</f>
        <v>77.777777777777786</v>
      </c>
      <c r="AN27" s="22">
        <f>IF(OR($B27="",AN$22=""),"",IF(LEN(VLOOKUP($B27,Database!$B$1:$IX$10144,AN$22,FALSE))=0,"",VLOOKUP($B27,Database!$B$1:$IX$10144,AN$22,FALSE)))</f>
        <v>51.851851851851848</v>
      </c>
      <c r="AO27" s="22">
        <f>IF(OR($B27="",AO$22=""),"",IF(LEN(VLOOKUP($B27,Database!$B$1:$IX$10144,AO$22,FALSE))=0,"",VLOOKUP($B27,Database!$B$1:$IX$10144,AO$22,FALSE)))</f>
        <v>66.666666666666657</v>
      </c>
      <c r="AP27" s="22" t="str">
        <f>IF(OR($B27="",AP$22=""),"",IF(LEN(VLOOKUP($B27,Database!$B$1:$IX$10144,AP$22,FALSE))=0,"",VLOOKUP($B27,Database!$B$1:$IX$10144,AP$22,FALSE)))</f>
        <v>ns</v>
      </c>
      <c r="AQ27" s="22" t="str">
        <f>IF(OR($B27="",AQ$22=""),"",IF(LEN(VLOOKUP($B27,Database!$B$1:$IX$10144,AQ$22,FALSE))=0,"",VLOOKUP($B27,Database!$B$1:$IX$10144,AQ$22,FALSE)))</f>
        <v>Andreasen NC, Swayze V 2nd, Flaum M, Alliger R, Cohen G.</v>
      </c>
      <c r="AR27" s="13"/>
      <c r="BC27" s="23"/>
      <c r="BF27" s="136"/>
      <c r="BG27" s="136"/>
      <c r="BH27" s="136"/>
      <c r="BI27" s="136"/>
    </row>
    <row r="28" spans="2:65">
      <c r="B28">
        <v>2320698</v>
      </c>
      <c r="C28" s="1" t="str">
        <f>IF($B28="","",HYPERLINK(IF(LEN(VLOOKUP($B28,Database!$B$1:$IX$10144,2,FALSE))=0,"",VLOOKUP($B28,Database!$B$1:$IX$10144,2,FALSE))))</f>
        <v/>
      </c>
      <c r="D28" s="1" t="str">
        <f>IF($B28="","",HYPERLINK(CONCATENATE("http://www.ncbi.nlm.nih.gov/pubmed/",B28)))</f>
        <v>http://www.ncbi.nlm.nih.gov/pubmed/2320698</v>
      </c>
      <c r="E28" s="22" t="str">
        <f>IF($B28="","",IF(LEN(VLOOKUP($B28,Database!$B$1:$IX$10144,4,FALSE))=0,"",VLOOKUP($B28,Database!$B$1:$IX$10144,4,FALSE)))</f>
        <v>Harvey I</v>
      </c>
      <c r="F28" s="22">
        <f>IF($B28="","",IF(LEN(VLOOKUP($B28,Database!$B$1:$IX$10144,5,FALSE))=0,"",VLOOKUP($B28,Database!$B$1:$IX$10144,5,FALSE)))</f>
        <v>1990</v>
      </c>
      <c r="G28" s="1" t="str">
        <f>IF($B28="","",HYPERLINK(IF(LEN(VLOOKUP($B28,Database!$B$1:$IX$10144,6,FALSE))=0,"",VLOOKUP($B28,Database!$B$1:$IX$10144,6,FALSE))))</f>
        <v>http://dx.doi.org/10.1017/S0033291700013222</v>
      </c>
      <c r="H28" s="22">
        <f>IF($B28="","",IF(LEN(VLOOKUP($B28,Database!$B$1:$IX$10144,7,FALSE))=0,"",VLOOKUP($B28,Database!$B$1:$IX$10144,7,FALSE)))</f>
        <v>5</v>
      </c>
      <c r="I28" s="22">
        <f>IF($B28="","",IF(LEN(VLOOKUP($B28,Database!$B$1:$IX$10144,8,FALSE))=0,"",VLOOKUP($B28,Database!$B$1:$IX$10144,8,FALSE)))</f>
        <v>50</v>
      </c>
      <c r="J28" t="s">
        <v>1828</v>
      </c>
      <c r="T28">
        <v>4.4800000000000004</v>
      </c>
      <c r="U28">
        <v>5.6</v>
      </c>
      <c r="V28">
        <v>4.68</v>
      </c>
      <c r="W28">
        <v>2.7</v>
      </c>
      <c r="Y28" s="22" t="str">
        <f>IF(OR($B28="",Y$22=""),"",IF(LEN(VLOOKUP($B28,Database!$B$1:$IX$10144,Y$22,FALSE))=0,"",VLOOKUP($B28,Database!$B$1:$IX$10144,Y$22,FALSE)))</f>
        <v>RDC</v>
      </c>
      <c r="Z28" s="22" t="str">
        <f>IF(OR($B28="",Z$22=""),"",IF(LEN(VLOOKUP($B28,Database!$B$1:$IX$10144,Z$22,FALSE))=0,"",VLOOKUP($B28,Database!$B$1:$IX$10144,Z$22,FALSE)))</f>
        <v>CT</v>
      </c>
      <c r="AA28" s="22" t="str">
        <f>IF(OR($B28="",AA$22=""),"",IF(LEN(VLOOKUP($B28,Database!$B$1:$IX$10144,AA$22,FALSE))=0,"",VLOOKUP($B28,Database!$B$1:$IX$10144,AA$22,FALSE)))</f>
        <v/>
      </c>
      <c r="AB28" s="22" t="str">
        <f>IF(OR($B28="",AB$22=""),"",IF(LEN(VLOOKUP($B28,Database!$B$1:$IX$10144,AB$22,FALSE))=0,"",VLOOKUP($B28,Database!$B$1:$IX$10144,AB$22,FALSE)))</f>
        <v>ns</v>
      </c>
      <c r="AC28" s="22" t="str">
        <f>IF(OR($B28="",AC$22=""),"",IF(LEN(VLOOKUP($B28,Database!$B$1:$IX$10144,AC$22,FALSE))=0,"",VLOOKUP($B28,Database!$B$1:$IX$10144,AC$22,FALSE)))</f>
        <v>ns</v>
      </c>
      <c r="AD28" s="22">
        <f>IF(OR($B28="",AD$22=""),"",IF(LEN(VLOOKUP($B28,Database!$B$1:$IX$10144,AD$22,FALSE))=0,"",VLOOKUP($B28,Database!$B$1:$IX$10144,AD$22,FALSE)))</f>
        <v>31</v>
      </c>
      <c r="AE28" s="22" t="str">
        <f>IF(OR($B28="",AE$22=""),"",IF(LEN(VLOOKUP($B28,Database!$B$1:$IX$10144,AE$22,FALSE))=0,"",VLOOKUP($B28,Database!$B$1:$IX$10144,AE$22,FALSE)))</f>
        <v>ns</v>
      </c>
      <c r="AF28" s="22" t="str">
        <f>IF(OR($B28="",AF$22=""),"",IF(LEN(VLOOKUP($B28,Database!$B$1:$IX$10144,AF$22,FALSE))=0,"",VLOOKUP($B28,Database!$B$1:$IX$10144,AF$22,FALSE)))</f>
        <v>ns</v>
      </c>
      <c r="AG28" s="22" t="str">
        <f>IF(OR($B28="",AG$22=""),"",IF(LEN(VLOOKUP($B28,Database!$B$1:$IX$10144,AG$22,FALSE))=0,"",VLOOKUP($B28,Database!$B$1:$IX$10144,AG$22,FALSE)))</f>
        <v>ns</v>
      </c>
      <c r="AH28" s="22" t="str">
        <f>IF(OR($B28="",AH$22=""),"",IF(LEN(VLOOKUP($B28,Database!$B$1:$IX$10144,AH$22,FALSE))=0,"",VLOOKUP($B28,Database!$B$1:$IX$10144,AH$22,FALSE)))</f>
        <v/>
      </c>
      <c r="AI28" s="22">
        <f>IF(OR($B28="",AI$22=""),"",IF(LEN(VLOOKUP($B28,Database!$B$1:$IX$10144,AI$22,FALSE))=0,"",VLOOKUP($B28,Database!$B$1:$IX$10144,AI$22,FALSE)))</f>
        <v>10</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Harvey I, Williams M, Toone BK, Lewis SW, Turner SW, McGuffin P.</v>
      </c>
      <c r="AR28" s="13"/>
      <c r="BC28" s="23"/>
      <c r="BF28" s="136"/>
      <c r="BG28" s="136"/>
      <c r="BH28" s="136"/>
      <c r="BI28" s="136"/>
    </row>
    <row r="29" spans="2:65">
      <c r="B29">
        <v>1715677</v>
      </c>
      <c r="C29" s="1" t="str">
        <f>IF($B29="","",HYPERLINK(IF(LEN(VLOOKUP($B29,Database!$B$1:$IX$10144,2,FALSE))=0,"",VLOOKUP($B29,Database!$B$1:$IX$10144,2,FALSE))))</f>
        <v/>
      </c>
      <c r="D29" s="1" t="str">
        <f t="shared" si="0"/>
        <v>http://www.ncbi.nlm.nih.gov/pubmed/1715677</v>
      </c>
      <c r="E29" s="22" t="str">
        <f>IF($B29="","",IF(LEN(VLOOKUP($B29,Database!$B$1:$IX$10144,4,FALSE))=0,"",VLOOKUP($B29,Database!$B$1:$IX$10144,4,FALSE)))</f>
        <v>Lewine RR</v>
      </c>
      <c r="F29" s="22">
        <f>IF($B29="","",IF(LEN(VLOOKUP($B29,Database!$B$1:$IX$10144,5,FALSE))=0,"",VLOOKUP($B29,Database!$B$1:$IX$10144,5,FALSE)))</f>
        <v>1991</v>
      </c>
      <c r="G29" s="1" t="str">
        <f>IF($B29="","",HYPERLINK(IF(LEN(VLOOKUP($B29,Database!$B$1:$IX$10144,6,FALSE))=0,"",VLOOKUP($B29,Database!$B$1:$IX$10144,6,FALSE))))</f>
        <v>http://neuro.psychiatryonline.org/cgi/reprint/3/1/33</v>
      </c>
      <c r="H29" s="22">
        <f>IF($B29="","",IF(LEN(VLOOKUP($B29,Database!$B$1:$IX$10144,7,FALSE))=0,"",VLOOKUP($B29,Database!$B$1:$IX$10144,7,FALSE)))</f>
        <v>12</v>
      </c>
      <c r="I29" s="22">
        <f>IF($B29="","",IF(LEN(VLOOKUP($B29,Database!$B$1:$IX$10144,8,FALSE))=0,"",VLOOKUP($B29,Database!$B$1:$IX$10144,8,FALSE)))</f>
        <v>68</v>
      </c>
      <c r="J29" t="s">
        <v>1828</v>
      </c>
      <c r="T29">
        <v>8.9</v>
      </c>
      <c r="U29">
        <v>2.9</v>
      </c>
      <c r="V29">
        <v>8.8000000000000007</v>
      </c>
      <c r="W29">
        <v>1.9</v>
      </c>
      <c r="Y29" s="22" t="str">
        <f>IF(OR($B29="",Y$22=""),"",IF(LEN(VLOOKUP($B29,Database!$B$1:$IX$10144,Y$22,FALSE))=0,"",VLOOKUP($B29,Database!$B$1:$IX$10144,Y$22,FALSE)))</f>
        <v>DSM-III</v>
      </c>
      <c r="Z29" s="22" t="str">
        <f>IF(OR($B29="",Z$22=""),"",IF(LEN(VLOOKUP($B29,Database!$B$1:$IX$10144,Z$22,FALSE))=0,"",VLOOKUP($B29,Database!$B$1:$IX$10144,Z$22,FALSE)))</f>
        <v>MRI</v>
      </c>
      <c r="AA29" s="22" t="str">
        <f>IF(OR($B29="",AA$22=""),"",IF(LEN(VLOOKUP($B29,Database!$B$1:$IX$10144,AA$22,FALSE))=0,"",VLOOKUP($B29,Database!$B$1:$IX$10144,AA$22,FALSE)))</f>
        <v/>
      </c>
      <c r="AB29" s="22" t="str">
        <f>IF(OR($B29="",AB$22=""),"",IF(LEN(VLOOKUP($B29,Database!$B$1:$IX$10144,AB$22,FALSE))=0,"",VLOOKUP($B29,Database!$B$1:$IX$10144,AB$22,FALSE)))</f>
        <v>ns</v>
      </c>
      <c r="AC29" s="22" t="str">
        <f>IF(OR($B29="",AC$22=""),"",IF(LEN(VLOOKUP($B29,Database!$B$1:$IX$10144,AC$22,FALSE))=0,"",VLOOKUP($B29,Database!$B$1:$IX$10144,AC$22,FALSE)))</f>
        <v>ns</v>
      </c>
      <c r="AD29" s="22" t="str">
        <f>IF(OR($B29="",AD$22=""),"",IF(LEN(VLOOKUP($B29,Database!$B$1:$IX$10144,AD$22,FALSE))=0,"",VLOOKUP($B29,Database!$B$1:$IX$10144,AD$22,FALSE)))</f>
        <v>ns</v>
      </c>
      <c r="AE29" s="22" t="str">
        <f>IF(OR($B29="",AE$22=""),"",IF(LEN(VLOOKUP($B29,Database!$B$1:$IX$10144,AE$22,FALSE))=0,"",VLOOKUP($B29,Database!$B$1:$IX$10144,AE$22,FALSE)))</f>
        <v>ns</v>
      </c>
      <c r="AF29" s="22" t="str">
        <f>IF(OR($B29="",AF$22=""),"",IF(LEN(VLOOKUP($B29,Database!$B$1:$IX$10144,AF$22,FALSE))=0,"",VLOOKUP($B29,Database!$B$1:$IX$10144,AF$22,FALSE)))</f>
        <v>ns</v>
      </c>
      <c r="AG29" s="22" t="str">
        <f>IF(OR($B29="",AG$22=""),"",IF(LEN(VLOOKUP($B29,Database!$B$1:$IX$10144,AG$22,FALSE))=0,"",VLOOKUP($B29,Database!$B$1:$IX$10144,AG$22,FALSE)))</f>
        <v>ns</v>
      </c>
      <c r="AH29" s="22">
        <f>IF(OR($B29="",AH$22=""),"",IF(LEN(VLOOKUP($B29,Database!$B$1:$IX$10144,AH$22,FALSE))=0,"",VLOOKUP($B29,Database!$B$1:$IX$10144,AH$22,FALSE)))</f>
        <v>1</v>
      </c>
      <c r="AI29" s="22">
        <f>IF(OR($B29="",AI$22=""),"",IF(LEN(VLOOKUP($B29,Database!$B$1:$IX$10144,AI$22,FALSE))=0,"",VLOOKUP($B29,Database!$B$1:$IX$10144,AI$22,FALSE)))</f>
        <v>8</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Lewine RR, Risch SC, Risby E, Stipetic M, Jewart RD, Eccard M, Caudle J, Pollard W.</v>
      </c>
      <c r="AR29" s="13"/>
      <c r="BC29" s="23"/>
      <c r="BF29" s="136"/>
      <c r="BG29" s="136"/>
      <c r="BH29" s="136"/>
      <c r="BI29" s="136"/>
    </row>
    <row r="30" spans="2:65">
      <c r="B30">
        <v>1486107</v>
      </c>
      <c r="C30" s="1" t="str">
        <f>IF($B30="","",HYPERLINK(IF(LEN(VLOOKUP($B30,Database!$B$1:$IX$10144,2,FALSE))=0,"",VLOOKUP($B30,Database!$B$1:$IX$10144,2,FALSE))))</f>
        <v/>
      </c>
      <c r="D30" s="1" t="str">
        <f t="shared" si="0"/>
        <v>http://www.ncbi.nlm.nih.gov/pubmed/1486107</v>
      </c>
      <c r="E30" s="22" t="str">
        <f>IF($B30="","",IF(LEN(VLOOKUP($B30,Database!$B$1:$IX$10144,4,FALSE))=0,"",VLOOKUP($B30,Database!$B$1:$IX$10144,4,FALSE)))</f>
        <v>Lauer CJ</v>
      </c>
      <c r="F30" s="22">
        <f>IF($B30="","",IF(LEN(VLOOKUP($B30,Database!$B$1:$IX$10144,5,FALSE))=0,"",VLOOKUP($B30,Database!$B$1:$IX$10144,5,FALSE)))</f>
        <v>1992</v>
      </c>
      <c r="G30" s="1" t="str">
        <f>IF($B30="","",HYPERLINK(IF(LEN(VLOOKUP($B30,Database!$B$1:$IX$10144,6,FALSE))=0,"",VLOOKUP($B30,Database!$B$1:$IX$10144,6,FALSE))))</f>
        <v>http://www.springerlink.com/content/b5pt42j150468506/fulltext.pdf</v>
      </c>
      <c r="H30" s="22">
        <f>IF($B30="","",IF(LEN(VLOOKUP($B30,Database!$B$1:$IX$10144,7,FALSE))=0,"",VLOOKUP($B30,Database!$B$1:$IX$10144,7,FALSE)))</f>
        <v>14</v>
      </c>
      <c r="I30" s="22">
        <f>IF($B30="","",IF(LEN(VLOOKUP($B30,Database!$B$1:$IX$10144,8,FALSE))=0,"",VLOOKUP($B30,Database!$B$1:$IX$10144,8,FALSE)))</f>
        <v>12</v>
      </c>
      <c r="J30" t="s">
        <v>1676</v>
      </c>
      <c r="K30" s="10"/>
      <c r="T30">
        <v>5.3</v>
      </c>
      <c r="U30">
        <v>3.8</v>
      </c>
      <c r="V30">
        <v>3.13</v>
      </c>
      <c r="W30" s="13">
        <v>0.39</v>
      </c>
      <c r="Y30" s="22" t="str">
        <f>IF(OR($B30="",Y$22=""),"",IF(LEN(VLOOKUP($B30,Database!$B$1:$IX$10144,Y$22,FALSE))=0,"",VLOOKUP($B30,Database!$B$1:$IX$10144,Y$22,FALSE)))</f>
        <v>DSM-III-R</v>
      </c>
      <c r="Z30" s="22" t="str">
        <f>IF(OR($B30="",Z$22=""),"",IF(LEN(VLOOKUP($B30,Database!$B$1:$IX$10144,Z$22,FALSE))=0,"",VLOOKUP($B30,Database!$B$1:$IX$10144,Z$22,FALSE)))</f>
        <v>CT</v>
      </c>
      <c r="AA30" s="22" t="str">
        <f>IF(OR($B30="",AA$22=""),"",IF(LEN(VLOOKUP($B30,Database!$B$1:$IX$10144,AA$22,FALSE))=0,"",VLOOKUP($B30,Database!$B$1:$IX$10144,AA$22,FALSE)))</f>
        <v/>
      </c>
      <c r="AB30" s="22">
        <f>IF(OR($B30="",AB$22=""),"",IF(LEN(VLOOKUP($B30,Database!$B$1:$IX$10144,AB$22,FALSE))=0,"",VLOOKUP($B30,Database!$B$1:$IX$10144,AB$22,FALSE)))</f>
        <v>40.700000000000003</v>
      </c>
      <c r="AC30" s="22">
        <f>IF(OR($B30="",AC$22=""),"",IF(LEN(VLOOKUP($B30,Database!$B$1:$IX$10144,AC$22,FALSE))=0,"",VLOOKUP($B30,Database!$B$1:$IX$10144,AC$22,FALSE)))</f>
        <v>11.2</v>
      </c>
      <c r="AD30" s="22">
        <f>IF(OR($B30="",AD$22=""),"",IF(LEN(VLOOKUP($B30,Database!$B$1:$IX$10144,AD$22,FALSE))=0,"",VLOOKUP($B30,Database!$B$1:$IX$10144,AD$22,FALSE)))</f>
        <v>36.4</v>
      </c>
      <c r="AE30" s="22">
        <f>IF(OR($B30="",AE$22=""),"",IF(LEN(VLOOKUP($B30,Database!$B$1:$IX$10144,AE$22,FALSE))=0,"",VLOOKUP($B30,Database!$B$1:$IX$10144,AE$22,FALSE)))</f>
        <v>12.6</v>
      </c>
      <c r="AF30" s="22" t="str">
        <f>IF(OR($B30="",AF$22=""),"",IF(LEN(VLOOKUP($B30,Database!$B$1:$IX$10144,AF$22,FALSE))=0,"",VLOOKUP($B30,Database!$B$1:$IX$10144,AF$22,FALSE)))</f>
        <v>ns</v>
      </c>
      <c r="AG30" s="22">
        <f>IF(OR($B30="",AG$22=""),"",IF(LEN(VLOOKUP($B30,Database!$B$1:$IX$10144,AG$22,FALSE))=0,"",VLOOKUP($B30,Database!$B$1:$IX$10144,AG$22,FALSE)))</f>
        <v>5</v>
      </c>
      <c r="AH30" s="22" t="str">
        <f>IF(OR($B30="",AH$22=""),"",IF(LEN(VLOOKUP($B30,Database!$B$1:$IX$10144,AH$22,FALSE))=0,"",VLOOKUP($B30,Database!$B$1:$IX$10144,AH$22,FALSE)))</f>
        <v/>
      </c>
      <c r="AI30" s="22">
        <f>IF(OR($B30="",AI$22=""),"",IF(LEN(VLOOKUP($B30,Database!$B$1:$IX$10144,AI$22,FALSE))=0,"",VLOOKUP($B30,Database!$B$1:$IX$10144,AI$22,FALSE)))</f>
        <v>10</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Lauer CJ, Wiegand M, Krieg JC.</v>
      </c>
      <c r="AR30" s="13"/>
      <c r="BC30" s="23"/>
      <c r="BF30" s="136"/>
      <c r="BG30" s="136"/>
      <c r="BH30" s="136"/>
      <c r="BI30" s="136"/>
    </row>
    <row r="31" spans="2:65">
      <c r="B31">
        <v>7480387</v>
      </c>
      <c r="C31" s="1" t="str">
        <f>IF($B31="","",HYPERLINK(IF(LEN(VLOOKUP($B31,Database!$B$1:$IX$10144,2,FALSE))=0,"",VLOOKUP($B31,Database!$B$1:$IX$10144,2,FALSE))))</f>
        <v/>
      </c>
      <c r="D31" s="1" t="str">
        <f t="shared" si="0"/>
        <v>http://www.ncbi.nlm.nih.gov/pubmed/7480387</v>
      </c>
      <c r="E31" s="22" t="str">
        <f>IF($B31="","",IF(LEN(VLOOKUP($B31,Database!$B$1:$IX$10144,4,FALSE))=0,"",VLOOKUP($B31,Database!$B$1:$IX$10144,4,FALSE)))</f>
        <v>Wurthmann C</v>
      </c>
      <c r="F31" s="22">
        <f>IF($B31="","",IF(LEN(VLOOKUP($B31,Database!$B$1:$IX$10144,5,FALSE))=0,"",VLOOKUP($B31,Database!$B$1:$IX$10144,5,FALSE)))</f>
        <v>1995</v>
      </c>
      <c r="G31" s="1" t="str">
        <f>IF($B31="","",HYPERLINK(IF(LEN(VLOOKUP($B31,Database!$B$1:$IX$10144,6,FALSE))=0,"",VLOOKUP($B31,Database!$B$1:$IX$10144,6,FALSE))))</f>
        <v>http://dx.doi.org/10.1016/0925-4927(95)02592-L</v>
      </c>
      <c r="H31" s="22">
        <f>IF($B31="","",IF(LEN(VLOOKUP($B31,Database!$B$1:$IX$10144,7,FALSE))=0,"",VLOOKUP($B31,Database!$B$1:$IX$10144,7,FALSE)))</f>
        <v>34</v>
      </c>
      <c r="I31" s="83">
        <v>42</v>
      </c>
      <c r="J31" t="s">
        <v>1067</v>
      </c>
      <c r="T31">
        <v>9.76</v>
      </c>
      <c r="U31">
        <v>3.04</v>
      </c>
      <c r="V31">
        <v>8.18</v>
      </c>
      <c r="W31">
        <v>2.91</v>
      </c>
      <c r="Y31" s="22" t="str">
        <f>IF(OR($B31="",Y$22=""),"",IF(LEN(VLOOKUP($B31,Database!$B$1:$IX$10144,Y$22,FALSE))=0,"",VLOOKUP($B31,Database!$B$1:$IX$10144,Y$22,FALSE)))</f>
        <v>DSM-III-R</v>
      </c>
      <c r="Z31" s="22" t="str">
        <f>IF(OR($B31="",Z$22=""),"",IF(LEN(VLOOKUP($B31,Database!$B$1:$IX$10144,Z$22,FALSE))=0,"",VLOOKUP($B31,Database!$B$1:$IX$10144,Z$22,FALSE)))</f>
        <v>CT</v>
      </c>
      <c r="AA31" s="22" t="str">
        <f>IF(OR($B31="",AA$22=""),"",IF(LEN(VLOOKUP($B31,Database!$B$1:$IX$10144,AA$22,FALSE))=0,"",VLOOKUP($B31,Database!$B$1:$IX$10144,AA$22,FALSE)))</f>
        <v/>
      </c>
      <c r="AB31" s="22">
        <f>IF(OR($B31="",AB$22=""),"",IF(LEN(VLOOKUP($B31,Database!$B$1:$IX$10144,AB$22,FALSE))=0,"",VLOOKUP($B31,Database!$B$1:$IX$10144,AB$22,FALSE)))</f>
        <v>70.7</v>
      </c>
      <c r="AC31" s="22">
        <f>IF(OR($B31="",AC$22=""),"",IF(LEN(VLOOKUP($B31,Database!$B$1:$IX$10144,AC$22,FALSE))=0,"",VLOOKUP($B31,Database!$B$1:$IX$10144,AC$22,FALSE)))</f>
        <v>6.1</v>
      </c>
      <c r="AD31" s="22">
        <f>IF(OR($B31="",AD$22=""),"",IF(LEN(VLOOKUP($B31,Database!$B$1:$IX$10144,AD$22,FALSE))=0,"",VLOOKUP($B31,Database!$B$1:$IX$10144,AD$22,FALSE)))</f>
        <v>70.8</v>
      </c>
      <c r="AE31" s="22">
        <f>IF(OR($B31="",AE$22=""),"",IF(LEN(VLOOKUP($B31,Database!$B$1:$IX$10144,AE$22,FALSE))=0,"",VLOOKUP($B31,Database!$B$1:$IX$10144,AE$22,FALSE)))</f>
        <v>6.8</v>
      </c>
      <c r="AF31" s="22">
        <f>IF(OR($B31="",AF$22=""),"",IF(LEN(VLOOKUP($B31,Database!$B$1:$IX$10144,AF$22,FALSE))=0,"",VLOOKUP($B31,Database!$B$1:$IX$10144,AF$22,FALSE)))</f>
        <v>28</v>
      </c>
      <c r="AG31" s="22">
        <f>IF(OR($B31="",AG$22=""),"",IF(LEN(VLOOKUP($B31,Database!$B$1:$IX$10144,AG$22,FALSE))=0,"",VLOOKUP($B31,Database!$B$1:$IX$10144,AG$22,FALSE)))</f>
        <v>33</v>
      </c>
      <c r="AH31" s="22" t="str">
        <f>IF(OR($B31="",AH$22=""),"",IF(LEN(VLOOKUP($B31,Database!$B$1:$IX$10144,AH$22,FALSE))=0,"",VLOOKUP($B31,Database!$B$1:$IX$10144,AH$22,FALSE)))</f>
        <v/>
      </c>
      <c r="AI31" s="22" t="str">
        <f>IF(OR($B31="",AI$22=""),"",IF(LEN(VLOOKUP($B31,Database!$B$1:$IX$10144,AI$22,FALSE))=0,"",VLOOKUP($B31,Database!$B$1:$IX$10144,AI$22,FALSE)))</f>
        <v>ns</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20</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Wurthmann C, Bogerts B, Falkai P.</v>
      </c>
      <c r="AR31" s="13"/>
      <c r="BC31" s="23"/>
      <c r="BF31" s="136"/>
      <c r="BG31" s="136"/>
      <c r="BH31" s="136"/>
      <c r="BI31" s="136"/>
    </row>
    <row r="32" spans="2:65">
      <c r="B32">
        <v>8876012</v>
      </c>
      <c r="C32" s="1" t="str">
        <f>IF($B32="","",HYPERLINK(IF(LEN(VLOOKUP($B32,Database!$B$1:$IX$10144,2,FALSE))=0,"",VLOOKUP($B32,Database!$B$1:$IX$10144,2,FALSE))))</f>
        <v/>
      </c>
      <c r="D32" s="1" t="str">
        <f>IF($B32="","",HYPERLINK(CONCATENATE("http://www.ncbi.nlm.nih.gov/pubmed/",B32)))</f>
        <v>http://www.ncbi.nlm.nih.gov/pubmed/8876012</v>
      </c>
      <c r="E32" s="22" t="str">
        <f>IF($B32="","",IF(LEN(VLOOKUP($B32,Database!$B$1:$IX$10144,4,FALSE))=0,"",VLOOKUP($B32,Database!$B$1:$IX$10144,4,FALSE)))</f>
        <v>Elkis H</v>
      </c>
      <c r="F32" s="22">
        <f>IF($B32="","",IF(LEN(VLOOKUP($B32,Database!$B$1:$IX$10144,5,FALSE))=0,"",VLOOKUP($B32,Database!$B$1:$IX$10144,5,FALSE)))</f>
        <v>1996</v>
      </c>
      <c r="G32" s="1" t="str">
        <f>IF($B32="","",HYPERLINK(IF(LEN(VLOOKUP($B32,Database!$B$1:$IX$10144,6,FALSE))=0,"",VLOOKUP($B32,Database!$B$1:$IX$10144,6,FALSE))))</f>
        <v>http://dx.doi.org/10.1016/0925-4927(96)02744-8</v>
      </c>
      <c r="H32" s="83">
        <v>8</v>
      </c>
      <c r="I32" s="83">
        <v>17</v>
      </c>
      <c r="J32" t="s">
        <v>860</v>
      </c>
      <c r="K32" t="s">
        <v>861</v>
      </c>
      <c r="T32">
        <v>5.31</v>
      </c>
      <c r="U32">
        <v>1.64</v>
      </c>
      <c r="V32">
        <v>5.56</v>
      </c>
      <c r="W32">
        <v>2.84</v>
      </c>
      <c r="Y32" s="22" t="str">
        <f>IF(OR($B32="",Y$22=""),"",IF(LEN(VLOOKUP($B32,Database!$B$1:$IX$10144,Y$22,FALSE))=0,"",VLOOKUP($B32,Database!$B$1:$IX$10144,Y$22,FALSE)))</f>
        <v>DSM-III-R</v>
      </c>
      <c r="Z32" s="22" t="str">
        <f>IF(OR($B32="",Z$22=""),"",IF(LEN(VLOOKUP($B32,Database!$B$1:$IX$10144,Z$22,FALSE))=0,"",VLOOKUP($B32,Database!$B$1:$IX$10144,Z$22,FALSE)))</f>
        <v>CT</v>
      </c>
      <c r="AA32" s="22" t="str">
        <f>IF(OR($B32="",AA$22=""),"",IF(LEN(VLOOKUP($B32,Database!$B$1:$IX$10144,AA$22,FALSE))=0,"",VLOOKUP($B32,Database!$B$1:$IX$10144,AA$22,FALSE)))</f>
        <v/>
      </c>
      <c r="AB32" s="22">
        <f>IF(OR($B32="",AB$22=""),"",IF(LEN(VLOOKUP($B32,Database!$B$1:$IX$10144,AB$22,FALSE))=0,"",VLOOKUP($B32,Database!$B$1:$IX$10144,AB$22,FALSE)))</f>
        <v>38.700000000000003</v>
      </c>
      <c r="AC32" s="22">
        <f>IF(OR($B32="",AC$22=""),"",IF(LEN(VLOOKUP($B32,Database!$B$1:$IX$10144,AC$22,FALSE))=0,"",VLOOKUP($B32,Database!$B$1:$IX$10144,AC$22,FALSE)))</f>
        <v>12.8</v>
      </c>
      <c r="AD32" s="22">
        <f>IF(OR($B32="",AD$22=""),"",IF(LEN(VLOOKUP($B32,Database!$B$1:$IX$10144,AD$22,FALSE))=0,"",VLOOKUP($B32,Database!$B$1:$IX$10144,AD$22,FALSE)))</f>
        <v>33.299999999999997</v>
      </c>
      <c r="AE32" s="22">
        <f>IF(OR($B32="",AE$22=""),"",IF(LEN(VLOOKUP($B32,Database!$B$1:$IX$10144,AE$22,FALSE))=0,"",VLOOKUP($B32,Database!$B$1:$IX$10144,AE$22,FALSE)))</f>
        <v>10.4</v>
      </c>
      <c r="AF32" s="214">
        <v>0</v>
      </c>
      <c r="AG32" s="214">
        <v>0</v>
      </c>
      <c r="AH32" s="22" t="str">
        <f>IF(OR($B32="",AH$22=""),"",IF(LEN(VLOOKUP($B32,Database!$B$1:$IX$10144,AH$22,FALSE))=0,"",VLOOKUP($B32,Database!$B$1:$IX$10144,AH$22,FALSE)))</f>
        <v/>
      </c>
      <c r="AI32" s="22">
        <f>IF(OR($B32="",AI$22=""),"",IF(LEN(VLOOKUP($B32,Database!$B$1:$IX$10144,AI$22,FALSE))=0,"",VLOOKUP($B32,Database!$B$1:$IX$10144,AI$22,FALSE)))</f>
        <v>8</v>
      </c>
      <c r="AJ32" s="22" t="str">
        <f>IF(OR($B32="",AJ$22=""),"",IF(LEN(VLOOKUP($B32,Database!$B$1:$IX$10144,AJ$22,FALSE))=0,"",VLOOKUP($B32,Database!$B$1:$IX$10144,AJ$22,FALSE)))</f>
        <v/>
      </c>
      <c r="AK32" s="22">
        <f>IF(OR($B32="",AK$22=""),"",IF(LEN(VLOOKUP($B32,Database!$B$1:$IX$10144,AK$22,FALSE))=0,"",VLOOKUP($B32,Database!$B$1:$IX$10144,AK$22,FALSE)))</f>
        <v>29.7</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Elkis H, Friedman L, Buckley PF, Lee HS, Lys C, Kaufman B, Meltzer HY.</v>
      </c>
      <c r="AR32" s="13"/>
      <c r="AU32" s="13"/>
      <c r="BC32" s="23"/>
      <c r="BF32" s="136"/>
      <c r="BG32" s="136"/>
      <c r="BH32" s="136"/>
      <c r="BI32" s="136"/>
    </row>
    <row r="33" spans="1:140">
      <c r="B33">
        <v>8876012</v>
      </c>
      <c r="C33" s="1" t="str">
        <f>IF($B33="","",HYPERLINK(IF(LEN(VLOOKUP($B33,Database!$B$1:$IX$10144,2,FALSE))=0,"",VLOOKUP($B33,Database!$B$1:$IX$10144,2,FALSE))))</f>
        <v/>
      </c>
      <c r="D33" s="1" t="str">
        <f>IF($B33="","",HYPERLINK(CONCATENATE("http://www.ncbi.nlm.nih.gov/pubmed/",B33)))</f>
        <v>http://www.ncbi.nlm.nih.gov/pubmed/8876012</v>
      </c>
      <c r="E33" s="22" t="str">
        <f>IF($B33="","",IF(LEN(VLOOKUP($B33,Database!$B$1:$IX$10144,4,FALSE))=0,"",VLOOKUP($B33,Database!$B$1:$IX$10144,4,FALSE)))</f>
        <v>Elkis H</v>
      </c>
      <c r="F33" s="22">
        <f>IF($B33="","",IF(LEN(VLOOKUP($B33,Database!$B$1:$IX$10144,5,FALSE))=0,"",VLOOKUP($B33,Database!$B$1:$IX$10144,5,FALSE)))</f>
        <v>1996</v>
      </c>
      <c r="G33" s="1" t="str">
        <f>IF($B33="","",HYPERLINK(IF(LEN(VLOOKUP($B33,Database!$B$1:$IX$10144,6,FALSE))=0,"",VLOOKUP($B33,Database!$B$1:$IX$10144,6,FALSE))))</f>
        <v>http://dx.doi.org/10.1016/0925-4927(96)02744-8</v>
      </c>
      <c r="H33" s="83">
        <v>16</v>
      </c>
      <c r="I33" s="83">
        <v>23</v>
      </c>
      <c r="J33" t="s">
        <v>1828</v>
      </c>
      <c r="K33" t="s">
        <v>862</v>
      </c>
      <c r="T33">
        <v>6.65</v>
      </c>
      <c r="U33">
        <v>1.84</v>
      </c>
      <c r="V33">
        <v>5.52</v>
      </c>
      <c r="W33">
        <v>2.4300000000000002</v>
      </c>
      <c r="Y33" s="22" t="str">
        <f>IF(OR($B33="",Y$22=""),"",IF(LEN(VLOOKUP($B33,Database!$B$1:$IX$10144,Y$22,FALSE))=0,"",VLOOKUP($B33,Database!$B$1:$IX$10144,Y$22,FALSE)))</f>
        <v>DSM-III-R</v>
      </c>
      <c r="Z33" s="22" t="str">
        <f>IF(OR($B33="",Z$22=""),"",IF(LEN(VLOOKUP($B33,Database!$B$1:$IX$10144,Z$22,FALSE))=0,"",VLOOKUP($B33,Database!$B$1:$IX$10144,Z$22,FALSE)))</f>
        <v>CT</v>
      </c>
      <c r="AA33" s="22" t="str">
        <f>IF(OR($B33="",AA$22=""),"",IF(LEN(VLOOKUP($B33,Database!$B$1:$IX$10144,AA$22,FALSE))=0,"",VLOOKUP($B33,Database!$B$1:$IX$10144,AA$22,FALSE)))</f>
        <v/>
      </c>
      <c r="AB33" s="22">
        <f>IF(OR($B33="",AB$22=""),"",IF(LEN(VLOOKUP($B33,Database!$B$1:$IX$10144,AB$22,FALSE))=0,"",VLOOKUP($B33,Database!$B$1:$IX$10144,AB$22,FALSE)))</f>
        <v>38.700000000000003</v>
      </c>
      <c r="AC33" s="22">
        <f>IF(OR($B33="",AC$22=""),"",IF(LEN(VLOOKUP($B33,Database!$B$1:$IX$10144,AC$22,FALSE))=0,"",VLOOKUP($B33,Database!$B$1:$IX$10144,AC$22,FALSE)))</f>
        <v>12.8</v>
      </c>
      <c r="AD33" s="22">
        <f>IF(OR($B33="",AD$22=""),"",IF(LEN(VLOOKUP($B33,Database!$B$1:$IX$10144,AD$22,FALSE))=0,"",VLOOKUP($B33,Database!$B$1:$IX$10144,AD$22,FALSE)))</f>
        <v>33.299999999999997</v>
      </c>
      <c r="AE33" s="22">
        <f>IF(OR($B33="",AE$22=""),"",IF(LEN(VLOOKUP($B33,Database!$B$1:$IX$10144,AE$22,FALSE))=0,"",VLOOKUP($B33,Database!$B$1:$IX$10144,AE$22,FALSE)))</f>
        <v>10.4</v>
      </c>
      <c r="AF33" s="22">
        <f>IF(OR($B33="",AF$22=""),"",IF(LEN(VLOOKUP($B33,Database!$B$1:$IX$10144,AF$22,FALSE))=0,"",VLOOKUP($B33,Database!$B$1:$IX$10144,AF$22,FALSE)))</f>
        <v>16</v>
      </c>
      <c r="AG33" s="22">
        <f>IF(OR($B33="",AG$22=""),"",IF(LEN(VLOOKUP($B33,Database!$B$1:$IX$10144,AG$22,FALSE))=0,"",VLOOKUP($B33,Database!$B$1:$IX$10144,AG$22,FALSE)))</f>
        <v>23</v>
      </c>
      <c r="AH33" s="22" t="str">
        <f>IF(OR($B33="",AH$22=""),"",IF(LEN(VLOOKUP($B33,Database!$B$1:$IX$10144,AH$22,FALSE))=0,"",VLOOKUP($B33,Database!$B$1:$IX$10144,AH$22,FALSE)))</f>
        <v/>
      </c>
      <c r="AI33" s="22">
        <f>IF(OR($B33="",AI$22=""),"",IF(LEN(VLOOKUP($B33,Database!$B$1:$IX$10144,AI$22,FALSE))=0,"",VLOOKUP($B33,Database!$B$1:$IX$10144,AI$22,FALSE)))</f>
        <v>8</v>
      </c>
      <c r="AJ33" s="22" t="str">
        <f>IF(OR($B33="",AJ$22=""),"",IF(LEN(VLOOKUP($B33,Database!$B$1:$IX$10144,AJ$22,FALSE))=0,"",VLOOKUP($B33,Database!$B$1:$IX$10144,AJ$22,FALSE)))</f>
        <v/>
      </c>
      <c r="AK33" s="22">
        <f>IF(OR($B33="",AK$22=""),"",IF(LEN(VLOOKUP($B33,Database!$B$1:$IX$10144,AK$22,FALSE))=0,"",VLOOKUP($B33,Database!$B$1:$IX$10144,AK$22,FALSE)))</f>
        <v>29.7</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Elkis H, Friedman L, Buckley PF, Lee HS, Lys C, Kaufman B, Meltzer HY.</v>
      </c>
      <c r="AR33" s="13"/>
      <c r="AU33" s="13"/>
      <c r="BC33" s="23"/>
      <c r="BF33" s="136"/>
      <c r="BG33" s="136"/>
      <c r="BH33" s="136"/>
      <c r="BI33" s="136"/>
    </row>
    <row r="34" spans="1:140">
      <c r="B34">
        <v>8886297</v>
      </c>
      <c r="C34" s="1" t="str">
        <f>IF($B34="","",HYPERLINK(IF(LEN(VLOOKUP($B34,Database!$B$1:$IX$10144,2,FALSE))=0,"",VLOOKUP($B34,Database!$B$1:$IX$10144,2,FALSE))))</f>
        <v/>
      </c>
      <c r="D34" s="1" t="str">
        <f>IF($B34="","",HYPERLINK(CONCATENATE("http://www.ncbi.nlm.nih.gov/pubmed/",B34)))</f>
        <v>http://www.ncbi.nlm.nih.gov/pubmed/8886297</v>
      </c>
      <c r="E34" s="22" t="str">
        <f>IF($B34="","",IF(LEN(VLOOKUP($B34,Database!$B$1:$IX$10144,4,FALSE))=0,"",VLOOKUP($B34,Database!$B$1:$IX$10144,4,FALSE)))</f>
        <v>Marchesi C</v>
      </c>
      <c r="F34" s="22">
        <f>IF($B34="","",IF(LEN(VLOOKUP($B34,Database!$B$1:$IX$10144,5,FALSE))=0,"",VLOOKUP($B34,Database!$B$1:$IX$10144,5,FALSE)))</f>
        <v>1996</v>
      </c>
      <c r="G34" s="1" t="str">
        <f>IF($B34="","",HYPERLINK(IF(LEN(VLOOKUP($B34,Database!$B$1:$IX$10144,6,FALSE))=0,"",VLOOKUP($B34,Database!$B$1:$IX$10144,6,FALSE))))</f>
        <v>http://dx.doi.org/10.1016/0006-3223(95)00477-7</v>
      </c>
      <c r="H34" s="22">
        <f>IF($B34="","",IF(LEN(VLOOKUP($B34,Database!$B$1:$IX$10144,7,FALSE))=0,"",VLOOKUP($B34,Database!$B$1:$IX$10144,7,FALSE)))</f>
        <v>11</v>
      </c>
      <c r="I34" s="22">
        <f>IF($B34="","",IF(LEN(VLOOKUP($B34,Database!$B$1:$IX$10144,8,FALSE))=0,"",VLOOKUP($B34,Database!$B$1:$IX$10144,8,FALSE)))</f>
        <v>11</v>
      </c>
      <c r="J34" t="s">
        <v>1828</v>
      </c>
      <c r="T34">
        <v>11.1</v>
      </c>
      <c r="U34">
        <v>1.6</v>
      </c>
      <c r="V34">
        <v>8.6999999999999993</v>
      </c>
      <c r="W34">
        <v>1.8</v>
      </c>
      <c r="Y34" s="22" t="str">
        <f>IF(OR($B34="",Y$22=""),"",IF(LEN(VLOOKUP($B34,Database!$B$1:$IX$10144,Y$22,FALSE))=0,"",VLOOKUP($B34,Database!$B$1:$IX$10144,Y$22,FALSE)))</f>
        <v>DSM-III-R</v>
      </c>
      <c r="Z34" s="22" t="str">
        <f>IF(OR($B34="",Z$22=""),"",IF(LEN(VLOOKUP($B34,Database!$B$1:$IX$10144,Z$22,FALSE))=0,"",VLOOKUP($B34,Database!$B$1:$IX$10144,Z$22,FALSE)))</f>
        <v>CT</v>
      </c>
      <c r="AA34" s="22" t="str">
        <f>IF(OR($B34="",AA$22=""),"",IF(LEN(VLOOKUP($B34,Database!$B$1:$IX$10144,AA$22,FALSE))=0,"",VLOOKUP($B34,Database!$B$1:$IX$10144,AA$22,FALSE)))</f>
        <v/>
      </c>
      <c r="AB34" s="22">
        <f>IF(OR($B34="",AB$22=""),"",IF(LEN(VLOOKUP($B34,Database!$B$1:$IX$10144,AB$22,FALSE))=0,"",VLOOKUP($B34,Database!$B$1:$IX$10144,AB$22,FALSE)))</f>
        <v>64.8</v>
      </c>
      <c r="AC34" s="22">
        <f>IF(OR($B34="",AC$22=""),"",IF(LEN(VLOOKUP($B34,Database!$B$1:$IX$10144,AC$22,FALSE))=0,"",VLOOKUP($B34,Database!$B$1:$IX$10144,AC$22,FALSE)))</f>
        <v>7.3</v>
      </c>
      <c r="AD34" s="22">
        <f>IF(OR($B34="",AD$22=""),"",IF(LEN(VLOOKUP($B34,Database!$B$1:$IX$10144,AD$22,FALSE))=0,"",VLOOKUP($B34,Database!$B$1:$IX$10144,AD$22,FALSE)))</f>
        <v>66.5</v>
      </c>
      <c r="AE34" s="22">
        <f>IF(OR($B34="",AE$22=""),"",IF(LEN(VLOOKUP($B34,Database!$B$1:$IX$10144,AE$22,FALSE))=0,"",VLOOKUP($B34,Database!$B$1:$IX$10144,AE$22,FALSE)))</f>
        <v>4.3</v>
      </c>
      <c r="AF34" s="22">
        <f>IF(OR($B34="",AF$22=""),"",IF(LEN(VLOOKUP($B34,Database!$B$1:$IX$10144,AF$22,FALSE))=0,"",VLOOKUP($B34,Database!$B$1:$IX$10144,AF$22,FALSE)))</f>
        <v>0</v>
      </c>
      <c r="AG34" s="22">
        <f>IF(OR($B34="",AG$22=""),"",IF(LEN(VLOOKUP($B34,Database!$B$1:$IX$10144,AG$22,FALSE))=0,"",VLOOKUP($B34,Database!$B$1:$IX$10144,AG$22,FALSE)))</f>
        <v>0</v>
      </c>
      <c r="AH34" s="22" t="str">
        <f>IF(OR($B34="",AH$22=""),"",IF(LEN(VLOOKUP($B34,Database!$B$1:$IX$10144,AH$22,FALSE))=0,"",VLOOKUP($B34,Database!$B$1:$IX$10144,AH$22,FALSE)))</f>
        <v/>
      </c>
      <c r="AI34" s="22" t="str">
        <f>IF(OR($B34="",AI$22=""),"",IF(LEN(VLOOKUP($B34,Database!$B$1:$IX$10144,AI$22,FALSE))=0,"",VLOOKUP($B34,Database!$B$1:$IX$10144,AI$22,FALSE)))</f>
        <v>ns</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f>IF(OR($B34="",AM$22=""),"",IF(LEN(VLOOKUP($B34,Database!$B$1:$IX$10144,AM$22,FALSE))=0,"",VLOOKUP($B34,Database!$B$1:$IX$10144,AM$22,FALSE)))</f>
        <v>0</v>
      </c>
      <c r="AN34" s="22" t="str">
        <f>IF(OR($B34="",AN$22=""),"",IF(LEN(VLOOKUP($B34,Database!$B$1:$IX$10144,AN$22,FALSE))=0,"",VLOOKUP($B34,Database!$B$1:$IX$10144,AN$22,FALSE)))</f>
        <v>ns</v>
      </c>
      <c r="AO34" s="22">
        <f>IF(OR($B34="",AO$22=""),"",IF(LEN(VLOOKUP($B34,Database!$B$1:$IX$10144,AO$22,FALSE))=0,"",VLOOKUP($B34,Database!$B$1:$IX$10144,AO$22,FALSE)))</f>
        <v>0</v>
      </c>
      <c r="AP34" s="22" t="str">
        <f>IF(OR($B34="",AP$22=""),"",IF(LEN(VLOOKUP($B34,Database!$B$1:$IX$10144,AP$22,FALSE))=0,"",VLOOKUP($B34,Database!$B$1:$IX$10144,AP$22,FALSE)))</f>
        <v>ns</v>
      </c>
      <c r="AQ34" s="22" t="str">
        <f>IF(OR($B34="",AQ$22=""),"",IF(LEN(VLOOKUP($B34,Database!$B$1:$IX$10144,AQ$22,FALSE))=0,"",VLOOKUP($B34,Database!$B$1:$IX$10144,AQ$22,FALSE)))</f>
        <v>Marchesi C, Silvestrini C, Ponari O, Volpi R, Chiodera P, Coiro V.</v>
      </c>
      <c r="AR34" s="13"/>
      <c r="BC34" s="23"/>
      <c r="BF34" s="136"/>
      <c r="BG34" s="136"/>
      <c r="BH34" s="136"/>
      <c r="BI34" s="136"/>
    </row>
    <row r="35" spans="1:140">
      <c r="B35">
        <v>9089060</v>
      </c>
      <c r="C35" s="1" t="str">
        <f>IF($B35="","",HYPERLINK(IF(LEN(VLOOKUP($B35,Database!$B$1:$IX$10144,2,FALSE))=0,"",VLOOKUP($B35,Database!$B$1:$IX$10144,2,FALSE))))</f>
        <v/>
      </c>
      <c r="D35" s="1" t="str">
        <f t="shared" si="0"/>
        <v>http://www.ncbi.nlm.nih.gov/pubmed/9089060</v>
      </c>
      <c r="E35" s="22" t="str">
        <f>IF($B35="","",IF(LEN(VLOOKUP($B35,Database!$B$1:$IX$10144,4,FALSE))=0,"",VLOOKUP($B35,Database!$B$1:$IX$10144,4,FALSE)))</f>
        <v>Pantel J</v>
      </c>
      <c r="F35" s="22">
        <f>IF($B35="","",IF(LEN(VLOOKUP($B35,Database!$B$1:$IX$10144,5,FALSE))=0,"",VLOOKUP($B35,Database!$B$1:$IX$10144,5,FALSE)))</f>
        <v>1997</v>
      </c>
      <c r="G35" s="1" t="str">
        <f>IF($B35="","",HYPERLINK(IF(LEN(VLOOKUP($B35,Database!$B$1:$IX$10144,6,FALSE))=0,"",VLOOKUP($B35,Database!$B$1:$IX$10144,6,FALSE))))</f>
        <v>http://dx.doi.org/10.1016/S0165-0327(96)00105-X</v>
      </c>
      <c r="H35" s="22">
        <f>IF($B35="","",IF(LEN(VLOOKUP($B35,Database!$B$1:$IX$10144,7,FALSE))=0,"",VLOOKUP($B35,Database!$B$1:$IX$10144,7,FALSE)))</f>
        <v>19</v>
      </c>
      <c r="I35" s="22">
        <f>IF($B35="","",IF(LEN(VLOOKUP($B35,Database!$B$1:$IX$10144,8,FALSE))=0,"",VLOOKUP($B35,Database!$B$1:$IX$10144,8,FALSE)))</f>
        <v>13</v>
      </c>
      <c r="J35" t="s">
        <v>1828</v>
      </c>
      <c r="T35">
        <v>10.15</v>
      </c>
      <c r="U35">
        <v>3.8</v>
      </c>
      <c r="V35">
        <v>7.27</v>
      </c>
      <c r="W35">
        <v>2.2999999999999998</v>
      </c>
      <c r="Y35" s="22" t="str">
        <f>IF(OR($B35="",Y$22=""),"",IF(LEN(VLOOKUP($B35,Database!$B$1:$IX$10144,Y$22,FALSE))=0,"",VLOOKUP($B35,Database!$B$1:$IX$10144,Y$22,FALSE)))</f>
        <v>DSM-III-R</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72.400000000000006</v>
      </c>
      <c r="AC35" s="22">
        <f>IF(OR($B35="",AC$22=""),"",IF(LEN(VLOOKUP($B35,Database!$B$1:$IX$10144,AC$22,FALSE))=0,"",VLOOKUP($B35,Database!$B$1:$IX$10144,AC$22,FALSE)))</f>
        <v>8.8000000000000007</v>
      </c>
      <c r="AD35" s="22">
        <f>IF(OR($B35="",AD$22=""),"",IF(LEN(VLOOKUP($B35,Database!$B$1:$IX$10144,AD$22,FALSE))=0,"",VLOOKUP($B35,Database!$B$1:$IX$10144,AD$22,FALSE)))</f>
        <v>68.2</v>
      </c>
      <c r="AE35" s="22">
        <f>IF(OR($B35="",AE$22=""),"",IF(LEN(VLOOKUP($B35,Database!$B$1:$IX$10144,AE$22,FALSE))=0,"",VLOOKUP($B35,Database!$B$1:$IX$10144,AE$22,FALSE)))</f>
        <v>5.3</v>
      </c>
      <c r="AF35" s="22">
        <f>IF(OR($B35="",AF$22=""),"",IF(LEN(VLOOKUP($B35,Database!$B$1:$IX$10144,AF$22,FALSE))=0,"",VLOOKUP($B35,Database!$B$1:$IX$10144,AF$22,FALSE)))</f>
        <v>15</v>
      </c>
      <c r="AG35" s="22">
        <f>IF(OR($B35="",AG$22=""),"",IF(LEN(VLOOKUP($B35,Database!$B$1:$IX$10144,AG$22,FALSE))=0,"",VLOOKUP($B35,Database!$B$1:$IX$10144,AG$22,FALSE)))</f>
        <v>10</v>
      </c>
      <c r="AH35" s="22">
        <f>IF(OR($B35="",AH$22=""),"",IF(LEN(VLOOKUP($B35,Database!$B$1:$IX$10144,AH$22,FALSE))=0,"",VLOOKUP($B35,Database!$B$1:$IX$10144,AH$22,FALSE)))</f>
        <v>1.5</v>
      </c>
      <c r="AI35" s="22">
        <f>IF(OR($B35="",AI$22=""),"",IF(LEN(VLOOKUP($B35,Database!$B$1:$IX$10144,AI$22,FALSE))=0,"",VLOOKUP($B35,Database!$B$1:$IX$10144,AI$22,FALSE)))</f>
        <v>1.25</v>
      </c>
      <c r="AJ35" s="22" t="str">
        <f>IF(OR($B35="",AJ$22=""),"",IF(LEN(VLOOKUP($B35,Database!$B$1:$IX$10144,AJ$22,FALSE))=0,"",VLOOKUP($B35,Database!$B$1:$IX$10144,AJ$22,FALSE)))</f>
        <v/>
      </c>
      <c r="AK35" s="22">
        <f>IF(OR($B35="",AK$22=""),"",IF(LEN(VLOOKUP($B35,Database!$B$1:$IX$10144,AK$22,FALSE))=0,"",VLOOKUP($B35,Database!$B$1:$IX$10144,AK$22,FALSE)))</f>
        <v>64.2</v>
      </c>
      <c r="AL35" s="22">
        <f>IF(OR($B35="",AL$22=""),"",IF(LEN(VLOOKUP($B35,Database!$B$1:$IX$10144,AL$22,FALSE))=0,"",VLOOKUP($B35,Database!$B$1:$IX$10144,AL$22,FALSE)))</f>
        <v>26.7</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Pantel J, Schroder J, Essig M, Popp D, Dech H, Knopp MV, Schad LR, Eysenbach K, Backenstrass M, Friedlinger M.</v>
      </c>
      <c r="AR35" s="13"/>
      <c r="BC35" s="23"/>
      <c r="BF35" s="136"/>
      <c r="BG35" s="136"/>
      <c r="BH35" s="136"/>
      <c r="BI35" s="136"/>
    </row>
    <row r="36" spans="1:140">
      <c r="B36">
        <v>9870413</v>
      </c>
      <c r="C36" s="1" t="str">
        <f>IF($B36="","",HYPERLINK(IF(LEN(VLOOKUP($B36,Database!$B$1:$IX$10144,2,FALSE))=0,"",VLOOKUP($B36,Database!$B$1:$IX$10144,2,FALSE))))</f>
        <v/>
      </c>
      <c r="D36" s="1" t="str">
        <f t="shared" si="0"/>
        <v>http://www.ncbi.nlm.nih.gov/pubmed/9870413</v>
      </c>
      <c r="E36" s="22" t="str">
        <f>IF($B36="","",IF(LEN(VLOOKUP($B36,Database!$B$1:$IX$10144,4,FALSE))=0,"",VLOOKUP($B36,Database!$B$1:$IX$10144,4,FALSE)))</f>
        <v>Parashos IA</v>
      </c>
      <c r="F36" s="22">
        <f>IF($B36="","",IF(LEN(VLOOKUP($B36,Database!$B$1:$IX$10144,5,FALSE))=0,"",VLOOKUP($B36,Database!$B$1:$IX$10144,5,FALSE)))</f>
        <v>1998</v>
      </c>
      <c r="G36" s="1" t="str">
        <f>IF($B36="","",HYPERLINK(IF(LEN(VLOOKUP($B36,Database!$B$1:$IX$10144,6,FALSE))=0,"",VLOOKUP($B36,Database!$B$1:$IX$10144,6,FALSE))))</f>
        <v>http://dx.doi.org/10.1016/S0925-4927(98)00042-0</v>
      </c>
      <c r="H36" s="22">
        <f>IF($B36="","",IF(LEN(VLOOKUP($B36,Database!$B$1:$IX$10144,7,FALSE))=0,"",VLOOKUP($B36,Database!$B$1:$IX$10144,7,FALSE)))</f>
        <v>72</v>
      </c>
      <c r="I36" s="22">
        <f>IF($B36="","",IF(LEN(VLOOKUP($B36,Database!$B$1:$IX$10144,8,FALSE))=0,"",VLOOKUP($B36,Database!$B$1:$IX$10144,8,FALSE)))</f>
        <v>38</v>
      </c>
      <c r="J36" t="s">
        <v>1068</v>
      </c>
      <c r="T36">
        <v>27.24</v>
      </c>
      <c r="U36">
        <v>15.25</v>
      </c>
      <c r="V36">
        <v>26.29</v>
      </c>
      <c r="W36">
        <v>16.91</v>
      </c>
      <c r="Y36" s="22" t="str">
        <f>IF(OR($B36="",Y$22=""),"",IF(LEN(VLOOKUP($B36,Database!$B$1:$IX$10144,Y$22,FALSE))=0,"",VLOOKUP($B36,Database!$B$1:$IX$10144,Y$22,FALSE)))</f>
        <v>DSM-III-R</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55.4</v>
      </c>
      <c r="AC36" s="22">
        <f>IF(OR($B36="",AC$22=""),"",IF(LEN(VLOOKUP($B36,Database!$B$1:$IX$10144,AC$22,FALSE))=0,"",VLOOKUP($B36,Database!$B$1:$IX$10144,AC$22,FALSE)))</f>
        <v>16.8</v>
      </c>
      <c r="AD36" s="22">
        <f>IF(OR($B36="",AD$22=""),"",IF(LEN(VLOOKUP($B36,Database!$B$1:$IX$10144,AD$22,FALSE))=0,"",VLOOKUP($B36,Database!$B$1:$IX$10144,AD$22,FALSE)))</f>
        <v>55.1</v>
      </c>
      <c r="AE36" s="22">
        <f>IF(OR($B36="",AE$22=""),"",IF(LEN(VLOOKUP($B36,Database!$B$1:$IX$10144,AE$22,FALSE))=0,"",VLOOKUP($B36,Database!$B$1:$IX$10144,AE$22,FALSE)))</f>
        <v>17.100000000000001</v>
      </c>
      <c r="AF36" s="22">
        <f>IF(OR($B36="",AF$22=""),"",IF(LEN(VLOOKUP($B36,Database!$B$1:$IX$10144,AF$22,FALSE))=0,"",VLOOKUP($B36,Database!$B$1:$IX$10144,AF$22,FALSE)))</f>
        <v>45</v>
      </c>
      <c r="AG36" s="22">
        <f>IF(OR($B36="",AG$22=""),"",IF(LEN(VLOOKUP($B36,Database!$B$1:$IX$10144,AG$22,FALSE))=0,"",VLOOKUP($B36,Database!$B$1:$IX$10144,AG$22,FALSE)))</f>
        <v>22</v>
      </c>
      <c r="AH36" s="22">
        <f>IF(OR($B36="",AH$22=""),"",IF(LEN(VLOOKUP($B36,Database!$B$1:$IX$10144,AH$22,FALSE))=0,"",VLOOKUP($B36,Database!$B$1:$IX$10144,AH$22,FALSE)))</f>
        <v>1.5</v>
      </c>
      <c r="AI36" s="22">
        <f>IF(OR($B36="",AI$22=""),"",IF(LEN(VLOOKUP($B36,Database!$B$1:$IX$10144,AI$22,FALSE))=0,"",VLOOKUP($B36,Database!$B$1:$IX$10144,AI$22,FALSE)))</f>
        <v>5</v>
      </c>
      <c r="AJ36" s="22" t="str">
        <f>IF(OR($B36="",AJ$22=""),"",IF(LEN(VLOOKUP($B36,Database!$B$1:$IX$10144,AJ$22,FALSE))=0,"",VLOOKUP($B36,Database!$B$1:$IX$10144,AJ$22,FALSE)))</f>
        <v/>
      </c>
      <c r="AK36" s="22">
        <f>IF(OR($B36="",AK$22=""),"",IF(LEN(VLOOKUP($B36,Database!$B$1:$IX$10144,AK$22,FALSE))=0,"",VLOOKUP($B36,Database!$B$1:$IX$10144,AK$22,FALSE)))</f>
        <v>38.5</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Parashos IA, Tupler LA, Blitchington T, Krishnan KR.</v>
      </c>
      <c r="AR36" s="13"/>
      <c r="BC36" s="23"/>
      <c r="BF36" s="136"/>
      <c r="BG36" s="136"/>
      <c r="BH36" s="136"/>
      <c r="BI36" s="136"/>
    </row>
    <row r="37" spans="1:140">
      <c r="B37">
        <v>11200955</v>
      </c>
      <c r="C37" s="1" t="str">
        <f>IF($B37="","",HYPERLINK(IF(LEN(VLOOKUP($B37,Database!$B$1:$IX$10144,2,FALSE))=0,"",VLOOKUP($B37,Database!$B$1:$IX$10144,2,FALSE))))</f>
        <v/>
      </c>
      <c r="D37" s="1" t="str">
        <f>IF($B37="","",HYPERLINK(CONCATENATE("http://www.ncbi.nlm.nih.gov/pubmed/",B37)))</f>
        <v>http://www.ncbi.nlm.nih.gov/pubmed/11200955</v>
      </c>
      <c r="E37" s="22" t="str">
        <f>IF($B37="","",IF(LEN(VLOOKUP($B37,Database!$B$1:$IX$10144,4,FALSE))=0,"",VLOOKUP($B37,Database!$B$1:$IX$10144,4,FALSE)))</f>
        <v>McIntosh AM</v>
      </c>
      <c r="F37" s="22">
        <f>IF($B37="","",IF(LEN(VLOOKUP($B37,Database!$B$1:$IX$10144,5,FALSE))=0,"",VLOOKUP($B37,Database!$B$1:$IX$10144,5,FALSE)))</f>
        <v>2001</v>
      </c>
      <c r="G37" s="1" t="str">
        <f>IF($B37="","",HYPERLINK(IF(LEN(VLOOKUP($B37,Database!$B$1:$IX$10144,6,FALSE))=0,"",VLOOKUP($B37,Database!$B$1:$IX$10144,6,FALSE))))</f>
        <v>http://dx.doi.org/10.1017/S0033291799003177</v>
      </c>
      <c r="H37" s="22">
        <f>IF($B37="","",IF(LEN(VLOOKUP($B37,Database!$B$1:$IX$10144,7,FALSE))=0,"",VLOOKUP($B37,Database!$B$1:$IX$10144,7,FALSE)))</f>
        <v>9</v>
      </c>
      <c r="I37" s="22">
        <f>IF($B37="","",IF(LEN(VLOOKUP($B37,Database!$B$1:$IX$10144,8,FALSE))=0,"",VLOOKUP($B37,Database!$B$1:$IX$10144,8,FALSE)))</f>
        <v>29</v>
      </c>
      <c r="J37" t="s">
        <v>2410</v>
      </c>
      <c r="L37">
        <v>7482</v>
      </c>
      <c r="M37">
        <v>4920</v>
      </c>
      <c r="N37">
        <v>5147</v>
      </c>
      <c r="O37">
        <v>3692</v>
      </c>
      <c r="P37">
        <v>5580</v>
      </c>
      <c r="Q37">
        <v>3883</v>
      </c>
      <c r="R37">
        <v>4894</v>
      </c>
      <c r="S37">
        <v>3556</v>
      </c>
      <c r="T37">
        <f>L37+P37</f>
        <v>13062</v>
      </c>
      <c r="U37">
        <f>2*SQRT(0.25*(M37^2+Q37^2+2*$F$8*M37*Q37))</f>
        <v>6267.7020509912563</v>
      </c>
      <c r="V37">
        <f>N37+R37</f>
        <v>10041</v>
      </c>
      <c r="W37">
        <f>2*SQRT(0.25*(O37^2+S37^2+2*$F$8*O37*S37))</f>
        <v>5126.0120951866666</v>
      </c>
      <c r="Y37" s="22" t="str">
        <f>IF(OR($B37="",Y$22=""),"",IF(LEN(VLOOKUP($B37,Database!$B$1:$IX$10144,Y$22,FALSE))=0,"",VLOOKUP($B37,Database!$B$1:$IX$10144,Y$22,FALSE)))</f>
        <v>DSM-III-R</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43.56</v>
      </c>
      <c r="AC37" s="22">
        <f>IF(OR($B37="",AC$22=""),"",IF(LEN(VLOOKUP($B37,Database!$B$1:$IX$10144,AC$22,FALSE))=0,"",VLOOKUP($B37,Database!$B$1:$IX$10144,AC$22,FALSE)))</f>
        <v>9.3800000000000008</v>
      </c>
      <c r="AD37" s="22">
        <f>IF(OR($B37="",AD$22=""),"",IF(LEN(VLOOKUP($B37,Database!$B$1:$IX$10144,AD$22,FALSE))=0,"",VLOOKUP($B37,Database!$B$1:$IX$10144,AD$22,FALSE)))</f>
        <v>42.76</v>
      </c>
      <c r="AE37" s="22">
        <f>IF(OR($B37="",AE$22=""),"",IF(LEN(VLOOKUP($B37,Database!$B$1:$IX$10144,AE$22,FALSE))=0,"",VLOOKUP($B37,Database!$B$1:$IX$10144,AE$22,FALSE)))</f>
        <v>9.91</v>
      </c>
      <c r="AF37" s="22">
        <f>IF(OR($B37="",AF$22=""),"",IF(LEN(VLOOKUP($B37,Database!$B$1:$IX$10144,AF$22,FALSE))=0,"",VLOOKUP($B37,Database!$B$1:$IX$10144,AF$22,FALSE)))</f>
        <v>5</v>
      </c>
      <c r="AG37" s="22">
        <f>IF(OR($B37="",AG$22=""),"",IF(LEN(VLOOKUP($B37,Database!$B$1:$IX$10144,AG$22,FALSE))=0,"",VLOOKUP($B37,Database!$B$1:$IX$10144,AG$22,FALSE)))</f>
        <v>16</v>
      </c>
      <c r="AH37" s="22">
        <f>IF(OR($B37="",AH$22=""),"",IF(LEN(VLOOKUP($B37,Database!$B$1:$IX$10144,AH$22,FALSE))=0,"",VLOOKUP($B37,Database!$B$1:$IX$10144,AH$22,FALSE)))</f>
        <v>1</v>
      </c>
      <c r="AI37" s="22">
        <f>IF(OR($B37="",AI$22=""),"",IF(LEN(VLOOKUP($B37,Database!$B$1:$IX$10144,AI$22,FALSE))=0,"",VLOOKUP($B37,Database!$B$1:$IX$10144,AI$22,FALSE)))</f>
        <v>1.88</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t="str">
        <f>IF(OR($B37="",AM$22=""),"",IF(LEN(VLOOKUP($B37,Database!$B$1:$IX$10144,AM$22,FALSE))=0,"",VLOOKUP($B37,Database!$B$1:$IX$10144,AM$22,FALSE)))</f>
        <v>ns</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A. M. McINTOSH, A. FORRESTER, S.M. LAWRIE, M. BYRNE, A. HARPER, J. N. KESTELMAN, J. J. K. BEST, P. MILLER, E. C. JOHNSTONE and D. G. C. OWENS</v>
      </c>
      <c r="AR37" s="13"/>
      <c r="BC37" s="23"/>
      <c r="BF37" s="136"/>
      <c r="BG37" s="136"/>
      <c r="BH37" s="136"/>
      <c r="BI37" s="136"/>
    </row>
    <row r="38" spans="1:140">
      <c r="B38">
        <v>11771978</v>
      </c>
      <c r="C38" s="1" t="str">
        <f>IF($B38="","",HYPERLINK(IF(LEN(VLOOKUP($B38,Database!$B$1:$IX$10144,2,FALSE))=0,"",VLOOKUP($B38,Database!$B$1:$IX$10144,2,FALSE))))</f>
        <v/>
      </c>
      <c r="D38" s="1" t="str">
        <f t="shared" si="0"/>
        <v>http://www.ncbi.nlm.nih.gov/pubmed/11771978</v>
      </c>
      <c r="E38" s="22" t="str">
        <f>IF($B38="","",IF(LEN(VLOOKUP($B38,Database!$B$1:$IX$10144,4,FALSE))=0,"",VLOOKUP($B38,Database!$B$1:$IX$10144,4,FALSE)))</f>
        <v>Pujol J</v>
      </c>
      <c r="F38" s="22">
        <f>IF($B38="","",IF(LEN(VLOOKUP($B38,Database!$B$1:$IX$10144,5,FALSE))=0,"",VLOOKUP($B38,Database!$B$1:$IX$10144,5,FALSE)))</f>
        <v>2002</v>
      </c>
      <c r="G38" s="1" t="str">
        <f>IF($B38="","",HYPERLINK(IF(LEN(VLOOKUP($B38,Database!$B$1:$IX$10144,6,FALSE))=0,"",VLOOKUP($B38,Database!$B$1:$IX$10144,6,FALSE))))</f>
        <v>http://dx.doi.org/10.1006/nimg.2001.0928</v>
      </c>
      <c r="H38" s="22">
        <f>IF($B38="","",IF(LEN(VLOOKUP($B38,Database!$B$1:$IX$10144,7,FALSE))=0,"",VLOOKUP($B38,Database!$B$1:$IX$10144,7,FALSE)))</f>
        <v>57</v>
      </c>
      <c r="I38" s="22">
        <f>IF($B38="","",IF(LEN(VLOOKUP($B38,Database!$B$1:$IX$10144,8,FALSE))=0,"",VLOOKUP($B38,Database!$B$1:$IX$10144,8,FALSE)))</f>
        <v>37</v>
      </c>
      <c r="J38" t="s">
        <v>1069</v>
      </c>
      <c r="T38">
        <v>23.1</v>
      </c>
      <c r="U38">
        <v>13.8</v>
      </c>
      <c r="V38">
        <v>14.3</v>
      </c>
      <c r="W38">
        <v>7</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60.8</v>
      </c>
      <c r="AC38" s="22">
        <f>IF(OR($B38="",AC$22=""),"",IF(LEN(VLOOKUP($B38,Database!$B$1:$IX$10144,AC$22,FALSE))=0,"",VLOOKUP($B38,Database!$B$1:$IX$10144,AC$22,FALSE)))</f>
        <v>9.3000000000000007</v>
      </c>
      <c r="AD38" s="22">
        <f>IF(OR($B38="",AD$22=""),"",IF(LEN(VLOOKUP($B38,Database!$B$1:$IX$10144,AD$22,FALSE))=0,"",VLOOKUP($B38,Database!$B$1:$IX$10144,AD$22,FALSE)))</f>
        <v>58.6</v>
      </c>
      <c r="AE38" s="22">
        <f>IF(OR($B38="",AE$22=""),"",IF(LEN(VLOOKUP($B38,Database!$B$1:$IX$10144,AE$22,FALSE))=0,"",VLOOKUP($B38,Database!$B$1:$IX$10144,AE$22,FALSE)))</f>
        <v>7.3</v>
      </c>
      <c r="AF38" s="22">
        <f>IF(OR($B38="",AF$22=""),"",IF(LEN(VLOOKUP($B38,Database!$B$1:$IX$10144,AF$22,FALSE))=0,"",VLOOKUP($B38,Database!$B$1:$IX$10144,AF$22,FALSE)))</f>
        <v>34</v>
      </c>
      <c r="AG38" s="22">
        <f>IF(OR($B38="",AG$22=""),"",IF(LEN(VLOOKUP($B38,Database!$B$1:$IX$10144,AG$22,FALSE))=0,"",VLOOKUP($B38,Database!$B$1:$IX$10144,AG$22,FALSE)))</f>
        <v>22</v>
      </c>
      <c r="AH38" s="22">
        <f>IF(OR($B38="",AH$22=""),"",IF(LEN(VLOOKUP($B38,Database!$B$1:$IX$10144,AH$22,FALSE))=0,"",VLOOKUP($B38,Database!$B$1:$IX$10144,AH$22,FALSE)))</f>
        <v>1.5</v>
      </c>
      <c r="AI38" s="22">
        <f>IF(OR($B38="",AI$22=""),"",IF(LEN(VLOOKUP($B38,Database!$B$1:$IX$10144,AI$22,FALSE))=0,"",VLOOKUP($B38,Database!$B$1:$IX$10144,AI$22,FALSE)))</f>
        <v>2.2999999999999998</v>
      </c>
      <c r="AJ38" s="22" t="str">
        <f>IF(OR($B38="",AJ$22=""),"",IF(LEN(VLOOKUP($B38,Database!$B$1:$IX$10144,AJ$22,FALSE))=0,"",VLOOKUP($B38,Database!$B$1:$IX$10144,AJ$22,FALSE)))</f>
        <v/>
      </c>
      <c r="AK38" s="22">
        <f>IF(OR($B38="",AK$22=""),"",IF(LEN(VLOOKUP($B38,Database!$B$1:$IX$10144,AK$22,FALSE))=0,"",VLOOKUP($B38,Database!$B$1:$IX$10144,AK$22,FALSE)))</f>
        <v>50</v>
      </c>
      <c r="AL38" s="22">
        <f>IF(OR($B38="",AL$22=""),"",IF(LEN(VLOOKUP($B38,Database!$B$1:$IX$10144,AL$22,FALSE))=0,"",VLOOKUP($B38,Database!$B$1:$IX$10144,AL$22,FALSE)))</f>
        <v>28.8</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Pujol J, Cardoner N, Benlloch L, Urretavizcaya M, Deus J, Losilla JM, Capdevila A, Vallejo J.</v>
      </c>
      <c r="AR38" s="13"/>
      <c r="BC38" s="23"/>
      <c r="BF38" s="136"/>
      <c r="BG38" s="136"/>
      <c r="BH38" s="136"/>
      <c r="BI38" s="136"/>
    </row>
    <row r="39" spans="1:140">
      <c r="B39">
        <v>15172942</v>
      </c>
      <c r="C39" s="1" t="str">
        <f>IF($B39="","",HYPERLINK(IF(LEN(VLOOKUP($B39,Database!$B$1:$IX$10144,2,FALSE))=0,"",VLOOKUP($B39,Database!$B$1:$IX$10144,2,FALSE))))</f>
        <v/>
      </c>
      <c r="D39" s="1" t="str">
        <f>IF($B39="","",HYPERLINK(CONCATENATE("http://www.ncbi.nlm.nih.gov/pubmed/",B39)))</f>
        <v>http://www.ncbi.nlm.nih.gov/pubmed/15172942</v>
      </c>
      <c r="E39" s="22" t="str">
        <f>IF($B39="","",IF(LEN(VLOOKUP($B39,Database!$B$1:$IX$10144,4,FALSE))=0,"",VLOOKUP($B39,Database!$B$1:$IX$10144,4,FALSE)))</f>
        <v>Lloyd AJ</v>
      </c>
      <c r="F39" s="22">
        <f>IF($B39="","",IF(LEN(VLOOKUP($B39,Database!$B$1:$IX$10144,5,FALSE))=0,"",VLOOKUP($B39,Database!$B$1:$IX$10144,5,FALSE)))</f>
        <v>2004</v>
      </c>
      <c r="G39" s="1" t="str">
        <f>IF($B39="","",HYPERLINK(IF(LEN(VLOOKUP($B39,Database!$B$1:$IX$10144,6,FALSE))=0,"",VLOOKUP($B39,Database!$B$1:$IX$10144,6,FALSE))))</f>
        <v>http://bjp.rcpsych.org/cgi/reprint/184/6/488</v>
      </c>
      <c r="H39" s="22">
        <f>IF($B39="","",IF(LEN(VLOOKUP($B39,Database!$B$1:$IX$10144,7,FALSE))=0,"",VLOOKUP($B39,Database!$B$1:$IX$10144,7,FALSE)))</f>
        <v>51</v>
      </c>
      <c r="I39" s="22">
        <f>IF($B39="","",IF(LEN(VLOOKUP($B39,Database!$B$1:$IX$10144,8,FALSE))=0,"",VLOOKUP($B39,Database!$B$1:$IX$10144,8,FALSE)))</f>
        <v>39</v>
      </c>
      <c r="J39" t="s">
        <v>2412</v>
      </c>
      <c r="K39" t="s">
        <v>2411</v>
      </c>
      <c r="L39">
        <v>13.2</v>
      </c>
      <c r="M39">
        <v>8.5</v>
      </c>
      <c r="N39">
        <v>11</v>
      </c>
      <c r="O39">
        <v>9.1999999999999993</v>
      </c>
      <c r="P39">
        <v>12.2</v>
      </c>
      <c r="Q39">
        <v>8.3000000000000007</v>
      </c>
      <c r="R39">
        <v>9.8000000000000007</v>
      </c>
      <c r="S39">
        <v>7.3</v>
      </c>
      <c r="T39">
        <f>L39+P39</f>
        <v>25.4</v>
      </c>
      <c r="U39">
        <f>2*SQRT(0.25*(M39^2+Q39^2+2*$F$8*M39*Q39))</f>
        <v>11.880235687897779</v>
      </c>
      <c r="V39">
        <f>N39+R39</f>
        <v>20.8</v>
      </c>
      <c r="W39">
        <f>2*SQRT(0.25*(O39^2+S39^2+2*$F$8*O39*S39))</f>
        <v>11.744360348695027</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74</v>
      </c>
      <c r="AC39" s="22">
        <f>IF(OR($B39="",AC$22=""),"",IF(LEN(VLOOKUP($B39,Database!$B$1:$IX$10144,AC$22,FALSE))=0,"",VLOOKUP($B39,Database!$B$1:$IX$10144,AC$22,FALSE)))</f>
        <v>6.3</v>
      </c>
      <c r="AD39" s="22">
        <f>IF(OR($B39="",AD$22=""),"",IF(LEN(VLOOKUP($B39,Database!$B$1:$IX$10144,AD$22,FALSE))=0,"",VLOOKUP($B39,Database!$B$1:$IX$10144,AD$22,FALSE)))</f>
        <v>73.099999999999994</v>
      </c>
      <c r="AE39" s="22">
        <f>IF(OR($B39="",AE$22=""),"",IF(LEN(VLOOKUP($B39,Database!$B$1:$IX$10144,AE$22,FALSE))=0,"",VLOOKUP($B39,Database!$B$1:$IX$10144,AE$22,FALSE)))</f>
        <v>6.7</v>
      </c>
      <c r="AF39" s="22">
        <f>IF(OR($B39="",AF$22=""),"",IF(LEN(VLOOKUP($B39,Database!$B$1:$IX$10144,AF$22,FALSE))=0,"",VLOOKUP($B39,Database!$B$1:$IX$10144,AF$22,FALSE)))</f>
        <v>41</v>
      </c>
      <c r="AG39" s="22">
        <f>IF(OR($B39="",AG$22=""),"",IF(LEN(VLOOKUP($B39,Database!$B$1:$IX$10144,AG$22,FALSE))=0,"",VLOOKUP($B39,Database!$B$1:$IX$10144,AG$22,FALSE)))</f>
        <v>29</v>
      </c>
      <c r="AH39" s="22">
        <f>IF(OR($B39="",AH$22=""),"",IF(LEN(VLOOKUP($B39,Database!$B$1:$IX$10144,AH$22,FALSE))=0,"",VLOOKUP($B39,Database!$B$1:$IX$10144,AH$22,FALSE)))</f>
        <v>1</v>
      </c>
      <c r="AI39" s="22">
        <f>IF(OR($B39="",AI$22=""),"",IF(LEN(VLOOKUP($B39,Database!$B$1:$IX$10144,AI$22,FALSE))=0,"",VLOOKUP($B39,Database!$B$1:$IX$10144,AI$22,FALSE)))</f>
        <v>1</v>
      </c>
      <c r="AJ39" s="22" t="str">
        <f>IF(OR($B39="",AJ$22=""),"",IF(LEN(VLOOKUP($B39,Database!$B$1:$IX$10144,AJ$22,FALSE))=0,"",VLOOKUP($B39,Database!$B$1:$IX$10144,AJ$22,FALSE)))</f>
        <v/>
      </c>
      <c r="AK39" s="214">
        <v>57</v>
      </c>
      <c r="AL39" s="22" t="str">
        <f>IF(OR($B39="",AL$22=""),"",IF(LEN(VLOOKUP($B39,Database!$B$1:$IX$10144,AL$22,FALSE))=0,"",VLOOKUP($B39,Database!$B$1:$IX$10144,AL$22,FALSE)))</f>
        <v>ns</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Lloyd AJ, Ferrier IN, Barber R, Gholkar A, Young AH, O'Brien JT.</v>
      </c>
      <c r="AR39" s="13"/>
      <c r="BC39" s="23"/>
      <c r="BF39" s="136"/>
      <c r="BG39" s="136"/>
      <c r="BH39" s="136"/>
      <c r="BI39" s="136"/>
    </row>
    <row r="40" spans="1:140">
      <c r="A40" s="4" t="s">
        <v>1510</v>
      </c>
      <c r="C40" s="1" t="str">
        <f>IF($B40="","",HYPERLINK(IF(LEN(VLOOKUP($B40,Database!$B$1:$IX$10144,2,FALSE))=0,"",VLOOKUP($B40,Database!$B$1:$IX$10144,2,FALSE))))</f>
        <v/>
      </c>
      <c r="D40" s="1" t="str">
        <f t="shared" si="0"/>
        <v/>
      </c>
      <c r="E40" s="22" t="str">
        <f>IF($B40="","",IF(LEN(VLOOKUP($B40,Database!$B$1:$IX$10144,4,FALSE))=0,"",VLOOKUP($B40,Database!$B$1:$IX$10144,4,FALSE)))</f>
        <v/>
      </c>
      <c r="F40" s="22" t="str">
        <f>IF($B40="","",IF(LEN(VLOOKUP($B40,Database!$B$1:$IX$10144,5,FALSE))=0,"",VLOOKUP($B40,Database!$B$1:$IX$10144,5,FALSE)))</f>
        <v/>
      </c>
      <c r="G40" s="1" t="str">
        <f>IF($B40="","",HYPERLINK(IF(LEN(VLOOKUP($B40,Database!$B$1:$IX$10144,6,FALSE))=0,"",VLOOKUP($B40,Database!$B$1:$IX$10144,6,FALSE))))</f>
        <v/>
      </c>
      <c r="H40" s="22" t="str">
        <f>IF($B40="","",IF(LEN(VLOOKUP($B40,Database!$B$1:$IX$10144,7,FALSE))=0,"",VLOOKUP($B40,Database!$B$1:$IX$10144,7,FALSE)))</f>
        <v/>
      </c>
      <c r="I40" s="22" t="str">
        <f>IF($B40="","",IF(LEN(VLOOKUP($B40,Database!$B$1:$IX$10144,8,FALSE))=0,"",VLOOKUP($B40,Database!$B$1:$IX$10144,8,FALSE)))</f>
        <v/>
      </c>
      <c r="Y40" s="22" t="str">
        <f>IF(OR($B40="",Y$22=""),"",IF(LEN(VLOOKUP($B40,Database!$B$1:$IX$10144,Y$22,FALSE))=0,"",VLOOKUP($B40,Database!$B$1:$IX$10144,Y$22,FALSE)))</f>
        <v/>
      </c>
      <c r="Z40" s="22" t="str">
        <f>IF(OR($B40="",Z$22=""),"",IF(LEN(VLOOKUP($B40,Database!$B$1:$IX$10144,Z$22,FALSE))=0,"",VLOOKUP($B40,Database!$B$1:$IX$10144,Z$22,FALSE)))</f>
        <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t="str">
        <f>IF(OR($B40="",AD$22=""),"",IF(LEN(VLOOKUP($B40,Database!$B$1:$IX$10144,AD$22,FALSE))=0,"",VLOOKUP($B40,Database!$B$1:$IX$10144,AD$22,FALSE)))</f>
        <v/>
      </c>
      <c r="AE40" s="22" t="str">
        <f>IF(OR($B40="",AE$22=""),"",IF(LEN(VLOOKUP($B40,Database!$B$1:$IX$10144,AE$22,FALSE))=0,"",VLOOKUP($B40,Database!$B$1:$IX$10144,AE$22,FALSE)))</f>
        <v/>
      </c>
      <c r="AF40" s="22" t="str">
        <f>IF(OR($B40="",AF$22=""),"",IF(LEN(VLOOKUP($B40,Database!$B$1:$IX$10144,AF$22,FALSE))=0,"",VLOOKUP($B40,Database!$B$1:$IX$10144,AF$22,FALSE)))</f>
        <v/>
      </c>
      <c r="AG40" s="22" t="str">
        <f>IF(OR($B40="",AG$22=""),"",IF(LEN(VLOOKUP($B40,Database!$B$1:$IX$10144,AG$22,FALSE))=0,"",VLOOKUP($B40,Database!$B$1:$IX$10144,AG$22,FALSE)))</f>
        <v/>
      </c>
      <c r="AH40" s="22" t="str">
        <f>IF(OR($B40="",AH$22=""),"",IF(LEN(VLOOKUP($B40,Database!$B$1:$IX$10144,AH$22,FALSE))=0,"",VLOOKUP($B40,Database!$B$1:$IX$10144,AH$22,FALSE)))</f>
        <v/>
      </c>
      <c r="AI40" s="22" t="str">
        <f>IF(OR($B40="",AI$22=""),"",IF(LEN(VLOOKUP($B40,Database!$B$1:$IX$10144,AI$22,FALSE))=0,"",VLOOKUP($B40,Database!$B$1:$IX$10144,AI$22,FALSE)))</f>
        <v/>
      </c>
      <c r="AJ40" s="22" t="str">
        <f>IF(OR($B40="",AJ$22=""),"",IF(LEN(VLOOKUP($B40,Database!$B$1:$IX$10144,AJ$22,FALSE))=0,"",VLOOKUP($B40,Database!$B$1:$IX$10144,AJ$22,FALSE)))</f>
        <v/>
      </c>
      <c r="AK40" s="22" t="str">
        <f>IF(OR($B40="",AK$22=""),"",IF(LEN(VLOOKUP($B40,Database!$B$1:$IX$10144,AK$22,FALSE))=0,"",VLOOKUP($B40,Database!$B$1:$IX$10144,AK$22,FALSE)))</f>
        <v/>
      </c>
      <c r="AL40" s="22" t="str">
        <f>IF(OR($B40="",AL$22=""),"",IF(LEN(VLOOKUP($B40,Database!$B$1:$IX$10144,AL$22,FALSE))=0,"",VLOOKUP($B40,Database!$B$1:$IX$10144,AL$22,FALSE)))</f>
        <v/>
      </c>
      <c r="AM40" s="22" t="str">
        <f>IF(OR($B40="",AM$22=""),"",IF(LEN(VLOOKUP($B40,Database!$B$1:$IX$10144,AM$22,FALSE))=0,"",VLOOKUP($B40,Database!$B$1:$IX$10144,AM$22,FALSE)))</f>
        <v/>
      </c>
      <c r="AN40" s="22" t="str">
        <f>IF(OR($B40="",AN$22=""),"",IF(LEN(VLOOKUP($B40,Database!$B$1:$IX$10144,AN$22,FALSE))=0,"",VLOOKUP($B40,Database!$B$1:$IX$10144,AN$22,FALSE)))</f>
        <v/>
      </c>
      <c r="AO40" s="22" t="str">
        <f>IF(OR($B40="",AO$22=""),"",IF(LEN(VLOOKUP($B40,Database!$B$1:$IX$10144,AO$22,FALSE))=0,"",VLOOKUP($B40,Database!$B$1:$IX$10144,AO$22,FALSE)))</f>
        <v/>
      </c>
      <c r="AP40" s="22" t="str">
        <f>IF(OR($B40="",AP$22=""),"",IF(LEN(VLOOKUP($B40,Database!$B$1:$IX$10144,AP$22,FALSE))=0,"",VLOOKUP($B40,Database!$B$1:$IX$10144,AP$22,FALSE)))</f>
        <v/>
      </c>
      <c r="AQ40" s="22" t="str">
        <f>IF(OR($B40="",AQ$22=""),"",IF(LEN(VLOOKUP($B40,Database!$B$1:$IX$10144,AQ$22,FALSE))=0,"",VLOOKUP($B40,Database!$B$1:$IX$10144,AQ$22,FALSE)))</f>
        <v/>
      </c>
      <c r="AR40" s="13"/>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row>
    <row r="41" spans="1:140">
      <c r="A41" s="10" t="s">
        <v>1675</v>
      </c>
      <c r="B41">
        <v>1827478</v>
      </c>
      <c r="C41" s="1" t="str">
        <f>IF($B41="","",HYPERLINK(IF(LEN(VLOOKUP($B41,Database!$B$1:$IX$10144,2,FALSE))=0,"",VLOOKUP($B41,Database!$B$1:$IX$10144,2,FALSE))))</f>
        <v/>
      </c>
      <c r="D41" s="1" t="str">
        <f t="shared" ref="D41:D46" si="1">IF($B41="","",HYPERLINK(CONCATENATE("http://www.ncbi.nlm.nih.gov/pubmed/",B41)))</f>
        <v>http://www.ncbi.nlm.nih.gov/pubmed/1827478</v>
      </c>
      <c r="E41" s="22" t="str">
        <f>IF($B41="","",IF(LEN(VLOOKUP($B41,Database!$B$1:$IX$10144,4,FALSE))=0,"",VLOOKUP($B41,Database!$B$1:$IX$10144,4,FALSE)))</f>
        <v>Van den Bossche B</v>
      </c>
      <c r="F41" s="22">
        <f>IF($B41="","",IF(LEN(VLOOKUP($B41,Database!$B$1:$IX$10144,5,FALSE))=0,"",VLOOKUP($B41,Database!$B$1:$IX$10144,5,FALSE)))</f>
        <v>1991</v>
      </c>
      <c r="G41" s="1" t="str">
        <f>IF($B41="","",HYPERLINK(IF(LEN(VLOOKUP($B41,Database!$B$1:$IX$10144,6,FALSE))=0,"",VLOOKUP($B41,Database!$B$1:$IX$10144,6,FALSE))))</f>
        <v>http://dx.doi.org/10.1016/0165-0327(91)90020-S</v>
      </c>
      <c r="H41" s="22">
        <f>IF($B41="","",IF(LEN(VLOOKUP($B41,Database!$B$1:$IX$10144,7,FALSE))=0,"",VLOOKUP($B41,Database!$B$1:$IX$10144,7,FALSE)))</f>
        <v>22</v>
      </c>
      <c r="I41" s="22">
        <f>IF($B41="","",IF(LEN(VLOOKUP($B41,Database!$B$1:$IX$10144,8,FALSE))=0,"",VLOOKUP($B41,Database!$B$1:$IX$10144,8,FALSE)))</f>
        <v>10</v>
      </c>
      <c r="Y41" s="22" t="str">
        <f>IF(OR($B41="",Y$22=""),"",IF(LEN(VLOOKUP($B41,Database!$B$1:$IX$10144,Y$22,FALSE))=0,"",VLOOKUP($B41,Database!$B$1:$IX$10144,Y$22,FALSE)))</f>
        <v>DSM-III-R</v>
      </c>
      <c r="Z41" s="22" t="str">
        <f>IF(OR($B41="",Z$22=""),"",IF(LEN(VLOOKUP($B41,Database!$B$1:$IX$10144,Z$22,FALSE))=0,"",VLOOKUP($B41,Database!$B$1:$IX$10144,Z$22,FALSE)))</f>
        <v>CT</v>
      </c>
      <c r="AA41" s="22" t="str">
        <f>IF(OR($B41="",AA$22=""),"",IF(LEN(VLOOKUP($B41,Database!$B$1:$IX$10144,AA$22,FALSE))=0,"",VLOOKUP($B41,Database!$B$1:$IX$10144,AA$22,FALSE)))</f>
        <v/>
      </c>
      <c r="AB41" s="22">
        <f>IF(OR($B41="",AB$22=""),"",IF(LEN(VLOOKUP($B41,Database!$B$1:$IX$10144,AB$22,FALSE))=0,"",VLOOKUP($B41,Database!$B$1:$IX$10144,AB$22,FALSE)))</f>
        <v>51.2</v>
      </c>
      <c r="AC41" s="22">
        <f>IF(OR($B41="",AC$22=""),"",IF(LEN(VLOOKUP($B41,Database!$B$1:$IX$10144,AC$22,FALSE))=0,"",VLOOKUP($B41,Database!$B$1:$IX$10144,AC$22,FALSE)))</f>
        <v>13.9</v>
      </c>
      <c r="AD41" s="22">
        <f>IF(OR($B41="",AD$22=""),"",IF(LEN(VLOOKUP($B41,Database!$B$1:$IX$10144,AD$22,FALSE))=0,"",VLOOKUP($B41,Database!$B$1:$IX$10144,AD$22,FALSE)))</f>
        <v>49.1</v>
      </c>
      <c r="AE41" s="22">
        <f>IF(OR($B41="",AE$22=""),"",IF(LEN(VLOOKUP($B41,Database!$B$1:$IX$10144,AE$22,FALSE))=0,"",VLOOKUP($B41,Database!$B$1:$IX$10144,AE$22,FALSE)))</f>
        <v>15.7</v>
      </c>
      <c r="AF41" s="22">
        <f>IF(OR($B41="",AF$22=""),"",IF(LEN(VLOOKUP($B41,Database!$B$1:$IX$10144,AF$22,FALSE))=0,"",VLOOKUP($B41,Database!$B$1:$IX$10144,AF$22,FALSE)))</f>
        <v>16</v>
      </c>
      <c r="AG41" s="22">
        <f>IF(OR($B41="",AG$22=""),"",IF(LEN(VLOOKUP($B41,Database!$B$1:$IX$10144,AG$22,FALSE))=0,"",VLOOKUP($B41,Database!$B$1:$IX$10144,AG$22,FALSE)))</f>
        <v>6</v>
      </c>
      <c r="AH41" s="22" t="str">
        <f>IF(OR($B41="",AH$22=""),"",IF(LEN(VLOOKUP($B41,Database!$B$1:$IX$10144,AH$22,FALSE))=0,"",VLOOKUP($B41,Database!$B$1:$IX$10144,AH$22,FALSE)))</f>
        <v/>
      </c>
      <c r="AI41" s="22">
        <f>IF(OR($B41="",AI$22=""),"",IF(LEN(VLOOKUP($B41,Database!$B$1:$IX$10144,AI$22,FALSE))=0,"",VLOOKUP($B41,Database!$B$1:$IX$10144,AI$22,FALSE)))</f>
        <v>10</v>
      </c>
      <c r="AJ41" s="22" t="str">
        <f>IF(OR($B41="",AJ$22=""),"",IF(LEN(VLOOKUP($B41,Database!$B$1:$IX$10144,AJ$22,FALSE))=0,"",VLOOKUP($B41,Database!$B$1:$IX$10144,AJ$22,FALSE)))</f>
        <v/>
      </c>
      <c r="AK41" s="22" t="str">
        <f>IF(OR($B41="",AK$22=""),"",IF(LEN(VLOOKUP($B41,Database!$B$1:$IX$10144,AK$22,FALSE))=0,"",VLOOKUP($B41,Database!$B$1:$IX$10144,AK$22,FALSE)))</f>
        <v>ns</v>
      </c>
      <c r="AL41" s="22">
        <f>IF(OR($B41="",AL$22=""),"",IF(LEN(VLOOKUP($B41,Database!$B$1:$IX$10144,AL$22,FALSE))=0,"",VLOOKUP($B41,Database!$B$1:$IX$10144,AL$22,FALSE)))</f>
        <v>24.4</v>
      </c>
      <c r="AM41" s="22">
        <f>IF(OR($B41="",AM$22=""),"",IF(LEN(VLOOKUP($B41,Database!$B$1:$IX$10144,AM$22,FALSE))=0,"",VLOOKUP($B41,Database!$B$1:$IX$10144,AM$22,FALSE)))</f>
        <v>0</v>
      </c>
      <c r="AN41" s="22">
        <f>IF(OR($B41="",AN$22=""),"",IF(LEN(VLOOKUP($B41,Database!$B$1:$IX$10144,AN$22,FALSE))=0,"",VLOOKUP($B41,Database!$B$1:$IX$10144,AN$22,FALSE)))</f>
        <v>0</v>
      </c>
      <c r="AO41" s="22">
        <f>IF(OR($B41="",AO$22=""),"",IF(LEN(VLOOKUP($B41,Database!$B$1:$IX$10144,AO$22,FALSE))=0,"",VLOOKUP($B41,Database!$B$1:$IX$10144,AO$22,FALSE)))</f>
        <v>0</v>
      </c>
      <c r="AP41" s="22" t="str">
        <f>IF(OR($B41="",AP$22=""),"",IF(LEN(VLOOKUP($B41,Database!$B$1:$IX$10144,AP$22,FALSE))=0,"",VLOOKUP($B41,Database!$B$1:$IX$10144,AP$22,FALSE)))</f>
        <v>ns</v>
      </c>
      <c r="AQ41" s="22" t="str">
        <f>IF(OR($B41="",AQ$22=""),"",IF(LEN(VLOOKUP($B41,Database!$B$1:$IX$10144,AQ$22,FALSE))=0,"",VLOOKUP($B41,Database!$B$1:$IX$10144,AQ$22,FALSE)))</f>
        <v>Van den Bossche B, Maes M, Brussaard C, Schotte C, Cosyns P, De Moor J, De Schepper A.</v>
      </c>
      <c r="AR41" s="13"/>
    </row>
    <row r="42" spans="1:140">
      <c r="A42" s="10" t="s">
        <v>726</v>
      </c>
      <c r="B42">
        <v>1319168</v>
      </c>
      <c r="C42" s="1" t="str">
        <f>IF($B42="","",HYPERLINK(IF(LEN(VLOOKUP($B42,Database!$B$1:$IX$10144,2,FALSE))=0,"",VLOOKUP($B42,Database!$B$1:$IX$10144,2,FALSE))))</f>
        <v/>
      </c>
      <c r="D42" s="1" t="str">
        <f t="shared" si="1"/>
        <v>http://www.ncbi.nlm.nih.gov/pubmed/1319168</v>
      </c>
      <c r="E42" s="22" t="str">
        <f>IF($B42="","",IF(LEN(VLOOKUP($B42,Database!$B$1:$IX$10144,4,FALSE))=0,"",VLOOKUP($B42,Database!$B$1:$IX$10144,4,FALSE)))</f>
        <v>Risch SC</v>
      </c>
      <c r="F42" s="22">
        <f>IF($B42="","",IF(LEN(VLOOKUP($B42,Database!$B$1:$IX$10144,5,FALSE))=0,"",VLOOKUP($B42,Database!$B$1:$IX$10144,5,FALSE)))</f>
        <v>1992</v>
      </c>
      <c r="G42" s="1" t="str">
        <f>IF($B42="","",HYPERLINK(IF(LEN(VLOOKUP($B42,Database!$B$1:$IX$10144,6,FALSE))=0,"",VLOOKUP($B42,Database!$B$1:$IX$10144,6,FALSE))))</f>
        <v>Not available on internet</v>
      </c>
      <c r="H42" s="22">
        <f>IF($B42="","",IF(LEN(VLOOKUP($B42,Database!$B$1:$IX$10144,7,FALSE))=0,"",VLOOKUP($B42,Database!$B$1:$IX$10144,7,FALSE)))</f>
        <v>12</v>
      </c>
      <c r="I42" s="22">
        <f>IF($B42="","",IF(LEN(VLOOKUP($B42,Database!$B$1:$IX$10144,8,FALSE))=0,"",VLOOKUP($B42,Database!$B$1:$IX$10144,8,FALSE)))</f>
        <v>68</v>
      </c>
      <c r="Y42" s="22" t="str">
        <f>IF(OR($B42="",Y$22=""),"",IF(LEN(VLOOKUP($B42,Database!$B$1:$IX$10144,Y$22,FALSE))=0,"",VLOOKUP($B42,Database!$B$1:$IX$10144,Y$22,FALSE)))</f>
        <v>RDC</v>
      </c>
      <c r="Z42" s="22" t="str">
        <f>IF(OR($B42="",Z$22=""),"",IF(LEN(VLOOKUP($B42,Database!$B$1:$IX$10144,Z$22,FALSE))=0,"",VLOOKUP($B42,Database!$B$1:$IX$10144,Z$22,FALSE)))</f>
        <v>MRI</v>
      </c>
      <c r="AA42" s="22" t="str">
        <f>IF(OR($B42="",AA$22=""),"",IF(LEN(VLOOKUP($B42,Database!$B$1:$IX$10144,AA$22,FALSE))=0,"",VLOOKUP($B42,Database!$B$1:$IX$10144,AA$22,FALSE)))</f>
        <v/>
      </c>
      <c r="AB42" s="22" t="str">
        <f>IF(OR($B42="",AB$22=""),"",IF(LEN(VLOOKUP($B42,Database!$B$1:$IX$10144,AB$22,FALSE))=0,"",VLOOKUP($B42,Database!$B$1:$IX$10144,AB$22,FALSE)))</f>
        <v/>
      </c>
      <c r="AC42" s="22" t="str">
        <f>IF(OR($B42="",AC$22=""),"",IF(LEN(VLOOKUP($B42,Database!$B$1:$IX$10144,AC$22,FALSE))=0,"",VLOOKUP($B42,Database!$B$1:$IX$10144,AC$22,FALSE)))</f>
        <v/>
      </c>
      <c r="AD42" s="22" t="str">
        <f>IF(OR($B42="",AD$22=""),"",IF(LEN(VLOOKUP($B42,Database!$B$1:$IX$10144,AD$22,FALSE))=0,"",VLOOKUP($B42,Database!$B$1:$IX$10144,AD$22,FALSE)))</f>
        <v/>
      </c>
      <c r="AE42" s="22" t="str">
        <f>IF(OR($B42="",AE$22=""),"",IF(LEN(VLOOKUP($B42,Database!$B$1:$IX$10144,AE$22,FALSE))=0,"",VLOOKUP($B42,Database!$B$1:$IX$10144,AE$22,FALSE)))</f>
        <v/>
      </c>
      <c r="AF42" s="22" t="str">
        <f>IF(OR($B42="",AF$22=""),"",IF(LEN(VLOOKUP($B42,Database!$B$1:$IX$10144,AF$22,FALSE))=0,"",VLOOKUP($B42,Database!$B$1:$IX$10144,AF$22,FALSE)))</f>
        <v/>
      </c>
      <c r="AG42" s="22" t="str">
        <f>IF(OR($B42="",AG$22=""),"",IF(LEN(VLOOKUP($B42,Database!$B$1:$IX$10144,AG$22,FALSE))=0,"",VLOOKUP($B42,Database!$B$1:$IX$10144,AG$22,FALSE)))</f>
        <v/>
      </c>
      <c r="AH42" s="22">
        <f>IF(OR($B42="",AH$22=""),"",IF(LEN(VLOOKUP($B42,Database!$B$1:$IX$10144,AH$22,FALSE))=0,"",VLOOKUP($B42,Database!$B$1:$IX$10144,AH$22,FALSE)))</f>
        <v>1.5</v>
      </c>
      <c r="AI42" s="22">
        <f>IF(OR($B42="",AI$22=""),"",IF(LEN(VLOOKUP($B42,Database!$B$1:$IX$10144,AI$22,FALSE))=0,"",VLOOKUP($B42,Database!$B$1:$IX$10144,AI$22,FALSE)))</f>
        <v>8</v>
      </c>
      <c r="AJ42" s="22" t="str">
        <f>IF(OR($B42="",AJ$22=""),"",IF(LEN(VLOOKUP($B42,Database!$B$1:$IX$10144,AJ$22,FALSE))=0,"",VLOOKUP($B42,Database!$B$1:$IX$10144,AJ$22,FALSE)))</f>
        <v/>
      </c>
      <c r="AK42" s="22" t="str">
        <f>IF(OR($B42="",AK$22=""),"",IF(LEN(VLOOKUP($B42,Database!$B$1:$IX$10144,AK$22,FALSE))=0,"",VLOOKUP($B42,Database!$B$1:$IX$10144,AK$22,FALSE)))</f>
        <v>ns</v>
      </c>
      <c r="AL42" s="22" t="str">
        <f>IF(OR($B42="",AL$22=""),"",IF(LEN(VLOOKUP($B42,Database!$B$1:$IX$10144,AL$22,FALSE))=0,"",VLOOKUP($B42,Database!$B$1:$IX$10144,AL$22,FALSE)))</f>
        <v>ns</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Risch SC, Lewine RJ, Kalin NH, Jewart RD, Risby ED, Caudle JM, Stipetic M, Turner J, Eccard MB, Pollard WE.</v>
      </c>
      <c r="AR42" s="13"/>
    </row>
    <row r="43" spans="1:140">
      <c r="A43" s="10" t="s">
        <v>1372</v>
      </c>
      <c r="B43">
        <v>8080344</v>
      </c>
      <c r="C43" s="1" t="str">
        <f>IF($B43="","",HYPERLINK(IF(LEN(VLOOKUP($B43,Database!$B$1:$IX$10144,2,FALSE))=0,"",VLOOKUP($B43,Database!$B$1:$IX$10144,2,FALSE))))</f>
        <v/>
      </c>
      <c r="D43" s="1" t="str">
        <f t="shared" si="1"/>
        <v>http://www.ncbi.nlm.nih.gov/pubmed/8080344</v>
      </c>
      <c r="E43" s="22" t="str">
        <f>IF($B43="","",IF(LEN(VLOOKUP($B43,Database!$B$1:$IX$10144,4,FALSE))=0,"",VLOOKUP($B43,Database!$B$1:$IX$10144,4,FALSE)))</f>
        <v>Lesser IM</v>
      </c>
      <c r="F43" s="22">
        <f>IF($B43="","",IF(LEN(VLOOKUP($B43,Database!$B$1:$IX$10144,5,FALSE))=0,"",VLOOKUP($B43,Database!$B$1:$IX$10144,5,FALSE)))</f>
        <v>1994</v>
      </c>
      <c r="G43" s="1" t="str">
        <f>IF($B43="","",HYPERLINK(IF(LEN(VLOOKUP($B43,Database!$B$1:$IX$10144,6,FALSE))=0,"",VLOOKUP($B43,Database!$B$1:$IX$10144,6,FALSE))))</f>
        <v>http://archpsyc.ama-assn.org/cgi/reprint/51/9/677</v>
      </c>
      <c r="H43" s="22">
        <f>IF($B43="","",IF(LEN(VLOOKUP($B43,Database!$B$1:$IX$10144,7,FALSE))=0,"",VLOOKUP($B43,Database!$B$1:$IX$10144,7,FALSE)))</f>
        <v>39</v>
      </c>
      <c r="I43" s="22">
        <f>IF($B43="","",IF(LEN(VLOOKUP($B43,Database!$B$1:$IX$10144,8,FALSE))=0,"",VLOOKUP($B43,Database!$B$1:$IX$10144,8,FALSE)))</f>
        <v>20</v>
      </c>
      <c r="Y43" s="22" t="str">
        <f>IF(OR($B43="",Y$22=""),"",IF(LEN(VLOOKUP($B43,Database!$B$1:$IX$10144,Y$22,FALSE))=0,"",VLOOKUP($B43,Database!$B$1:$IX$10144,Y$22,FALSE)))</f>
        <v>DSM-III-R</v>
      </c>
      <c r="Z43" s="22" t="str">
        <f>IF(OR($B43="",Z$22=""),"",IF(LEN(VLOOKUP($B43,Database!$B$1:$IX$10144,Z$22,FALSE))=0,"",VLOOKUP($B43,Database!$B$1:$IX$10144,Z$22,FALSE)))</f>
        <v>MRI</v>
      </c>
      <c r="AA43" s="22" t="str">
        <f>IF(OR($B43="",AA$22=""),"",IF(LEN(VLOOKUP($B43,Database!$B$1:$IX$10144,AA$22,FALSE))=0,"",VLOOKUP($B43,Database!$B$1:$IX$10144,AA$22,FALSE)))</f>
        <v/>
      </c>
      <c r="AB43" s="22">
        <f>IF(OR($B43="",AB$22=""),"",IF(LEN(VLOOKUP($B43,Database!$B$1:$IX$10144,AB$22,FALSE))=0,"",VLOOKUP($B43,Database!$B$1:$IX$10144,AB$22,FALSE)))</f>
        <v>60.9</v>
      </c>
      <c r="AC43" s="22">
        <f>IF(OR($B43="",AC$22=""),"",IF(LEN(VLOOKUP($B43,Database!$B$1:$IX$10144,AC$22,FALSE))=0,"",VLOOKUP($B43,Database!$B$1:$IX$10144,AC$22,FALSE)))</f>
        <v>8.1</v>
      </c>
      <c r="AD43" s="22">
        <f>IF(OR($B43="",AD$22=""),"",IF(LEN(VLOOKUP($B43,Database!$B$1:$IX$10144,AD$22,FALSE))=0,"",VLOOKUP($B43,Database!$B$1:$IX$10144,AD$22,FALSE)))</f>
        <v>69.099999999999994</v>
      </c>
      <c r="AE43" s="22">
        <f>IF(OR($B43="",AE$22=""),"",IF(LEN(VLOOKUP($B43,Database!$B$1:$IX$10144,AE$22,FALSE))=0,"",VLOOKUP($B43,Database!$B$1:$IX$10144,AE$22,FALSE)))</f>
        <v>6.5</v>
      </c>
      <c r="AF43" s="22">
        <f>IF(OR($B43="",AF$22=""),"",IF(LEN(VLOOKUP($B43,Database!$B$1:$IX$10144,AF$22,FALSE))=0,"",VLOOKUP($B43,Database!$B$1:$IX$10144,AF$22,FALSE)))</f>
        <v>17</v>
      </c>
      <c r="AG43" s="22">
        <f>IF(OR($B43="",AG$22=""),"",IF(LEN(VLOOKUP($B43,Database!$B$1:$IX$10144,AG$22,FALSE))=0,"",VLOOKUP($B43,Database!$B$1:$IX$10144,AG$22,FALSE)))</f>
        <v>12</v>
      </c>
      <c r="AH43" s="22">
        <f>IF(OR($B43="",AH$22=""),"",IF(LEN(VLOOKUP($B43,Database!$B$1:$IX$10144,AH$22,FALSE))=0,"",VLOOKUP($B43,Database!$B$1:$IX$10144,AH$22,FALSE)))</f>
        <v>1.5</v>
      </c>
      <c r="AI43" s="22">
        <f>IF(OR($B43="",AI$22=""),"",IF(LEN(VLOOKUP($B43,Database!$B$1:$IX$10144,AI$22,FALSE))=0,"",VLOOKUP($B43,Database!$B$1:$IX$10144,AI$22,FALSE)))</f>
        <v>10</v>
      </c>
      <c r="AJ43" s="22" t="str">
        <f>IF(OR($B43="",AJ$22=""),"",IF(LEN(VLOOKUP($B43,Database!$B$1:$IX$10144,AJ$22,FALSE))=0,"",VLOOKUP($B43,Database!$B$1:$IX$10144,AJ$22,FALSE)))</f>
        <v/>
      </c>
      <c r="AK43" s="22" t="str">
        <f>IF(OR($B43="",AK$22=""),"",IF(LEN(VLOOKUP($B43,Database!$B$1:$IX$10144,AK$22,FALSE))=0,"",VLOOKUP($B43,Database!$B$1:$IX$10144,AK$22,FALSE)))</f>
        <v>ns</v>
      </c>
      <c r="AL43" s="22" t="str">
        <f>IF(OR($B43="",AL$22=""),"",IF(LEN(VLOOKUP($B43,Database!$B$1:$IX$10144,AL$22,FALSE))=0,"",VLOOKUP($B43,Database!$B$1:$IX$10144,AL$22,FALSE)))</f>
        <v>split into male and female</v>
      </c>
      <c r="AM43" s="22">
        <f>IF(OR($B43="",AM$22=""),"",IF(LEN(VLOOKUP($B43,Database!$B$1:$IX$10144,AM$22,FALSE))=0,"",VLOOKUP($B43,Database!$B$1:$IX$10144,AM$22,FALSE)))</f>
        <v>0</v>
      </c>
      <c r="AN43" s="22">
        <f>IF(OR($B43="",AN$22=""),"",IF(LEN(VLOOKUP($B43,Database!$B$1:$IX$10144,AN$22,FALSE))=0,"",VLOOKUP($B43,Database!$B$1:$IX$10144,AN$22,FALSE)))</f>
        <v>0</v>
      </c>
      <c r="AO43" s="22">
        <f>IF(OR($B43="",AO$22=""),"",IF(LEN(VLOOKUP($B43,Database!$B$1:$IX$10144,AO$22,FALSE))=0,"",VLOOKUP($B43,Database!$B$1:$IX$10144,AO$22,FALSE)))</f>
        <v>0</v>
      </c>
      <c r="AP43" s="22">
        <f>IF(OR($B43="",AP$22=""),"",IF(LEN(VLOOKUP($B43,Database!$B$1:$IX$10144,AP$22,FALSE))=0,"",VLOOKUP($B43,Database!$B$1:$IX$10144,AP$22,FALSE)))</f>
        <v>100</v>
      </c>
      <c r="AQ43" s="22" t="str">
        <f>IF(OR($B43="",AQ$22=""),"",IF(LEN(VLOOKUP($B43,Database!$B$1:$IX$10144,AQ$22,FALSE))=0,"",VLOOKUP($B43,Database!$B$1:$IX$10144,AQ$22,FALSE)))</f>
        <v>Lesser IM, Mena I, Boone KB, Miller BL, Mehringer CM, Wohl M.</v>
      </c>
      <c r="AR43" s="13"/>
    </row>
    <row r="44" spans="1:140">
      <c r="A44" s="10" t="s">
        <v>313</v>
      </c>
      <c r="B44">
        <v>9298431</v>
      </c>
      <c r="C44" s="1" t="str">
        <f>IF($B44="","",HYPERLINK(IF(LEN(VLOOKUP($B44,Database!$B$1:$IX$10144,2,FALSE))=0,"",VLOOKUP($B44,Database!$B$1:$IX$10144,2,FALSE))))</f>
        <v/>
      </c>
      <c r="D44" s="1" t="str">
        <f t="shared" si="1"/>
        <v>http://www.ncbi.nlm.nih.gov/pubmed/9298431</v>
      </c>
      <c r="E44" s="22" t="str">
        <f>IF($B44="","",IF(LEN(VLOOKUP($B44,Database!$B$1:$IX$10144,4,FALSE))=0,"",VLOOKUP($B44,Database!$B$1:$IX$10144,4,FALSE)))</f>
        <v>Baumann B</v>
      </c>
      <c r="F44" s="22">
        <f>IF($B44="","",IF(LEN(VLOOKUP($B44,Database!$B$1:$IX$10144,5,FALSE))=0,"",VLOOKUP($B44,Database!$B$1:$IX$10144,5,FALSE)))</f>
        <v>1997</v>
      </c>
      <c r="G44" s="1" t="str">
        <f>IF($B44="","",HYPERLINK(IF(LEN(VLOOKUP($B44,Database!$B$1:$IX$10144,6,FALSE))=0,"",VLOOKUP($B44,Database!$B$1:$IX$10144,6,FALSE))))</f>
        <v>http://dx.doi.org/10.1016/S0165-0327(97)00073-6</v>
      </c>
      <c r="H44" s="22">
        <f>IF($B44="","",IF(LEN(VLOOKUP($B44,Database!$B$1:$IX$10144,7,FALSE))=0,"",VLOOKUP($B44,Database!$B$1:$IX$10144,7,FALSE)))</f>
        <v>23</v>
      </c>
      <c r="I44" s="22">
        <f>IF($B44="","",IF(LEN(VLOOKUP($B44,Database!$B$1:$IX$10144,8,FALSE))=0,"",VLOOKUP($B44,Database!$B$1:$IX$10144,8,FALSE)))</f>
        <v>56</v>
      </c>
      <c r="Y44" s="22" t="str">
        <f>IF(OR($B44="",Y$22=""),"",IF(LEN(VLOOKUP($B44,Database!$B$1:$IX$10144,Y$22,FALSE))=0,"",VLOOKUP($B44,Database!$B$1:$IX$10144,Y$22,FALSE)))</f>
        <v>ICD-9</v>
      </c>
      <c r="Z44" s="22" t="str">
        <f>IF(OR($B44="",Z$22=""),"",IF(LEN(VLOOKUP($B44,Database!$B$1:$IX$10144,Z$22,FALSE))=0,"",VLOOKUP($B44,Database!$B$1:$IX$10144,Z$22,FALSE)))</f>
        <v>CT</v>
      </c>
      <c r="AA44" s="22" t="str">
        <f>IF(OR($B44="",AA$22=""),"",IF(LEN(VLOOKUP($B44,Database!$B$1:$IX$10144,AA$22,FALSE))=0,"",VLOOKUP($B44,Database!$B$1:$IX$10144,AA$22,FALSE)))</f>
        <v/>
      </c>
      <c r="AB44" s="22">
        <f>IF(OR($B44="",AB$22=""),"",IF(LEN(VLOOKUP($B44,Database!$B$1:$IX$10144,AB$22,FALSE))=0,"",VLOOKUP($B44,Database!$B$1:$IX$10144,AB$22,FALSE)))</f>
        <v>51.09</v>
      </c>
      <c r="AC44" s="22">
        <f>IF(OR($B44="",AC$22=""),"",IF(LEN(VLOOKUP($B44,Database!$B$1:$IX$10144,AC$22,FALSE))=0,"",VLOOKUP($B44,Database!$B$1:$IX$10144,AC$22,FALSE)))</f>
        <v>6.69</v>
      </c>
      <c r="AD44" s="22">
        <f>IF(OR($B44="",AD$22=""),"",IF(LEN(VLOOKUP($B44,Database!$B$1:$IX$10144,AD$22,FALSE))=0,"",VLOOKUP($B44,Database!$B$1:$IX$10144,AD$22,FALSE)))</f>
        <v>41.04</v>
      </c>
      <c r="AE44" s="22">
        <f>IF(OR($B44="",AE$22=""),"",IF(LEN(VLOOKUP($B44,Database!$B$1:$IX$10144,AE$22,FALSE))=0,"",VLOOKUP($B44,Database!$B$1:$IX$10144,AE$22,FALSE)))</f>
        <v>10.82</v>
      </c>
      <c r="AF44" s="22">
        <f>IF(OR($B44="",AF$22=""),"",IF(LEN(VLOOKUP($B44,Database!$B$1:$IX$10144,AF$22,FALSE))=0,"",VLOOKUP($B44,Database!$B$1:$IX$10144,AF$22,FALSE)))</f>
        <v>17</v>
      </c>
      <c r="AG44" s="22">
        <f>IF(OR($B44="",AG$22=""),"",IF(LEN(VLOOKUP($B44,Database!$B$1:$IX$10144,AG$22,FALSE))=0,"",VLOOKUP($B44,Database!$B$1:$IX$10144,AG$22,FALSE)))</f>
        <v>37</v>
      </c>
      <c r="AH44" s="22" t="str">
        <f>IF(OR($B44="",AH$22=""),"",IF(LEN(VLOOKUP($B44,Database!$B$1:$IX$10144,AH$22,FALSE))=0,"",VLOOKUP($B44,Database!$B$1:$IX$10144,AH$22,FALSE)))</f>
        <v/>
      </c>
      <c r="AI44" s="22">
        <f>IF(OR($B44="",AI$22=""),"",IF(LEN(VLOOKUP($B44,Database!$B$1:$IX$10144,AI$22,FALSE))=0,"",VLOOKUP($B44,Database!$B$1:$IX$10144,AI$22,FALSE)))</f>
        <v>9</v>
      </c>
      <c r="AJ44" s="22" t="str">
        <f>IF(OR($B44="",AJ$22=""),"",IF(LEN(VLOOKUP($B44,Database!$B$1:$IX$10144,AJ$22,FALSE))=0,"",VLOOKUP($B44,Database!$B$1:$IX$10144,AJ$22,FALSE)))</f>
        <v/>
      </c>
      <c r="AK44" s="22" t="str">
        <f>IF(OR($B44="",AK$22=""),"",IF(LEN(VLOOKUP($B44,Database!$B$1:$IX$10144,AK$22,FALSE))=0,"",VLOOKUP($B44,Database!$B$1:$IX$10144,AK$22,FALSE)))</f>
        <v>ns</v>
      </c>
      <c r="AL44" s="22" t="str">
        <f>IF(OR($B44="",AL$22=""),"",IF(LEN(VLOOKUP($B44,Database!$B$1:$IX$10144,AL$22,FALSE))=0,"",VLOOKUP($B44,Database!$B$1:$IX$10144,AL$22,FALSE)))</f>
        <v>ns</v>
      </c>
      <c r="AM44" s="22" t="str">
        <f>IF(OR($B44="",AM$22=""),"",IF(LEN(VLOOKUP($B44,Database!$B$1:$IX$10144,AM$22,FALSE))=0,"",VLOOKUP($B44,Database!$B$1:$IX$10144,AM$22,FALSE)))</f>
        <v>ns</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Baumann B, Bornschlegl C, Krell D, Bogerts B.</v>
      </c>
      <c r="AR44" s="13"/>
    </row>
    <row r="45" spans="1:140">
      <c r="A45" s="10" t="s">
        <v>2308</v>
      </c>
      <c r="B45">
        <v>9859118</v>
      </c>
      <c r="C45" s="1" t="str">
        <f>IF($B45="","",HYPERLINK(IF(LEN(VLOOKUP($B45,Database!$B$1:$IX$10144,2,FALSE))=0,"",VLOOKUP($B45,Database!$B$1:$IX$10144,2,FALSE))))</f>
        <v/>
      </c>
      <c r="D45" s="1" t="str">
        <f t="shared" si="1"/>
        <v>http://www.ncbi.nlm.nih.gov/pubmed/9859118</v>
      </c>
      <c r="E45" s="22" t="str">
        <f>IF($B45="","",IF(LEN(VLOOKUP($B45,Database!$B$1:$IX$10144,4,FALSE))=0,"",VLOOKUP($B45,Database!$B$1:$IX$10144,4,FALSE)))</f>
        <v>Pantel J</v>
      </c>
      <c r="F45" s="22">
        <f>IF($B45="","",IF(LEN(VLOOKUP($B45,Database!$B$1:$IX$10144,5,FALSE))=0,"",VLOOKUP($B45,Database!$B$1:$IX$10144,5,FALSE)))</f>
        <v>1998</v>
      </c>
      <c r="G45" s="1" t="str">
        <f>IF($B45="","",HYPERLINK(IF(LEN(VLOOKUP($B45,Database!$B$1:$IX$10144,6,FALSE))=0,"",VLOOKUP($B45,Database!$B$1:$IX$10144,6,FALSE))))</f>
        <v>http://dx.doi.org/10.1007/s001150050371</v>
      </c>
      <c r="H45" s="22">
        <f>IF($B45="","",IF(LEN(VLOOKUP($B45,Database!$B$1:$IX$10144,7,FALSE))=0,"",VLOOKUP($B45,Database!$B$1:$IX$10144,7,FALSE)))</f>
        <v>19</v>
      </c>
      <c r="I45" s="22">
        <f>IF($B45="","",IF(LEN(VLOOKUP($B45,Database!$B$1:$IX$10144,8,FALSE))=0,"",VLOOKUP($B45,Database!$B$1:$IX$10144,8,FALSE)))</f>
        <v>13</v>
      </c>
      <c r="Y45" s="22" t="str">
        <f>IF(OR($B45="",Y$22=""),"",IF(LEN(VLOOKUP($B45,Database!$B$1:$IX$10144,Y$22,FALSE))=0,"",VLOOKUP($B45,Database!$B$1:$IX$10144,Y$22,FALSE)))</f>
        <v>DSM-III-R</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72.400000000000006</v>
      </c>
      <c r="AC45" s="22">
        <f>IF(OR($B45="",AC$22=""),"",IF(LEN(VLOOKUP($B45,Database!$B$1:$IX$10144,AC$22,FALSE))=0,"",VLOOKUP($B45,Database!$B$1:$IX$10144,AC$22,FALSE)))</f>
        <v>8.8000000000000007</v>
      </c>
      <c r="AD45" s="22">
        <f>IF(OR($B45="",AD$22=""),"",IF(LEN(VLOOKUP($B45,Database!$B$1:$IX$10144,AD$22,FALSE))=0,"",VLOOKUP($B45,Database!$B$1:$IX$10144,AD$22,FALSE)))</f>
        <v>68.2</v>
      </c>
      <c r="AE45" s="22">
        <f>IF(OR($B45="",AE$22=""),"",IF(LEN(VLOOKUP($B45,Database!$B$1:$IX$10144,AE$22,FALSE))=0,"",VLOOKUP($B45,Database!$B$1:$IX$10144,AE$22,FALSE)))</f>
        <v>5.3</v>
      </c>
      <c r="AF45" s="22">
        <f>IF(OR($B45="",AF$22=""),"",IF(LEN(VLOOKUP($B45,Database!$B$1:$IX$10144,AF$22,FALSE))=0,"",VLOOKUP($B45,Database!$B$1:$IX$10144,AF$22,FALSE)))</f>
        <v>15</v>
      </c>
      <c r="AG45" s="22">
        <f>IF(OR($B45="",AG$22=""),"",IF(LEN(VLOOKUP($B45,Database!$B$1:$IX$10144,AG$22,FALSE))=0,"",VLOOKUP($B45,Database!$B$1:$IX$10144,AG$22,FALSE)))</f>
        <v>10</v>
      </c>
      <c r="AH45" s="22">
        <f>IF(OR($B45="",AH$22=""),"",IF(LEN(VLOOKUP($B45,Database!$B$1:$IX$10144,AH$22,FALSE))=0,"",VLOOKUP($B45,Database!$B$1:$IX$10144,AH$22,FALSE)))</f>
        <v>1.5</v>
      </c>
      <c r="AI45" s="22">
        <f>IF(OR($B45="",AI$22=""),"",IF(LEN(VLOOKUP($B45,Database!$B$1:$IX$10144,AI$22,FALSE))=0,"",VLOOKUP($B45,Database!$B$1:$IX$10144,AI$22,FALSE)))</f>
        <v>1.2</v>
      </c>
      <c r="AJ45" s="22" t="str">
        <f>IF(OR($B45="",AJ$22=""),"",IF(LEN(VLOOKUP($B45,Database!$B$1:$IX$10144,AJ$22,FALSE))=0,"",VLOOKUP($B45,Database!$B$1:$IX$10144,AJ$22,FALSE)))</f>
        <v/>
      </c>
      <c r="AK45" s="22" t="str">
        <f>IF(OR($B45="",AK$22=""),"",IF(LEN(VLOOKUP($B45,Database!$B$1:$IX$10144,AK$22,FALSE))=0,"",VLOOKUP($B45,Database!$B$1:$IX$10144,AK$22,FALSE)))</f>
        <v>ns</v>
      </c>
      <c r="AL45" s="22">
        <f>IF(OR($B45="",AL$22=""),"",IF(LEN(VLOOKUP($B45,Database!$B$1:$IX$10144,AL$22,FALSE))=0,"",VLOOKUP($B45,Database!$B$1:$IX$10144,AL$22,FALSE)))</f>
        <v>26.7</v>
      </c>
      <c r="AM45" s="22" t="str">
        <f>IF(OR($B45="",AM$22=""),"",IF(LEN(VLOOKUP($B45,Database!$B$1:$IX$10144,AM$22,FALSE))=0,"",VLOOKUP($B45,Database!$B$1:$IX$10144,AM$22,FALSE)))</f>
        <v/>
      </c>
      <c r="AN45" s="22" t="str">
        <f>IF(OR($B45="",AN$22=""),"",IF(LEN(VLOOKUP($B45,Database!$B$1:$IX$10144,AN$22,FALSE))=0,"",VLOOKUP($B45,Database!$B$1:$IX$10144,AN$22,FALSE)))</f>
        <v/>
      </c>
      <c r="AO45" s="22" t="str">
        <f>IF(OR($B45="",AO$22=""),"",IF(LEN(VLOOKUP($B45,Database!$B$1:$IX$10144,AO$22,FALSE))=0,"",VLOOKUP($B45,Database!$B$1:$IX$10144,AO$22,FALSE)))</f>
        <v/>
      </c>
      <c r="AP45" s="22" t="str">
        <f>IF(OR($B45="",AP$22=""),"",IF(LEN(VLOOKUP($B45,Database!$B$1:$IX$10144,AP$22,FALSE))=0,"",VLOOKUP($B45,Database!$B$1:$IX$10144,AP$22,FALSE)))</f>
        <v/>
      </c>
      <c r="AQ45" s="22" t="str">
        <f>IF(OR($B45="",AQ$22=""),"",IF(LEN(VLOOKUP($B45,Database!$B$1:$IX$10144,AQ$22,FALSE))=0,"",VLOOKUP($B45,Database!$B$1:$IX$10144,AQ$22,FALSE)))</f>
        <v>Pantel J, Schroder J, Essig M, Schad LR, Popp D, Eysenbach K, Jauss M, Knopp MV.</v>
      </c>
      <c r="AR45" s="13"/>
    </row>
    <row r="46" spans="1:140">
      <c r="A46" s="10" t="s">
        <v>1070</v>
      </c>
      <c r="B46">
        <v>12823084</v>
      </c>
      <c r="C46" s="1" t="str">
        <f>IF($B46="","",HYPERLINK(IF(LEN(VLOOKUP($B46,Database!$B$1:$IX$10144,2,FALSE))=0,"",VLOOKUP($B46,Database!$B$1:$IX$10144,2,FALSE))))</f>
        <v/>
      </c>
      <c r="D46" s="1" t="str">
        <f t="shared" si="1"/>
        <v>http://www.ncbi.nlm.nih.gov/pubmed/12823084</v>
      </c>
      <c r="E46" s="22" t="str">
        <f>IF($B46="","",IF(LEN(VLOOKUP($B46,Database!$B$1:$IX$10144,4,FALSE))=0,"",VLOOKUP($B46,Database!$B$1:$IX$10144,4,FALSE)))</f>
        <v>Cardoner N</v>
      </c>
      <c r="F46" s="22">
        <f>IF($B46="","",IF(LEN(VLOOKUP($B46,Database!$B$1:$IX$10144,5,FALSE))=0,"",VLOOKUP($B46,Database!$B$1:$IX$10144,5,FALSE)))</f>
        <v>2003</v>
      </c>
      <c r="G46" s="1" t="str">
        <f>IF($B46="","",HYPERLINK(IF(LEN(VLOOKUP($B46,Database!$B$1:$IX$10144,6,FALSE))=0,"",VLOOKUP($B46,Database!$B$1:$IX$10144,6,FALSE))))</f>
        <v>http://www.psychiatrist.com/abstracts/abstracts.asp?abstract=200306/060310.htm</v>
      </c>
      <c r="H46" s="22">
        <f>IF($B46="","",IF(LEN(VLOOKUP($B46,Database!$B$1:$IX$10144,7,FALSE))=0,"",VLOOKUP($B46,Database!$B$1:$IX$10144,7,FALSE)))</f>
        <v>55</v>
      </c>
      <c r="I46" s="22">
        <f>IF($B46="","",IF(LEN(VLOOKUP($B46,Database!$B$1:$IX$10144,8,FALSE))=0,"",VLOOKUP($B46,Database!$B$1:$IX$10144,8,FALSE)))</f>
        <v>37</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60.6</v>
      </c>
      <c r="AC46" s="22">
        <f>IF(OR($B46="",AC$22=""),"",IF(LEN(VLOOKUP($B46,Database!$B$1:$IX$10144,AC$22,FALSE))=0,"",VLOOKUP($B46,Database!$B$1:$IX$10144,AC$22,FALSE)))</f>
        <v>9.4</v>
      </c>
      <c r="AD46" s="22">
        <f>IF(OR($B46="",AD$22=""),"",IF(LEN(VLOOKUP($B46,Database!$B$1:$IX$10144,AD$22,FALSE))=0,"",VLOOKUP($B46,Database!$B$1:$IX$10144,AD$22,FALSE)))</f>
        <v>58.6</v>
      </c>
      <c r="AE46" s="22">
        <f>IF(OR($B46="",AE$22=""),"",IF(LEN(VLOOKUP($B46,Database!$B$1:$IX$10144,AE$22,FALSE))=0,"",VLOOKUP($B46,Database!$B$1:$IX$10144,AE$22,FALSE)))</f>
        <v>7.3</v>
      </c>
      <c r="AF46" s="22">
        <f>IF(OR($B46="",AF$22=""),"",IF(LEN(VLOOKUP($B46,Database!$B$1:$IX$10144,AF$22,FALSE))=0,"",VLOOKUP($B46,Database!$B$1:$IX$10144,AF$22,FALSE)))</f>
        <v>33</v>
      </c>
      <c r="AG46" s="22">
        <f>IF(OR($B46="",AG$22=""),"",IF(LEN(VLOOKUP($B46,Database!$B$1:$IX$10144,AG$22,FALSE))=0,"",VLOOKUP($B46,Database!$B$1:$IX$10144,AG$22,FALSE)))</f>
        <v>22</v>
      </c>
      <c r="AH46" s="22">
        <f>IF(OR($B46="",AH$22=""),"",IF(LEN(VLOOKUP($B46,Database!$B$1:$IX$10144,AH$22,FALSE))=0,"",VLOOKUP($B46,Database!$B$1:$IX$10144,AH$22,FALSE)))</f>
        <v>1.5</v>
      </c>
      <c r="AI46" s="22">
        <f>IF(OR($B46="",AI$22=""),"",IF(LEN(VLOOKUP($B46,Database!$B$1:$IX$10144,AI$22,FALSE))=0,"",VLOOKUP($B46,Database!$B$1:$IX$10144,AI$22,FALSE)))</f>
        <v>2.2999999999999998</v>
      </c>
      <c r="AJ46" s="22" t="str">
        <f>IF(OR($B46="",AJ$22=""),"",IF(LEN(VLOOKUP($B46,Database!$B$1:$IX$10144,AJ$22,FALSE))=0,"",VLOOKUP($B46,Database!$B$1:$IX$10144,AJ$22,FALSE)))</f>
        <v/>
      </c>
      <c r="AK46" s="22">
        <f>IF(OR($B46="",AK$22=""),"",IF(LEN(VLOOKUP($B46,Database!$B$1:$IX$10144,AK$22,FALSE))=0,"",VLOOKUP($B46,Database!$B$1:$IX$10144,AK$22,FALSE)))</f>
        <v>50.5</v>
      </c>
      <c r="AL46" s="22">
        <f>IF(OR($B46="",AL$22=""),"",IF(LEN(VLOOKUP($B46,Database!$B$1:$IX$10144,AL$22,FALSE))=0,"",VLOOKUP($B46,Database!$B$1:$IX$10144,AL$22,FALSE)))</f>
        <v>28.9</v>
      </c>
      <c r="AM46" s="22" t="str">
        <f>IF(OR($B46="",AM$22=""),"",IF(LEN(VLOOKUP($B46,Database!$B$1:$IX$10144,AM$22,FALSE))=0,"",VLOOKUP($B46,Database!$B$1:$IX$10144,AM$22,FALSE)))</f>
        <v>ns</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Cardoner N, Pujol J, Vallejo J, Urretavizcaya M, Deus J, Lopez-Sala A, Benlloch L, Menchon JM.</v>
      </c>
      <c r="AR46" s="13"/>
    </row>
    <row r="47" spans="1:140">
      <c r="I47" s="22" t="str">
        <f>IF($B47="","",IF(LEN(VLOOKUP($B47,Database!$B$1:$IX$10144,8,FALSE))=0,"",VLOOKUP($B47,Database!$B$1:$IX$10144,8,FALSE)))</f>
        <v/>
      </c>
      <c r="AF47" t="s">
        <v>602</v>
      </c>
      <c r="AJ47" t="s">
        <v>329</v>
      </c>
      <c r="AN47" t="s">
        <v>330</v>
      </c>
      <c r="AR47" s="13"/>
    </row>
    <row r="48" spans="1:140" ht="45" customHeight="1">
      <c r="E48" s="60" t="s">
        <v>617</v>
      </c>
      <c r="F48" s="60" t="s">
        <v>740</v>
      </c>
      <c r="G48" s="60" t="s">
        <v>244</v>
      </c>
      <c r="H48" s="60" t="s">
        <v>245</v>
      </c>
      <c r="I48" s="60" t="s">
        <v>246</v>
      </c>
      <c r="J48" s="60" t="s">
        <v>593</v>
      </c>
      <c r="K48" s="60" t="s">
        <v>1039</v>
      </c>
      <c r="L48" s="60" t="s">
        <v>594</v>
      </c>
      <c r="M48" s="60" t="s">
        <v>1299</v>
      </c>
      <c r="N48" s="61" t="s">
        <v>595</v>
      </c>
      <c r="O48" s="61" t="s">
        <v>596</v>
      </c>
      <c r="P48" s="61" t="s">
        <v>597</v>
      </c>
      <c r="Q48" s="61" t="s">
        <v>598</v>
      </c>
      <c r="R48" s="61" t="s">
        <v>599</v>
      </c>
      <c r="S48" s="61" t="s">
        <v>600</v>
      </c>
      <c r="T48" s="61" t="s">
        <v>601</v>
      </c>
      <c r="U48" s="61" t="s">
        <v>484</v>
      </c>
      <c r="V48" s="61" t="s">
        <v>485</v>
      </c>
      <c r="W48" s="61" t="s">
        <v>486</v>
      </c>
      <c r="AF48" s="61" t="s">
        <v>1517</v>
      </c>
      <c r="AG48" s="62" t="s">
        <v>834</v>
      </c>
      <c r="AH48" s="62" t="s">
        <v>835</v>
      </c>
      <c r="AJ48" s="61" t="s">
        <v>836</v>
      </c>
      <c r="AK48" s="61" t="s">
        <v>837</v>
      </c>
      <c r="AL48" s="61" t="s">
        <v>487</v>
      </c>
      <c r="AN48" t="s">
        <v>488</v>
      </c>
      <c r="AO48" t="s">
        <v>489</v>
      </c>
      <c r="AP48" t="s">
        <v>490</v>
      </c>
      <c r="AQ48" t="s">
        <v>491</v>
      </c>
      <c r="AR48" t="s">
        <v>492</v>
      </c>
      <c r="AS48" t="s">
        <v>493</v>
      </c>
      <c r="AT48" t="s">
        <v>494</v>
      </c>
      <c r="AU48" t="s">
        <v>495</v>
      </c>
      <c r="AV48" t="s">
        <v>496</v>
      </c>
      <c r="AW48" t="s">
        <v>497</v>
      </c>
      <c r="AX48" t="s">
        <v>498</v>
      </c>
      <c r="AY48" t="s">
        <v>499</v>
      </c>
    </row>
    <row r="49" spans="5:51">
      <c r="E49" t="str">
        <f t="shared" ref="E49:F53" si="2">E24</f>
        <v>Scott ML</v>
      </c>
      <c r="F49">
        <f t="shared" si="2"/>
        <v>1983</v>
      </c>
      <c r="G49">
        <v>16</v>
      </c>
      <c r="H49">
        <f t="shared" ref="H49:I53" si="3">H24</f>
        <v>10</v>
      </c>
      <c r="I49">
        <f t="shared" si="3"/>
        <v>10</v>
      </c>
      <c r="J49">
        <f t="shared" ref="J49:M51" si="4">IF($D$4="Total",T24,IF($D$4="Left",L24,IF($D$4="Right",P24,"error")))</f>
        <v>9.4499999999999993</v>
      </c>
      <c r="K49">
        <f t="shared" si="4"/>
        <v>3.41</v>
      </c>
      <c r="L49">
        <f t="shared" si="4"/>
        <v>4.16</v>
      </c>
      <c r="M49">
        <f t="shared" si="4"/>
        <v>2.91</v>
      </c>
      <c r="N49">
        <f t="shared" ref="N49:N61" si="5">IF($D$3=1,SQRT((((I49-1)*(M49)^2)+((H49-1)*(K49)^2))/(H49+I49-2)),M49)</f>
        <v>3.1698738145232221</v>
      </c>
      <c r="O49" s="59">
        <f t="shared" ref="O49:O61" si="6">IF($D$6=1,LN(J49/L49),IF($D$5=1,(1-3/(4*(H49+I49)-9))*((J49-L49)/N49),(J49-L49)/N49))</f>
        <v>1.59832194266745</v>
      </c>
      <c r="P49" s="63">
        <f t="shared" ref="P49:P61" si="7">IF($D$6=1,(K49^2)/(H49*J49^2)+(M49^2)/(I49*L49^2),(IF($D$5=1,((H49+I49)/(H49*I49))+(O49*O49)/(2*(H49+I49-3.94)),((H49+I49)/(H49*I49))+((O49^2)/(2*(H49+I49-2))))))</f>
        <v>0.27953402965168905</v>
      </c>
      <c r="Q49" s="59">
        <f t="shared" ref="Q49:Q64" si="8">$R$81*SQRT(P49)</f>
        <v>1.0362711654339942</v>
      </c>
      <c r="R49" s="59">
        <f t="shared" ref="R49:R61" si="9">1/P49</f>
        <v>3.5773819783088352</v>
      </c>
      <c r="S49" s="59">
        <f t="shared" ref="S49:S61" si="10">O49*R49</f>
        <v>5.7178081132341028</v>
      </c>
      <c r="T49" s="59">
        <f t="shared" ref="T49:T61" si="11">R49*(O49^2)</f>
        <v>9.1388981713440387</v>
      </c>
      <c r="U49" s="23">
        <f t="shared" ref="U49:U61" si="12">R49^2</f>
        <v>12.797661818728836</v>
      </c>
      <c r="V49" s="59">
        <f t="shared" ref="V49:V61" si="13">1/((1/R49)+$I$78)</f>
        <v>2.9625467143239899</v>
      </c>
      <c r="W49" s="59">
        <f t="shared" ref="W49:W61" si="14">V49*O49</f>
        <v>4.7351034196813906</v>
      </c>
      <c r="AF49" s="59">
        <f t="shared" ref="AF49:AF61" si="15">IF($D$6=1,100*((EXP(O49))-1),O49)</f>
        <v>1.59832194266745</v>
      </c>
      <c r="AG49" s="59">
        <f t="shared" ref="AG49:AG61" si="16">IF($D$6=1,100*(EXP(O49+Q49)-EXP(O49)),Q49)</f>
        <v>1.0362711654339942</v>
      </c>
      <c r="AH49" s="59">
        <f t="shared" ref="AH49:AH61" si="17">IF($D$6=1,100*(EXP(O49)-EXP(O49-Q49)),Q49)</f>
        <v>1.0362711654339942</v>
      </c>
      <c r="AJ49">
        <f t="shared" ref="AJ49:AJ61" si="18">SQRT(P49)</f>
        <v>0.52870977828265009</v>
      </c>
      <c r="AK49">
        <f t="shared" ref="AK49:AK64" si="19">1/AJ49</f>
        <v>1.8913968325840127</v>
      </c>
      <c r="AL49">
        <f t="shared" ref="AL49:AL61" si="20">O49/AJ49</f>
        <v>3.023061059810741</v>
      </c>
      <c r="AN49" t="str">
        <f t="shared" ref="AN49:AN61" si="21">E49</f>
        <v>Scott ML</v>
      </c>
      <c r="AO49">
        <f t="shared" ref="AO49:AO61" si="22">F49</f>
        <v>1983</v>
      </c>
      <c r="AP49" t="str">
        <f t="shared" ref="AP49:AP61" si="23">CONCATENATE(AN49," ",AO49)</f>
        <v>Scott ML 1983</v>
      </c>
      <c r="AQ49">
        <f t="shared" ref="AQ49:AQ61" si="24">INT(H49)</f>
        <v>10</v>
      </c>
      <c r="AR49">
        <f t="shared" ref="AR49:AR61" si="25">J49</f>
        <v>9.4499999999999993</v>
      </c>
      <c r="AS49">
        <f t="shared" ref="AS49:AS61" si="26">K49</f>
        <v>3.41</v>
      </c>
      <c r="AT49">
        <f t="shared" ref="AT49:AT61" si="27">INT(I49)</f>
        <v>10</v>
      </c>
      <c r="AU49">
        <f t="shared" ref="AU49:AU61" si="28">L49</f>
        <v>4.16</v>
      </c>
      <c r="AV49">
        <f t="shared" ref="AV49:AV61" si="29">M49</f>
        <v>2.91</v>
      </c>
      <c r="AW49" s="65">
        <f t="shared" ref="AW49:AW61" si="30">O49</f>
        <v>1.59832194266745</v>
      </c>
      <c r="AX49">
        <f t="shared" ref="AX49:AX61" si="31">SQRT(P49)</f>
        <v>0.52870977828265009</v>
      </c>
      <c r="AY49" t="str">
        <f>$F$3</f>
        <v>Pooled SD</v>
      </c>
    </row>
    <row r="50" spans="5:51">
      <c r="E50" t="str">
        <f t="shared" si="2"/>
        <v>Iacono WG</v>
      </c>
      <c r="F50">
        <f t="shared" si="2"/>
        <v>1988</v>
      </c>
      <c r="G50">
        <v>15</v>
      </c>
      <c r="H50">
        <f t="shared" si="3"/>
        <v>16</v>
      </c>
      <c r="I50">
        <f t="shared" si="3"/>
        <v>44</v>
      </c>
      <c r="J50">
        <f t="shared" si="4"/>
        <v>6.36</v>
      </c>
      <c r="K50">
        <f t="shared" si="4"/>
        <v>2.96</v>
      </c>
      <c r="L50">
        <f t="shared" si="4"/>
        <v>6.39</v>
      </c>
      <c r="M50">
        <f t="shared" si="4"/>
        <v>2.76</v>
      </c>
      <c r="N50">
        <f t="shared" si="5"/>
        <v>2.8130876397591162</v>
      </c>
      <c r="O50" s="59">
        <f t="shared" si="6"/>
        <v>-1.0525939253326819E-2</v>
      </c>
      <c r="P50" s="63">
        <f t="shared" si="7"/>
        <v>8.5228260913119719E-2</v>
      </c>
      <c r="Q50" s="59">
        <f t="shared" si="8"/>
        <v>0.57220004117776913</v>
      </c>
      <c r="R50" s="59">
        <f t="shared" si="9"/>
        <v>11.733197290267174</v>
      </c>
      <c r="S50" s="59">
        <f t="shared" si="10"/>
        <v>-0.12350292192465112</v>
      </c>
      <c r="T50" s="59">
        <f t="shared" si="11"/>
        <v>1.2999842537872426E-3</v>
      </c>
      <c r="U50" s="23">
        <f t="shared" si="12"/>
        <v>137.66791865233296</v>
      </c>
      <c r="V50" s="59">
        <f t="shared" si="13"/>
        <v>6.9812096643010477</v>
      </c>
      <c r="W50" s="59">
        <f t="shared" si="14"/>
        <v>-7.3483788841170947E-2</v>
      </c>
      <c r="AF50" s="59">
        <f t="shared" si="15"/>
        <v>-1.0525939253326819E-2</v>
      </c>
      <c r="AG50" s="59">
        <f t="shared" si="16"/>
        <v>0.57220004117776913</v>
      </c>
      <c r="AH50" s="59">
        <f t="shared" si="17"/>
        <v>0.57220004117776913</v>
      </c>
      <c r="AJ50">
        <f t="shared" si="18"/>
        <v>0.29193879651926996</v>
      </c>
      <c r="AK50">
        <f t="shared" si="19"/>
        <v>3.4253754962437584</v>
      </c>
      <c r="AL50">
        <f t="shared" si="20"/>
        <v>-3.6055294393296008E-2</v>
      </c>
      <c r="AN50" t="str">
        <f t="shared" si="21"/>
        <v>Iacono WG</v>
      </c>
      <c r="AO50">
        <f t="shared" si="22"/>
        <v>1988</v>
      </c>
      <c r="AP50" t="str">
        <f t="shared" si="23"/>
        <v>Iacono WG 1988</v>
      </c>
      <c r="AQ50">
        <f t="shared" si="24"/>
        <v>16</v>
      </c>
      <c r="AR50">
        <f t="shared" si="25"/>
        <v>6.36</v>
      </c>
      <c r="AS50">
        <f t="shared" si="26"/>
        <v>2.96</v>
      </c>
      <c r="AT50">
        <f t="shared" si="27"/>
        <v>44</v>
      </c>
      <c r="AU50">
        <f t="shared" si="28"/>
        <v>6.39</v>
      </c>
      <c r="AV50">
        <f t="shared" si="29"/>
        <v>2.76</v>
      </c>
      <c r="AW50" s="65">
        <f t="shared" si="30"/>
        <v>-1.0525939253326819E-2</v>
      </c>
      <c r="AX50">
        <f t="shared" si="31"/>
        <v>0.29193879651926996</v>
      </c>
      <c r="AY50" t="str">
        <f>$F$4</f>
        <v>Total</v>
      </c>
    </row>
    <row r="51" spans="5:51">
      <c r="E51" t="str">
        <f t="shared" si="2"/>
        <v>Pearlson GD</v>
      </c>
      <c r="F51">
        <f t="shared" si="2"/>
        <v>1989</v>
      </c>
      <c r="G51">
        <v>14</v>
      </c>
      <c r="H51">
        <f t="shared" si="3"/>
        <v>11</v>
      </c>
      <c r="I51">
        <f t="shared" si="3"/>
        <v>31</v>
      </c>
      <c r="J51">
        <f t="shared" si="4"/>
        <v>11</v>
      </c>
      <c r="K51">
        <f t="shared" si="4"/>
        <v>4.3099999999999996</v>
      </c>
      <c r="L51">
        <f t="shared" si="4"/>
        <v>8.6</v>
      </c>
      <c r="M51">
        <f t="shared" si="4"/>
        <v>2.78</v>
      </c>
      <c r="N51">
        <f>IF($D$3=1,SQRT((((I51-1)*(M51)^2)+((H51-1)*(K51)^2))/(H51+I51-2)),M51)</f>
        <v>3.2311491763767264</v>
      </c>
      <c r="O51" s="59">
        <f>IF($D$6=1,LN(J51/L51),IF($D$5=1,(1-3/(4*(H51+I51)-9))*((J51-L51)/N51),(J51-L51)/N51))</f>
        <v>0.72875526711909844</v>
      </c>
      <c r="P51" s="63">
        <f>IF($D$6=1,(K51^2)/(H51*J51^2)+(M51^2)/(I51*L51^2),(IF($D$5=1,((H51+I51)/(H51*I51))+(O51*O51)/(2*(H51+I51-3.94)),((H51+I51)/(H51*I51))+((O51^2)/(2*(H51+I51-2))))))</f>
        <v>0.13014408973097177</v>
      </c>
      <c r="Q51" s="59">
        <f t="shared" si="8"/>
        <v>0.70707958187922604</v>
      </c>
      <c r="R51" s="59">
        <f>1/P51</f>
        <v>7.6837911123521376</v>
      </c>
      <c r="S51" s="59">
        <f>O51*R51</f>
        <v>5.5996032445695363</v>
      </c>
      <c r="T51" s="59">
        <f>R51*(O51^2)</f>
        <v>4.080740358257243</v>
      </c>
      <c r="U51" s="23">
        <f>R51^2</f>
        <v>59.040645858261698</v>
      </c>
      <c r="V51" s="59">
        <f>1/((1/R51)+$I$78)</f>
        <v>5.3146970275511185</v>
      </c>
      <c r="W51" s="59">
        <f>V51*O51</f>
        <v>3.8731134519700938</v>
      </c>
      <c r="AF51" s="59">
        <f>IF($D$6=1,100*((EXP(O51))-1),O51)</f>
        <v>0.72875526711909844</v>
      </c>
      <c r="AG51" s="59">
        <f>IF($D$6=1,100*(EXP(O51+Q51)-EXP(O51)),Q51)</f>
        <v>0.70707958187922604</v>
      </c>
      <c r="AH51" s="59">
        <f>IF($D$6=1,100*(EXP(O51)-EXP(O51-Q51)),Q51)</f>
        <v>0.70707958187922604</v>
      </c>
      <c r="AJ51">
        <f>SQRT(P51)</f>
        <v>0.36075488871389083</v>
      </c>
      <c r="AK51">
        <f t="shared" si="19"/>
        <v>2.7719652076373791</v>
      </c>
      <c r="AL51">
        <f>O51/AJ51</f>
        <v>2.0200842453366255</v>
      </c>
      <c r="AN51" t="str">
        <f>E51</f>
        <v>Pearlson GD</v>
      </c>
      <c r="AO51">
        <f>F51</f>
        <v>1989</v>
      </c>
      <c r="AP51" t="str">
        <f>CONCATENATE(AN51," ",AO51)</f>
        <v>Pearlson GD 1989</v>
      </c>
      <c r="AQ51">
        <f>INT(H51)</f>
        <v>11</v>
      </c>
      <c r="AR51">
        <f>J51</f>
        <v>11</v>
      </c>
      <c r="AS51">
        <f>K51</f>
        <v>4.3099999999999996</v>
      </c>
      <c r="AT51">
        <f>INT(I51)</f>
        <v>31</v>
      </c>
      <c r="AU51">
        <f>L51</f>
        <v>8.6</v>
      </c>
      <c r="AV51">
        <f>M51</f>
        <v>2.78</v>
      </c>
      <c r="AW51" s="65">
        <f>O51</f>
        <v>0.72875526711909844</v>
      </c>
      <c r="AX51">
        <f>SQRT(P51)</f>
        <v>0.36075488871389083</v>
      </c>
    </row>
    <row r="52" spans="5:51">
      <c r="E52" t="str">
        <f t="shared" si="2"/>
        <v>Andreasen NC</v>
      </c>
      <c r="F52">
        <f t="shared" si="2"/>
        <v>1990</v>
      </c>
      <c r="G52">
        <v>13</v>
      </c>
      <c r="H52">
        <f t="shared" si="3"/>
        <v>26</v>
      </c>
      <c r="I52">
        <f t="shared" si="3"/>
        <v>75</v>
      </c>
      <c r="J52">
        <f t="shared" ref="J52:M53" si="32">IF($D$4="Total",T27,IF($D$4="Left",L27,IF($D$4="Right",P27,"error")))</f>
        <v>6.22</v>
      </c>
      <c r="K52">
        <f t="shared" si="32"/>
        <v>3.17</v>
      </c>
      <c r="L52">
        <f t="shared" si="32"/>
        <v>5.75</v>
      </c>
      <c r="M52">
        <f t="shared" si="32"/>
        <v>2.5099999999999998</v>
      </c>
      <c r="N52">
        <f t="shared" si="5"/>
        <v>2.6919819216827339</v>
      </c>
      <c r="O52" s="59">
        <f t="shared" si="6"/>
        <v>0.17326653496070793</v>
      </c>
      <c r="P52" s="63">
        <f t="shared" si="7"/>
        <v>5.1949525061600055E-2</v>
      </c>
      <c r="Q52" s="59">
        <f t="shared" si="8"/>
        <v>0.44673179367114979</v>
      </c>
      <c r="R52" s="59">
        <f t="shared" si="9"/>
        <v>19.249454134840168</v>
      </c>
      <c r="S52" s="59">
        <f t="shared" si="10"/>
        <v>3.3352862178288278</v>
      </c>
      <c r="T52" s="59">
        <f t="shared" si="11"/>
        <v>0.57789348606540591</v>
      </c>
      <c r="U52" s="23">
        <f t="shared" si="12"/>
        <v>370.54148448931522</v>
      </c>
      <c r="V52" s="59">
        <f t="shared" si="13"/>
        <v>9.0939749680549085</v>
      </c>
      <c r="W52" s="59">
        <f t="shared" si="14"/>
        <v>1.5756815317342885</v>
      </c>
      <c r="AF52" s="59">
        <f t="shared" si="15"/>
        <v>0.17326653496070793</v>
      </c>
      <c r="AG52" s="59">
        <f t="shared" si="16"/>
        <v>0.44673179367114979</v>
      </c>
      <c r="AH52" s="59">
        <f t="shared" si="17"/>
        <v>0.44673179367114979</v>
      </c>
      <c r="AJ52">
        <f t="shared" si="18"/>
        <v>0.22792438452609684</v>
      </c>
      <c r="AK52">
        <f t="shared" si="19"/>
        <v>4.3874199861467753</v>
      </c>
      <c r="AL52">
        <f t="shared" si="20"/>
        <v>0.7601930584170089</v>
      </c>
      <c r="AN52" t="str">
        <f t="shared" si="21"/>
        <v>Andreasen NC</v>
      </c>
      <c r="AO52">
        <f t="shared" si="22"/>
        <v>1990</v>
      </c>
      <c r="AP52" t="str">
        <f t="shared" si="23"/>
        <v>Andreasen NC 1990</v>
      </c>
      <c r="AQ52">
        <f t="shared" si="24"/>
        <v>26</v>
      </c>
      <c r="AR52">
        <f t="shared" si="25"/>
        <v>6.22</v>
      </c>
      <c r="AS52">
        <f t="shared" si="26"/>
        <v>3.17</v>
      </c>
      <c r="AT52">
        <f t="shared" si="27"/>
        <v>75</v>
      </c>
      <c r="AU52">
        <f t="shared" si="28"/>
        <v>5.75</v>
      </c>
      <c r="AV52">
        <f t="shared" si="29"/>
        <v>2.5099999999999998</v>
      </c>
      <c r="AW52" s="65">
        <f t="shared" si="30"/>
        <v>0.17326653496070793</v>
      </c>
      <c r="AX52">
        <f t="shared" si="31"/>
        <v>0.22792438452609684</v>
      </c>
      <c r="AY52" t="str">
        <f>$F$6</f>
        <v>Cohens Effect size</v>
      </c>
    </row>
    <row r="53" spans="5:51">
      <c r="E53" t="str">
        <f t="shared" si="2"/>
        <v>Harvey I</v>
      </c>
      <c r="F53">
        <f t="shared" si="2"/>
        <v>1990</v>
      </c>
      <c r="G53">
        <v>12</v>
      </c>
      <c r="H53">
        <f t="shared" si="3"/>
        <v>5</v>
      </c>
      <c r="I53">
        <f t="shared" si="3"/>
        <v>50</v>
      </c>
      <c r="J53">
        <f t="shared" si="32"/>
        <v>4.4800000000000004</v>
      </c>
      <c r="K53">
        <f t="shared" si="32"/>
        <v>5.6</v>
      </c>
      <c r="L53">
        <f t="shared" si="32"/>
        <v>4.68</v>
      </c>
      <c r="M53">
        <f t="shared" si="32"/>
        <v>2.7</v>
      </c>
      <c r="N53">
        <f>IF($D$3=1,SQRT((((I53-1)*(M53)^2)+((H53-1)*(K53)^2))/(H53+I53-2)),M53)</f>
        <v>3.0177149921065949</v>
      </c>
      <c r="O53" s="59">
        <f>IF($D$6=1,LN(J53/L53),IF($D$5=1,(1-3/(4*(H53+I53)-9))*((J53-L53)/N53),(J53-L53)/N53))</f>
        <v>-6.5333008126998271E-2</v>
      </c>
      <c r="P53" s="63">
        <f>IF($D$6=1,(K53^2)/(H53*J53^2)+(M53^2)/(I53*L53^2),(IF($D$5=1,((H53+I53)/(H53*I53))+(O53*O53)/(2*(H53+I53-3.94)),((H53+I53)/(H53*I53))+((O53^2)/(2*(H53+I53-2))))))</f>
        <v>0.22004179790394557</v>
      </c>
      <c r="Q53" s="59">
        <f t="shared" si="8"/>
        <v>0.91940881593978496</v>
      </c>
      <c r="R53" s="59">
        <f>1/P53</f>
        <v>4.5445911164411052</v>
      </c>
      <c r="S53" s="59">
        <f>O53*R53</f>
        <v>-0.2969118083443309</v>
      </c>
      <c r="T53" s="59">
        <f>R53*(O53^2)</f>
        <v>1.9398141587561923E-2</v>
      </c>
      <c r="U53" s="23">
        <f>R53^2</f>
        <v>20.653308415635411</v>
      </c>
      <c r="V53" s="59">
        <f>1/((1/R53)+$I$78)</f>
        <v>3.5964083473706729</v>
      </c>
      <c r="W53" s="59">
        <f>V53*O53</f>
        <v>-0.23496417578677259</v>
      </c>
      <c r="AF53" s="59">
        <f>IF($D$6=1,100*((EXP(O53))-1),O53)</f>
        <v>-6.5333008126998271E-2</v>
      </c>
      <c r="AG53" s="59">
        <f>IF($D$6=1,100*(EXP(O53+Q53)-EXP(O53)),Q53)</f>
        <v>0.91940881593978496</v>
      </c>
      <c r="AH53" s="59">
        <f>IF($D$6=1,100*(EXP(O53)-EXP(O53-Q53)),Q53)</f>
        <v>0.91940881593978496</v>
      </c>
      <c r="AJ53">
        <f>SQRT(P53)</f>
        <v>0.46908613058152293</v>
      </c>
      <c r="AK53">
        <f t="shared" si="19"/>
        <v>2.131804661886521</v>
      </c>
      <c r="AL53">
        <f>O53/AJ53</f>
        <v>-0.1392772113002049</v>
      </c>
      <c r="AN53" t="str">
        <f>E53</f>
        <v>Harvey I</v>
      </c>
      <c r="AO53">
        <f>F53</f>
        <v>1990</v>
      </c>
      <c r="AP53" t="str">
        <f>CONCATENATE(AN53," ",AO53)</f>
        <v>Harvey I 1990</v>
      </c>
      <c r="AQ53">
        <f>INT(H53)</f>
        <v>5</v>
      </c>
      <c r="AR53">
        <f>J53</f>
        <v>4.4800000000000004</v>
      </c>
      <c r="AS53">
        <f>K53</f>
        <v>5.6</v>
      </c>
      <c r="AT53">
        <f>INT(I53)</f>
        <v>50</v>
      </c>
      <c r="AU53">
        <f>L53</f>
        <v>4.68</v>
      </c>
      <c r="AV53">
        <f>M53</f>
        <v>2.7</v>
      </c>
      <c r="AW53" s="65">
        <f>O53</f>
        <v>-6.5333008126998271E-2</v>
      </c>
      <c r="AX53">
        <f>SQRT(P53)</f>
        <v>0.46908613058152293</v>
      </c>
    </row>
    <row r="54" spans="5:51">
      <c r="E54" t="str">
        <f t="shared" ref="E54:F59" si="33">E29</f>
        <v>Lewine RR</v>
      </c>
      <c r="F54">
        <f t="shared" si="33"/>
        <v>1991</v>
      </c>
      <c r="G54">
        <v>11</v>
      </c>
      <c r="H54">
        <f t="shared" ref="H54:I59" si="34">H29</f>
        <v>12</v>
      </c>
      <c r="I54">
        <f t="shared" si="34"/>
        <v>68</v>
      </c>
      <c r="J54">
        <f t="shared" ref="J54:M58" si="35">IF($D$4="Total",T29,IF($D$4="Left",L29,IF($D$4="Right",P29,"error")))</f>
        <v>8.9</v>
      </c>
      <c r="K54">
        <f t="shared" si="35"/>
        <v>2.9</v>
      </c>
      <c r="L54">
        <f t="shared" si="35"/>
        <v>8.8000000000000007</v>
      </c>
      <c r="M54">
        <f t="shared" si="35"/>
        <v>1.9</v>
      </c>
      <c r="N54">
        <f t="shared" si="5"/>
        <v>2.070488608257258</v>
      </c>
      <c r="O54" s="59">
        <f t="shared" si="6"/>
        <v>4.7831883440439642E-2</v>
      </c>
      <c r="P54" s="63">
        <f t="shared" si="7"/>
        <v>9.8054255714367197E-2</v>
      </c>
      <c r="Q54" s="59">
        <f t="shared" si="8"/>
        <v>0.61374687677601503</v>
      </c>
      <c r="R54" s="59">
        <f t="shared" si="9"/>
        <v>10.198435475488262</v>
      </c>
      <c r="S54" s="59">
        <f t="shared" si="10"/>
        <v>0.48781037693839918</v>
      </c>
      <c r="T54" s="59">
        <f t="shared" si="11"/>
        <v>2.3332889090754438E-2</v>
      </c>
      <c r="U54" s="23">
        <f t="shared" si="12"/>
        <v>104.0080861476975</v>
      </c>
      <c r="V54" s="59">
        <f t="shared" si="13"/>
        <v>6.4074779452080497</v>
      </c>
      <c r="W54" s="59">
        <f t="shared" si="14"/>
        <v>0.30648173822237912</v>
      </c>
      <c r="AF54" s="59">
        <f t="shared" si="15"/>
        <v>4.7831883440439642E-2</v>
      </c>
      <c r="AG54" s="59">
        <f t="shared" si="16"/>
        <v>0.61374687677601503</v>
      </c>
      <c r="AH54" s="59">
        <f t="shared" si="17"/>
        <v>0.61374687677601503</v>
      </c>
      <c r="AJ54">
        <f t="shared" si="18"/>
        <v>0.31313616162041585</v>
      </c>
      <c r="AK54">
        <f t="shared" si="19"/>
        <v>3.193498939327875</v>
      </c>
      <c r="AL54">
        <f t="shared" si="20"/>
        <v>0.15275106903309854</v>
      </c>
      <c r="AN54" t="str">
        <f t="shared" si="21"/>
        <v>Lewine RR</v>
      </c>
      <c r="AO54">
        <f t="shared" si="22"/>
        <v>1991</v>
      </c>
      <c r="AP54" t="str">
        <f t="shared" si="23"/>
        <v>Lewine RR 1991</v>
      </c>
      <c r="AQ54">
        <f t="shared" si="24"/>
        <v>12</v>
      </c>
      <c r="AR54">
        <f t="shared" si="25"/>
        <v>8.9</v>
      </c>
      <c r="AS54">
        <f t="shared" si="26"/>
        <v>2.9</v>
      </c>
      <c r="AT54">
        <f t="shared" si="27"/>
        <v>68</v>
      </c>
      <c r="AU54">
        <f t="shared" si="28"/>
        <v>8.8000000000000007</v>
      </c>
      <c r="AV54">
        <f t="shared" si="29"/>
        <v>1.9</v>
      </c>
      <c r="AW54" s="65">
        <f t="shared" si="30"/>
        <v>4.7831883440439642E-2</v>
      </c>
      <c r="AX54">
        <f t="shared" si="31"/>
        <v>0.31313616162041585</v>
      </c>
      <c r="AY54" t="str">
        <f>$F$5</f>
        <v>H Correction</v>
      </c>
    </row>
    <row r="55" spans="5:51">
      <c r="E55" t="str">
        <f t="shared" si="33"/>
        <v>Lauer CJ</v>
      </c>
      <c r="F55">
        <f t="shared" si="33"/>
        <v>1992</v>
      </c>
      <c r="G55">
        <v>10</v>
      </c>
      <c r="H55">
        <f t="shared" si="34"/>
        <v>14</v>
      </c>
      <c r="I55">
        <f t="shared" si="34"/>
        <v>12</v>
      </c>
      <c r="J55">
        <f t="shared" si="35"/>
        <v>5.3</v>
      </c>
      <c r="K55">
        <f t="shared" si="35"/>
        <v>3.8</v>
      </c>
      <c r="L55">
        <f t="shared" si="35"/>
        <v>3.13</v>
      </c>
      <c r="M55">
        <f t="shared" si="35"/>
        <v>0.39</v>
      </c>
      <c r="N55">
        <f t="shared" si="5"/>
        <v>2.8091598684778813</v>
      </c>
      <c r="O55" s="59">
        <f t="shared" si="6"/>
        <v>0.74807906370568766</v>
      </c>
      <c r="P55" s="63">
        <f t="shared" si="7"/>
        <v>0.16744600008272931</v>
      </c>
      <c r="Q55" s="59">
        <f t="shared" si="8"/>
        <v>0.80203525727851444</v>
      </c>
      <c r="R55" s="59">
        <f t="shared" si="9"/>
        <v>5.9720745763167491</v>
      </c>
      <c r="S55" s="59">
        <f t="shared" si="10"/>
        <v>4.4675839574315752</v>
      </c>
      <c r="T55" s="59">
        <f t="shared" si="11"/>
        <v>3.3421060239019638</v>
      </c>
      <c r="U55" s="23">
        <f t="shared" si="12"/>
        <v>35.665674745088879</v>
      </c>
      <c r="V55" s="59">
        <f t="shared" si="13"/>
        <v>4.4353885556167691</v>
      </c>
      <c r="W55" s="59">
        <f t="shared" si="14"/>
        <v>3.3180213178567151</v>
      </c>
      <c r="AF55" s="59">
        <f t="shared" si="15"/>
        <v>0.74807906370568766</v>
      </c>
      <c r="AG55" s="59">
        <f t="shared" si="16"/>
        <v>0.80203525727851444</v>
      </c>
      <c r="AH55" s="59">
        <f t="shared" si="17"/>
        <v>0.80203525727851444</v>
      </c>
      <c r="AJ55">
        <f t="shared" si="18"/>
        <v>0.40920166187679308</v>
      </c>
      <c r="AK55">
        <f t="shared" si="19"/>
        <v>2.4437828414809588</v>
      </c>
      <c r="AL55">
        <f t="shared" si="20"/>
        <v>1.8281427799551007</v>
      </c>
      <c r="AN55" t="str">
        <f t="shared" si="21"/>
        <v>Lauer CJ</v>
      </c>
      <c r="AO55">
        <f t="shared" si="22"/>
        <v>1992</v>
      </c>
      <c r="AP55" t="str">
        <f t="shared" si="23"/>
        <v>Lauer CJ 1992</v>
      </c>
      <c r="AQ55">
        <f t="shared" si="24"/>
        <v>14</v>
      </c>
      <c r="AR55">
        <f t="shared" si="25"/>
        <v>5.3</v>
      </c>
      <c r="AS55">
        <f t="shared" si="26"/>
        <v>3.8</v>
      </c>
      <c r="AT55">
        <f t="shared" si="27"/>
        <v>12</v>
      </c>
      <c r="AU55">
        <f t="shared" si="28"/>
        <v>3.13</v>
      </c>
      <c r="AV55">
        <f t="shared" si="29"/>
        <v>0.39</v>
      </c>
      <c r="AW55" s="65">
        <f t="shared" si="30"/>
        <v>0.74807906370568766</v>
      </c>
      <c r="AX55">
        <f t="shared" si="31"/>
        <v>0.40920166187679308</v>
      </c>
    </row>
    <row r="56" spans="5:51">
      <c r="E56" t="str">
        <f t="shared" si="33"/>
        <v>Wurthmann C</v>
      </c>
      <c r="F56">
        <f t="shared" si="33"/>
        <v>1995</v>
      </c>
      <c r="G56">
        <v>9</v>
      </c>
      <c r="H56">
        <f t="shared" si="34"/>
        <v>34</v>
      </c>
      <c r="I56">
        <f t="shared" si="34"/>
        <v>42</v>
      </c>
      <c r="J56">
        <f t="shared" si="35"/>
        <v>9.76</v>
      </c>
      <c r="K56">
        <f t="shared" si="35"/>
        <v>3.04</v>
      </c>
      <c r="L56">
        <f t="shared" si="35"/>
        <v>8.18</v>
      </c>
      <c r="M56">
        <f t="shared" si="35"/>
        <v>2.91</v>
      </c>
      <c r="N56">
        <f t="shared" si="5"/>
        <v>2.9686763362126882</v>
      </c>
      <c r="O56" s="59">
        <f t="shared" si="6"/>
        <v>0.52681128768150898</v>
      </c>
      <c r="P56" s="63">
        <f t="shared" si="7"/>
        <v>5.5146976364619661E-2</v>
      </c>
      <c r="Q56" s="59">
        <f t="shared" si="8"/>
        <v>0.46027450983334162</v>
      </c>
      <c r="R56" s="59">
        <f t="shared" si="9"/>
        <v>18.133360447329338</v>
      </c>
      <c r="S56" s="59">
        <f t="shared" si="10"/>
        <v>9.5528589672505113</v>
      </c>
      <c r="T56" s="59">
        <f t="shared" si="11"/>
        <v>5.032553933577093</v>
      </c>
      <c r="U56" s="23">
        <f t="shared" si="12"/>
        <v>328.81876111276802</v>
      </c>
      <c r="V56" s="59">
        <f t="shared" si="13"/>
        <v>8.8370162557409326</v>
      </c>
      <c r="W56" s="59">
        <f t="shared" si="14"/>
        <v>4.6554399129493076</v>
      </c>
      <c r="AF56" s="59">
        <f t="shared" si="15"/>
        <v>0.52681128768150898</v>
      </c>
      <c r="AG56" s="59">
        <f t="shared" si="16"/>
        <v>0.46027450983334162</v>
      </c>
      <c r="AH56" s="59">
        <f t="shared" si="17"/>
        <v>0.46027450983334162</v>
      </c>
      <c r="AJ56">
        <f t="shared" si="18"/>
        <v>0.2348339335884396</v>
      </c>
      <c r="AK56">
        <f t="shared" si="19"/>
        <v>4.2583283630233755</v>
      </c>
      <c r="AL56">
        <f t="shared" si="20"/>
        <v>2.2433354482950367</v>
      </c>
      <c r="AN56" t="str">
        <f t="shared" si="21"/>
        <v>Wurthmann C</v>
      </c>
      <c r="AO56">
        <f t="shared" si="22"/>
        <v>1995</v>
      </c>
      <c r="AP56" t="str">
        <f t="shared" si="23"/>
        <v>Wurthmann C 1995</v>
      </c>
      <c r="AQ56">
        <f t="shared" si="24"/>
        <v>34</v>
      </c>
      <c r="AR56">
        <f t="shared" si="25"/>
        <v>9.76</v>
      </c>
      <c r="AS56">
        <f t="shared" si="26"/>
        <v>3.04</v>
      </c>
      <c r="AT56">
        <f t="shared" si="27"/>
        <v>42</v>
      </c>
      <c r="AU56">
        <f t="shared" si="28"/>
        <v>8.18</v>
      </c>
      <c r="AV56">
        <f t="shared" si="29"/>
        <v>2.91</v>
      </c>
      <c r="AW56" s="65">
        <f t="shared" si="30"/>
        <v>0.52681128768150898</v>
      </c>
      <c r="AX56">
        <f t="shared" si="31"/>
        <v>0.2348339335884396</v>
      </c>
    </row>
    <row r="57" spans="5:51">
      <c r="E57" t="str">
        <f t="shared" si="33"/>
        <v>Elkis H</v>
      </c>
      <c r="F57">
        <f t="shared" si="33"/>
        <v>1996</v>
      </c>
      <c r="G57">
        <v>8</v>
      </c>
      <c r="H57">
        <f t="shared" si="34"/>
        <v>8</v>
      </c>
      <c r="I57">
        <f t="shared" si="34"/>
        <v>17</v>
      </c>
      <c r="J57">
        <f t="shared" si="35"/>
        <v>5.31</v>
      </c>
      <c r="K57">
        <f t="shared" si="35"/>
        <v>1.64</v>
      </c>
      <c r="L57">
        <f t="shared" si="35"/>
        <v>5.56</v>
      </c>
      <c r="M57">
        <f t="shared" si="35"/>
        <v>2.84</v>
      </c>
      <c r="N57">
        <f>IF($D$3=1,SQRT((((I57-1)*(M57)^2)+((H57-1)*(K57)^2))/(H57+I57-2)),M57)</f>
        <v>2.5356312994906265</v>
      </c>
      <c r="O57" s="59">
        <f>IF($D$6=1,LN(J57/L57),IF($D$5=1,(1-3/(4*(H57+I57)-9))*((J57-L57)/N57),(J57-L57)/N57))</f>
        <v>-9.5344398772332417E-2</v>
      </c>
      <c r="P57" s="63">
        <f>IF($D$6=1,(K57^2)/(H57*J57^2)+(M57^2)/(I57*L57^2),(IF($D$5=1,((H57+I57)/(H57*I57))+(O57*O57)/(2*(H57+I57-3.94)),((H57+I57)/(H57*I57))+((O57^2)/(2*(H57+I57-2))))))</f>
        <v>0.18403935453942991</v>
      </c>
      <c r="Q57" s="59">
        <f t="shared" si="8"/>
        <v>0.84083624113062228</v>
      </c>
      <c r="R57" s="59">
        <f>1/P57</f>
        <v>5.4336204476622028</v>
      </c>
      <c r="S57" s="59">
        <f>O57*R57</f>
        <v>-0.51806527473940445</v>
      </c>
      <c r="T57" s="59">
        <f>R57*(O57^2)</f>
        <v>4.9394622144851734E-2</v>
      </c>
      <c r="U57" s="23">
        <f>R57^2</f>
        <v>29.524231169252797</v>
      </c>
      <c r="V57" s="59">
        <f>1/((1/R57)+$I$78)</f>
        <v>4.1313309647980407</v>
      </c>
      <c r="W57" s="59">
        <f>V57*O57</f>
        <v>-0.39389926696818922</v>
      </c>
      <c r="AF57" s="59">
        <f>IF($D$6=1,100*((EXP(O57))-1),O57)</f>
        <v>-9.5344398772332417E-2</v>
      </c>
      <c r="AG57" s="59">
        <f>IF($D$6=1,100*(EXP(O57+Q57)-EXP(O57)),Q57)</f>
        <v>0.84083624113062228</v>
      </c>
      <c r="AH57" s="59">
        <f>IF($D$6=1,100*(EXP(O57)-EXP(O57-Q57)),Q57)</f>
        <v>0.84083624113062228</v>
      </c>
      <c r="AJ57">
        <f>SQRT(P57)</f>
        <v>0.42899808220950114</v>
      </c>
      <c r="AK57">
        <f t="shared" si="19"/>
        <v>2.3310127515014161</v>
      </c>
      <c r="AL57">
        <f>O57/AJ57</f>
        <v>-0.22224900932254282</v>
      </c>
      <c r="AN57" t="str">
        <f t="shared" ref="AN57:AO59" si="36">E57</f>
        <v>Elkis H</v>
      </c>
      <c r="AO57">
        <f t="shared" si="36"/>
        <v>1996</v>
      </c>
      <c r="AP57" t="str">
        <f>CONCATENATE(AN57," ",AO57)</f>
        <v>Elkis H 1996</v>
      </c>
      <c r="AQ57">
        <f>INT(H57)</f>
        <v>8</v>
      </c>
      <c r="AR57">
        <f t="shared" ref="AR57:AS59" si="37">J57</f>
        <v>5.31</v>
      </c>
      <c r="AS57">
        <f t="shared" si="37"/>
        <v>1.64</v>
      </c>
      <c r="AT57">
        <f>INT(I57)</f>
        <v>17</v>
      </c>
      <c r="AU57">
        <f t="shared" ref="AU57:AV59" si="38">L57</f>
        <v>5.56</v>
      </c>
      <c r="AV57">
        <f t="shared" si="38"/>
        <v>2.84</v>
      </c>
      <c r="AW57" s="65">
        <f>O57</f>
        <v>-9.5344398772332417E-2</v>
      </c>
      <c r="AX57">
        <f>SQRT(P57)</f>
        <v>0.42899808220950114</v>
      </c>
    </row>
    <row r="58" spans="5:51">
      <c r="E58" t="str">
        <f t="shared" si="33"/>
        <v>Elkis H</v>
      </c>
      <c r="F58">
        <f t="shared" si="33"/>
        <v>1996</v>
      </c>
      <c r="G58">
        <v>7</v>
      </c>
      <c r="H58">
        <f t="shared" si="34"/>
        <v>16</v>
      </c>
      <c r="I58">
        <f t="shared" si="34"/>
        <v>23</v>
      </c>
      <c r="J58">
        <f t="shared" si="35"/>
        <v>6.65</v>
      </c>
      <c r="K58">
        <f t="shared" si="35"/>
        <v>1.84</v>
      </c>
      <c r="L58">
        <f t="shared" si="35"/>
        <v>5.52</v>
      </c>
      <c r="M58">
        <f t="shared" si="35"/>
        <v>2.4300000000000002</v>
      </c>
      <c r="N58">
        <f>IF($D$3=1,SQRT((((I58-1)*(M58)^2)+((H58-1)*(K58)^2))/(H58+I58-2)),M58)</f>
        <v>2.2098783138811426</v>
      </c>
      <c r="O58" s="59">
        <f>IF($D$6=1,LN(J58/L58),IF($D$5=1,(1-3/(4*(H58+I58)-9))*((J58-L58)/N58),(J58-L58)/N58))</f>
        <v>0.50090485460537493</v>
      </c>
      <c r="P58" s="63">
        <f>IF($D$6=1,(K58^2)/(H58*J58^2)+(M58^2)/(I58*L58^2),(IF($D$5=1,((H58+I58)/(H58*I58))+(O58*O58)/(2*(H58+I58-3.94)),((H58+I58)/(H58*I58))+((O58^2)/(2*(H58+I58-2))))))</f>
        <v>0.1095564935188412</v>
      </c>
      <c r="Q58" s="59">
        <f t="shared" si="8"/>
        <v>0.64874665741102688</v>
      </c>
      <c r="R58" s="59">
        <f>1/P58</f>
        <v>9.127710899473275</v>
      </c>
      <c r="S58" s="59">
        <f>O58*R58</f>
        <v>4.5721147009805572</v>
      </c>
      <c r="T58" s="59">
        <f>R58*(O58^2)</f>
        <v>2.2901944495337632</v>
      </c>
      <c r="U58" s="23">
        <f>R58^2</f>
        <v>83.315106264363223</v>
      </c>
      <c r="V58" s="59">
        <f>1/((1/R58)+$I$78)</f>
        <v>5.9676594446564293</v>
      </c>
      <c r="W58" s="59">
        <f>V58*O58</f>
        <v>2.9892295864600213</v>
      </c>
      <c r="AF58" s="59">
        <f>IF($D$6=1,100*((EXP(O58))-1),O58)</f>
        <v>0.50090485460537493</v>
      </c>
      <c r="AG58" s="59">
        <f>IF($D$6=1,100*(EXP(O58+Q58)-EXP(O58)),Q58)</f>
        <v>0.64874665741102688</v>
      </c>
      <c r="AH58" s="59">
        <f>IF($D$6=1,100*(EXP(O58)-EXP(O58-Q58)),Q58)</f>
        <v>0.64874665741102688</v>
      </c>
      <c r="AJ58">
        <f>SQRT(P58)</f>
        <v>0.33099319255664639</v>
      </c>
      <c r="AK58">
        <f t="shared" si="19"/>
        <v>3.021210171350758</v>
      </c>
      <c r="AL58">
        <f>O58/AJ58</f>
        <v>1.5133388416127311</v>
      </c>
      <c r="AN58" t="str">
        <f t="shared" si="36"/>
        <v>Elkis H</v>
      </c>
      <c r="AO58">
        <f t="shared" si="36"/>
        <v>1996</v>
      </c>
      <c r="AP58" t="str">
        <f>CONCATENATE(AN58," ",AO58)</f>
        <v>Elkis H 1996</v>
      </c>
      <c r="AQ58">
        <f>INT(H58)</f>
        <v>16</v>
      </c>
      <c r="AR58">
        <f t="shared" si="37"/>
        <v>6.65</v>
      </c>
      <c r="AS58">
        <f t="shared" si="37"/>
        <v>1.84</v>
      </c>
      <c r="AT58">
        <f>INT(I58)</f>
        <v>23</v>
      </c>
      <c r="AU58">
        <f t="shared" si="38"/>
        <v>5.52</v>
      </c>
      <c r="AV58">
        <f t="shared" si="38"/>
        <v>2.4300000000000002</v>
      </c>
      <c r="AW58" s="65">
        <f>O58</f>
        <v>0.50090485460537493</v>
      </c>
      <c r="AX58">
        <f>SQRT(P58)</f>
        <v>0.33099319255664639</v>
      </c>
    </row>
    <row r="59" spans="5:51">
      <c r="E59" t="str">
        <f t="shared" si="33"/>
        <v>Marchesi C</v>
      </c>
      <c r="F59">
        <f t="shared" si="33"/>
        <v>1996</v>
      </c>
      <c r="G59">
        <v>6</v>
      </c>
      <c r="H59">
        <f t="shared" si="34"/>
        <v>11</v>
      </c>
      <c r="I59">
        <f t="shared" si="34"/>
        <v>11</v>
      </c>
      <c r="J59">
        <f t="shared" ref="J59:M64" si="39">IF($D$4="Total",T34,IF($D$4="Left",L34,IF($D$4="Right",P34,"error")))</f>
        <v>11.1</v>
      </c>
      <c r="K59">
        <f t="shared" si="39"/>
        <v>1.6</v>
      </c>
      <c r="L59">
        <f t="shared" si="39"/>
        <v>8.6999999999999993</v>
      </c>
      <c r="M59">
        <f t="shared" si="39"/>
        <v>1.8</v>
      </c>
      <c r="N59">
        <f>IF($D$3=1,SQRT((((I59-1)*(M59)^2)+((H59-1)*(K59)^2))/(H59+I59-2)),M59)</f>
        <v>1.7029386365926404</v>
      </c>
      <c r="O59" s="59">
        <f>IF($D$6=1,LN(J59/L59),IF($D$5=1,(1-3/(4*(H59+I59)-9))*((J59-L59)/N59),(J59-L59)/N59))</f>
        <v>1.3558097220187586</v>
      </c>
      <c r="P59" s="63">
        <f>IF($D$6=1,(K59^2)/(H59*J59^2)+(M59^2)/(I59*L59^2),(IF($D$5=1,((H59+I59)/(H59*I59))+(O59*O59)/(2*(H59+I59-3.94)),((H59+I59)/(H59*I59))+((O59^2)/(2*(H59+I59-2))))))</f>
        <v>0.23271020846050142</v>
      </c>
      <c r="Q59" s="59">
        <f t="shared" si="8"/>
        <v>0.94550491105116008</v>
      </c>
      <c r="R59" s="59">
        <f>1/P59</f>
        <v>4.2971900829599097</v>
      </c>
      <c r="S59" s="59">
        <f>O59*R59</f>
        <v>5.8261720918396414</v>
      </c>
      <c r="T59" s="59">
        <f>R59*(O59^2)</f>
        <v>7.8991807642705538</v>
      </c>
      <c r="U59" s="23">
        <f>R59^2</f>
        <v>18.465842609088995</v>
      </c>
      <c r="V59" s="59">
        <f>1/((1/R59)+$I$78)</f>
        <v>3.4396932486899545</v>
      </c>
      <c r="W59" s="59">
        <f>V59*O59</f>
        <v>4.6635695473361283</v>
      </c>
      <c r="AF59" s="59">
        <f>IF($D$6=1,100*((EXP(O59))-1),O59)</f>
        <v>1.3558097220187586</v>
      </c>
      <c r="AG59" s="59">
        <f>IF($D$6=1,100*(EXP(O59+Q59)-EXP(O59)),Q59)</f>
        <v>0.94550491105116008</v>
      </c>
      <c r="AH59" s="59">
        <f>IF($D$6=1,100*(EXP(O59)-EXP(O59-Q59)),Q59)</f>
        <v>0.94550491105116008</v>
      </c>
      <c r="AJ59">
        <f>SQRT(P59)</f>
        <v>0.48240046482202048</v>
      </c>
      <c r="AK59">
        <f t="shared" si="19"/>
        <v>2.0729664934484373</v>
      </c>
      <c r="AL59">
        <f>O59/AJ59</f>
        <v>2.8105481252365263</v>
      </c>
      <c r="AN59" t="str">
        <f t="shared" si="36"/>
        <v>Marchesi C</v>
      </c>
      <c r="AO59">
        <f t="shared" si="36"/>
        <v>1996</v>
      </c>
      <c r="AP59" t="str">
        <f>CONCATENATE(AN59," ",AO59)</f>
        <v>Marchesi C 1996</v>
      </c>
      <c r="AQ59">
        <f>INT(H59)</f>
        <v>11</v>
      </c>
      <c r="AR59">
        <f t="shared" si="37"/>
        <v>11.1</v>
      </c>
      <c r="AS59">
        <f t="shared" si="37"/>
        <v>1.6</v>
      </c>
      <c r="AT59">
        <f>INT(I59)</f>
        <v>11</v>
      </c>
      <c r="AU59">
        <f t="shared" si="38"/>
        <v>8.6999999999999993</v>
      </c>
      <c r="AV59">
        <f t="shared" si="38"/>
        <v>1.8</v>
      </c>
      <c r="AW59" s="65">
        <f>O59</f>
        <v>1.3558097220187586</v>
      </c>
      <c r="AX59">
        <f>SQRT(P59)</f>
        <v>0.48240046482202048</v>
      </c>
    </row>
    <row r="60" spans="5:51">
      <c r="E60" t="str">
        <f t="shared" ref="E60:F64" si="40">E35</f>
        <v>Pantel J</v>
      </c>
      <c r="F60">
        <f t="shared" si="40"/>
        <v>1997</v>
      </c>
      <c r="G60">
        <v>5</v>
      </c>
      <c r="H60">
        <f t="shared" ref="H60:I64" si="41">H35</f>
        <v>19</v>
      </c>
      <c r="I60">
        <f t="shared" si="41"/>
        <v>13</v>
      </c>
      <c r="J60">
        <f t="shared" si="39"/>
        <v>10.15</v>
      </c>
      <c r="K60">
        <f t="shared" si="39"/>
        <v>3.8</v>
      </c>
      <c r="L60">
        <f t="shared" si="39"/>
        <v>7.27</v>
      </c>
      <c r="M60">
        <f t="shared" si="39"/>
        <v>2.2999999999999998</v>
      </c>
      <c r="N60">
        <f t="shared" si="5"/>
        <v>3.2832910318764008</v>
      </c>
      <c r="O60" s="59">
        <f t="shared" si="6"/>
        <v>0.85505516590735109</v>
      </c>
      <c r="P60" s="63">
        <f t="shared" si="7"/>
        <v>0.14258244162855027</v>
      </c>
      <c r="Q60" s="59">
        <f t="shared" si="8"/>
        <v>0.7400977690550341</v>
      </c>
      <c r="R60" s="59">
        <f t="shared" si="9"/>
        <v>7.0134862931100423</v>
      </c>
      <c r="S60" s="59">
        <f t="shared" si="10"/>
        <v>5.9969176859441404</v>
      </c>
      <c r="T60" s="59">
        <f t="shared" si="11"/>
        <v>5.127695446887695</v>
      </c>
      <c r="U60" s="23">
        <f t="shared" si="12"/>
        <v>49.188989983642443</v>
      </c>
      <c r="V60" s="59">
        <f t="shared" si="13"/>
        <v>4.9851484461487328</v>
      </c>
      <c r="W60" s="59">
        <f t="shared" si="14"/>
        <v>4.2625769316944782</v>
      </c>
      <c r="AF60" s="59">
        <f t="shared" si="15"/>
        <v>0.85505516590735109</v>
      </c>
      <c r="AG60" s="59">
        <f t="shared" si="16"/>
        <v>0.7400977690550341</v>
      </c>
      <c r="AH60" s="59">
        <f t="shared" si="17"/>
        <v>0.7400977690550341</v>
      </c>
      <c r="AJ60">
        <f t="shared" si="18"/>
        <v>0.37760090257909906</v>
      </c>
      <c r="AK60">
        <f t="shared" si="19"/>
        <v>2.6482987545044918</v>
      </c>
      <c r="AL60">
        <f t="shared" si="20"/>
        <v>2.2644415309050694</v>
      </c>
      <c r="AN60" t="str">
        <f t="shared" si="21"/>
        <v>Pantel J</v>
      </c>
      <c r="AO60">
        <f t="shared" si="22"/>
        <v>1997</v>
      </c>
      <c r="AP60" t="str">
        <f t="shared" si="23"/>
        <v>Pantel J 1997</v>
      </c>
      <c r="AQ60">
        <f t="shared" si="24"/>
        <v>19</v>
      </c>
      <c r="AR60">
        <f t="shared" si="25"/>
        <v>10.15</v>
      </c>
      <c r="AS60">
        <f t="shared" si="26"/>
        <v>3.8</v>
      </c>
      <c r="AT60">
        <f t="shared" si="27"/>
        <v>13</v>
      </c>
      <c r="AU60">
        <f t="shared" si="28"/>
        <v>7.27</v>
      </c>
      <c r="AV60">
        <f t="shared" si="29"/>
        <v>2.2999999999999998</v>
      </c>
      <c r="AW60" s="65">
        <f t="shared" si="30"/>
        <v>0.85505516590735109</v>
      </c>
      <c r="AX60">
        <f t="shared" si="31"/>
        <v>0.37760090257909906</v>
      </c>
    </row>
    <row r="61" spans="5:51">
      <c r="E61" t="str">
        <f t="shared" si="40"/>
        <v>Parashos IA</v>
      </c>
      <c r="F61">
        <f t="shared" si="40"/>
        <v>1998</v>
      </c>
      <c r="G61">
        <v>4</v>
      </c>
      <c r="H61">
        <f t="shared" si="41"/>
        <v>72</v>
      </c>
      <c r="I61">
        <f t="shared" si="41"/>
        <v>38</v>
      </c>
      <c r="J61">
        <f t="shared" si="39"/>
        <v>27.24</v>
      </c>
      <c r="K61">
        <f t="shared" si="39"/>
        <v>15.25</v>
      </c>
      <c r="L61">
        <f t="shared" si="39"/>
        <v>26.29</v>
      </c>
      <c r="M61">
        <f t="shared" si="39"/>
        <v>16.91</v>
      </c>
      <c r="N61">
        <f t="shared" si="5"/>
        <v>15.83830834120586</v>
      </c>
      <c r="O61" s="59">
        <f t="shared" si="6"/>
        <v>5.956365103357078E-2</v>
      </c>
      <c r="P61" s="63">
        <f t="shared" si="7"/>
        <v>4.0221403935477344E-2</v>
      </c>
      <c r="Q61" s="59">
        <f t="shared" si="8"/>
        <v>0.39308338219585137</v>
      </c>
      <c r="R61" s="59">
        <f t="shared" si="9"/>
        <v>24.862384257003736</v>
      </c>
      <c r="S61" s="59">
        <f t="shared" si="10"/>
        <v>1.4808943797467145</v>
      </c>
      <c r="T61" s="59">
        <f t="shared" si="11"/>
        <v>8.8207476052809555E-2</v>
      </c>
      <c r="U61" s="23">
        <f t="shared" si="12"/>
        <v>618.13815094290726</v>
      </c>
      <c r="V61" s="59">
        <f t="shared" si="13"/>
        <v>10.179692515885439</v>
      </c>
      <c r="W61" s="59">
        <f t="shared" si="14"/>
        <v>0.60633965264525247</v>
      </c>
      <c r="AF61" s="59">
        <f t="shared" si="15"/>
        <v>5.956365103357078E-2</v>
      </c>
      <c r="AG61" s="59">
        <f t="shared" si="16"/>
        <v>0.39308338219585137</v>
      </c>
      <c r="AH61" s="59">
        <f t="shared" si="17"/>
        <v>0.39308338219585137</v>
      </c>
      <c r="AJ61">
        <f t="shared" si="18"/>
        <v>0.20055274601829151</v>
      </c>
      <c r="AK61">
        <f t="shared" si="19"/>
        <v>4.9862194353040401</v>
      </c>
      <c r="AL61">
        <f t="shared" si="20"/>
        <v>0.2969974344212582</v>
      </c>
      <c r="AN61" t="str">
        <f t="shared" si="21"/>
        <v>Parashos IA</v>
      </c>
      <c r="AO61">
        <f t="shared" si="22"/>
        <v>1998</v>
      </c>
      <c r="AP61" t="str">
        <f t="shared" si="23"/>
        <v>Parashos IA 1998</v>
      </c>
      <c r="AQ61">
        <f t="shared" si="24"/>
        <v>72</v>
      </c>
      <c r="AR61">
        <f t="shared" si="25"/>
        <v>27.24</v>
      </c>
      <c r="AS61">
        <f t="shared" si="26"/>
        <v>15.25</v>
      </c>
      <c r="AT61">
        <f t="shared" si="27"/>
        <v>38</v>
      </c>
      <c r="AU61">
        <f t="shared" si="28"/>
        <v>26.29</v>
      </c>
      <c r="AV61">
        <f t="shared" si="29"/>
        <v>16.91</v>
      </c>
      <c r="AW61" s="65">
        <f t="shared" si="30"/>
        <v>5.956365103357078E-2</v>
      </c>
      <c r="AX61">
        <f t="shared" si="31"/>
        <v>0.20055274601829151</v>
      </c>
    </row>
    <row r="62" spans="5:51">
      <c r="E62" t="str">
        <f t="shared" si="40"/>
        <v>McIntosh AM</v>
      </c>
      <c r="F62">
        <f t="shared" si="40"/>
        <v>2001</v>
      </c>
      <c r="G62">
        <v>3</v>
      </c>
      <c r="H62">
        <f t="shared" si="41"/>
        <v>9</v>
      </c>
      <c r="I62">
        <f t="shared" si="41"/>
        <v>29</v>
      </c>
      <c r="J62">
        <f t="shared" si="39"/>
        <v>13062</v>
      </c>
      <c r="K62">
        <f t="shared" si="39"/>
        <v>6267.7020509912563</v>
      </c>
      <c r="L62">
        <f t="shared" si="39"/>
        <v>10041</v>
      </c>
      <c r="M62">
        <f t="shared" si="39"/>
        <v>5126.0120951866666</v>
      </c>
      <c r="N62">
        <f>IF($D$3=1,SQRT((((I62-1)*(M62)^2)+((H62-1)*(K62)^2))/(H62+I62-2)),M62)</f>
        <v>5400.6190797393256</v>
      </c>
      <c r="O62" s="59">
        <f>IF($D$6=1,LN(J62/L62),IF($D$5=1,(1-3/(4*(H62+I62)-9))*((J62-L62)/N62),(J62-L62)/N62))</f>
        <v>0.54764506327025286</v>
      </c>
      <c r="P62" s="63">
        <f>IF($D$6=1,(K62^2)/(H62*J62^2)+(M62^2)/(I62*L62^2),(IF($D$5=1,((H62+I62)/(H62*I62))+(O62*O62)/(2*(H62+I62-3.94)),((H62+I62)/(H62*I62))+((O62^2)/(2*(H62+I62-2))))))</f>
        <v>0.14999661658036623</v>
      </c>
      <c r="Q62" s="59">
        <f t="shared" si="8"/>
        <v>0.75909617457548484</v>
      </c>
      <c r="R62" s="59">
        <f>1/P62</f>
        <v>6.6668170442645494</v>
      </c>
      <c r="S62" s="59">
        <f>O62*R62</f>
        <v>3.6510494420174595</v>
      </c>
      <c r="T62" s="59">
        <f>R62*(O62^2)</f>
        <v>1.9994792026764729</v>
      </c>
      <c r="U62" s="23">
        <f>R62^2</f>
        <v>44.4464495016963</v>
      </c>
      <c r="V62" s="59">
        <f>1/((1/R62)+$I$78)</f>
        <v>4.8074610200040633</v>
      </c>
      <c r="W62" s="59">
        <f>V62*O62</f>
        <v>2.6327822944693997</v>
      </c>
      <c r="AF62" s="59">
        <f>IF($D$6=1,100*((EXP(O62))-1),O62)</f>
        <v>0.54764506327025286</v>
      </c>
      <c r="AG62" s="59">
        <f>IF($D$6=1,100*(EXP(O62+Q62)-EXP(O62)),Q62)</f>
        <v>0.75909617457548484</v>
      </c>
      <c r="AH62" s="59">
        <f>IF($D$6=1,100*(EXP(O62)-EXP(O62-Q62)),Q62)</f>
        <v>0.75909617457548484</v>
      </c>
      <c r="AJ62">
        <f>SQRT(P62)</f>
        <v>0.38729396662014531</v>
      </c>
      <c r="AK62">
        <f t="shared" si="19"/>
        <v>2.58201801780401</v>
      </c>
      <c r="AL62">
        <f>O62/AJ62</f>
        <v>1.41402942072521</v>
      </c>
      <c r="AN62" t="str">
        <f t="shared" ref="AN62:AO64" si="42">E62</f>
        <v>McIntosh AM</v>
      </c>
      <c r="AO62">
        <f t="shared" si="42"/>
        <v>2001</v>
      </c>
      <c r="AP62" t="str">
        <f>CONCATENATE(AN62," ",AO62)</f>
        <v>McIntosh AM 2001</v>
      </c>
      <c r="AQ62">
        <f>INT(H62)</f>
        <v>9</v>
      </c>
      <c r="AR62">
        <f t="shared" ref="AR62:AS64" si="43">J62</f>
        <v>13062</v>
      </c>
      <c r="AS62">
        <f t="shared" si="43"/>
        <v>6267.7020509912563</v>
      </c>
      <c r="AT62">
        <f>INT(I62)</f>
        <v>29</v>
      </c>
      <c r="AU62">
        <f t="shared" ref="AU62:AV64" si="44">L62</f>
        <v>10041</v>
      </c>
      <c r="AV62">
        <f t="shared" si="44"/>
        <v>5126.0120951866666</v>
      </c>
      <c r="AW62" s="65">
        <f>O62</f>
        <v>0.54764506327025286</v>
      </c>
      <c r="AX62">
        <f>SQRT(P62)</f>
        <v>0.38729396662014531</v>
      </c>
    </row>
    <row r="63" spans="5:51">
      <c r="E63" t="str">
        <f t="shared" si="40"/>
        <v>Pujol J</v>
      </c>
      <c r="F63">
        <f t="shared" si="40"/>
        <v>2002</v>
      </c>
      <c r="G63">
        <v>2</v>
      </c>
      <c r="H63">
        <f t="shared" si="41"/>
        <v>57</v>
      </c>
      <c r="I63">
        <f t="shared" si="41"/>
        <v>37</v>
      </c>
      <c r="J63">
        <f t="shared" si="39"/>
        <v>23.1</v>
      </c>
      <c r="K63">
        <f t="shared" si="39"/>
        <v>13.8</v>
      </c>
      <c r="L63">
        <f t="shared" si="39"/>
        <v>14.3</v>
      </c>
      <c r="M63">
        <f t="shared" si="39"/>
        <v>7</v>
      </c>
      <c r="N63">
        <f>IF($D$3=1,SQRT((((I63-1)*(M63)^2)+((H63-1)*(K63)^2))/(H63+I63-2)),M63)</f>
        <v>11.622990709945451</v>
      </c>
      <c r="O63" s="59">
        <f>IF($D$6=1,LN(J63/L63),IF($D$5=1,(1-3/(4*(H63+I63)-9))*((J63-L63)/N63),(J63-L63)/N63))</f>
        <v>0.75093111686194658</v>
      </c>
      <c r="P63" s="63">
        <f>IF($D$6=1,(K63^2)/(H63*J63^2)+(M63^2)/(I63*L63^2),(IF($D$5=1,((H63+I63)/(H63*I63))+(O63*O63)/(2*(H63+I63-3.94)),((H63+I63)/(H63*I63))+((O63^2)/(2*(H63+I63-2))))))</f>
        <v>4.7701563681876738E-2</v>
      </c>
      <c r="Q63" s="59">
        <f t="shared" si="8"/>
        <v>0.42807747784752431</v>
      </c>
      <c r="R63" s="59">
        <f>1/P63</f>
        <v>20.96367336444214</v>
      </c>
      <c r="S63" s="59">
        <f>O63*R63</f>
        <v>15.742274653089577</v>
      </c>
      <c r="T63" s="59">
        <f>R63*(O63^2)</f>
        <v>11.821363887192069</v>
      </c>
      <c r="U63" s="23">
        <f>R63^2</f>
        <v>439.47560093102084</v>
      </c>
      <c r="V63" s="59">
        <f>1/((1/R63)+$I$78)</f>
        <v>9.4593996595091276</v>
      </c>
      <c r="W63" s="59">
        <f>V63*O63</f>
        <v>7.1033575511587062</v>
      </c>
      <c r="AF63" s="59">
        <f>IF($D$6=1,100*((EXP(O63))-1),O63)</f>
        <v>0.75093111686194658</v>
      </c>
      <c r="AG63" s="59">
        <f>IF($D$6=1,100*(EXP(O63+Q63)-EXP(O63)),Q63)</f>
        <v>0.42807747784752431</v>
      </c>
      <c r="AH63" s="59">
        <f>IF($D$6=1,100*(EXP(O63)-EXP(O63-Q63)),Q63)</f>
        <v>0.42807747784752431</v>
      </c>
      <c r="AJ63">
        <f>SQRT(P63)</f>
        <v>0.21840687645281853</v>
      </c>
      <c r="AK63">
        <f t="shared" si="19"/>
        <v>4.5786104185049572</v>
      </c>
      <c r="AL63">
        <f>O63/AJ63</f>
        <v>3.4382210352436724</v>
      </c>
      <c r="AN63" t="str">
        <f t="shared" si="42"/>
        <v>Pujol J</v>
      </c>
      <c r="AO63">
        <f t="shared" si="42"/>
        <v>2002</v>
      </c>
      <c r="AP63" t="str">
        <f>CONCATENATE(AN63," ",AO63)</f>
        <v>Pujol J 2002</v>
      </c>
      <c r="AQ63">
        <f>INT(H63)</f>
        <v>57</v>
      </c>
      <c r="AR63">
        <f t="shared" si="43"/>
        <v>23.1</v>
      </c>
      <c r="AS63">
        <f t="shared" si="43"/>
        <v>13.8</v>
      </c>
      <c r="AT63">
        <f>INT(I63)</f>
        <v>37</v>
      </c>
      <c r="AU63">
        <f t="shared" si="44"/>
        <v>14.3</v>
      </c>
      <c r="AV63">
        <f t="shared" si="44"/>
        <v>7</v>
      </c>
      <c r="AW63" s="65">
        <f>O63</f>
        <v>0.75093111686194658</v>
      </c>
      <c r="AX63">
        <f>SQRT(P63)</f>
        <v>0.21840687645281853</v>
      </c>
    </row>
    <row r="64" spans="5:51">
      <c r="E64" t="str">
        <f t="shared" si="40"/>
        <v>Lloyd AJ</v>
      </c>
      <c r="F64">
        <f t="shared" si="40"/>
        <v>2004</v>
      </c>
      <c r="G64">
        <v>1</v>
      </c>
      <c r="H64">
        <f t="shared" si="41"/>
        <v>51</v>
      </c>
      <c r="I64">
        <f t="shared" si="41"/>
        <v>39</v>
      </c>
      <c r="J64">
        <f t="shared" si="39"/>
        <v>25.4</v>
      </c>
      <c r="K64">
        <f t="shared" si="39"/>
        <v>11.880235687897779</v>
      </c>
      <c r="L64">
        <f t="shared" si="39"/>
        <v>20.8</v>
      </c>
      <c r="M64">
        <f t="shared" si="39"/>
        <v>11.744360348695027</v>
      </c>
      <c r="N64">
        <f>IF($D$3=1,SQRT((((I64-1)*(M64)^2)+((H64-1)*(K64)^2))/(H64+I64-2)),M64)</f>
        <v>11.821753830813922</v>
      </c>
      <c r="O64" s="59">
        <f>IF($D$6=1,LN(J64/L64),IF($D$5=1,(1-3/(4*(H64+I64)-9))*((J64-L64)/N64),(J64-L64)/N64))</f>
        <v>0.38578740734696537</v>
      </c>
      <c r="P64" s="63">
        <f>IF($D$6=1,(K64^2)/(H64*J64^2)+(M64^2)/(I64*L64^2),(IF($D$5=1,((H64+I64)/(H64*I64))+(O64*O64)/(2*(H64+I64-3.94)),((H64+I64)/(H64*I64))+((O64^2)/(2*(H64+I64-2))))))</f>
        <v>4.6113567381972698E-2</v>
      </c>
      <c r="Q64" s="59">
        <f t="shared" si="8"/>
        <v>0.42089176810028761</v>
      </c>
      <c r="R64" s="59">
        <f>1/P64</f>
        <v>21.685591828467661</v>
      </c>
      <c r="S64" s="59">
        <f>O64*R64</f>
        <v>8.3660282482890764</v>
      </c>
      <c r="T64" s="59">
        <f>R64*(O64^2)</f>
        <v>3.2275083476989175</v>
      </c>
      <c r="U64" s="23">
        <f>R64^2</f>
        <v>470.2648929509034</v>
      </c>
      <c r="V64" s="59">
        <f>1/((1/R64)+$I$78)</f>
        <v>9.6036609727027393</v>
      </c>
      <c r="W64" s="59">
        <f>V64*O64</f>
        <v>3.7049714676982255</v>
      </c>
      <c r="AF64" s="59">
        <f>IF($D$6=1,100*((EXP(O64))-1),O64)</f>
        <v>0.38578740734696537</v>
      </c>
      <c r="AG64" s="59">
        <f>IF($D$6=1,100*(EXP(O64+Q64)-EXP(O64)),Q64)</f>
        <v>0.42089176810028761</v>
      </c>
      <c r="AH64" s="59">
        <f>IF($D$6=1,100*(EXP(O64)-EXP(O64-Q64)),Q64)</f>
        <v>0.42089176810028761</v>
      </c>
      <c r="AJ64">
        <f>SQRT(P64)</f>
        <v>0.21474069801035084</v>
      </c>
      <c r="AK64">
        <f t="shared" si="19"/>
        <v>4.6567791260127063</v>
      </c>
      <c r="AL64">
        <f>O64/AJ64</f>
        <v>1.7965267456119092</v>
      </c>
      <c r="AN64" t="str">
        <f t="shared" si="42"/>
        <v>Lloyd AJ</v>
      </c>
      <c r="AO64">
        <f t="shared" si="42"/>
        <v>2004</v>
      </c>
      <c r="AP64" t="str">
        <f>CONCATENATE(AN64," ",AO64)</f>
        <v>Lloyd AJ 2004</v>
      </c>
      <c r="AQ64">
        <f>INT(H64)</f>
        <v>51</v>
      </c>
      <c r="AR64">
        <f t="shared" si="43"/>
        <v>25.4</v>
      </c>
      <c r="AS64">
        <f t="shared" si="43"/>
        <v>11.880235687897779</v>
      </c>
      <c r="AT64">
        <f>INT(I64)</f>
        <v>39</v>
      </c>
      <c r="AU64">
        <f t="shared" si="44"/>
        <v>20.8</v>
      </c>
      <c r="AV64">
        <f t="shared" si="44"/>
        <v>11.744360348695027</v>
      </c>
      <c r="AW64" s="65">
        <f>O64</f>
        <v>0.38578740734696537</v>
      </c>
      <c r="AX64">
        <f>SQRT(P64)</f>
        <v>0.21474069801035084</v>
      </c>
    </row>
    <row r="65" spans="7:34">
      <c r="U65" s="23"/>
    </row>
    <row r="66" spans="7:34">
      <c r="L66" t="s">
        <v>500</v>
      </c>
      <c r="N66" s="7"/>
      <c r="O66" s="66">
        <f>COUNT(O49:O64)</f>
        <v>16</v>
      </c>
      <c r="Q66" t="s">
        <v>885</v>
      </c>
      <c r="R66" s="59">
        <f t="shared" ref="R66:W66" si="45">SUM(R49:R64)</f>
        <v>181.14276034872731</v>
      </c>
      <c r="S66" s="59">
        <f t="shared" si="45"/>
        <v>73.85792207415173</v>
      </c>
      <c r="T66" s="59">
        <f t="shared" si="45"/>
        <v>54.719247184534979</v>
      </c>
      <c r="U66" s="23">
        <f t="shared" si="45"/>
        <v>2822.0128055927034</v>
      </c>
      <c r="V66" s="59">
        <f t="shared" si="45"/>
        <v>100.20276575056202</v>
      </c>
      <c r="W66" s="59">
        <f t="shared" si="45"/>
        <v>43.724321172280256</v>
      </c>
    </row>
    <row r="67" spans="7:34">
      <c r="L67" t="s">
        <v>501</v>
      </c>
      <c r="N67" s="7"/>
      <c r="O67" s="2">
        <v>1</v>
      </c>
    </row>
    <row r="68" spans="7:34">
      <c r="N68" s="7"/>
      <c r="O68" s="7"/>
    </row>
    <row r="69" spans="7:34">
      <c r="G69" s="67" t="s">
        <v>502</v>
      </c>
      <c r="H69" s="40"/>
      <c r="I69" s="40">
        <f>S66/R66</f>
        <v>0.4077332261690394</v>
      </c>
      <c r="J69" s="40"/>
      <c r="K69" s="68" t="s">
        <v>879</v>
      </c>
      <c r="L69" s="40"/>
      <c r="M69" s="42"/>
      <c r="N69" s="7"/>
      <c r="O69" s="69" t="s">
        <v>503</v>
      </c>
      <c r="P69" s="70">
        <f>T66-((S66^2)/R66)</f>
        <v>24.604918339099584</v>
      </c>
      <c r="Q69" s="71" t="s">
        <v>824</v>
      </c>
      <c r="R69" s="28"/>
      <c r="S69" s="29"/>
      <c r="T69" s="30"/>
      <c r="U69" s="31"/>
      <c r="AF69" s="2" t="s">
        <v>1518</v>
      </c>
    </row>
    <row r="70" spans="7:34">
      <c r="G70" s="43" t="s">
        <v>504</v>
      </c>
      <c r="H70" s="31"/>
      <c r="I70" s="31">
        <f>1/R66</f>
        <v>5.5205076817580138E-3</v>
      </c>
      <c r="J70" s="31"/>
      <c r="K70" s="31"/>
      <c r="L70" s="31"/>
      <c r="M70" s="44"/>
      <c r="N70" s="7"/>
      <c r="O70" s="30" t="s">
        <v>505</v>
      </c>
      <c r="P70" s="31">
        <f>CHIDIST(P69,I74-1)</f>
        <v>5.5507462336169697E-2</v>
      </c>
      <c r="Q70" s="31"/>
      <c r="R70" s="31"/>
      <c r="S70" s="34"/>
      <c r="T70" s="30"/>
      <c r="U70" s="31"/>
      <c r="AF70" s="2"/>
    </row>
    <row r="71" spans="7:34">
      <c r="G71" s="72" t="s">
        <v>506</v>
      </c>
      <c r="H71" s="31"/>
      <c r="I71" s="31">
        <f>$R$81*SQRT(I70)</f>
        <v>0.14562823321815582</v>
      </c>
      <c r="J71" s="31"/>
      <c r="K71" s="31" t="s">
        <v>507</v>
      </c>
      <c r="L71" s="31"/>
      <c r="M71" s="44">
        <f>ABS(I69/SQRT(I70))</f>
        <v>5.4876523983790557</v>
      </c>
      <c r="N71" s="7"/>
      <c r="O71" s="35" t="s">
        <v>508</v>
      </c>
      <c r="P71" s="37">
        <f>IF(((P69-(I74-1))/P69)&lt;0,0,100*((P69-(I74-1))/P69))</f>
        <v>39.03657881211678</v>
      </c>
      <c r="Q71" s="36"/>
      <c r="R71" s="36"/>
      <c r="S71" s="38"/>
      <c r="T71" s="30"/>
      <c r="U71" s="31"/>
      <c r="AF71" s="2" t="s">
        <v>1535</v>
      </c>
      <c r="AH71">
        <f>IF($D$6=1,100*((EXP(I69))-1),I69)</f>
        <v>0.4077332261690394</v>
      </c>
    </row>
    <row r="72" spans="7:34">
      <c r="G72" s="45" t="s">
        <v>509</v>
      </c>
      <c r="H72" s="46"/>
      <c r="I72" s="46">
        <v>-2</v>
      </c>
      <c r="J72" s="46"/>
      <c r="K72" s="46" t="s">
        <v>825</v>
      </c>
      <c r="L72" s="46"/>
      <c r="M72" s="47">
        <f>2*(1-NORMDIST(M71,0,1,1))</f>
        <v>4.0731057193710285E-8</v>
      </c>
      <c r="N72" s="7"/>
      <c r="O72" s="7"/>
      <c r="AF72" s="79" t="s">
        <v>834</v>
      </c>
      <c r="AH72">
        <f>IF($D$6=1,100*(EXP(I69+I71)-EXP(I69)),I71)</f>
        <v>0.14562823321815582</v>
      </c>
    </row>
    <row r="73" spans="7:34">
      <c r="G73" s="40"/>
      <c r="H73" s="40"/>
      <c r="I73" s="40"/>
      <c r="J73" s="40"/>
      <c r="K73" s="40"/>
      <c r="L73" s="40"/>
      <c r="M73" s="40"/>
      <c r="N73" s="7"/>
      <c r="O73" s="7"/>
      <c r="AF73" s="79" t="s">
        <v>835</v>
      </c>
      <c r="AH73">
        <f>IF($D$6=1,100*(EXP(I69)-EXP(I69-I71)),I71)</f>
        <v>0.14562823321815582</v>
      </c>
    </row>
    <row r="74" spans="7:34">
      <c r="G74" s="73" t="s">
        <v>1110</v>
      </c>
      <c r="H74" s="74"/>
      <c r="I74" s="74">
        <f>O66</f>
        <v>16</v>
      </c>
      <c r="J74" s="74"/>
      <c r="K74" s="75" t="s">
        <v>1167</v>
      </c>
      <c r="L74" s="74"/>
      <c r="M74" s="76"/>
      <c r="N74" s="77"/>
      <c r="O74" s="101" t="s">
        <v>1513</v>
      </c>
      <c r="P74" s="102"/>
      <c r="Q74" s="103"/>
      <c r="AF74" s="7"/>
    </row>
    <row r="75" spans="7:34">
      <c r="G75" s="77" t="s">
        <v>1531</v>
      </c>
      <c r="H75" s="31"/>
      <c r="I75" s="31">
        <f>R66/I74</f>
        <v>11.321422521795457</v>
      </c>
      <c r="J75" s="31"/>
      <c r="K75" s="31"/>
      <c r="L75" s="31"/>
      <c r="M75" s="78"/>
      <c r="N75" s="77"/>
      <c r="O75" s="104" t="s">
        <v>1514</v>
      </c>
      <c r="P75" s="31"/>
      <c r="Q75" s="105">
        <f>INDEX(LINEST(AL49:AL64,AK49:AK64,TRUE,TRUE),1,2)</f>
        <v>1.5529310889842243</v>
      </c>
      <c r="AF75" s="2" t="s">
        <v>1687</v>
      </c>
      <c r="AH75">
        <f>IF($D$6=1,100*((EXP(I80))-1),I80)</f>
        <v>0.43635842628460597</v>
      </c>
    </row>
    <row r="76" spans="7:34">
      <c r="G76" s="77" t="s">
        <v>1532</v>
      </c>
      <c r="H76" s="31"/>
      <c r="I76" s="31">
        <f>(1/(I74-1))*(U66-(I74*I75^2))</f>
        <v>51.414605261361672</v>
      </c>
      <c r="J76" s="31"/>
      <c r="K76" s="31"/>
      <c r="L76" s="31"/>
      <c r="M76" s="78"/>
      <c r="N76" s="77"/>
      <c r="O76" s="104" t="s">
        <v>1516</v>
      </c>
      <c r="P76" s="31"/>
      <c r="Q76" s="105">
        <f>INDEX(LINEST(AL49:AL64,AK49:AK64,TRUE,TRUE),2,2)</f>
        <v>1.0296648756673672</v>
      </c>
      <c r="AF76" s="79" t="s">
        <v>834</v>
      </c>
      <c r="AG76" s="7"/>
      <c r="AH76">
        <f>IF($D$6=1,100*(EXP(I80+I82)-EXP(I80)),I82)</f>
        <v>0.19580159124227239</v>
      </c>
    </row>
    <row r="77" spans="7:34">
      <c r="G77" s="77" t="s">
        <v>1669</v>
      </c>
      <c r="H77" s="31"/>
      <c r="I77" s="31">
        <f>(I74-1)*(I75-(I76/(I74*I75)))</f>
        <v>165.56381697743331</v>
      </c>
      <c r="J77" s="31"/>
      <c r="K77" s="31"/>
      <c r="L77" s="31"/>
      <c r="M77" s="78"/>
      <c r="N77" s="77"/>
      <c r="O77" s="104" t="s">
        <v>1349</v>
      </c>
      <c r="P77" s="31"/>
      <c r="Q77" s="105">
        <f>ABS(Q75/Q76)</f>
        <v>1.5081907965227106</v>
      </c>
      <c r="AF77" s="79" t="s">
        <v>835</v>
      </c>
      <c r="AH77">
        <f>IF($D$6=1,100*(EXP(I80)-EXP(I80-I82)),I82)</f>
        <v>0.19580159124227239</v>
      </c>
    </row>
    <row r="78" spans="7:34">
      <c r="G78" s="77" t="s">
        <v>1685</v>
      </c>
      <c r="H78" s="31"/>
      <c r="I78" s="31">
        <f>IF(P69&gt;(I74-1),(P69-(I74-1))/I77,0)</f>
        <v>5.80133903315889E-2</v>
      </c>
      <c r="J78" s="31"/>
      <c r="K78" s="31"/>
      <c r="L78" s="31"/>
      <c r="M78" s="78"/>
      <c r="N78" s="77"/>
      <c r="O78" s="106" t="s">
        <v>1515</v>
      </c>
      <c r="P78" s="107"/>
      <c r="Q78" s="108">
        <f>TDIST(Q77,I74-2,2)</f>
        <v>0.15373787832499286</v>
      </c>
    </row>
    <row r="79" spans="7:34">
      <c r="G79" s="77"/>
      <c r="H79" s="31"/>
      <c r="I79" s="31"/>
      <c r="J79" s="31"/>
      <c r="K79" s="31"/>
      <c r="L79" s="31"/>
      <c r="M79" s="78"/>
      <c r="N79" s="77"/>
    </row>
    <row r="80" spans="7:34">
      <c r="G80" s="77" t="s">
        <v>1686</v>
      </c>
      <c r="H80" s="31"/>
      <c r="I80" s="31">
        <f>W66/V66</f>
        <v>0.43635842628460597</v>
      </c>
      <c r="J80" s="31"/>
      <c r="N80" s="77"/>
    </row>
    <row r="81" spans="7:18">
      <c r="G81" s="77" t="s">
        <v>504</v>
      </c>
      <c r="H81" s="31"/>
      <c r="I81" s="31">
        <f>1/V66</f>
        <v>9.9797644556970846E-3</v>
      </c>
      <c r="J81" s="31"/>
      <c r="N81" s="77"/>
      <c r="O81" t="s">
        <v>805</v>
      </c>
      <c r="R81">
        <v>1.96</v>
      </c>
    </row>
    <row r="82" spans="7:18">
      <c r="G82" s="80" t="s">
        <v>506</v>
      </c>
      <c r="H82" s="31"/>
      <c r="I82" s="31">
        <f>$R$81*SQRT(I81)</f>
        <v>0.19580159124227239</v>
      </c>
      <c r="J82" s="31"/>
      <c r="K82" s="31" t="s">
        <v>507</v>
      </c>
      <c r="L82" s="31"/>
      <c r="M82" s="78">
        <f>ABS(I80/(SQRT(I81)))</f>
        <v>4.3680059497554362</v>
      </c>
      <c r="N82" s="77"/>
    </row>
    <row r="83" spans="7:18">
      <c r="G83" s="81" t="s">
        <v>509</v>
      </c>
      <c r="H83" s="82"/>
      <c r="I83" s="82">
        <v>-3</v>
      </c>
      <c r="J83" s="82"/>
      <c r="K83" s="31" t="s">
        <v>825</v>
      </c>
      <c r="L83" s="31"/>
      <c r="M83" s="78">
        <f>2*(1-NORMDIST(M82,0,1,1))</f>
        <v>1.2538607925494105E-5</v>
      </c>
      <c r="N83" s="77"/>
    </row>
    <row r="84" spans="7:18">
      <c r="G84" s="74"/>
      <c r="H84" s="74"/>
      <c r="I84" s="74"/>
      <c r="J84" s="74"/>
      <c r="K84" s="74"/>
      <c r="L84" s="74"/>
      <c r="M84" s="74"/>
      <c r="N84" s="31"/>
      <c r="O84" s="7"/>
    </row>
  </sheetData>
  <phoneticPr fontId="10" type="noConversion"/>
  <conditionalFormatting sqref="D17 D13 F13">
    <cfRule type="cellIs" dxfId="148" priority="0" stopIfTrue="1" operator="lessThan">
      <formula>0.05</formula>
    </cfRule>
  </conditionalFormatting>
  <conditionalFormatting sqref="D21">
    <cfRule type="cellIs" dxfId="14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0.xml><?xml version="1.0" encoding="utf-8"?>
<worksheet xmlns="http://schemas.openxmlformats.org/spreadsheetml/2006/main" xmlns:r="http://schemas.openxmlformats.org/officeDocument/2006/relationships">
  <sheetPr published="0" codeName="Sheet108" enableFormatConditionsCalculation="0"/>
  <dimension ref="A1:BM5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2268</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I47-O40</f>
        <v>4</v>
      </c>
      <c r="AD7" s="89"/>
    </row>
    <row r="8" spans="2:30">
      <c r="B8" t="s">
        <v>822</v>
      </c>
      <c r="D8">
        <f>SUM(H24:H27)</f>
        <v>87</v>
      </c>
      <c r="E8" t="s">
        <v>298</v>
      </c>
      <c r="F8">
        <f>Summary!C78</f>
        <v>0.8</v>
      </c>
      <c r="AD8" s="89"/>
    </row>
    <row r="9" spans="2:30">
      <c r="B9" t="s">
        <v>823</v>
      </c>
      <c r="D9">
        <f>SUM(I24:I27)</f>
        <v>118</v>
      </c>
      <c r="AD9" s="89"/>
    </row>
    <row r="11" spans="2:30">
      <c r="B11" s="27" t="s">
        <v>516</v>
      </c>
      <c r="C11" s="28"/>
      <c r="D11" s="109">
        <f>P42</f>
        <v>1.0920881487767022</v>
      </c>
      <c r="E11" s="110" t="s">
        <v>1513</v>
      </c>
      <c r="F11" s="103"/>
    </row>
    <row r="12" spans="2:30">
      <c r="B12" s="30" t="s">
        <v>826</v>
      </c>
      <c r="C12" s="31"/>
      <c r="D12" s="112">
        <f>P44</f>
        <v>0</v>
      </c>
      <c r="E12" s="31"/>
      <c r="F12" s="105"/>
    </row>
    <row r="13" spans="2:30">
      <c r="B13" s="35" t="s">
        <v>825</v>
      </c>
      <c r="C13" s="36"/>
      <c r="D13" s="113">
        <f>P43</f>
        <v>0.77898437298272394</v>
      </c>
      <c r="E13" s="111" t="s">
        <v>825</v>
      </c>
      <c r="F13" s="115">
        <f>Q51</f>
        <v>0.48443131216931801</v>
      </c>
    </row>
    <row r="15" spans="2:30">
      <c r="B15" s="39" t="s">
        <v>879</v>
      </c>
      <c r="C15" s="40"/>
      <c r="D15" s="41">
        <f>AH44</f>
        <v>-0.14810938242951482</v>
      </c>
      <c r="E15" s="116"/>
    </row>
    <row r="16" spans="2:30">
      <c r="B16" s="43" t="s">
        <v>1165</v>
      </c>
      <c r="C16" s="31"/>
      <c r="D16" s="33">
        <f>AH44-AH46</f>
        <v>-0.43299251805032829</v>
      </c>
      <c r="E16" s="117">
        <f>AH44+AH45</f>
        <v>0.13677375319129864</v>
      </c>
    </row>
    <row r="17" spans="1:65">
      <c r="B17" s="45" t="s">
        <v>1166</v>
      </c>
      <c r="C17" s="46"/>
      <c r="D17" s="123">
        <f>M45</f>
        <v>0.30820550895218757</v>
      </c>
      <c r="E17" s="118"/>
    </row>
    <row r="18" spans="1:65">
      <c r="D18" s="48"/>
      <c r="F18" s="49"/>
    </row>
    <row r="19" spans="1:65">
      <c r="B19" s="50" t="s">
        <v>1167</v>
      </c>
      <c r="C19" s="51"/>
      <c r="D19" s="52">
        <f>AH48</f>
        <v>-0.14810938242951482</v>
      </c>
      <c r="E19" s="120"/>
      <c r="F19" s="33"/>
      <c r="G19" s="31"/>
    </row>
    <row r="20" spans="1:65">
      <c r="B20" s="53" t="s">
        <v>1165</v>
      </c>
      <c r="C20" s="31"/>
      <c r="D20" s="33">
        <f>AH48-AH50</f>
        <v>-0.43299251805032829</v>
      </c>
      <c r="E20" s="121">
        <f>AH48+AH49</f>
        <v>0.13677375319129864</v>
      </c>
      <c r="F20" s="31"/>
      <c r="G20" s="31"/>
    </row>
    <row r="21" spans="1:65">
      <c r="B21" s="54" t="s">
        <v>1440</v>
      </c>
      <c r="C21" s="55"/>
      <c r="D21" s="114">
        <f>M56</f>
        <v>0.30820550895218757</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8341769</v>
      </c>
      <c r="C24" s="1" t="str">
        <f>IF($B24="","",HYPERLINK(IF(LEN(VLOOKUP($B24,Database!$B$1:$IX$10144,2,FALSE))=0,"",VLOOKUP($B24,Database!$B$1:$IX$10144,2,FALSE))))</f>
        <v/>
      </c>
      <c r="D24" s="1" t="str">
        <f>IF($B24="","",HYPERLINK(CONCATENATE("http://www.ncbi.nlm.nih.gov/pubmed/",B24)))</f>
        <v>http://www.ncbi.nlm.nih.gov/pubmed/8341769</v>
      </c>
      <c r="E24" s="22" t="str">
        <f>IF($B24="","",IF(LEN(VLOOKUP($B24,Database!$B$1:$IX$10144,4,FALSE))=0,"",VLOOKUP($B24,Database!$B$1:$IX$10144,4,FALSE)))</f>
        <v>Axelson DA</v>
      </c>
      <c r="F24" s="22">
        <f>IF($B24="","",IF(LEN(VLOOKUP($B24,Database!$B$1:$IX$10144,5,FALSE))=0,"",VLOOKUP($B24,Database!$B$1:$IX$10144,5,FALSE)))</f>
        <v>1993</v>
      </c>
      <c r="G24" s="1" t="str">
        <f>IF($B24="","",HYPERLINK(IF(LEN(VLOOKUP($B24,Database!$B$1:$IX$10144,6,FALSE))=0,"",VLOOKUP($B24,Database!$B$1:$IX$10144,6,FALSE))))</f>
        <v>http://dx.doi.org/10.1016/0165-1781(93)90046-J</v>
      </c>
      <c r="H24" s="22">
        <f>IF($B24="","",IF(LEN(VLOOKUP($B24,Database!$B$1:$IX$10144,7,FALSE))=0,"",VLOOKUP($B24,Database!$B$1:$IX$10144,7,FALSE)))</f>
        <v>19</v>
      </c>
      <c r="I24" s="22">
        <f>IF($B24="","",IF(LEN(VLOOKUP($B24,Database!$B$1:$IX$10144,8,FALSE))=0,"",VLOOKUP($B24,Database!$B$1:$IX$10144,8,FALSE)))</f>
        <v>30</v>
      </c>
      <c r="J24" t="s">
        <v>430</v>
      </c>
      <c r="L24">
        <v>4.1100000000000003</v>
      </c>
      <c r="M24">
        <v>0.77</v>
      </c>
      <c r="N24">
        <v>4.0599999999999996</v>
      </c>
      <c r="O24">
        <v>0.79</v>
      </c>
      <c r="P24">
        <v>4.3600000000000003</v>
      </c>
      <c r="Q24">
        <v>0.88</v>
      </c>
      <c r="R24">
        <v>4.3</v>
      </c>
      <c r="S24">
        <v>0.79</v>
      </c>
      <c r="T24">
        <f>L24+P24</f>
        <v>8.4700000000000006</v>
      </c>
      <c r="U24">
        <f>2*SQRT(0.25*(M24^2+Q24^2+2*$F$8*M24*Q24))</f>
        <v>1.5657138946819116</v>
      </c>
      <c r="V24">
        <f>N24+R24</f>
        <v>8.36</v>
      </c>
      <c r="W24">
        <f>2*SQRT(0.25*(O24^2+S24^2+2*$F$8*O24*S24))</f>
        <v>1.498919610919812</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46.7</v>
      </c>
      <c r="AC24" s="22">
        <f>IF(OR($B24="",AC$22=""),"",IF(LEN(VLOOKUP($B24,Database!$B$1:$IX$10144,AC$22,FALSE))=0,"",VLOOKUP($B24,Database!$B$1:$IX$10144,AC$22,FALSE)))</f>
        <v>20.399999999999999</v>
      </c>
      <c r="AD24" s="22">
        <f>IF(OR($B24="",AD$22=""),"",IF(LEN(VLOOKUP($B24,Database!$B$1:$IX$10144,AD$22,FALSE))=0,"",VLOOKUP($B24,Database!$B$1:$IX$10144,AD$22,FALSE)))</f>
        <v>56.6</v>
      </c>
      <c r="AE24" s="22">
        <f>IF(OR($B24="",AE$22=""),"",IF(LEN(VLOOKUP($B24,Database!$B$1:$IX$10144,AE$22,FALSE))=0,"",VLOOKUP($B24,Database!$B$1:$IX$10144,AE$22,FALSE)))</f>
        <v>19.100000000000001</v>
      </c>
      <c r="AF24" s="22">
        <f>IF(OR($B24="",AF$22=""),"",IF(LEN(VLOOKUP($B24,Database!$B$1:$IX$10144,AF$22,FALSE))=0,"",VLOOKUP($B24,Database!$B$1:$IX$10144,AF$22,FALSE)))</f>
        <v>14</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34</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Axelson DA, Doraiswamy PM, McDonald WM, Boyko OB, Tupler LA, Patterson LJ, Nemeroff CB, Ellinwood EH Jr, Krishnan KR.</v>
      </c>
      <c r="AR24" s="13"/>
      <c r="AX24" s="13"/>
      <c r="AY24" s="13"/>
      <c r="AZ24" s="13"/>
      <c r="BA24" s="13"/>
      <c r="BC24" s="23"/>
      <c r="BF24" s="136"/>
      <c r="BG24" s="136"/>
      <c r="BH24" s="136"/>
      <c r="BI24" s="136"/>
    </row>
    <row r="25" spans="1:65">
      <c r="B25">
        <v>9089060</v>
      </c>
      <c r="C25" s="1" t="str">
        <f>IF($B25="","",HYPERLINK(IF(LEN(VLOOKUP($B25,Database!$B$1:$IX$10144,2,FALSE))=0,"",VLOOKUP($B25,Database!$B$1:$IX$10144,2,FALSE))))</f>
        <v/>
      </c>
      <c r="D25" s="1" t="str">
        <f>IF($B25="","",HYPERLINK(CONCATENATE("http://www.ncbi.nlm.nih.gov/pubmed/",B25)))</f>
        <v>http://www.ncbi.nlm.nih.gov/pubmed/9089060</v>
      </c>
      <c r="E25" s="22" t="str">
        <f>IF($B25="","",IF(LEN(VLOOKUP($B25,Database!$B$1:$IX$10144,4,FALSE))=0,"",VLOOKUP($B25,Database!$B$1:$IX$10144,4,FALSE)))</f>
        <v>Pantel J</v>
      </c>
      <c r="F25" s="22">
        <f>IF($B25="","",IF(LEN(VLOOKUP($B25,Database!$B$1:$IX$10144,5,FALSE))=0,"",VLOOKUP($B25,Database!$B$1:$IX$10144,5,FALSE)))</f>
        <v>1997</v>
      </c>
      <c r="G25" s="1" t="str">
        <f>IF($B25="","",HYPERLINK(IF(LEN(VLOOKUP($B25,Database!$B$1:$IX$10144,6,FALSE))=0,"",VLOOKUP($B25,Database!$B$1:$IX$10144,6,FALSE))))</f>
        <v>http://dx.doi.org/10.1016/S0165-0327(96)00105-X</v>
      </c>
      <c r="H25" s="22">
        <f>IF($B25="","",IF(LEN(VLOOKUP($B25,Database!$B$1:$IX$10144,7,FALSE))=0,"",VLOOKUP($B25,Database!$B$1:$IX$10144,7,FALSE)))</f>
        <v>19</v>
      </c>
      <c r="I25" s="22">
        <f>IF($B25="","",IF(LEN(VLOOKUP($B25,Database!$B$1:$IX$10144,8,FALSE))=0,"",VLOOKUP($B25,Database!$B$1:$IX$10144,8,FALSE)))</f>
        <v>13</v>
      </c>
      <c r="J25" t="s">
        <v>431</v>
      </c>
      <c r="L25">
        <v>4.47</v>
      </c>
      <c r="M25">
        <v>0.71</v>
      </c>
      <c r="N25">
        <v>4.62</v>
      </c>
      <c r="O25">
        <v>0.7</v>
      </c>
      <c r="P25">
        <v>4.58</v>
      </c>
      <c r="Q25">
        <v>0.76</v>
      </c>
      <c r="R25">
        <v>4.75</v>
      </c>
      <c r="S25">
        <v>0.61</v>
      </c>
      <c r="T25">
        <f>L25+P25</f>
        <v>9.0500000000000007</v>
      </c>
      <c r="U25">
        <f>2*SQRT(0.25*(M25^2+Q25^2+2*$F$8*M25*Q25))</f>
        <v>1.3946540789744244</v>
      </c>
      <c r="V25">
        <f>N25+R25</f>
        <v>9.370000000000001</v>
      </c>
      <c r="W25">
        <f>2*SQRT(0.25*(O25^2+S25^2+2*$F$8*O25*S25))</f>
        <v>1.2431009613060395</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72.400000000000006</v>
      </c>
      <c r="AC25" s="22">
        <f>IF(OR($B25="",AC$22=""),"",IF(LEN(VLOOKUP($B25,Database!$B$1:$IX$10144,AC$22,FALSE))=0,"",VLOOKUP($B25,Database!$B$1:$IX$10144,AC$22,FALSE)))</f>
        <v>8.8000000000000007</v>
      </c>
      <c r="AD25" s="22">
        <f>IF(OR($B25="",AD$22=""),"",IF(LEN(VLOOKUP($B25,Database!$B$1:$IX$10144,AD$22,FALSE))=0,"",VLOOKUP($B25,Database!$B$1:$IX$10144,AD$22,FALSE)))</f>
        <v>68.2</v>
      </c>
      <c r="AE25" s="22">
        <f>IF(OR($B25="",AE$22=""),"",IF(LEN(VLOOKUP($B25,Database!$B$1:$IX$10144,AE$22,FALSE))=0,"",VLOOKUP($B25,Database!$B$1:$IX$10144,AE$22,FALSE)))</f>
        <v>5.3</v>
      </c>
      <c r="AF25" s="22">
        <f>IF(OR($B25="",AF$22=""),"",IF(LEN(VLOOKUP($B25,Database!$B$1:$IX$10144,AF$22,FALSE))=0,"",VLOOKUP($B25,Database!$B$1:$IX$10144,AF$22,FALSE)))</f>
        <v>15</v>
      </c>
      <c r="AG25" s="22">
        <f>IF(OR($B25="",AG$22=""),"",IF(LEN(VLOOKUP($B25,Database!$B$1:$IX$10144,AG$22,FALSE))=0,"",VLOOKUP($B25,Database!$B$1:$IX$10144,AG$22,FALSE)))</f>
        <v>10</v>
      </c>
      <c r="AH25" s="22">
        <f>IF(OR($B25="",AH$22=""),"",IF(LEN(VLOOKUP($B25,Database!$B$1:$IX$10144,AH$22,FALSE))=0,"",VLOOKUP($B25,Database!$B$1:$IX$10144,AH$22,FALSE)))</f>
        <v>1.5</v>
      </c>
      <c r="AI25" s="22">
        <f>IF(OR($B25="",AI$22=""),"",IF(LEN(VLOOKUP($B25,Database!$B$1:$IX$10144,AI$22,FALSE))=0,"",VLOOKUP($B25,Database!$B$1:$IX$10144,AI$22,FALSE)))</f>
        <v>1.25</v>
      </c>
      <c r="AJ25" s="22" t="str">
        <f>IF(OR($B25="",AJ$22=""),"",IF(LEN(VLOOKUP($B25,Database!$B$1:$IX$10144,AJ$22,FALSE))=0,"",VLOOKUP($B25,Database!$B$1:$IX$10144,AJ$22,FALSE)))</f>
        <v/>
      </c>
      <c r="AK25" s="22">
        <f>IF(OR($B25="",AK$22=""),"",IF(LEN(VLOOKUP($B25,Database!$B$1:$IX$10144,AK$22,FALSE))=0,"",VLOOKUP($B25,Database!$B$1:$IX$10144,AK$22,FALSE)))</f>
        <v>64.2</v>
      </c>
      <c r="AL25" s="22">
        <f>IF(OR($B25="",AL$22=""),"",IF(LEN(VLOOKUP($B25,Database!$B$1:$IX$10144,AL$22,FALSE))=0,"",VLOOKUP($B25,Database!$B$1:$IX$10144,AL$22,FALSE)))</f>
        <v>26.7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Pantel J, Schroder J, Essig M, Popp D, Dech H, Knopp MV, Schad LR, Eysenbach K, Backenstrass M, Friedlinger M.</v>
      </c>
      <c r="AR25" s="13"/>
      <c r="AX25" s="13"/>
      <c r="AY25" s="13"/>
      <c r="AZ25" s="13"/>
      <c r="BA25" s="13"/>
      <c r="BC25" s="23"/>
      <c r="BF25" s="136"/>
      <c r="BG25" s="136"/>
      <c r="BH25" s="136"/>
      <c r="BI25" s="136"/>
    </row>
    <row r="26" spans="1:65">
      <c r="B26">
        <v>10405084</v>
      </c>
      <c r="C26" s="1" t="str">
        <f>IF($B26="","",HYPERLINK(IF(LEN(VLOOKUP($B26,Database!$B$1:$IX$10144,2,FALSE))=0,"",VLOOKUP($B26,Database!$B$1:$IX$10144,2,FALSE))))</f>
        <v/>
      </c>
      <c r="D26" s="1" t="str">
        <f>IF($B26="","",HYPERLINK(CONCATENATE("http://www.ncbi.nlm.nih.gov/pubmed/",B26)))</f>
        <v>http://www.ncbi.nlm.nih.gov/pubmed/10405084</v>
      </c>
      <c r="E26" s="22" t="str">
        <f>IF($B26="","",IF(LEN(VLOOKUP($B26,Database!$B$1:$IX$10144,4,FALSE))=0,"",VLOOKUP($B26,Database!$B$1:$IX$10144,4,FALSE)))</f>
        <v>Ashtari M</v>
      </c>
      <c r="F26" s="22">
        <f>IF($B26="","",IF(LEN(VLOOKUP($B26,Database!$B$1:$IX$10144,5,FALSE))=0,"",VLOOKUP($B26,Database!$B$1:$IX$10144,5,FALSE)))</f>
        <v>1999</v>
      </c>
      <c r="G26" s="1" t="str">
        <f>IF($B26="","",HYPERLINK(IF(LEN(VLOOKUP($B26,Database!$B$1:$IX$10144,6,FALSE))=0,"",VLOOKUP($B26,Database!$B$1:$IX$10144,6,FALSE))))</f>
        <v>http://dx.doi.org/10.1017/S0033291799008405</v>
      </c>
      <c r="H26" s="22">
        <f>IF($B26="","",IF(LEN(VLOOKUP($B26,Database!$B$1:$IX$10144,7,FALSE))=0,"",VLOOKUP($B26,Database!$B$1:$IX$10144,7,FALSE)))</f>
        <v>40</v>
      </c>
      <c r="I26" s="22">
        <f>IF($B26="","",IF(LEN(VLOOKUP($B26,Database!$B$1:$IX$10144,8,FALSE))=0,"",VLOOKUP($B26,Database!$B$1:$IX$10144,8,FALSE)))</f>
        <v>46</v>
      </c>
      <c r="J26" t="s">
        <v>355</v>
      </c>
      <c r="T26">
        <v>7959</v>
      </c>
      <c r="U26">
        <v>1166</v>
      </c>
      <c r="V26">
        <v>8262</v>
      </c>
      <c r="W26">
        <v>990</v>
      </c>
      <c r="X26" s="170"/>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74.3</v>
      </c>
      <c r="AC26" s="22">
        <f>IF(OR($B26="",AC$22=""),"",IF(LEN(VLOOKUP($B26,Database!$B$1:$IX$10144,AC$22,FALSE))=0,"",VLOOKUP($B26,Database!$B$1:$IX$10144,AC$22,FALSE)))</f>
        <v>6</v>
      </c>
      <c r="AD26" s="22">
        <f>IF(OR($B26="",AD$22=""),"",IF(LEN(VLOOKUP($B26,Database!$B$1:$IX$10144,AD$22,FALSE))=0,"",VLOOKUP($B26,Database!$B$1:$IX$10144,AD$22,FALSE)))</f>
        <v>71.400000000000006</v>
      </c>
      <c r="AE26" s="22">
        <f>IF(OR($B26="",AE$22=""),"",IF(LEN(VLOOKUP($B26,Database!$B$1:$IX$10144,AE$22,FALSE))=0,"",VLOOKUP($B26,Database!$B$1:$IX$10144,AE$22,FALSE)))</f>
        <v>0.3</v>
      </c>
      <c r="AF26" s="22">
        <f>IF(OR($B26="",AF$22=""),"",IF(LEN(VLOOKUP($B26,Database!$B$1:$IX$10144,AF$22,FALSE))=0,"",VLOOKUP($B26,Database!$B$1:$IX$10144,AF$22,FALSE)))</f>
        <v>28</v>
      </c>
      <c r="AG26" s="22">
        <f>IF(OR($B26="",AG$22=""),"",IF(LEN(VLOOKUP($B26,Database!$B$1:$IX$10144,AG$22,FALSE))=0,"",VLOOKUP($B26,Database!$B$1:$IX$10144,AG$22,FALSE)))</f>
        <v>28</v>
      </c>
      <c r="AH26" s="22">
        <f>IF(OR($B26="",AH$22=""),"",IF(LEN(VLOOKUP($B26,Database!$B$1:$IX$10144,AH$22,FALSE))=0,"",VLOOKUP($B26,Database!$B$1:$IX$10144,AH$22,FALSE)))</f>
        <v>1</v>
      </c>
      <c r="AI26" s="22">
        <f>IF(OR($B26="",AI$22=""),"",IF(LEN(VLOOKUP($B26,Database!$B$1:$IX$10144,AI$22,FALSE))=0,"",VLOOKUP($B26,Database!$B$1:$IX$10144,AI$22,FALSE)))</f>
        <v>3.1</v>
      </c>
      <c r="AJ26" s="22" t="str">
        <f>IF(OR($B26="",AJ$22=""),"",IF(LEN(VLOOKUP($B26,Database!$B$1:$IX$10144,AJ$22,FALSE))=0,"",VLOOKUP($B26,Database!$B$1:$IX$10144,AJ$22,FALSE)))</f>
        <v/>
      </c>
      <c r="AK26" s="22">
        <f>IF(OR($B26="",AK$22=""),"",IF(LEN(VLOOKUP($B26,Database!$B$1:$IX$10144,AK$22,FALSE))=0,"",VLOOKUP($B26,Database!$B$1:$IX$10144,AK$22,FALSE)))</f>
        <v>61.5</v>
      </c>
      <c r="AL26" s="22">
        <f>IF(OR($B26="",AL$22=""),"",IF(LEN(VLOOKUP($B26,Database!$B$1:$IX$10144,AL$22,FALSE))=0,"",VLOOKUP($B26,Database!$B$1:$IX$10144,AL$22,FALSE)))</f>
        <v>26.1</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Ashtari M, Greenwald BS, Kramer-Ginsberg E, Hu J, Wu H, Patel M, Aupperle P, Pollack S.</v>
      </c>
      <c r="AR26" s="13"/>
      <c r="AX26" s="13"/>
      <c r="AY26" s="13"/>
      <c r="AZ26" s="13"/>
      <c r="BA26" s="13"/>
      <c r="BC26" s="23"/>
      <c r="BF26" s="136"/>
      <c r="BG26" s="136"/>
      <c r="BH26" s="136"/>
      <c r="BI26" s="136"/>
    </row>
    <row r="27" spans="1:65">
      <c r="B27">
        <v>11200955</v>
      </c>
      <c r="C27" s="1" t="str">
        <f>IF($B27="","",HYPERLINK(IF(LEN(VLOOKUP($B27,Database!$B$1:$IX$10144,2,FALSE))=0,"",VLOOKUP($B27,Database!$B$1:$IX$10144,2,FALSE))))</f>
        <v/>
      </c>
      <c r="D27" s="1" t="str">
        <f>IF($B27="","",HYPERLINK(CONCATENATE("http://www.ncbi.nlm.nih.gov/pubmed/",B27)))</f>
        <v>http://www.ncbi.nlm.nih.gov/pubmed/11200955</v>
      </c>
      <c r="E27" s="22" t="str">
        <f>IF($B27="","",IF(LEN(VLOOKUP($B27,Database!$B$1:$IX$10144,4,FALSE))=0,"",VLOOKUP($B27,Database!$B$1:$IX$10144,4,FALSE)))</f>
        <v>McIntosh AM</v>
      </c>
      <c r="F27" s="22">
        <f>IF($B27="","",IF(LEN(VLOOKUP($B27,Database!$B$1:$IX$10144,5,FALSE))=0,"",VLOOKUP($B27,Database!$B$1:$IX$10144,5,FALSE)))</f>
        <v>2001</v>
      </c>
      <c r="G27" s="1" t="str">
        <f>IF($B27="","",HYPERLINK(IF(LEN(VLOOKUP($B27,Database!$B$1:$IX$10144,6,FALSE))=0,"",VLOOKUP($B27,Database!$B$1:$IX$10144,6,FALSE))))</f>
        <v>http://dx.doi.org/10.1017/S0033291799003177</v>
      </c>
      <c r="H27" s="22">
        <f>IF($B27="","",IF(LEN(VLOOKUP($B27,Database!$B$1:$IX$10144,7,FALSE))=0,"",VLOOKUP($B27,Database!$B$1:$IX$10144,7,FALSE)))</f>
        <v>9</v>
      </c>
      <c r="I27" s="22">
        <f>IF($B27="","",IF(LEN(VLOOKUP($B27,Database!$B$1:$IX$10144,8,FALSE))=0,"",VLOOKUP($B27,Database!$B$1:$IX$10144,8,FALSE)))</f>
        <v>29</v>
      </c>
      <c r="J27" t="s">
        <v>432</v>
      </c>
      <c r="L27">
        <v>4465</v>
      </c>
      <c r="M27">
        <v>521</v>
      </c>
      <c r="N27">
        <v>4495</v>
      </c>
      <c r="O27">
        <v>483</v>
      </c>
      <c r="P27">
        <v>4931</v>
      </c>
      <c r="Q27">
        <v>547</v>
      </c>
      <c r="R27">
        <v>4922</v>
      </c>
      <c r="S27">
        <v>654</v>
      </c>
      <c r="T27">
        <f>L27+P27</f>
        <v>9396</v>
      </c>
      <c r="U27">
        <f>2*SQRT(0.25*(M27^2+Q27^2+2*$F$8*M27*Q27))</f>
        <v>1013.2271216267358</v>
      </c>
      <c r="V27">
        <f>N27+R27</f>
        <v>9417</v>
      </c>
      <c r="W27">
        <f>2*SQRT(0.25*(O27^2+S27^2+2*$F$8*O27*S27))</f>
        <v>1080.0074999739586</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43.56</v>
      </c>
      <c r="AC27" s="22">
        <f>IF(OR($B27="",AC$22=""),"",IF(LEN(VLOOKUP($B27,Database!$B$1:$IX$10144,AC$22,FALSE))=0,"",VLOOKUP($B27,Database!$B$1:$IX$10144,AC$22,FALSE)))</f>
        <v>9.3800000000000008</v>
      </c>
      <c r="AD27" s="22">
        <f>IF(OR($B27="",AD$22=""),"",IF(LEN(VLOOKUP($B27,Database!$B$1:$IX$10144,AD$22,FALSE))=0,"",VLOOKUP($B27,Database!$B$1:$IX$10144,AD$22,FALSE)))</f>
        <v>42.76</v>
      </c>
      <c r="AE27" s="22">
        <f>IF(OR($B27="",AE$22=""),"",IF(LEN(VLOOKUP($B27,Database!$B$1:$IX$10144,AE$22,FALSE))=0,"",VLOOKUP($B27,Database!$B$1:$IX$10144,AE$22,FALSE)))</f>
        <v>9.91</v>
      </c>
      <c r="AF27" s="22">
        <f>IF(OR($B27="",AF$22=""),"",IF(LEN(VLOOKUP($B27,Database!$B$1:$IX$10144,AF$22,FALSE))=0,"",VLOOKUP($B27,Database!$B$1:$IX$10144,AF$22,FALSE)))</f>
        <v>5</v>
      </c>
      <c r="AG27" s="22">
        <f>IF(OR($B27="",AG$22=""),"",IF(LEN(VLOOKUP($B27,Database!$B$1:$IX$10144,AG$22,FALSE))=0,"",VLOOKUP($B27,Database!$B$1:$IX$10144,AG$22,FALSE)))</f>
        <v>16</v>
      </c>
      <c r="AH27" s="22">
        <f>IF(OR($B27="",AH$22=""),"",IF(LEN(VLOOKUP($B27,Database!$B$1:$IX$10144,AH$22,FALSE))=0,"",VLOOKUP($B27,Database!$B$1:$IX$10144,AH$22,FALSE)))</f>
        <v>1</v>
      </c>
      <c r="AI27" s="22">
        <f>IF(OR($B27="",AI$22=""),"",IF(LEN(VLOOKUP($B27,Database!$B$1:$IX$10144,AI$22,FALSE))=0,"",VLOOKUP($B27,Database!$B$1:$IX$10144,AI$22,FALSE)))</f>
        <v>1.88</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 M. McINTOSH, A. FORRESTER, S.M. LAWRIE, M. BYRNE, A. HARPER, J. N. KESTELMAN, J. J. K. BEST, P. MILLER, E. C. JOHNSTONE and D. G. C. OWENS</v>
      </c>
      <c r="AR27" s="163"/>
      <c r="AX27" s="13"/>
      <c r="AY27" s="13"/>
      <c r="AZ27" s="13"/>
      <c r="BA27" s="13"/>
      <c r="BC27" s="23"/>
      <c r="BF27" s="136"/>
      <c r="BG27" s="136"/>
      <c r="BH27" s="136"/>
      <c r="BI27" s="136"/>
    </row>
    <row r="28" spans="1:65">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A30" s="10" t="s">
        <v>354</v>
      </c>
      <c r="B30">
        <v>9859118</v>
      </c>
      <c r="C30" s="1" t="str">
        <f>IF($B30="","",HYPERLINK(IF(LEN(VLOOKUP($B30,Database!$B$1:$IX$10144,2,FALSE))=0,"",VLOOKUP($B30,Database!$B$1:$IX$10144,2,FALSE))))</f>
        <v/>
      </c>
      <c r="D30" s="1" t="str">
        <f>IF($B30="","",HYPERLINK(CONCATENATE("http://www.ncbi.nlm.nih.gov/pubmed/",B30)))</f>
        <v>http://www.ncbi.nlm.nih.gov/pubmed/9859118</v>
      </c>
      <c r="E30" s="22" t="str">
        <f>IF($B30="","",IF(LEN(VLOOKUP($B30,Database!$B$1:$IX$10144,4,FALSE))=0,"",VLOOKUP($B30,Database!$B$1:$IX$10144,4,FALSE)))</f>
        <v>Pantel J</v>
      </c>
      <c r="F30" s="22">
        <f>IF($B30="","",IF(LEN(VLOOKUP($B30,Database!$B$1:$IX$10144,5,FALSE))=0,"",VLOOKUP($B30,Database!$B$1:$IX$10144,5,FALSE)))</f>
        <v>1998</v>
      </c>
      <c r="G30" s="1" t="str">
        <f>IF($B30="","",HYPERLINK(IF(LEN(VLOOKUP($B30,Database!$B$1:$IX$10144,6,FALSE))=0,"",VLOOKUP($B30,Database!$B$1:$IX$10144,6,FALSE))))</f>
        <v>http://dx.doi.org/10.1007/s001150050371</v>
      </c>
      <c r="H30" s="22">
        <f>IF($B30="","",IF(LEN(VLOOKUP($B30,Database!$B$1:$IX$10144,7,FALSE))=0,"",VLOOKUP($B30,Database!$B$1:$IX$10144,7,FALSE)))</f>
        <v>19</v>
      </c>
      <c r="I30" s="22">
        <f>IF($B30="","",IF(LEN(VLOOKUP($B30,Database!$B$1:$IX$10144,8,FALSE))=0,"",VLOOKUP($B30,Database!$B$1:$IX$10144,8,FALSE)))</f>
        <v>13</v>
      </c>
      <c r="K30" s="10"/>
      <c r="Y30" s="22" t="str">
        <f>IF(OR($B30="",Y$22=""),"",IF(LEN(VLOOKUP($B30,Database!$B$1:$IX$10144,Y$22,FALSE))=0,"",VLOOKUP($B30,Database!$B$1:$IX$10144,Y$22,FALSE)))</f>
        <v>DSM-III-R</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72.400000000000006</v>
      </c>
      <c r="AC30" s="22">
        <f>IF(OR($B30="",AC$22=""),"",IF(LEN(VLOOKUP($B30,Database!$B$1:$IX$10144,AC$22,FALSE))=0,"",VLOOKUP($B30,Database!$B$1:$IX$10144,AC$22,FALSE)))</f>
        <v>8.8000000000000007</v>
      </c>
      <c r="AD30" s="22">
        <f>IF(OR($B30="",AD$22=""),"",IF(LEN(VLOOKUP($B30,Database!$B$1:$IX$10144,AD$22,FALSE))=0,"",VLOOKUP($B30,Database!$B$1:$IX$10144,AD$22,FALSE)))</f>
        <v>68.2</v>
      </c>
      <c r="AE30" s="22">
        <f>IF(OR($B30="",AE$22=""),"",IF(LEN(VLOOKUP($B30,Database!$B$1:$IX$10144,AE$22,FALSE))=0,"",VLOOKUP($B30,Database!$B$1:$IX$10144,AE$22,FALSE)))</f>
        <v>5.3</v>
      </c>
      <c r="AF30" s="22">
        <f>IF(OR($B30="",AF$22=""),"",IF(LEN(VLOOKUP($B30,Database!$B$1:$IX$10144,AF$22,FALSE))=0,"",VLOOKUP($B30,Database!$B$1:$IX$10144,AF$22,FALSE)))</f>
        <v>15</v>
      </c>
      <c r="AG30" s="22">
        <f>IF(OR($B30="",AG$22=""),"",IF(LEN(VLOOKUP($B30,Database!$B$1:$IX$10144,AG$22,FALSE))=0,"",VLOOKUP($B30,Database!$B$1:$IX$10144,AG$22,FALSE)))</f>
        <v>10</v>
      </c>
      <c r="AH30" s="22">
        <f>IF(OR($B30="",AH$22=""),"",IF(LEN(VLOOKUP($B30,Database!$B$1:$IX$10144,AH$22,FALSE))=0,"",VLOOKUP($B30,Database!$B$1:$IX$10144,AH$22,FALSE)))</f>
        <v>1.5</v>
      </c>
      <c r="AI30" s="22">
        <f>IF(OR($B30="",AI$22=""),"",IF(LEN(VLOOKUP($B30,Database!$B$1:$IX$10144,AI$22,FALSE))=0,"",VLOOKUP($B30,Database!$B$1:$IX$10144,AI$22,FALSE)))</f>
        <v>1.2</v>
      </c>
      <c r="AJ30" s="22" t="str">
        <f>IF(OR($B30="",AJ$22=""),"",IF(LEN(VLOOKUP($B30,Database!$B$1:$IX$10144,AJ$22,FALSE))=0,"",VLOOKUP($B30,Database!$B$1:$IX$10144,AJ$22,FALSE)))</f>
        <v/>
      </c>
      <c r="AK30" s="22" t="str">
        <f>IF(OR($B30="",AK$22=""),"",IF(LEN(VLOOKUP($B30,Database!$B$1:$IX$10144,AK$22,FALSE))=0,"",VLOOKUP($B30,Database!$B$1:$IX$10144,AK$22,FALSE)))</f>
        <v>ns</v>
      </c>
      <c r="AL30" s="22">
        <f>IF(OR($B30="",AL$22=""),"",IF(LEN(VLOOKUP($B30,Database!$B$1:$IX$10144,AL$22,FALSE))=0,"",VLOOKUP($B30,Database!$B$1:$IX$10144,AL$22,FALSE)))</f>
        <v>26.7</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Pantel J, Schroder J, Essig M, Schad LR, Popp D, Eysenbach K, Jauss M, Knopp MV.</v>
      </c>
    </row>
    <row r="31" spans="1:65">
      <c r="B31" s="13"/>
      <c r="C31" s="1" t="str">
        <f>IF($B31="","",HYPERLINK(IF(LEN(VLOOKUP($B31,Database!$B$1:$IX$10144,2,FALSE))=0,"",VLOOKUP($B31,Database!$B$1:$IX$10144,2,FALSE))))</f>
        <v/>
      </c>
      <c r="D31" s="1" t="str">
        <f>IF($B31="","",HYPERLINK(CONCATENATE("http://www.ncbi.nlm.nih.gov/pubmed/",B31)))</f>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K31" s="10"/>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I32" s="22" t="str">
        <f>IF($B32="","",IF(LEN(VLOOKUP($B32,Database!$B$1:$IX$10144,8,FALSE))=0,"",VLOOKUP($B32,Database!$B$1:$IX$10144,8,FALSE)))</f>
        <v/>
      </c>
      <c r="AF32" t="s">
        <v>602</v>
      </c>
      <c r="AJ32" t="s">
        <v>329</v>
      </c>
      <c r="AN32" t="s">
        <v>330</v>
      </c>
    </row>
    <row r="33" spans="5:51"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1">
      <c r="E34" t="str">
        <f t="shared" ref="E34:F37" si="0">E24</f>
        <v>Axelson DA</v>
      </c>
      <c r="F34">
        <f t="shared" si="0"/>
        <v>1993</v>
      </c>
      <c r="G34">
        <v>4</v>
      </c>
      <c r="H34">
        <f t="shared" ref="H34:I37" si="1">H24</f>
        <v>19</v>
      </c>
      <c r="I34">
        <f t="shared" si="1"/>
        <v>30</v>
      </c>
      <c r="J34">
        <f t="shared" ref="J34:M37" si="2">IF($D$4="Total",T24,IF($D$4="Left",L24,IF($D$4="Right",P24,"error")))</f>
        <v>8.4700000000000006</v>
      </c>
      <c r="K34">
        <f t="shared" si="2"/>
        <v>1.5657138946819116</v>
      </c>
      <c r="L34">
        <f t="shared" si="2"/>
        <v>8.36</v>
      </c>
      <c r="M34">
        <f t="shared" si="2"/>
        <v>1.498919610919812</v>
      </c>
      <c r="N34">
        <f>IF($D$3=1,SQRT((((I34-1)*(M34)^2)+((H34-1)*(K34)^2))/(H34+I34-2)),M34)</f>
        <v>1.5248461380351959</v>
      </c>
      <c r="O34" s="59">
        <f>IF($D$6=1,LN(J34/L34),IF($D$5=1,(1-3/(4*(H34+I34)-9))*((J34-L34)/N34),(J34-L34)/N34))</f>
        <v>7.0981124860972702E-2</v>
      </c>
      <c r="P34" s="63">
        <f>IF($D$6=1,(K34^2)/(H34*J34^2)+(M34^2)/(I34*L34^2),(IF($D$5=1,((H34+I34)/(H34*I34))+(O34*O34)/(2*(H34+I34-3.94)),((H34+I34)/(H34*I34))+((O34^2)/(2*(H34+I34-2))))))</f>
        <v>8.6020819072607321E-2</v>
      </c>
      <c r="Q34" s="59">
        <f>$R$54*SQRT(P34)</f>
        <v>0.57485439769504088</v>
      </c>
      <c r="R34" s="59">
        <f>1/P34</f>
        <v>11.625092748255899</v>
      </c>
      <c r="S34" s="59">
        <f>O34*R34</f>
        <v>0.82516215988434027</v>
      </c>
      <c r="T34" s="59">
        <f>R34*(O34^2)</f>
        <v>5.8570938301300279E-2</v>
      </c>
      <c r="U34" s="23">
        <f>R34^2</f>
        <v>135.14278140555189</v>
      </c>
      <c r="V34" s="59">
        <f>1/((1/R34)+$I$51)</f>
        <v>11.625092748255899</v>
      </c>
      <c r="W34" s="59">
        <f>V34*O34</f>
        <v>0.82516215988434027</v>
      </c>
      <c r="AF34" s="59">
        <f>IF($D$6=1,100*((EXP(O34))-1),O34)</f>
        <v>7.0981124860972702E-2</v>
      </c>
      <c r="AG34" s="59">
        <f>IF($D$6=1,100*(EXP(O34+Q34)-EXP(O34)),Q34)</f>
        <v>0.57485439769504088</v>
      </c>
      <c r="AH34" s="59">
        <f>IF($D$6=1,100*(EXP(O34)-EXP(O34-Q34)),Q34)</f>
        <v>0.57485439769504088</v>
      </c>
      <c r="AJ34">
        <f>SQRT(P34)</f>
        <v>0.29329306004849026</v>
      </c>
      <c r="AK34">
        <f>1/AJ34</f>
        <v>3.4095590254834862</v>
      </c>
      <c r="AL34">
        <f>O34/AJ34</f>
        <v>0.24201433490869972</v>
      </c>
      <c r="AN34" t="str">
        <f t="shared" ref="AN34:AO37" si="3">E34</f>
        <v>Axelson DA</v>
      </c>
      <c r="AO34">
        <f t="shared" si="3"/>
        <v>1993</v>
      </c>
      <c r="AP34" t="str">
        <f>CONCATENATE(AN34," ",AO34)</f>
        <v>Axelson DA 1993</v>
      </c>
      <c r="AQ34">
        <f>INT(H34)</f>
        <v>19</v>
      </c>
      <c r="AR34">
        <f t="shared" ref="AR34:AS37" si="4">J34</f>
        <v>8.4700000000000006</v>
      </c>
      <c r="AS34">
        <f t="shared" si="4"/>
        <v>1.5657138946819116</v>
      </c>
      <c r="AT34">
        <f>INT(I34)</f>
        <v>30</v>
      </c>
      <c r="AU34">
        <f t="shared" ref="AU34:AV37" si="5">L34</f>
        <v>8.36</v>
      </c>
      <c r="AV34">
        <f t="shared" si="5"/>
        <v>1.498919610919812</v>
      </c>
      <c r="AW34" s="65">
        <f>O34</f>
        <v>7.0981124860972702E-2</v>
      </c>
      <c r="AX34">
        <f>SQRT(P34)</f>
        <v>0.29329306004849026</v>
      </c>
      <c r="AY34" t="str">
        <f>$F$3</f>
        <v>Pooled SD</v>
      </c>
    </row>
    <row r="35" spans="5:51">
      <c r="E35" t="str">
        <f t="shared" si="0"/>
        <v>Pantel J</v>
      </c>
      <c r="F35">
        <f t="shared" si="0"/>
        <v>1997</v>
      </c>
      <c r="G35">
        <v>3</v>
      </c>
      <c r="H35">
        <f t="shared" si="1"/>
        <v>19</v>
      </c>
      <c r="I35">
        <f t="shared" si="1"/>
        <v>13</v>
      </c>
      <c r="J35">
        <f t="shared" si="2"/>
        <v>9.0500000000000007</v>
      </c>
      <c r="K35">
        <f t="shared" si="2"/>
        <v>1.3946540789744244</v>
      </c>
      <c r="L35">
        <f t="shared" si="2"/>
        <v>9.370000000000001</v>
      </c>
      <c r="M35">
        <f t="shared" si="2"/>
        <v>1.2431009613060395</v>
      </c>
      <c r="N35">
        <f>IF($D$3=1,SQRT((((I35-1)*(M35)^2)+((H35-1)*(K35)^2))/(H35+I35-2)),M35)</f>
        <v>1.3360973018459397</v>
      </c>
      <c r="O35" s="59">
        <f>IF($D$6=1,LN(J35/L35),IF($D$5=1,(1-3/(4*(H35+I35)-9))*((J35-L35)/N35),(J35-L35)/N35))</f>
        <v>-0.233465611133471</v>
      </c>
      <c r="P35" s="63">
        <f>IF($D$6=1,(K35^2)/(H35*J35^2)+(M35^2)/(I35*L35^2),(IF($D$5=1,((H35+I35)/(H35*I35))+(O35*O35)/(2*(H35+I35-3.94)),((H35+I35)/(H35*I35))+((O35^2)/(2*(H35+I35-2))))))</f>
        <v>0.13052589948380822</v>
      </c>
      <c r="Q35" s="59">
        <f>$R$54*SQRT(P35)</f>
        <v>0.70811601835927818</v>
      </c>
      <c r="R35" s="59">
        <f>1/P35</f>
        <v>7.6613147578734004</v>
      </c>
      <c r="S35" s="59">
        <f>O35*R35</f>
        <v>-1.7886535320327939</v>
      </c>
      <c r="T35" s="59">
        <f>R35*(O35^2)</f>
        <v>0.41758908996207766</v>
      </c>
      <c r="U35" s="23">
        <f>R35^2</f>
        <v>58.695743819208758</v>
      </c>
      <c r="V35" s="59">
        <f>1/((1/R35)+$I$51)</f>
        <v>7.6613147578734004</v>
      </c>
      <c r="W35" s="59">
        <f>V35*O35</f>
        <v>-1.7886535320327939</v>
      </c>
      <c r="AF35" s="59">
        <f>IF($D$6=1,100*((EXP(O35))-1),O35)</f>
        <v>-0.233465611133471</v>
      </c>
      <c r="AG35" s="59">
        <f>IF($D$6=1,100*(EXP(O35+Q35)-EXP(O35)),Q35)</f>
        <v>0.70811601835927818</v>
      </c>
      <c r="AH35" s="59">
        <f>IF($D$6=1,100*(EXP(O35)-EXP(O35-Q35)),Q35)</f>
        <v>0.70811601835927818</v>
      </c>
      <c r="AJ35">
        <f>SQRT(P35)</f>
        <v>0.36128368283636642</v>
      </c>
      <c r="AK35">
        <f>1/AJ35</f>
        <v>2.7679080110931076</v>
      </c>
      <c r="AL35">
        <f>O35/AJ35</f>
        <v>-0.64621133537108255</v>
      </c>
      <c r="AN35" t="str">
        <f t="shared" si="3"/>
        <v>Pantel J</v>
      </c>
      <c r="AO35">
        <f t="shared" si="3"/>
        <v>1997</v>
      </c>
      <c r="AP35" t="str">
        <f>CONCATENATE(AN35," ",AO35)</f>
        <v>Pantel J 1997</v>
      </c>
      <c r="AQ35">
        <f>INT(H35)</f>
        <v>19</v>
      </c>
      <c r="AR35">
        <f t="shared" si="4"/>
        <v>9.0500000000000007</v>
      </c>
      <c r="AS35">
        <f t="shared" si="4"/>
        <v>1.3946540789744244</v>
      </c>
      <c r="AT35">
        <f>INT(I35)</f>
        <v>13</v>
      </c>
      <c r="AU35">
        <f t="shared" si="5"/>
        <v>9.370000000000001</v>
      </c>
      <c r="AV35">
        <f t="shared" si="5"/>
        <v>1.2431009613060395</v>
      </c>
      <c r="AW35" s="65">
        <f>O35</f>
        <v>-0.233465611133471</v>
      </c>
      <c r="AX35">
        <f>SQRT(P35)</f>
        <v>0.36128368283636642</v>
      </c>
      <c r="AY35" t="str">
        <f>$F$4</f>
        <v>Total</v>
      </c>
    </row>
    <row r="36" spans="5:51">
      <c r="E36" t="str">
        <f t="shared" si="0"/>
        <v>Ashtari M</v>
      </c>
      <c r="F36">
        <f t="shared" si="0"/>
        <v>1999</v>
      </c>
      <c r="G36">
        <v>2</v>
      </c>
      <c r="H36">
        <f t="shared" si="1"/>
        <v>40</v>
      </c>
      <c r="I36">
        <f t="shared" si="1"/>
        <v>46</v>
      </c>
      <c r="J36">
        <f t="shared" si="2"/>
        <v>7959</v>
      </c>
      <c r="K36">
        <f t="shared" si="2"/>
        <v>1166</v>
      </c>
      <c r="L36">
        <f t="shared" si="2"/>
        <v>8262</v>
      </c>
      <c r="M36">
        <f t="shared" si="2"/>
        <v>990</v>
      </c>
      <c r="N36">
        <f>IF($D$3=1,SQRT((((I36-1)*(M36)^2)+((H36-1)*(K36)^2))/(H36+I36-2)),M36)</f>
        <v>1075.3027480667945</v>
      </c>
      <c r="O36" s="59">
        <f>IF($D$6=1,LN(J36/L36),IF($D$5=1,(1-3/(4*(H36+I36)-9))*((J36-L36)/N36),(J36-L36)/N36))</f>
        <v>-0.27925769529003958</v>
      </c>
      <c r="P36" s="63">
        <f>IF($D$6=1,(K36^2)/(H36*J36^2)+(M36^2)/(I36*L36^2),(IF($D$5=1,((H36+I36)/(H36*I36))+(O36*O36)/(2*(H36+I36-3.94)),((H36+I36)/(H36*I36))+((O36^2)/(2*(H36+I36-2))))))</f>
        <v>4.7214300190928753E-2</v>
      </c>
      <c r="Q36" s="59">
        <f>$R$54*SQRT(P36)</f>
        <v>0.42588549589469687</v>
      </c>
      <c r="R36" s="59">
        <f>1/P36</f>
        <v>21.180023763057473</v>
      </c>
      <c r="S36" s="59">
        <f>O36*R36</f>
        <v>-5.9146846222597009</v>
      </c>
      <c r="T36" s="59">
        <f>R36*(O36^2)</f>
        <v>1.6517211959796827</v>
      </c>
      <c r="U36" s="23">
        <f>R36^2</f>
        <v>448.59340660367928</v>
      </c>
      <c r="V36" s="59">
        <f>1/((1/R36)+$I$51)</f>
        <v>21.180023763057473</v>
      </c>
      <c r="W36" s="59">
        <f>V36*O36</f>
        <v>-5.9146846222597009</v>
      </c>
      <c r="AF36" s="59">
        <f>IF($D$6=1,100*((EXP(O36))-1),O36)</f>
        <v>-0.27925769529003958</v>
      </c>
      <c r="AG36" s="59">
        <f>IF($D$6=1,100*(EXP(O36+Q36)-EXP(O36)),Q36)</f>
        <v>0.42588549589469687</v>
      </c>
      <c r="AH36" s="59">
        <f>IF($D$6=1,100*(EXP(O36)-EXP(O36-Q36)),Q36)</f>
        <v>0.42588549589469687</v>
      </c>
      <c r="AJ36">
        <f>SQRT(P36)</f>
        <v>0.21728851831362087</v>
      </c>
      <c r="AK36">
        <f>1/AJ36</f>
        <v>4.6021759813220395</v>
      </c>
      <c r="AL36">
        <f>O36/AJ36</f>
        <v>-1.285193057863169</v>
      </c>
      <c r="AN36" t="str">
        <f t="shared" si="3"/>
        <v>Ashtari M</v>
      </c>
      <c r="AO36">
        <f t="shared" si="3"/>
        <v>1999</v>
      </c>
      <c r="AP36" t="str">
        <f>CONCATENATE(AN36," ",AO36)</f>
        <v>Ashtari M 1999</v>
      </c>
      <c r="AQ36">
        <f>INT(H36)</f>
        <v>40</v>
      </c>
      <c r="AR36">
        <f t="shared" si="4"/>
        <v>7959</v>
      </c>
      <c r="AS36">
        <f t="shared" si="4"/>
        <v>1166</v>
      </c>
      <c r="AT36">
        <f>INT(I36)</f>
        <v>46</v>
      </c>
      <c r="AU36">
        <f t="shared" si="5"/>
        <v>8262</v>
      </c>
      <c r="AV36">
        <f t="shared" si="5"/>
        <v>990</v>
      </c>
      <c r="AW36" s="65">
        <f>O36</f>
        <v>-0.27925769529003958</v>
      </c>
      <c r="AX36">
        <f>SQRT(P36)</f>
        <v>0.21728851831362087</v>
      </c>
    </row>
    <row r="37" spans="5:51">
      <c r="E37" t="str">
        <f t="shared" si="0"/>
        <v>McIntosh AM</v>
      </c>
      <c r="F37">
        <f t="shared" si="0"/>
        <v>2001</v>
      </c>
      <c r="G37">
        <v>1</v>
      </c>
      <c r="H37">
        <f t="shared" si="1"/>
        <v>9</v>
      </c>
      <c r="I37">
        <f t="shared" si="1"/>
        <v>29</v>
      </c>
      <c r="J37">
        <f t="shared" si="2"/>
        <v>9396</v>
      </c>
      <c r="K37">
        <f t="shared" si="2"/>
        <v>1013.2271216267358</v>
      </c>
      <c r="L37">
        <f t="shared" si="2"/>
        <v>9417</v>
      </c>
      <c r="M37">
        <f t="shared" si="2"/>
        <v>1080.0074999739586</v>
      </c>
      <c r="N37">
        <f>IF($D$3=1,SQRT((((I37-1)*(M37)^2)+((H37-1)*(K37)^2))/(H37+I37-2)),M37)</f>
        <v>1065.5291747400547</v>
      </c>
      <c r="O37" s="59">
        <f>IF($D$6=1,LN(J37/L37),IF($D$5=1,(1-3/(4*(H37+I37)-9))*((J37-L37)/N37),(J37-L37)/N37))</f>
        <v>-1.9295051742207078E-2</v>
      </c>
      <c r="P37" s="63">
        <f>IF($D$6=1,(K37^2)/(H37*J37^2)+(M37^2)/(I37*L37^2),(IF($D$5=1,((H37+I37)/(H37*I37))+(O37*O37)/(2*(H37+I37-3.94)),((H37+I37)/(H37*I37))+((O37^2)/(2*(H37+I37-2))))))</f>
        <v>0.14559933507269529</v>
      </c>
      <c r="Q37" s="59">
        <f>$R$54*SQRT(P37)</f>
        <v>0.74788662617756851</v>
      </c>
      <c r="R37" s="59">
        <f>1/P37</f>
        <v>6.8681632337174952</v>
      </c>
      <c r="S37" s="59">
        <f>O37*R37</f>
        <v>-0.13252156496850334</v>
      </c>
      <c r="T37" s="59">
        <f>R37*(O37^2)</f>
        <v>2.5570104530255287E-3</v>
      </c>
      <c r="U37" s="23">
        <f>R37^2</f>
        <v>47.17166620498876</v>
      </c>
      <c r="V37" s="59">
        <f>1/((1/R37)+$I$51)</f>
        <v>6.8681632337174952</v>
      </c>
      <c r="W37" s="59">
        <f>V37*O37</f>
        <v>-0.13252156496850334</v>
      </c>
      <c r="AF37" s="59">
        <f>IF($D$6=1,100*((EXP(O37))-1),O37)</f>
        <v>-1.9295051742207078E-2</v>
      </c>
      <c r="AG37" s="59">
        <f>IF($D$6=1,100*(EXP(O37+Q37)-EXP(O37)),Q37)</f>
        <v>0.74788662617756851</v>
      </c>
      <c r="AH37" s="59">
        <f>IF($D$6=1,100*(EXP(O37)-EXP(O37-Q37)),Q37)</f>
        <v>0.74788662617756851</v>
      </c>
      <c r="AJ37">
        <f>SQRT(P37)</f>
        <v>0.38157480927426968</v>
      </c>
      <c r="AK37">
        <f>1/AJ37</f>
        <v>2.6207180759703048</v>
      </c>
      <c r="AL37">
        <f>O37/AJ37</f>
        <v>-5.0566890877584411E-2</v>
      </c>
      <c r="AN37" t="str">
        <f t="shared" si="3"/>
        <v>McIntosh AM</v>
      </c>
      <c r="AO37">
        <f t="shared" si="3"/>
        <v>2001</v>
      </c>
      <c r="AP37" t="str">
        <f>CONCATENATE(AN37," ",AO37)</f>
        <v>McIntosh AM 2001</v>
      </c>
      <c r="AQ37">
        <f>INT(H37)</f>
        <v>9</v>
      </c>
      <c r="AR37">
        <f t="shared" si="4"/>
        <v>9396</v>
      </c>
      <c r="AS37">
        <f t="shared" si="4"/>
        <v>1013.2271216267358</v>
      </c>
      <c r="AT37">
        <f>INT(I37)</f>
        <v>29</v>
      </c>
      <c r="AU37">
        <f t="shared" si="5"/>
        <v>9417</v>
      </c>
      <c r="AV37">
        <f t="shared" si="5"/>
        <v>1080.0074999739586</v>
      </c>
      <c r="AW37" s="65">
        <f>O37</f>
        <v>-1.9295051742207078E-2</v>
      </c>
      <c r="AX37">
        <f>SQRT(P37)</f>
        <v>0.38157480927426968</v>
      </c>
      <c r="AY37" t="str">
        <f>$F$5</f>
        <v>H Correction</v>
      </c>
    </row>
    <row r="38" spans="5:51">
      <c r="U38" s="23"/>
    </row>
    <row r="39" spans="5:51">
      <c r="L39" t="s">
        <v>500</v>
      </c>
      <c r="N39" s="7"/>
      <c r="O39" s="66">
        <f>COUNT(O34:O37)</f>
        <v>4</v>
      </c>
      <c r="Q39" t="s">
        <v>885</v>
      </c>
      <c r="R39" s="59">
        <f t="shared" ref="R39:W39" si="6">SUM(R34:R37)</f>
        <v>47.334594502904267</v>
      </c>
      <c r="S39" s="59">
        <f t="shared" si="6"/>
        <v>-7.0106975593766583</v>
      </c>
      <c r="T39" s="59">
        <f t="shared" si="6"/>
        <v>2.130438234696086</v>
      </c>
      <c r="U39" s="23">
        <f t="shared" si="6"/>
        <v>689.60359803342874</v>
      </c>
      <c r="V39" s="59">
        <f t="shared" si="6"/>
        <v>47.334594502904267</v>
      </c>
      <c r="W39" s="59">
        <f t="shared" si="6"/>
        <v>-7.0106975593766583</v>
      </c>
    </row>
    <row r="40" spans="5:51">
      <c r="L40" t="s">
        <v>501</v>
      </c>
      <c r="N40" s="7"/>
      <c r="O40" s="2">
        <v>0</v>
      </c>
    </row>
    <row r="41" spans="5:51">
      <c r="N41" s="7"/>
      <c r="O41" s="7"/>
    </row>
    <row r="42" spans="5:51">
      <c r="G42" s="67" t="s">
        <v>502</v>
      </c>
      <c r="H42" s="40"/>
      <c r="I42" s="40">
        <f>S39/R39</f>
        <v>-0.14810938242951482</v>
      </c>
      <c r="J42" s="40"/>
      <c r="K42" s="68" t="s">
        <v>879</v>
      </c>
      <c r="L42" s="40"/>
      <c r="M42" s="42"/>
      <c r="N42" s="7"/>
      <c r="O42" s="69" t="s">
        <v>503</v>
      </c>
      <c r="P42" s="70">
        <f>T39-((S39^2)/R39)</f>
        <v>1.0920881487767022</v>
      </c>
      <c r="Q42" s="71" t="s">
        <v>824</v>
      </c>
      <c r="R42" s="28"/>
      <c r="S42" s="29"/>
      <c r="T42" s="30"/>
      <c r="U42" s="31"/>
      <c r="AF42" s="2" t="s">
        <v>1518</v>
      </c>
    </row>
    <row r="43" spans="5:51">
      <c r="G43" s="43" t="s">
        <v>504</v>
      </c>
      <c r="H43" s="31"/>
      <c r="I43" s="31">
        <f>1/R39</f>
        <v>2.1126197667937007E-2</v>
      </c>
      <c r="J43" s="31"/>
      <c r="K43" s="31"/>
      <c r="L43" s="31"/>
      <c r="M43" s="44"/>
      <c r="N43" s="7"/>
      <c r="O43" s="30" t="s">
        <v>505</v>
      </c>
      <c r="P43" s="31">
        <f>CHIDIST(P42,I47-1)</f>
        <v>0.77898437298272394</v>
      </c>
      <c r="Q43" s="31"/>
      <c r="R43" s="31"/>
      <c r="S43" s="34"/>
      <c r="T43" s="30"/>
      <c r="U43" s="31"/>
      <c r="AF43" s="2"/>
    </row>
    <row r="44" spans="5:51">
      <c r="G44" s="72" t="s">
        <v>506</v>
      </c>
      <c r="H44" s="31"/>
      <c r="I44" s="31">
        <f>$R$54*SQRT(I43)</f>
        <v>0.28488313562081347</v>
      </c>
      <c r="J44" s="31"/>
      <c r="K44" s="31" t="s">
        <v>507</v>
      </c>
      <c r="L44" s="31"/>
      <c r="M44" s="44">
        <f>ABS(I42/SQRT(I43))</f>
        <v>1.0189946446961258</v>
      </c>
      <c r="N44" s="7"/>
      <c r="O44" s="35" t="s">
        <v>508</v>
      </c>
      <c r="P44" s="37">
        <f>IF(((P42-(I47-1))/P42)&lt;0,0,100*((P42-(I47-1))/P42))</f>
        <v>0</v>
      </c>
      <c r="Q44" s="36"/>
      <c r="R44" s="36"/>
      <c r="S44" s="38"/>
      <c r="T44" s="30"/>
      <c r="U44" s="31"/>
      <c r="AF44" s="2" t="s">
        <v>1535</v>
      </c>
      <c r="AH44">
        <f>IF($D$6=1,100*((EXP(I42))-1),I42)</f>
        <v>-0.14810938242951482</v>
      </c>
    </row>
    <row r="45" spans="5:51">
      <c r="G45" s="45" t="s">
        <v>509</v>
      </c>
      <c r="H45" s="46"/>
      <c r="I45" s="46">
        <v>-2</v>
      </c>
      <c r="J45" s="46"/>
      <c r="K45" s="46" t="s">
        <v>825</v>
      </c>
      <c r="L45" s="46"/>
      <c r="M45" s="47">
        <f>2*(1-NORMDIST(M44,0,1,1))</f>
        <v>0.30820550895218757</v>
      </c>
      <c r="N45" s="7"/>
      <c r="O45" s="7"/>
      <c r="AF45" s="79" t="s">
        <v>834</v>
      </c>
      <c r="AH45">
        <f>IF($D$6=1,100*(EXP(I42+I44)-EXP(I42)),I44)</f>
        <v>0.28488313562081347</v>
      </c>
    </row>
    <row r="46" spans="5:51">
      <c r="G46" s="40"/>
      <c r="H46" s="40"/>
      <c r="I46" s="40"/>
      <c r="J46" s="40"/>
      <c r="K46" s="40"/>
      <c r="L46" s="40"/>
      <c r="M46" s="40"/>
      <c r="N46" s="7"/>
      <c r="O46" s="7"/>
      <c r="AF46" s="79" t="s">
        <v>835</v>
      </c>
      <c r="AH46">
        <f>IF($D$6=1,100*(EXP(I42)-EXP(I42-I44)),I44)</f>
        <v>0.28488313562081347</v>
      </c>
    </row>
    <row r="47" spans="5:51">
      <c r="G47" s="73" t="s">
        <v>1110</v>
      </c>
      <c r="H47" s="74"/>
      <c r="I47" s="74">
        <f>O39</f>
        <v>4</v>
      </c>
      <c r="J47" s="74"/>
      <c r="K47" s="75" t="s">
        <v>1167</v>
      </c>
      <c r="L47" s="74"/>
      <c r="M47" s="76"/>
      <c r="N47" s="77"/>
      <c r="O47" s="101" t="s">
        <v>1513</v>
      </c>
      <c r="P47" s="102"/>
      <c r="Q47" s="103"/>
      <c r="AF47" s="7"/>
    </row>
    <row r="48" spans="5:51">
      <c r="G48" s="77" t="s">
        <v>1531</v>
      </c>
      <c r="H48" s="31"/>
      <c r="I48" s="31">
        <f>R39/I47</f>
        <v>11.833648625726067</v>
      </c>
      <c r="J48" s="31"/>
      <c r="K48" s="31"/>
      <c r="L48" s="31"/>
      <c r="M48" s="78"/>
      <c r="N48" s="77"/>
      <c r="O48" s="104" t="s">
        <v>1514</v>
      </c>
      <c r="P48" s="31"/>
      <c r="Q48" s="105">
        <f>INDEX(LINEST(AL34:AL37,AK34:AK37,TRUE,TRUE),1,2)</f>
        <v>1.1860044327063139</v>
      </c>
      <c r="AF48" s="2" t="s">
        <v>1687</v>
      </c>
      <c r="AH48">
        <f>IF($D$6=1,100*((EXP(I53))-1),I53)</f>
        <v>-0.14810938242951482</v>
      </c>
    </row>
    <row r="49" spans="7:34">
      <c r="G49" s="77" t="s">
        <v>1532</v>
      </c>
      <c r="H49" s="31"/>
      <c r="I49" s="31">
        <f>(1/(I47-1))*(U39-(I47*I48^2))</f>
        <v>43.154212948278349</v>
      </c>
      <c r="J49" s="31"/>
      <c r="K49" s="31"/>
      <c r="L49" s="31"/>
      <c r="M49" s="78"/>
      <c r="N49" s="77"/>
      <c r="O49" s="104" t="s">
        <v>1516</v>
      </c>
      <c r="P49" s="31"/>
      <c r="Q49" s="105">
        <f>INDEX(LINEST(AL34:AL37,AK34:AK37,TRUE,TRUE),2,2)</f>
        <v>1.3937622465128392</v>
      </c>
      <c r="AF49" s="79" t="s">
        <v>834</v>
      </c>
      <c r="AG49" s="7"/>
      <c r="AH49">
        <f>IF($D$6=1,100*(EXP(I53+I55)-EXP(I53)),I55)</f>
        <v>0.28488313562081347</v>
      </c>
    </row>
    <row r="50" spans="7:34">
      <c r="G50" s="77" t="s">
        <v>1669</v>
      </c>
      <c r="H50" s="31"/>
      <c r="I50" s="31">
        <f>(I47-1)*(I48-(I49/(I47*I48)))</f>
        <v>32.765892578329478</v>
      </c>
      <c r="J50" s="31"/>
      <c r="K50" s="31"/>
      <c r="L50" s="31"/>
      <c r="M50" s="78"/>
      <c r="N50" s="77"/>
      <c r="O50" s="104" t="s">
        <v>1349</v>
      </c>
      <c r="P50" s="31"/>
      <c r="Q50" s="105">
        <f>ABS(Q48/Q49)</f>
        <v>0.85093740749088986</v>
      </c>
      <c r="AF50" s="79" t="s">
        <v>835</v>
      </c>
      <c r="AH50">
        <f>IF($D$6=1,100*(EXP(I53)-EXP(I53-I55)),I55)</f>
        <v>0.28488313562081347</v>
      </c>
    </row>
    <row r="51" spans="7:34">
      <c r="G51" s="77" t="s">
        <v>1685</v>
      </c>
      <c r="H51" s="31"/>
      <c r="I51" s="31">
        <f>IF(P42&gt;(I47-1),(P42-(I47-1))/I50,0)</f>
        <v>0</v>
      </c>
      <c r="J51" s="31"/>
      <c r="K51" s="31"/>
      <c r="L51" s="31"/>
      <c r="M51" s="78"/>
      <c r="N51" s="77"/>
      <c r="O51" s="106" t="s">
        <v>1515</v>
      </c>
      <c r="P51" s="107"/>
      <c r="Q51" s="108">
        <f>TDIST(Q50,I47-2,2)</f>
        <v>0.48443131216931801</v>
      </c>
    </row>
    <row r="52" spans="7:34">
      <c r="G52" s="77"/>
      <c r="H52" s="31"/>
      <c r="I52" s="31"/>
      <c r="J52" s="31"/>
      <c r="K52" s="31"/>
      <c r="L52" s="31"/>
      <c r="M52" s="78"/>
      <c r="N52" s="77"/>
    </row>
    <row r="53" spans="7:34">
      <c r="G53" s="77" t="s">
        <v>1686</v>
      </c>
      <c r="H53" s="31"/>
      <c r="I53" s="31">
        <f>W39/V39</f>
        <v>-0.14810938242951482</v>
      </c>
      <c r="J53" s="31"/>
      <c r="N53" s="77"/>
    </row>
    <row r="54" spans="7:34">
      <c r="G54" s="77" t="s">
        <v>504</v>
      </c>
      <c r="H54" s="31"/>
      <c r="I54" s="31">
        <f>1/V39</f>
        <v>2.1126197667937007E-2</v>
      </c>
      <c r="J54" s="31"/>
      <c r="N54" s="77"/>
      <c r="O54" t="s">
        <v>805</v>
      </c>
      <c r="R54">
        <v>1.96</v>
      </c>
    </row>
    <row r="55" spans="7:34">
      <c r="G55" s="80" t="s">
        <v>506</v>
      </c>
      <c r="H55" s="31"/>
      <c r="I55" s="31">
        <f>$R$54*SQRT(I54)</f>
        <v>0.28488313562081347</v>
      </c>
      <c r="J55" s="31"/>
      <c r="K55" s="31" t="s">
        <v>507</v>
      </c>
      <c r="L55" s="31"/>
      <c r="M55" s="78">
        <f>ABS(I53/(SQRT(I54)))</f>
        <v>1.0189946446961258</v>
      </c>
      <c r="N55" s="77"/>
    </row>
    <row r="56" spans="7:34">
      <c r="G56" s="81" t="s">
        <v>509</v>
      </c>
      <c r="H56" s="82"/>
      <c r="I56" s="82">
        <v>-3</v>
      </c>
      <c r="J56" s="82"/>
      <c r="K56" s="31" t="s">
        <v>825</v>
      </c>
      <c r="L56" s="31"/>
      <c r="M56" s="78">
        <f>2*(1-NORMDIST(M55,0,1,1))</f>
        <v>0.30820550895218757</v>
      </c>
      <c r="N56" s="77"/>
    </row>
    <row r="57" spans="7:34">
      <c r="G57" s="74"/>
      <c r="H57" s="74"/>
      <c r="I57" s="74"/>
      <c r="J57" s="74"/>
      <c r="K57" s="74"/>
      <c r="L57" s="74"/>
      <c r="M57" s="74"/>
      <c r="N57" s="31"/>
      <c r="O57" s="7"/>
    </row>
  </sheetData>
  <phoneticPr fontId="10" type="noConversion"/>
  <conditionalFormatting sqref="D17 D13 F13">
    <cfRule type="cellIs" dxfId="78" priority="0" stopIfTrue="1" operator="lessThan">
      <formula>0.05</formula>
    </cfRule>
  </conditionalFormatting>
  <conditionalFormatting sqref="D21">
    <cfRule type="cellIs" dxfId="7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1.xml><?xml version="1.0" encoding="utf-8"?>
<worksheet xmlns="http://schemas.openxmlformats.org/spreadsheetml/2006/main" xmlns:r="http://schemas.openxmlformats.org/officeDocument/2006/relationships">
  <sheetPr published="0" codeName="Sheet13" enableFormatConditionsCalculation="0"/>
  <dimension ref="A1:BM10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441406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 min="54" max="61" width="8.88671875" bestFit="1" customWidth="1"/>
    <col min="63" max="64" width="8.88671875" bestFit="1" customWidth="1"/>
    <col min="65" max="65" width="9" bestFit="1" customWidth="1"/>
  </cols>
  <sheetData>
    <row r="1" spans="2:30">
      <c r="B1" s="4" t="s">
        <v>1833</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I92-O85</f>
        <v>19</v>
      </c>
      <c r="AD7" s="89"/>
    </row>
    <row r="8" spans="2:30">
      <c r="B8" t="s">
        <v>822</v>
      </c>
      <c r="D8">
        <f>SUM(H24:H46)</f>
        <v>517</v>
      </c>
      <c r="AD8" s="89"/>
    </row>
    <row r="9" spans="2:30">
      <c r="B9" t="s">
        <v>823</v>
      </c>
      <c r="D9">
        <f>SUM(I24:I46)</f>
        <v>535</v>
      </c>
      <c r="AD9" s="89"/>
    </row>
    <row r="11" spans="2:30">
      <c r="B11" s="27" t="s">
        <v>516</v>
      </c>
      <c r="C11" s="28"/>
      <c r="D11" s="109">
        <f>P87</f>
        <v>57.67454685675591</v>
      </c>
      <c r="E11" s="110" t="s">
        <v>1513</v>
      </c>
      <c r="F11" s="103"/>
    </row>
    <row r="12" spans="2:30">
      <c r="B12" s="30" t="s">
        <v>826</v>
      </c>
      <c r="C12" s="31"/>
      <c r="D12" s="112">
        <f>P89</f>
        <v>61.854923533876104</v>
      </c>
      <c r="E12" s="31"/>
      <c r="F12" s="105"/>
    </row>
    <row r="13" spans="2:30">
      <c r="B13" s="35" t="s">
        <v>825</v>
      </c>
      <c r="C13" s="36"/>
      <c r="D13" s="113">
        <f>P88</f>
        <v>4.9011634977337158E-5</v>
      </c>
      <c r="E13" s="111" t="s">
        <v>825</v>
      </c>
      <c r="F13" s="115">
        <f>Q96</f>
        <v>0.51359609638505765</v>
      </c>
    </row>
    <row r="15" spans="2:30">
      <c r="B15" s="39" t="s">
        <v>879</v>
      </c>
      <c r="C15" s="40"/>
      <c r="D15" s="41">
        <f>AH89</f>
        <v>9.5446593746179823E-2</v>
      </c>
      <c r="E15" s="116"/>
    </row>
    <row r="16" spans="2:30">
      <c r="B16" s="43" t="s">
        <v>1165</v>
      </c>
      <c r="C16" s="31"/>
      <c r="D16" s="33">
        <f>AH89-AH91</f>
        <v>-3.3005933964619996E-2</v>
      </c>
      <c r="E16" s="117">
        <f>AH89+AH90</f>
        <v>0.22389912145697966</v>
      </c>
    </row>
    <row r="17" spans="1:65">
      <c r="B17" s="45" t="s">
        <v>1166</v>
      </c>
      <c r="C17" s="46"/>
      <c r="D17" s="123">
        <f>M90</f>
        <v>0.14528839398952353</v>
      </c>
      <c r="E17" s="118"/>
    </row>
    <row r="18" spans="1:65">
      <c r="D18" s="48"/>
      <c r="F18" s="49"/>
    </row>
    <row r="19" spans="1:65">
      <c r="B19" s="50" t="s">
        <v>1167</v>
      </c>
      <c r="C19" s="51"/>
      <c r="D19" s="52">
        <f>AH93</f>
        <v>8.0700775114389514E-2</v>
      </c>
      <c r="E19" s="120"/>
      <c r="F19" s="33"/>
      <c r="G19" s="31"/>
    </row>
    <row r="20" spans="1:65">
      <c r="B20" s="53" t="s">
        <v>1165</v>
      </c>
      <c r="C20" s="31"/>
      <c r="D20" s="33">
        <f>AH93-AH95</f>
        <v>-0.13121655019402556</v>
      </c>
      <c r="E20" s="121">
        <f>AH93+AH94</f>
        <v>0.29261810042280456</v>
      </c>
      <c r="F20" s="31"/>
      <c r="G20" s="31"/>
    </row>
    <row r="21" spans="1:65">
      <c r="B21" s="54" t="s">
        <v>1440</v>
      </c>
      <c r="C21" s="55"/>
      <c r="D21" s="114">
        <f>M101</f>
        <v>0.45543030009401675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9674587</v>
      </c>
      <c r="C24" s="1" t="str">
        <f>IF($B24="","",HYPERLINK(IF(LEN(VLOOKUP($B24,Database!$B$1:$IX$10144,2,FALSE))=0,"",VLOOKUP($B24,Database!$B$1:$IX$10144,2,FALSE))))</f>
        <v/>
      </c>
      <c r="D24" s="1" t="str">
        <f t="shared" ref="D24:D39" si="0">IF($B24="","",HYPERLINK(CONCATENATE("http://www.ncbi.nlm.nih.gov/pubmed/",B24)))</f>
        <v>http://www.ncbi.nlm.nih.gov/pubmed/9674587</v>
      </c>
      <c r="E24" s="22" t="str">
        <f>IF($B24="","",IF(LEN(VLOOKUP($B24,Database!$B$1:$IX$10144,4,FALSE))=0,"",VLOOKUP($B24,Database!$B$1:$IX$10144,4,FALSE)))</f>
        <v>Sheline YI</v>
      </c>
      <c r="F24" s="22">
        <f>IF($B24="","",IF(LEN(VLOOKUP($B24,Database!$B$1:$IX$10144,5,FALSE))=0,"",VLOOKUP($B24,Database!$B$1:$IX$10144,5,FALSE)))</f>
        <v>1998</v>
      </c>
      <c r="G24" s="1" t="str">
        <f>IF($B24="","",HYPERLINK(IF(LEN(VLOOKUP($B24,Database!$B$1:$IX$10144,6,FALSE))=0,"",VLOOKUP($B24,Database!$B$1:$IX$10144,6,FALSE))))</f>
        <v>http://www.neuroreport.com/pt/re/neuroreport/abstract.00001756-199806220-00021.htm</v>
      </c>
      <c r="H24" s="22">
        <f>IF($B24="","",IF(LEN(VLOOKUP($B24,Database!$B$1:$IX$10144,7,FALSE))=0,"",VLOOKUP($B24,Database!$B$1:$IX$10144,7,FALSE)))</f>
        <v>20</v>
      </c>
      <c r="I24" s="22">
        <f>IF($B24="","",IF(LEN(VLOOKUP($B24,Database!$B$1:$IX$10144,8,FALSE))=0,"",VLOOKUP($B24,Database!$B$1:$IX$10144,8,FALSE)))</f>
        <v>20</v>
      </c>
      <c r="J24" t="s">
        <v>1080</v>
      </c>
      <c r="L24">
        <v>1650</v>
      </c>
      <c r="M24">
        <v>310</v>
      </c>
      <c r="N24">
        <v>1782</v>
      </c>
      <c r="O24">
        <v>296</v>
      </c>
      <c r="P24">
        <v>1724</v>
      </c>
      <c r="Q24">
        <v>304</v>
      </c>
      <c r="R24">
        <v>1752</v>
      </c>
      <c r="S24">
        <v>295</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54</v>
      </c>
      <c r="AC24" s="22">
        <f>IF(OR($B24="",AC$22=""),"",IF(LEN(VLOOKUP($B24,Database!$B$1:$IX$10144,AC$22,FALSE))=0,"",VLOOKUP($B24,Database!$B$1:$IX$10144,AC$22,FALSE)))</f>
        <v>18</v>
      </c>
      <c r="AD24" s="22">
        <f>IF(OR($B24="",AD$22=""),"",IF(LEN(VLOOKUP($B24,Database!$B$1:$IX$10144,AD$22,FALSE))=0,"",VLOOKUP($B24,Database!$B$1:$IX$10144,AD$22,FALSE)))</f>
        <v>53</v>
      </c>
      <c r="AE24" s="22">
        <f>IF(OR($B24="",AE$22=""),"",IF(LEN(VLOOKUP($B24,Database!$B$1:$IX$10144,AE$22,FALSE))=0,"",VLOOKUP($B24,Database!$B$1:$IX$10144,AE$22,FALSE)))</f>
        <v>17</v>
      </c>
      <c r="AF24" s="22">
        <f>IF(OR($B24="",AF$22=""),"",IF(LEN(VLOOKUP($B24,Database!$B$1:$IX$10144,AF$22,FALSE))=0,"",VLOOKUP($B24,Database!$B$1:$IX$10144,AF$22,FALSE)))</f>
        <v>20</v>
      </c>
      <c r="AG24" s="22">
        <f>IF(OR($B24="",AG$22=""),"",IF(LEN(VLOOKUP($B24,Database!$B$1:$IX$10144,AG$22,FALSE))=0,"",VLOOKUP($B24,Database!$B$1:$IX$10144,AG$22,FALSE)))</f>
        <v>20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5</v>
      </c>
      <c r="AM24" s="22">
        <f>IF(OR($B24="",AM$22=""),"",IF(LEN(VLOOKUP($B24,Database!$B$1:$IX$10144,AM$22,FALSE))=0,"",VLOOKUP($B24,Database!$B$1:$IX$10144,AM$22,FALSE)))</f>
        <v>70</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Sheline YI, Gado MH, Price JL.</v>
      </c>
      <c r="AR24" s="13"/>
      <c r="AX24" s="13"/>
      <c r="AY24" s="13"/>
      <c r="AZ24" s="13"/>
      <c r="BA24" s="13"/>
      <c r="BC24" s="23"/>
      <c r="BF24" s="136"/>
      <c r="BG24" s="136"/>
      <c r="BH24" s="136"/>
      <c r="BI24" s="136"/>
    </row>
    <row r="25" spans="1:65">
      <c r="B25" s="13">
        <v>10618023</v>
      </c>
      <c r="C25" s="1" t="str">
        <f>IF($B25="","",HYPERLINK(IF(LEN(VLOOKUP($B25,Database!$B$1:$IX$10144,2,FALSE))=0,"",VLOOKUP($B25,Database!$B$1:$IX$10144,2,FALSE))))</f>
        <v/>
      </c>
      <c r="D25" s="1" t="str">
        <f t="shared" si="0"/>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1125</v>
      </c>
      <c r="L25">
        <v>1652</v>
      </c>
      <c r="M25">
        <v>455</v>
      </c>
      <c r="N25">
        <v>1347</v>
      </c>
      <c r="O25">
        <v>448</v>
      </c>
      <c r="P25">
        <v>1699</v>
      </c>
      <c r="Q25">
        <v>493</v>
      </c>
      <c r="R25">
        <v>1335</v>
      </c>
      <c r="S25">
        <v>450</v>
      </c>
      <c r="T25">
        <v>1676</v>
      </c>
      <c r="U25">
        <v>474</v>
      </c>
      <c r="V25">
        <v>1341</v>
      </c>
      <c r="W25">
        <v>449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11"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s="13">
        <v>12586453</v>
      </c>
      <c r="C26" s="1" t="str">
        <f>IF($B26="","",HYPERLINK(IF(LEN(VLOOKUP($B26,Database!$B$1:$IX$10144,2,FALSE))=0,"",VLOOKUP($B26,Database!$B$1:$IX$10144,2,FALSE))))</f>
        <v/>
      </c>
      <c r="D26" s="1" t="str">
        <f t="shared" si="0"/>
        <v>http://www.ncbi.nlm.nih.gov/pubmed/12586453</v>
      </c>
      <c r="E26" s="22" t="str">
        <f>IF($B26="","",IF(LEN(VLOOKUP($B26,Database!$B$1:$IX$10144,4,FALSE))=0,"",VLOOKUP($B26,Database!$B$1:$IX$10144,4,FALSE)))</f>
        <v>Frodl T</v>
      </c>
      <c r="F26" s="22">
        <f>IF($B26="","",IF(LEN(VLOOKUP($B26,Database!$B$1:$IX$10144,5,FALSE))=0,"",VLOOKUP($B26,Database!$B$1:$IX$10144,5,FALSE)))</f>
        <v>2003</v>
      </c>
      <c r="G26" s="1" t="str">
        <f>IF($B26="","",HYPERLINK(IF(LEN(VLOOKUP($B26,Database!$B$1:$IX$10144,6,FALSE))=0,"",VLOOKUP($B26,Database!$B$1:$IX$10144,6,FALSE))))</f>
        <v>http://dx.doi.org/10.1016/S0006-3223(02)01474-9</v>
      </c>
      <c r="H26" s="83">
        <v>30</v>
      </c>
      <c r="I26" s="83">
        <v>30</v>
      </c>
      <c r="J26" t="s">
        <v>1125</v>
      </c>
      <c r="K26" t="s">
        <v>1160</v>
      </c>
      <c r="L26">
        <v>1944</v>
      </c>
      <c r="M26">
        <v>256</v>
      </c>
      <c r="N26">
        <v>1776</v>
      </c>
      <c r="O26">
        <v>292</v>
      </c>
      <c r="P26">
        <v>1951</v>
      </c>
      <c r="Q26">
        <v>298</v>
      </c>
      <c r="R26">
        <v>1815</v>
      </c>
      <c r="S26">
        <v>279</v>
      </c>
      <c r="Y26" s="22" t="str">
        <f>IF(OR($B26="",Y$22=""),"",IF(LEN(VLOOKUP($B26,Database!$B$1:$IX$10144,Y$22,FALSE))=0,"",VLOOKUP($B26,Database!$B$1:$IX$10144,Y$22,FALSE)))</f>
        <v>DSM-IV</v>
      </c>
      <c r="Z26" s="22" t="str">
        <f>IF(OR($B26="",Z$22=""),"",IF(LEN(VLOOKUP($B26,Database!$B$1:$IX$10144,Z$22,FALSE))=0,"",VLOOKUP($B26,Database!$B$1:$IX$10144,Z$22,FALSE)))</f>
        <v>MRI</v>
      </c>
      <c r="AA26" s="217" t="s">
        <v>2449</v>
      </c>
      <c r="AB26" s="83">
        <v>40.299999999999997</v>
      </c>
      <c r="AC26" s="83">
        <v>12.6</v>
      </c>
      <c r="AD26" s="83">
        <v>40.6</v>
      </c>
      <c r="AE26" s="83">
        <v>12.5</v>
      </c>
      <c r="AF26" s="83">
        <v>17</v>
      </c>
      <c r="AG26" s="83">
        <v>17</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83">
        <f>IF(OR($B26="",AK$22=""),"",IF(LEN(VLOOKUP($B26,Database!$B$1:$IX$10144,AK$22,FALSE))=0,"",VLOOKUP($B26,Database!$B$1:$IX$10144,AK$22,FALSE)))</f>
        <v>40</v>
      </c>
      <c r="AL26" s="83">
        <v>24.8</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12.280701754385964</v>
      </c>
      <c r="AQ26" s="211" t="str">
        <f>IF(OR($B26="",AQ$22=""),"",IF(LEN(VLOOKUP($B26,Database!$B$1:$IX$10144,AQ$22,FALSE))=0,"",VLOOKUP($B26,Database!$B$1:$IX$10144,AQ$22,FALSE)))</f>
        <v>Frodl T, Meisenzahl EM, Zetzsche T, Born C, Jager M, Groll C, Bottlender R, Leinsinger G, Moller HJ.</v>
      </c>
      <c r="AR26" s="13"/>
      <c r="AU26" s="13"/>
      <c r="AX26" s="13"/>
      <c r="AY26" s="13"/>
      <c r="AZ26" s="13"/>
      <c r="BA26" s="13"/>
      <c r="BC26" s="23"/>
      <c r="BF26" s="136"/>
      <c r="BG26" s="136"/>
      <c r="BH26" s="136"/>
      <c r="BI26" s="136"/>
    </row>
    <row r="27" spans="1:65">
      <c r="B27" s="13">
        <v>12586453</v>
      </c>
      <c r="C27" s="1" t="str">
        <f>IF($B27="","",HYPERLINK(IF(LEN(VLOOKUP($B27,Database!$B$1:$IX$10144,2,FALSE))=0,"",VLOOKUP($B27,Database!$B$1:$IX$10144,2,FALSE))))</f>
        <v/>
      </c>
      <c r="D27" s="1" t="str">
        <f t="shared" si="0"/>
        <v>http://www.ncbi.nlm.nih.gov/pubmed/12586453</v>
      </c>
      <c r="E27" s="22" t="str">
        <f>IF($B27="","",IF(LEN(VLOOKUP($B27,Database!$B$1:$IX$10144,4,FALSE))=0,"",VLOOKUP($B27,Database!$B$1:$IX$10144,4,FALSE)))</f>
        <v>Frodl T</v>
      </c>
      <c r="F27" s="22">
        <f>IF($B27="","",IF(LEN(VLOOKUP($B27,Database!$B$1:$IX$10144,5,FALSE))=0,"",VLOOKUP($B27,Database!$B$1:$IX$10144,5,FALSE)))</f>
        <v>2003</v>
      </c>
      <c r="G27" s="1" t="str">
        <f>IF($B27="","",HYPERLINK(IF(LEN(VLOOKUP($B27,Database!$B$1:$IX$10144,6,FALSE))=0,"",VLOOKUP($B27,Database!$B$1:$IX$10144,6,FALSE))))</f>
        <v>http://dx.doi.org/10.1016/S0006-3223(02)01474-9</v>
      </c>
      <c r="H27" s="83">
        <v>27</v>
      </c>
      <c r="I27" s="83">
        <v>27</v>
      </c>
      <c r="J27" t="s">
        <v>1125</v>
      </c>
      <c r="K27" t="s">
        <v>1161</v>
      </c>
      <c r="L27">
        <v>1780</v>
      </c>
      <c r="M27">
        <v>232</v>
      </c>
      <c r="N27">
        <v>1741</v>
      </c>
      <c r="O27">
        <v>292</v>
      </c>
      <c r="P27">
        <v>1762</v>
      </c>
      <c r="Q27">
        <v>251</v>
      </c>
      <c r="R27">
        <v>1815</v>
      </c>
      <c r="S27">
        <v>267</v>
      </c>
      <c r="Y27" s="22" t="str">
        <f>IF(OR($B27="",Y$22=""),"",IF(LEN(VLOOKUP($B27,Database!$B$1:$IX$10144,Y$22,FALSE))=0,"",VLOOKUP($B27,Database!$B$1:$IX$10144,Y$22,FALSE)))</f>
        <v>DSM-IV</v>
      </c>
      <c r="Z27" s="22" t="str">
        <f>IF(OR($B27="",Z$22=""),"",IF(LEN(VLOOKUP($B27,Database!$B$1:$IX$10144,Z$22,FALSE))=0,"",VLOOKUP($B27,Database!$B$1:$IX$10144,Z$22,FALSE)))</f>
        <v>MRI</v>
      </c>
      <c r="AA27" s="217" t="s">
        <v>2450</v>
      </c>
      <c r="AB27" s="83">
        <v>49.1</v>
      </c>
      <c r="AC27" s="83">
        <v>10.5</v>
      </c>
      <c r="AD27" s="83">
        <v>46.3</v>
      </c>
      <c r="AE27" s="83">
        <v>11.5</v>
      </c>
      <c r="AF27" s="83">
        <v>13</v>
      </c>
      <c r="AG27" s="83">
        <v>13</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83">
        <v>37.4</v>
      </c>
      <c r="AL27" s="83">
        <v>21.3</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12.280701754385964</v>
      </c>
      <c r="AQ27" s="211" t="str">
        <f>IF(OR($B27="",AQ$22=""),"",IF(LEN(VLOOKUP($B27,Database!$B$1:$IX$10144,AQ$22,FALSE))=0,"",VLOOKUP($B27,Database!$B$1:$IX$10144,AQ$22,FALSE)))</f>
        <v>Frodl T, Meisenzahl EM, Zetzsche T, Born C, Jager M, Groll C, Bottlender R, Leinsinger G, Moller HJ.</v>
      </c>
      <c r="AR27" s="13"/>
      <c r="AU27" s="13"/>
      <c r="AX27" s="13"/>
      <c r="AY27" s="13"/>
      <c r="AZ27" s="13"/>
      <c r="BA27" s="13"/>
      <c r="BC27" s="23"/>
      <c r="BF27" s="136"/>
      <c r="BG27" s="136"/>
      <c r="BH27" s="136"/>
      <c r="BI27" s="136"/>
    </row>
    <row r="28" spans="1:65">
      <c r="A28" t="s">
        <v>2337</v>
      </c>
      <c r="B28" s="13">
        <v>15598548</v>
      </c>
      <c r="C28" s="1" t="str">
        <f>IF($B28="","",HYPERLINK(IF(LEN(VLOOKUP($B28,Database!$B$1:$IX$10144,2,FALSE))=0,"",VLOOKUP($B28,Database!$B$1:$IX$10144,2,FALSE))))</f>
        <v/>
      </c>
      <c r="D28" s="1" t="str">
        <f t="shared" si="0"/>
        <v>http://www.ncbi.nlm.nih.gov/pubmed/15598548</v>
      </c>
      <c r="E28" s="22" t="str">
        <f>IF($B28="","",IF(LEN(VLOOKUP($B28,Database!$B$1:$IX$10144,4,FALSE))=0,"",VLOOKUP($B28,Database!$B$1:$IX$10144,4,FALSE)))</f>
        <v>Caetano SC</v>
      </c>
      <c r="F28" s="22">
        <f>IF($B28="","",IF(LEN(VLOOKUP($B28,Database!$B$1:$IX$10144,5,FALSE))=0,"",VLOOKUP($B28,Database!$B$1:$IX$10144,5,FALSE)))</f>
        <v>2004</v>
      </c>
      <c r="G28" s="1" t="str">
        <f>IF($B28="","",HYPERLINK(IF(LEN(VLOOKUP($B28,Database!$B$1:$IX$10144,6,FALSE))=0,"",VLOOKUP($B28,Database!$B$1:$IX$10144,6,FALSE))))</f>
        <v>http://dx.doi.org/10.1016/j.pscychresns.2004.08.002</v>
      </c>
      <c r="H28" s="22">
        <f>IF($B28="","",IF(LEN(VLOOKUP($B28,Database!$B$1:$IX$10144,7,FALSE))=0,"",VLOOKUP($B28,Database!$B$1:$IX$10144,7,FALSE)))</f>
        <v>31</v>
      </c>
      <c r="I28" s="22">
        <f>IF($B28="","",IF(LEN(VLOOKUP($B28,Database!$B$1:$IX$10144,8,FALSE))=0,"",VLOOKUP($B28,Database!$B$1:$IX$10144,8,FALSE)))</f>
        <v>31</v>
      </c>
      <c r="J28" t="s">
        <v>327</v>
      </c>
      <c r="L28">
        <v>1.85</v>
      </c>
      <c r="M28">
        <v>0.39</v>
      </c>
      <c r="N28">
        <v>2.02</v>
      </c>
      <c r="O28">
        <v>0.37</v>
      </c>
      <c r="P28">
        <v>2.02</v>
      </c>
      <c r="Q28">
        <v>0.47</v>
      </c>
      <c r="R28">
        <v>2.1800000000000002</v>
      </c>
      <c r="S28">
        <v>0.4</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39.200000000000003</v>
      </c>
      <c r="AC28" s="22">
        <f>IF(OR($B28="",AC$22=""),"",IF(LEN(VLOOKUP($B28,Database!$B$1:$IX$10144,AC$22,FALSE))=0,"",VLOOKUP($B28,Database!$B$1:$IX$10144,AC$22,FALSE)))</f>
        <v>11.9</v>
      </c>
      <c r="AD28" s="22">
        <f>IF(OR($B28="",AD$22=""),"",IF(LEN(VLOOKUP($B28,Database!$B$1:$IX$10144,AD$22,FALSE))=0,"",VLOOKUP($B28,Database!$B$1:$IX$10144,AD$22,FALSE)))</f>
        <v>36.700000000000003</v>
      </c>
      <c r="AE28" s="22">
        <f>IF(OR($B28="",AE$22=""),"",IF(LEN(VLOOKUP($B28,Database!$B$1:$IX$10144,AE$22,FALSE))=0,"",VLOOKUP($B28,Database!$B$1:$IX$10144,AE$22,FALSE)))</f>
        <v>10.7</v>
      </c>
      <c r="AF28" s="22">
        <f>IF(OR($B28="",AF$22=""),"",IF(LEN(VLOOKUP($B28,Database!$B$1:$IX$10144,AF$22,FALSE))=0,"",VLOOKUP($B28,Database!$B$1:$IX$10144,AF$22,FALSE)))</f>
        <v>24</v>
      </c>
      <c r="AG28" s="22">
        <f>IF(OR($B28="",AG$22=""),"",IF(LEN(VLOOKUP($B28,Database!$B$1:$IX$10144,AG$22,FALSE))=0,"",VLOOKUP($B28,Database!$B$1:$IX$10144,AG$22,FALSE)))</f>
        <v>24</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14">
        <v>27.9</v>
      </c>
      <c r="AL28" s="214">
        <v>11.8</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11" t="str">
        <f>IF(OR($B28="",AQ$22=""),"",IF(LEN(VLOOKUP($B28,Database!$B$1:$IX$10144,AQ$22,FALSE))=0,"",VLOOKUP($B28,Database!$B$1:$IX$10144,AQ$22,FALSE)))</f>
        <v>Caetano SC, Hatch JP, Brambilla P, Sassi RB, Nicoletti M, Mallinger AG, Frank E, Kupfer DJ, Keshavan MS, Soares JC.</v>
      </c>
      <c r="AR28" s="13"/>
      <c r="AX28" s="13"/>
      <c r="AY28" s="13"/>
      <c r="AZ28" s="13"/>
      <c r="BA28" s="13"/>
      <c r="BC28" s="23"/>
      <c r="BF28" s="136"/>
      <c r="BG28" s="136"/>
      <c r="BH28" s="136"/>
      <c r="BI28" s="136"/>
    </row>
    <row r="29" spans="1:65">
      <c r="B29" s="13">
        <v>14997169</v>
      </c>
      <c r="C29" s="1" t="str">
        <f>IF($B29="","",HYPERLINK(IF(LEN(VLOOKUP($B29,Database!$B$1:$IX$10144,2,FALSE))=0,"",VLOOKUP($B29,Database!$B$1:$IX$10144,2,FALSE))))</f>
        <v/>
      </c>
      <c r="D29" s="1" t="str">
        <f t="shared" si="0"/>
        <v>http://www.ncbi.nlm.nih.gov/pubmed/14997169</v>
      </c>
      <c r="E29" s="22" t="str">
        <f>IF($B29="","",IF(LEN(VLOOKUP($B29,Database!$B$1:$IX$10144,4,FALSE))=0,"",VLOOKUP($B29,Database!$B$1:$IX$10144,4,FALSE)))</f>
        <v>Hastings RS</v>
      </c>
      <c r="F29" s="22">
        <f>IF($B29="","",IF(LEN(VLOOKUP($B29,Database!$B$1:$IX$10144,5,FALSE))=0,"",VLOOKUP($B29,Database!$B$1:$IX$10144,5,FALSE)))</f>
        <v>2004</v>
      </c>
      <c r="G29" s="1" t="str">
        <f>IF($B29="","",HYPERLINK(IF(LEN(VLOOKUP($B29,Database!$B$1:$IX$10144,6,FALSE))=0,"",VLOOKUP($B29,Database!$B$1:$IX$10144,6,FALSE))))</f>
        <v>http://www.nature.com/npp/journal/v29/n5/pdf/1300371a.pdf</v>
      </c>
      <c r="H29" s="83">
        <v>10</v>
      </c>
      <c r="I29" s="83">
        <v>10</v>
      </c>
      <c r="K29" t="s">
        <v>1159</v>
      </c>
      <c r="L29">
        <v>1454</v>
      </c>
      <c r="M29">
        <v>307</v>
      </c>
      <c r="N29">
        <v>1718</v>
      </c>
      <c r="O29">
        <v>339</v>
      </c>
      <c r="P29">
        <v>1411</v>
      </c>
      <c r="Q29">
        <v>253</v>
      </c>
      <c r="R29">
        <v>1845</v>
      </c>
      <c r="S29">
        <v>225</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38.9</v>
      </c>
      <c r="AC29" s="22">
        <f>IF(OR($B29="",AC$22=""),"",IF(LEN(VLOOKUP($B29,Database!$B$1:$IX$10144,AC$22,FALSE))=0,"",VLOOKUP($B29,Database!$B$1:$IX$10144,AC$22,FALSE)))</f>
        <v>11.4</v>
      </c>
      <c r="AD29" s="22">
        <f>IF(OR($B29="",AD$22=""),"",IF(LEN(VLOOKUP($B29,Database!$B$1:$IX$10144,AD$22,FALSE))=0,"",VLOOKUP($B29,Database!$B$1:$IX$10144,AD$22,FALSE)))</f>
        <v>34.799999999999997</v>
      </c>
      <c r="AE29" s="22">
        <f>IF(OR($B29="",AE$22=""),"",IF(LEN(VLOOKUP($B29,Database!$B$1:$IX$10144,AE$22,FALSE))=0,"",VLOOKUP($B29,Database!$B$1:$IX$10144,AE$22,FALSE)))</f>
        <v>13.6</v>
      </c>
      <c r="AF29" s="22">
        <f>IF(OR($B29="",AF$22=""),"",IF(LEN(VLOOKUP($B29,Database!$B$1:$IX$10144,AF$22,FALSE))=0,"",VLOOKUP($B29,Database!$B$1:$IX$10144,AF$22,FALSE)))</f>
        <v>10</v>
      </c>
      <c r="AG29" s="22">
        <f>IF(OR($B29="",AG$22=""),"",IF(LEN(VLOOKUP($B29,Database!$B$1:$IX$10144,AG$22,FALSE))=0,"",VLOOKUP($B29,Database!$B$1:$IX$10144,AG$22,FALSE)))</f>
        <v>10</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23</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11" t="str">
        <f>IF(OR($B29="",AQ$22=""),"",IF(LEN(VLOOKUP($B29,Database!$B$1:$IX$10144,AQ$22,FALSE))=0,"",VLOOKUP($B29,Database!$B$1:$IX$10144,AQ$22,FALSE)))</f>
        <v>Hastings RS, Parsey RV, Oquendo MA, Arango V, Mann JJ.</v>
      </c>
      <c r="AR29" s="13"/>
      <c r="AX29" s="13"/>
      <c r="AY29" s="13"/>
      <c r="AZ29" s="13"/>
      <c r="BA29" s="13"/>
      <c r="BC29" s="23"/>
      <c r="BF29" s="136"/>
      <c r="BG29" s="136"/>
      <c r="BH29" s="136"/>
      <c r="BI29" s="136"/>
    </row>
    <row r="30" spans="1:65">
      <c r="B30" s="13">
        <v>15554576</v>
      </c>
      <c r="C30" s="1" t="str">
        <f>IF($B30="","",HYPERLINK(IF(LEN(VLOOKUP($B30,Database!$B$1:$IX$10144,2,FALSE))=0,"",VLOOKUP($B30,Database!$B$1:$IX$10144,2,FALSE))))</f>
        <v/>
      </c>
      <c r="D30" s="1" t="str">
        <f>IF($B30="","",HYPERLINK(CONCATENATE("http://www.ncbi.nlm.nih.gov/pubmed/",B30)))</f>
        <v>http://www.ncbi.nlm.nih.gov/pubmed/15554576</v>
      </c>
      <c r="E30" s="22" t="str">
        <f>IF($B30="","",IF(LEN(VLOOKUP($B30,Database!$B$1:$IX$10144,4,FALSE))=0,"",VLOOKUP($B30,Database!$B$1:$IX$10144,4,FALSE)))</f>
        <v>Lange C</v>
      </c>
      <c r="F30" s="22">
        <f>IF($B30="","",IF(LEN(VLOOKUP($B30,Database!$B$1:$IX$10144,5,FALSE))=0,"",VLOOKUP($B30,Database!$B$1:$IX$10144,5,FALSE)))</f>
        <v>2004</v>
      </c>
      <c r="G30" s="1" t="str">
        <f>IF($B30="","",HYPERLINK(IF(LEN(VLOOKUP($B30,Database!$B$1:$IX$10144,6,FALSE))=0,"",VLOOKUP($B30,Database!$B$1:$IX$10144,6,FALSE))))</f>
        <v>http://dx.doi.org/10.1017/S0033291703001806</v>
      </c>
      <c r="H30" s="22">
        <f>IF($B30="","",IF(LEN(VLOOKUP($B30,Database!$B$1:$IX$10144,7,FALSE))=0,"",VLOOKUP($B30,Database!$B$1:$IX$10144,7,FALSE)))</f>
        <v>17</v>
      </c>
      <c r="I30" s="22">
        <f>IF($B30="","",IF(LEN(VLOOKUP($B30,Database!$B$1:$IX$10144,8,FALSE))=0,"",VLOOKUP($B30,Database!$B$1:$IX$10144,8,FALSE)))</f>
        <v>17</v>
      </c>
      <c r="J30" t="s">
        <v>1651</v>
      </c>
      <c r="L30">
        <v>1.29</v>
      </c>
      <c r="M30">
        <v>0.26</v>
      </c>
      <c r="N30">
        <v>1.1200000000000001</v>
      </c>
      <c r="O30">
        <v>0.17</v>
      </c>
      <c r="P30">
        <v>1.26</v>
      </c>
      <c r="Q30">
        <v>0.26</v>
      </c>
      <c r="R30">
        <v>1.1399999999999999</v>
      </c>
      <c r="S30">
        <v>0.2</v>
      </c>
      <c r="T30">
        <v>2.5499999999999998</v>
      </c>
      <c r="U30">
        <v>0.49</v>
      </c>
      <c r="V30">
        <v>2.2599999999999998</v>
      </c>
      <c r="W30">
        <v>0.33</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34</v>
      </c>
      <c r="AC30" s="22">
        <f>IF(OR($B30="",AC$22=""),"",IF(LEN(VLOOKUP($B30,Database!$B$1:$IX$10144,AC$22,FALSE))=0,"",VLOOKUP($B30,Database!$B$1:$IX$10144,AC$22,FALSE)))</f>
        <v>10</v>
      </c>
      <c r="AD30" s="22">
        <f>IF(OR($B30="",AD$22=""),"",IF(LEN(VLOOKUP($B30,Database!$B$1:$IX$10144,AD$22,FALSE))=0,"",VLOOKUP($B30,Database!$B$1:$IX$10144,AD$22,FALSE)))</f>
        <v>32</v>
      </c>
      <c r="AE30" s="22">
        <f>IF(OR($B30="",AE$22=""),"",IF(LEN(VLOOKUP($B30,Database!$B$1:$IX$10144,AE$22,FALSE))=0,"",VLOOKUP($B30,Database!$B$1:$IX$10144,AE$22,FALSE)))</f>
        <v>6</v>
      </c>
      <c r="AF30" s="22">
        <f>IF(OR($B30="",AF$22=""),"",IF(LEN(VLOOKUP($B30,Database!$B$1:$IX$10144,AF$22,FALSE))=0,"",VLOOKUP($B30,Database!$B$1:$IX$10144,AF$22,FALSE)))</f>
        <v>17</v>
      </c>
      <c r="AG30" s="22">
        <f>IF(OR($B30="",AG$22=""),"",IF(LEN(VLOOKUP($B30,Database!$B$1:$IX$10144,AG$22,FALSE))=0,"",VLOOKUP($B30,Database!$B$1:$IX$10144,AG$22,FALSE)))</f>
        <v>17</v>
      </c>
      <c r="AH30" s="22">
        <f>IF(OR($B30="",AH$22=""),"",IF(LEN(VLOOKUP($B30,Database!$B$1:$IX$10144,AH$22,FALSE))=0,"",VLOOKUP($B30,Database!$B$1:$IX$10144,AH$22,FALSE)))</f>
        <v>1.5</v>
      </c>
      <c r="AI30" s="22">
        <f>IF(OR($B30="",AI$22=""),"",IF(LEN(VLOOKUP($B30,Database!$B$1:$IX$10144,AI$22,FALSE))=0,"",VLOOKUP($B30,Database!$B$1:$IX$10144,AI$22,FALSE)))</f>
        <v>1.3</v>
      </c>
      <c r="AJ30" s="22" t="str">
        <f>IF(OR($B30="",AJ$22=""),"",IF(LEN(VLOOKUP($B30,Database!$B$1:$IX$10144,AJ$22,FALSE))=0,"",VLOOKUP($B30,Database!$B$1:$IX$10144,AJ$22,FALSE)))</f>
        <v/>
      </c>
      <c r="AK30" s="22">
        <f>IF(OR($B30="",AK$22=""),"",IF(LEN(VLOOKUP($B30,Database!$B$1:$IX$10144,AK$22,FALSE))=0,"",VLOOKUP($B30,Database!$B$1:$IX$10144,AK$22,FALSE)))</f>
        <v>29</v>
      </c>
      <c r="AL30" s="22">
        <f>IF(OR($B30="",AL$22=""),"",IF(LEN(VLOOKUP($B30,Database!$B$1:$IX$10144,AL$22,FALSE))=0,"",VLOOKUP($B30,Database!$B$1:$IX$10144,AL$22,FALSE)))</f>
        <v>22</v>
      </c>
      <c r="AM30" s="22">
        <f>IF(OR($B30="",AM$22=""),"",IF(LEN(VLOOKUP($B30,Database!$B$1:$IX$10144,AM$22,FALSE))=0,"",VLOOKUP($B30,Database!$B$1:$IX$10144,AM$22,FALSE)))</f>
        <v>100</v>
      </c>
      <c r="AN30" s="22" t="str">
        <f>IF(OR($B30="",AN$22=""),"",IF(LEN(VLOOKUP($B30,Database!$B$1:$IX$10144,AN$22,FALSE))=0,"",VLOOKUP($B30,Database!$B$1:$IX$10144,AN$22,FALSE)))</f>
        <v>ns</v>
      </c>
      <c r="AO30" s="22" t="str">
        <f>IF(OR($B30="",AO$22=""),"",IF(LEN(VLOOKUP($B30,Database!$B$1:$IX$10144,AO$22,FALSE))=0,"",VLOOKUP($B30,Database!$B$1:$IX$10144,AO$22,FALSE)))</f>
        <v>ns</v>
      </c>
      <c r="AP30" s="22">
        <f>IF(OR($B30="",AP$22=""),"",IF(LEN(VLOOKUP($B30,Database!$B$1:$IX$10144,AP$22,FALSE))=0,"",VLOOKUP($B30,Database!$B$1:$IX$10144,AP$22,FALSE)))</f>
        <v>0</v>
      </c>
      <c r="AQ30" s="211" t="str">
        <f>IF(OR($B30="",AQ$22=""),"",IF(LEN(VLOOKUP($B30,Database!$B$1:$IX$10144,AQ$22,FALSE))=0,"",VLOOKUP($B30,Database!$B$1:$IX$10144,AQ$22,FALSE)))</f>
        <v>Lange, Irle</v>
      </c>
      <c r="AR30" s="13"/>
      <c r="AX30" s="13"/>
      <c r="AY30" s="13"/>
      <c r="AZ30" s="13"/>
      <c r="BA30" s="13"/>
      <c r="BC30" s="23"/>
      <c r="BF30" s="136"/>
      <c r="BG30" s="136"/>
      <c r="BH30" s="136"/>
      <c r="BI30" s="136"/>
    </row>
    <row r="31" spans="1:65">
      <c r="B31" s="13">
        <v>15641704</v>
      </c>
      <c r="C31" s="1" t="str">
        <f>IF($B31="","",HYPERLINK(IF(LEN(VLOOKUP($B31,Database!$B$1:$IX$10144,2,FALSE))=0,"",VLOOKUP($B31,Database!$B$1:$IX$10144,2,FALSE))))</f>
        <v/>
      </c>
      <c r="D31" s="1" t="str">
        <f>IF($B31="","",HYPERLINK(CONCATENATE("http://www.ncbi.nlm.nih.gov/pubmed/",B31)))</f>
        <v>http://www.ncbi.nlm.nih.gov/pubmed/15641704</v>
      </c>
      <c r="E31" s="22" t="str">
        <f>IF($B31="","",IF(LEN(VLOOKUP($B31,Database!$B$1:$IX$10144,4,FALSE))=0,"",VLOOKUP($B31,Database!$B$1:$IX$10144,4,FALSE)))</f>
        <v>Xia J</v>
      </c>
      <c r="F31" s="22">
        <f>IF($B31="","",IF(LEN(VLOOKUP($B31,Database!$B$1:$IX$10144,5,FALSE))=0,"",VLOOKUP($B31,Database!$B$1:$IX$10144,5,FALSE)))</f>
        <v>2004</v>
      </c>
      <c r="G31" s="1" t="str">
        <f>IF($B31="","",HYPERLINK(IF(LEN(VLOOKUP($B31,Database!$B$1:$IX$10144,6,FALSE))=0,"",VLOOKUP($B31,Database!$B$1:$IX$10144,6,FALSE))))</f>
        <v>Not available on internet</v>
      </c>
      <c r="H31" s="22">
        <f>IF($B31="","",IF(LEN(VLOOKUP($B31,Database!$B$1:$IX$10144,7,FALSE))=0,"",VLOOKUP($B31,Database!$B$1:$IX$10144,7,FALSE)))</f>
        <v>22</v>
      </c>
      <c r="I31" s="22">
        <f>IF($B31="","",IF(LEN(VLOOKUP($B31,Database!$B$1:$IX$10144,8,FALSE))=0,"",VLOOKUP($B31,Database!$B$1:$IX$10144,8,FALSE)))</f>
        <v>13</v>
      </c>
      <c r="J31" t="s">
        <v>571</v>
      </c>
      <c r="L31">
        <v>2349.91</v>
      </c>
      <c r="M31">
        <v>125.11</v>
      </c>
      <c r="N31">
        <v>2323.69</v>
      </c>
      <c r="O31">
        <v>37.06</v>
      </c>
      <c r="P31">
        <v>2127.3200000000002</v>
      </c>
      <c r="Q31">
        <v>135.97999999999999</v>
      </c>
      <c r="R31">
        <v>2305.54</v>
      </c>
      <c r="S31">
        <v>52.26</v>
      </c>
      <c r="Y31" s="22" t="str">
        <f>IF(OR($B31="",Y$22=""),"",IF(LEN(VLOOKUP($B31,Database!$B$1:$IX$10144,Y$22,FALSE))=0,"",VLOOKUP($B31,Database!$B$1:$IX$10144,Y$22,FALSE)))</f>
        <v>CCMD-3-R</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39.5</v>
      </c>
      <c r="AC31" s="22">
        <f>IF(OR($B31="",AC$22=""),"",IF(LEN(VLOOKUP($B31,Database!$B$1:$IX$10144,AC$22,FALSE))=0,"",VLOOKUP($B31,Database!$B$1:$IX$10144,AC$22,FALSE)))</f>
        <v>12.05</v>
      </c>
      <c r="AD31" s="22">
        <f>IF(OR($B31="",AD$22=""),"",IF(LEN(VLOOKUP($B31,Database!$B$1:$IX$10144,AD$22,FALSE))=0,"",VLOOKUP($B31,Database!$B$1:$IX$10144,AD$22,FALSE)))</f>
        <v>35.43</v>
      </c>
      <c r="AE31" s="22">
        <f>IF(OR($B31="",AE$22=""),"",IF(LEN(VLOOKUP($B31,Database!$B$1:$IX$10144,AE$22,FALSE))=0,"",VLOOKUP($B31,Database!$B$1:$IX$10144,AE$22,FALSE)))</f>
        <v>8.86</v>
      </c>
      <c r="AF31" s="22">
        <f>IF(OR($B31="",AF$22=""),"",IF(LEN(VLOOKUP($B31,Database!$B$1:$IX$10144,AF$22,FALSE))=0,"",VLOOKUP($B31,Database!$B$1:$IX$10144,AF$22,FALSE)))</f>
        <v>10</v>
      </c>
      <c r="AG31" s="22">
        <f>IF(OR($B31="",AG$22=""),"",IF(LEN(VLOOKUP($B31,Database!$B$1:$IX$10144,AG$22,FALSE))=0,"",VLOOKUP($B31,Database!$B$1:$IX$10144,AG$22,FALSE)))</f>
        <v>8</v>
      </c>
      <c r="AH31" s="22">
        <f>IF(OR($B31="",AH$22=""),"",IF(LEN(VLOOKUP($B31,Database!$B$1:$IX$10144,AH$22,FALSE))=0,"",VLOOKUP($B31,Database!$B$1:$IX$10144,AH$22,FALSE)))</f>
        <v>1.5</v>
      </c>
      <c r="AI31" s="22">
        <f>IF(OR($B31="",AI$22=""),"",IF(LEN(VLOOKUP($B31,Database!$B$1:$IX$10144,AI$22,FALSE))=0,"",VLOOKUP($B31,Database!$B$1:$IX$10144,AI$22,FALSE)))</f>
        <v>1.2</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21.45</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11" t="str">
        <f>IF(OR($B31="",AQ$22=""),"",IF(LEN(VLOOKUP($B31,Database!$B$1:$IX$10144,AQ$22,FALSE))=0,"",VLOOKUP($B31,Database!$B$1:$IX$10144,AQ$22,FALSE)))</f>
        <v>Xia J, Chen J, Zhou Y, Zhang J, Yang B, Xia L, Wang C.</v>
      </c>
      <c r="AR31" s="13"/>
      <c r="AX31" s="13"/>
      <c r="AY31" s="13"/>
      <c r="AZ31" s="13"/>
      <c r="BA31" s="13"/>
      <c r="BC31" s="23"/>
      <c r="BF31" s="136"/>
      <c r="BG31" s="136"/>
      <c r="BH31" s="136"/>
      <c r="BI31" s="136"/>
    </row>
    <row r="32" spans="1:65">
      <c r="B32" s="13">
        <v>15607296</v>
      </c>
      <c r="C32" s="1" t="str">
        <f>IF($B32="","",HYPERLINK(IF(LEN(VLOOKUP($B32,Database!$B$1:$IX$10144,2,FALSE))=0,"",VLOOKUP($B32,Database!$B$1:$IX$10144,2,FALSE))))</f>
        <v/>
      </c>
      <c r="D32" s="1" t="str">
        <f t="shared" si="0"/>
        <v>http://www.ncbi.nlm.nih.gov/pubmed/15607296</v>
      </c>
      <c r="E32" s="22" t="str">
        <f>IF($B32="","",IF(LEN(VLOOKUP($B32,Database!$B$1:$IX$10144,4,FALSE))=0,"",VLOOKUP($B32,Database!$B$1:$IX$10144,4,FALSE)))</f>
        <v>Rosso IM</v>
      </c>
      <c r="F32" s="22">
        <f>IF($B32="","",IF(LEN(VLOOKUP($B32,Database!$B$1:$IX$10144,5,FALSE))=0,"",VLOOKUP($B32,Database!$B$1:$IX$10144,5,FALSE)))</f>
        <v>2005</v>
      </c>
      <c r="G32" s="1" t="str">
        <f>IF($B32="","",HYPERLINK(IF(LEN(VLOOKUP($B32,Database!$B$1:$IX$10144,6,FALSE))=0,"",VLOOKUP($B32,Database!$B$1:$IX$10144,6,FALSE))))</f>
        <v>http://dx.doi.org/10.1016/j.biopsych.2004.10.027</v>
      </c>
      <c r="H32" s="22">
        <f>IF($B32="","",IF(LEN(VLOOKUP($B32,Database!$B$1:$IX$10144,7,FALSE))=0,"",VLOOKUP($B32,Database!$B$1:$IX$10144,7,FALSE)))</f>
        <v>20</v>
      </c>
      <c r="I32" s="22">
        <f>IF($B32="","",IF(LEN(VLOOKUP($B32,Database!$B$1:$IX$10144,8,FALSE))=0,"",VLOOKUP($B32,Database!$B$1:$IX$10144,8,FALSE)))</f>
        <v>24</v>
      </c>
      <c r="J32" t="s">
        <v>328</v>
      </c>
      <c r="L32">
        <v>2.2599999999999998</v>
      </c>
      <c r="M32">
        <v>0.35799999999999998</v>
      </c>
      <c r="N32">
        <v>2.52</v>
      </c>
      <c r="O32">
        <v>0.34300000000000003</v>
      </c>
      <c r="P32">
        <v>2.36</v>
      </c>
      <c r="Q32">
        <v>0.40200000000000002</v>
      </c>
      <c r="R32">
        <v>2.74</v>
      </c>
      <c r="S32">
        <v>0.39200000000000002</v>
      </c>
      <c r="T32">
        <v>4.62</v>
      </c>
      <c r="U32">
        <v>0.76</v>
      </c>
      <c r="V32">
        <v>5.26</v>
      </c>
      <c r="W32">
        <v>0.73499999999999999</v>
      </c>
      <c r="X32" s="151"/>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15.35</v>
      </c>
      <c r="AC32" s="22">
        <f>IF(OR($B32="",AC$22=""),"",IF(LEN(VLOOKUP($B32,Database!$B$1:$IX$10144,AC$22,FALSE))=0,"",VLOOKUP($B32,Database!$B$1:$IX$10144,AC$22,FALSE)))</f>
        <v>1.5209999999999999</v>
      </c>
      <c r="AD32" s="22">
        <f>IF(OR($B32="",AD$22=""),"",IF(LEN(VLOOKUP($B32,Database!$B$1:$IX$10144,AD$22,FALSE))=0,"",VLOOKUP($B32,Database!$B$1:$IX$10144,AD$22,FALSE)))</f>
        <v>14.08</v>
      </c>
      <c r="AE32" s="22">
        <f>IF(OR($B32="",AE$22=""),"",IF(LEN(VLOOKUP($B32,Database!$B$1:$IX$10144,AE$22,FALSE))=0,"",VLOOKUP($B32,Database!$B$1:$IX$10144,AE$22,FALSE)))</f>
        <v>1.5189999999999999</v>
      </c>
      <c r="AF32" s="22">
        <f>IF(OR($B32="",AF$22=""),"",IF(LEN(VLOOKUP($B32,Database!$B$1:$IX$10144,AF$22,FALSE))=0,"",VLOOKUP($B32,Database!$B$1:$IX$10144,AF$22,FALSE)))</f>
        <v>17</v>
      </c>
      <c r="AG32" s="22">
        <f>IF(OR($B32="",AG$22=""),"",IF(LEN(VLOOKUP($B32,Database!$B$1:$IX$10144,AG$22,FALSE))=0,"",VLOOKUP($B32,Database!$B$1:$IX$10144,AG$22,FALSE)))</f>
        <v>16</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12.8</v>
      </c>
      <c r="AL32" s="22">
        <f>IF(OR($B32="",AL$22=""),"",IF(LEN(VLOOKUP($B32,Database!$B$1:$IX$10144,AL$22,FALSE))=0,"",VLOOKUP($B32,Database!$B$1:$IX$10144,AL$22,FALSE)))</f>
        <v>16.55</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11" t="str">
        <f>IF(OR($B32="",AQ$22=""),"",IF(LEN(VLOOKUP($B32,Database!$B$1:$IX$10144,AQ$22,FALSE))=0,"",VLOOKUP($B32,Database!$B$1:$IX$10144,AQ$22,FALSE)))</f>
        <v>Rosso IM, Cintron CM, Steingard RJ, Renshaw PF, Young AD, Yurgelun-Todd DA.</v>
      </c>
      <c r="AR32" s="13"/>
      <c r="AX32" s="13"/>
      <c r="AY32" s="13"/>
      <c r="AZ32" s="13"/>
      <c r="BA32" s="13"/>
      <c r="BC32" s="23"/>
      <c r="BF32" s="136"/>
      <c r="BG32" s="136"/>
      <c r="BH32" s="136"/>
      <c r="BI32" s="136"/>
    </row>
    <row r="33" spans="2:61">
      <c r="B33">
        <v>16740316</v>
      </c>
      <c r="C33" s="1" t="str">
        <f>IF($B33="","",HYPERLINK(IF(LEN(VLOOKUP($B33,Database!$B$1:$IX$10144,2,FALSE))=0,"",VLOOKUP($B33,Database!$B$1:$IX$10144,2,FALSE))))</f>
        <v/>
      </c>
      <c r="D33" s="1" t="str">
        <f t="shared" si="0"/>
        <v>http://www.ncbi.nlm.nih.gov/pubmed/16740316</v>
      </c>
      <c r="E33" s="22" t="str">
        <f>IF($B33="","",IF(LEN(VLOOKUP($B33,Database!$B$1:$IX$10144,4,FALSE))=0,"",VLOOKUP($B33,Database!$B$1:$IX$10144,4,FALSE)))</f>
        <v>Weniger G</v>
      </c>
      <c r="F33" s="22">
        <f>IF($B33="","",IF(LEN(VLOOKUP($B33,Database!$B$1:$IX$10144,5,FALSE))=0,"",VLOOKUP($B33,Database!$B$1:$IX$10144,5,FALSE)))</f>
        <v>2006</v>
      </c>
      <c r="G33" s="1" t="str">
        <f>IF($B33="","",HYPERLINK(IF(LEN(VLOOKUP($B33,Database!$B$1:$IX$10144,6,FALSE))=0,"",VLOOKUP($B33,Database!$B$1:$IX$10144,6,FALSE))))</f>
        <v>http://dx.doi.org/10.1016/j.jad.2006.04.017</v>
      </c>
      <c r="H33" s="22">
        <f>IF($B33="","",IF(LEN(VLOOKUP($B33,Database!$B$1:$IX$10144,7,FALSE))=0,"",VLOOKUP($B33,Database!$B$1:$IX$10144,7,FALSE)))</f>
        <v>21</v>
      </c>
      <c r="I33" s="22">
        <f>IF($B33="","",IF(LEN(VLOOKUP($B33,Database!$B$1:$IX$10144,8,FALSE))=0,"",VLOOKUP($B33,Database!$B$1:$IX$10144,8,FALSE)))</f>
        <v>23</v>
      </c>
      <c r="J33" t="s">
        <v>1651</v>
      </c>
      <c r="L33">
        <v>1.3</v>
      </c>
      <c r="M33">
        <v>0.3</v>
      </c>
      <c r="N33">
        <v>1.1000000000000001</v>
      </c>
      <c r="O33">
        <v>0.2</v>
      </c>
      <c r="P33">
        <v>1.3</v>
      </c>
      <c r="Q33">
        <v>0.3</v>
      </c>
      <c r="R33">
        <v>1.2</v>
      </c>
      <c r="S33">
        <v>0.2</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34</v>
      </c>
      <c r="AC33" s="22">
        <f>IF(OR($B33="",AC$22=""),"",IF(LEN(VLOOKUP($B33,Database!$B$1:$IX$10144,AC$22,FALSE))=0,"",VLOOKUP($B33,Database!$B$1:$IX$10144,AC$22,FALSE)))</f>
        <v>9</v>
      </c>
      <c r="AD33" s="22">
        <f>IF(OR($B33="",AD$22=""),"",IF(LEN(VLOOKUP($B33,Database!$B$1:$IX$10144,AD$22,FALSE))=0,"",VLOOKUP($B33,Database!$B$1:$IX$10144,AD$22,FALSE)))</f>
        <v>32</v>
      </c>
      <c r="AE33" s="22">
        <f>IF(OR($B33="",AE$22=""),"",IF(LEN(VLOOKUP($B33,Database!$B$1:$IX$10144,AE$22,FALSE))=0,"",VLOOKUP($B33,Database!$B$1:$IX$10144,AE$22,FALSE)))</f>
        <v>7</v>
      </c>
      <c r="AF33" s="22">
        <f>IF(OR($B33="",AF$22=""),"",IF(LEN(VLOOKUP($B33,Database!$B$1:$IX$10144,AF$22,FALSE))=0,"",VLOOKUP($B33,Database!$B$1:$IX$10144,AF$22,FALSE)))</f>
        <v>21</v>
      </c>
      <c r="AG33" s="22">
        <f>IF(OR($B33="",AG$22=""),"",IF(LEN(VLOOKUP($B33,Database!$B$1:$IX$10144,AG$22,FALSE))=0,"",VLOOKUP($B33,Database!$B$1:$IX$10144,AG$22,FALSE)))</f>
        <v>23</v>
      </c>
      <c r="AH33" s="22">
        <f>IF(OR($B33="",AH$22=""),"",IF(LEN(VLOOKUP($B33,Database!$B$1:$IX$10144,AH$22,FALSE))=0,"",VLOOKUP($B33,Database!$B$1:$IX$10144,AH$22,FALSE)))</f>
        <v>1.5</v>
      </c>
      <c r="AI33" s="22">
        <f>IF(OR($B33="",AI$22=""),"",IF(LEN(VLOOKUP($B33,Database!$B$1:$IX$10144,AI$22,FALSE))=0,"",VLOOKUP($B33,Database!$B$1:$IX$10144,AI$22,FALSE)))</f>
        <v>1.3</v>
      </c>
      <c r="AJ33" s="22" t="str">
        <f>IF(OR($B33="",AJ$22=""),"",IF(LEN(VLOOKUP($B33,Database!$B$1:$IX$10144,AJ$22,FALSE))=0,"",VLOOKUP($B33,Database!$B$1:$IX$10144,AJ$22,FALSE)))</f>
        <v/>
      </c>
      <c r="AK33" s="22">
        <f>IF(OR($B33="",AK$22=""),"",IF(LEN(VLOOKUP($B33,Database!$B$1:$IX$10144,AK$22,FALSE))=0,"",VLOOKUP($B33,Database!$B$1:$IX$10144,AK$22,FALSE)))</f>
        <v>28</v>
      </c>
      <c r="AL33" s="22">
        <f>IF(OR($B33="",AL$22=""),"",IF(LEN(VLOOKUP($B33,Database!$B$1:$IX$10144,AL$22,FALSE))=0,"",VLOOKUP($B33,Database!$B$1:$IX$10144,AL$22,FALSE)))</f>
        <v>23</v>
      </c>
      <c r="AM33" s="22">
        <f>IF(OR($B33="",AM$22=""),"",IF(LEN(VLOOKUP($B33,Database!$B$1:$IX$10144,AM$22,FALSE))=0,"",VLOOKUP($B33,Database!$B$1:$IX$10144,AM$22,FALSE)))</f>
        <v>100</v>
      </c>
      <c r="AN33" s="22" t="str">
        <f>IF(OR($B33="",AN$22=""),"",IF(LEN(VLOOKUP($B33,Database!$B$1:$IX$10144,AN$22,FALSE))=0,"",VLOOKUP($B33,Database!$B$1:$IX$10144,AN$22,FALSE)))</f>
        <v>ns</v>
      </c>
      <c r="AO33" s="22" t="str">
        <f>IF(OR($B33="",AO$22=""),"",IF(LEN(VLOOKUP($B33,Database!$B$1:$IX$10144,AO$22,FALSE))=0,"",VLOOKUP($B33,Database!$B$1:$IX$10144,AO$22,FALSE)))</f>
        <v>ns</v>
      </c>
      <c r="AP33" s="22">
        <f>IF(OR($B33="",AP$22=""),"",IF(LEN(VLOOKUP($B33,Database!$B$1:$IX$10144,AP$22,FALSE))=0,"",VLOOKUP($B33,Database!$B$1:$IX$10144,AP$22,FALSE)))</f>
        <v>0</v>
      </c>
      <c r="AQ33" s="211" t="str">
        <f>IF(OR($B33="",AQ$22=""),"",IF(LEN(VLOOKUP($B33,Database!$B$1:$IX$10144,AQ$22,FALSE))=0,"",VLOOKUP($B33,Database!$B$1:$IX$10144,AQ$22,FALSE)))</f>
        <v>Weniger G, Lange C, Irle E.</v>
      </c>
      <c r="AR33" s="13"/>
      <c r="AX33" s="13"/>
      <c r="AY33" s="13"/>
      <c r="AZ33" s="13"/>
      <c r="BA33" s="13"/>
      <c r="BC33" s="23"/>
      <c r="BF33" s="136"/>
      <c r="BG33" s="136"/>
      <c r="BH33" s="136"/>
      <c r="BI33" s="136"/>
    </row>
    <row r="34" spans="2:61">
      <c r="B34">
        <v>16461856</v>
      </c>
      <c r="C34" s="1" t="str">
        <f>IF($B34="","",HYPERLINK(IF(LEN(VLOOKUP($B34,Database!$B$1:$IX$10144,2,FALSE))=0,"",VLOOKUP($B34,Database!$B$1:$IX$10144,2,FALSE))))</f>
        <v/>
      </c>
      <c r="D34" s="1" t="str">
        <f>IF($B34="","",HYPERLINK(CONCATENATE("http://www.ncbi.nlm.nih.gov/pubmed/",B34)))</f>
        <v>http://www.ncbi.nlm.nih.gov/pubmed/16461856</v>
      </c>
      <c r="E34" s="22" t="str">
        <f>IF($B34="","",IF(LEN(VLOOKUP($B34,Database!$B$1:$IX$10144,4,FALSE))=0,"",VLOOKUP($B34,Database!$B$1:$IX$10144,4,FALSE)))</f>
        <v>Velakoulis D</v>
      </c>
      <c r="F34" s="22">
        <f>IF($B34="","",IF(LEN(VLOOKUP($B34,Database!$B$1:$IX$10144,5,FALSE))=0,"",VLOOKUP($B34,Database!$B$1:$IX$10144,5,FALSE)))</f>
        <v>2006</v>
      </c>
      <c r="G34" s="1" t="str">
        <f>IF($B34="","",HYPERLINK(IF(LEN(VLOOKUP($B34,Database!$B$1:$IX$10144,6,FALSE))=0,"",VLOOKUP($B34,Database!$B$1:$IX$10144,6,FALSE))))</f>
        <v>http://archpsyc.ama-assn.org/cgi/content/full/63/2/139</v>
      </c>
      <c r="H34" s="22">
        <f>IF($B34="","",IF(LEN(VLOOKUP($B34,Database!$B$1:$IX$10144,7,FALSE))=0,"",VLOOKUP($B34,Database!$B$1:$IX$10144,7,FALSE)))</f>
        <v>12</v>
      </c>
      <c r="I34" s="22">
        <f>IF($B34="","",IF(LEN(VLOOKUP($B34,Database!$B$1:$IX$10144,8,FALSE))=0,"",VLOOKUP($B34,Database!$B$1:$IX$10144,8,FALSE)))</f>
        <v>87</v>
      </c>
      <c r="J34" t="s">
        <v>571</v>
      </c>
      <c r="L34">
        <v>1751</v>
      </c>
      <c r="M34">
        <v>396</v>
      </c>
      <c r="N34">
        <v>1500</v>
      </c>
      <c r="O34">
        <v>256</v>
      </c>
      <c r="P34">
        <v>1757</v>
      </c>
      <c r="Q34">
        <v>227</v>
      </c>
      <c r="R34">
        <v>1510</v>
      </c>
      <c r="S34">
        <v>230</v>
      </c>
      <c r="Y34" s="22" t="str">
        <f>IF(OR($B34="",Y$22=""),"",IF(LEN(VLOOKUP($B34,Database!$B$1:$IX$10144,Y$22,FALSE))=0,"",VLOOKUP($B34,Database!$B$1:$IX$10144,Y$22,FALSE)))</f>
        <v>DSM-III-R</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22.6</v>
      </c>
      <c r="AC34" s="22">
        <f>IF(OR($B34="",AC$22=""),"",IF(LEN(VLOOKUP($B34,Database!$B$1:$IX$10144,AC$22,FALSE))=0,"",VLOOKUP($B34,Database!$B$1:$IX$10144,AC$22,FALSE)))</f>
        <v>4.0999999999999996</v>
      </c>
      <c r="AD34" s="22">
        <f>IF(OR($B34="",AD$22=""),"",IF(LEN(VLOOKUP($B34,Database!$B$1:$IX$10144,AD$22,FALSE))=0,"",VLOOKUP($B34,Database!$B$1:$IX$10144,AD$22,FALSE)))</f>
        <v>26.9</v>
      </c>
      <c r="AE34" s="22">
        <f>IF(OR($B34="",AE$22=""),"",IF(LEN(VLOOKUP($B34,Database!$B$1:$IX$10144,AE$22,FALSE))=0,"",VLOOKUP($B34,Database!$B$1:$IX$10144,AE$22,FALSE)))</f>
        <v>10</v>
      </c>
      <c r="AF34" s="22">
        <f>IF(OR($B34="",AF$22=""),"",IF(LEN(VLOOKUP($B34,Database!$B$1:$IX$10144,AF$22,FALSE))=0,"",VLOOKUP($B34,Database!$B$1:$IX$10144,AF$22,FALSE)))</f>
        <v>5</v>
      </c>
      <c r="AG34" s="22">
        <f>IF(OR($B34="",AG$22=""),"",IF(LEN(VLOOKUP($B34,Database!$B$1:$IX$10144,AG$22,FALSE))=0,"",VLOOKUP($B34,Database!$B$1:$IX$10144,AG$22,FALSE)))</f>
        <v>32</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21.5</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11" t="str">
        <f>IF(OR($B34="",AQ$22=""),"",IF(LEN(VLOOKUP($B34,Database!$B$1:$IX$10144,AQ$22,FALSE))=0,"",VLOOKUP($B34,Database!$B$1:$IX$10144,AQ$22,FALSE)))</f>
        <v>Velakoulis D, Wood SJ, Wong MT, McGorry PD, Yung A, Phillips L, Smith D, Brewer W, Proffitt T, Desmond P, Pantelis C.</v>
      </c>
      <c r="AR34" s="13"/>
      <c r="AX34" s="13"/>
      <c r="AY34" s="13"/>
      <c r="AZ34" s="13"/>
      <c r="BA34" s="13"/>
      <c r="BC34" s="23"/>
      <c r="BF34" s="136"/>
      <c r="BG34" s="136"/>
      <c r="BH34" s="136"/>
      <c r="BI34" s="136"/>
    </row>
    <row r="35" spans="2:61">
      <c r="B35">
        <v>17949901</v>
      </c>
      <c r="C35" s="1" t="str">
        <f>IF($B35="","",HYPERLINK(IF(LEN(VLOOKUP($B35,Database!$B$1:$IX$10144,2,FALSE))=0,"",VLOOKUP($B35,Database!$B$1:$IX$10144,2,FALSE))))</f>
        <v/>
      </c>
      <c r="D35" s="1" t="str">
        <f t="shared" si="0"/>
        <v>http://www.ncbi.nlm.nih.gov/pubmed/17949901</v>
      </c>
      <c r="E35" s="22" t="str">
        <f>IF($B35="","",IF(LEN(VLOOKUP($B35,Database!$B$1:$IX$10144,4,FALSE))=0,"",VLOOKUP($B35,Database!$B$1:$IX$10144,4,FALSE)))</f>
        <v>Caetano SC</v>
      </c>
      <c r="F35" s="22">
        <f>IF($B35="","",IF(LEN(VLOOKUP($B35,Database!$B$1:$IX$10144,5,FALSE))=0,"",VLOOKUP($B35,Database!$B$1:$IX$10144,5,FALSE)))</f>
        <v>2007</v>
      </c>
      <c r="G35" s="1" t="str">
        <f>IF($B35="","",HYPERLINK(IF(LEN(VLOOKUP($B35,Database!$B$1:$IX$10144,6,FALSE))=0,"",VLOOKUP($B35,Database!$B$1:$IX$10144,6,FALSE))))</f>
        <v>http://dx.doi.org/10.1016/j.neulet.2007.06.014</v>
      </c>
      <c r="H35" s="22">
        <f>IF($B35="","",IF(LEN(VLOOKUP($B35,Database!$B$1:$IX$10144,7,FALSE))=0,"",VLOOKUP($B35,Database!$B$1:$IX$10144,7,FALSE)))</f>
        <v>19</v>
      </c>
      <c r="I35" s="22">
        <f>IF($B35="","",IF(LEN(VLOOKUP($B35,Database!$B$1:$IX$10144,8,FALSE))=0,"",VLOOKUP($B35,Database!$B$1:$IX$10144,8,FALSE)))</f>
        <v>24</v>
      </c>
      <c r="J35" t="s">
        <v>1653</v>
      </c>
      <c r="L35">
        <v>1.46</v>
      </c>
      <c r="M35">
        <v>0.22</v>
      </c>
      <c r="N35">
        <v>1.5</v>
      </c>
      <c r="O35">
        <v>0.25</v>
      </c>
      <c r="P35">
        <v>1.56</v>
      </c>
      <c r="Q35">
        <v>0.23</v>
      </c>
      <c r="R35">
        <v>1.66</v>
      </c>
      <c r="S35">
        <v>0.28000000000000003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13</v>
      </c>
      <c r="AC35" s="22">
        <f>IF(OR($B35="",AC$22=""),"",IF(LEN(VLOOKUP($B35,Database!$B$1:$IX$10144,AC$22,FALSE))=0,"",VLOOKUP($B35,Database!$B$1:$IX$10144,AC$22,FALSE)))</f>
        <v>2.4</v>
      </c>
      <c r="AD35" s="22">
        <f>IF(OR($B35="",AD$22=""),"",IF(LEN(VLOOKUP($B35,Database!$B$1:$IX$10144,AD$22,FALSE))=0,"",VLOOKUP($B35,Database!$B$1:$IX$10144,AD$22,FALSE)))</f>
        <v>13.9</v>
      </c>
      <c r="AE35" s="22">
        <f>IF(OR($B35="",AE$22=""),"",IF(LEN(VLOOKUP($B35,Database!$B$1:$IX$10144,AE$22,FALSE))=0,"",VLOOKUP($B35,Database!$B$1:$IX$10144,AE$22,FALSE)))</f>
        <v>2.9</v>
      </c>
      <c r="AF35" s="22">
        <f>IF(OR($B35="",AF$22=""),"",IF(LEN(VLOOKUP($B35,Database!$B$1:$IX$10144,AF$22,FALSE))=0,"",VLOOKUP($B35,Database!$B$1:$IX$10144,AF$22,FALSE)))</f>
        <v>6</v>
      </c>
      <c r="AG35" s="22">
        <f>IF(OR($B35="",AG$22=""),"",IF(LEN(VLOOKUP($B35,Database!$B$1:$IX$10144,AG$22,FALSE))=0,"",VLOOKUP($B35,Database!$B$1:$IX$10144,AG$22,FALSE)))</f>
        <v>11</v>
      </c>
      <c r="AH35" s="22">
        <f>IF(OR($B35="",AH$22=""),"",IF(LEN(VLOOKUP($B35,Database!$B$1:$IX$10144,AH$22,FALSE))=0,"",VLOOKUP($B35,Database!$B$1:$IX$10144,AH$22,FALSE)))</f>
        <v>1.5</v>
      </c>
      <c r="AI35" s="22">
        <f>IF(OR($B35="",AI$22=""),"",IF(LEN(VLOOKUP($B35,Database!$B$1:$IX$10144,AI$22,FALSE))=0,"",VLOOKUP($B35,Database!$B$1:$IX$10144,AI$22,FALSE)))</f>
        <v>1</v>
      </c>
      <c r="AJ35" s="22" t="str">
        <f>IF(OR($B35="",AJ$22=""),"",IF(LEN(VLOOKUP($B35,Database!$B$1:$IX$10144,AJ$22,FALSE))=0,"",VLOOKUP($B35,Database!$B$1:$IX$10144,AJ$22,FALSE)))</f>
        <v/>
      </c>
      <c r="AK35" s="22">
        <f>IF(OR($B35="",AK$22=""),"",IF(LEN(VLOOKUP($B35,Database!$B$1:$IX$10144,AK$22,FALSE))=0,"",VLOOKUP($B35,Database!$B$1:$IX$10144,AK$22,FALSE)))</f>
        <v>10.3</v>
      </c>
      <c r="AL35" s="22" t="str">
        <f>IF(OR($B35="",AL$22=""),"",IF(LEN(VLOOKUP($B35,Database!$B$1:$IX$10144,AL$22,FALSE))=0,"",VLOOKUP($B35,Database!$B$1:$IX$10144,AL$22,FALSE)))</f>
        <v>ns</v>
      </c>
      <c r="AM35" s="22">
        <f>IF(OR($B35="",AM$22=""),"",IF(LEN(VLOOKUP($B35,Database!$B$1:$IX$10144,AM$22,FALSE))=0,"",VLOOKUP($B35,Database!$B$1:$IX$10144,AM$22,FALSE)))</f>
        <v>47.368421052631575</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52.631578947368418</v>
      </c>
      <c r="AQ35" s="211" t="str">
        <f>IF(OR($B35="",AQ$22=""),"",IF(LEN(VLOOKUP($B35,Database!$B$1:$IX$10144,AQ$22,FALSE))=0,"",VLOOKUP($B35,Database!$B$1:$IX$10144,AQ$22,FALSE)))</f>
        <v>Caetano SC, Fonseca M, Hatch JP, Olvera RL, Nicoletti M, Hunter K, Lafer B, Pliszka SR, Soares JC.</v>
      </c>
      <c r="AR35" s="13"/>
      <c r="AX35" s="13"/>
      <c r="AY35" s="13"/>
      <c r="AZ35" s="13"/>
      <c r="BA35" s="13"/>
      <c r="BC35" s="23"/>
      <c r="BF35" s="136"/>
      <c r="BG35" s="136"/>
      <c r="BH35" s="136"/>
      <c r="BI35" s="136"/>
    </row>
    <row r="36" spans="2:61">
      <c r="B36">
        <v>17511971</v>
      </c>
      <c r="C36" s="1" t="str">
        <f>IF($B36="","",HYPERLINK(IF(LEN(VLOOKUP($B36,Database!$B$1:$IX$10144,2,FALSE))=0,"",VLOOKUP($B36,Database!$B$1:$IX$10144,2,FALSE))))</f>
        <v/>
      </c>
      <c r="D36" s="1" t="str">
        <f t="shared" si="0"/>
        <v>http://www.ncbi.nlm.nih.gov/pubmed/17511971</v>
      </c>
      <c r="E36" s="22" t="str">
        <f>IF($B36="","",IF(LEN(VLOOKUP($B36,Database!$B$1:$IX$10144,4,FALSE))=0,"",VLOOKUP($B36,Database!$B$1:$IX$10144,4,FALSE)))</f>
        <v>Munn MA</v>
      </c>
      <c r="F36" s="22">
        <f>IF($B36="","",IF(LEN(VLOOKUP($B36,Database!$B$1:$IX$10144,5,FALSE))=0,"",VLOOKUP($B36,Database!$B$1:$IX$10144,5,FALSE)))</f>
        <v>2007</v>
      </c>
      <c r="G36" s="1" t="str">
        <f>IF($B36="","",HYPERLINK(IF(LEN(VLOOKUP($B36,Database!$B$1:$IX$10144,6,FALSE))=0,"",VLOOKUP($B36,Database!$B$1:$IX$10144,6,FALSE))))</f>
        <v>http://dx.doi.org/10.1016/j.biopsych.2006.11.031</v>
      </c>
      <c r="H36" s="22">
        <f>IF($B36="","",IF(LEN(VLOOKUP($B36,Database!$B$1:$IX$10144,7,FALSE))=0,"",VLOOKUP($B36,Database!$B$1:$IX$10144,7,FALSE)))</f>
        <v>26</v>
      </c>
      <c r="I36" s="22">
        <f>IF($B36="","",IF(LEN(VLOOKUP($B36,Database!$B$1:$IX$10144,8,FALSE))=0,"",VLOOKUP($B36,Database!$B$1:$IX$10144,8,FALSE)))</f>
        <v>18</v>
      </c>
      <c r="J36" t="s">
        <v>1655</v>
      </c>
      <c r="L36">
        <v>14516.72</v>
      </c>
      <c r="M36">
        <v>1653.22</v>
      </c>
      <c r="N36">
        <v>14314.91</v>
      </c>
      <c r="O36">
        <v>1807.46</v>
      </c>
      <c r="P36">
        <v>14426.88</v>
      </c>
      <c r="Q36">
        <v>1956.37</v>
      </c>
      <c r="R36">
        <v>14262.96</v>
      </c>
      <c r="S36">
        <v>1747.51</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20.54</v>
      </c>
      <c r="AC36" s="22">
        <f>IF(OR($B36="",AC$22=""),"",IF(LEN(VLOOKUP($B36,Database!$B$1:$IX$10144,AC$22,FALSE))=0,"",VLOOKUP($B36,Database!$B$1:$IX$10144,AC$22,FALSE)))</f>
        <v>1.75</v>
      </c>
      <c r="AD36" s="22">
        <f>IF(OR($B36="",AD$22=""),"",IF(LEN(VLOOKUP($B36,Database!$B$1:$IX$10144,AD$22,FALSE))=0,"",VLOOKUP($B36,Database!$B$1:$IX$10144,AD$22,FALSE)))</f>
        <v>20.73</v>
      </c>
      <c r="AE36" s="22">
        <f>IF(OR($B36="",AE$22=""),"",IF(LEN(VLOOKUP($B36,Database!$B$1:$IX$10144,AE$22,FALSE))=0,"",VLOOKUP($B36,Database!$B$1:$IX$10144,AE$22,FALSE)))</f>
        <v>2.0699999999999998</v>
      </c>
      <c r="AF36" s="22">
        <f>IF(OR($B36="",AF$22=""),"",IF(LEN(VLOOKUP($B36,Database!$B$1:$IX$10144,AF$22,FALSE))=0,"",VLOOKUP($B36,Database!$B$1:$IX$10144,AF$22,FALSE)))</f>
        <v>26</v>
      </c>
      <c r="AG36" s="22">
        <f>IF(OR($B36="",AG$22=""),"",IF(LEN(VLOOKUP($B36,Database!$B$1:$IX$10144,AG$22,FALSE))=0,"",VLOOKUP($B36,Database!$B$1:$IX$10144,AG$22,FALSE)))</f>
        <v>18</v>
      </c>
      <c r="AH36" s="22">
        <f>IF(OR($B36="",AH$22=""),"",IF(LEN(VLOOKUP($B36,Database!$B$1:$IX$10144,AH$22,FALSE))=0,"",VLOOKUP($B36,Database!$B$1:$IX$10144,AH$22,FALSE)))</f>
        <v>1.5</v>
      </c>
      <c r="AI36" s="22">
        <f>IF(OR($B36="",AI$22=""),"",IF(LEN(VLOOKUP($B36,Database!$B$1:$IX$10144,AI$22,FALSE))=0,"",VLOOKUP($B36,Database!$B$1:$IX$10144,AI$22,FALSE)))</f>
        <v>1</v>
      </c>
      <c r="AJ36" s="22" t="str">
        <f>IF(OR($B36="",AJ$22=""),"",IF(LEN(VLOOKUP($B36,Database!$B$1:$IX$10144,AJ$22,FALSE))=0,"",VLOOKUP($B36,Database!$B$1:$IX$10144,AJ$22,FALSE)))</f>
        <v/>
      </c>
      <c r="AK36" s="22">
        <f>IF(OR($B36="",AK$22=""),"",IF(LEN(VLOOKUP($B36,Database!$B$1:$IX$10144,AK$22,FALSE))=0,"",VLOOKUP($B36,Database!$B$1:$IX$10144,AK$22,FALSE)))</f>
        <v>15.58</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11" t="str">
        <f>IF(OR($B36="",AQ$22=""),"",IF(LEN(VLOOKUP($B36,Database!$B$1:$IX$10144,AQ$22,FALSE))=0,"",VLOOKUP($B36,Database!$B$1:$IX$10144,AQ$22,FALSE)))</f>
        <v>Munn MA, Alexopoulos J, Nishino T, Babb CM, Flake LA, Singer T, Ratnanather JT, Huang H, Todd RD, Miller MI, Botteron KN.</v>
      </c>
      <c r="AR36" s="13"/>
      <c r="AX36" s="13"/>
      <c r="AY36" s="13"/>
      <c r="AZ36" s="13"/>
      <c r="BA36" s="13"/>
      <c r="BC36" s="23"/>
      <c r="BF36" s="136"/>
      <c r="BG36" s="136"/>
      <c r="BH36" s="136"/>
      <c r="BI36" s="136"/>
    </row>
    <row r="37" spans="2:61">
      <c r="B37">
        <v>18450931</v>
      </c>
      <c r="C37" s="1" t="str">
        <f>IF($B37="","",HYPERLINK(IF(LEN(VLOOKUP($B37,Database!$B$1:$IX$10144,2,FALSE))=0,"",VLOOKUP($B37,Database!$B$1:$IX$10144,2,FALSE))))</f>
        <v/>
      </c>
      <c r="D37" s="1" t="str">
        <f t="shared" si="0"/>
        <v>http://www.ncbi.nlm.nih.gov/pubmed/18450931</v>
      </c>
      <c r="E37" s="22" t="str">
        <f>IF($B37="","",IF(LEN(VLOOKUP($B37,Database!$B$1:$IX$10144,4,FALSE))=0,"",VLOOKUP($B37,Database!$B$1:$IX$10144,4,FALSE)))</f>
        <v>Keller J</v>
      </c>
      <c r="F37" s="22">
        <f>IF($B37="","",IF(LEN(VLOOKUP($B37,Database!$B$1:$IX$10144,5,FALSE))=0,"",VLOOKUP($B37,Database!$B$1:$IX$10144,5,FALSE)))</f>
        <v>2008</v>
      </c>
      <c r="G37" s="1" t="str">
        <f>IF($B37="","",HYPERLINK(IF(LEN(VLOOKUP($B37,Database!$B$1:$IX$10144,6,FALSE))=0,"",VLOOKUP($B37,Database!$B$1:$IX$10144,6,FALSE))))</f>
        <v>http://ajp.psychiatryonline.org/cgi/content/full/165/7/872</v>
      </c>
      <c r="H37" s="83">
        <v>23</v>
      </c>
      <c r="I37" s="83">
        <v>11</v>
      </c>
      <c r="K37" t="s">
        <v>1155</v>
      </c>
      <c r="L37">
        <v>2.56</v>
      </c>
      <c r="M37">
        <v>0.54</v>
      </c>
      <c r="N37">
        <v>2.65</v>
      </c>
      <c r="O37">
        <v>0.48</v>
      </c>
      <c r="P37">
        <v>2.29</v>
      </c>
      <c r="Q37">
        <v>0.45</v>
      </c>
      <c r="R37">
        <v>2.5499999999999998</v>
      </c>
      <c r="S37">
        <v>0.42</v>
      </c>
      <c r="Y37" s="22" t="str">
        <f>IF(OR($B37="",Y$22=""),"",IF(LEN(VLOOKUP($B37,Database!$B$1:$IX$10144,Y$22,FALSE))=0,"",VLOOKUP($B37,Database!$B$1:$IX$10144,Y$22,FALSE)))</f>
        <v>DSM-IV</v>
      </c>
      <c r="Z37" s="22" t="str">
        <f>IF(OR($B37="",Z$22=""),"",IF(LEN(VLOOKUP($B37,Database!$B$1:$IX$10144,Z$22,FALSE))=0,"",VLOOKUP($B37,Database!$B$1:$IX$10144,Z$22,FALSE)))</f>
        <v>MRI</v>
      </c>
      <c r="AA37" s="83" t="s">
        <v>754</v>
      </c>
      <c r="AB37" s="83">
        <v>36.5</v>
      </c>
      <c r="AC37" s="83">
        <v>13.2</v>
      </c>
      <c r="AD37" s="22">
        <f>IF(OR($B37="",AD$22=""),"",IF(LEN(VLOOKUP($B37,Database!$B$1:$IX$10144,AD$22,FALSE))=0,"",VLOOKUP($B37,Database!$B$1:$IX$10144,AD$22,FALSE)))</f>
        <v>32.200000000000003</v>
      </c>
      <c r="AE37" s="22">
        <f>IF(OR($B37="",AE$22=""),"",IF(LEN(VLOOKUP($B37,Database!$B$1:$IX$10144,AE$22,FALSE))=0,"",VLOOKUP($B37,Database!$B$1:$IX$10144,AE$22,FALSE)))</f>
        <v>11.5</v>
      </c>
      <c r="AF37" s="83">
        <v>11</v>
      </c>
      <c r="AG37" s="22">
        <f>IF(OR($B37="",AG$22=""),"",IF(LEN(VLOOKUP($B37,Database!$B$1:$IX$10144,AG$22,FALSE))=0,"",VLOOKUP($B37,Database!$B$1:$IX$10144,AG$22,FALSE)))</f>
        <v>11</v>
      </c>
      <c r="AH37" s="22">
        <f>IF(OR($B37="",AH$22=""),"",IF(LEN(VLOOKUP($B37,Database!$B$1:$IX$10144,AH$22,FALSE))=0,"",VLOOKUP($B37,Database!$B$1:$IX$10144,AH$22,FALSE)))</f>
        <v>3</v>
      </c>
      <c r="AI37" s="22">
        <f>IF(OR($B37="",AI$22=""),"",IF(LEN(VLOOKUP($B37,Database!$B$1:$IX$10144,AI$22,FALSE))=0,"",VLOOKUP($B37,Database!$B$1:$IX$10144,AI$22,FALSE)))</f>
        <v>1.5</v>
      </c>
      <c r="AJ37" s="83"/>
      <c r="AK37" s="83">
        <v>27.6</v>
      </c>
      <c r="AL37" s="83">
        <v>30.5</v>
      </c>
      <c r="AM37" s="83">
        <v>65.2</v>
      </c>
      <c r="AN37" s="83">
        <v>17.39</v>
      </c>
      <c r="AO37" s="83">
        <v>70</v>
      </c>
      <c r="AP37" s="83">
        <v>17.399999999999999</v>
      </c>
      <c r="AQ37" s="211" t="str">
        <f>IF(OR($B37="",AQ$22=""),"",IF(LEN(VLOOKUP($B37,Database!$B$1:$IX$10144,AQ$22,FALSE))=0,"",VLOOKUP($B37,Database!$B$1:$IX$10144,AQ$22,FALSE)))</f>
        <v>Keller J, Shen L, Gomez RG, Garrett A, Solvason HB, Reiss A, Schatzberg AF.</v>
      </c>
      <c r="AR37" s="13"/>
      <c r="AU37" s="13"/>
      <c r="AX37" s="13"/>
      <c r="AY37" s="13"/>
      <c r="AZ37" s="13"/>
      <c r="BA37" s="13"/>
      <c r="BC37" s="23"/>
      <c r="BF37" s="136"/>
      <c r="BG37" s="136"/>
      <c r="BH37" s="136"/>
      <c r="BI37" s="136"/>
    </row>
    <row r="38" spans="2:61">
      <c r="B38">
        <v>18450931</v>
      </c>
      <c r="C38" s="1" t="str">
        <f>IF($B38="","",HYPERLINK(IF(LEN(VLOOKUP($B38,Database!$B$1:$IX$10144,2,FALSE))=0,"",VLOOKUP($B38,Database!$B$1:$IX$10144,2,FALSE))))</f>
        <v/>
      </c>
      <c r="D38" s="1" t="str">
        <f t="shared" si="0"/>
        <v>http://www.ncbi.nlm.nih.gov/pubmed/18450931</v>
      </c>
      <c r="E38" s="22" t="str">
        <f>IF($B38="","",IF(LEN(VLOOKUP($B38,Database!$B$1:$IX$10144,4,FALSE))=0,"",VLOOKUP($B38,Database!$B$1:$IX$10144,4,FALSE)))</f>
        <v>Keller J</v>
      </c>
      <c r="F38" s="22">
        <f>IF($B38="","",IF(LEN(VLOOKUP($B38,Database!$B$1:$IX$10144,5,FALSE))=0,"",VLOOKUP($B38,Database!$B$1:$IX$10144,5,FALSE)))</f>
        <v>2008</v>
      </c>
      <c r="G38" s="1" t="str">
        <f>IF($B38="","",HYPERLINK(IF(LEN(VLOOKUP($B38,Database!$B$1:$IX$10144,6,FALSE))=0,"",VLOOKUP($B38,Database!$B$1:$IX$10144,6,FALSE))))</f>
        <v>http://ajp.psychiatryonline.org/cgi/content/full/165/7/872</v>
      </c>
      <c r="H38" s="83">
        <v>19</v>
      </c>
      <c r="I38" s="83">
        <v>11</v>
      </c>
      <c r="K38" t="s">
        <v>1156</v>
      </c>
      <c r="L38">
        <v>2.76</v>
      </c>
      <c r="M38">
        <v>0.5</v>
      </c>
      <c r="N38">
        <v>2.65</v>
      </c>
      <c r="O38">
        <v>0.48</v>
      </c>
      <c r="P38">
        <v>2.62</v>
      </c>
      <c r="Q38">
        <v>0.53</v>
      </c>
      <c r="R38">
        <v>2.5499999999999998</v>
      </c>
      <c r="S38">
        <v>0.42</v>
      </c>
      <c r="Y38" s="22" t="str">
        <f>IF(OR($B38="",Y$22=""),"",IF(LEN(VLOOKUP($B38,Database!$B$1:$IX$10144,Y$22,FALSE))=0,"",VLOOKUP($B38,Database!$B$1:$IX$10144,Y$22,FALSE)))</f>
        <v>DSM-IV</v>
      </c>
      <c r="Z38" s="22" t="str">
        <f>IF(OR($B38="",Z$22=""),"",IF(LEN(VLOOKUP($B38,Database!$B$1:$IX$10144,Z$22,FALSE))=0,"",VLOOKUP($B38,Database!$B$1:$IX$10144,Z$22,FALSE)))</f>
        <v>MRI</v>
      </c>
      <c r="AA38" s="83" t="s">
        <v>755</v>
      </c>
      <c r="AB38" s="83">
        <v>36.6</v>
      </c>
      <c r="AC38" s="83">
        <v>11.9</v>
      </c>
      <c r="AD38" s="22">
        <f>IF(OR($B38="",AD$22=""),"",IF(LEN(VLOOKUP($B38,Database!$B$1:$IX$10144,AD$22,FALSE))=0,"",VLOOKUP($B38,Database!$B$1:$IX$10144,AD$22,FALSE)))</f>
        <v>32.200000000000003</v>
      </c>
      <c r="AE38" s="22">
        <f>IF(OR($B38="",AE$22=""),"",IF(LEN(VLOOKUP($B38,Database!$B$1:$IX$10144,AE$22,FALSE))=0,"",VLOOKUP($B38,Database!$B$1:$IX$10144,AE$22,FALSE)))</f>
        <v>11.5</v>
      </c>
      <c r="AF38" s="83">
        <v>12</v>
      </c>
      <c r="AG38" s="22">
        <f>IF(OR($B38="",AG$22=""),"",IF(LEN(VLOOKUP($B38,Database!$B$1:$IX$10144,AG$22,FALSE))=0,"",VLOOKUP($B38,Database!$B$1:$IX$10144,AG$22,FALSE)))</f>
        <v>11</v>
      </c>
      <c r="AH38" s="22">
        <f>IF(OR($B38="",AH$22=""),"",IF(LEN(VLOOKUP($B38,Database!$B$1:$IX$10144,AH$22,FALSE))=0,"",VLOOKUP($B38,Database!$B$1:$IX$10144,AH$22,FALSE)))</f>
        <v>3</v>
      </c>
      <c r="AI38" s="22">
        <f>IF(OR($B38="",AI$22=""),"",IF(LEN(VLOOKUP($B38,Database!$B$1:$IX$10144,AI$22,FALSE))=0,"",VLOOKUP($B38,Database!$B$1:$IX$10144,AI$22,FALSE)))</f>
        <v>1.5</v>
      </c>
      <c r="AJ38" s="83"/>
      <c r="AK38" s="83">
        <v>27</v>
      </c>
      <c r="AL38" s="83">
        <v>23.7</v>
      </c>
      <c r="AM38" s="83">
        <v>57.9</v>
      </c>
      <c r="AN38" s="83">
        <v>10.5</v>
      </c>
      <c r="AO38" s="83">
        <v>0</v>
      </c>
      <c r="AP38" s="83">
        <v>42.1</v>
      </c>
      <c r="AQ38" s="211" t="str">
        <f>IF(OR($B38="",AQ$22=""),"",IF(LEN(VLOOKUP($B38,Database!$B$1:$IX$10144,AQ$22,FALSE))=0,"",VLOOKUP($B38,Database!$B$1:$IX$10144,AQ$22,FALSE)))</f>
        <v>Keller J, Shen L, Gomez RG, Garrett A, Solvason HB, Reiss A, Schatzberg AF.</v>
      </c>
      <c r="AR38" s="13"/>
      <c r="AU38" s="13"/>
      <c r="AX38" s="13"/>
      <c r="AY38" s="13"/>
      <c r="AZ38" s="13"/>
      <c r="BA38" s="13"/>
      <c r="BC38" s="23"/>
      <c r="BF38" s="136"/>
      <c r="BG38" s="136"/>
      <c r="BH38" s="136"/>
      <c r="BI38" s="136"/>
    </row>
    <row r="39" spans="2:61">
      <c r="B39">
        <v>17640621</v>
      </c>
      <c r="C39" s="1" t="str">
        <f>IF($B39="","",HYPERLINK(IF(LEN(VLOOKUP($B39,Database!$B$1:$IX$10144,2,FALSE))=0,"",VLOOKUP($B39,Database!$B$1:$IX$10144,2,FALSE))))</f>
        <v/>
      </c>
      <c r="D39" s="1" t="str">
        <f t="shared" si="0"/>
        <v>http://www.ncbi.nlm.nih.gov/pubmed/17640621</v>
      </c>
      <c r="E39" s="22" t="str">
        <f>IF($B39="","",IF(LEN(VLOOKUP($B39,Database!$B$1:$IX$10144,4,FALSE))=0,"",VLOOKUP($B39,Database!$B$1:$IX$10144,4,FALSE)))</f>
        <v>MacMaster FP (B)</v>
      </c>
      <c r="F39" s="22">
        <f>IF($B39="","",IF(LEN(VLOOKUP($B39,Database!$B$1:$IX$10144,5,FALSE))=0,"",VLOOKUP($B39,Database!$B$1:$IX$10144,5,FALSE)))</f>
        <v>2008</v>
      </c>
      <c r="G39" s="1" t="str">
        <f>IF($B39="","",HYPERLINK(IF(LEN(VLOOKUP($B39,Database!$B$1:$IX$10144,6,FALSE))=0,"",VLOOKUP($B39,Database!$B$1:$IX$10144,6,FALSE))))</f>
        <v>http://dx.doi.org/10.1016/j.biopsych.2007.05.005</v>
      </c>
      <c r="H39" s="22">
        <f>IF($B39="","",IF(LEN(VLOOKUP($B39,Database!$B$1:$IX$10144,7,FALSE))=0,"",VLOOKUP($B39,Database!$B$1:$IX$10144,7,FALSE)))</f>
        <v>32</v>
      </c>
      <c r="I39" s="22">
        <f>IF($B39="","",IF(LEN(VLOOKUP($B39,Database!$B$1:$IX$10144,8,FALSE))=0,"",VLOOKUP($B39,Database!$B$1:$IX$10144,8,FALSE)))</f>
        <v>35</v>
      </c>
      <c r="J39" t="s">
        <v>1651</v>
      </c>
      <c r="L39">
        <v>1.49</v>
      </c>
      <c r="M39">
        <v>0.36</v>
      </c>
      <c r="N39">
        <v>1.36</v>
      </c>
      <c r="O39">
        <v>0.28999999999999998</v>
      </c>
      <c r="P39">
        <v>1.52</v>
      </c>
      <c r="Q39">
        <v>0.27</v>
      </c>
      <c r="R39">
        <v>1.36</v>
      </c>
      <c r="S39">
        <v>0.28999999999999998</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14.08</v>
      </c>
      <c r="AC39" s="22">
        <f>IF(OR($B39="",AC$22=""),"",IF(LEN(VLOOKUP($B39,Database!$B$1:$IX$10144,AC$22,FALSE))=0,"",VLOOKUP($B39,Database!$B$1:$IX$10144,AC$22,FALSE)))</f>
        <v>2.88</v>
      </c>
      <c r="AD39" s="22">
        <f>IF(OR($B39="",AD$22=""),"",IF(LEN(VLOOKUP($B39,Database!$B$1:$IX$10144,AD$22,FALSE))=0,"",VLOOKUP($B39,Database!$B$1:$IX$10144,AD$22,FALSE)))</f>
        <v>14.51</v>
      </c>
      <c r="AE39" s="22">
        <f>IF(OR($B39="",AE$22=""),"",IF(LEN(VLOOKUP($B39,Database!$B$1:$IX$10144,AE$22,FALSE))=0,"",VLOOKUP($B39,Database!$B$1:$IX$10144,AE$22,FALSE)))</f>
        <v>2.72</v>
      </c>
      <c r="AF39" s="22">
        <f>IF(OR($B39="",AF$22=""),"",IF(LEN(VLOOKUP($B39,Database!$B$1:$IX$10144,AF$22,FALSE))=0,"",VLOOKUP($B39,Database!$B$1:$IX$10144,AF$22,FALSE)))</f>
        <v>20</v>
      </c>
      <c r="AG39" s="22">
        <f>IF(OR($B39="",AG$22=""),"",IF(LEN(VLOOKUP($B39,Database!$B$1:$IX$10144,AG$22,FALSE))=0,"",VLOOKUP($B39,Database!$B$1:$IX$10144,AG$22,FALSE)))</f>
        <v>22</v>
      </c>
      <c r="AH39" s="22">
        <f>IF(OR($B39="",AH$22=""),"",IF(LEN(VLOOKUP($B39,Database!$B$1:$IX$10144,AH$22,FALSE))=0,"",VLOOKUP($B39,Database!$B$1:$IX$10144,AH$22,FALSE)))</f>
        <v>1.5</v>
      </c>
      <c r="AI39" s="22">
        <f>IF(OR($B39="",AI$22=""),"",IF(LEN(VLOOKUP($B39,Database!$B$1:$IX$10144,AI$22,FALSE))=0,"",VLOOKUP($B39,Database!$B$1:$IX$10144,AI$22,FALSE)))</f>
        <v>1.5</v>
      </c>
      <c r="AJ39" s="22" t="str">
        <f>IF(OR($B39="",AJ$22=""),"",IF(LEN(VLOOKUP($B39,Database!$B$1:$IX$10144,AJ$22,FALSE))=0,"",VLOOKUP($B39,Database!$B$1:$IX$10144,AJ$22,FALSE)))</f>
        <v/>
      </c>
      <c r="AK39" s="22">
        <f>IF(OR($B39="",AK$22=""),"",IF(LEN(VLOOKUP($B39,Database!$B$1:$IX$10144,AK$22,FALSE))=0,"",VLOOKUP($B39,Database!$B$1:$IX$10144,AK$22,FALSE)))</f>
        <v>11.77</v>
      </c>
      <c r="AL39" s="22" t="str">
        <f>IF(OR($B39="",AL$22=""),"",IF(LEN(VLOOKUP($B39,Database!$B$1:$IX$10144,AL$22,FALSE))=0,"",VLOOKUP($B39,Database!$B$1:$IX$10144,AL$22,FALSE)))</f>
        <v>ns</v>
      </c>
      <c r="AM39" s="22">
        <f>IF(OR($B39="",AM$22=""),"",IF(LEN(VLOOKUP($B39,Database!$B$1:$IX$10144,AM$22,FALSE))=0,"",VLOOKUP($B39,Database!$B$1:$IX$10144,AM$22,FALSE)))</f>
        <v>0</v>
      </c>
      <c r="AN39" s="22">
        <f>IF(OR($B39="",AN$22=""),"",IF(LEN(VLOOKUP($B39,Database!$B$1:$IX$10144,AN$22,FALSE))=0,"",VLOOKUP($B39,Database!$B$1:$IX$10144,AN$22,FALSE)))</f>
        <v>0</v>
      </c>
      <c r="AO39" s="22">
        <f>IF(OR($B39="",AO$22=""),"",IF(LEN(VLOOKUP($B39,Database!$B$1:$IX$10144,AO$22,FALSE))=0,"",VLOOKUP($B39,Database!$B$1:$IX$10144,AO$22,FALSE)))</f>
        <v>0</v>
      </c>
      <c r="AP39" s="22">
        <f>IF(OR($B39="",AP$22=""),"",IF(LEN(VLOOKUP($B39,Database!$B$1:$IX$10144,AP$22,FALSE))=0,"",VLOOKUP($B39,Database!$B$1:$IX$10144,AP$22,FALSE)))</f>
        <v>100</v>
      </c>
      <c r="AQ39" s="211" t="str">
        <f>IF(OR($B39="",AQ$22=""),"",IF(LEN(VLOOKUP($B39,Database!$B$1:$IX$10144,AQ$22,FALSE))=0,"",VLOOKUP($B39,Database!$B$1:$IX$10144,AQ$22,FALSE)))</f>
        <v>MacMaster FP, Mirza Y, Szeszko PR, Kmiecik LE, Easter PC, Taormina SP, Lynch M, Rose M, Moore GJ, Rosenberg DR.</v>
      </c>
      <c r="AR39" s="13"/>
      <c r="AX39" s="13"/>
      <c r="AY39" s="13"/>
      <c r="AZ39" s="13"/>
      <c r="BA39" s="13"/>
      <c r="BC39" s="23"/>
      <c r="BF39" s="136"/>
      <c r="BG39" s="136"/>
      <c r="BH39" s="136"/>
      <c r="BI39" s="136"/>
    </row>
    <row r="40" spans="2:61">
      <c r="B40">
        <v>19085964</v>
      </c>
      <c r="C40" s="1" t="str">
        <f>IF($B40="","",HYPERLINK(IF(LEN(VLOOKUP($B40,Database!$B$1:$IX$10144,2,FALSE))=0,"",VLOOKUP($B40,Database!$B$1:$IX$10144,2,FALSE))))</f>
        <v/>
      </c>
      <c r="D40" s="1" t="str">
        <f t="shared" ref="D40:D45" si="1">IF($B40="","",HYPERLINK(CONCATENATE("http://www.ncbi.nlm.nih.gov/pubmed/",B40)))</f>
        <v>http://www.ncbi.nlm.nih.gov/pubmed/19085964</v>
      </c>
      <c r="E40" s="22" t="str">
        <f>IF($B40="","",IF(LEN(VLOOKUP($B40,Database!$B$1:$IX$10144,4,FALSE))=0,"",VLOOKUP($B40,Database!$B$1:$IX$10144,4,FALSE)))</f>
        <v>Tamburo RJ</v>
      </c>
      <c r="F40" s="22">
        <f>IF($B40="","",IF(LEN(VLOOKUP($B40,Database!$B$1:$IX$10144,5,FALSE))=0,"",VLOOKUP($B40,Database!$B$1:$IX$10144,5,FALSE)))</f>
        <v>2008</v>
      </c>
      <c r="G40" s="1" t="str">
        <f>IF($B40="","",HYPERLINK(IF(LEN(VLOOKUP($B40,Database!$B$1:$IX$10144,6,FALSE))=0,"",VLOOKUP($B40,Database!$B$1:$IX$10144,6,FALSE))))</f>
        <v>http://www3.interscience.wiley.com/cgi-bin/fulltext/121544225/PDFSTART</v>
      </c>
      <c r="H40" s="22">
        <f>IF($B40="","",IF(LEN(VLOOKUP($B40,Database!$B$1:$IX$10144,7,FALSE))=0,"",VLOOKUP($B40,Database!$B$1:$IX$10144,7,FALSE)))</f>
        <v>14</v>
      </c>
      <c r="I40" s="22">
        <f>IF($B40="","",IF(LEN(VLOOKUP($B40,Database!$B$1:$IX$10144,8,FALSE))=0,"",VLOOKUP($B40,Database!$B$1:$IX$10144,8,FALSE)))</f>
        <v>11</v>
      </c>
      <c r="J40" t="s">
        <v>924</v>
      </c>
      <c r="L40">
        <v>1295</v>
      </c>
      <c r="M40">
        <v>325</v>
      </c>
      <c r="N40">
        <v>1547</v>
      </c>
      <c r="O40">
        <v>329</v>
      </c>
      <c r="P40">
        <v>1433</v>
      </c>
      <c r="Q40">
        <v>404</v>
      </c>
      <c r="R40">
        <v>1553</v>
      </c>
      <c r="S40">
        <v>293</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69.8</v>
      </c>
      <c r="AC40" s="22">
        <f>IF(OR($B40="",AC$22=""),"",IF(LEN(VLOOKUP($B40,Database!$B$1:$IX$10144,AC$22,FALSE))=0,"",VLOOKUP($B40,Database!$B$1:$IX$10144,AC$22,FALSE)))</f>
        <v>5.0999999999999996</v>
      </c>
      <c r="AD40" s="22">
        <f>IF(OR($B40="",AD$22=""),"",IF(LEN(VLOOKUP($B40,Database!$B$1:$IX$10144,AD$22,FALSE))=0,"",VLOOKUP($B40,Database!$B$1:$IX$10144,AD$22,FALSE)))</f>
        <v>67.2</v>
      </c>
      <c r="AE40" s="22">
        <f>IF(OR($B40="",AE$22=""),"",IF(LEN(VLOOKUP($B40,Database!$B$1:$IX$10144,AE$22,FALSE))=0,"",VLOOKUP($B40,Database!$B$1:$IX$10144,AE$22,FALSE)))</f>
        <v>6.8</v>
      </c>
      <c r="AF40" s="22">
        <f>IF(OR($B40="",AF$22=""),"",IF(LEN(VLOOKUP($B40,Database!$B$1:$IX$10144,AF$22,FALSE))=0,"",VLOOKUP($B40,Database!$B$1:$IX$10144,AF$22,FALSE)))</f>
        <v>5</v>
      </c>
      <c r="AG40" s="22">
        <f>IF(OR($B40="",AG$22=""),"",IF(LEN(VLOOKUP($B40,Database!$B$1:$IX$10144,AG$22,FALSE))=0,"",VLOOKUP($B40,Database!$B$1:$IX$10144,AG$22,FALSE)))</f>
        <v>4</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t="str">
        <f>IF(OR($B40="",AK$22=""),"",IF(LEN(VLOOKUP($B40,Database!$B$1:$IX$10144,AK$22,FALSE))=0,"",VLOOKUP($B40,Database!$B$1:$IX$10144,AK$22,FALSE)))</f>
        <v>ns</v>
      </c>
      <c r="AL40" s="22">
        <f>IF(OR($B40="",AL$22=""),"",IF(LEN(VLOOKUP($B40,Database!$B$1:$IX$10144,AL$22,FALSE))=0,"",VLOOKUP($B40,Database!$B$1:$IX$10144,AL$22,FALSE)))</f>
        <v>13.8</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11" t="str">
        <f>IF(OR($B40="",AQ$22=""),"",IF(LEN(VLOOKUP($B40,Database!$B$1:$IX$10144,AQ$22,FALSE))=0,"",VLOOKUP($B40,Database!$B$1:$IX$10144,AQ$22,FALSE)))</f>
        <v>Tamburo RJ, Siegle GJ, Stetten GD, Cois CA, Butters MA, Reynolds Iii CF, Aizenstein HJ.</v>
      </c>
      <c r="AR40" s="13"/>
      <c r="AX40" s="13"/>
      <c r="AY40" s="13"/>
      <c r="AZ40" s="13"/>
      <c r="BA40" s="13"/>
      <c r="BC40" s="23"/>
      <c r="BF40" s="136"/>
      <c r="BG40" s="136"/>
      <c r="BH40" s="136"/>
      <c r="BI40" s="136"/>
    </row>
    <row r="41" spans="2:61">
      <c r="B41">
        <v>19028381</v>
      </c>
      <c r="C41" s="1" t="str">
        <f>IF($B41="","",HYPERLINK(IF(LEN(VLOOKUP($B41,Database!$B$1:$IX$10144,2,FALSE))=0,"",VLOOKUP($B41,Database!$B$1:$IX$10144,2,FALSE))))</f>
        <v/>
      </c>
      <c r="D41" s="1" t="str">
        <f t="shared" si="1"/>
        <v>http://www.ncbi.nlm.nih.gov/pubmed/19028381</v>
      </c>
      <c r="E41" s="22" t="str">
        <f>IF($B41="","",IF(LEN(VLOOKUP($B41,Database!$B$1:$IX$10144,4,FALSE))=0,"",VLOOKUP($B41,Database!$B$1:$IX$10144,4,FALSE)))</f>
        <v>van Eijndhoven P</v>
      </c>
      <c r="F41" s="22">
        <f>IF($B41="","",IF(LEN(VLOOKUP($B41,Database!$B$1:$IX$10144,5,FALSE))=0,"",VLOOKUP($B41,Database!$B$1:$IX$10144,5,FALSE)))</f>
        <v>2009</v>
      </c>
      <c r="G41" s="1" t="str">
        <f>IF($B41="","",HYPERLINK(IF(LEN(VLOOKUP($B41,Database!$B$1:$IX$10144,6,FALSE))=0,"",VLOOKUP($B41,Database!$B$1:$IX$10144,6,FALSE))))</f>
        <v>http://dx.doi.org/10.1016/j.biopsych.2008.10.027</v>
      </c>
      <c r="H41" s="83">
        <v>20</v>
      </c>
      <c r="I41" s="83">
        <v>10</v>
      </c>
      <c r="J41" t="s">
        <v>571</v>
      </c>
      <c r="K41" t="s">
        <v>864</v>
      </c>
      <c r="L41">
        <v>2389</v>
      </c>
      <c r="M41">
        <v>236</v>
      </c>
      <c r="N41">
        <v>2222</v>
      </c>
      <c r="O41">
        <v>412</v>
      </c>
      <c r="P41">
        <v>2358</v>
      </c>
      <c r="Q41">
        <v>307</v>
      </c>
      <c r="R41">
        <v>2153</v>
      </c>
      <c r="S41">
        <v>396</v>
      </c>
      <c r="Y41" s="22" t="str">
        <f>IF(OR($B41="",Y$22=""),"",IF(LEN(VLOOKUP($B41,Database!$B$1:$IX$10144,Y$22,FALSE))=0,"",VLOOKUP($B41,Database!$B$1:$IX$10144,Y$22,FALSE)))</f>
        <v>DSM-IV</v>
      </c>
      <c r="Z41" s="22" t="str">
        <f>IF(OR($B41="",Z$22=""),"",IF(LEN(VLOOKUP($B41,Database!$B$1:$IX$10144,Z$22,FALSE))=0,"",VLOOKUP($B41,Database!$B$1:$IX$10144,Z$22,FALSE)))</f>
        <v>MRI</v>
      </c>
      <c r="AA41" s="214" t="s">
        <v>2447</v>
      </c>
      <c r="AB41" s="83">
        <v>34.1</v>
      </c>
      <c r="AC41" s="83">
        <v>11.6</v>
      </c>
      <c r="AD41" s="22">
        <f>IF(OR($B41="",AD$22=""),"",IF(LEN(VLOOKUP($B41,Database!$B$1:$IX$10144,AD$22,FALSE))=0,"",VLOOKUP($B41,Database!$B$1:$IX$10144,AD$22,FALSE)))</f>
        <v>37.299999999999997</v>
      </c>
      <c r="AE41" s="22">
        <f>IF(OR($B41="",AE$22=""),"",IF(LEN(VLOOKUP($B41,Database!$B$1:$IX$10144,AE$22,FALSE))=0,"",VLOOKUP($B41,Database!$B$1:$IX$10144,AE$22,FALSE)))</f>
        <v>12.7</v>
      </c>
      <c r="AF41" s="214">
        <v>13</v>
      </c>
      <c r="AG41" s="22">
        <f>IF(OR($B41="",AG$22=""),"",IF(LEN(VLOOKUP($B41,Database!$B$1:$IX$10144,AG$22,FALSE))=0,"",VLOOKUP($B41,Database!$B$1:$IX$10144,AG$22,FALSE)))</f>
        <v>13</v>
      </c>
      <c r="AH41" s="22">
        <f>IF(OR($B41="",AH$22=""),"",IF(LEN(VLOOKUP($B41,Database!$B$1:$IX$10144,AH$22,FALSE))=0,"",VLOOKUP($B41,Database!$B$1:$IX$10144,AH$22,FALSE)))</f>
        <v>1.5</v>
      </c>
      <c r="AI41" s="22">
        <f>IF(OR($B41="",AI$22=""),"",IF(LEN(VLOOKUP($B41,Database!$B$1:$IX$10144,AI$22,FALSE))=0,"",VLOOKUP($B41,Database!$B$1:$IX$10144,AI$22,FALSE)))</f>
        <v>1</v>
      </c>
      <c r="AJ41" s="22" t="str">
        <f>IF(OR($B41="",AJ$22=""),"",IF(LEN(VLOOKUP($B41,Database!$B$1:$IX$10144,AJ$22,FALSE))=0,"",VLOOKUP($B41,Database!$B$1:$IX$10144,AJ$22,FALSE)))</f>
        <v/>
      </c>
      <c r="AK41" s="83">
        <v>34.1</v>
      </c>
      <c r="AL41" s="83">
        <v>21.08</v>
      </c>
      <c r="AM41" s="22">
        <f>IF(OR($B41="",AM$22=""),"",IF(LEN(VLOOKUP($B41,Database!$B$1:$IX$10144,AM$22,FALSE))=0,"",VLOOKUP($B41,Database!$B$1:$IX$10144,AM$22,FALSE)))</f>
        <v>0</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van Eijndhoven P, van Wingen G, van Oijen K, Rijpkema M, Goraj B, Jan Verkes R, Oude Voshaar R, Fernández G, Buitelaar J, Tendolkar I.</v>
      </c>
      <c r="AR41" s="13"/>
      <c r="AU41" s="13"/>
      <c r="AX41" s="13"/>
      <c r="AY41" s="13"/>
      <c r="AZ41" s="13"/>
      <c r="BA41" s="13"/>
      <c r="BC41" s="23"/>
      <c r="BF41" s="136"/>
      <c r="BG41" s="136"/>
      <c r="BH41" s="136"/>
      <c r="BI41" s="136"/>
    </row>
    <row r="42" spans="2:61">
      <c r="B42">
        <v>19028381</v>
      </c>
      <c r="C42" s="1" t="str">
        <f>IF($B42="","",HYPERLINK(IF(LEN(VLOOKUP($B42,Database!$B$1:$IX$10144,2,FALSE))=0,"",VLOOKUP($B42,Database!$B$1:$IX$10144,2,FALSE))))</f>
        <v/>
      </c>
      <c r="D42" s="1" t="str">
        <f t="shared" si="1"/>
        <v>http://www.ncbi.nlm.nih.gov/pubmed/19028381</v>
      </c>
      <c r="E42" s="22" t="str">
        <f>IF($B42="","",IF(LEN(VLOOKUP($B42,Database!$B$1:$IX$10144,4,FALSE))=0,"",VLOOKUP($B42,Database!$B$1:$IX$10144,4,FALSE)))</f>
        <v>van Eijndhoven P</v>
      </c>
      <c r="F42" s="22">
        <f>IF($B42="","",IF(LEN(VLOOKUP($B42,Database!$B$1:$IX$10144,5,FALSE))=0,"",VLOOKUP($B42,Database!$B$1:$IX$10144,5,FALSE)))</f>
        <v>2009</v>
      </c>
      <c r="G42" s="1" t="str">
        <f>IF($B42="","",HYPERLINK(IF(LEN(VLOOKUP($B42,Database!$B$1:$IX$10144,6,FALSE))=0,"",VLOOKUP($B42,Database!$B$1:$IX$10144,6,FALSE))))</f>
        <v>http://dx.doi.org/10.1016/j.biopsych.2008.10.027</v>
      </c>
      <c r="H42" s="83">
        <v>20</v>
      </c>
      <c r="I42" s="83">
        <v>10</v>
      </c>
      <c r="J42" t="s">
        <v>571</v>
      </c>
      <c r="K42" t="s">
        <v>357</v>
      </c>
      <c r="L42">
        <v>2062</v>
      </c>
      <c r="M42">
        <v>300</v>
      </c>
      <c r="N42">
        <v>2222</v>
      </c>
      <c r="O42">
        <v>412</v>
      </c>
      <c r="P42">
        <v>2024</v>
      </c>
      <c r="Q42">
        <v>292</v>
      </c>
      <c r="R42">
        <v>2153</v>
      </c>
      <c r="S42">
        <v>396</v>
      </c>
      <c r="Y42" s="22" t="str">
        <f>IF(OR($B42="",Y$22=""),"",IF(LEN(VLOOKUP($B42,Database!$B$1:$IX$10144,Y$22,FALSE))=0,"",VLOOKUP($B42,Database!$B$1:$IX$10144,Y$22,FALSE)))</f>
        <v>DSM-IV</v>
      </c>
      <c r="Z42" s="22" t="str">
        <f>IF(OR($B42="",Z$22=""),"",IF(LEN(VLOOKUP($B42,Database!$B$1:$IX$10144,Z$22,FALSE))=0,"",VLOOKUP($B42,Database!$B$1:$IX$10144,Z$22,FALSE)))</f>
        <v>MRI</v>
      </c>
      <c r="AA42" s="214" t="s">
        <v>2448</v>
      </c>
      <c r="AB42" s="83">
        <v>35.799999999999997</v>
      </c>
      <c r="AC42" s="83">
        <v>11.7</v>
      </c>
      <c r="AD42" s="22">
        <f>IF(OR($B42="",AD$22=""),"",IF(LEN(VLOOKUP($B42,Database!$B$1:$IX$10144,AD$22,FALSE))=0,"",VLOOKUP($B42,Database!$B$1:$IX$10144,AD$22,FALSE)))</f>
        <v>37.299999999999997</v>
      </c>
      <c r="AE42" s="22">
        <f>IF(OR($B42="",AE$22=""),"",IF(LEN(VLOOKUP($B42,Database!$B$1:$IX$10144,AE$22,FALSE))=0,"",VLOOKUP($B42,Database!$B$1:$IX$10144,AE$22,FALSE)))</f>
        <v>12.7</v>
      </c>
      <c r="AF42" s="214">
        <v>14</v>
      </c>
      <c r="AG42" s="22">
        <f>IF(OR($B42="",AG$22=""),"",IF(LEN(VLOOKUP($B42,Database!$B$1:$IX$10144,AG$22,FALSE))=0,"",VLOOKUP($B42,Database!$B$1:$IX$10144,AG$22,FALSE)))</f>
        <v>13</v>
      </c>
      <c r="AH42" s="22">
        <f>IF(OR($B42="",AH$22=""),"",IF(LEN(VLOOKUP($B42,Database!$B$1:$IX$10144,AH$22,FALSE))=0,"",VLOOKUP($B42,Database!$B$1:$IX$10144,AH$22,FALSE)))</f>
        <v>1.5</v>
      </c>
      <c r="AI42" s="22">
        <f>IF(OR($B42="",AI$22=""),"",IF(LEN(VLOOKUP($B42,Database!$B$1:$IX$10144,AI$22,FALSE))=0,"",VLOOKUP($B42,Database!$B$1:$IX$10144,AI$22,FALSE)))</f>
        <v>1</v>
      </c>
      <c r="AJ42" s="22" t="str">
        <f>IF(OR($B42="",AJ$22=""),"",IF(LEN(VLOOKUP($B42,Database!$B$1:$IX$10144,AJ$22,FALSE))=0,"",VLOOKUP($B42,Database!$B$1:$IX$10144,AJ$22,FALSE)))</f>
        <v/>
      </c>
      <c r="AK42" s="83">
        <v>33.4</v>
      </c>
      <c r="AL42" s="83">
        <v>3.4</v>
      </c>
      <c r="AM42" s="22">
        <f>IF(OR($B42="",AM$22=""),"",IF(LEN(VLOOKUP($B42,Database!$B$1:$IX$10144,AM$22,FALSE))=0,"",VLOOKUP($B42,Database!$B$1:$IX$10144,AM$22,FALSE)))</f>
        <v>0</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van Eijndhoven P, van Wingen G, van Oijen K, Rijpkema M, Goraj B, Jan Verkes R, Oude Voshaar R, Fernández G, Buitelaar J, Tendolkar I.</v>
      </c>
      <c r="AR42" s="13"/>
      <c r="AU42" s="13"/>
      <c r="AX42" s="13"/>
      <c r="AY42" s="13"/>
      <c r="AZ42" s="13"/>
      <c r="BA42" s="13"/>
      <c r="BC42" s="23"/>
      <c r="BF42" s="136"/>
      <c r="BG42" s="136"/>
      <c r="BH42" s="136"/>
      <c r="BI42" s="136"/>
    </row>
    <row r="43" spans="2:61">
      <c r="B43" s="2">
        <v>19464062</v>
      </c>
      <c r="C43" s="1" t="str">
        <f>IF($B43="","",HYPERLINK(IF(LEN(VLOOKUP($B43,Database!$B$1:$IX$10144,2,FALSE))=0,"",VLOOKUP($B43,Database!$B$1:$IX$10144,2,FALSE))))</f>
        <v/>
      </c>
      <c r="D43" s="1" t="str">
        <f t="shared" si="1"/>
        <v>http://www.ncbi.nlm.nih.gov/pubmed/19464062</v>
      </c>
      <c r="E43" s="22" t="str">
        <f>IF($B43="","",IF(LEN(VLOOKUP($B43,Database!$B$1:$IX$10144,4,FALSE))=0,"",VLOOKUP($B43,Database!$B$1:$IX$10144,4,FALSE)))</f>
        <v>Lorenzetti V (B)</v>
      </c>
      <c r="F43" s="22">
        <f>IF($B43="","",IF(LEN(VLOOKUP($B43,Database!$B$1:$IX$10144,5,FALSE))=0,"",VLOOKUP($B43,Database!$B$1:$IX$10144,5,FALSE)))</f>
        <v>2009</v>
      </c>
      <c r="G43" s="1" t="str">
        <f>IF($B43="","",HYPERLINK(IF(LEN(VLOOKUP($B43,Database!$B$1:$IX$10144,6,FALSE))=0,"",VLOOKUP($B43,Database!$B$1:$IX$10144,6,FALSE))))</f>
        <v>http://dx.doi.org/10.1016/j.jad.2009.04.021</v>
      </c>
      <c r="H43" s="83">
        <v>29</v>
      </c>
      <c r="I43" s="83">
        <v>15.5</v>
      </c>
      <c r="J43" t="s">
        <v>344</v>
      </c>
      <c r="K43" t="s">
        <v>345</v>
      </c>
      <c r="L43">
        <v>1606.54</v>
      </c>
      <c r="M43">
        <v>170.18</v>
      </c>
      <c r="N43">
        <v>1564.76</v>
      </c>
      <c r="O43">
        <v>145.19</v>
      </c>
      <c r="P43">
        <v>1657.09</v>
      </c>
      <c r="Q43">
        <v>172.29</v>
      </c>
      <c r="R43">
        <v>1641.36</v>
      </c>
      <c r="S43">
        <v>159.55000000000001</v>
      </c>
      <c r="Y43" s="22" t="str">
        <f>IF(OR($B43="",Y$22=""),"",IF(LEN(VLOOKUP($B43,Database!$B$1:$IX$10144,Y$22,FALSE))=0,"",VLOOKUP($B43,Database!$B$1:$IX$10144,Y$22,FALSE)))</f>
        <v>DSM-IV</v>
      </c>
      <c r="Z43" s="22" t="str">
        <f>IF(OR($B43="",Z$22=""),"",IF(LEN(VLOOKUP($B43,Database!$B$1:$IX$10144,Z$22,FALSE))=0,"",VLOOKUP($B43,Database!$B$1:$IX$10144,Z$22,FALSE)))</f>
        <v>MRI</v>
      </c>
      <c r="AA43" s="214" t="s">
        <v>2457</v>
      </c>
      <c r="AB43" s="214">
        <v>35.520000000000003</v>
      </c>
      <c r="AC43" s="214">
        <v>8.2799999999999994</v>
      </c>
      <c r="AD43" s="22">
        <f>IF(OR($B43="",AD$22=""),"",IF(LEN(VLOOKUP($B43,Database!$B$1:$IX$10144,AD$22,FALSE))=0,"",VLOOKUP($B43,Database!$B$1:$IX$10144,AD$22,FALSE)))</f>
        <v>34.68</v>
      </c>
      <c r="AE43" s="22">
        <f>IF(OR($B43="",AE$22=""),"",IF(LEN(VLOOKUP($B43,Database!$B$1:$IX$10144,AE$22,FALSE))=0,"",VLOOKUP($B43,Database!$B$1:$IX$10144,AE$22,FALSE)))</f>
        <v>9.86</v>
      </c>
      <c r="AF43" s="214">
        <v>22</v>
      </c>
      <c r="AG43" s="22">
        <f>IF(OR($B43="",AG$22=""),"",IF(LEN(VLOOKUP($B43,Database!$B$1:$IX$10144,AG$22,FALSE))=0,"",VLOOKUP($B43,Database!$B$1:$IX$10144,AG$22,FALSE)))</f>
        <v>21</v>
      </c>
      <c r="AH43" s="22">
        <f>IF(OR($B43="",AH$22=""),"",IF(LEN(VLOOKUP($B43,Database!$B$1:$IX$10144,AH$22,FALSE))=0,"",VLOOKUP($B43,Database!$B$1:$IX$10144,AH$22,FALSE)))</f>
        <v>1.5</v>
      </c>
      <c r="AI43" s="22">
        <f>IF(OR($B43="",AI$22=""),"",IF(LEN(VLOOKUP($B43,Database!$B$1:$IX$10144,AI$22,FALSE))=0,"",VLOOKUP($B43,Database!$B$1:$IX$10144,AI$22,FALSE)))</f>
        <v>1</v>
      </c>
      <c r="AJ43" s="22" t="str">
        <f>IF(OR($B43="",AJ$22=""),"",IF(LEN(VLOOKUP($B43,Database!$B$1:$IX$10144,AJ$22,FALSE))=0,"",VLOOKUP($B43,Database!$B$1:$IX$10144,AJ$22,FALSE)))</f>
        <v/>
      </c>
      <c r="AK43" s="214">
        <v>21.07</v>
      </c>
      <c r="AL43" s="22" t="str">
        <f>IF(OR($B43="",AL$22=""),"",IF(LEN(VLOOKUP($B43,Database!$B$1:$IX$10144,AL$22,FALSE))=0,"",VLOOKUP($B43,Database!$B$1:$IX$10144,AL$22,FALSE)))</f>
        <v>ns</v>
      </c>
      <c r="AM43" s="22" t="str">
        <f>IF(OR($B43="",AM$22=""),"",IF(LEN(VLOOKUP($B43,Database!$B$1:$IX$10144,AM$22,FALSE))=0,"",VLOOKUP($B43,Database!$B$1:$IX$10144,AM$22,FALSE)))</f>
        <v/>
      </c>
      <c r="AN43" s="22" t="str">
        <f>IF(OR($B43="",AN$22=""),"",IF(LEN(VLOOKUP($B43,Database!$B$1:$IX$10144,AN$22,FALSE))=0,"",VLOOKUP($B43,Database!$B$1:$IX$10144,AN$22,FALSE)))</f>
        <v/>
      </c>
      <c r="AO43" s="22" t="str">
        <f>IF(OR($B43="",AO$22=""),"",IF(LEN(VLOOKUP($B43,Database!$B$1:$IX$10144,AO$22,FALSE))=0,"",VLOOKUP($B43,Database!$B$1:$IX$10144,AO$22,FALSE)))</f>
        <v/>
      </c>
      <c r="AP43" s="22">
        <f>IF(OR($B43="",AP$22=""),"",IF(LEN(VLOOKUP($B43,Database!$B$1:$IX$10144,AP$22,FALSE))=0,"",VLOOKUP($B43,Database!$B$1:$IX$10144,AP$22,FALSE)))</f>
        <v>16.071428571428573</v>
      </c>
      <c r="AQ43" s="22" t="str">
        <f>IF(OR($B43="",AQ$22=""),"",IF(LEN(VLOOKUP($B43,Database!$B$1:$IX$10144,AQ$22,FALSE))=0,"",VLOOKUP($B43,Database!$B$1:$IX$10144,AQ$22,FALSE)))</f>
        <v>Lorenzetti V, Allen NB, Whittle S, Yücel M.</v>
      </c>
      <c r="AR43" s="13"/>
      <c r="AU43" s="13"/>
      <c r="AX43" s="13"/>
      <c r="AY43" s="13"/>
      <c r="AZ43" s="13"/>
      <c r="BA43" s="13"/>
      <c r="BC43" s="23"/>
      <c r="BF43" s="136"/>
      <c r="BG43" s="136"/>
      <c r="BH43" s="136"/>
      <c r="BI43" s="136"/>
    </row>
    <row r="44" spans="2:61">
      <c r="B44" s="2">
        <v>19464062</v>
      </c>
      <c r="C44" s="1" t="str">
        <f>IF($B44="","",HYPERLINK(IF(LEN(VLOOKUP($B44,Database!$B$1:$IX$10144,2,FALSE))=0,"",VLOOKUP($B44,Database!$B$1:$IX$10144,2,FALSE))))</f>
        <v/>
      </c>
      <c r="D44" s="1" t="str">
        <f t="shared" si="1"/>
        <v>http://www.ncbi.nlm.nih.gov/pubmed/19464062</v>
      </c>
      <c r="E44" s="22" t="str">
        <f>IF($B44="","",IF(LEN(VLOOKUP($B44,Database!$B$1:$IX$10144,4,FALSE))=0,"",VLOOKUP($B44,Database!$B$1:$IX$10144,4,FALSE)))</f>
        <v>Lorenzetti V (B)</v>
      </c>
      <c r="F44" s="22">
        <f>IF($B44="","",IF(LEN(VLOOKUP($B44,Database!$B$1:$IX$10144,5,FALSE))=0,"",VLOOKUP($B44,Database!$B$1:$IX$10144,5,FALSE)))</f>
        <v>2009</v>
      </c>
      <c r="G44" s="1" t="str">
        <f>IF($B44="","",HYPERLINK(IF(LEN(VLOOKUP($B44,Database!$B$1:$IX$10144,6,FALSE))=0,"",VLOOKUP($B44,Database!$B$1:$IX$10144,6,FALSE))))</f>
        <v>http://dx.doi.org/10.1016/j.jad.2009.04.021</v>
      </c>
      <c r="H44" s="83">
        <v>27</v>
      </c>
      <c r="I44" s="83">
        <v>15.5</v>
      </c>
      <c r="J44" t="s">
        <v>344</v>
      </c>
      <c r="K44" t="s">
        <v>272</v>
      </c>
      <c r="L44">
        <v>1666.74</v>
      </c>
      <c r="M44">
        <v>201.91</v>
      </c>
      <c r="N44">
        <v>1564.76</v>
      </c>
      <c r="O44">
        <v>145.19</v>
      </c>
      <c r="P44">
        <v>1642.96</v>
      </c>
      <c r="Q44">
        <v>186.15</v>
      </c>
      <c r="R44">
        <v>1641.36</v>
      </c>
      <c r="S44">
        <v>159.55000000000001</v>
      </c>
      <c r="Y44" s="22" t="str">
        <f>IF(OR($B44="",Y$22=""),"",IF(LEN(VLOOKUP($B44,Database!$B$1:$IX$10144,Y$22,FALSE))=0,"",VLOOKUP($B44,Database!$B$1:$IX$10144,Y$22,FALSE)))</f>
        <v>DSM-IV</v>
      </c>
      <c r="Z44" s="22" t="str">
        <f>IF(OR($B44="",Z$22=""),"",IF(LEN(VLOOKUP($B44,Database!$B$1:$IX$10144,Z$22,FALSE))=0,"",VLOOKUP($B44,Database!$B$1:$IX$10144,Z$22,FALSE)))</f>
        <v>MRI</v>
      </c>
      <c r="AA44" s="214" t="s">
        <v>2448</v>
      </c>
      <c r="AB44" s="214">
        <v>35.07</v>
      </c>
      <c r="AC44" s="214">
        <v>9.9600000000000009</v>
      </c>
      <c r="AD44" s="22">
        <f>IF(OR($B44="",AD$22=""),"",IF(LEN(VLOOKUP($B44,Database!$B$1:$IX$10144,AD$22,FALSE))=0,"",VLOOKUP($B44,Database!$B$1:$IX$10144,AD$22,FALSE)))</f>
        <v>34.68</v>
      </c>
      <c r="AE44" s="22">
        <f>IF(OR($B44="",AE$22=""),"",IF(LEN(VLOOKUP($B44,Database!$B$1:$IX$10144,AE$22,FALSE))=0,"",VLOOKUP($B44,Database!$B$1:$IX$10144,AE$22,FALSE)))</f>
        <v>9.86</v>
      </c>
      <c r="AF44" s="214">
        <v>18</v>
      </c>
      <c r="AG44" s="22">
        <f>IF(OR($B44="",AG$22=""),"",IF(LEN(VLOOKUP($B44,Database!$B$1:$IX$10144,AG$22,FALSE))=0,"",VLOOKUP($B44,Database!$B$1:$IX$10144,AG$22,FALSE)))</f>
        <v>21</v>
      </c>
      <c r="AH44" s="22">
        <f>IF(OR($B44="",AH$22=""),"",IF(LEN(VLOOKUP($B44,Database!$B$1:$IX$10144,AH$22,FALSE))=0,"",VLOOKUP($B44,Database!$B$1:$IX$10144,AH$22,FALSE)))</f>
        <v>1.5</v>
      </c>
      <c r="AI44" s="22">
        <f>IF(OR($B44="",AI$22=""),"",IF(LEN(VLOOKUP($B44,Database!$B$1:$IX$10144,AI$22,FALSE))=0,"",VLOOKUP($B44,Database!$B$1:$IX$10144,AI$22,FALSE)))</f>
        <v>1</v>
      </c>
      <c r="AJ44" s="22" t="str">
        <f>IF(OR($B44="",AJ$22=""),"",IF(LEN(VLOOKUP($B44,Database!$B$1:$IX$10144,AJ$22,FALSE))=0,"",VLOOKUP($B44,Database!$B$1:$IX$10144,AJ$22,FALSE)))</f>
        <v/>
      </c>
      <c r="AK44" s="214">
        <v>26.04</v>
      </c>
      <c r="AL44" s="22" t="str">
        <f>IF(OR($B44="",AL$22=""),"",IF(LEN(VLOOKUP($B44,Database!$B$1:$IX$10144,AL$22,FALSE))=0,"",VLOOKUP($B44,Database!$B$1:$IX$10144,AL$22,FALSE)))</f>
        <v>ns</v>
      </c>
      <c r="AM44" s="22" t="str">
        <f>IF(OR($B44="",AM$22=""),"",IF(LEN(VLOOKUP($B44,Database!$B$1:$IX$10144,AM$22,FALSE))=0,"",VLOOKUP($B44,Database!$B$1:$IX$10144,AM$22,FALSE)))</f>
        <v/>
      </c>
      <c r="AN44" s="22" t="str">
        <f>IF(OR($B44="",AN$22=""),"",IF(LEN(VLOOKUP($B44,Database!$B$1:$IX$10144,AN$22,FALSE))=0,"",VLOOKUP($B44,Database!$B$1:$IX$10144,AN$22,FALSE)))</f>
        <v/>
      </c>
      <c r="AO44" s="22" t="str">
        <f>IF(OR($B44="",AO$22=""),"",IF(LEN(VLOOKUP($B44,Database!$B$1:$IX$10144,AO$22,FALSE))=0,"",VLOOKUP($B44,Database!$B$1:$IX$10144,AO$22,FALSE)))</f>
        <v/>
      </c>
      <c r="AP44" s="22">
        <f>IF(OR($B44="",AP$22=""),"",IF(LEN(VLOOKUP($B44,Database!$B$1:$IX$10144,AP$22,FALSE))=0,"",VLOOKUP($B44,Database!$B$1:$IX$10144,AP$22,FALSE)))</f>
        <v>16.071428571428573</v>
      </c>
      <c r="AQ44" s="22" t="str">
        <f>IF(OR($B44="",AQ$22=""),"",IF(LEN(VLOOKUP($B44,Database!$B$1:$IX$10144,AQ$22,FALSE))=0,"",VLOOKUP($B44,Database!$B$1:$IX$10144,AQ$22,FALSE)))</f>
        <v>Lorenzetti V, Allen NB, Whittle S, Yücel M.</v>
      </c>
      <c r="AR44" s="13"/>
      <c r="AU44" s="13"/>
      <c r="AX44" s="13"/>
      <c r="AY44" s="13"/>
      <c r="AZ44" s="13"/>
      <c r="BA44" s="13"/>
      <c r="BC44" s="23"/>
      <c r="BF44" s="136"/>
      <c r="BG44" s="136"/>
      <c r="BH44" s="136"/>
      <c r="BI44" s="136"/>
    </row>
    <row r="45" spans="2:61">
      <c r="B45" s="2">
        <v>19394960</v>
      </c>
      <c r="C45" s="1" t="str">
        <f>IF($B45="","",HYPERLINK(IF(LEN(VLOOKUP($B45,Database!$B$1:$IX$10144,2,FALSE))=0,"",VLOOKUP($B45,Database!$B$1:$IX$10144,2,FALSE))))</f>
        <v/>
      </c>
      <c r="D45" s="1" t="str">
        <f t="shared" si="1"/>
        <v>http://www.ncbi.nlm.nih.gov/pubmed/19394960</v>
      </c>
      <c r="E45" s="22" t="str">
        <f>IF($B45="","",IF(LEN(VLOOKUP($B45,Database!$B$1:$IX$10144,4,FALSE))=0,"",VLOOKUP($B45,Database!$B$1:$IX$10144,4,FALSE)))</f>
        <v>Kronenberg G</v>
      </c>
      <c r="F45" s="22">
        <f>IF($B45="","",IF(LEN(VLOOKUP($B45,Database!$B$1:$IX$10144,5,FALSE))=0,"",VLOOKUP($B45,Database!$B$1:$IX$10144,5,FALSE)))</f>
        <v>2009</v>
      </c>
      <c r="G45" s="1" t="str">
        <f>IF($B45="","",HYPERLINK(IF(LEN(VLOOKUP($B45,Database!$B$1:$IX$10144,6,FALSE))=0,"",VLOOKUP($B45,Database!$B$1:$IX$10144,6,FALSE))))</f>
        <v>http://dx.doi.org/10.1016/j.jpsychires.2009.03.007</v>
      </c>
      <c r="H45" s="22">
        <f>IF($B45="","",IF(LEN(VLOOKUP($B45,Database!$B$1:$IX$10144,7,FALSE))=0,"",VLOOKUP($B45,Database!$B$1:$IX$10144,7,FALSE)))</f>
        <v>24</v>
      </c>
      <c r="I45" s="22">
        <f>IF($B45="","",IF(LEN(VLOOKUP($B45,Database!$B$1:$IX$10144,8,FALSE))=0,"",VLOOKUP($B45,Database!$B$1:$IX$10144,8,FALSE)))</f>
        <v>14</v>
      </c>
      <c r="J45" t="s">
        <v>343</v>
      </c>
      <c r="L45">
        <v>1.71</v>
      </c>
      <c r="M45">
        <v>0.34</v>
      </c>
      <c r="N45">
        <v>1.97</v>
      </c>
      <c r="O45">
        <v>0.26</v>
      </c>
      <c r="P45">
        <v>1.74</v>
      </c>
      <c r="Q45">
        <v>0.27</v>
      </c>
      <c r="R45">
        <v>1.97</v>
      </c>
      <c r="S45">
        <v>0.28000000000000003</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54.5</v>
      </c>
      <c r="AC45" s="22">
        <f>IF(OR($B45="",AC$22=""),"",IF(LEN(VLOOKUP($B45,Database!$B$1:$IX$10144,AC$22,FALSE))=0,"",VLOOKUP($B45,Database!$B$1:$IX$10144,AC$22,FALSE)))</f>
        <v>11.9</v>
      </c>
      <c r="AD45" s="22">
        <f>IF(OR($B45="",AD$22=""),"",IF(LEN(VLOOKUP($B45,Database!$B$1:$IX$10144,AD$22,FALSE))=0,"",VLOOKUP($B45,Database!$B$1:$IX$10144,AD$22,FALSE)))</f>
        <v>53.8</v>
      </c>
      <c r="AE45" s="22">
        <f>IF(OR($B45="",AE$22=""),"",IF(LEN(VLOOKUP($B45,Database!$B$1:$IX$10144,AE$22,FALSE))=0,"",VLOOKUP($B45,Database!$B$1:$IX$10144,AE$22,FALSE)))</f>
        <v>17.7</v>
      </c>
      <c r="AF45" s="22">
        <f>IF(OR($B45="",AF$22=""),"",IF(LEN(VLOOKUP($B45,Database!$B$1:$IX$10144,AF$22,FALSE))=0,"",VLOOKUP($B45,Database!$B$1:$IX$10144,AF$22,FALSE)))</f>
        <v>15</v>
      </c>
      <c r="AG45" s="22">
        <f>IF(OR($B45="",AG$22=""),"",IF(LEN(VLOOKUP($B45,Database!$B$1:$IX$10144,AG$22,FALSE))=0,"",VLOOKUP($B45,Database!$B$1:$IX$10144,AG$22,FALSE)))</f>
        <v>8</v>
      </c>
      <c r="AH45" s="22">
        <f>IF(OR($B45="",AH$22=""),"",IF(LEN(VLOOKUP($B45,Database!$B$1:$IX$10144,AH$22,FALSE))=0,"",VLOOKUP($B45,Database!$B$1:$IX$10144,AH$22,FALSE)))</f>
        <v>1.5</v>
      </c>
      <c r="AI45" s="22">
        <f>IF(OR($B45="",AI$22=""),"",IF(LEN(VLOOKUP($B45,Database!$B$1:$IX$10144,AI$22,FALSE))=0,"",VLOOKUP($B45,Database!$B$1:$IX$10144,AI$22,FALSE)))</f>
        <v>1.05</v>
      </c>
      <c r="AJ45" s="22" t="str">
        <f>IF(OR($B45="",AJ$22=""),"",IF(LEN(VLOOKUP($B45,Database!$B$1:$IX$10144,AJ$22,FALSE))=0,"",VLOOKUP($B45,Database!$B$1:$IX$10144,AJ$22,FALSE)))</f>
        <v/>
      </c>
      <c r="AK45" s="22" t="str">
        <f>IF(OR($B45="",AK$22=""),"",IF(LEN(VLOOKUP($B45,Database!$B$1:$IX$10144,AK$22,FALSE))=0,"",VLOOKUP($B45,Database!$B$1:$IX$10144,AK$22,FALSE)))</f>
        <v>ns</v>
      </c>
      <c r="AL45" s="22">
        <f>IF(OR($B45="",AL$22=""),"",IF(LEN(VLOOKUP($B45,Database!$B$1:$IX$10144,AL$22,FALSE))=0,"",VLOOKUP($B45,Database!$B$1:$IX$10144,AL$22,FALSE)))</f>
        <v>25.3</v>
      </c>
      <c r="AM45" s="22">
        <f>IF(OR($B45="",AM$22=""),"",IF(LEN(VLOOKUP($B45,Database!$B$1:$IX$10144,AM$22,FALSE))=0,"",VLOOKUP($B45,Database!$B$1:$IX$10144,AM$22,FALSE)))</f>
        <v>0</v>
      </c>
      <c r="AN45" s="22">
        <f>IF(OR($B45="",AN$22=""),"",IF(LEN(VLOOKUP($B45,Database!$B$1:$IX$10144,AN$22,FALSE))=0,"",VLOOKUP($B45,Database!$B$1:$IX$10144,AN$22,FALSE)))</f>
        <v>0</v>
      </c>
      <c r="AO45" s="22">
        <f>IF(OR($B45="",AO$22=""),"",IF(LEN(VLOOKUP($B45,Database!$B$1:$IX$10144,AO$22,FALSE))=0,"",VLOOKUP($B45,Database!$B$1:$IX$10144,AO$22,FALSE)))</f>
        <v>0</v>
      </c>
      <c r="AP45" s="22" t="str">
        <f>IF(OR($B45="",AP$22=""),"",IF(LEN(VLOOKUP($B45,Database!$B$1:$IX$10144,AP$22,FALSE))=0,"",VLOOKUP($B45,Database!$B$1:$IX$10144,AP$22,FALSE)))</f>
        <v>ns</v>
      </c>
      <c r="AQ45" s="211" t="str">
        <f>IF(OR($B45="",AQ$22=""),"",IF(LEN(VLOOKUP($B45,Database!$B$1:$IX$10144,AQ$22,FALSE))=0,"",VLOOKUP($B45,Database!$B$1:$IX$10144,AQ$22,FALSE)))</f>
        <v>Kronenberg G, Tebartz van Elst L, Regen F, Deuschle M, Heuser I, Colla M.</v>
      </c>
      <c r="AR45" s="13"/>
      <c r="AX45" s="13"/>
      <c r="AY45" s="13"/>
      <c r="AZ45" s="13"/>
      <c r="BA45" s="13"/>
      <c r="BC45" s="23"/>
      <c r="BF45" s="136"/>
      <c r="BG45" s="136"/>
      <c r="BH45" s="136"/>
      <c r="BI45" s="136"/>
    </row>
    <row r="46" spans="2:61">
      <c r="B46">
        <v>20018381</v>
      </c>
      <c r="C46" s="1" t="str">
        <f>IF($B46="","",HYPERLINK(IF(LEN(VLOOKUP($B46,Database!$B$1:$IX$10144,2,FALSE))=0,"",VLOOKUP($B46,Database!$B$1:$IX$10144,2,FALSE))))</f>
        <v/>
      </c>
      <c r="D46" s="1" t="str">
        <f>IF($B46="","",HYPERLINK(CONCATENATE("http://www.ncbi.nlm.nih.gov/pubmed/",B46)))</f>
        <v>http://www.ncbi.nlm.nih.gov/pubmed/20018381</v>
      </c>
      <c r="E46" s="22" t="str">
        <f>IF($B46="","",IF(LEN(VLOOKUP($B46,Database!$B$1:$IX$10144,4,FALSE))=0,"",VLOOKUP($B46,Database!$B$1:$IX$10144,4,FALSE)))</f>
        <v>Weber K</v>
      </c>
      <c r="F46" s="22">
        <f>IF($B46="","",IF(LEN(VLOOKUP($B46,Database!$B$1:$IX$10144,5,FALSE))=0,"",VLOOKUP($B46,Database!$B$1:$IX$10144,5,FALSE)))</f>
        <v>2009</v>
      </c>
      <c r="G46" s="1" t="str">
        <f>IF($B46="","",HYPERLINK(IF(LEN(VLOOKUP($B46,Database!$B$1:$IX$10144,6,FALSE))=0,"",VLOOKUP($B46,Database!$B$1:$IX$10144,6,FALSE))))</f>
        <v>http://dx.doi.org/10.1016/j.jad.2009.11.016</v>
      </c>
      <c r="H46" s="22">
        <f>IF($B46="","",IF(LEN(VLOOKUP($B46,Database!$B$1:$IX$10144,7,FALSE))=0,"",VLOOKUP($B46,Database!$B$1:$IX$10144,7,FALSE)))</f>
        <v>38</v>
      </c>
      <c r="I46" s="22">
        <f>IF($B46="","",IF(LEN(VLOOKUP($B46,Database!$B$1:$IX$10144,8,FALSE))=0,"",VLOOKUP($B46,Database!$B$1:$IX$10144,8,FALSE)))</f>
        <v>62</v>
      </c>
      <c r="J46" t="s">
        <v>2393</v>
      </c>
      <c r="L46">
        <v>0.83</v>
      </c>
      <c r="M46">
        <v>0.15</v>
      </c>
      <c r="N46">
        <v>0.83</v>
      </c>
      <c r="O46">
        <v>0.13</v>
      </c>
      <c r="P46">
        <v>0.84</v>
      </c>
      <c r="Q46">
        <v>0.13</v>
      </c>
      <c r="R46">
        <v>0.85</v>
      </c>
      <c r="S46">
        <v>0.15</v>
      </c>
      <c r="T46">
        <v>1.67</v>
      </c>
      <c r="U46">
        <v>0.25</v>
      </c>
      <c r="V46">
        <v>1.68</v>
      </c>
      <c r="W46">
        <v>0.27</v>
      </c>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66.11</v>
      </c>
      <c r="AC46" s="22">
        <f>IF(OR($B46="",AC$22=""),"",IF(LEN(VLOOKUP($B46,Database!$B$1:$IX$10144,AC$22,FALSE))=0,"",VLOOKUP($B46,Database!$B$1:$IX$10144,AC$22,FALSE)))</f>
        <v>6.22</v>
      </c>
      <c r="AD46" s="22">
        <f>IF(OR($B46="",AD$22=""),"",IF(LEN(VLOOKUP($B46,Database!$B$1:$IX$10144,AD$22,FALSE))=0,"",VLOOKUP($B46,Database!$B$1:$IX$10144,AD$22,FALSE)))</f>
        <v>71.099999999999994</v>
      </c>
      <c r="AE46" s="22">
        <f>IF(OR($B46="",AE$22=""),"",IF(LEN(VLOOKUP($B46,Database!$B$1:$IX$10144,AE$22,FALSE))=0,"",VLOOKUP($B46,Database!$B$1:$IX$10144,AE$22,FALSE)))</f>
        <v>7.26</v>
      </c>
      <c r="AF46" s="22">
        <f>IF(OR($B46="",AF$22=""),"",IF(LEN(VLOOKUP($B46,Database!$B$1:$IX$10144,AF$22,FALSE))=0,"",VLOOKUP($B46,Database!$B$1:$IX$10144,AF$22,FALSE)))</f>
        <v>31</v>
      </c>
      <c r="AG46" s="22">
        <f>IF(OR($B46="",AG$22=""),"",IF(LEN(VLOOKUP($B46,Database!$B$1:$IX$10144,AG$22,FALSE))=0,"",VLOOKUP($B46,Database!$B$1:$IX$10144,AG$22,FALSE)))</f>
        <v>48</v>
      </c>
      <c r="AH46" s="22">
        <f>IF(OR($B46="",AH$22=""),"",IF(LEN(VLOOKUP($B46,Database!$B$1:$IX$10144,AH$22,FALSE))=0,"",VLOOKUP($B46,Database!$B$1:$IX$10144,AH$22,FALSE)))</f>
        <v>3</v>
      </c>
      <c r="AI46" s="22">
        <f>IF(OR($B46="",AI$22=""),"",IF(LEN(VLOOKUP($B46,Database!$B$1:$IX$10144,AI$22,FALSE))=0,"",VLOOKUP($B46,Database!$B$1:$IX$10144,AI$22,FALSE)))</f>
        <v>0.9</v>
      </c>
      <c r="AJ46" s="22" t="str">
        <f>IF(OR($B46="",AJ$22=""),"",IF(LEN(VLOOKUP($B46,Database!$B$1:$IX$10144,AJ$22,FALSE))=0,"",VLOOKUP($B46,Database!$B$1:$IX$10144,AJ$22,FALSE)))</f>
        <v/>
      </c>
      <c r="AK46" s="22">
        <f>IF(OR($B46="",AK$22=""),"",IF(LEN(VLOOKUP($B46,Database!$B$1:$IX$10144,AK$22,FALSE))=0,"",VLOOKUP($B46,Database!$B$1:$IX$10144,AK$22,FALSE)))</f>
        <v>37.76</v>
      </c>
      <c r="AL46" s="22" t="str">
        <f>IF(OR($B46="",AL$22=""),"",IF(LEN(VLOOKUP($B46,Database!$B$1:$IX$10144,AL$22,FALSE))=0,"",VLOOKUP($B46,Database!$B$1:$IX$10144,AL$22,FALSE)))</f>
        <v>ns</v>
      </c>
      <c r="AM46" s="22">
        <f>IF(OR($B46="",AM$22=""),"",IF(LEN(VLOOKUP($B46,Database!$B$1:$IX$10144,AM$22,FALSE))=0,"",VLOOKUP($B46,Database!$B$1:$IX$10144,AM$22,FALSE)))</f>
        <v>47.368421052631575</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11" t="str">
        <f>IF(OR($B46="",AQ$22=""),"",IF(LEN(VLOOKUP($B46,Database!$B$1:$IX$10144,AQ$22,FALSE))=0,"",VLOOKUP($B46,Database!$B$1:$IX$10144,AQ$22,FALSE)))</f>
        <v>Weber K, Giannakopoulos P, Delaloye C, de Bilbao F, Moy G, Moussa A, Rubio MM, Ebbing K, Meuli R, Lazeyras F, Meiler-Mititelu C, Herrmann FR, Gold G, Canuto A.</v>
      </c>
      <c r="AR46" s="13"/>
      <c r="AX46" s="13"/>
      <c r="AY46" s="13"/>
      <c r="AZ46" s="13"/>
      <c r="BA46" s="13"/>
      <c r="BC46" s="23"/>
      <c r="BF46" s="136"/>
      <c r="BG46" s="136"/>
      <c r="BH46" s="136"/>
      <c r="BI46" s="136"/>
    </row>
    <row r="47" spans="2:61">
      <c r="B47" s="2"/>
      <c r="C47" s="1"/>
      <c r="D47" s="1"/>
      <c r="E47" s="22"/>
      <c r="F47" s="22"/>
      <c r="G47" s="1"/>
      <c r="H47" s="22"/>
      <c r="I47" s="22"/>
      <c r="Y47" s="22"/>
      <c r="Z47" s="22"/>
      <c r="AA47" s="22"/>
      <c r="AB47" s="22"/>
      <c r="AC47" s="22"/>
      <c r="AD47" s="22"/>
      <c r="AE47" s="22"/>
      <c r="AF47" s="22"/>
      <c r="AG47" s="22"/>
      <c r="AH47" s="22"/>
      <c r="AI47" s="22"/>
      <c r="AJ47" s="22"/>
      <c r="AK47" s="22"/>
      <c r="AL47" s="22"/>
      <c r="AM47" s="22"/>
      <c r="AN47" s="22"/>
      <c r="AO47" s="22"/>
      <c r="AP47" s="22"/>
      <c r="AQ47" s="211"/>
    </row>
    <row r="48" spans="2:61">
      <c r="C48" s="1"/>
      <c r="D48" s="1"/>
      <c r="E48" s="22"/>
      <c r="F48" s="22"/>
      <c r="G48" s="1"/>
      <c r="H48" s="22"/>
      <c r="I48" s="22"/>
      <c r="Y48" s="22"/>
      <c r="Z48" s="22"/>
      <c r="AA48" s="22"/>
      <c r="AB48" s="22"/>
      <c r="AC48" s="22"/>
      <c r="AD48" s="22"/>
      <c r="AE48" s="22"/>
      <c r="AF48" s="22"/>
      <c r="AG48" s="22"/>
      <c r="AH48" s="22"/>
      <c r="AI48" s="22"/>
      <c r="AJ48" s="22"/>
      <c r="AK48" s="22"/>
      <c r="AL48" s="22"/>
      <c r="AM48" s="22"/>
      <c r="AN48" s="22"/>
      <c r="AO48" s="22"/>
      <c r="AP48" s="22"/>
      <c r="AQ48" s="211"/>
    </row>
    <row r="49" spans="1:51">
      <c r="A49" s="4" t="s">
        <v>1510</v>
      </c>
      <c r="C49" s="1"/>
      <c r="D49" s="1"/>
      <c r="E49" s="22"/>
      <c r="F49" s="22"/>
      <c r="G49" s="1"/>
      <c r="H49" s="22"/>
      <c r="I49" s="22"/>
      <c r="Y49" s="22"/>
      <c r="Z49" s="22"/>
      <c r="AA49" s="22"/>
      <c r="AB49" s="22"/>
      <c r="AC49" s="22"/>
      <c r="AD49" s="22"/>
      <c r="AE49" s="22"/>
      <c r="AF49" s="22"/>
      <c r="AG49" s="22"/>
      <c r="AH49" s="22"/>
      <c r="AI49" s="22"/>
      <c r="AJ49" s="22"/>
      <c r="AK49" s="22"/>
      <c r="AL49" s="22"/>
      <c r="AM49" s="22"/>
      <c r="AN49" s="22"/>
      <c r="AO49" s="22"/>
      <c r="AP49" s="22"/>
      <c r="AQ49" s="211"/>
    </row>
    <row r="50" spans="1:51">
      <c r="A50" s="10" t="s">
        <v>1914</v>
      </c>
      <c r="B50">
        <v>10366636</v>
      </c>
      <c r="C50" s="1" t="str">
        <f>IF($B50="","",HYPERLINK(IF(LEN(VLOOKUP($B50,Database!$B$1:$IX$10144,2,FALSE))=0,"",VLOOKUP($B50,Database!$B$1:$IX$10144,2,FALSE))))</f>
        <v/>
      </c>
      <c r="D50" s="1" t="str">
        <f t="shared" ref="D50:D56" si="2">IF($B50="","",HYPERLINK(CONCATENATE("http://www.ncbi.nlm.nih.gov/pubmed/",B50)))</f>
        <v>http://www.ncbi.nlm.nih.gov/pubmed/10366636</v>
      </c>
      <c r="E50" s="22" t="str">
        <f>IF($B50="","",IF(LEN(VLOOKUP($B50,Database!$B$1:$IX$10144,4,FALSE))=0,"",VLOOKUP($B50,Database!$B$1:$IX$10144,4,FALSE)))</f>
        <v>Sheline YI</v>
      </c>
      <c r="F50" s="22">
        <f>IF($B50="","",IF(LEN(VLOOKUP($B50,Database!$B$1:$IX$10144,5,FALSE))=0,"",VLOOKUP($B50,Database!$B$1:$IX$10144,5,FALSE)))</f>
        <v>1999</v>
      </c>
      <c r="G50" s="1" t="str">
        <f>IF($B50="","",HYPERLINK(IF(LEN(VLOOKUP($B50,Database!$B$1:$IX$10144,6,FALSE))=0,"",VLOOKUP($B50,Database!$B$1:$IX$10144,6,FALSE))))</f>
        <v>http://ajp.psychiatryonline.org/cgi/reprint/156/12/1989</v>
      </c>
      <c r="H50" s="22">
        <f>IF($B50="","",IF(LEN(VLOOKUP($B50,Database!$B$1:$IX$10144,7,FALSE))=0,"",VLOOKUP($B50,Database!$B$1:$IX$10144,7,FALSE)))</f>
        <v>24</v>
      </c>
      <c r="I50" s="22">
        <f>IF($B50="","",IF(LEN(VLOOKUP($B50,Database!$B$1:$IX$10144,8,FALSE))=0,"",VLOOKUP($B50,Database!$B$1:$IX$10144,8,FALSE)))</f>
        <v>24</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52.8</v>
      </c>
      <c r="AC50" s="22">
        <f>IF(OR($B50="",AC$22=""),"",IF(LEN(VLOOKUP($B50,Database!$B$1:$IX$10144,AC$22,FALSE))=0,"",VLOOKUP($B50,Database!$B$1:$IX$10144,AC$22,FALSE)))</f>
        <v>18.399999999999999</v>
      </c>
      <c r="AD50" s="22">
        <f>IF(OR($B50="",AD$22=""),"",IF(LEN(VLOOKUP($B50,Database!$B$1:$IX$10144,AD$22,FALSE))=0,"",VLOOKUP($B50,Database!$B$1:$IX$10144,AD$22,FALSE)))</f>
        <v>52.8</v>
      </c>
      <c r="AE50" s="22">
        <f>IF(OR($B50="",AE$22=""),"",IF(LEN(VLOOKUP($B50,Database!$B$1:$IX$10144,AE$22,FALSE))=0,"",VLOOKUP($B50,Database!$B$1:$IX$10144,AE$22,FALSE)))</f>
        <v>17.8</v>
      </c>
      <c r="AF50" s="22">
        <f>IF(OR($B50="",AF$22=""),"",IF(LEN(VLOOKUP($B50,Database!$B$1:$IX$10144,AF$22,FALSE))=0,"",VLOOKUP($B50,Database!$B$1:$IX$10144,AF$22,FALSE)))</f>
        <v>24</v>
      </c>
      <c r="AG50" s="22">
        <f>IF(OR($B50="",AG$22=""),"",IF(LEN(VLOOKUP($B50,Database!$B$1:$IX$10144,AG$22,FALSE))=0,"",VLOOKUP($B50,Database!$B$1:$IX$10144,AG$22,FALSE)))</f>
        <v>24</v>
      </c>
      <c r="AH50" s="22">
        <f>IF(OR($B50="",AH$22=""),"",IF(LEN(VLOOKUP($B50,Database!$B$1:$IX$10144,AH$22,FALSE))=0,"",VLOOKUP($B50,Database!$B$1:$IX$10144,AH$22,FALSE)))</f>
        <v>1.5</v>
      </c>
      <c r="AI50" s="22">
        <f>IF(OR($B50="",AI$22=""),"",IF(LEN(VLOOKUP($B50,Database!$B$1:$IX$10144,AI$22,FALSE))=0,"",VLOOKUP($B50,Database!$B$1:$IX$10144,AI$22,FALSE)))</f>
        <v>1.25</v>
      </c>
      <c r="AJ50" s="22" t="str">
        <f>IF(OR($B50="",AJ$22=""),"",IF(LEN(VLOOKUP($B50,Database!$B$1:$IX$10144,AJ$22,FALSE))=0,"",VLOOKUP($B50,Database!$B$1:$IX$10144,AJ$22,FALSE)))</f>
        <v/>
      </c>
      <c r="AK50" s="22" t="str">
        <f>IF(OR($B50="",AK$22=""),"",IF(LEN(VLOOKUP($B50,Database!$B$1:$IX$10144,AK$22,FALSE))=0,"",VLOOKUP($B50,Database!$B$1:$IX$10144,AK$22,FALSE)))</f>
        <v>ns</v>
      </c>
      <c r="AL50" s="22" t="str">
        <f>IF(OR($B50="",AL$22=""),"",IF(LEN(VLOOKUP($B50,Database!$B$1:$IX$10144,AL$22,FALSE))=0,"",VLOOKUP($B50,Database!$B$1:$IX$10144,AL$22,FALSE)))</f>
        <v>ns</v>
      </c>
      <c r="AM50" s="22">
        <f>IF(OR($B50="",AM$22=""),"",IF(LEN(VLOOKUP($B50,Database!$B$1:$IX$10144,AM$22,FALSE))=0,"",VLOOKUP($B50,Database!$B$1:$IX$10144,AM$22,FALSE)))</f>
        <v>66.666666666666657</v>
      </c>
      <c r="AN50" s="22" t="str">
        <f>IF(OR($B50="",AN$22=""),"",IF(LEN(VLOOKUP($B50,Database!$B$1:$IX$10144,AN$22,FALSE))=0,"",VLOOKUP($B50,Database!$B$1:$IX$10144,AN$22,FALSE)))</f>
        <v>ns</v>
      </c>
      <c r="AO50" s="22" t="str">
        <f>IF(OR($B50="",AO$22=""),"",IF(LEN(VLOOKUP($B50,Database!$B$1:$IX$10144,AO$22,FALSE))=0,"",VLOOKUP($B50,Database!$B$1:$IX$10144,AO$22,FALSE)))</f>
        <v>ns</v>
      </c>
      <c r="AP50" s="22" t="str">
        <f>IF(OR($B50="",AP$22=""),"",IF(LEN(VLOOKUP($B50,Database!$B$1:$IX$10144,AP$22,FALSE))=0,"",VLOOKUP($B50,Database!$B$1:$IX$10144,AP$22,FALSE)))</f>
        <v>ns</v>
      </c>
      <c r="AQ50" s="211" t="str">
        <f>IF(OR($B50="",AQ$22=""),"",IF(LEN(VLOOKUP($B50,Database!$B$1:$IX$10144,AQ$22,FALSE))=0,"",VLOOKUP($B50,Database!$B$1:$IX$10144,AQ$22,FALSE)))</f>
        <v>Sheline YI, Sanghavi M, Mintun MA, Gado MH.</v>
      </c>
    </row>
    <row r="51" spans="1:51">
      <c r="A51" s="10" t="s">
        <v>2027</v>
      </c>
      <c r="B51" s="13">
        <v>11983184</v>
      </c>
      <c r="C51" s="1" t="str">
        <f>IF($B51="","",HYPERLINK(IF(LEN(VLOOKUP($B51,Database!$B$1:$IX$10144,2,FALSE))=0,"",VLOOKUP($B51,Database!$B$1:$IX$10144,2,FALSE))))</f>
        <v/>
      </c>
      <c r="D51" s="1" t="str">
        <f t="shared" si="2"/>
        <v>http://www.ncbi.nlm.nih.gov/pubmed/11983184</v>
      </c>
      <c r="E51" s="22" t="str">
        <f>IF($B51="","",IF(LEN(VLOOKUP($B51,Database!$B$1:$IX$10144,4,FALSE))=0,"",VLOOKUP($B51,Database!$B$1:$IX$10144,4,FALSE)))</f>
        <v>Frodl T (A)</v>
      </c>
      <c r="F51" s="22">
        <f>IF($B51="","",IF(LEN(VLOOKUP($B51,Database!$B$1:$IX$10144,5,FALSE))=0,"",VLOOKUP($B51,Database!$B$1:$IX$10144,5,FALSE)))</f>
        <v>2002</v>
      </c>
      <c r="G51" s="1" t="str">
        <f>IF($B51="","",HYPERLINK(IF(LEN(VLOOKUP($B51,Database!$B$1:$IX$10144,6,FALSE))=0,"",VLOOKUP($B51,Database!$B$1:$IX$10144,6,FALSE))))</f>
        <v>http://dx.doi.org/10.1016/S0006-3223(01)01359-2</v>
      </c>
      <c r="H51" s="22">
        <f>IF($B51="","",IF(LEN(VLOOKUP($B51,Database!$B$1:$IX$10144,7,FALSE))=0,"",VLOOKUP($B51,Database!$B$1:$IX$10144,7,FALSE)))</f>
        <v>30</v>
      </c>
      <c r="I51" s="22">
        <f>IF($B51="","",IF(LEN(VLOOKUP($B51,Database!$B$1:$IX$10144,8,FALSE))=0,"",VLOOKUP($B51,Database!$B$1:$IX$10144,8,FALSE)))</f>
        <v>30</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f>IF(OR($B51="",AB$22=""),"",IF(LEN(VLOOKUP($B51,Database!$B$1:$IX$10144,AB$22,FALSE))=0,"",VLOOKUP($B51,Database!$B$1:$IX$10144,AB$22,FALSE)))</f>
        <v>40.299999999999997</v>
      </c>
      <c r="AC51" s="22">
        <f>IF(OR($B51="",AC$22=""),"",IF(LEN(VLOOKUP($B51,Database!$B$1:$IX$10144,AC$22,FALSE))=0,"",VLOOKUP($B51,Database!$B$1:$IX$10144,AC$22,FALSE)))</f>
        <v>12.6</v>
      </c>
      <c r="AD51" s="22">
        <f>IF(OR($B51="",AD$22=""),"",IF(LEN(VLOOKUP($B51,Database!$B$1:$IX$10144,AD$22,FALSE))=0,"",VLOOKUP($B51,Database!$B$1:$IX$10144,AD$22,FALSE)))</f>
        <v>40.6</v>
      </c>
      <c r="AE51" s="22">
        <f>IF(OR($B51="",AE$22=""),"",IF(LEN(VLOOKUP($B51,Database!$B$1:$IX$10144,AE$22,FALSE))=0,"",VLOOKUP($B51,Database!$B$1:$IX$10144,AE$22,FALSE)))</f>
        <v>12.5</v>
      </c>
      <c r="AF51" s="22">
        <f>IF(OR($B51="",AF$22=""),"",IF(LEN(VLOOKUP($B51,Database!$B$1:$IX$10144,AF$22,FALSE))=0,"",VLOOKUP($B51,Database!$B$1:$IX$10144,AF$22,FALSE)))</f>
        <v>17</v>
      </c>
      <c r="AG51" s="22">
        <f>IF(OR($B51="",AG$22=""),"",IF(LEN(VLOOKUP($B51,Database!$B$1:$IX$10144,AG$22,FALSE))=0,"",VLOOKUP($B51,Database!$B$1:$IX$10144,AG$22,FALSE)))</f>
        <v>17</v>
      </c>
      <c r="AH51" s="22">
        <f>IF(OR($B51="",AH$22=""),"",IF(LEN(VLOOKUP($B51,Database!$B$1:$IX$10144,AH$22,FALSE))=0,"",VLOOKUP($B51,Database!$B$1:$IX$10144,AH$22,FALSE)))</f>
        <v>1.5</v>
      </c>
      <c r="AI51" s="22">
        <f>IF(OR($B51="",AI$22=""),"",IF(LEN(VLOOKUP($B51,Database!$B$1:$IX$10144,AI$22,FALSE))=0,"",VLOOKUP($B51,Database!$B$1:$IX$10144,AI$22,FALSE)))</f>
        <v>1.5</v>
      </c>
      <c r="AJ51" s="22" t="str">
        <f>IF(OR($B51="",AJ$22=""),"",IF(LEN(VLOOKUP($B51,Database!$B$1:$IX$10144,AJ$22,FALSE))=0,"",VLOOKUP($B51,Database!$B$1:$IX$10144,AJ$22,FALSE)))</f>
        <v/>
      </c>
      <c r="AK51" s="22">
        <f>IF(OR($B51="",AK$22=""),"",IF(LEN(VLOOKUP($B51,Database!$B$1:$IX$10144,AK$22,FALSE))=0,"",VLOOKUP($B51,Database!$B$1:$IX$10144,AK$22,FALSE)))</f>
        <v>40</v>
      </c>
      <c r="AL51" s="22">
        <f>IF(OR($B51="",AL$22=""),"",IF(LEN(VLOOKUP($B51,Database!$B$1:$IX$10144,AL$22,FALSE))=0,"",VLOOKUP($B51,Database!$B$1:$IX$10144,AL$22,FALSE)))</f>
        <v>24.8</v>
      </c>
      <c r="AM51" s="22">
        <f>IF(OR($B51="",AM$22=""),"",IF(LEN(VLOOKUP($B51,Database!$B$1:$IX$10144,AM$22,FALSE))=0,"",VLOOKUP($B51,Database!$B$1:$IX$10144,AM$22,FALSE)))</f>
        <v>86.666666666666671</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11" t="str">
        <f>IF(OR($B51="",AQ$22=""),"",IF(LEN(VLOOKUP($B51,Database!$B$1:$IX$10144,AQ$22,FALSE))=0,"",VLOOKUP($B51,Database!$B$1:$IX$10144,AQ$22,FALSE)))</f>
        <v>Frodl T, Meisenzahl E, Zetzsche T, Bottlender R, Born C, Groll C, Jager M, Leinsinger G, Hahn K, Moller HJ.</v>
      </c>
    </row>
    <row r="52" spans="1:51">
      <c r="A52" s="10" t="s">
        <v>2190</v>
      </c>
      <c r="B52" s="13">
        <v>12804127</v>
      </c>
      <c r="C52" s="1" t="str">
        <f>IF($B52="","",HYPERLINK(IF(LEN(VLOOKUP($B52,Database!$B$1:$IX$10144,2,FALSE))=0,"",VLOOKUP($B52,Database!$B$1:$IX$10144,2,FALSE))))</f>
        <v/>
      </c>
      <c r="D52" s="1" t="str">
        <f t="shared" si="2"/>
        <v>http://www.ncbi.nlm.nih.gov/pubmed/12804127</v>
      </c>
      <c r="E52" s="22" t="str">
        <f>IF($B52="","",IF(LEN(VLOOKUP($B52,Database!$B$1:$IX$10144,4,FALSE))=0,"",VLOOKUP($B52,Database!$B$1:$IX$10144,4,FALSE)))</f>
        <v>MacMillan S</v>
      </c>
      <c r="F52" s="22">
        <f>IF($B52="","",IF(LEN(VLOOKUP($B52,Database!$B$1:$IX$10144,5,FALSE))=0,"",VLOOKUP($B52,Database!$B$1:$IX$10144,5,FALSE)))</f>
        <v>2003</v>
      </c>
      <c r="G52" s="1" t="str">
        <f>IF($B52="","",HYPERLINK(IF(LEN(VLOOKUP($B52,Database!$B$1:$IX$10144,6,FALSE))=0,"",VLOOKUP($B52,Database!$B$1:$IX$10144,6,FALSE))))</f>
        <v>http://www.liebertonline.com/doi/pdf/10.1089/104454603321666207</v>
      </c>
      <c r="H52" s="22">
        <f>IF($B52="","",IF(LEN(VLOOKUP($B52,Database!$B$1:$IX$10144,7,FALSE))=0,"",VLOOKUP($B52,Database!$B$1:$IX$10144,7,FALSE)))</f>
        <v>23</v>
      </c>
      <c r="I52" s="22">
        <f>IF($B52="","",IF(LEN(VLOOKUP($B52,Database!$B$1:$IX$10144,8,FALSE))=0,"",VLOOKUP($B52,Database!$B$1:$IX$10144,8,FALSE)))</f>
        <v>23</v>
      </c>
      <c r="J52" t="s">
        <v>326</v>
      </c>
      <c r="L52">
        <v>1.62</v>
      </c>
      <c r="M52">
        <v>0.3</v>
      </c>
      <c r="N52">
        <v>1.44</v>
      </c>
      <c r="O52">
        <v>0.3</v>
      </c>
      <c r="P52">
        <v>1.57</v>
      </c>
      <c r="Q52">
        <v>0.24</v>
      </c>
      <c r="R52">
        <v>1.46</v>
      </c>
      <c r="S52">
        <v>0.28000000000000003</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t="str">
        <f>IF(OR($B52="",AB$22=""),"",IF(LEN(VLOOKUP($B52,Database!$B$1:$IX$10144,AB$22,FALSE))=0,"",VLOOKUP($B52,Database!$B$1:$IX$10144,AB$22,FALSE)))</f>
        <v/>
      </c>
      <c r="AC52" s="22" t="str">
        <f>IF(OR($B52="",AC$22=""),"",IF(LEN(VLOOKUP($B52,Database!$B$1:$IX$10144,AC$22,FALSE))=0,"",VLOOKUP($B52,Database!$B$1:$IX$10144,AC$22,FALSE)))</f>
        <v/>
      </c>
      <c r="AD52" s="22" t="str">
        <f>IF(OR($B52="",AD$22=""),"",IF(LEN(VLOOKUP($B52,Database!$B$1:$IX$10144,AD$22,FALSE))=0,"",VLOOKUP($B52,Database!$B$1:$IX$10144,AD$22,FALSE)))</f>
        <v/>
      </c>
      <c r="AE52" s="22" t="str">
        <f>IF(OR($B52="",AE$22=""),"",IF(LEN(VLOOKUP($B52,Database!$B$1:$IX$10144,AE$22,FALSE))=0,"",VLOOKUP($B52,Database!$B$1:$IX$10144,AE$22,FALSE)))</f>
        <v/>
      </c>
      <c r="AF52" s="22">
        <f>IF(OR($B52="",AF$22=""),"",IF(LEN(VLOOKUP($B52,Database!$B$1:$IX$10144,AF$22,FALSE))=0,"",VLOOKUP($B52,Database!$B$1:$IX$10144,AF$22,FALSE)))</f>
        <v>13</v>
      </c>
      <c r="AG52" s="22">
        <f>IF(OR($B52="",AG$22=""),"",IF(LEN(VLOOKUP($B52,Database!$B$1:$IX$10144,AG$22,FALSE))=0,"",VLOOKUP($B52,Database!$B$1:$IX$10144,AG$22,FALSE)))</f>
        <v>13</v>
      </c>
      <c r="AH52" s="22">
        <f>IF(OR($B52="",AH$22=""),"",IF(LEN(VLOOKUP($B52,Database!$B$1:$IX$10144,AH$22,FALSE))=0,"",VLOOKUP($B52,Database!$B$1:$IX$10144,AH$22,FALSE)))</f>
        <v>1.5</v>
      </c>
      <c r="AI52" s="22">
        <f>IF(OR($B52="",AI$22=""),"",IF(LEN(VLOOKUP($B52,Database!$B$1:$IX$10144,AI$22,FALSE))=0,"",VLOOKUP($B52,Database!$B$1:$IX$10144,AI$22,FALSE)))</f>
        <v>1.5</v>
      </c>
      <c r="AJ52" s="22" t="str">
        <f>IF(OR($B52="",AJ$22=""),"",IF(LEN(VLOOKUP($B52,Database!$B$1:$IX$10144,AJ$22,FALSE))=0,"",VLOOKUP($B52,Database!$B$1:$IX$10144,AJ$22,FALSE)))</f>
        <v/>
      </c>
      <c r="AK52" s="22">
        <f>IF(OR($B52="",AK$22=""),"",IF(LEN(VLOOKUP($B52,Database!$B$1:$IX$10144,AK$22,FALSE))=0,"",VLOOKUP($B52,Database!$B$1:$IX$10144,AK$22,FALSE)))</f>
        <v>11.84</v>
      </c>
      <c r="AL52" s="22" t="str">
        <f>IF(OR($B52="",AL$22=""),"",IF(LEN(VLOOKUP($B52,Database!$B$1:$IX$10144,AL$22,FALSE))=0,"",VLOOKUP($B52,Database!$B$1:$IX$10144,AL$22,FALSE)))</f>
        <v>ns</v>
      </c>
      <c r="AM52" s="22">
        <f>IF(OR($B52="",AM$22=""),"",IF(LEN(VLOOKUP($B52,Database!$B$1:$IX$10144,AM$22,FALSE))=0,"",VLOOKUP($B52,Database!$B$1:$IX$10144,AM$22,FALSE)))</f>
        <v>0</v>
      </c>
      <c r="AN52" s="22">
        <f>IF(OR($B52="",AN$22=""),"",IF(LEN(VLOOKUP($B52,Database!$B$1:$IX$10144,AN$22,FALSE))=0,"",VLOOKUP($B52,Database!$B$1:$IX$10144,AN$22,FALSE)))</f>
        <v>0</v>
      </c>
      <c r="AO52" s="22">
        <f>IF(OR($B52="",AO$22=""),"",IF(LEN(VLOOKUP($B52,Database!$B$1:$IX$10144,AO$22,FALSE))=0,"",VLOOKUP($B52,Database!$B$1:$IX$10144,AO$22,FALSE)))</f>
        <v>0</v>
      </c>
      <c r="AP52" s="22">
        <f>IF(OR($B52="",AP$22=""),"",IF(LEN(VLOOKUP($B52,Database!$B$1:$IX$10144,AP$22,FALSE))=0,"",VLOOKUP($B52,Database!$B$1:$IX$10144,AP$22,FALSE)))</f>
        <v>100</v>
      </c>
      <c r="AQ52" s="211" t="str">
        <f>IF(OR($B52="",AQ$22=""),"",IF(LEN(VLOOKUP($B52,Database!$B$1:$IX$10144,AQ$22,FALSE))=0,"",VLOOKUP($B52,Database!$B$1:$IX$10144,AQ$22,FALSE)))</f>
        <v>MacMillan S, Szeszko PR, Moore GJ, Madden R, Lorch E, Ivey J, Banerjee SP, Rosenberg DR.</v>
      </c>
    </row>
    <row r="53" spans="1:51">
      <c r="A53" s="10" t="s">
        <v>424</v>
      </c>
      <c r="B53" s="13">
        <v>15119911</v>
      </c>
      <c r="C53" s="1" t="str">
        <f>IF($B53="","",HYPERLINK(IF(LEN(VLOOKUP($B53,Database!$B$1:$IX$10144,2,FALSE))=0,"",VLOOKUP($B53,Database!$B$1:$IX$10144,2,FALSE))))</f>
        <v/>
      </c>
      <c r="D53" s="1" t="str">
        <f t="shared" si="2"/>
        <v>http://www.ncbi.nlm.nih.gov/pubmed/15119911</v>
      </c>
      <c r="E53" s="22" t="str">
        <f>IF($B53="","",IF(LEN(VLOOKUP($B53,Database!$B$1:$IX$10144,4,FALSE))=0,"",VLOOKUP($B53,Database!$B$1:$IX$10144,4,FALSE)))</f>
        <v>Frodl T (B)</v>
      </c>
      <c r="F53" s="22">
        <f>IF($B53="","",IF(LEN(VLOOKUP($B53,Database!$B$1:$IX$10144,5,FALSE))=0,"",VLOOKUP($B53,Database!$B$1:$IX$10144,5,FALSE)))</f>
        <v>2004</v>
      </c>
      <c r="G53" s="1" t="str">
        <f>IF($B53="","",HYPERLINK(IF(LEN(VLOOKUP($B53,Database!$B$1:$IX$10144,6,FALSE))=0,"",VLOOKUP($B53,Database!$B$1:$IX$10144,6,FALSE))))</f>
        <v>http://www.psychiatrist.com/abstracts/abstracts.asp?abstract=200404/040405.htm</v>
      </c>
      <c r="H53" s="22">
        <f>IF($B53="","",IF(LEN(VLOOKUP($B53,Database!$B$1:$IX$10144,7,FALSE))=0,"",VLOOKUP($B53,Database!$B$1:$IX$10144,7,FALSE)))</f>
        <v>30</v>
      </c>
      <c r="I53" s="22">
        <f>IF($B53="","",IF(LEN(VLOOKUP($B53,Database!$B$1:$IX$10144,8,FALSE))=0,"",VLOOKUP($B53,Database!$B$1:$IX$10144,8,FALSE)))</f>
        <v>30</v>
      </c>
      <c r="L53">
        <v>1.69</v>
      </c>
      <c r="M53">
        <v>0.2</v>
      </c>
      <c r="N53">
        <v>1.66</v>
      </c>
      <c r="O53">
        <v>0.24</v>
      </c>
      <c r="P53">
        <v>1.68</v>
      </c>
      <c r="Q53">
        <v>0.26</v>
      </c>
      <c r="R53">
        <v>1.68</v>
      </c>
      <c r="S53">
        <v>0.24</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48.4</v>
      </c>
      <c r="AC53" s="22">
        <f>IF(OR($B53="",AC$22=""),"",IF(LEN(VLOOKUP($B53,Database!$B$1:$IX$10144,AC$22,FALSE))=0,"",VLOOKUP($B53,Database!$B$1:$IX$10144,AC$22,FALSE)))</f>
        <v>13.4</v>
      </c>
      <c r="AD53" s="22">
        <f>IF(OR($B53="",AD$22=""),"",IF(LEN(VLOOKUP($B53,Database!$B$1:$IX$10144,AD$22,FALSE))=0,"",VLOOKUP($B53,Database!$B$1:$IX$10144,AD$22,FALSE)))</f>
        <v>45.7</v>
      </c>
      <c r="AE53" s="22">
        <f>IF(OR($B53="",AE$22=""),"",IF(LEN(VLOOKUP($B53,Database!$B$1:$IX$10144,AE$22,FALSE))=0,"",VLOOKUP($B53,Database!$B$1:$IX$10144,AE$22,FALSE)))</f>
        <v>12.9</v>
      </c>
      <c r="AF53" s="22">
        <f>IF(OR($B53="",AF$22=""),"",IF(LEN(VLOOKUP($B53,Database!$B$1:$IX$10144,AF$22,FALSE))=0,"",VLOOKUP($B53,Database!$B$1:$IX$10144,AF$22,FALSE)))</f>
        <v>18</v>
      </c>
      <c r="AG53" s="22">
        <f>IF(OR($B53="",AG$22=""),"",IF(LEN(VLOOKUP($B53,Database!$B$1:$IX$10144,AG$22,FALSE))=0,"",VLOOKUP($B53,Database!$B$1:$IX$10144,AG$22,FALSE)))</f>
        <v>18</v>
      </c>
      <c r="AH53" s="22">
        <f>IF(OR($B53="",AH$22=""),"",IF(LEN(VLOOKUP($B53,Database!$B$1:$IX$10144,AH$22,FALSE))=0,"",VLOOKUP($B53,Database!$B$1:$IX$10144,AH$22,FALSE)))</f>
        <v>1.5</v>
      </c>
      <c r="AI53" s="22">
        <f>IF(OR($B53="",AI$22=""),"",IF(LEN(VLOOKUP($B53,Database!$B$1:$IX$10144,AI$22,FALSE))=0,"",VLOOKUP($B53,Database!$B$1:$IX$10144,AI$22,FALSE)))</f>
        <v>1.5</v>
      </c>
      <c r="AJ53" s="22" t="str">
        <f>IF(OR($B53="",AJ$22=""),"",IF(LEN(VLOOKUP($B53,Database!$B$1:$IX$10144,AJ$22,FALSE))=0,"",VLOOKUP($B53,Database!$B$1:$IX$10144,AJ$22,FALSE)))</f>
        <v/>
      </c>
      <c r="AK53" s="22">
        <f>IF(OR($B53="",AK$22=""),"",IF(LEN(VLOOKUP($B53,Database!$B$1:$IX$10144,AK$22,FALSE))=0,"",VLOOKUP($B53,Database!$B$1:$IX$10144,AK$22,FALSE)))</f>
        <v>39.299999999999997</v>
      </c>
      <c r="AL53" s="22">
        <f>IF(OR($B53="",AL$22=""),"",IF(LEN(VLOOKUP($B53,Database!$B$1:$IX$10144,AL$22,FALSE))=0,"",VLOOKUP($B53,Database!$B$1:$IX$10144,AL$22,FALSE)))</f>
        <v>23.7</v>
      </c>
      <c r="AM53" s="22" t="str">
        <f>IF(OR($B53="",AM$22=""),"",IF(LEN(VLOOKUP($B53,Database!$B$1:$IX$10144,AM$22,FALSE))=0,"",VLOOKUP($B53,Database!$B$1:$IX$10144,AM$22,FALSE)))</f>
        <v>ns</v>
      </c>
      <c r="AN53" s="22">
        <f>IF(OR($B53="",AN$22=""),"",IF(LEN(VLOOKUP($B53,Database!$B$1:$IX$10144,AN$22,FALSE))=0,"",VLOOKUP($B53,Database!$B$1:$IX$10144,AN$22,FALSE)))</f>
        <v>23.333333333333332</v>
      </c>
      <c r="AO53" s="22" t="str">
        <f>IF(OR($B53="",AO$22=""),"",IF(LEN(VLOOKUP($B53,Database!$B$1:$IX$10144,AO$22,FALSE))=0,"",VLOOKUP($B53,Database!$B$1:$IX$10144,AO$22,FALSE)))</f>
        <v>ns</v>
      </c>
      <c r="AP53" s="22">
        <f>IF(OR($B53="",AP$22=""),"",IF(LEN(VLOOKUP($B53,Database!$B$1:$IX$10144,AP$22,FALSE))=0,"",VLOOKUP($B53,Database!$B$1:$IX$10144,AP$22,FALSE)))</f>
        <v>6.666666666666667</v>
      </c>
      <c r="AQ53" s="211" t="str">
        <f>IF(OR($B53="",AQ$22=""),"",IF(LEN(VLOOKUP($B53,Database!$B$1:$IX$10144,AQ$22,FALSE))=0,"",VLOOKUP($B53,Database!$B$1:$IX$10144,AQ$22,FALSE)))</f>
        <v>Frodl T, Meisenzahl EM, Zetzsche T, Hohne T, Banac S, Schorr C, Jager M, Leinsinger G, Bottlender R, Reiser M, Moller HJ.</v>
      </c>
    </row>
    <row r="54" spans="1:51">
      <c r="A54" s="10" t="s">
        <v>424</v>
      </c>
      <c r="B54">
        <v>18787661</v>
      </c>
      <c r="C54" s="1" t="str">
        <f>IF($B54="","",HYPERLINK(IF(LEN(VLOOKUP($B54,Database!$B$1:$IX$10144,2,FALSE))=0,"",VLOOKUP($B54,Database!$B$1:$IX$10144,2,FALSE))))</f>
        <v/>
      </c>
      <c r="D54" s="1" t="str">
        <f t="shared" si="2"/>
        <v>http://www.ncbi.nlm.nih.gov/pubmed/18787661</v>
      </c>
      <c r="E54" s="22" t="str">
        <f>IF($B54="","",IF(LEN(VLOOKUP($B54,Database!$B$1:$IX$10144,4,FALSE))=0,"",VLOOKUP($B54,Database!$B$1:$IX$10144,4,FALSE)))</f>
        <v>Frodl T (C)</v>
      </c>
      <c r="F54" s="22">
        <f>IF($B54="","",IF(LEN(VLOOKUP($B54,Database!$B$1:$IX$10144,5,FALSE))=0,"",VLOOKUP($B54,Database!$B$1:$IX$10144,5,FALSE)))</f>
        <v>2008</v>
      </c>
      <c r="G54" s="1" t="str">
        <f>IF($B54="","",HYPERLINK(IF(LEN(VLOOKUP($B54,Database!$B$1:$IX$10144,6,FALSE))=0,"",VLOOKUP($B54,Database!$B$1:$IX$10144,6,FALSE))))</f>
        <v>http://www.cma.ca/multimedia/staticContent/HTML/N0/l2/jpn/vol-33/issue-5/pdf/pg423.pdf</v>
      </c>
      <c r="H54" s="22">
        <f>IF($B54="","",IF(LEN(VLOOKUP($B54,Database!$B$1:$IX$10144,7,FALSE))=0,"",VLOOKUP($B54,Database!$B$1:$IX$10144,7,FALSE)))</f>
        <v>30</v>
      </c>
      <c r="I54" s="22">
        <f>IF($B54="","",IF(LEN(VLOOKUP($B54,Database!$B$1:$IX$10144,8,FALSE))=0,"",VLOOKUP($B54,Database!$B$1:$IX$10144,8,FALSE)))</f>
        <v>30</v>
      </c>
      <c r="J54" t="s">
        <v>653</v>
      </c>
      <c r="L54">
        <v>1.47</v>
      </c>
      <c r="M54">
        <v>0.25</v>
      </c>
      <c r="N54">
        <v>1.39</v>
      </c>
      <c r="O54">
        <v>0.21</v>
      </c>
      <c r="P54">
        <v>1.56</v>
      </c>
      <c r="Q54">
        <v>0.3</v>
      </c>
      <c r="R54">
        <v>1.45</v>
      </c>
      <c r="S54">
        <v>0.28000000000000003</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f>IF(OR($B54="",AB$22=""),"",IF(LEN(VLOOKUP($B54,Database!$B$1:$IX$10144,AB$22,FALSE))=0,"",VLOOKUP($B54,Database!$B$1:$IX$10144,AB$22,FALSE)))</f>
        <v>45</v>
      </c>
      <c r="AC54" s="22">
        <f>IF(OR($B54="",AC$22=""),"",IF(LEN(VLOOKUP($B54,Database!$B$1:$IX$10144,AC$22,FALSE))=0,"",VLOOKUP($B54,Database!$B$1:$IX$10144,AC$22,FALSE)))</f>
        <v>11.1</v>
      </c>
      <c r="AD54" s="22">
        <f>IF(OR($B54="",AD$22=""),"",IF(LEN(VLOOKUP($B54,Database!$B$1:$IX$10144,AD$22,FALSE))=0,"",VLOOKUP($B54,Database!$B$1:$IX$10144,AD$22,FALSE)))</f>
        <v>43.6</v>
      </c>
      <c r="AE54" s="22">
        <f>IF(OR($B54="",AE$22=""),"",IF(LEN(VLOOKUP($B54,Database!$B$1:$IX$10144,AE$22,FALSE))=0,"",VLOOKUP($B54,Database!$B$1:$IX$10144,AE$22,FALSE)))</f>
        <v>13.1</v>
      </c>
      <c r="AF54" s="22">
        <f>IF(OR($B54="",AF$22=""),"",IF(LEN(VLOOKUP($B54,Database!$B$1:$IX$10144,AF$22,FALSE))=0,"",VLOOKUP($B54,Database!$B$1:$IX$10144,AF$22,FALSE)))</f>
        <v>19</v>
      </c>
      <c r="AG54" s="22">
        <f>IF(OR($B54="",AG$22=""),"",IF(LEN(VLOOKUP($B54,Database!$B$1:$IX$10144,AG$22,FALSE))=0,"",VLOOKUP($B54,Database!$B$1:$IX$10144,AG$22,FALSE)))</f>
        <v>19</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f>IF(OR($B54="",AK$22=""),"",IF(LEN(VLOOKUP($B54,Database!$B$1:$IX$10144,AK$22,FALSE))=0,"",VLOOKUP($B54,Database!$B$1:$IX$10144,AK$22,FALSE)))</f>
        <v>39.299999999999997</v>
      </c>
      <c r="AL54" s="22">
        <f>IF(OR($B54="",AL$22=""),"",IF(LEN(VLOOKUP($B54,Database!$B$1:$IX$10144,AL$22,FALSE))=0,"",VLOOKUP($B54,Database!$B$1:$IX$10144,AL$22,FALSE)))</f>
        <v>24</v>
      </c>
      <c r="AM54" s="22">
        <f>IF(OR($B54="",AM$22=""),"",IF(LEN(VLOOKUP($B54,Database!$B$1:$IX$10144,AM$22,FALSE))=0,"",VLOOKUP($B54,Database!$B$1:$IX$10144,AM$22,FALSE)))</f>
        <v>96.666666666666671</v>
      </c>
      <c r="AN54" s="22" t="str">
        <f>IF(OR($B54="",AN$22=""),"",IF(LEN(VLOOKUP($B54,Database!$B$1:$IX$10144,AN$22,FALSE))=0,"",VLOOKUP($B54,Database!$B$1:$IX$10144,AN$22,FALSE)))</f>
        <v>ns</v>
      </c>
      <c r="AO54" s="22" t="str">
        <f>IF(OR($B54="",AO$22=""),"",IF(LEN(VLOOKUP($B54,Database!$B$1:$IX$10144,AO$22,FALSE))=0,"",VLOOKUP($B54,Database!$B$1:$IX$10144,AO$22,FALSE)))</f>
        <v>ns</v>
      </c>
      <c r="AP54" s="22" t="str">
        <f>IF(OR($B54="",AP$22=""),"",IF(LEN(VLOOKUP($B54,Database!$B$1:$IX$10144,AP$22,FALSE))=0,"",VLOOKUP($B54,Database!$B$1:$IX$10144,AP$22,FALSE)))</f>
        <v>ns</v>
      </c>
      <c r="AQ54" s="211" t="str">
        <f>IF(OR($B54="",AQ$22=""),"",IF(LEN(VLOOKUP($B54,Database!$B$1:$IX$10144,AQ$22,FALSE))=0,"",VLOOKUP($B54,Database!$B$1:$IX$10144,AQ$22,FALSE)))</f>
        <v>Frodl T, Jäger M, Smajstrlova I, Born C, Bottlender R, Palladino T, Reiser M, Möller HJ, Meisenzahl EM.</v>
      </c>
    </row>
    <row r="55" spans="1:51">
      <c r="A55" s="10" t="s">
        <v>2336</v>
      </c>
      <c r="B55">
        <v>17389903</v>
      </c>
      <c r="C55" s="1" t="str">
        <f>IF($B55="","",HYPERLINK(IF(LEN(VLOOKUP($B55,Database!$B$1:$IX$10144,2,FALSE))=0,"",VLOOKUP($B55,Database!$B$1:$IX$10144,2,FALSE))))</f>
        <v/>
      </c>
      <c r="D55" s="1" t="str">
        <f t="shared" si="2"/>
        <v>http://www.ncbi.nlm.nih.gov/pubmed/17389903</v>
      </c>
      <c r="E55" s="22" t="str">
        <f>IF($B55="","",IF(LEN(VLOOKUP($B55,Database!$B$1:$IX$10144,4,FALSE))=0,"",VLOOKUP($B55,Database!$B$1:$IX$10144,4,FALSE)))</f>
        <v>Monkul ES</v>
      </c>
      <c r="F55" s="22">
        <f>IF($B55="","",IF(LEN(VLOOKUP($B55,Database!$B$1:$IX$10144,5,FALSE))=0,"",VLOOKUP($B55,Database!$B$1:$IX$10144,5,FALSE)))</f>
        <v>2007</v>
      </c>
      <c r="G55" s="1" t="str">
        <f>IF($B55="","",HYPERLINK(IF(LEN(VLOOKUP($B55,Database!$B$1:$IX$10144,6,FALSE))=0,"",VLOOKUP($B55,Database!$B$1:$IX$10144,6,FALSE))))</f>
        <v>http://www.nature.com/mp/journal/v12/n4/pdf/4001919a.pdf</v>
      </c>
      <c r="H55" s="83">
        <v>7</v>
      </c>
      <c r="I55" s="83">
        <v>8.5</v>
      </c>
      <c r="J55" t="s">
        <v>1654</v>
      </c>
      <c r="K55" t="s">
        <v>1157</v>
      </c>
      <c r="L55">
        <v>2.0499999999999998</v>
      </c>
      <c r="M55">
        <v>0.37</v>
      </c>
      <c r="N55">
        <v>1.99</v>
      </c>
      <c r="O55">
        <v>0.39</v>
      </c>
      <c r="P55">
        <v>2.46</v>
      </c>
      <c r="Q55">
        <v>0.28999999999999998</v>
      </c>
      <c r="R55">
        <v>2.08</v>
      </c>
      <c r="S55">
        <v>0.43</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t="str">
        <f>IF(OR($B55="",AB$22=""),"",IF(LEN(VLOOKUP($B55,Database!$B$1:$IX$10144,AB$22,FALSE))=0,"",VLOOKUP($B55,Database!$B$1:$IX$10144,AB$22,FALSE)))</f>
        <v/>
      </c>
      <c r="AC55" s="22" t="str">
        <f>IF(OR($B55="",AC$22=""),"",IF(LEN(VLOOKUP($B55,Database!$B$1:$IX$10144,AC$22,FALSE))=0,"",VLOOKUP($B55,Database!$B$1:$IX$10144,AC$22,FALSE)))</f>
        <v/>
      </c>
      <c r="AD55" s="22">
        <f>IF(OR($B55="",AD$22=""),"",IF(LEN(VLOOKUP($B55,Database!$B$1:$IX$10144,AD$22,FALSE))=0,"",VLOOKUP($B55,Database!$B$1:$IX$10144,AD$22,FALSE)))</f>
        <v>31.3</v>
      </c>
      <c r="AE55" s="22">
        <f>IF(OR($B55="",AE$22=""),"",IF(LEN(VLOOKUP($B55,Database!$B$1:$IX$10144,AE$22,FALSE))=0,"",VLOOKUP($B55,Database!$B$1:$IX$10144,AE$22,FALSE)))</f>
        <v>8.3000000000000007</v>
      </c>
      <c r="AF55" s="22">
        <f>IF(OR($B55="",AF$22=""),"",IF(LEN(VLOOKUP($B55,Database!$B$1:$IX$10144,AF$22,FALSE))=0,"",VLOOKUP($B55,Database!$B$1:$IX$10144,AF$22,FALSE)))</f>
        <v>17</v>
      </c>
      <c r="AG55" s="22">
        <f>IF(OR($B55="",AG$22=""),"",IF(LEN(VLOOKUP($B55,Database!$B$1:$IX$10144,AG$22,FALSE))=0,"",VLOOKUP($B55,Database!$B$1:$IX$10144,AG$22,FALSE)))</f>
        <v>17</v>
      </c>
      <c r="AH55" s="22">
        <f>IF(OR($B55="",AH$22=""),"",IF(LEN(VLOOKUP($B55,Database!$B$1:$IX$10144,AH$22,FALSE))=0,"",VLOOKUP($B55,Database!$B$1:$IX$10144,AH$22,FALSE)))</f>
        <v>1.5</v>
      </c>
      <c r="AI55" s="22">
        <f>IF(OR($B55="",AI$22=""),"",IF(LEN(VLOOKUP($B55,Database!$B$1:$IX$10144,AI$22,FALSE))=0,"",VLOOKUP($B55,Database!$B$1:$IX$10144,AI$22,FALSE)))</f>
        <v>1.5</v>
      </c>
      <c r="AJ55" s="22" t="str">
        <f>IF(OR($B55="",AJ$22=""),"",IF(LEN(VLOOKUP($B55,Database!$B$1:$IX$10144,AJ$22,FALSE))=0,"",VLOOKUP($B55,Database!$B$1:$IX$10144,AJ$22,FALSE)))</f>
        <v/>
      </c>
      <c r="AK55" s="22" t="str">
        <f>IF(OR($B55="",AK$22=""),"",IF(LEN(VLOOKUP($B55,Database!$B$1:$IX$10144,AK$22,FALSE))=0,"",VLOOKUP($B55,Database!$B$1:$IX$10144,AK$22,FALSE)))</f>
        <v>split depending on group (suicidal=16, nonsuicidal=26.9)</v>
      </c>
      <c r="AL55" s="22" t="str">
        <f>IF(OR($B55="",AL$22=""),"",IF(LEN(VLOOKUP($B55,Database!$B$1:$IX$10144,AL$22,FALSE))=0,"",VLOOKUP($B55,Database!$B$1:$IX$10144,AL$22,FALSE)))</f>
        <v>split depending on group (suicidal =13.7, non-suicidal = 10.9)</v>
      </c>
      <c r="AM55" s="22">
        <f>IF(OR($B55="",AM$22=""),"",IF(LEN(VLOOKUP($B55,Database!$B$1:$IX$10144,AM$22,FALSE))=0,"",VLOOKUP($B55,Database!$B$1:$IX$10144,AM$22,FALSE)))</f>
        <v>0</v>
      </c>
      <c r="AN55" s="22">
        <f>IF(OR($B55="",AN$22=""),"",IF(LEN(VLOOKUP($B55,Database!$B$1:$IX$10144,AN$22,FALSE))=0,"",VLOOKUP($B55,Database!$B$1:$IX$10144,AN$22,FALSE)))</f>
        <v>0</v>
      </c>
      <c r="AO55" s="22">
        <f>IF(OR($B55="",AO$22=""),"",IF(LEN(VLOOKUP($B55,Database!$B$1:$IX$10144,AO$22,FALSE))=0,"",VLOOKUP($B55,Database!$B$1:$IX$10144,AO$22,FALSE)))</f>
        <v>0</v>
      </c>
      <c r="AP55" s="22">
        <f>IF(OR($B55="",AP$22=""),"",IF(LEN(VLOOKUP($B55,Database!$B$1:$IX$10144,AP$22,FALSE))=0,"",VLOOKUP($B55,Database!$B$1:$IX$10144,AP$22,FALSE)))</f>
        <v>100</v>
      </c>
      <c r="AQ55" s="211" t="str">
        <f>IF(OR($B55="",AQ$22=""),"",IF(LEN(VLOOKUP($B55,Database!$B$1:$IX$10144,AQ$22,FALSE))=0,"",VLOOKUP($B55,Database!$B$1:$IX$10144,AQ$22,FALSE)))</f>
        <v>Monkul ES, Hatch JP, Nicoletti MA, Spence S, Brambilla P, Lacerda AL, Sassi RB, Mallinger AG, Keshavan MS, Soares JC.</v>
      </c>
    </row>
    <row r="56" spans="1:51">
      <c r="A56" s="10" t="s">
        <v>2336</v>
      </c>
      <c r="B56">
        <v>17389903</v>
      </c>
      <c r="C56" s="1" t="str">
        <f>IF($B56="","",HYPERLINK(IF(LEN(VLOOKUP($B56,Database!$B$1:$IX$10144,2,FALSE))=0,"",VLOOKUP($B56,Database!$B$1:$IX$10144,2,FALSE))))</f>
        <v/>
      </c>
      <c r="D56" s="1" t="str">
        <f t="shared" si="2"/>
        <v>http://www.ncbi.nlm.nih.gov/pubmed/17389903</v>
      </c>
      <c r="E56" s="22" t="str">
        <f>IF($B56="","",IF(LEN(VLOOKUP($B56,Database!$B$1:$IX$10144,4,FALSE))=0,"",VLOOKUP($B56,Database!$B$1:$IX$10144,4,FALSE)))</f>
        <v>Monkul ES</v>
      </c>
      <c r="F56" s="22">
        <f>IF($B56="","",IF(LEN(VLOOKUP($B56,Database!$B$1:$IX$10144,5,FALSE))=0,"",VLOOKUP($B56,Database!$B$1:$IX$10144,5,FALSE)))</f>
        <v>2007</v>
      </c>
      <c r="G56" s="1" t="str">
        <f>IF($B56="","",HYPERLINK(IF(LEN(VLOOKUP($B56,Database!$B$1:$IX$10144,6,FALSE))=0,"",VLOOKUP($B56,Database!$B$1:$IX$10144,6,FALSE))))</f>
        <v>http://www.nature.com/mp/journal/v12/n4/pdf/4001919a.pdf</v>
      </c>
      <c r="H56" s="83">
        <v>10</v>
      </c>
      <c r="I56" s="83">
        <v>8.5</v>
      </c>
      <c r="J56" t="s">
        <v>1654</v>
      </c>
      <c r="K56" t="s">
        <v>1158</v>
      </c>
      <c r="L56">
        <v>1.91</v>
      </c>
      <c r="M56">
        <v>0.44</v>
      </c>
      <c r="N56">
        <v>1.99</v>
      </c>
      <c r="O56">
        <v>0.39</v>
      </c>
      <c r="P56">
        <v>1.9</v>
      </c>
      <c r="Q56">
        <v>0.45</v>
      </c>
      <c r="R56">
        <v>2.08</v>
      </c>
      <c r="S56">
        <v>0.43</v>
      </c>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t="str">
        <f>IF(OR($B56="",AB$22=""),"",IF(LEN(VLOOKUP($B56,Database!$B$1:$IX$10144,AB$22,FALSE))=0,"",VLOOKUP($B56,Database!$B$1:$IX$10144,AB$22,FALSE)))</f>
        <v/>
      </c>
      <c r="AC56" s="22" t="str">
        <f>IF(OR($B56="",AC$22=""),"",IF(LEN(VLOOKUP($B56,Database!$B$1:$IX$10144,AC$22,FALSE))=0,"",VLOOKUP($B56,Database!$B$1:$IX$10144,AC$22,FALSE)))</f>
        <v/>
      </c>
      <c r="AD56" s="22">
        <f>IF(OR($B56="",AD$22=""),"",IF(LEN(VLOOKUP($B56,Database!$B$1:$IX$10144,AD$22,FALSE))=0,"",VLOOKUP($B56,Database!$B$1:$IX$10144,AD$22,FALSE)))</f>
        <v>31.3</v>
      </c>
      <c r="AE56" s="22">
        <f>IF(OR($B56="",AE$22=""),"",IF(LEN(VLOOKUP($B56,Database!$B$1:$IX$10144,AE$22,FALSE))=0,"",VLOOKUP($B56,Database!$B$1:$IX$10144,AE$22,FALSE)))</f>
        <v>8.3000000000000007</v>
      </c>
      <c r="AF56" s="22">
        <f>IF(OR($B56="",AF$22=""),"",IF(LEN(VLOOKUP($B56,Database!$B$1:$IX$10144,AF$22,FALSE))=0,"",VLOOKUP($B56,Database!$B$1:$IX$10144,AF$22,FALSE)))</f>
        <v>17</v>
      </c>
      <c r="AG56" s="22">
        <f>IF(OR($B56="",AG$22=""),"",IF(LEN(VLOOKUP($B56,Database!$B$1:$IX$10144,AG$22,FALSE))=0,"",VLOOKUP($B56,Database!$B$1:$IX$10144,AG$22,FALSE)))</f>
        <v>17</v>
      </c>
      <c r="AH56" s="22">
        <f>IF(OR($B56="",AH$22=""),"",IF(LEN(VLOOKUP($B56,Database!$B$1:$IX$10144,AH$22,FALSE))=0,"",VLOOKUP($B56,Database!$B$1:$IX$10144,AH$22,FALSE)))</f>
        <v>1.5</v>
      </c>
      <c r="AI56" s="22">
        <f>IF(OR($B56="",AI$22=""),"",IF(LEN(VLOOKUP($B56,Database!$B$1:$IX$10144,AI$22,FALSE))=0,"",VLOOKUP($B56,Database!$B$1:$IX$10144,AI$22,FALSE)))</f>
        <v>1.5</v>
      </c>
      <c r="AJ56" s="22" t="str">
        <f>IF(OR($B56="",AJ$22=""),"",IF(LEN(VLOOKUP($B56,Database!$B$1:$IX$10144,AJ$22,FALSE))=0,"",VLOOKUP($B56,Database!$B$1:$IX$10144,AJ$22,FALSE)))</f>
        <v/>
      </c>
      <c r="AK56" s="22" t="str">
        <f>IF(OR($B56="",AK$22=""),"",IF(LEN(VLOOKUP($B56,Database!$B$1:$IX$10144,AK$22,FALSE))=0,"",VLOOKUP($B56,Database!$B$1:$IX$10144,AK$22,FALSE)))</f>
        <v>split depending on group (suicidal=16, nonsuicidal=26.9)</v>
      </c>
      <c r="AL56" s="22" t="str">
        <f>IF(OR($B56="",AL$22=""),"",IF(LEN(VLOOKUP($B56,Database!$B$1:$IX$10144,AL$22,FALSE))=0,"",VLOOKUP($B56,Database!$B$1:$IX$10144,AL$22,FALSE)))</f>
        <v>split depending on group (suicidal =13.7, non-suicidal = 10.9)</v>
      </c>
      <c r="AM56" s="22">
        <f>IF(OR($B56="",AM$22=""),"",IF(LEN(VLOOKUP($B56,Database!$B$1:$IX$10144,AM$22,FALSE))=0,"",VLOOKUP($B56,Database!$B$1:$IX$10144,AM$22,FALSE)))</f>
        <v>0</v>
      </c>
      <c r="AN56" s="22">
        <f>IF(OR($B56="",AN$22=""),"",IF(LEN(VLOOKUP($B56,Database!$B$1:$IX$10144,AN$22,FALSE))=0,"",VLOOKUP($B56,Database!$B$1:$IX$10144,AN$22,FALSE)))</f>
        <v>0</v>
      </c>
      <c r="AO56" s="22">
        <f>IF(OR($B56="",AO$22=""),"",IF(LEN(VLOOKUP($B56,Database!$B$1:$IX$10144,AO$22,FALSE))=0,"",VLOOKUP($B56,Database!$B$1:$IX$10144,AO$22,FALSE)))</f>
        <v>0</v>
      </c>
      <c r="AP56" s="22">
        <f>IF(OR($B56="",AP$22=""),"",IF(LEN(VLOOKUP($B56,Database!$B$1:$IX$10144,AP$22,FALSE))=0,"",VLOOKUP($B56,Database!$B$1:$IX$10144,AP$22,FALSE)))</f>
        <v>100</v>
      </c>
      <c r="AQ56" s="211" t="str">
        <f>IF(OR($B56="",AQ$22=""),"",IF(LEN(VLOOKUP($B56,Database!$B$1:$IX$10144,AQ$22,FALSE))=0,"",VLOOKUP($B56,Database!$B$1:$IX$10144,AQ$22,FALSE)))</f>
        <v>Monkul ES, Hatch JP, Nicoletti MA, Spence S, Brambilla P, Lacerda AL, Sassi RB, Mallinger AG, Keshavan MS, Soares JC.</v>
      </c>
    </row>
    <row r="57" spans="1:51">
      <c r="A57" s="10"/>
      <c r="C57" s="1"/>
      <c r="D57" s="1"/>
      <c r="E57" s="22"/>
      <c r="F57" s="22"/>
      <c r="G57" s="1"/>
      <c r="H57" s="22"/>
      <c r="I57" s="22"/>
      <c r="Y57" s="22"/>
      <c r="Z57" s="22"/>
      <c r="AA57" s="22"/>
      <c r="AB57" s="22"/>
      <c r="AC57" s="22"/>
      <c r="AD57" s="22"/>
      <c r="AE57" s="22"/>
      <c r="AF57" s="22"/>
      <c r="AG57" s="22"/>
      <c r="AH57" s="22"/>
      <c r="AI57" s="22"/>
      <c r="AJ57" s="22"/>
      <c r="AK57" s="22"/>
      <c r="AL57" s="22"/>
      <c r="AM57" s="22"/>
      <c r="AN57" s="22"/>
      <c r="AO57" s="22"/>
      <c r="AP57" s="22"/>
      <c r="AQ57" s="22"/>
    </row>
    <row r="58" spans="1:51">
      <c r="I58" s="22" t="str">
        <f>IF($B58="","",IF(LEN(VLOOKUP($B58,Database!$B$1:$IX$10144,8,FALSE))=0,"",VLOOKUP($B58,Database!$B$1:$IX$10144,8,FALSE)))</f>
        <v/>
      </c>
      <c r="AF58" t="s">
        <v>602</v>
      </c>
      <c r="AJ58" t="s">
        <v>329</v>
      </c>
      <c r="AN58" t="s">
        <v>330</v>
      </c>
    </row>
    <row r="59" spans="1:51" ht="45" customHeight="1">
      <c r="E59" s="60" t="s">
        <v>617</v>
      </c>
      <c r="F59" s="60" t="s">
        <v>740</v>
      </c>
      <c r="G59" s="60" t="s">
        <v>244</v>
      </c>
      <c r="H59" s="60" t="s">
        <v>245</v>
      </c>
      <c r="I59" s="60" t="s">
        <v>246</v>
      </c>
      <c r="J59" s="60" t="s">
        <v>593</v>
      </c>
      <c r="K59" s="60" t="s">
        <v>1039</v>
      </c>
      <c r="L59" s="60" t="s">
        <v>594</v>
      </c>
      <c r="M59" s="60" t="s">
        <v>1299</v>
      </c>
      <c r="N59" s="61" t="s">
        <v>595</v>
      </c>
      <c r="O59" s="61" t="s">
        <v>596</v>
      </c>
      <c r="P59" s="61" t="s">
        <v>597</v>
      </c>
      <c r="Q59" s="61" t="s">
        <v>598</v>
      </c>
      <c r="R59" s="61" t="s">
        <v>599</v>
      </c>
      <c r="S59" s="61" t="s">
        <v>600</v>
      </c>
      <c r="T59" s="61" t="s">
        <v>601</v>
      </c>
      <c r="U59" s="61" t="s">
        <v>484</v>
      </c>
      <c r="V59" s="61" t="s">
        <v>485</v>
      </c>
      <c r="W59" s="61" t="s">
        <v>486</v>
      </c>
      <c r="AF59" s="61" t="s">
        <v>1517</v>
      </c>
      <c r="AG59" s="62" t="s">
        <v>834</v>
      </c>
      <c r="AH59" s="62" t="s">
        <v>835</v>
      </c>
      <c r="AJ59" s="61" t="s">
        <v>836</v>
      </c>
      <c r="AK59" s="61" t="s">
        <v>837</v>
      </c>
      <c r="AL59" s="61" t="s">
        <v>487</v>
      </c>
      <c r="AN59" t="s">
        <v>488</v>
      </c>
      <c r="AO59" t="s">
        <v>489</v>
      </c>
      <c r="AP59" t="s">
        <v>490</v>
      </c>
      <c r="AQ59" t="s">
        <v>491</v>
      </c>
      <c r="AR59" t="s">
        <v>492</v>
      </c>
      <c r="AS59" t="s">
        <v>493</v>
      </c>
      <c r="AT59" t="s">
        <v>494</v>
      </c>
      <c r="AU59" t="s">
        <v>495</v>
      </c>
      <c r="AV59" t="s">
        <v>496</v>
      </c>
      <c r="AW59" t="s">
        <v>497</v>
      </c>
      <c r="AX59" t="s">
        <v>498</v>
      </c>
      <c r="AY59" t="s">
        <v>499</v>
      </c>
    </row>
    <row r="60" spans="1:51">
      <c r="E60" t="str">
        <f t="shared" ref="E60:F63" si="3">E24</f>
        <v>Sheline YI</v>
      </c>
      <c r="F60">
        <f t="shared" si="3"/>
        <v>1998</v>
      </c>
      <c r="G60">
        <v>23</v>
      </c>
      <c r="H60">
        <f t="shared" ref="H60:I63" si="4">H24</f>
        <v>20</v>
      </c>
      <c r="I60">
        <f t="shared" si="4"/>
        <v>20</v>
      </c>
      <c r="J60">
        <f t="shared" ref="J60:M63" si="5">IF($D$4="Total",T24,IF($D$4="Left",L24,IF($D$4="Right",P24,"error")))</f>
        <v>1650</v>
      </c>
      <c r="K60">
        <f t="shared" si="5"/>
        <v>310</v>
      </c>
      <c r="L60">
        <f t="shared" si="5"/>
        <v>1782</v>
      </c>
      <c r="M60">
        <f t="shared" si="5"/>
        <v>296</v>
      </c>
      <c r="N60">
        <f t="shared" ref="N60:N74" si="6">IF($D$3=1,SQRT((((I60-1)*(M60)^2)+((H60-1)*(K60)^2))/(H60+I60-2)),M60)</f>
        <v>303.08084729985825</v>
      </c>
      <c r="O60" s="59">
        <f t="shared" ref="O60:O74" si="7">IF($D$6=1,LN(J60/L60),IF($D$5=1,(1-3/(4*(H60+I60)-9))*((J60-L60)/N60),(J60-L60)/N60))</f>
        <v>-0.42687449436785685</v>
      </c>
      <c r="P60" s="63">
        <f t="shared" ref="P60:P74" si="8">IF($D$6=1,(K60^2)/(H60*J60^2)+(M60^2)/(I60*L60^2),(IF($D$5=1,((H60+I60)/(H60*I60))+(O60*O60)/(2*(H60+I60-3.94)),((H60+I60)/(H60*I60))+((O60^2)/(2*(H60+I60-2))))))</f>
        <v>0.10252664772520541</v>
      </c>
      <c r="Q60" s="59">
        <f t="shared" ref="Q60:Q82" si="9">$R$99*SQRT(P60)</f>
        <v>0.62758773880721175</v>
      </c>
      <c r="R60" s="59">
        <f t="shared" ref="R60:R74" si="10">1/P60</f>
        <v>9.7535618513562063</v>
      </c>
      <c r="S60" s="59">
        <f t="shared" ref="S60:S74" si="11">O60*R60</f>
        <v>-4.163546783583298</v>
      </c>
      <c r="T60" s="59">
        <f t="shared" ref="T60:T74" si="12">R60*(O60^2)</f>
        <v>1.7773119280190373</v>
      </c>
      <c r="U60" s="23">
        <f t="shared" ref="U60:U74" si="13">R60^2</f>
        <v>95.131968788231106</v>
      </c>
      <c r="V60" s="59">
        <f t="shared" ref="V60:V80" si="14">1/((1/R60)+$I$96)</f>
        <v>3.7889220052130423</v>
      </c>
      <c r="W60" s="59">
        <f t="shared" ref="W60:W74" si="15">V60*O60</f>
        <v>-1.6173941651745638</v>
      </c>
      <c r="AF60" s="59">
        <f t="shared" ref="AF60:AF74" si="16">IF($D$6=1,100*((EXP(O60))-1),O60)</f>
        <v>-0.42687449436785685</v>
      </c>
      <c r="AG60" s="59">
        <f t="shared" ref="AG60:AG74" si="17">IF($D$6=1,100*(EXP(O60+Q60)-EXP(O60)),Q60)</f>
        <v>0.62758773880721175</v>
      </c>
      <c r="AH60" s="59">
        <f t="shared" ref="AH60:AH74" si="18">IF($D$6=1,100*(EXP(O60)-EXP(O60-Q60)),Q60)</f>
        <v>0.62758773880721175</v>
      </c>
      <c r="AJ60">
        <f t="shared" ref="AJ60:AJ74" si="19">SQRT(P60)</f>
        <v>0.32019782592204682</v>
      </c>
      <c r="AK60">
        <f t="shared" ref="AK60:AK82" si="20">1/AJ60</f>
        <v>3.1230692998004712</v>
      </c>
      <c r="AL60">
        <f t="shared" ref="AL60:AL74" si="21">O60/AJ60</f>
        <v>-1.3331586282281029</v>
      </c>
      <c r="AN60" t="str">
        <f t="shared" ref="AN60:AN74" si="22">E60</f>
        <v>Sheline YI</v>
      </c>
      <c r="AO60">
        <f t="shared" ref="AO60:AO74" si="23">F60</f>
        <v>1998</v>
      </c>
      <c r="AP60" t="str">
        <f t="shared" ref="AP60:AP74" si="24">CONCATENATE(AN60," ",AO60)</f>
        <v>Sheline YI 1998</v>
      </c>
      <c r="AQ60">
        <f t="shared" ref="AQ60:AQ74" si="25">INT(H60)</f>
        <v>20</v>
      </c>
      <c r="AR60">
        <f t="shared" ref="AR60:AR74" si="26">J60</f>
        <v>1650</v>
      </c>
      <c r="AS60">
        <f t="shared" ref="AS60:AS74" si="27">K60</f>
        <v>310</v>
      </c>
      <c r="AT60">
        <f t="shared" ref="AT60:AT74" si="28">INT(I60)</f>
        <v>20</v>
      </c>
      <c r="AU60">
        <f t="shared" ref="AU60:AU74" si="29">L60</f>
        <v>1782</v>
      </c>
      <c r="AV60">
        <f t="shared" ref="AV60:AV74" si="30">M60</f>
        <v>296</v>
      </c>
      <c r="AW60" s="65">
        <f t="shared" ref="AW60:AW74" si="31">O60</f>
        <v>-0.42687449436785685</v>
      </c>
      <c r="AX60">
        <f t="shared" ref="AX60:AX74" si="32">SQRT(P60)</f>
        <v>0.32019782592204682</v>
      </c>
      <c r="AY60" t="str">
        <f>$F$3</f>
        <v>Pooled SD</v>
      </c>
    </row>
    <row r="61" spans="1:51">
      <c r="E61" t="str">
        <f t="shared" si="3"/>
        <v>Bremner JD</v>
      </c>
      <c r="F61">
        <f t="shared" si="3"/>
        <v>2000</v>
      </c>
      <c r="G61">
        <v>22</v>
      </c>
      <c r="H61">
        <f t="shared" si="4"/>
        <v>16</v>
      </c>
      <c r="I61">
        <f t="shared" si="4"/>
        <v>16</v>
      </c>
      <c r="J61">
        <f t="shared" si="5"/>
        <v>1652</v>
      </c>
      <c r="K61">
        <f t="shared" si="5"/>
        <v>455</v>
      </c>
      <c r="L61">
        <f t="shared" si="5"/>
        <v>1347</v>
      </c>
      <c r="M61">
        <f t="shared" si="5"/>
        <v>448</v>
      </c>
      <c r="N61">
        <f t="shared" si="6"/>
        <v>451.51356568767676</v>
      </c>
      <c r="O61" s="59">
        <f t="shared" si="7"/>
        <v>0.65847617206568121</v>
      </c>
      <c r="P61" s="63">
        <f t="shared" si="8"/>
        <v>0.1327261380822928</v>
      </c>
      <c r="Q61" s="59">
        <f t="shared" si="9"/>
        <v>0.71405933370899655</v>
      </c>
      <c r="R61" s="59">
        <f t="shared" si="10"/>
        <v>7.5343109838695108</v>
      </c>
      <c r="S61" s="59">
        <f t="shared" si="11"/>
        <v>4.9611642558108118</v>
      </c>
      <c r="T61" s="59">
        <f t="shared" si="12"/>
        <v>3.2668084481553876</v>
      </c>
      <c r="U61" s="23">
        <f t="shared" si="13"/>
        <v>56.765842001656758</v>
      </c>
      <c r="V61" s="59">
        <f t="shared" si="14"/>
        <v>3.399894168697843</v>
      </c>
      <c r="W61" s="59">
        <f t="shared" si="15"/>
        <v>2.2387492976325869</v>
      </c>
      <c r="AF61" s="59">
        <f t="shared" si="16"/>
        <v>0.65847617206568121</v>
      </c>
      <c r="AG61" s="59">
        <f t="shared" si="17"/>
        <v>0.71405933370899655</v>
      </c>
      <c r="AH61" s="59">
        <f t="shared" si="18"/>
        <v>0.71405933370899655</v>
      </c>
      <c r="AJ61">
        <f t="shared" si="19"/>
        <v>0.36431598658622272</v>
      </c>
      <c r="AK61">
        <f t="shared" si="20"/>
        <v>2.7448699393358349</v>
      </c>
      <c r="AL61">
        <f t="shared" si="21"/>
        <v>1.8074314504720193</v>
      </c>
      <c r="AN61" t="str">
        <f t="shared" si="22"/>
        <v>Bremner JD</v>
      </c>
      <c r="AO61">
        <f t="shared" si="23"/>
        <v>2000</v>
      </c>
      <c r="AP61" t="str">
        <f t="shared" si="24"/>
        <v>Bremner JD 2000</v>
      </c>
      <c r="AQ61">
        <f t="shared" si="25"/>
        <v>16</v>
      </c>
      <c r="AR61">
        <f t="shared" si="26"/>
        <v>1652</v>
      </c>
      <c r="AS61">
        <f t="shared" si="27"/>
        <v>455</v>
      </c>
      <c r="AT61">
        <f t="shared" si="28"/>
        <v>16</v>
      </c>
      <c r="AU61">
        <f t="shared" si="29"/>
        <v>1347</v>
      </c>
      <c r="AV61">
        <f t="shared" si="30"/>
        <v>448</v>
      </c>
      <c r="AW61" s="65">
        <f t="shared" si="31"/>
        <v>0.65847617206568121</v>
      </c>
      <c r="AX61">
        <f t="shared" si="32"/>
        <v>0.36431598658622272</v>
      </c>
      <c r="AY61" t="str">
        <f>$F$4</f>
        <v>Left</v>
      </c>
    </row>
    <row r="62" spans="1:51">
      <c r="E62" t="str">
        <f t="shared" si="3"/>
        <v>Frodl T</v>
      </c>
      <c r="F62">
        <f t="shared" si="3"/>
        <v>2003</v>
      </c>
      <c r="G62">
        <v>21</v>
      </c>
      <c r="H62">
        <f t="shared" si="4"/>
        <v>30</v>
      </c>
      <c r="I62">
        <f t="shared" si="4"/>
        <v>30</v>
      </c>
      <c r="J62">
        <f t="shared" si="5"/>
        <v>1944</v>
      </c>
      <c r="K62">
        <f t="shared" si="5"/>
        <v>256</v>
      </c>
      <c r="L62">
        <f t="shared" si="5"/>
        <v>1776</v>
      </c>
      <c r="M62">
        <f t="shared" si="5"/>
        <v>292</v>
      </c>
      <c r="N62">
        <f t="shared" si="6"/>
        <v>274.59060435491961</v>
      </c>
      <c r="O62" s="59">
        <f t="shared" si="7"/>
        <v>0.60387420104096134</v>
      </c>
      <c r="P62" s="63">
        <f t="shared" si="8"/>
        <v>6.9919110928911218E-2</v>
      </c>
      <c r="Q62" s="59">
        <f t="shared" si="9"/>
        <v>0.51826755305006822</v>
      </c>
      <c r="R62" s="59">
        <f t="shared" si="10"/>
        <v>14.302241357398392</v>
      </c>
      <c r="S62" s="59">
        <f t="shared" si="11"/>
        <v>8.636754572793949</v>
      </c>
      <c r="T62" s="59">
        <f t="shared" si="12"/>
        <v>5.2155132672328151</v>
      </c>
      <c r="U62" s="23">
        <f t="shared" si="13"/>
        <v>204.554107845277</v>
      </c>
      <c r="V62" s="59">
        <f t="shared" si="14"/>
        <v>4.3230199379322567</v>
      </c>
      <c r="W62" s="59">
        <f t="shared" si="15"/>
        <v>2.610560211102988</v>
      </c>
      <c r="AF62" s="59">
        <f t="shared" si="16"/>
        <v>0.60387420104096134</v>
      </c>
      <c r="AG62" s="59">
        <f t="shared" si="17"/>
        <v>0.51826755305006822</v>
      </c>
      <c r="AH62" s="59">
        <f t="shared" si="18"/>
        <v>0.51826755305006822</v>
      </c>
      <c r="AJ62">
        <f t="shared" si="19"/>
        <v>0.26442222094391238</v>
      </c>
      <c r="AK62">
        <f t="shared" si="20"/>
        <v>3.7818304241991596</v>
      </c>
      <c r="AL62">
        <f t="shared" si="21"/>
        <v>2.2837498258856672</v>
      </c>
      <c r="AN62" t="str">
        <f t="shared" si="22"/>
        <v>Frodl T</v>
      </c>
      <c r="AO62">
        <f t="shared" si="23"/>
        <v>2003</v>
      </c>
      <c r="AP62" t="str">
        <f t="shared" si="24"/>
        <v>Frodl T 2003</v>
      </c>
      <c r="AQ62">
        <f t="shared" si="25"/>
        <v>30</v>
      </c>
      <c r="AR62">
        <f t="shared" si="26"/>
        <v>1944</v>
      </c>
      <c r="AS62">
        <f t="shared" si="27"/>
        <v>256</v>
      </c>
      <c r="AT62">
        <f t="shared" si="28"/>
        <v>30</v>
      </c>
      <c r="AU62">
        <f t="shared" si="29"/>
        <v>1776</v>
      </c>
      <c r="AV62">
        <f t="shared" si="30"/>
        <v>292</v>
      </c>
      <c r="AW62" s="65">
        <f t="shared" si="31"/>
        <v>0.60387420104096134</v>
      </c>
      <c r="AX62">
        <f t="shared" si="32"/>
        <v>0.26442222094391238</v>
      </c>
      <c r="AY62" t="str">
        <f>$F$6</f>
        <v>Cohens Effect size</v>
      </c>
    </row>
    <row r="63" spans="1:51">
      <c r="E63" t="str">
        <f t="shared" si="3"/>
        <v>Frodl T</v>
      </c>
      <c r="F63">
        <f t="shared" si="3"/>
        <v>2003</v>
      </c>
      <c r="G63">
        <v>20</v>
      </c>
      <c r="H63">
        <f t="shared" si="4"/>
        <v>27</v>
      </c>
      <c r="I63">
        <f t="shared" si="4"/>
        <v>27</v>
      </c>
      <c r="J63">
        <f t="shared" si="5"/>
        <v>1780</v>
      </c>
      <c r="K63">
        <f t="shared" si="5"/>
        <v>232</v>
      </c>
      <c r="L63">
        <f t="shared" si="5"/>
        <v>1741</v>
      </c>
      <c r="M63">
        <f t="shared" si="5"/>
        <v>292</v>
      </c>
      <c r="N63">
        <f t="shared" si="6"/>
        <v>263.71196408202644</v>
      </c>
      <c r="O63" s="59">
        <f t="shared" si="7"/>
        <v>0.14574531247562467</v>
      </c>
      <c r="P63" s="63">
        <f t="shared" si="8"/>
        <v>7.4286236440320744E-2</v>
      </c>
      <c r="Q63" s="59">
        <f t="shared" si="9"/>
        <v>0.53420783025816476</v>
      </c>
      <c r="R63" s="59">
        <f t="shared" si="10"/>
        <v>13.461443840991581</v>
      </c>
      <c r="S63" s="59">
        <f t="shared" si="11"/>
        <v>1.9619423389783912</v>
      </c>
      <c r="T63" s="59">
        <f t="shared" si="12"/>
        <v>0.2859438992535635</v>
      </c>
      <c r="U63" s="23">
        <f t="shared" si="13"/>
        <v>181.21047028417019</v>
      </c>
      <c r="V63" s="59">
        <f t="shared" si="14"/>
        <v>4.2429171803988197</v>
      </c>
      <c r="W63" s="59">
        <f t="shared" si="15"/>
        <v>0.61838529026542233</v>
      </c>
      <c r="AF63" s="59">
        <f t="shared" si="16"/>
        <v>0.14574531247562467</v>
      </c>
      <c r="AG63" s="59">
        <f t="shared" si="17"/>
        <v>0.53420783025816476</v>
      </c>
      <c r="AH63" s="59">
        <f t="shared" si="18"/>
        <v>0.53420783025816476</v>
      </c>
      <c r="AJ63">
        <f t="shared" si="19"/>
        <v>0.27255501543783917</v>
      </c>
      <c r="AK63">
        <f t="shared" si="20"/>
        <v>3.6689840338970652</v>
      </c>
      <c r="AL63">
        <f t="shared" si="21"/>
        <v>0.53473722448840566</v>
      </c>
      <c r="AN63" t="str">
        <f t="shared" si="22"/>
        <v>Frodl T</v>
      </c>
      <c r="AO63">
        <f t="shared" si="23"/>
        <v>2003</v>
      </c>
      <c r="AP63" t="str">
        <f t="shared" si="24"/>
        <v>Frodl T 2003</v>
      </c>
      <c r="AQ63">
        <f t="shared" si="25"/>
        <v>27</v>
      </c>
      <c r="AR63">
        <f t="shared" si="26"/>
        <v>1780</v>
      </c>
      <c r="AS63">
        <f t="shared" si="27"/>
        <v>232</v>
      </c>
      <c r="AT63">
        <f t="shared" si="28"/>
        <v>27</v>
      </c>
      <c r="AU63">
        <f t="shared" si="29"/>
        <v>1741</v>
      </c>
      <c r="AV63">
        <f t="shared" si="30"/>
        <v>292</v>
      </c>
      <c r="AW63" s="65">
        <f t="shared" si="31"/>
        <v>0.14574531247562467</v>
      </c>
      <c r="AX63">
        <f t="shared" si="32"/>
        <v>0.27255501543783917</v>
      </c>
      <c r="AY63" t="str">
        <f>$F$5</f>
        <v>H Correction</v>
      </c>
    </row>
    <row r="64" spans="1:51">
      <c r="E64" t="str">
        <f>E28</f>
        <v>Caetano SC</v>
      </c>
      <c r="F64">
        <f>F28</f>
        <v>2004</v>
      </c>
      <c r="G64">
        <v>19</v>
      </c>
      <c r="H64">
        <f>H28</f>
        <v>31</v>
      </c>
      <c r="I64">
        <f>I28</f>
        <v>31</v>
      </c>
      <c r="J64">
        <f>IF($D$4="Total",T28,IF($D$4="Left",L28,IF($D$4="Right",P28,"error")))</f>
        <v>1.85</v>
      </c>
      <c r="K64">
        <f>IF($D$4="Total",U28,IF($D$4="Left",M28,IF($D$4="Right",Q28,"error")))</f>
        <v>0.39</v>
      </c>
      <c r="L64">
        <f>IF($D$4="Total",V28,IF($D$4="Left",N28,IF($D$4="Right",R28,"error")))</f>
        <v>2.02</v>
      </c>
      <c r="M64">
        <f>IF($D$4="Total",W28,IF($D$4="Left",O28,IF($D$4="Right",S28,"error")))</f>
        <v>0.37</v>
      </c>
      <c r="N64">
        <f t="shared" si="6"/>
        <v>0.38013155617496425</v>
      </c>
      <c r="O64" s="59">
        <f t="shared" si="7"/>
        <v>-0.44160003572380768</v>
      </c>
      <c r="P64" s="63">
        <f t="shared" si="8"/>
        <v>6.6195517523054373E-2</v>
      </c>
      <c r="Q64" s="59">
        <f t="shared" si="9"/>
        <v>0.50427839544894804</v>
      </c>
      <c r="R64" s="59">
        <f t="shared" si="10"/>
        <v>15.106763077299352</v>
      </c>
      <c r="S64" s="59">
        <f t="shared" si="11"/>
        <v>-6.6711471146064927</v>
      </c>
      <c r="T64" s="59">
        <f t="shared" si="12"/>
        <v>2.9459788041290036</v>
      </c>
      <c r="U64" s="23">
        <f t="shared" si="13"/>
        <v>228.21429067365497</v>
      </c>
      <c r="V64" s="59">
        <f t="shared" si="14"/>
        <v>4.3937468210069284</v>
      </c>
      <c r="W64" s="59">
        <f t="shared" si="15"/>
        <v>-1.9402787531180261</v>
      </c>
      <c r="AF64" s="59">
        <f t="shared" si="16"/>
        <v>-0.44160003572380768</v>
      </c>
      <c r="AG64" s="59">
        <f t="shared" si="17"/>
        <v>0.50427839544894804</v>
      </c>
      <c r="AH64" s="59">
        <f t="shared" si="18"/>
        <v>0.50427839544894804</v>
      </c>
      <c r="AJ64">
        <f t="shared" si="19"/>
        <v>0.2572848956372184</v>
      </c>
      <c r="AK64">
        <f t="shared" si="20"/>
        <v>3.8867419617591485</v>
      </c>
      <c r="AL64">
        <f t="shared" si="21"/>
        <v>-1.7163853891620622</v>
      </c>
      <c r="AN64" t="str">
        <f t="shared" si="22"/>
        <v>Caetano SC</v>
      </c>
      <c r="AO64">
        <f t="shared" si="23"/>
        <v>2004</v>
      </c>
      <c r="AP64" t="str">
        <f t="shared" si="24"/>
        <v>Caetano SC 2004</v>
      </c>
      <c r="AQ64">
        <f t="shared" si="25"/>
        <v>31</v>
      </c>
      <c r="AR64">
        <f t="shared" si="26"/>
        <v>1.85</v>
      </c>
      <c r="AS64">
        <f t="shared" si="27"/>
        <v>0.39</v>
      </c>
      <c r="AT64">
        <f t="shared" si="28"/>
        <v>31</v>
      </c>
      <c r="AU64">
        <f t="shared" si="29"/>
        <v>2.02</v>
      </c>
      <c r="AV64">
        <f t="shared" si="30"/>
        <v>0.37</v>
      </c>
      <c r="AW64" s="65">
        <f t="shared" si="31"/>
        <v>-0.44160003572380768</v>
      </c>
      <c r="AX64">
        <f t="shared" si="32"/>
        <v>0.2572848956372184</v>
      </c>
    </row>
    <row r="65" spans="5:50">
      <c r="E65" t="str">
        <f t="shared" ref="E65:F67" si="33">E29</f>
        <v>Hastings RS</v>
      </c>
      <c r="F65">
        <f t="shared" si="33"/>
        <v>2004</v>
      </c>
      <c r="G65">
        <v>18</v>
      </c>
      <c r="H65">
        <f t="shared" ref="H65:I67" si="34">H29</f>
        <v>10</v>
      </c>
      <c r="I65">
        <f t="shared" si="34"/>
        <v>10</v>
      </c>
      <c r="J65">
        <f t="shared" ref="J65:J70" si="35">IF($D$4="Total",T29,IF($D$4="Left",L29,IF($D$4="Right",P29,"error")))</f>
        <v>1454</v>
      </c>
      <c r="K65">
        <f t="shared" ref="K65:K70" si="36">IF($D$4="Total",U29,IF($D$4="Left",M29,IF($D$4="Right",Q29,"error")))</f>
        <v>307</v>
      </c>
      <c r="L65">
        <f t="shared" ref="L65:L70" si="37">IF($D$4="Total",V29,IF($D$4="Left",N29,IF($D$4="Right",R29,"error")))</f>
        <v>1718</v>
      </c>
      <c r="M65">
        <f t="shared" ref="M65:M70" si="38">IF($D$4="Total",W29,IF($D$4="Left",O29,IF($D$4="Right",S29,"error")))</f>
        <v>339</v>
      </c>
      <c r="N65">
        <f t="shared" si="6"/>
        <v>323.39604202896487</v>
      </c>
      <c r="O65" s="59">
        <f t="shared" si="7"/>
        <v>-0.78184342899252068</v>
      </c>
      <c r="P65" s="63">
        <f t="shared" si="8"/>
        <v>0.21903110670793222</v>
      </c>
      <c r="Q65" s="59">
        <f t="shared" si="9"/>
        <v>0.91729488144717797</v>
      </c>
      <c r="R65" s="59">
        <f t="shared" si="10"/>
        <v>4.5655615543843888</v>
      </c>
      <c r="S65" s="59">
        <f t="shared" si="11"/>
        <v>-3.5695543009563133</v>
      </c>
      <c r="T65" s="59">
        <f t="shared" si="12"/>
        <v>2.7908325746346843</v>
      </c>
      <c r="U65" s="23">
        <f t="shared" si="13"/>
        <v>20.844352306872796</v>
      </c>
      <c r="V65" s="59">
        <f t="shared" si="14"/>
        <v>2.6285922376171391</v>
      </c>
      <c r="W65" s="59">
        <f t="shared" si="15"/>
        <v>-2.0551475684817069</v>
      </c>
      <c r="AF65" s="59">
        <f t="shared" si="16"/>
        <v>-0.78184342899252068</v>
      </c>
      <c r="AG65" s="59">
        <f t="shared" si="17"/>
        <v>0.91729488144717797</v>
      </c>
      <c r="AH65" s="59">
        <f t="shared" si="18"/>
        <v>0.91729488144717797</v>
      </c>
      <c r="AJ65">
        <f t="shared" si="19"/>
        <v>0.46800759257509084</v>
      </c>
      <c r="AK65">
        <f t="shared" si="20"/>
        <v>2.1367174718208277</v>
      </c>
      <c r="AL65">
        <f t="shared" si="21"/>
        <v>-1.6705785149566255</v>
      </c>
      <c r="AN65" t="str">
        <f t="shared" si="22"/>
        <v>Hastings RS</v>
      </c>
      <c r="AO65">
        <f t="shared" si="23"/>
        <v>2004</v>
      </c>
      <c r="AP65" t="str">
        <f t="shared" si="24"/>
        <v>Hastings RS 2004</v>
      </c>
      <c r="AQ65">
        <f t="shared" si="25"/>
        <v>10</v>
      </c>
      <c r="AR65">
        <f t="shared" si="26"/>
        <v>1454</v>
      </c>
      <c r="AS65">
        <f t="shared" si="27"/>
        <v>307</v>
      </c>
      <c r="AT65">
        <f t="shared" si="28"/>
        <v>10</v>
      </c>
      <c r="AU65">
        <f t="shared" si="29"/>
        <v>1718</v>
      </c>
      <c r="AV65">
        <f t="shared" si="30"/>
        <v>339</v>
      </c>
      <c r="AW65" s="65">
        <f t="shared" si="31"/>
        <v>-0.78184342899252068</v>
      </c>
      <c r="AX65">
        <f t="shared" si="32"/>
        <v>0.46800759257509084</v>
      </c>
    </row>
    <row r="66" spans="5:50">
      <c r="E66" t="str">
        <f t="shared" si="33"/>
        <v>Lange C</v>
      </c>
      <c r="F66">
        <f t="shared" si="33"/>
        <v>2004</v>
      </c>
      <c r="G66">
        <v>17</v>
      </c>
      <c r="H66">
        <f t="shared" si="34"/>
        <v>17</v>
      </c>
      <c r="I66">
        <f t="shared" si="34"/>
        <v>17</v>
      </c>
      <c r="J66">
        <f t="shared" si="35"/>
        <v>1.29</v>
      </c>
      <c r="K66">
        <f t="shared" si="36"/>
        <v>0.26</v>
      </c>
      <c r="L66">
        <f t="shared" si="37"/>
        <v>1.1200000000000001</v>
      </c>
      <c r="M66">
        <f t="shared" si="38"/>
        <v>0.17</v>
      </c>
      <c r="N66">
        <f>IF($D$3=1,SQRT((((I66-1)*(M66)^2)+((H66-1)*(K66)^2))/(H66+I66-2)),M66)</f>
        <v>0.21965882636488798</v>
      </c>
      <c r="O66" s="59">
        <f>IF($D$6=1,LN(J66/L66),IF($D$5=1,(1-3/(4*(H66+I66)-9))*((J66-L66)/N66),(J66-L66)/N66))</f>
        <v>0.75564571984363527</v>
      </c>
      <c r="P66" s="63">
        <f>IF($D$6=1,(K66^2)/(H66*J66^2)+(M66^2)/(I66*L66^2),(IF($D$5=1,((H66+I66)/(H66*I66))+(O66*O66)/(2*(H66+I66-3.94)),((H66+I66)/(H66*I66))+((O66^2)/(2*(H66+I66-2))))))</f>
        <v>0.12714473769774773</v>
      </c>
      <c r="Q66" s="59">
        <f t="shared" si="9"/>
        <v>0.69888427106329098</v>
      </c>
      <c r="R66" s="59">
        <f>1/P66</f>
        <v>7.8650522082732977</v>
      </c>
      <c r="S66" s="59">
        <f>O66*R66</f>
        <v>5.9431930375284487</v>
      </c>
      <c r="T66" s="59">
        <f>R66*(O66^2)</f>
        <v>4.4909483810128661</v>
      </c>
      <c r="U66" s="23">
        <f>R66^2</f>
        <v>61.859046238864678</v>
      </c>
      <c r="V66" s="59">
        <f t="shared" si="14"/>
        <v>3.4656591072294036</v>
      </c>
      <c r="W66" s="59">
        <f>V66*O66</f>
        <v>2.6188104708150131</v>
      </c>
      <c r="AF66" s="59">
        <f>IF($D$6=1,100*((EXP(O66))-1),O66)</f>
        <v>0.75564571984363527</v>
      </c>
      <c r="AG66" s="59">
        <f>IF($D$6=1,100*(EXP(O66+Q66)-EXP(O66)),Q66)</f>
        <v>0.69888427106329098</v>
      </c>
      <c r="AH66" s="59">
        <f>IF($D$6=1,100*(EXP(O66)-EXP(O66-Q66)),Q66)</f>
        <v>0.69888427106329098</v>
      </c>
      <c r="AJ66">
        <f>SQRT(P66)</f>
        <v>0.35657360768535257</v>
      </c>
      <c r="AK66">
        <f t="shared" si="20"/>
        <v>2.8044700405376588</v>
      </c>
      <c r="AL66">
        <f>O66/AJ66</f>
        <v>2.1191857825619884</v>
      </c>
      <c r="AN66" t="str">
        <f>E66</f>
        <v>Lange C</v>
      </c>
      <c r="AO66">
        <f>F66</f>
        <v>2004</v>
      </c>
      <c r="AP66" t="str">
        <f>CONCATENATE(AN66," ",AO66)</f>
        <v>Lange C 2004</v>
      </c>
      <c r="AQ66">
        <f>INT(H66)</f>
        <v>17</v>
      </c>
      <c r="AR66">
        <f>J66</f>
        <v>1.29</v>
      </c>
      <c r="AS66">
        <f>K66</f>
        <v>0.26</v>
      </c>
      <c r="AT66">
        <f>INT(I66)</f>
        <v>17</v>
      </c>
      <c r="AU66">
        <f>L66</f>
        <v>1.1200000000000001</v>
      </c>
      <c r="AV66">
        <f>M66</f>
        <v>0.17</v>
      </c>
      <c r="AW66" s="65">
        <f>O66</f>
        <v>0.75564571984363527</v>
      </c>
      <c r="AX66">
        <f>SQRT(P66)</f>
        <v>0.35657360768535257</v>
      </c>
    </row>
    <row r="67" spans="5:50">
      <c r="E67" t="str">
        <f t="shared" si="33"/>
        <v>Xia J</v>
      </c>
      <c r="F67">
        <f t="shared" si="33"/>
        <v>2004</v>
      </c>
      <c r="G67">
        <v>16</v>
      </c>
      <c r="H67">
        <f t="shared" si="34"/>
        <v>22</v>
      </c>
      <c r="I67">
        <f t="shared" si="34"/>
        <v>13</v>
      </c>
      <c r="J67">
        <f t="shared" si="35"/>
        <v>2349.91</v>
      </c>
      <c r="K67">
        <f t="shared" si="36"/>
        <v>125.11</v>
      </c>
      <c r="L67">
        <f t="shared" si="37"/>
        <v>2323.69</v>
      </c>
      <c r="M67">
        <f t="shared" si="38"/>
        <v>37.06</v>
      </c>
      <c r="N67">
        <f>IF($D$3=1,SQRT((((I67-1)*(M67)^2)+((H67-1)*(K67)^2))/(H67+I67-2)),M67)</f>
        <v>102.27474543867345</v>
      </c>
      <c r="O67" s="59">
        <f>IF($D$6=1,LN(J67/L67),IF($D$5=1,(1-3/(4*(H67+I67)-9))*((J67-L67)/N67),(J67-L67)/N67))</f>
        <v>0.2504972451884005</v>
      </c>
      <c r="P67" s="63">
        <f>IF($D$6=1,(K67^2)/(H67*J67^2)+(M67^2)/(I67*L67^2),(IF($D$5=1,((H67+I67)/(H67*I67))+(O67*O67)/(2*(H67+I67-3.94)),((H67+I67)/(H67*I67))+((O67^2)/(2*(H67+I67-2))))))</f>
        <v>0.12338774584586092</v>
      </c>
      <c r="Q67" s="59">
        <f t="shared" si="9"/>
        <v>0.68848120122590073</v>
      </c>
      <c r="R67" s="59">
        <f>1/P67</f>
        <v>8.1045325299096174</v>
      </c>
      <c r="S67" s="59">
        <f>O67*R67</f>
        <v>2.0301630722821371</v>
      </c>
      <c r="T67" s="59">
        <f>R67*(O67^2)</f>
        <v>0.50855025688989497</v>
      </c>
      <c r="U67" s="23">
        <f>R67^2</f>
        <v>65.683447528363189</v>
      </c>
      <c r="V67" s="59">
        <f t="shared" si="14"/>
        <v>3.511378850614812</v>
      </c>
      <c r="W67" s="59">
        <f>V67*O67</f>
        <v>0.87959072889182244</v>
      </c>
      <c r="AF67" s="59">
        <f>IF($D$6=1,100*((EXP(O67))-1),O67)</f>
        <v>0.2504972451884005</v>
      </c>
      <c r="AG67" s="59">
        <f>IF($D$6=1,100*(EXP(O67+Q67)-EXP(O67)),Q67)</f>
        <v>0.68848120122590073</v>
      </c>
      <c r="AH67" s="59">
        <f>IF($D$6=1,100*(EXP(O67)-EXP(O67-Q67)),Q67)</f>
        <v>0.68848120122590073</v>
      </c>
      <c r="AJ67">
        <f>SQRT(P67)</f>
        <v>0.35126591899280651</v>
      </c>
      <c r="AK67">
        <f t="shared" si="20"/>
        <v>2.8468460671257971</v>
      </c>
      <c r="AL67">
        <f>O67/AJ67</f>
        <v>0.71312709729044443</v>
      </c>
      <c r="AN67" t="str">
        <f>E67</f>
        <v>Xia J</v>
      </c>
      <c r="AO67">
        <f>F67</f>
        <v>2004</v>
      </c>
      <c r="AP67" t="str">
        <f>CONCATENATE(AN67," ",AO67)</f>
        <v>Xia J 2004</v>
      </c>
      <c r="AQ67">
        <f>INT(H67)</f>
        <v>22</v>
      </c>
      <c r="AR67">
        <f>J67</f>
        <v>2349.91</v>
      </c>
      <c r="AS67">
        <f>K67</f>
        <v>125.11</v>
      </c>
      <c r="AT67">
        <f>INT(I67)</f>
        <v>13</v>
      </c>
      <c r="AU67">
        <f>L67</f>
        <v>2323.69</v>
      </c>
      <c r="AV67">
        <f>M67</f>
        <v>37.06</v>
      </c>
      <c r="AW67" s="65">
        <f>O67</f>
        <v>0.2504972451884005</v>
      </c>
      <c r="AX67">
        <f>SQRT(P67)</f>
        <v>0.35126591899280651</v>
      </c>
    </row>
    <row r="68" spans="5:50">
      <c r="E68" t="str">
        <f t="shared" ref="E68:F70" si="39">E32</f>
        <v>Rosso IM</v>
      </c>
      <c r="F68">
        <f t="shared" si="39"/>
        <v>2005</v>
      </c>
      <c r="G68">
        <v>15</v>
      </c>
      <c r="H68">
        <f t="shared" ref="H68:I70" si="40">H32</f>
        <v>20</v>
      </c>
      <c r="I68">
        <f t="shared" si="40"/>
        <v>24</v>
      </c>
      <c r="J68">
        <f t="shared" si="35"/>
        <v>2.2599999999999998</v>
      </c>
      <c r="K68">
        <f t="shared" si="36"/>
        <v>0.35799999999999998</v>
      </c>
      <c r="L68">
        <f t="shared" si="37"/>
        <v>2.52</v>
      </c>
      <c r="M68">
        <f t="shared" si="38"/>
        <v>0.34300000000000003</v>
      </c>
      <c r="N68">
        <f t="shared" si="6"/>
        <v>0.34986538227479108</v>
      </c>
      <c r="O68" s="59">
        <f t="shared" si="7"/>
        <v>-0.72979309829751848</v>
      </c>
      <c r="P68" s="63">
        <f t="shared" si="8"/>
        <v>9.831416999071424E-2</v>
      </c>
      <c r="Q68" s="59">
        <f t="shared" si="9"/>
        <v>0.61455977368871761</v>
      </c>
      <c r="R68" s="59">
        <f t="shared" si="10"/>
        <v>10.171473756981825</v>
      </c>
      <c r="S68" s="59">
        <f t="shared" si="11"/>
        <v>-7.4230713473596666</v>
      </c>
      <c r="T68" s="59">
        <f t="shared" si="12"/>
        <v>5.4173062374731469</v>
      </c>
      <c r="U68" s="23">
        <f t="shared" si="13"/>
        <v>103.45887838896996</v>
      </c>
      <c r="V68" s="59">
        <f t="shared" si="14"/>
        <v>3.8503769068295983</v>
      </c>
      <c r="W68" s="59">
        <f t="shared" si="15"/>
        <v>-2.8099784924483884</v>
      </c>
      <c r="AF68" s="59">
        <f t="shared" si="16"/>
        <v>-0.72979309829751848</v>
      </c>
      <c r="AG68" s="59">
        <f t="shared" si="17"/>
        <v>0.61455977368871761</v>
      </c>
      <c r="AH68" s="59">
        <f t="shared" si="18"/>
        <v>0.61455977368871761</v>
      </c>
      <c r="AJ68">
        <f t="shared" si="19"/>
        <v>0.3135509049432233</v>
      </c>
      <c r="AK68">
        <f t="shared" si="20"/>
        <v>3.1892748011078984</v>
      </c>
      <c r="AL68">
        <f t="shared" si="21"/>
        <v>-2.3275107384227351</v>
      </c>
      <c r="AN68" t="str">
        <f t="shared" si="22"/>
        <v>Rosso IM</v>
      </c>
      <c r="AO68">
        <f t="shared" si="23"/>
        <v>2005</v>
      </c>
      <c r="AP68" t="str">
        <f t="shared" si="24"/>
        <v>Rosso IM 2005</v>
      </c>
      <c r="AQ68">
        <f t="shared" si="25"/>
        <v>20</v>
      </c>
      <c r="AR68">
        <f t="shared" si="26"/>
        <v>2.2599999999999998</v>
      </c>
      <c r="AS68">
        <f t="shared" si="27"/>
        <v>0.35799999999999998</v>
      </c>
      <c r="AT68">
        <f t="shared" si="28"/>
        <v>24</v>
      </c>
      <c r="AU68">
        <f t="shared" si="29"/>
        <v>2.52</v>
      </c>
      <c r="AV68">
        <f t="shared" si="30"/>
        <v>0.34300000000000003</v>
      </c>
      <c r="AW68" s="65">
        <f t="shared" si="31"/>
        <v>-0.72979309829751848</v>
      </c>
      <c r="AX68">
        <f t="shared" si="32"/>
        <v>0.3135509049432233</v>
      </c>
    </row>
    <row r="69" spans="5:50">
      <c r="E69" t="str">
        <f t="shared" si="39"/>
        <v>Weniger G</v>
      </c>
      <c r="F69">
        <f t="shared" si="39"/>
        <v>2006</v>
      </c>
      <c r="G69">
        <v>14</v>
      </c>
      <c r="H69">
        <f t="shared" si="40"/>
        <v>21</v>
      </c>
      <c r="I69">
        <f t="shared" si="40"/>
        <v>23</v>
      </c>
      <c r="J69">
        <f t="shared" si="35"/>
        <v>1.3</v>
      </c>
      <c r="K69">
        <f t="shared" si="36"/>
        <v>0.3</v>
      </c>
      <c r="L69">
        <f t="shared" si="37"/>
        <v>1.1000000000000001</v>
      </c>
      <c r="M69">
        <f t="shared" si="38"/>
        <v>0.2</v>
      </c>
      <c r="N69">
        <f t="shared" si="6"/>
        <v>0.25260547066428274</v>
      </c>
      <c r="O69" s="59">
        <f t="shared" si="7"/>
        <v>0.77752546337276751</v>
      </c>
      <c r="P69" s="63">
        <f t="shared" si="8"/>
        <v>9.8642813308795513E-2</v>
      </c>
      <c r="Q69" s="59">
        <f t="shared" si="9"/>
        <v>0.61558608789272429</v>
      </c>
      <c r="R69" s="59">
        <f t="shared" si="10"/>
        <v>10.137585967561154</v>
      </c>
      <c r="S69" s="59">
        <f t="shared" si="11"/>
        <v>7.8822312269092523</v>
      </c>
      <c r="T69" s="59">
        <f t="shared" si="12"/>
        <v>6.1286354871139146</v>
      </c>
      <c r="U69" s="23">
        <f t="shared" si="13"/>
        <v>102.77064924969282</v>
      </c>
      <c r="V69" s="59">
        <f t="shared" si="14"/>
        <v>3.8455107949987744</v>
      </c>
      <c r="W69" s="59">
        <f t="shared" si="15"/>
        <v>2.9899825627864014</v>
      </c>
      <c r="AF69" s="59">
        <f t="shared" si="16"/>
        <v>0.77752546337276751</v>
      </c>
      <c r="AG69" s="59">
        <f t="shared" si="17"/>
        <v>0.61558608789272429</v>
      </c>
      <c r="AH69" s="59">
        <f t="shared" si="18"/>
        <v>0.61558608789272429</v>
      </c>
      <c r="AJ69">
        <f t="shared" si="19"/>
        <v>0.31407453463914503</v>
      </c>
      <c r="AK69">
        <f t="shared" si="20"/>
        <v>3.1839575951260963</v>
      </c>
      <c r="AL69">
        <f t="shared" si="21"/>
        <v>2.4756081045096603</v>
      </c>
      <c r="AN69" t="str">
        <f t="shared" si="22"/>
        <v>Weniger G</v>
      </c>
      <c r="AO69">
        <f t="shared" si="23"/>
        <v>2006</v>
      </c>
      <c r="AP69" t="str">
        <f t="shared" si="24"/>
        <v>Weniger G 2006</v>
      </c>
      <c r="AQ69">
        <f t="shared" si="25"/>
        <v>21</v>
      </c>
      <c r="AR69">
        <f t="shared" si="26"/>
        <v>1.3</v>
      </c>
      <c r="AS69">
        <f t="shared" si="27"/>
        <v>0.3</v>
      </c>
      <c r="AT69">
        <f t="shared" si="28"/>
        <v>23</v>
      </c>
      <c r="AU69">
        <f t="shared" si="29"/>
        <v>1.1000000000000001</v>
      </c>
      <c r="AV69">
        <f t="shared" si="30"/>
        <v>0.2</v>
      </c>
      <c r="AW69" s="65">
        <f t="shared" si="31"/>
        <v>0.77752546337276751</v>
      </c>
      <c r="AX69">
        <f t="shared" si="32"/>
        <v>0.31407453463914503</v>
      </c>
    </row>
    <row r="70" spans="5:50">
      <c r="E70" t="str">
        <f t="shared" si="39"/>
        <v>Velakoulis D</v>
      </c>
      <c r="F70">
        <f t="shared" si="39"/>
        <v>2006</v>
      </c>
      <c r="G70">
        <v>13</v>
      </c>
      <c r="H70">
        <f t="shared" si="40"/>
        <v>12</v>
      </c>
      <c r="I70">
        <f t="shared" si="40"/>
        <v>87</v>
      </c>
      <c r="J70">
        <f t="shared" si="35"/>
        <v>1751</v>
      </c>
      <c r="K70">
        <f t="shared" si="36"/>
        <v>396</v>
      </c>
      <c r="L70">
        <f t="shared" si="37"/>
        <v>1500</v>
      </c>
      <c r="M70">
        <f t="shared" si="38"/>
        <v>256</v>
      </c>
      <c r="N70">
        <f>IF($D$3=1,SQRT((((I70-1)*(M70)^2)+((H70-1)*(K70)^2))/(H70+I70-2)),M70)</f>
        <v>275.47656925079048</v>
      </c>
      <c r="O70" s="59">
        <f>IF($D$6=1,LN(J70/L70),IF($D$5=1,(1-3/(4*(H70+I70)-9))*((J70-L70)/N70),(J70-L70)/N70))</f>
        <v>0.9040851069230339</v>
      </c>
      <c r="P70" s="63">
        <f>IF($D$6=1,(K70^2)/(H70*J70^2)+(M70^2)/(I70*L70^2),(IF($D$5=1,((H70+I70)/(H70*I70))+(O70*O70)/(2*(H70+I70-3.94)),((H70+I70)/(H70*I70))+((O70^2)/(2*(H70+I70-2))))))</f>
        <v>9.9126817642621531E-2</v>
      </c>
      <c r="Q70" s="59">
        <f t="shared" si="9"/>
        <v>0.61709446817800495</v>
      </c>
      <c r="R70" s="59">
        <f>1/P70</f>
        <v>10.088087399368204</v>
      </c>
      <c r="S70" s="59">
        <f>O70*R70</f>
        <v>9.1204895751067134</v>
      </c>
      <c r="T70" s="59">
        <f>R70*(O70^2)</f>
        <v>8.2456987927007699</v>
      </c>
      <c r="U70" s="23">
        <f>R70^2</f>
        <v>101.76950737729153</v>
      </c>
      <c r="V70" s="59">
        <f t="shared" si="14"/>
        <v>3.8383666585059228</v>
      </c>
      <c r="W70" s="59">
        <f>V70*O70</f>
        <v>3.4702101308651354</v>
      </c>
      <c r="AF70" s="59">
        <f>IF($D$6=1,100*((EXP(O70))-1),O70)</f>
        <v>0.9040851069230339</v>
      </c>
      <c r="AG70" s="59">
        <f>IF($D$6=1,100*(EXP(O70+Q70)-EXP(O70)),Q70)</f>
        <v>0.61709446817800495</v>
      </c>
      <c r="AH70" s="59">
        <f>IF($D$6=1,100*(EXP(O70)-EXP(O70-Q70)),Q70)</f>
        <v>0.61709446817800495</v>
      </c>
      <c r="AJ70">
        <f>SQRT(P70)</f>
        <v>0.3148441164173495</v>
      </c>
      <c r="AK70">
        <f t="shared" si="20"/>
        <v>3.1761749635950793</v>
      </c>
      <c r="AL70">
        <f>O70/AJ70</f>
        <v>2.8715324815681207</v>
      </c>
      <c r="AN70" t="str">
        <f>E70</f>
        <v>Velakoulis D</v>
      </c>
      <c r="AO70">
        <f>F70</f>
        <v>2006</v>
      </c>
      <c r="AP70" t="str">
        <f>CONCATENATE(AN70," ",AO70)</f>
        <v>Velakoulis D 2006</v>
      </c>
      <c r="AQ70">
        <f>INT(H70)</f>
        <v>12</v>
      </c>
      <c r="AR70">
        <f>J70</f>
        <v>1751</v>
      </c>
      <c r="AS70">
        <f>K70</f>
        <v>396</v>
      </c>
      <c r="AT70">
        <f>INT(I70)</f>
        <v>87</v>
      </c>
      <c r="AU70">
        <f>L70</f>
        <v>1500</v>
      </c>
      <c r="AV70">
        <f>M70</f>
        <v>256</v>
      </c>
      <c r="AW70" s="65">
        <f>O70</f>
        <v>0.9040851069230339</v>
      </c>
      <c r="AX70">
        <f>SQRT(P70)</f>
        <v>0.3148441164173495</v>
      </c>
    </row>
    <row r="71" spans="5:50">
      <c r="E71" t="str">
        <f>E35</f>
        <v>Caetano SC</v>
      </c>
      <c r="F71">
        <f>F35</f>
        <v>2007</v>
      </c>
      <c r="G71">
        <v>12</v>
      </c>
      <c r="H71">
        <f>H35</f>
        <v>19</v>
      </c>
      <c r="I71">
        <f>I35</f>
        <v>24</v>
      </c>
      <c r="J71">
        <f t="shared" ref="J71:M75" si="41">IF($D$4="Total",T35,IF($D$4="Left",L35,IF($D$4="Right",P35,"error")))</f>
        <v>1.46</v>
      </c>
      <c r="K71">
        <f t="shared" si="41"/>
        <v>0.22</v>
      </c>
      <c r="L71">
        <f t="shared" si="41"/>
        <v>1.5</v>
      </c>
      <c r="M71">
        <f t="shared" si="41"/>
        <v>0.25</v>
      </c>
      <c r="N71">
        <f t="shared" si="6"/>
        <v>0.23729676798802166</v>
      </c>
      <c r="O71" s="59">
        <f t="shared" si="7"/>
        <v>-0.1654628675050627</v>
      </c>
      <c r="P71" s="63">
        <f t="shared" si="8"/>
        <v>9.4648705938190206E-2</v>
      </c>
      <c r="Q71" s="59">
        <f t="shared" si="9"/>
        <v>0.60299458433069819</v>
      </c>
      <c r="R71" s="59">
        <f t="shared" si="10"/>
        <v>10.565384809941769</v>
      </c>
      <c r="S71" s="59">
        <f t="shared" si="11"/>
        <v>-1.748178866947397</v>
      </c>
      <c r="T71" s="59">
        <f t="shared" si="12"/>
        <v>0.28925868823686773</v>
      </c>
      <c r="U71" s="23">
        <f t="shared" si="13"/>
        <v>111.62735618214826</v>
      </c>
      <c r="V71" s="59">
        <f t="shared" si="14"/>
        <v>3.905496816447104</v>
      </c>
      <c r="W71" s="59">
        <f t="shared" si="15"/>
        <v>-0.64621470228123135</v>
      </c>
      <c r="AF71" s="59">
        <f t="shared" si="16"/>
        <v>-0.1654628675050627</v>
      </c>
      <c r="AG71" s="59">
        <f t="shared" si="17"/>
        <v>0.60299458433069819</v>
      </c>
      <c r="AH71" s="59">
        <f t="shared" si="18"/>
        <v>0.60299458433069819</v>
      </c>
      <c r="AJ71">
        <f t="shared" si="19"/>
        <v>0.30765029812790723</v>
      </c>
      <c r="AK71">
        <f t="shared" si="20"/>
        <v>3.2504437866146474</v>
      </c>
      <c r="AL71">
        <f t="shared" si="21"/>
        <v>-0.53782774959727375</v>
      </c>
      <c r="AN71" t="str">
        <f t="shared" si="22"/>
        <v>Caetano SC</v>
      </c>
      <c r="AO71">
        <f t="shared" si="23"/>
        <v>2007</v>
      </c>
      <c r="AP71" t="str">
        <f t="shared" si="24"/>
        <v>Caetano SC 2007</v>
      </c>
      <c r="AQ71">
        <f t="shared" si="25"/>
        <v>19</v>
      </c>
      <c r="AR71">
        <f t="shared" si="26"/>
        <v>1.46</v>
      </c>
      <c r="AS71">
        <f t="shared" si="27"/>
        <v>0.22</v>
      </c>
      <c r="AT71">
        <f t="shared" si="28"/>
        <v>24</v>
      </c>
      <c r="AU71">
        <f t="shared" si="29"/>
        <v>1.5</v>
      </c>
      <c r="AV71">
        <f t="shared" si="30"/>
        <v>0.25</v>
      </c>
      <c r="AW71" s="65">
        <f t="shared" si="31"/>
        <v>-0.1654628675050627</v>
      </c>
      <c r="AX71">
        <f t="shared" si="32"/>
        <v>0.30765029812790723</v>
      </c>
    </row>
    <row r="72" spans="5:50">
      <c r="E72" t="str">
        <f t="shared" ref="E72:F74" si="42">E36</f>
        <v>Munn MA</v>
      </c>
      <c r="F72">
        <f t="shared" si="42"/>
        <v>2007</v>
      </c>
      <c r="G72">
        <v>11</v>
      </c>
      <c r="H72">
        <f t="shared" ref="H72:I74" si="43">H36</f>
        <v>26</v>
      </c>
      <c r="I72">
        <f t="shared" si="43"/>
        <v>18</v>
      </c>
      <c r="J72">
        <f t="shared" si="41"/>
        <v>14516.72</v>
      </c>
      <c r="K72">
        <f t="shared" si="41"/>
        <v>1653.22</v>
      </c>
      <c r="L72">
        <f t="shared" si="41"/>
        <v>14314.91</v>
      </c>
      <c r="M72">
        <f t="shared" si="41"/>
        <v>1807.46</v>
      </c>
      <c r="N72">
        <f t="shared" si="6"/>
        <v>1717.3200833691012</v>
      </c>
      <c r="O72" s="59">
        <f t="shared" si="7"/>
        <v>0.11540345482356219</v>
      </c>
      <c r="P72" s="63">
        <f t="shared" si="8"/>
        <v>9.4183319146714753E-2</v>
      </c>
      <c r="Q72" s="59">
        <f t="shared" si="9"/>
        <v>0.60151029819448587</v>
      </c>
      <c r="R72" s="59">
        <f t="shared" si="10"/>
        <v>10.617591406417125</v>
      </c>
      <c r="S72" s="59">
        <f t="shared" si="11"/>
        <v>1.2253067302055007</v>
      </c>
      <c r="T72" s="59">
        <f t="shared" si="12"/>
        <v>0.14140462988427721</v>
      </c>
      <c r="U72" s="23">
        <f t="shared" si="13"/>
        <v>112.73324727362278</v>
      </c>
      <c r="V72" s="59">
        <f t="shared" si="14"/>
        <v>3.9126082426350557</v>
      </c>
      <c r="W72" s="59">
        <f t="shared" si="15"/>
        <v>0.45152850857123172</v>
      </c>
      <c r="AF72" s="59">
        <f t="shared" si="16"/>
        <v>0.11540345482356219</v>
      </c>
      <c r="AG72" s="59">
        <f t="shared" si="17"/>
        <v>0.60151029819448587</v>
      </c>
      <c r="AH72" s="59">
        <f t="shared" si="18"/>
        <v>0.60151029819448587</v>
      </c>
      <c r="AJ72">
        <f t="shared" si="19"/>
        <v>0.30689300928290097</v>
      </c>
      <c r="AK72">
        <f t="shared" si="20"/>
        <v>3.2584645780516204</v>
      </c>
      <c r="AL72">
        <f t="shared" si="21"/>
        <v>0.37603806972735782</v>
      </c>
      <c r="AN72" t="str">
        <f t="shared" si="22"/>
        <v>Munn MA</v>
      </c>
      <c r="AO72">
        <f t="shared" si="23"/>
        <v>2007</v>
      </c>
      <c r="AP72" t="str">
        <f t="shared" si="24"/>
        <v>Munn MA 2007</v>
      </c>
      <c r="AQ72">
        <f t="shared" si="25"/>
        <v>26</v>
      </c>
      <c r="AR72">
        <f t="shared" si="26"/>
        <v>14516.72</v>
      </c>
      <c r="AS72">
        <f t="shared" si="27"/>
        <v>1653.22</v>
      </c>
      <c r="AT72">
        <f t="shared" si="28"/>
        <v>18</v>
      </c>
      <c r="AU72">
        <f t="shared" si="29"/>
        <v>14314.91</v>
      </c>
      <c r="AV72">
        <f t="shared" si="30"/>
        <v>1807.46</v>
      </c>
      <c r="AW72" s="65">
        <f t="shared" si="31"/>
        <v>0.11540345482356219</v>
      </c>
      <c r="AX72">
        <f t="shared" si="32"/>
        <v>0.30689300928290097</v>
      </c>
    </row>
    <row r="73" spans="5:50">
      <c r="E73" t="str">
        <f t="shared" si="42"/>
        <v>Keller J</v>
      </c>
      <c r="F73">
        <f t="shared" si="42"/>
        <v>2008</v>
      </c>
      <c r="G73">
        <v>10</v>
      </c>
      <c r="H73">
        <f t="shared" si="43"/>
        <v>23</v>
      </c>
      <c r="I73">
        <f t="shared" si="43"/>
        <v>11</v>
      </c>
      <c r="J73">
        <f t="shared" si="41"/>
        <v>2.56</v>
      </c>
      <c r="K73">
        <f t="shared" si="41"/>
        <v>0.54</v>
      </c>
      <c r="L73">
        <f t="shared" si="41"/>
        <v>2.65</v>
      </c>
      <c r="M73">
        <f t="shared" si="41"/>
        <v>0.48</v>
      </c>
      <c r="N73">
        <f t="shared" si="6"/>
        <v>0.5219913792391595</v>
      </c>
      <c r="O73" s="59">
        <f t="shared" si="7"/>
        <v>-0.16834380651288561</v>
      </c>
      <c r="P73" s="63">
        <f t="shared" si="8"/>
        <v>0.13485873629614195</v>
      </c>
      <c r="Q73" s="59">
        <f t="shared" si="9"/>
        <v>0.71977310407881945</v>
      </c>
      <c r="R73" s="59">
        <f t="shared" si="10"/>
        <v>7.4151666214939018</v>
      </c>
      <c r="S73" s="59">
        <f t="shared" si="11"/>
        <v>-1.2482973749895772</v>
      </c>
      <c r="T73" s="59">
        <f t="shared" si="12"/>
        <v>0.21014313176578836</v>
      </c>
      <c r="U73" s="23">
        <f t="shared" si="13"/>
        <v>54.984696024517284</v>
      </c>
      <c r="V73" s="59">
        <f t="shared" si="14"/>
        <v>3.3754203183530187</v>
      </c>
      <c r="W73" s="59">
        <f t="shared" si="15"/>
        <v>-0.5682311049724833</v>
      </c>
      <c r="AF73" s="59">
        <f t="shared" si="16"/>
        <v>-0.16834380651288561</v>
      </c>
      <c r="AG73" s="59">
        <f t="shared" si="17"/>
        <v>0.71977310407881945</v>
      </c>
      <c r="AH73" s="59">
        <f t="shared" si="18"/>
        <v>0.71977310407881945</v>
      </c>
      <c r="AJ73">
        <f t="shared" si="19"/>
        <v>0.36723117555041807</v>
      </c>
      <c r="AK73">
        <f t="shared" si="20"/>
        <v>2.7230803553134271</v>
      </c>
      <c r="AL73">
        <f t="shared" si="21"/>
        <v>-0.45841371245392337</v>
      </c>
      <c r="AN73" t="str">
        <f t="shared" si="22"/>
        <v>Keller J</v>
      </c>
      <c r="AO73">
        <f t="shared" si="23"/>
        <v>2008</v>
      </c>
      <c r="AP73" t="str">
        <f t="shared" si="24"/>
        <v>Keller J 2008</v>
      </c>
      <c r="AQ73">
        <f t="shared" si="25"/>
        <v>23</v>
      </c>
      <c r="AR73">
        <f t="shared" si="26"/>
        <v>2.56</v>
      </c>
      <c r="AS73">
        <f t="shared" si="27"/>
        <v>0.54</v>
      </c>
      <c r="AT73">
        <f t="shared" si="28"/>
        <v>11</v>
      </c>
      <c r="AU73">
        <f t="shared" si="29"/>
        <v>2.65</v>
      </c>
      <c r="AV73">
        <f t="shared" si="30"/>
        <v>0.48</v>
      </c>
      <c r="AW73" s="65">
        <f t="shared" si="31"/>
        <v>-0.16834380651288561</v>
      </c>
      <c r="AX73">
        <f t="shared" si="32"/>
        <v>0.36723117555041807</v>
      </c>
    </row>
    <row r="74" spans="5:50">
      <c r="E74" t="str">
        <f t="shared" si="42"/>
        <v>Keller J</v>
      </c>
      <c r="F74">
        <f t="shared" si="42"/>
        <v>2008</v>
      </c>
      <c r="G74">
        <v>9</v>
      </c>
      <c r="H74">
        <f t="shared" si="43"/>
        <v>19</v>
      </c>
      <c r="I74">
        <f t="shared" si="43"/>
        <v>11</v>
      </c>
      <c r="J74">
        <f t="shared" si="41"/>
        <v>2.76</v>
      </c>
      <c r="K74">
        <f t="shared" si="41"/>
        <v>0.5</v>
      </c>
      <c r="L74">
        <f t="shared" si="41"/>
        <v>2.65</v>
      </c>
      <c r="M74">
        <f t="shared" si="41"/>
        <v>0.48</v>
      </c>
      <c r="N74">
        <f t="shared" si="6"/>
        <v>0.49295030175464954</v>
      </c>
      <c r="O74" s="59">
        <f t="shared" si="7"/>
        <v>0.2171152480200656</v>
      </c>
      <c r="P74" s="63">
        <f t="shared" si="8"/>
        <v>0.14444510252957549</v>
      </c>
      <c r="Q74" s="59">
        <f t="shared" si="9"/>
        <v>0.74491630796863151</v>
      </c>
      <c r="R74" s="59">
        <f t="shared" si="10"/>
        <v>6.9230453818622726</v>
      </c>
      <c r="S74" s="59">
        <f t="shared" si="11"/>
        <v>1.5030987151371971</v>
      </c>
      <c r="T74" s="59">
        <f t="shared" si="12"/>
        <v>0.32634565033565449</v>
      </c>
      <c r="U74" s="23">
        <f t="shared" si="13"/>
        <v>47.928557359324543</v>
      </c>
      <c r="V74" s="59">
        <f t="shared" si="14"/>
        <v>3.2696218444765939</v>
      </c>
      <c r="W74" s="59">
        <f t="shared" si="15"/>
        <v>0.70988475769536008</v>
      </c>
      <c r="AF74" s="59">
        <f t="shared" si="16"/>
        <v>0.2171152480200656</v>
      </c>
      <c r="AG74" s="59">
        <f t="shared" si="17"/>
        <v>0.74491630796863151</v>
      </c>
      <c r="AH74" s="59">
        <f t="shared" si="18"/>
        <v>0.74491630796863151</v>
      </c>
      <c r="AJ74">
        <f t="shared" si="19"/>
        <v>0.38005934080032222</v>
      </c>
      <c r="AK74">
        <f t="shared" si="20"/>
        <v>2.6311680641612907</v>
      </c>
      <c r="AL74">
        <f t="shared" si="21"/>
        <v>0.57126670683285452</v>
      </c>
      <c r="AN74" t="str">
        <f t="shared" si="22"/>
        <v>Keller J</v>
      </c>
      <c r="AO74">
        <f t="shared" si="23"/>
        <v>2008</v>
      </c>
      <c r="AP74" t="str">
        <f t="shared" si="24"/>
        <v>Keller J 2008</v>
      </c>
      <c r="AQ74">
        <f t="shared" si="25"/>
        <v>19</v>
      </c>
      <c r="AR74">
        <f t="shared" si="26"/>
        <v>2.76</v>
      </c>
      <c r="AS74">
        <f t="shared" si="27"/>
        <v>0.5</v>
      </c>
      <c r="AT74">
        <f t="shared" si="28"/>
        <v>11</v>
      </c>
      <c r="AU74">
        <f t="shared" si="29"/>
        <v>2.65</v>
      </c>
      <c r="AV74">
        <f t="shared" si="30"/>
        <v>0.48</v>
      </c>
      <c r="AW74" s="65">
        <f t="shared" si="31"/>
        <v>0.2171152480200656</v>
      </c>
      <c r="AX74">
        <f t="shared" si="32"/>
        <v>0.38005934080032222</v>
      </c>
    </row>
    <row r="75" spans="5:50">
      <c r="E75" t="str">
        <f t="shared" ref="E75:F77" si="44">E39</f>
        <v>MacMaster FP (B)</v>
      </c>
      <c r="F75">
        <f t="shared" si="44"/>
        <v>2008</v>
      </c>
      <c r="G75">
        <v>8</v>
      </c>
      <c r="H75">
        <f t="shared" ref="H75:I77" si="45">H39</f>
        <v>32</v>
      </c>
      <c r="I75">
        <f t="shared" si="45"/>
        <v>35</v>
      </c>
      <c r="J75">
        <f t="shared" si="41"/>
        <v>1.49</v>
      </c>
      <c r="K75">
        <f t="shared" si="41"/>
        <v>0.36</v>
      </c>
      <c r="L75">
        <f t="shared" si="41"/>
        <v>1.36</v>
      </c>
      <c r="M75">
        <f t="shared" si="41"/>
        <v>0.28999999999999998</v>
      </c>
      <c r="N75">
        <f t="shared" ref="N75:N80" si="46">IF($D$3=1,SQRT((((I75-1)*(M75)^2)+((H75-1)*(K75)^2))/(H75+I75-2)),M75)</f>
        <v>0.32526911934581187</v>
      </c>
      <c r="O75" s="59">
        <f t="shared" ref="O75:O80" si="47">IF($D$6=1,LN(J75/L75),IF($D$5=1,(1-3/(4*(H75+I75)-9))*((J75-L75)/N75),(J75-L75)/N75))</f>
        <v>0.39503967899762099</v>
      </c>
      <c r="P75" s="63">
        <f t="shared" ref="P75:P80" si="48">IF($D$6=1,(K75^2)/(H75*J75^2)+(M75^2)/(I75*L75^2),(IF($D$5=1,((H75+I75)/(H75*I75))+(O75*O75)/(2*(H75+I75-3.94)),((H75+I75)/(H75*I75))+((O75^2)/(2*(H75+I75-2))))))</f>
        <v>6.1058792573827431E-2</v>
      </c>
      <c r="Q75" s="59">
        <f t="shared" si="9"/>
        <v>0.48431751728759043</v>
      </c>
      <c r="R75" s="59">
        <f t="shared" ref="R75:R80" si="49">1/P75</f>
        <v>16.377657628766237</v>
      </c>
      <c r="S75" s="59">
        <f t="shared" ref="S75:S80" si="50">O75*R75</f>
        <v>6.4698246124007524</v>
      </c>
      <c r="T75" s="59">
        <f t="shared" ref="T75:T80" si="51">R75*(O75^2)</f>
        <v>2.5558374380537012</v>
      </c>
      <c r="U75" s="23">
        <f t="shared" ref="U75:U80" si="52">R75^2</f>
        <v>268.2276694050849</v>
      </c>
      <c r="V75" s="59">
        <f t="shared" si="14"/>
        <v>4.495201123024434</v>
      </c>
      <c r="W75" s="59">
        <f t="shared" ref="W75:W80" si="53">V75*O75</f>
        <v>1.7757828086693177</v>
      </c>
      <c r="AF75" s="59">
        <f t="shared" ref="AF75:AF80" si="54">IF($D$6=1,100*((EXP(O75))-1),O75)</f>
        <v>0.39503967899762099</v>
      </c>
      <c r="AG75" s="59">
        <f t="shared" ref="AG75:AG80" si="55">IF($D$6=1,100*(EXP(O75+Q75)-EXP(O75)),Q75)</f>
        <v>0.48431751728759043</v>
      </c>
      <c r="AH75" s="59">
        <f t="shared" ref="AH75:AH80" si="56">IF($D$6=1,100*(EXP(O75)-EXP(O75-Q75)),Q75)</f>
        <v>0.48431751728759043</v>
      </c>
      <c r="AJ75">
        <f t="shared" ref="AJ75:AJ80" si="57">SQRT(P75)</f>
        <v>0.24710077412632164</v>
      </c>
      <c r="AK75">
        <f t="shared" si="20"/>
        <v>4.0469318784439947</v>
      </c>
      <c r="AL75">
        <f t="shared" ref="AL75:AL80" si="58">O75/AJ75</f>
        <v>1.5986986701857548</v>
      </c>
      <c r="AN75" t="str">
        <f t="shared" ref="AN75:AO77" si="59">E75</f>
        <v>MacMaster FP (B)</v>
      </c>
      <c r="AO75">
        <f t="shared" si="59"/>
        <v>2008</v>
      </c>
      <c r="AP75" t="str">
        <f t="shared" ref="AP75:AP80" si="60">CONCATENATE(AN75," ",AO75)</f>
        <v>MacMaster FP (B) 2008</v>
      </c>
      <c r="AQ75">
        <f t="shared" ref="AQ75:AQ80" si="61">INT(H75)</f>
        <v>32</v>
      </c>
      <c r="AR75">
        <f t="shared" ref="AR75:AS77" si="62">J75</f>
        <v>1.49</v>
      </c>
      <c r="AS75">
        <f t="shared" si="62"/>
        <v>0.36</v>
      </c>
      <c r="AT75">
        <f t="shared" ref="AT75:AT80" si="63">INT(I75)</f>
        <v>35</v>
      </c>
      <c r="AU75">
        <f t="shared" ref="AU75:AV77" si="64">L75</f>
        <v>1.36</v>
      </c>
      <c r="AV75">
        <f t="shared" si="64"/>
        <v>0.28999999999999998</v>
      </c>
      <c r="AW75" s="65">
        <f t="shared" ref="AW75:AW80" si="65">O75</f>
        <v>0.39503967899762099</v>
      </c>
      <c r="AX75">
        <f t="shared" ref="AX75:AX80" si="66">SQRT(P75)</f>
        <v>0.24710077412632164</v>
      </c>
    </row>
    <row r="76" spans="5:50">
      <c r="E76" t="str">
        <f t="shared" si="44"/>
        <v>Tamburo RJ</v>
      </c>
      <c r="F76">
        <f t="shared" si="44"/>
        <v>2008</v>
      </c>
      <c r="G76">
        <v>7</v>
      </c>
      <c r="H76">
        <f t="shared" si="45"/>
        <v>14</v>
      </c>
      <c r="I76">
        <f t="shared" si="45"/>
        <v>11</v>
      </c>
      <c r="J76">
        <f t="shared" ref="J76:M77" si="67">IF($D$4="Total",T40,IF($D$4="Left",L40,IF($D$4="Right",P40,"error")))</f>
        <v>1295</v>
      </c>
      <c r="K76">
        <f t="shared" si="67"/>
        <v>325</v>
      </c>
      <c r="L76">
        <f t="shared" si="67"/>
        <v>1547</v>
      </c>
      <c r="M76">
        <f t="shared" si="67"/>
        <v>329</v>
      </c>
      <c r="N76">
        <f t="shared" si="46"/>
        <v>326.74514733098613</v>
      </c>
      <c r="O76" s="59">
        <f t="shared" si="47"/>
        <v>-0.74581767987345926</v>
      </c>
      <c r="P76" s="63">
        <f t="shared" si="48"/>
        <v>0.17554383545285299</v>
      </c>
      <c r="Q76" s="59">
        <f t="shared" si="9"/>
        <v>0.82119985282249053</v>
      </c>
      <c r="R76" s="59">
        <f t="shared" si="49"/>
        <v>5.6965828359639374</v>
      </c>
      <c r="S76" s="59">
        <f t="shared" si="50"/>
        <v>-4.2486121939255943</v>
      </c>
      <c r="T76" s="59">
        <f t="shared" si="51"/>
        <v>3.1686900891556746</v>
      </c>
      <c r="U76" s="23">
        <f t="shared" si="52"/>
        <v>32.45105600699894</v>
      </c>
      <c r="V76" s="59">
        <f t="shared" si="14"/>
        <v>2.9678478235304526</v>
      </c>
      <c r="W76" s="59">
        <f t="shared" si="53"/>
        <v>-2.2134733779629778</v>
      </c>
      <c r="AF76" s="59">
        <f t="shared" si="54"/>
        <v>-0.74581767987345926</v>
      </c>
      <c r="AG76" s="59">
        <f t="shared" si="55"/>
        <v>0.82119985282249053</v>
      </c>
      <c r="AH76" s="59">
        <f t="shared" si="56"/>
        <v>0.82119985282249053</v>
      </c>
      <c r="AJ76">
        <f t="shared" si="57"/>
        <v>0.41897951674616862</v>
      </c>
      <c r="AK76">
        <f t="shared" si="20"/>
        <v>2.386751523716689</v>
      </c>
      <c r="AL76">
        <f t="shared" si="58"/>
        <v>-1.7800814838528247</v>
      </c>
      <c r="AN76" t="str">
        <f t="shared" si="59"/>
        <v>Tamburo RJ</v>
      </c>
      <c r="AO76">
        <f t="shared" si="59"/>
        <v>2008</v>
      </c>
      <c r="AP76" t="str">
        <f t="shared" si="60"/>
        <v>Tamburo RJ 2008</v>
      </c>
      <c r="AQ76">
        <f t="shared" si="61"/>
        <v>14</v>
      </c>
      <c r="AR76">
        <f t="shared" si="62"/>
        <v>1295</v>
      </c>
      <c r="AS76">
        <f t="shared" si="62"/>
        <v>325</v>
      </c>
      <c r="AT76">
        <f t="shared" si="63"/>
        <v>11</v>
      </c>
      <c r="AU76">
        <f t="shared" si="64"/>
        <v>1547</v>
      </c>
      <c r="AV76">
        <f t="shared" si="64"/>
        <v>329</v>
      </c>
      <c r="AW76" s="65">
        <f t="shared" si="65"/>
        <v>-0.74581767987345926</v>
      </c>
      <c r="AX76">
        <f t="shared" si="66"/>
        <v>0.41897951674616862</v>
      </c>
    </row>
    <row r="77" spans="5:50">
      <c r="E77" t="str">
        <f t="shared" si="44"/>
        <v>van Eijndhoven P</v>
      </c>
      <c r="F77">
        <f t="shared" si="44"/>
        <v>2009</v>
      </c>
      <c r="G77">
        <v>6</v>
      </c>
      <c r="H77">
        <f t="shared" si="45"/>
        <v>20</v>
      </c>
      <c r="I77">
        <f t="shared" si="45"/>
        <v>10</v>
      </c>
      <c r="J77">
        <f t="shared" si="67"/>
        <v>2389</v>
      </c>
      <c r="K77">
        <f t="shared" si="67"/>
        <v>236</v>
      </c>
      <c r="L77">
        <f t="shared" si="67"/>
        <v>2222</v>
      </c>
      <c r="M77">
        <f t="shared" si="67"/>
        <v>412</v>
      </c>
      <c r="N77">
        <f t="shared" si="46"/>
        <v>303.89847928919568</v>
      </c>
      <c r="O77" s="59">
        <f t="shared" si="47"/>
        <v>0.53467357542076155</v>
      </c>
      <c r="P77" s="63">
        <f t="shared" si="48"/>
        <v>0.15548495457124367</v>
      </c>
      <c r="Q77" s="59">
        <f t="shared" si="9"/>
        <v>0.77285897903879575</v>
      </c>
      <c r="R77" s="59">
        <f t="shared" si="49"/>
        <v>6.4314904471467491</v>
      </c>
      <c r="S77" s="59">
        <f t="shared" si="50"/>
        <v>3.4387479926604247</v>
      </c>
      <c r="T77" s="59">
        <f t="shared" si="51"/>
        <v>1.8386076842067158</v>
      </c>
      <c r="U77" s="23">
        <f t="shared" si="52"/>
        <v>41.364069371739888</v>
      </c>
      <c r="V77" s="59">
        <f t="shared" si="14"/>
        <v>3.1557127894267181</v>
      </c>
      <c r="W77" s="59">
        <f t="shared" si="53"/>
        <v>1.6872762401238082</v>
      </c>
      <c r="AF77" s="59">
        <f t="shared" si="54"/>
        <v>0.53467357542076155</v>
      </c>
      <c r="AG77" s="59">
        <f t="shared" si="55"/>
        <v>0.77285897903879575</v>
      </c>
      <c r="AH77" s="59">
        <f t="shared" si="56"/>
        <v>0.77285897903879575</v>
      </c>
      <c r="AJ77">
        <f t="shared" si="57"/>
        <v>0.39431580563203866</v>
      </c>
      <c r="AK77">
        <f t="shared" si="20"/>
        <v>2.5360383370814308</v>
      </c>
      <c r="AL77">
        <f t="shared" si="58"/>
        <v>1.3559526850914512</v>
      </c>
      <c r="AN77" t="str">
        <f t="shared" si="59"/>
        <v>van Eijndhoven P</v>
      </c>
      <c r="AO77">
        <f t="shared" si="59"/>
        <v>2009</v>
      </c>
      <c r="AP77" t="str">
        <f t="shared" si="60"/>
        <v>van Eijndhoven P 2009</v>
      </c>
      <c r="AQ77">
        <f t="shared" si="61"/>
        <v>20</v>
      </c>
      <c r="AR77">
        <f t="shared" si="62"/>
        <v>2389</v>
      </c>
      <c r="AS77">
        <f t="shared" si="62"/>
        <v>236</v>
      </c>
      <c r="AT77">
        <f t="shared" si="63"/>
        <v>10</v>
      </c>
      <c r="AU77">
        <f t="shared" si="64"/>
        <v>2222</v>
      </c>
      <c r="AV77">
        <f t="shared" si="64"/>
        <v>412</v>
      </c>
      <c r="AW77" s="65">
        <f t="shared" si="65"/>
        <v>0.53467357542076155</v>
      </c>
      <c r="AX77">
        <f t="shared" si="66"/>
        <v>0.39431580563203866</v>
      </c>
    </row>
    <row r="78" spans="5:50">
      <c r="E78" t="str">
        <f t="shared" ref="E78:F80" si="68">E42</f>
        <v>van Eijndhoven P</v>
      </c>
      <c r="F78">
        <f t="shared" si="68"/>
        <v>2009</v>
      </c>
      <c r="G78">
        <v>5</v>
      </c>
      <c r="H78">
        <f t="shared" ref="H78:I80" si="69">H42</f>
        <v>20</v>
      </c>
      <c r="I78">
        <f t="shared" si="69"/>
        <v>10</v>
      </c>
      <c r="J78">
        <f t="shared" ref="J78:M80" si="70">IF($D$4="Total",T42,IF($D$4="Left",L42,IF($D$4="Right",P42,"error")))</f>
        <v>2062</v>
      </c>
      <c r="K78">
        <f t="shared" si="70"/>
        <v>300</v>
      </c>
      <c r="L78">
        <f t="shared" si="70"/>
        <v>2222</v>
      </c>
      <c r="M78">
        <f t="shared" si="70"/>
        <v>412</v>
      </c>
      <c r="N78">
        <f t="shared" si="46"/>
        <v>340.04705556731409</v>
      </c>
      <c r="O78" s="59">
        <f t="shared" si="47"/>
        <v>-0.45780627453443384</v>
      </c>
      <c r="P78" s="63">
        <f t="shared" si="48"/>
        <v>0.15402123148509395</v>
      </c>
      <c r="Q78" s="59">
        <f t="shared" si="9"/>
        <v>0.76921256026740548</v>
      </c>
      <c r="R78" s="59">
        <f t="shared" si="49"/>
        <v>6.4926113780409507</v>
      </c>
      <c r="S78" s="59">
        <f t="shared" si="50"/>
        <v>-2.9723582269808042</v>
      </c>
      <c r="T78" s="59">
        <f t="shared" si="51"/>
        <v>1.3607642464758571</v>
      </c>
      <c r="U78" s="23">
        <f t="shared" si="52"/>
        <v>42.154002506266814</v>
      </c>
      <c r="V78" s="59">
        <f t="shared" si="14"/>
        <v>3.1703569524542696</v>
      </c>
      <c r="W78" s="59">
        <f t="shared" si="53"/>
        <v>-1.4514093053474304</v>
      </c>
      <c r="AF78" s="59">
        <f t="shared" si="54"/>
        <v>-0.45780627453443384</v>
      </c>
      <c r="AG78" s="59">
        <f t="shared" si="55"/>
        <v>0.76921256026740548</v>
      </c>
      <c r="AH78" s="59">
        <f t="shared" si="56"/>
        <v>0.76921256026740548</v>
      </c>
      <c r="AJ78">
        <f t="shared" si="57"/>
        <v>0.39245538789153339</v>
      </c>
      <c r="AK78">
        <f t="shared" si="20"/>
        <v>2.5480603167980447</v>
      </c>
      <c r="AL78">
        <f t="shared" si="58"/>
        <v>-1.1665180009223419</v>
      </c>
      <c r="AN78" t="str">
        <f t="shared" ref="AN78:AO80" si="71">E78</f>
        <v>van Eijndhoven P</v>
      </c>
      <c r="AO78">
        <f t="shared" si="71"/>
        <v>2009</v>
      </c>
      <c r="AP78" t="str">
        <f t="shared" si="60"/>
        <v>van Eijndhoven P 2009</v>
      </c>
      <c r="AQ78">
        <f t="shared" si="61"/>
        <v>20</v>
      </c>
      <c r="AR78">
        <f t="shared" ref="AR78:AS80" si="72">J78</f>
        <v>2062</v>
      </c>
      <c r="AS78">
        <f t="shared" si="72"/>
        <v>300</v>
      </c>
      <c r="AT78">
        <f t="shared" si="63"/>
        <v>10</v>
      </c>
      <c r="AU78">
        <f t="shared" ref="AU78:AV80" si="73">L78</f>
        <v>2222</v>
      </c>
      <c r="AV78">
        <f t="shared" si="73"/>
        <v>412</v>
      </c>
      <c r="AW78" s="65">
        <f t="shared" si="65"/>
        <v>-0.45780627453443384</v>
      </c>
      <c r="AX78">
        <f t="shared" si="66"/>
        <v>0.39245538789153339</v>
      </c>
    </row>
    <row r="79" spans="5:50">
      <c r="E79" t="str">
        <f t="shared" si="68"/>
        <v>Lorenzetti V (B)</v>
      </c>
      <c r="F79">
        <f t="shared" si="68"/>
        <v>2009</v>
      </c>
      <c r="G79">
        <v>4</v>
      </c>
      <c r="H79">
        <f t="shared" si="69"/>
        <v>29</v>
      </c>
      <c r="I79">
        <f t="shared" si="69"/>
        <v>15.5</v>
      </c>
      <c r="J79">
        <f t="shared" si="70"/>
        <v>1606.54</v>
      </c>
      <c r="K79">
        <f t="shared" si="70"/>
        <v>170.18</v>
      </c>
      <c r="L79">
        <f t="shared" si="70"/>
        <v>1564.76</v>
      </c>
      <c r="M79">
        <f t="shared" si="70"/>
        <v>145.19</v>
      </c>
      <c r="N79">
        <f t="shared" si="46"/>
        <v>162.08759292431978</v>
      </c>
      <c r="O79" s="59">
        <f t="shared" si="47"/>
        <v>0.25318620910378647</v>
      </c>
      <c r="P79" s="63">
        <f t="shared" si="48"/>
        <v>9.9789115173662041E-2</v>
      </c>
      <c r="Q79" s="59">
        <f t="shared" si="9"/>
        <v>0.61915253762795819</v>
      </c>
      <c r="R79" s="59">
        <f t="shared" si="49"/>
        <v>10.021133049027538</v>
      </c>
      <c r="S79" s="59">
        <f t="shared" si="50"/>
        <v>2.5372126876079517</v>
      </c>
      <c r="T79" s="59">
        <f t="shared" si="51"/>
        <v>0.64238726206548691</v>
      </c>
      <c r="U79" s="23">
        <f t="shared" si="52"/>
        <v>100.42310758631197</v>
      </c>
      <c r="V79" s="59">
        <f t="shared" si="14"/>
        <v>3.8286337326346538</v>
      </c>
      <c r="W79" s="59">
        <f t="shared" si="53"/>
        <v>0.96935726081264795</v>
      </c>
      <c r="AF79" s="59">
        <f t="shared" si="54"/>
        <v>0.25318620910378647</v>
      </c>
      <c r="AG79" s="59">
        <f t="shared" si="55"/>
        <v>0.61915253762795819</v>
      </c>
      <c r="AH79" s="59">
        <f t="shared" si="56"/>
        <v>0.61915253762795819</v>
      </c>
      <c r="AJ79">
        <f t="shared" si="57"/>
        <v>0.31589415185099906</v>
      </c>
      <c r="AK79">
        <f t="shared" si="20"/>
        <v>3.16561732510857</v>
      </c>
      <c r="AL79">
        <f t="shared" si="58"/>
        <v>0.80149065001750752</v>
      </c>
      <c r="AN79" t="str">
        <f t="shared" si="71"/>
        <v>Lorenzetti V (B)</v>
      </c>
      <c r="AO79">
        <f t="shared" si="71"/>
        <v>2009</v>
      </c>
      <c r="AP79" t="str">
        <f t="shared" si="60"/>
        <v>Lorenzetti V (B) 2009</v>
      </c>
      <c r="AQ79">
        <f t="shared" si="61"/>
        <v>29</v>
      </c>
      <c r="AR79">
        <f t="shared" si="72"/>
        <v>1606.54</v>
      </c>
      <c r="AS79">
        <f t="shared" si="72"/>
        <v>170.18</v>
      </c>
      <c r="AT79">
        <f t="shared" si="63"/>
        <v>15</v>
      </c>
      <c r="AU79">
        <f t="shared" si="73"/>
        <v>1564.76</v>
      </c>
      <c r="AV79">
        <f t="shared" si="73"/>
        <v>145.19</v>
      </c>
      <c r="AW79" s="65">
        <f t="shared" si="65"/>
        <v>0.25318620910378647</v>
      </c>
      <c r="AX79">
        <f t="shared" si="66"/>
        <v>0.31589415185099906</v>
      </c>
    </row>
    <row r="80" spans="5:50">
      <c r="E80" t="str">
        <f t="shared" si="68"/>
        <v>Lorenzetti V (B)</v>
      </c>
      <c r="F80">
        <f t="shared" si="68"/>
        <v>2009</v>
      </c>
      <c r="G80">
        <v>3</v>
      </c>
      <c r="H80">
        <f t="shared" si="69"/>
        <v>27</v>
      </c>
      <c r="I80">
        <f t="shared" si="69"/>
        <v>15.5</v>
      </c>
      <c r="J80">
        <f t="shared" si="70"/>
        <v>1666.74</v>
      </c>
      <c r="K80">
        <f t="shared" si="70"/>
        <v>201.91</v>
      </c>
      <c r="L80">
        <f t="shared" si="70"/>
        <v>1564.76</v>
      </c>
      <c r="M80">
        <f t="shared" si="70"/>
        <v>145.19</v>
      </c>
      <c r="N80">
        <f t="shared" si="46"/>
        <v>183.62742903115696</v>
      </c>
      <c r="O80" s="59">
        <f t="shared" si="47"/>
        <v>0.54501526313813409</v>
      </c>
      <c r="P80" s="63">
        <f t="shared" si="48"/>
        <v>0.1054048470476863</v>
      </c>
      <c r="Q80" s="59">
        <f t="shared" si="9"/>
        <v>0.63633580790207911</v>
      </c>
      <c r="R80" s="59">
        <f t="shared" si="49"/>
        <v>9.487229743311417</v>
      </c>
      <c r="S80" s="59">
        <f t="shared" si="50"/>
        <v>5.1706850150028041</v>
      </c>
      <c r="T80" s="59">
        <f t="shared" si="51"/>
        <v>2.8181022540561602</v>
      </c>
      <c r="U80" s="23">
        <f t="shared" si="52"/>
        <v>90.007528202372811</v>
      </c>
      <c r="V80" s="59">
        <f t="shared" si="14"/>
        <v>3.7480485138950175</v>
      </c>
      <c r="W80" s="59">
        <f t="shared" si="53"/>
        <v>2.0427436470549853</v>
      </c>
      <c r="AF80" s="59">
        <f t="shared" si="54"/>
        <v>0.54501526313813409</v>
      </c>
      <c r="AG80" s="59">
        <f t="shared" si="55"/>
        <v>0.63633580790207911</v>
      </c>
      <c r="AH80" s="59">
        <f t="shared" si="56"/>
        <v>0.63633580790207911</v>
      </c>
      <c r="AJ80">
        <f t="shared" si="57"/>
        <v>0.3246611264806526</v>
      </c>
      <c r="AK80">
        <f t="shared" si="20"/>
        <v>3.080134695644237</v>
      </c>
      <c r="AL80">
        <f t="shared" si="58"/>
        <v>1.6787204216474403</v>
      </c>
      <c r="AN80" t="str">
        <f t="shared" si="71"/>
        <v>Lorenzetti V (B)</v>
      </c>
      <c r="AO80">
        <f t="shared" si="71"/>
        <v>2009</v>
      </c>
      <c r="AP80" t="str">
        <f t="shared" si="60"/>
        <v>Lorenzetti V (B) 2009</v>
      </c>
      <c r="AQ80">
        <f t="shared" si="61"/>
        <v>27</v>
      </c>
      <c r="AR80">
        <f t="shared" si="72"/>
        <v>1666.74</v>
      </c>
      <c r="AS80">
        <f t="shared" si="72"/>
        <v>201.91</v>
      </c>
      <c r="AT80">
        <f t="shared" si="63"/>
        <v>15</v>
      </c>
      <c r="AU80">
        <f t="shared" si="73"/>
        <v>1564.76</v>
      </c>
      <c r="AV80">
        <f t="shared" si="73"/>
        <v>145.19</v>
      </c>
      <c r="AW80" s="65">
        <f t="shared" si="65"/>
        <v>0.54501526313813409</v>
      </c>
      <c r="AX80">
        <f t="shared" si="66"/>
        <v>0.3246611264806526</v>
      </c>
    </row>
    <row r="81" spans="5:50">
      <c r="E81" t="str">
        <f>E45</f>
        <v>Kronenberg G</v>
      </c>
      <c r="F81">
        <f>F45</f>
        <v>2009</v>
      </c>
      <c r="G81">
        <v>2</v>
      </c>
      <c r="H81">
        <f>H45</f>
        <v>24</v>
      </c>
      <c r="I81">
        <f>I45</f>
        <v>14</v>
      </c>
      <c r="J81">
        <f t="shared" ref="J81:M82" si="74">IF($D$4="Total",T45,IF($D$4="Left",L45,IF($D$4="Right",P45,"error")))</f>
        <v>1.71</v>
      </c>
      <c r="K81">
        <f t="shared" si="74"/>
        <v>0.34</v>
      </c>
      <c r="L81">
        <f t="shared" si="74"/>
        <v>1.97</v>
      </c>
      <c r="M81">
        <f t="shared" si="74"/>
        <v>0.26</v>
      </c>
      <c r="N81">
        <f>IF($D$3=1,SQRT((((I81-1)*(M81)^2)+((H81-1)*(K81)^2))/(H81+I81-2)),M81)</f>
        <v>0.31347514521356662</v>
      </c>
      <c r="O81" s="59">
        <f>IF($D$6=1,LN(J81/L81),IF($D$5=1,(1-3/(4*(H81+I81)-9))*((J81-L81)/N81),(J81-L81)/N81))</f>
        <v>-0.81201160102194381</v>
      </c>
      <c r="P81" s="63">
        <f>IF($D$6=1,(K81^2)/(H81*J81^2)+(M81^2)/(I81*L81^2),(IF($D$5=1,((H81+I81)/(H81*I81))+(O81*O81)/(2*(H81+I81-3.94)),((H81+I81)/(H81*I81))+((O81^2)/(2*(H81+I81-2))))))</f>
        <v>0.12277466910219964</v>
      </c>
      <c r="Q81" s="59">
        <f t="shared" si="9"/>
        <v>0.68676864286527384</v>
      </c>
      <c r="R81" s="59">
        <f>1/P81</f>
        <v>8.1450026077250808</v>
      </c>
      <c r="S81" s="59">
        <f>O81*R81</f>
        <v>-6.6138366078267499</v>
      </c>
      <c r="T81" s="59">
        <f>R81*(O81^2)</f>
        <v>5.370512052818941</v>
      </c>
      <c r="U81" s="23">
        <f>R81^2</f>
        <v>66.341067479848363</v>
      </c>
      <c r="V81" s="59">
        <f>1/((1/R81)+$I$96)</f>
        <v>3.518954260789724</v>
      </c>
      <c r="W81" s="59">
        <f>V81*O81</f>
        <v>-2.8574316832268547</v>
      </c>
      <c r="AF81" s="59">
        <f>IF($D$6=1,100*((EXP(O81))-1),O81)</f>
        <v>-0.81201160102194381</v>
      </c>
      <c r="AG81" s="59">
        <f>IF($D$6=1,100*(EXP(O81+Q81)-EXP(O81)),Q81)</f>
        <v>0.68676864286527384</v>
      </c>
      <c r="AH81" s="59">
        <f>IF($D$6=1,100*(EXP(O81)-EXP(O81-Q81)),Q81)</f>
        <v>0.68676864286527384</v>
      </c>
      <c r="AJ81">
        <f>SQRT(P81)</f>
        <v>0.35039216472718054</v>
      </c>
      <c r="AK81">
        <f t="shared" si="20"/>
        <v>2.8539450954293222</v>
      </c>
      <c r="AL81">
        <f>O81/AJ81</f>
        <v>-2.3174365261682879</v>
      </c>
      <c r="AN81" t="str">
        <f>E81</f>
        <v>Kronenberg G</v>
      </c>
      <c r="AO81">
        <f>F81</f>
        <v>2009</v>
      </c>
      <c r="AP81" t="str">
        <f>CONCATENATE(AN81," ",AO81)</f>
        <v>Kronenberg G 2009</v>
      </c>
      <c r="AQ81">
        <f>INT(H81)</f>
        <v>24</v>
      </c>
      <c r="AR81">
        <f>J81</f>
        <v>1.71</v>
      </c>
      <c r="AS81">
        <f>K81</f>
        <v>0.34</v>
      </c>
      <c r="AT81">
        <f>INT(I81)</f>
        <v>14</v>
      </c>
      <c r="AU81">
        <f>L81</f>
        <v>1.97</v>
      </c>
      <c r="AV81">
        <f>M81</f>
        <v>0.26</v>
      </c>
      <c r="AW81" s="65">
        <f>O81</f>
        <v>-0.81201160102194381</v>
      </c>
      <c r="AX81">
        <f>SQRT(P81)</f>
        <v>0.35039216472718054</v>
      </c>
    </row>
    <row r="82" spans="5:50">
      <c r="E82" t="str">
        <f>E46</f>
        <v>Weber K</v>
      </c>
      <c r="F82">
        <f>F46</f>
        <v>2009</v>
      </c>
      <c r="G82">
        <v>1</v>
      </c>
      <c r="H82">
        <f>H46</f>
        <v>38</v>
      </c>
      <c r="I82">
        <f>I46</f>
        <v>62</v>
      </c>
      <c r="J82">
        <f t="shared" si="74"/>
        <v>0.83</v>
      </c>
      <c r="K82">
        <f t="shared" si="74"/>
        <v>0.15</v>
      </c>
      <c r="L82">
        <f t="shared" si="74"/>
        <v>0.83</v>
      </c>
      <c r="M82">
        <f t="shared" si="74"/>
        <v>0.13</v>
      </c>
      <c r="N82">
        <f>IF($D$3=1,SQRT((((I82-1)*(M82)^2)+((H82-1)*(K82)^2))/(H82+I82-2)),M82)</f>
        <v>0.13789229751616192</v>
      </c>
      <c r="O82" s="59">
        <f>IF($D$6=1,LN(J82/L82),IF($D$5=1,(1-3/(4*(H82+I82)-9))*((J82-L82)/N82),(J82-L82)/N82))</f>
        <v>0</v>
      </c>
      <c r="P82" s="63">
        <f>IF($D$6=1,(K82^2)/(H82*J82^2)+(M82^2)/(I82*L82^2),(IF($D$5=1,((H82+I82)/(H82*I82))+(O82*O82)/(2*(H82+I82-3.94)),((H82+I82)/(H82*I82))+((O82^2)/(2*(H82+I82-2))))))</f>
        <v>4.2444821731748725E-2</v>
      </c>
      <c r="Q82" s="59">
        <f t="shared" si="9"/>
        <v>0.40380196528086132</v>
      </c>
      <c r="R82" s="59">
        <f>1/P82</f>
        <v>23.560000000000002</v>
      </c>
      <c r="S82" s="59">
        <f>O82*R82</f>
        <v>0</v>
      </c>
      <c r="T82" s="59">
        <f>R82*(O82^2)</f>
        <v>0</v>
      </c>
      <c r="U82" s="23">
        <f>R82^2</f>
        <v>555.07360000000006</v>
      </c>
      <c r="V82" s="59">
        <f>1/((1/R82)+$I$96)</f>
        <v>4.905676450664032</v>
      </c>
      <c r="W82" s="59">
        <f>V82*O82</f>
        <v>0</v>
      </c>
      <c r="AF82" s="59">
        <f>IF($D$6=1,100*((EXP(O82))-1),O82)</f>
        <v>0</v>
      </c>
      <c r="AG82" s="59">
        <f>IF($D$6=1,100*(EXP(O82+Q82)-EXP(O82)),Q82)</f>
        <v>0.40380196528086132</v>
      </c>
      <c r="AH82" s="59">
        <f>IF($D$6=1,100*(EXP(O82)-EXP(O82-Q82)),Q82)</f>
        <v>0.40380196528086132</v>
      </c>
      <c r="AJ82">
        <f>SQRT(P82)</f>
        <v>0.2060214108575823</v>
      </c>
      <c r="AK82">
        <f t="shared" si="20"/>
        <v>4.8538644398046387</v>
      </c>
      <c r="AL82">
        <f>O82/AJ82</f>
        <v>0</v>
      </c>
      <c r="AN82" t="str">
        <f>E82</f>
        <v>Weber K</v>
      </c>
      <c r="AO82">
        <f>F82</f>
        <v>2009</v>
      </c>
      <c r="AP82" t="str">
        <f>CONCATENATE(AN82," ",AO82)</f>
        <v>Weber K 2009</v>
      </c>
      <c r="AQ82">
        <f>INT(H82)</f>
        <v>38</v>
      </c>
      <c r="AR82">
        <f>J82</f>
        <v>0.83</v>
      </c>
      <c r="AS82">
        <f>K82</f>
        <v>0.15</v>
      </c>
      <c r="AT82">
        <f>INT(I82)</f>
        <v>62</v>
      </c>
      <c r="AU82">
        <f>L82</f>
        <v>0.83</v>
      </c>
      <c r="AV82">
        <f>M82</f>
        <v>0.13</v>
      </c>
      <c r="AW82" s="65">
        <f>O82</f>
        <v>0</v>
      </c>
      <c r="AX82">
        <f>SQRT(P82)</f>
        <v>0.2060214108575823</v>
      </c>
    </row>
    <row r="83" spans="5:50">
      <c r="U83" s="23"/>
    </row>
    <row r="84" spans="5:50">
      <c r="L84" t="s">
        <v>500</v>
      </c>
      <c r="N84" s="7"/>
      <c r="O84" s="66">
        <f>COUNT(O60:O82)</f>
        <v>23</v>
      </c>
      <c r="Q84" t="s">
        <v>885</v>
      </c>
      <c r="R84" s="59">
        <f t="shared" ref="R84:W84" si="75">SUM(R60:R82)</f>
        <v>232.82351043709048</v>
      </c>
      <c r="S84" s="59">
        <f t="shared" si="75"/>
        <v>22.222211015248433</v>
      </c>
      <c r="T84" s="59">
        <f t="shared" si="75"/>
        <v>59.79558120367021</v>
      </c>
      <c r="U84" s="23">
        <f t="shared" si="75"/>
        <v>2745.5785180812818</v>
      </c>
      <c r="V84" s="59">
        <f t="shared" si="75"/>
        <v>85.541963537375636</v>
      </c>
      <c r="W84" s="59">
        <f t="shared" si="75"/>
        <v>6.9033027622730589</v>
      </c>
    </row>
    <row r="85" spans="5:50">
      <c r="L85" t="s">
        <v>501</v>
      </c>
      <c r="N85" s="7"/>
      <c r="O85" s="2">
        <v>4</v>
      </c>
    </row>
    <row r="86" spans="5:50">
      <c r="N86" s="7"/>
      <c r="O86" s="7"/>
    </row>
    <row r="87" spans="5:50">
      <c r="G87" s="67" t="s">
        <v>502</v>
      </c>
      <c r="H87" s="40"/>
      <c r="I87" s="40">
        <f>S84/R84</f>
        <v>9.5446593746179823E-2</v>
      </c>
      <c r="J87" s="40"/>
      <c r="K87" s="68" t="s">
        <v>879</v>
      </c>
      <c r="L87" s="40"/>
      <c r="M87" s="42"/>
      <c r="N87" s="7"/>
      <c r="O87" s="69" t="s">
        <v>503</v>
      </c>
      <c r="P87" s="70">
        <f>T84-((S84^2)/R84)</f>
        <v>57.67454685675591</v>
      </c>
      <c r="Q87" s="71" t="s">
        <v>824</v>
      </c>
      <c r="R87" s="28"/>
      <c r="S87" s="29"/>
      <c r="T87" s="30"/>
      <c r="U87" s="31"/>
      <c r="AF87" s="2" t="s">
        <v>1518</v>
      </c>
    </row>
    <row r="88" spans="5:50">
      <c r="G88" s="43" t="s">
        <v>504</v>
      </c>
      <c r="H88" s="31"/>
      <c r="I88" s="31">
        <f>1/R84</f>
        <v>4.2950988846558198E-3</v>
      </c>
      <c r="J88" s="31"/>
      <c r="K88" s="31"/>
      <c r="L88" s="31"/>
      <c r="M88" s="44"/>
      <c r="N88" s="7"/>
      <c r="O88" s="30" t="s">
        <v>505</v>
      </c>
      <c r="P88" s="31">
        <f>CHIDIST(P87,I92-1)</f>
        <v>4.9011634977337158E-5</v>
      </c>
      <c r="Q88" s="31"/>
      <c r="R88" s="31"/>
      <c r="S88" s="34"/>
      <c r="T88" s="30"/>
      <c r="U88" s="31"/>
      <c r="AF88" s="2"/>
    </row>
    <row r="89" spans="5:50">
      <c r="G89" s="72" t="s">
        <v>506</v>
      </c>
      <c r="H89" s="31"/>
      <c r="I89" s="31">
        <f>$R$99*SQRT(I88)</f>
        <v>0.12845252771079982</v>
      </c>
      <c r="J89" s="31"/>
      <c r="K89" s="31" t="s">
        <v>507</v>
      </c>
      <c r="L89" s="31"/>
      <c r="M89" s="44">
        <f>ABS(I87/SQRT(I88))</f>
        <v>1.4563771307303268</v>
      </c>
      <c r="N89" s="7"/>
      <c r="O89" s="35" t="s">
        <v>508</v>
      </c>
      <c r="P89" s="37">
        <f>IF(((P87-(I92-1))/P87)&lt;0,0,100*((P87-(I92-1))/P87))</f>
        <v>61.854923533876104</v>
      </c>
      <c r="Q89" s="36"/>
      <c r="R89" s="36"/>
      <c r="S89" s="38"/>
      <c r="T89" s="30"/>
      <c r="U89" s="31"/>
      <c r="AF89" s="2" t="s">
        <v>1535</v>
      </c>
      <c r="AH89">
        <f>IF($D$6=1,100*((EXP(I87))-1),I87)</f>
        <v>9.5446593746179823E-2</v>
      </c>
    </row>
    <row r="90" spans="5:50">
      <c r="G90" s="45" t="s">
        <v>509</v>
      </c>
      <c r="H90" s="46"/>
      <c r="I90" s="46">
        <v>-2</v>
      </c>
      <c r="J90" s="46"/>
      <c r="K90" s="46" t="s">
        <v>825</v>
      </c>
      <c r="L90" s="46"/>
      <c r="M90" s="47">
        <f>2*(1-NORMDIST(M89,0,1,1))</f>
        <v>0.14528839398952353</v>
      </c>
      <c r="N90" s="7"/>
      <c r="O90" s="7"/>
      <c r="AF90" s="79" t="s">
        <v>834</v>
      </c>
      <c r="AH90">
        <f>IF($D$6=1,100*(EXP(I87+I89)-EXP(I87)),I89)</f>
        <v>0.12845252771079982</v>
      </c>
    </row>
    <row r="91" spans="5:50">
      <c r="G91" s="40"/>
      <c r="H91" s="40"/>
      <c r="I91" s="40"/>
      <c r="J91" s="40"/>
      <c r="K91" s="40"/>
      <c r="L91" s="40"/>
      <c r="M91" s="40"/>
      <c r="N91" s="7"/>
      <c r="O91" s="7"/>
      <c r="AF91" s="79" t="s">
        <v>835</v>
      </c>
      <c r="AH91">
        <f>IF($D$6=1,100*(EXP(I87)-EXP(I87-I89)),I89)</f>
        <v>0.12845252771079982</v>
      </c>
    </row>
    <row r="92" spans="5:50">
      <c r="G92" s="73" t="s">
        <v>1110</v>
      </c>
      <c r="H92" s="74"/>
      <c r="I92" s="74">
        <f>O84</f>
        <v>23</v>
      </c>
      <c r="J92" s="74"/>
      <c r="K92" s="75" t="s">
        <v>1167</v>
      </c>
      <c r="L92" s="74"/>
      <c r="M92" s="76"/>
      <c r="N92" s="77"/>
      <c r="O92" s="101" t="s">
        <v>1513</v>
      </c>
      <c r="P92" s="102"/>
      <c r="Q92" s="103"/>
      <c r="AF92" s="7"/>
    </row>
    <row r="93" spans="5:50">
      <c r="G93" s="77" t="s">
        <v>1531</v>
      </c>
      <c r="H93" s="31"/>
      <c r="I93" s="31">
        <f>R84/I92</f>
        <v>10.12276132335176</v>
      </c>
      <c r="J93" s="31"/>
      <c r="K93" s="31"/>
      <c r="L93" s="31"/>
      <c r="M93" s="78"/>
      <c r="N93" s="77"/>
      <c r="O93" s="104" t="s">
        <v>1514</v>
      </c>
      <c r="P93" s="31"/>
      <c r="Q93" s="105">
        <f>INDEX(LINEST(AL60:AL82,AK60:AK82,TRUE,TRUE),1,2)</f>
        <v>-1.2109775670251994</v>
      </c>
      <c r="AF93" s="2" t="s">
        <v>1687</v>
      </c>
      <c r="AH93">
        <f>IF($D$6=1,100*((EXP(I98))-1),I98)</f>
        <v>8.0700775114389514E-2</v>
      </c>
    </row>
    <row r="94" spans="5:50">
      <c r="G94" s="77" t="s">
        <v>1532</v>
      </c>
      <c r="H94" s="31"/>
      <c r="I94" s="31">
        <f>(1/(I92-1))*(U84-(I92*I93^2))</f>
        <v>17.670985975532609</v>
      </c>
      <c r="J94" s="31"/>
      <c r="K94" s="31"/>
      <c r="L94" s="31"/>
      <c r="M94" s="78"/>
      <c r="N94" s="77"/>
      <c r="O94" s="104" t="s">
        <v>1516</v>
      </c>
      <c r="P94" s="31"/>
      <c r="Q94" s="105">
        <f>INDEX(LINEST(AL60:AL82,AK60:AK82,TRUE,TRUE),2,2)</f>
        <v>1.8223650762163897</v>
      </c>
      <c r="AF94" s="79" t="s">
        <v>834</v>
      </c>
      <c r="AG94" s="7"/>
      <c r="AH94">
        <f>IF($D$6=1,100*(EXP(I98+I100)-EXP(I98)),I100)</f>
        <v>0.21191732530841506</v>
      </c>
    </row>
    <row r="95" spans="5:50">
      <c r="G95" s="77" t="s">
        <v>1669</v>
      </c>
      <c r="H95" s="31"/>
      <c r="I95" s="31">
        <f>(I92-1)*(I93-(I94/(I92*I93)))</f>
        <v>221.03097920634457</v>
      </c>
      <c r="J95" s="31"/>
      <c r="K95" s="31"/>
      <c r="L95" s="31"/>
      <c r="M95" s="78"/>
      <c r="N95" s="77"/>
      <c r="O95" s="104" t="s">
        <v>1349</v>
      </c>
      <c r="P95" s="31"/>
      <c r="Q95" s="105">
        <f>ABS(Q93/Q94)</f>
        <v>0.664508765466161</v>
      </c>
      <c r="AF95" s="79" t="s">
        <v>835</v>
      </c>
      <c r="AH95">
        <f>IF($D$6=1,100*(EXP(I98)-EXP(I98-I100)),I100)</f>
        <v>0.21191732530841506</v>
      </c>
    </row>
    <row r="96" spans="5:50">
      <c r="G96" s="77" t="s">
        <v>1685</v>
      </c>
      <c r="H96" s="31"/>
      <c r="I96" s="31">
        <f>IF(P87&gt;(I92-1),(P87-(I92-1))/I95,0)</f>
        <v>0.16140066421843863</v>
      </c>
      <c r="J96" s="31"/>
      <c r="K96" s="31"/>
      <c r="L96" s="31"/>
      <c r="M96" s="78"/>
      <c r="N96" s="77"/>
      <c r="O96" s="106" t="s">
        <v>1515</v>
      </c>
      <c r="P96" s="107"/>
      <c r="Q96" s="108">
        <f>TDIST(Q95,I92-2,2)</f>
        <v>0.51359609638505765</v>
      </c>
    </row>
    <row r="97" spans="7:18">
      <c r="G97" s="77"/>
      <c r="H97" s="31"/>
      <c r="I97" s="31"/>
      <c r="J97" s="31"/>
      <c r="K97" s="31"/>
      <c r="L97" s="31"/>
      <c r="M97" s="78"/>
      <c r="N97" s="77"/>
    </row>
    <row r="98" spans="7:18">
      <c r="G98" s="77" t="s">
        <v>1686</v>
      </c>
      <c r="H98" s="31"/>
      <c r="I98" s="31">
        <f>W84/V84</f>
        <v>8.0700775114389514E-2</v>
      </c>
      <c r="J98" s="31"/>
      <c r="N98" s="77"/>
    </row>
    <row r="99" spans="7:18">
      <c r="G99" s="77" t="s">
        <v>504</v>
      </c>
      <c r="H99" s="31"/>
      <c r="I99" s="31">
        <f>1/V84</f>
        <v>1.1690168879079711E-2</v>
      </c>
      <c r="J99" s="31"/>
      <c r="N99" s="77"/>
      <c r="O99" t="s">
        <v>805</v>
      </c>
      <c r="R99">
        <v>1.96</v>
      </c>
    </row>
    <row r="100" spans="7:18">
      <c r="G100" s="80" t="s">
        <v>506</v>
      </c>
      <c r="H100" s="31"/>
      <c r="I100" s="31">
        <f>$R$99*SQRT(I99)</f>
        <v>0.21191732530841506</v>
      </c>
      <c r="J100" s="31"/>
      <c r="K100" s="31" t="s">
        <v>507</v>
      </c>
      <c r="L100" s="31"/>
      <c r="M100" s="78">
        <f>ABS(I98/(SQRT(I99)))</f>
        <v>0.74639258019137755</v>
      </c>
      <c r="N100" s="77"/>
    </row>
    <row r="101" spans="7:18">
      <c r="G101" s="81" t="s">
        <v>509</v>
      </c>
      <c r="H101" s="82"/>
      <c r="I101" s="82">
        <v>-3</v>
      </c>
      <c r="J101" s="82"/>
      <c r="K101" s="31" t="s">
        <v>825</v>
      </c>
      <c r="L101" s="31"/>
      <c r="M101" s="78">
        <f>2*(1-NORMDIST(M100,0,1,1))</f>
        <v>0.45543030009401675</v>
      </c>
      <c r="N101" s="77"/>
    </row>
    <row r="102" spans="7:18">
      <c r="G102" s="74"/>
      <c r="H102" s="74"/>
      <c r="I102" s="74"/>
      <c r="J102" s="74"/>
      <c r="K102" s="74"/>
      <c r="L102" s="74"/>
      <c r="M102" s="74"/>
      <c r="N102" s="31"/>
      <c r="O102" s="7"/>
    </row>
  </sheetData>
  <phoneticPr fontId="10" type="noConversion"/>
  <conditionalFormatting sqref="D17 D13 F13">
    <cfRule type="cellIs" dxfId="76" priority="0" stopIfTrue="1" operator="lessThan">
      <formula>0.05</formula>
    </cfRule>
  </conditionalFormatting>
  <conditionalFormatting sqref="D21">
    <cfRule type="cellIs" dxfId="7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2.xml><?xml version="1.0" encoding="utf-8"?>
<worksheet xmlns="http://schemas.openxmlformats.org/spreadsheetml/2006/main" xmlns:r="http://schemas.openxmlformats.org/officeDocument/2006/relationships">
  <sheetPr published="0" codeName="Sheet40" enableFormatConditionsCalculation="0"/>
  <dimension ref="A1:BM101"/>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791</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I91-O84</f>
        <v>19</v>
      </c>
      <c r="AD7" s="89"/>
    </row>
    <row r="8" spans="2:30">
      <c r="B8" t="s">
        <v>822</v>
      </c>
      <c r="D8">
        <f>SUM(H24:H46)</f>
        <v>517</v>
      </c>
      <c r="AD8" s="89"/>
    </row>
    <row r="9" spans="2:30">
      <c r="B9" t="s">
        <v>823</v>
      </c>
      <c r="D9">
        <f>SUM(I24:I46)</f>
        <v>535</v>
      </c>
      <c r="AD9" s="89"/>
    </row>
    <row r="11" spans="2:30">
      <c r="B11" s="27" t="s">
        <v>516</v>
      </c>
      <c r="C11" s="28"/>
      <c r="D11" s="109">
        <f>P86</f>
        <v>77.067595253439364</v>
      </c>
      <c r="E11" s="110" t="s">
        <v>1513</v>
      </c>
      <c r="F11" s="103"/>
    </row>
    <row r="12" spans="2:30">
      <c r="B12" s="30" t="s">
        <v>826</v>
      </c>
      <c r="C12" s="31"/>
      <c r="D12" s="112">
        <f>P88</f>
        <v>71.453631156321578</v>
      </c>
      <c r="E12" s="31"/>
      <c r="F12" s="105"/>
    </row>
    <row r="13" spans="2:30">
      <c r="B13" s="35" t="s">
        <v>825</v>
      </c>
      <c r="C13" s="36"/>
      <c r="D13" s="113">
        <f>P87</f>
        <v>4.8893512235594986E-8</v>
      </c>
      <c r="E13" s="111" t="s">
        <v>825</v>
      </c>
      <c r="F13" s="115">
        <f>Q95</f>
        <v>0.14092186952156549</v>
      </c>
    </row>
    <row r="15" spans="2:30">
      <c r="B15" s="39" t="s">
        <v>879</v>
      </c>
      <c r="C15" s="40"/>
      <c r="D15" s="41">
        <f>AH88</f>
        <v>-3.3338061349528755E-2</v>
      </c>
      <c r="E15" s="116"/>
    </row>
    <row r="16" spans="2:30">
      <c r="B16" s="43" t="s">
        <v>1165</v>
      </c>
      <c r="C16" s="31"/>
      <c r="D16" s="33">
        <f>AH88-AH90</f>
        <v>-0.16239606621431452</v>
      </c>
      <c r="E16" s="117">
        <f>AH88+AH89</f>
        <v>9.5719943515256992E-2</v>
      </c>
    </row>
    <row r="17" spans="1:65">
      <c r="B17" s="45" t="s">
        <v>1166</v>
      </c>
      <c r="C17" s="46"/>
      <c r="D17" s="123">
        <f>M89</f>
        <v>0.6126431675755537</v>
      </c>
      <c r="E17" s="118"/>
    </row>
    <row r="18" spans="1:65">
      <c r="D18" s="48"/>
      <c r="F18" s="49"/>
    </row>
    <row r="19" spans="1:65">
      <c r="B19" s="50" t="s">
        <v>1167</v>
      </c>
      <c r="C19" s="51"/>
      <c r="D19" s="52">
        <f>AH92</f>
        <v>-8.3288226589092046E-2</v>
      </c>
      <c r="E19" s="120"/>
      <c r="F19" s="33"/>
      <c r="G19" s="31"/>
    </row>
    <row r="20" spans="1:65">
      <c r="B20" s="53" t="s">
        <v>1165</v>
      </c>
      <c r="C20" s="31"/>
      <c r="D20" s="33">
        <f>AH92-AH94</f>
        <v>-0.32949140788800452</v>
      </c>
      <c r="E20" s="121">
        <f>AH92+AH93</f>
        <v>0.16291495470982043</v>
      </c>
      <c r="F20" s="31"/>
      <c r="G20" s="31"/>
    </row>
    <row r="21" spans="1:65">
      <c r="B21" s="54" t="s">
        <v>1440</v>
      </c>
      <c r="C21" s="55"/>
      <c r="D21" s="114">
        <f>M100</f>
        <v>0.50729877959689929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9674587</v>
      </c>
      <c r="C24" s="1" t="str">
        <f>IF($B24="","",HYPERLINK(IF(LEN(VLOOKUP($B24,Database!$B$1:$IX$10144,2,FALSE))=0,"",VLOOKUP($B24,Database!$B$1:$IX$10144,2,FALSE))))</f>
        <v/>
      </c>
      <c r="D24" s="1" t="str">
        <f t="shared" ref="D24:D39" si="0">IF($B24="","",HYPERLINK(CONCATENATE("http://www.ncbi.nlm.nih.gov/pubmed/",B24)))</f>
        <v>http://www.ncbi.nlm.nih.gov/pubmed/9674587</v>
      </c>
      <c r="E24" s="22" t="str">
        <f>IF($B24="","",IF(LEN(VLOOKUP($B24,Database!$B$1:$IX$10144,4,FALSE))=0,"",VLOOKUP($B24,Database!$B$1:$IX$10144,4,FALSE)))</f>
        <v>Sheline YI</v>
      </c>
      <c r="F24" s="22">
        <f>IF($B24="","",IF(LEN(VLOOKUP($B24,Database!$B$1:$IX$10144,5,FALSE))=0,"",VLOOKUP($B24,Database!$B$1:$IX$10144,5,FALSE)))</f>
        <v>1998</v>
      </c>
      <c r="G24" s="1" t="str">
        <f>IF($B24="","",HYPERLINK(IF(LEN(VLOOKUP($B24,Database!$B$1:$IX$10144,6,FALSE))=0,"",VLOOKUP($B24,Database!$B$1:$IX$10144,6,FALSE))))</f>
        <v>http://www.neuroreport.com/pt/re/neuroreport/abstract.00001756-199806220-00021.htm</v>
      </c>
      <c r="H24" s="22">
        <f>IF($B24="","",IF(LEN(VLOOKUP($B24,Database!$B$1:$IX$10144,7,FALSE))=0,"",VLOOKUP($B24,Database!$B$1:$IX$10144,7,FALSE)))</f>
        <v>20</v>
      </c>
      <c r="I24" s="22">
        <f>IF($B24="","",IF(LEN(VLOOKUP($B24,Database!$B$1:$IX$10144,8,FALSE))=0,"",VLOOKUP($B24,Database!$B$1:$IX$10144,8,FALSE)))</f>
        <v>20</v>
      </c>
      <c r="J24" t="s">
        <v>1080</v>
      </c>
      <c r="L24">
        <v>1650</v>
      </c>
      <c r="M24">
        <v>310</v>
      </c>
      <c r="N24">
        <v>1782</v>
      </c>
      <c r="O24">
        <v>296</v>
      </c>
      <c r="P24">
        <v>1724</v>
      </c>
      <c r="Q24">
        <v>304</v>
      </c>
      <c r="R24">
        <v>1752</v>
      </c>
      <c r="S24">
        <v>295</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54</v>
      </c>
      <c r="AC24" s="22">
        <f>IF(OR($B24="",AC$22=""),"",IF(LEN(VLOOKUP($B24,Database!$B$1:$IX$10144,AC$22,FALSE))=0,"",VLOOKUP($B24,Database!$B$1:$IX$10144,AC$22,FALSE)))</f>
        <v>18</v>
      </c>
      <c r="AD24" s="22">
        <f>IF(OR($B24="",AD$22=""),"",IF(LEN(VLOOKUP($B24,Database!$B$1:$IX$10144,AD$22,FALSE))=0,"",VLOOKUP($B24,Database!$B$1:$IX$10144,AD$22,FALSE)))</f>
        <v>53</v>
      </c>
      <c r="AE24" s="22">
        <f>IF(OR($B24="",AE$22=""),"",IF(LEN(VLOOKUP($B24,Database!$B$1:$IX$10144,AE$22,FALSE))=0,"",VLOOKUP($B24,Database!$B$1:$IX$10144,AE$22,FALSE)))</f>
        <v>17</v>
      </c>
      <c r="AF24" s="22">
        <f>IF(OR($B24="",AF$22=""),"",IF(LEN(VLOOKUP($B24,Database!$B$1:$IX$10144,AF$22,FALSE))=0,"",VLOOKUP($B24,Database!$B$1:$IX$10144,AF$22,FALSE)))</f>
        <v>20</v>
      </c>
      <c r="AG24" s="22">
        <f>IF(OR($B24="",AG$22=""),"",IF(LEN(VLOOKUP($B24,Database!$B$1:$IX$10144,AG$22,FALSE))=0,"",VLOOKUP($B24,Database!$B$1:$IX$10144,AG$22,FALSE)))</f>
        <v>20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5</v>
      </c>
      <c r="AM24" s="22">
        <f>IF(OR($B24="",AM$22=""),"",IF(LEN(VLOOKUP($B24,Database!$B$1:$IX$10144,AM$22,FALSE))=0,"",VLOOKUP($B24,Database!$B$1:$IX$10144,AM$22,FALSE)))</f>
        <v>70</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Sheline YI, Gado MH, Price JL.</v>
      </c>
      <c r="AR24" s="13"/>
      <c r="AX24" s="13"/>
      <c r="AY24" s="13"/>
      <c r="AZ24" s="13"/>
      <c r="BA24" s="13"/>
      <c r="BC24" s="23"/>
      <c r="BF24" s="136"/>
      <c r="BG24" s="136"/>
      <c r="BH24" s="136"/>
      <c r="BI24" s="136"/>
    </row>
    <row r="25" spans="1:65">
      <c r="B25" s="13">
        <v>10618023</v>
      </c>
      <c r="C25" s="1" t="str">
        <f>IF($B25="","",HYPERLINK(IF(LEN(VLOOKUP($B25,Database!$B$1:$IX$10144,2,FALSE))=0,"",VLOOKUP($B25,Database!$B$1:$IX$10144,2,FALSE))))</f>
        <v/>
      </c>
      <c r="D25" s="1" t="str">
        <f t="shared" si="0"/>
        <v>http://www.ncbi.nlm.nih.gov/pubmed/10618023</v>
      </c>
      <c r="E25" s="22" t="str">
        <f>IF($B25="","",IF(LEN(VLOOKUP($B25,Database!$B$1:$IX$10144,4,FALSE))=0,"",VLOOKUP($B25,Database!$B$1:$IX$10144,4,FALSE)))</f>
        <v>Bremner JD</v>
      </c>
      <c r="F25" s="22">
        <f>IF($B25="","",IF(LEN(VLOOKUP($B25,Database!$B$1:$IX$10144,5,FALSE))=0,"",VLOOKUP($B25,Database!$B$1:$IX$10144,5,FALSE)))</f>
        <v>2000</v>
      </c>
      <c r="G25" s="1" t="str">
        <f>IF($B25="","",HYPERLINK(IF(LEN(VLOOKUP($B25,Database!$B$1:$IX$10144,6,FALSE))=0,"",VLOOKUP($B25,Database!$B$1:$IX$10144,6,FALSE))))</f>
        <v>http://ajp.psychiatryonline.org/cgi/reprint/157/1/115</v>
      </c>
      <c r="H25" s="22">
        <f>IF($B25="","",IF(LEN(VLOOKUP($B25,Database!$B$1:$IX$10144,7,FALSE))=0,"",VLOOKUP($B25,Database!$B$1:$IX$10144,7,FALSE)))</f>
        <v>16</v>
      </c>
      <c r="I25" s="22">
        <f>IF($B25="","",IF(LEN(VLOOKUP($B25,Database!$B$1:$IX$10144,8,FALSE))=0,"",VLOOKUP($B25,Database!$B$1:$IX$10144,8,FALSE)))</f>
        <v>16</v>
      </c>
      <c r="J25" t="s">
        <v>1125</v>
      </c>
      <c r="L25">
        <v>1652</v>
      </c>
      <c r="M25">
        <v>455</v>
      </c>
      <c r="N25">
        <v>1347</v>
      </c>
      <c r="O25">
        <v>448</v>
      </c>
      <c r="P25">
        <v>1699</v>
      </c>
      <c r="Q25">
        <v>493</v>
      </c>
      <c r="R25">
        <v>1335</v>
      </c>
      <c r="S25">
        <v>450</v>
      </c>
      <c r="T25">
        <v>1676</v>
      </c>
      <c r="U25">
        <v>474</v>
      </c>
      <c r="V25">
        <v>1341</v>
      </c>
      <c r="W25">
        <v>449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v>
      </c>
      <c r="AC25" s="22">
        <f>IF(OR($B25="",AC$22=""),"",IF(LEN(VLOOKUP($B25,Database!$B$1:$IX$10144,AC$22,FALSE))=0,"",VLOOKUP($B25,Database!$B$1:$IX$10144,AC$22,FALSE)))</f>
        <v>8</v>
      </c>
      <c r="AD25" s="22">
        <f>IF(OR($B25="",AD$22=""),"",IF(LEN(VLOOKUP($B25,Database!$B$1:$IX$10144,AD$22,FALSE))=0,"",VLOOKUP($B25,Database!$B$1:$IX$10144,AD$22,FALSE)))</f>
        <v>45</v>
      </c>
      <c r="AE25" s="22">
        <f>IF(OR($B25="",AE$22=""),"",IF(LEN(VLOOKUP($B25,Database!$B$1:$IX$10144,AE$22,FALSE))=0,"",VLOOKUP($B25,Database!$B$1:$IX$10144,AE$22,FALSE)))</f>
        <v>10</v>
      </c>
      <c r="AF25" s="22">
        <f>IF(OR($B25="",AF$22=""),"",IF(LEN(VLOOKUP($B25,Database!$B$1:$IX$10144,AF$22,FALSE))=0,"",VLOOKUP($B25,Database!$B$1:$IX$10144,AF$22,FALSE)))</f>
        <v>6</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100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0</v>
      </c>
      <c r="AQ25" s="22" t="str">
        <f>IF(OR($B25="",AQ$22=""),"",IF(LEN(VLOOKUP($B25,Database!$B$1:$IX$10144,AQ$22,FALSE))=0,"",VLOOKUP($B25,Database!$B$1:$IX$10144,AQ$22,FALSE)))</f>
        <v>Bremner JD, Narayan M, Anderson ER, Staib LH, Miller HL, Charney DS.</v>
      </c>
      <c r="AR25" s="13"/>
      <c r="AX25" s="13"/>
      <c r="AY25" s="13"/>
      <c r="AZ25" s="13"/>
      <c r="BA25" s="13"/>
      <c r="BC25" s="23"/>
      <c r="BF25" s="136"/>
      <c r="BG25" s="136"/>
      <c r="BH25" s="136"/>
      <c r="BI25" s="136"/>
    </row>
    <row r="26" spans="1:65">
      <c r="B26" s="13">
        <v>12586453</v>
      </c>
      <c r="C26" s="1" t="str">
        <f>IF($B26="","",HYPERLINK(IF(LEN(VLOOKUP($B26,Database!$B$1:$IX$10144,2,FALSE))=0,"",VLOOKUP($B26,Database!$B$1:$IX$10144,2,FALSE))))</f>
        <v/>
      </c>
      <c r="D26" s="1" t="str">
        <f t="shared" si="0"/>
        <v>http://www.ncbi.nlm.nih.gov/pubmed/12586453</v>
      </c>
      <c r="E26" s="22" t="str">
        <f>IF($B26="","",IF(LEN(VLOOKUP($B26,Database!$B$1:$IX$10144,4,FALSE))=0,"",VLOOKUP($B26,Database!$B$1:$IX$10144,4,FALSE)))</f>
        <v>Frodl T</v>
      </c>
      <c r="F26" s="22">
        <f>IF($B26="","",IF(LEN(VLOOKUP($B26,Database!$B$1:$IX$10144,5,FALSE))=0,"",VLOOKUP($B26,Database!$B$1:$IX$10144,5,FALSE)))</f>
        <v>2003</v>
      </c>
      <c r="G26" s="1" t="str">
        <f>IF($B26="","",HYPERLINK(IF(LEN(VLOOKUP($B26,Database!$B$1:$IX$10144,6,FALSE))=0,"",VLOOKUP($B26,Database!$B$1:$IX$10144,6,FALSE))))</f>
        <v>http://dx.doi.org/10.1016/S0006-3223(02)01474-9</v>
      </c>
      <c r="H26" s="83">
        <v>30</v>
      </c>
      <c r="I26" s="83">
        <v>30</v>
      </c>
      <c r="J26" t="s">
        <v>1125</v>
      </c>
      <c r="K26" t="s">
        <v>1160</v>
      </c>
      <c r="L26">
        <v>1944</v>
      </c>
      <c r="M26">
        <v>256</v>
      </c>
      <c r="N26">
        <v>1776</v>
      </c>
      <c r="O26">
        <v>292</v>
      </c>
      <c r="P26">
        <v>1951</v>
      </c>
      <c r="Q26">
        <v>298</v>
      </c>
      <c r="R26">
        <v>1815</v>
      </c>
      <c r="S26">
        <v>279</v>
      </c>
      <c r="Y26" s="22" t="str">
        <f>IF(OR($B26="",Y$22=""),"",IF(LEN(VLOOKUP($B26,Database!$B$1:$IX$10144,Y$22,FALSE))=0,"",VLOOKUP($B26,Database!$B$1:$IX$10144,Y$22,FALSE)))</f>
        <v>DSM-IV</v>
      </c>
      <c r="Z26" s="22" t="str">
        <f>IF(OR($B26="",Z$22=""),"",IF(LEN(VLOOKUP($B26,Database!$B$1:$IX$10144,Z$22,FALSE))=0,"",VLOOKUP($B26,Database!$B$1:$IX$10144,Z$22,FALSE)))</f>
        <v>MRI</v>
      </c>
      <c r="AA26" s="217" t="s">
        <v>2449</v>
      </c>
      <c r="AB26" s="83">
        <v>40.299999999999997</v>
      </c>
      <c r="AC26" s="83">
        <v>12.6</v>
      </c>
      <c r="AD26" s="83">
        <v>40.6</v>
      </c>
      <c r="AE26" s="83">
        <v>12.5</v>
      </c>
      <c r="AF26" s="83">
        <v>17</v>
      </c>
      <c r="AG26" s="83">
        <v>17</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83">
        <f>IF(OR($B26="",AK$22=""),"",IF(LEN(VLOOKUP($B26,Database!$B$1:$IX$10144,AK$22,FALSE))=0,"",VLOOKUP($B26,Database!$B$1:$IX$10144,AK$22,FALSE)))</f>
        <v>40</v>
      </c>
      <c r="AL26" s="83">
        <v>24.8</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12.280701754385964</v>
      </c>
      <c r="AQ26" s="211" t="str">
        <f>IF(OR($B26="",AQ$22=""),"",IF(LEN(VLOOKUP($B26,Database!$B$1:$IX$10144,AQ$22,FALSE))=0,"",VLOOKUP($B26,Database!$B$1:$IX$10144,AQ$22,FALSE)))</f>
        <v>Frodl T, Meisenzahl EM, Zetzsche T, Born C, Jager M, Groll C, Bottlender R, Leinsinger G, Moller HJ.</v>
      </c>
      <c r="AR26" s="13"/>
      <c r="AU26" s="13"/>
      <c r="AX26" s="13"/>
      <c r="AY26" s="13"/>
      <c r="AZ26" s="13"/>
      <c r="BA26" s="13"/>
      <c r="BC26" s="23"/>
      <c r="BF26" s="136"/>
      <c r="BG26" s="136"/>
      <c r="BH26" s="136"/>
      <c r="BI26" s="136"/>
    </row>
    <row r="27" spans="1:65">
      <c r="B27" s="13">
        <v>12586453</v>
      </c>
      <c r="C27" s="1" t="str">
        <f>IF($B27="","",HYPERLINK(IF(LEN(VLOOKUP($B27,Database!$B$1:$IX$10144,2,FALSE))=0,"",VLOOKUP($B27,Database!$B$1:$IX$10144,2,FALSE))))</f>
        <v/>
      </c>
      <c r="D27" s="1" t="str">
        <f t="shared" si="0"/>
        <v>http://www.ncbi.nlm.nih.gov/pubmed/12586453</v>
      </c>
      <c r="E27" s="22" t="str">
        <f>IF($B27="","",IF(LEN(VLOOKUP($B27,Database!$B$1:$IX$10144,4,FALSE))=0,"",VLOOKUP($B27,Database!$B$1:$IX$10144,4,FALSE)))</f>
        <v>Frodl T</v>
      </c>
      <c r="F27" s="22">
        <f>IF($B27="","",IF(LEN(VLOOKUP($B27,Database!$B$1:$IX$10144,5,FALSE))=0,"",VLOOKUP($B27,Database!$B$1:$IX$10144,5,FALSE)))</f>
        <v>2003</v>
      </c>
      <c r="G27" s="1" t="str">
        <f>IF($B27="","",HYPERLINK(IF(LEN(VLOOKUP($B27,Database!$B$1:$IX$10144,6,FALSE))=0,"",VLOOKUP($B27,Database!$B$1:$IX$10144,6,FALSE))))</f>
        <v>http://dx.doi.org/10.1016/S0006-3223(02)01474-9</v>
      </c>
      <c r="H27" s="83">
        <v>27</v>
      </c>
      <c r="I27" s="83">
        <v>27</v>
      </c>
      <c r="J27" t="s">
        <v>1125</v>
      </c>
      <c r="K27" t="s">
        <v>1161</v>
      </c>
      <c r="L27">
        <v>1780</v>
      </c>
      <c r="M27">
        <v>232</v>
      </c>
      <c r="N27">
        <v>1741</v>
      </c>
      <c r="O27">
        <v>292</v>
      </c>
      <c r="P27">
        <v>1762</v>
      </c>
      <c r="Q27">
        <v>251</v>
      </c>
      <c r="R27">
        <v>1815</v>
      </c>
      <c r="S27">
        <v>267</v>
      </c>
      <c r="Y27" s="22" t="str">
        <f>IF(OR($B27="",Y$22=""),"",IF(LEN(VLOOKUP($B27,Database!$B$1:$IX$10144,Y$22,FALSE))=0,"",VLOOKUP($B27,Database!$B$1:$IX$10144,Y$22,FALSE)))</f>
        <v>DSM-IV</v>
      </c>
      <c r="Z27" s="22" t="str">
        <f>IF(OR($B27="",Z$22=""),"",IF(LEN(VLOOKUP($B27,Database!$B$1:$IX$10144,Z$22,FALSE))=0,"",VLOOKUP($B27,Database!$B$1:$IX$10144,Z$22,FALSE)))</f>
        <v>MRI</v>
      </c>
      <c r="AA27" s="217" t="s">
        <v>2450</v>
      </c>
      <c r="AB27" s="83">
        <v>49.1</v>
      </c>
      <c r="AC27" s="83">
        <v>10.5</v>
      </c>
      <c r="AD27" s="83">
        <v>46.3</v>
      </c>
      <c r="AE27" s="83">
        <v>11.5</v>
      </c>
      <c r="AF27" s="83">
        <v>13</v>
      </c>
      <c r="AG27" s="83">
        <v>13</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83">
        <v>37.4</v>
      </c>
      <c r="AL27" s="83">
        <v>21.3</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12.280701754385964</v>
      </c>
      <c r="AQ27" s="211" t="str">
        <f>IF(OR($B27="",AQ$22=""),"",IF(LEN(VLOOKUP($B27,Database!$B$1:$IX$10144,AQ$22,FALSE))=0,"",VLOOKUP($B27,Database!$B$1:$IX$10144,AQ$22,FALSE)))</f>
        <v>Frodl T, Meisenzahl EM, Zetzsche T, Born C, Jager M, Groll C, Bottlender R, Leinsinger G, Moller HJ.</v>
      </c>
      <c r="AR27" s="13"/>
      <c r="AU27" s="13"/>
      <c r="AX27" s="13"/>
      <c r="AY27" s="13"/>
      <c r="AZ27" s="13"/>
      <c r="BA27" s="13"/>
      <c r="BC27" s="23"/>
      <c r="BF27" s="136"/>
      <c r="BG27" s="136"/>
      <c r="BH27" s="136"/>
      <c r="BI27" s="136"/>
    </row>
    <row r="28" spans="1:65">
      <c r="A28" t="s">
        <v>2337</v>
      </c>
      <c r="B28" s="13">
        <v>15598548</v>
      </c>
      <c r="C28" s="1" t="str">
        <f>IF($B28="","",HYPERLINK(IF(LEN(VLOOKUP($B28,Database!$B$1:$IX$10144,2,FALSE))=0,"",VLOOKUP($B28,Database!$B$1:$IX$10144,2,FALSE))))</f>
        <v/>
      </c>
      <c r="D28" s="1" t="str">
        <f t="shared" si="0"/>
        <v>http://www.ncbi.nlm.nih.gov/pubmed/15598548</v>
      </c>
      <c r="E28" s="22" t="str">
        <f>IF($B28="","",IF(LEN(VLOOKUP($B28,Database!$B$1:$IX$10144,4,FALSE))=0,"",VLOOKUP($B28,Database!$B$1:$IX$10144,4,FALSE)))</f>
        <v>Caetano SC</v>
      </c>
      <c r="F28" s="22">
        <f>IF($B28="","",IF(LEN(VLOOKUP($B28,Database!$B$1:$IX$10144,5,FALSE))=0,"",VLOOKUP($B28,Database!$B$1:$IX$10144,5,FALSE)))</f>
        <v>2004</v>
      </c>
      <c r="G28" s="1" t="str">
        <f>IF($B28="","",HYPERLINK(IF(LEN(VLOOKUP($B28,Database!$B$1:$IX$10144,6,FALSE))=0,"",VLOOKUP($B28,Database!$B$1:$IX$10144,6,FALSE))))</f>
        <v>http://dx.doi.org/10.1016/j.pscychresns.2004.08.002</v>
      </c>
      <c r="H28" s="22">
        <f>IF($B28="","",IF(LEN(VLOOKUP($B28,Database!$B$1:$IX$10144,7,FALSE))=0,"",VLOOKUP($B28,Database!$B$1:$IX$10144,7,FALSE)))</f>
        <v>31</v>
      </c>
      <c r="I28" s="22">
        <f>IF($B28="","",IF(LEN(VLOOKUP($B28,Database!$B$1:$IX$10144,8,FALSE))=0,"",VLOOKUP($B28,Database!$B$1:$IX$10144,8,FALSE)))</f>
        <v>31</v>
      </c>
      <c r="J28" t="s">
        <v>327</v>
      </c>
      <c r="L28">
        <v>1.85</v>
      </c>
      <c r="M28">
        <v>0.39</v>
      </c>
      <c r="N28">
        <v>2.02</v>
      </c>
      <c r="O28">
        <v>0.37</v>
      </c>
      <c r="P28">
        <v>2.02</v>
      </c>
      <c r="Q28">
        <v>0.47</v>
      </c>
      <c r="R28">
        <v>2.1800000000000002</v>
      </c>
      <c r="S28">
        <v>0.4</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39.200000000000003</v>
      </c>
      <c r="AC28" s="22">
        <f>IF(OR($B28="",AC$22=""),"",IF(LEN(VLOOKUP($B28,Database!$B$1:$IX$10144,AC$22,FALSE))=0,"",VLOOKUP($B28,Database!$B$1:$IX$10144,AC$22,FALSE)))</f>
        <v>11.9</v>
      </c>
      <c r="AD28" s="22">
        <f>IF(OR($B28="",AD$22=""),"",IF(LEN(VLOOKUP($B28,Database!$B$1:$IX$10144,AD$22,FALSE))=0,"",VLOOKUP($B28,Database!$B$1:$IX$10144,AD$22,FALSE)))</f>
        <v>36.700000000000003</v>
      </c>
      <c r="AE28" s="22">
        <f>IF(OR($B28="",AE$22=""),"",IF(LEN(VLOOKUP($B28,Database!$B$1:$IX$10144,AE$22,FALSE))=0,"",VLOOKUP($B28,Database!$B$1:$IX$10144,AE$22,FALSE)))</f>
        <v>10.7</v>
      </c>
      <c r="AF28" s="22">
        <f>IF(OR($B28="",AF$22=""),"",IF(LEN(VLOOKUP($B28,Database!$B$1:$IX$10144,AF$22,FALSE))=0,"",VLOOKUP($B28,Database!$B$1:$IX$10144,AF$22,FALSE)))</f>
        <v>24</v>
      </c>
      <c r="AG28" s="22">
        <f>IF(OR($B28="",AG$22=""),"",IF(LEN(VLOOKUP($B28,Database!$B$1:$IX$10144,AG$22,FALSE))=0,"",VLOOKUP($B28,Database!$B$1:$IX$10144,AG$22,FALSE)))</f>
        <v>24</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14">
        <v>27.9</v>
      </c>
      <c r="AL28" s="214">
        <v>11.8</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Caetano SC, Hatch JP, Brambilla P, Sassi RB, Nicoletti M, Mallinger AG, Frank E, Kupfer DJ, Keshavan MS, Soares JC.</v>
      </c>
      <c r="AR28" s="13"/>
      <c r="AX28" s="13"/>
      <c r="AY28" s="13"/>
      <c r="AZ28" s="13"/>
      <c r="BA28" s="13"/>
      <c r="BC28" s="23"/>
      <c r="BF28" s="136"/>
      <c r="BG28" s="136"/>
      <c r="BH28" s="136"/>
      <c r="BI28" s="136"/>
    </row>
    <row r="29" spans="1:65">
      <c r="B29" s="13">
        <v>14997169</v>
      </c>
      <c r="C29" s="1" t="str">
        <f>IF($B29="","",HYPERLINK(IF(LEN(VLOOKUP($B29,Database!$B$1:$IX$10144,2,FALSE))=0,"",VLOOKUP($B29,Database!$B$1:$IX$10144,2,FALSE))))</f>
        <v/>
      </c>
      <c r="D29" s="1" t="str">
        <f t="shared" si="0"/>
        <v>http://www.ncbi.nlm.nih.gov/pubmed/14997169</v>
      </c>
      <c r="E29" s="22" t="str">
        <f>IF($B29="","",IF(LEN(VLOOKUP($B29,Database!$B$1:$IX$10144,4,FALSE))=0,"",VLOOKUP($B29,Database!$B$1:$IX$10144,4,FALSE)))</f>
        <v>Hastings RS</v>
      </c>
      <c r="F29" s="22">
        <f>IF($B29="","",IF(LEN(VLOOKUP($B29,Database!$B$1:$IX$10144,5,FALSE))=0,"",VLOOKUP($B29,Database!$B$1:$IX$10144,5,FALSE)))</f>
        <v>2004</v>
      </c>
      <c r="G29" s="1" t="str">
        <f>IF($B29="","",HYPERLINK(IF(LEN(VLOOKUP($B29,Database!$B$1:$IX$10144,6,FALSE))=0,"",VLOOKUP($B29,Database!$B$1:$IX$10144,6,FALSE))))</f>
        <v>http://www.nature.com/npp/journal/v29/n5/pdf/1300371a.pdf</v>
      </c>
      <c r="H29" s="83">
        <v>10</v>
      </c>
      <c r="I29" s="83">
        <v>10</v>
      </c>
      <c r="K29" t="s">
        <v>1159</v>
      </c>
      <c r="L29">
        <v>1454</v>
      </c>
      <c r="M29">
        <v>307</v>
      </c>
      <c r="N29">
        <v>1718</v>
      </c>
      <c r="O29">
        <v>339</v>
      </c>
      <c r="P29">
        <v>1411</v>
      </c>
      <c r="Q29">
        <v>253</v>
      </c>
      <c r="R29">
        <v>1845</v>
      </c>
      <c r="S29">
        <v>225</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38.9</v>
      </c>
      <c r="AC29" s="22">
        <f>IF(OR($B29="",AC$22=""),"",IF(LEN(VLOOKUP($B29,Database!$B$1:$IX$10144,AC$22,FALSE))=0,"",VLOOKUP($B29,Database!$B$1:$IX$10144,AC$22,FALSE)))</f>
        <v>11.4</v>
      </c>
      <c r="AD29" s="22">
        <f>IF(OR($B29="",AD$22=""),"",IF(LEN(VLOOKUP($B29,Database!$B$1:$IX$10144,AD$22,FALSE))=0,"",VLOOKUP($B29,Database!$B$1:$IX$10144,AD$22,FALSE)))</f>
        <v>34.799999999999997</v>
      </c>
      <c r="AE29" s="22">
        <f>IF(OR($B29="",AE$22=""),"",IF(LEN(VLOOKUP($B29,Database!$B$1:$IX$10144,AE$22,FALSE))=0,"",VLOOKUP($B29,Database!$B$1:$IX$10144,AE$22,FALSE)))</f>
        <v>13.6</v>
      </c>
      <c r="AF29" s="22">
        <f>IF(OR($B29="",AF$22=""),"",IF(LEN(VLOOKUP($B29,Database!$B$1:$IX$10144,AF$22,FALSE))=0,"",VLOOKUP($B29,Database!$B$1:$IX$10144,AF$22,FALSE)))</f>
        <v>10</v>
      </c>
      <c r="AG29" s="22">
        <f>IF(OR($B29="",AG$22=""),"",IF(LEN(VLOOKUP($B29,Database!$B$1:$IX$10144,AG$22,FALSE))=0,"",VLOOKUP($B29,Database!$B$1:$IX$10144,AG$22,FALSE)))</f>
        <v>10</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23</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Hastings RS, Parsey RV, Oquendo MA, Arango V, Mann JJ.</v>
      </c>
      <c r="AR29" s="13"/>
      <c r="AX29" s="13"/>
      <c r="AY29" s="13"/>
      <c r="AZ29" s="13"/>
      <c r="BA29" s="13"/>
      <c r="BC29" s="23"/>
      <c r="BF29" s="136"/>
      <c r="BG29" s="136"/>
      <c r="BH29" s="136"/>
      <c r="BI29" s="136"/>
    </row>
    <row r="30" spans="1:65">
      <c r="B30" s="13">
        <v>15554576</v>
      </c>
      <c r="C30" s="1" t="str">
        <f>IF($B30="","",HYPERLINK(IF(LEN(VLOOKUP($B30,Database!$B$1:$IX$10144,2,FALSE))=0,"",VLOOKUP($B30,Database!$B$1:$IX$10144,2,FALSE))))</f>
        <v/>
      </c>
      <c r="D30" s="1" t="str">
        <f>IF($B30="","",HYPERLINK(CONCATENATE("http://www.ncbi.nlm.nih.gov/pubmed/",B30)))</f>
        <v>http://www.ncbi.nlm.nih.gov/pubmed/15554576</v>
      </c>
      <c r="E30" s="22" t="str">
        <f>IF($B30="","",IF(LEN(VLOOKUP($B30,Database!$B$1:$IX$10144,4,FALSE))=0,"",VLOOKUP($B30,Database!$B$1:$IX$10144,4,FALSE)))</f>
        <v>Lange C</v>
      </c>
      <c r="F30" s="22">
        <f>IF($B30="","",IF(LEN(VLOOKUP($B30,Database!$B$1:$IX$10144,5,FALSE))=0,"",VLOOKUP($B30,Database!$B$1:$IX$10144,5,FALSE)))</f>
        <v>2004</v>
      </c>
      <c r="G30" s="1" t="str">
        <f>IF($B30="","",HYPERLINK(IF(LEN(VLOOKUP($B30,Database!$B$1:$IX$10144,6,FALSE))=0,"",VLOOKUP($B30,Database!$B$1:$IX$10144,6,FALSE))))</f>
        <v>http://dx.doi.org/10.1017/S0033291703001806</v>
      </c>
      <c r="H30" s="22">
        <f>IF($B30="","",IF(LEN(VLOOKUP($B30,Database!$B$1:$IX$10144,7,FALSE))=0,"",VLOOKUP($B30,Database!$B$1:$IX$10144,7,FALSE)))</f>
        <v>17</v>
      </c>
      <c r="I30" s="22">
        <f>IF($B30="","",IF(LEN(VLOOKUP($B30,Database!$B$1:$IX$10144,8,FALSE))=0,"",VLOOKUP($B30,Database!$B$1:$IX$10144,8,FALSE)))</f>
        <v>17</v>
      </c>
      <c r="J30" t="s">
        <v>1651</v>
      </c>
      <c r="L30">
        <v>1.29</v>
      </c>
      <c r="M30">
        <v>0.26</v>
      </c>
      <c r="N30">
        <v>1.1200000000000001</v>
      </c>
      <c r="O30">
        <v>0.17</v>
      </c>
      <c r="P30">
        <v>1.26</v>
      </c>
      <c r="Q30">
        <v>0.26</v>
      </c>
      <c r="R30">
        <v>1.1399999999999999</v>
      </c>
      <c r="S30">
        <v>0.2</v>
      </c>
      <c r="T30">
        <v>2.5499999999999998</v>
      </c>
      <c r="U30">
        <v>0.49</v>
      </c>
      <c r="V30">
        <v>2.2599999999999998</v>
      </c>
      <c r="W30">
        <v>0.33</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34</v>
      </c>
      <c r="AC30" s="22">
        <f>IF(OR($B30="",AC$22=""),"",IF(LEN(VLOOKUP($B30,Database!$B$1:$IX$10144,AC$22,FALSE))=0,"",VLOOKUP($B30,Database!$B$1:$IX$10144,AC$22,FALSE)))</f>
        <v>10</v>
      </c>
      <c r="AD30" s="22">
        <f>IF(OR($B30="",AD$22=""),"",IF(LEN(VLOOKUP($B30,Database!$B$1:$IX$10144,AD$22,FALSE))=0,"",VLOOKUP($B30,Database!$B$1:$IX$10144,AD$22,FALSE)))</f>
        <v>32</v>
      </c>
      <c r="AE30" s="22">
        <f>IF(OR($B30="",AE$22=""),"",IF(LEN(VLOOKUP($B30,Database!$B$1:$IX$10144,AE$22,FALSE))=0,"",VLOOKUP($B30,Database!$B$1:$IX$10144,AE$22,FALSE)))</f>
        <v>6</v>
      </c>
      <c r="AF30" s="22">
        <f>IF(OR($B30="",AF$22=""),"",IF(LEN(VLOOKUP($B30,Database!$B$1:$IX$10144,AF$22,FALSE))=0,"",VLOOKUP($B30,Database!$B$1:$IX$10144,AF$22,FALSE)))</f>
        <v>17</v>
      </c>
      <c r="AG30" s="22">
        <f>IF(OR($B30="",AG$22=""),"",IF(LEN(VLOOKUP($B30,Database!$B$1:$IX$10144,AG$22,FALSE))=0,"",VLOOKUP($B30,Database!$B$1:$IX$10144,AG$22,FALSE)))</f>
        <v>17</v>
      </c>
      <c r="AH30" s="22">
        <f>IF(OR($B30="",AH$22=""),"",IF(LEN(VLOOKUP($B30,Database!$B$1:$IX$10144,AH$22,FALSE))=0,"",VLOOKUP($B30,Database!$B$1:$IX$10144,AH$22,FALSE)))</f>
        <v>1.5</v>
      </c>
      <c r="AI30" s="22">
        <f>IF(OR($B30="",AI$22=""),"",IF(LEN(VLOOKUP($B30,Database!$B$1:$IX$10144,AI$22,FALSE))=0,"",VLOOKUP($B30,Database!$B$1:$IX$10144,AI$22,FALSE)))</f>
        <v>1.3</v>
      </c>
      <c r="AJ30" s="22" t="str">
        <f>IF(OR($B30="",AJ$22=""),"",IF(LEN(VLOOKUP($B30,Database!$B$1:$IX$10144,AJ$22,FALSE))=0,"",VLOOKUP($B30,Database!$B$1:$IX$10144,AJ$22,FALSE)))</f>
        <v/>
      </c>
      <c r="AK30" s="22">
        <f>IF(OR($B30="",AK$22=""),"",IF(LEN(VLOOKUP($B30,Database!$B$1:$IX$10144,AK$22,FALSE))=0,"",VLOOKUP($B30,Database!$B$1:$IX$10144,AK$22,FALSE)))</f>
        <v>29</v>
      </c>
      <c r="AL30" s="22">
        <f>IF(OR($B30="",AL$22=""),"",IF(LEN(VLOOKUP($B30,Database!$B$1:$IX$10144,AL$22,FALSE))=0,"",VLOOKUP($B30,Database!$B$1:$IX$10144,AL$22,FALSE)))</f>
        <v>22</v>
      </c>
      <c r="AM30" s="22">
        <f>IF(OR($B30="",AM$22=""),"",IF(LEN(VLOOKUP($B30,Database!$B$1:$IX$10144,AM$22,FALSE))=0,"",VLOOKUP($B30,Database!$B$1:$IX$10144,AM$22,FALSE)))</f>
        <v>100</v>
      </c>
      <c r="AN30" s="22" t="str">
        <f>IF(OR($B30="",AN$22=""),"",IF(LEN(VLOOKUP($B30,Database!$B$1:$IX$10144,AN$22,FALSE))=0,"",VLOOKUP($B30,Database!$B$1:$IX$10144,AN$22,FALSE)))</f>
        <v>ns</v>
      </c>
      <c r="AO30" s="22" t="str">
        <f>IF(OR($B30="",AO$22=""),"",IF(LEN(VLOOKUP($B30,Database!$B$1:$IX$10144,AO$22,FALSE))=0,"",VLOOKUP($B30,Database!$B$1:$IX$10144,AO$22,FALSE)))</f>
        <v>ns</v>
      </c>
      <c r="AP30" s="22">
        <f>IF(OR($B30="",AP$22=""),"",IF(LEN(VLOOKUP($B30,Database!$B$1:$IX$10144,AP$22,FALSE))=0,"",VLOOKUP($B30,Database!$B$1:$IX$10144,AP$22,FALSE)))</f>
        <v>0</v>
      </c>
      <c r="AQ30" s="22" t="str">
        <f>IF(OR($B30="",AQ$22=""),"",IF(LEN(VLOOKUP($B30,Database!$B$1:$IX$10144,AQ$22,FALSE))=0,"",VLOOKUP($B30,Database!$B$1:$IX$10144,AQ$22,FALSE)))</f>
        <v>Lange, Irle</v>
      </c>
      <c r="AR30" s="13"/>
      <c r="AX30" s="13"/>
      <c r="AY30" s="13"/>
      <c r="AZ30" s="13"/>
      <c r="BA30" s="13"/>
      <c r="BC30" s="23"/>
      <c r="BF30" s="136"/>
      <c r="BG30" s="136"/>
      <c r="BH30" s="136"/>
      <c r="BI30" s="136"/>
    </row>
    <row r="31" spans="1:65">
      <c r="B31" s="13">
        <v>15641704</v>
      </c>
      <c r="C31" s="1" t="str">
        <f>IF($B31="","",HYPERLINK(IF(LEN(VLOOKUP($B31,Database!$B$1:$IX$10144,2,FALSE))=0,"",VLOOKUP($B31,Database!$B$1:$IX$10144,2,FALSE))))</f>
        <v/>
      </c>
      <c r="D31" s="1" t="str">
        <f>IF($B31="","",HYPERLINK(CONCATENATE("http://www.ncbi.nlm.nih.gov/pubmed/",B31)))</f>
        <v>http://www.ncbi.nlm.nih.gov/pubmed/15641704</v>
      </c>
      <c r="E31" s="22" t="str">
        <f>IF($B31="","",IF(LEN(VLOOKUP($B31,Database!$B$1:$IX$10144,4,FALSE))=0,"",VLOOKUP($B31,Database!$B$1:$IX$10144,4,FALSE)))</f>
        <v>Xia J</v>
      </c>
      <c r="F31" s="22">
        <f>IF($B31="","",IF(LEN(VLOOKUP($B31,Database!$B$1:$IX$10144,5,FALSE))=0,"",VLOOKUP($B31,Database!$B$1:$IX$10144,5,FALSE)))</f>
        <v>2004</v>
      </c>
      <c r="G31" s="1" t="str">
        <f>IF($B31="","",HYPERLINK(IF(LEN(VLOOKUP($B31,Database!$B$1:$IX$10144,6,FALSE))=0,"",VLOOKUP($B31,Database!$B$1:$IX$10144,6,FALSE))))</f>
        <v>Not available on internet</v>
      </c>
      <c r="H31" s="22">
        <f>IF($B31="","",IF(LEN(VLOOKUP($B31,Database!$B$1:$IX$10144,7,FALSE))=0,"",VLOOKUP($B31,Database!$B$1:$IX$10144,7,FALSE)))</f>
        <v>22</v>
      </c>
      <c r="I31" s="22">
        <f>IF($B31="","",IF(LEN(VLOOKUP($B31,Database!$B$1:$IX$10144,8,FALSE))=0,"",VLOOKUP($B31,Database!$B$1:$IX$10144,8,FALSE)))</f>
        <v>13</v>
      </c>
      <c r="J31" t="s">
        <v>571</v>
      </c>
      <c r="L31">
        <v>2349.91</v>
      </c>
      <c r="M31">
        <v>125.11</v>
      </c>
      <c r="N31">
        <v>2323.69</v>
      </c>
      <c r="O31">
        <v>37.06</v>
      </c>
      <c r="P31">
        <v>2127.3200000000002</v>
      </c>
      <c r="Q31">
        <v>135.97999999999999</v>
      </c>
      <c r="R31">
        <v>2305.54</v>
      </c>
      <c r="S31">
        <v>52.26</v>
      </c>
      <c r="Y31" s="22" t="str">
        <f>IF(OR($B31="",Y$22=""),"",IF(LEN(VLOOKUP($B31,Database!$B$1:$IX$10144,Y$22,FALSE))=0,"",VLOOKUP($B31,Database!$B$1:$IX$10144,Y$22,FALSE)))</f>
        <v>CCMD-3-R</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39.5</v>
      </c>
      <c r="AC31" s="22">
        <f>IF(OR($B31="",AC$22=""),"",IF(LEN(VLOOKUP($B31,Database!$B$1:$IX$10144,AC$22,FALSE))=0,"",VLOOKUP($B31,Database!$B$1:$IX$10144,AC$22,FALSE)))</f>
        <v>12.05</v>
      </c>
      <c r="AD31" s="22">
        <f>IF(OR($B31="",AD$22=""),"",IF(LEN(VLOOKUP($B31,Database!$B$1:$IX$10144,AD$22,FALSE))=0,"",VLOOKUP($B31,Database!$B$1:$IX$10144,AD$22,FALSE)))</f>
        <v>35.43</v>
      </c>
      <c r="AE31" s="22">
        <f>IF(OR($B31="",AE$22=""),"",IF(LEN(VLOOKUP($B31,Database!$B$1:$IX$10144,AE$22,FALSE))=0,"",VLOOKUP($B31,Database!$B$1:$IX$10144,AE$22,FALSE)))</f>
        <v>8.86</v>
      </c>
      <c r="AF31" s="22">
        <f>IF(OR($B31="",AF$22=""),"",IF(LEN(VLOOKUP($B31,Database!$B$1:$IX$10144,AF$22,FALSE))=0,"",VLOOKUP($B31,Database!$B$1:$IX$10144,AF$22,FALSE)))</f>
        <v>10</v>
      </c>
      <c r="AG31" s="22">
        <f>IF(OR($B31="",AG$22=""),"",IF(LEN(VLOOKUP($B31,Database!$B$1:$IX$10144,AG$22,FALSE))=0,"",VLOOKUP($B31,Database!$B$1:$IX$10144,AG$22,FALSE)))</f>
        <v>8</v>
      </c>
      <c r="AH31" s="22">
        <f>IF(OR($B31="",AH$22=""),"",IF(LEN(VLOOKUP($B31,Database!$B$1:$IX$10144,AH$22,FALSE))=0,"",VLOOKUP($B31,Database!$B$1:$IX$10144,AH$22,FALSE)))</f>
        <v>1.5</v>
      </c>
      <c r="AI31" s="22">
        <f>IF(OR($B31="",AI$22=""),"",IF(LEN(VLOOKUP($B31,Database!$B$1:$IX$10144,AI$22,FALSE))=0,"",VLOOKUP($B31,Database!$B$1:$IX$10144,AI$22,FALSE)))</f>
        <v>1.2</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21.45</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Xia J, Chen J, Zhou Y, Zhang J, Yang B, Xia L, Wang C.</v>
      </c>
      <c r="AR31" s="13"/>
      <c r="AX31" s="13"/>
      <c r="AY31" s="13"/>
      <c r="AZ31" s="13"/>
      <c r="BA31" s="13"/>
      <c r="BC31" s="23"/>
      <c r="BF31" s="136"/>
      <c r="BG31" s="136"/>
      <c r="BH31" s="136"/>
      <c r="BI31" s="136"/>
    </row>
    <row r="32" spans="1:65">
      <c r="B32" s="13">
        <v>15607296</v>
      </c>
      <c r="C32" s="1" t="str">
        <f>IF($B32="","",HYPERLINK(IF(LEN(VLOOKUP($B32,Database!$B$1:$IX$10144,2,FALSE))=0,"",VLOOKUP($B32,Database!$B$1:$IX$10144,2,FALSE))))</f>
        <v/>
      </c>
      <c r="D32" s="1" t="str">
        <f t="shared" si="0"/>
        <v>http://www.ncbi.nlm.nih.gov/pubmed/15607296</v>
      </c>
      <c r="E32" s="22" t="str">
        <f>IF($B32="","",IF(LEN(VLOOKUP($B32,Database!$B$1:$IX$10144,4,FALSE))=0,"",VLOOKUP($B32,Database!$B$1:$IX$10144,4,FALSE)))</f>
        <v>Rosso IM</v>
      </c>
      <c r="F32" s="22">
        <f>IF($B32="","",IF(LEN(VLOOKUP($B32,Database!$B$1:$IX$10144,5,FALSE))=0,"",VLOOKUP($B32,Database!$B$1:$IX$10144,5,FALSE)))</f>
        <v>2005</v>
      </c>
      <c r="G32" s="1" t="str">
        <f>IF($B32="","",HYPERLINK(IF(LEN(VLOOKUP($B32,Database!$B$1:$IX$10144,6,FALSE))=0,"",VLOOKUP($B32,Database!$B$1:$IX$10144,6,FALSE))))</f>
        <v>http://dx.doi.org/10.1016/j.biopsych.2004.10.027</v>
      </c>
      <c r="H32" s="22">
        <f>IF($B32="","",IF(LEN(VLOOKUP($B32,Database!$B$1:$IX$10144,7,FALSE))=0,"",VLOOKUP($B32,Database!$B$1:$IX$10144,7,FALSE)))</f>
        <v>20</v>
      </c>
      <c r="I32" s="22">
        <f>IF($B32="","",IF(LEN(VLOOKUP($B32,Database!$B$1:$IX$10144,8,FALSE))=0,"",VLOOKUP($B32,Database!$B$1:$IX$10144,8,FALSE)))</f>
        <v>24</v>
      </c>
      <c r="J32" t="s">
        <v>328</v>
      </c>
      <c r="L32">
        <v>2.2599999999999998</v>
      </c>
      <c r="M32">
        <v>0.35799999999999998</v>
      </c>
      <c r="N32">
        <v>2.52</v>
      </c>
      <c r="O32">
        <v>0.34300000000000003</v>
      </c>
      <c r="P32">
        <v>2.36</v>
      </c>
      <c r="Q32">
        <v>0.40200000000000002</v>
      </c>
      <c r="R32">
        <v>2.74</v>
      </c>
      <c r="S32">
        <v>0.39200000000000002</v>
      </c>
      <c r="T32">
        <v>4.62</v>
      </c>
      <c r="U32">
        <v>0.76</v>
      </c>
      <c r="V32">
        <v>5.26</v>
      </c>
      <c r="W32">
        <v>0.73499999999999999</v>
      </c>
      <c r="X32" s="151"/>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15.35</v>
      </c>
      <c r="AC32" s="22">
        <f>IF(OR($B32="",AC$22=""),"",IF(LEN(VLOOKUP($B32,Database!$B$1:$IX$10144,AC$22,FALSE))=0,"",VLOOKUP($B32,Database!$B$1:$IX$10144,AC$22,FALSE)))</f>
        <v>1.5209999999999999</v>
      </c>
      <c r="AD32" s="22">
        <f>IF(OR($B32="",AD$22=""),"",IF(LEN(VLOOKUP($B32,Database!$B$1:$IX$10144,AD$22,FALSE))=0,"",VLOOKUP($B32,Database!$B$1:$IX$10144,AD$22,FALSE)))</f>
        <v>14.08</v>
      </c>
      <c r="AE32" s="22">
        <f>IF(OR($B32="",AE$22=""),"",IF(LEN(VLOOKUP($B32,Database!$B$1:$IX$10144,AE$22,FALSE))=0,"",VLOOKUP($B32,Database!$B$1:$IX$10144,AE$22,FALSE)))</f>
        <v>1.5189999999999999</v>
      </c>
      <c r="AF32" s="22">
        <f>IF(OR($B32="",AF$22=""),"",IF(LEN(VLOOKUP($B32,Database!$B$1:$IX$10144,AF$22,FALSE))=0,"",VLOOKUP($B32,Database!$B$1:$IX$10144,AF$22,FALSE)))</f>
        <v>17</v>
      </c>
      <c r="AG32" s="22">
        <f>IF(OR($B32="",AG$22=""),"",IF(LEN(VLOOKUP($B32,Database!$B$1:$IX$10144,AG$22,FALSE))=0,"",VLOOKUP($B32,Database!$B$1:$IX$10144,AG$22,FALSE)))</f>
        <v>16</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12.8</v>
      </c>
      <c r="AL32" s="22">
        <f>IF(OR($B32="",AL$22=""),"",IF(LEN(VLOOKUP($B32,Database!$B$1:$IX$10144,AL$22,FALSE))=0,"",VLOOKUP($B32,Database!$B$1:$IX$10144,AL$22,FALSE)))</f>
        <v>16.55</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2" t="str">
        <f>IF(OR($B32="",AQ$22=""),"",IF(LEN(VLOOKUP($B32,Database!$B$1:$IX$10144,AQ$22,FALSE))=0,"",VLOOKUP($B32,Database!$B$1:$IX$10144,AQ$22,FALSE)))</f>
        <v>Rosso IM, Cintron CM, Steingard RJ, Renshaw PF, Young AD, Yurgelun-Todd DA.</v>
      </c>
      <c r="AR32" s="13"/>
      <c r="AX32" s="13"/>
      <c r="AY32" s="13"/>
      <c r="AZ32" s="13"/>
      <c r="BA32" s="13"/>
      <c r="BC32" s="23"/>
      <c r="BF32" s="136"/>
      <c r="BG32" s="136"/>
      <c r="BH32" s="136"/>
      <c r="BI32" s="136"/>
    </row>
    <row r="33" spans="1:61">
      <c r="B33">
        <v>16740316</v>
      </c>
      <c r="C33" s="1" t="str">
        <f>IF($B33="","",HYPERLINK(IF(LEN(VLOOKUP($B33,Database!$B$1:$IX$10144,2,FALSE))=0,"",VLOOKUP($B33,Database!$B$1:$IX$10144,2,FALSE))))</f>
        <v/>
      </c>
      <c r="D33" s="1" t="str">
        <f t="shared" si="0"/>
        <v>http://www.ncbi.nlm.nih.gov/pubmed/16740316</v>
      </c>
      <c r="E33" s="22" t="str">
        <f>IF($B33="","",IF(LEN(VLOOKUP($B33,Database!$B$1:$IX$10144,4,FALSE))=0,"",VLOOKUP($B33,Database!$B$1:$IX$10144,4,FALSE)))</f>
        <v>Weniger G</v>
      </c>
      <c r="F33" s="22">
        <f>IF($B33="","",IF(LEN(VLOOKUP($B33,Database!$B$1:$IX$10144,5,FALSE))=0,"",VLOOKUP($B33,Database!$B$1:$IX$10144,5,FALSE)))</f>
        <v>2006</v>
      </c>
      <c r="G33" s="1" t="str">
        <f>IF($B33="","",HYPERLINK(IF(LEN(VLOOKUP($B33,Database!$B$1:$IX$10144,6,FALSE))=0,"",VLOOKUP($B33,Database!$B$1:$IX$10144,6,FALSE))))</f>
        <v>http://dx.doi.org/10.1016/j.jad.2006.04.017</v>
      </c>
      <c r="H33" s="22">
        <f>IF($B33="","",IF(LEN(VLOOKUP($B33,Database!$B$1:$IX$10144,7,FALSE))=0,"",VLOOKUP($B33,Database!$B$1:$IX$10144,7,FALSE)))</f>
        <v>21</v>
      </c>
      <c r="I33" s="22">
        <f>IF($B33="","",IF(LEN(VLOOKUP($B33,Database!$B$1:$IX$10144,8,FALSE))=0,"",VLOOKUP($B33,Database!$B$1:$IX$10144,8,FALSE)))</f>
        <v>23</v>
      </c>
      <c r="J33" t="s">
        <v>1651</v>
      </c>
      <c r="L33">
        <v>1.3</v>
      </c>
      <c r="M33">
        <v>0.3</v>
      </c>
      <c r="N33">
        <v>1.1000000000000001</v>
      </c>
      <c r="O33">
        <v>0.2</v>
      </c>
      <c r="P33">
        <v>1.3</v>
      </c>
      <c r="Q33">
        <v>0.3</v>
      </c>
      <c r="R33">
        <v>1.2</v>
      </c>
      <c r="S33">
        <v>0.2</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34</v>
      </c>
      <c r="AC33" s="22">
        <f>IF(OR($B33="",AC$22=""),"",IF(LEN(VLOOKUP($B33,Database!$B$1:$IX$10144,AC$22,FALSE))=0,"",VLOOKUP($B33,Database!$B$1:$IX$10144,AC$22,FALSE)))</f>
        <v>9</v>
      </c>
      <c r="AD33" s="22">
        <f>IF(OR($B33="",AD$22=""),"",IF(LEN(VLOOKUP($B33,Database!$B$1:$IX$10144,AD$22,FALSE))=0,"",VLOOKUP($B33,Database!$B$1:$IX$10144,AD$22,FALSE)))</f>
        <v>32</v>
      </c>
      <c r="AE33" s="22">
        <f>IF(OR($B33="",AE$22=""),"",IF(LEN(VLOOKUP($B33,Database!$B$1:$IX$10144,AE$22,FALSE))=0,"",VLOOKUP($B33,Database!$B$1:$IX$10144,AE$22,FALSE)))</f>
        <v>7</v>
      </c>
      <c r="AF33" s="22">
        <f>IF(OR($B33="",AF$22=""),"",IF(LEN(VLOOKUP($B33,Database!$B$1:$IX$10144,AF$22,FALSE))=0,"",VLOOKUP($B33,Database!$B$1:$IX$10144,AF$22,FALSE)))</f>
        <v>21</v>
      </c>
      <c r="AG33" s="22">
        <f>IF(OR($B33="",AG$22=""),"",IF(LEN(VLOOKUP($B33,Database!$B$1:$IX$10144,AG$22,FALSE))=0,"",VLOOKUP($B33,Database!$B$1:$IX$10144,AG$22,FALSE)))</f>
        <v>23</v>
      </c>
      <c r="AH33" s="22">
        <f>IF(OR($B33="",AH$22=""),"",IF(LEN(VLOOKUP($B33,Database!$B$1:$IX$10144,AH$22,FALSE))=0,"",VLOOKUP($B33,Database!$B$1:$IX$10144,AH$22,FALSE)))</f>
        <v>1.5</v>
      </c>
      <c r="AI33" s="22">
        <f>IF(OR($B33="",AI$22=""),"",IF(LEN(VLOOKUP($B33,Database!$B$1:$IX$10144,AI$22,FALSE))=0,"",VLOOKUP($B33,Database!$B$1:$IX$10144,AI$22,FALSE)))</f>
        <v>1.3</v>
      </c>
      <c r="AJ33" s="22" t="str">
        <f>IF(OR($B33="",AJ$22=""),"",IF(LEN(VLOOKUP($B33,Database!$B$1:$IX$10144,AJ$22,FALSE))=0,"",VLOOKUP($B33,Database!$B$1:$IX$10144,AJ$22,FALSE)))</f>
        <v/>
      </c>
      <c r="AK33" s="22">
        <f>IF(OR($B33="",AK$22=""),"",IF(LEN(VLOOKUP($B33,Database!$B$1:$IX$10144,AK$22,FALSE))=0,"",VLOOKUP($B33,Database!$B$1:$IX$10144,AK$22,FALSE)))</f>
        <v>28</v>
      </c>
      <c r="AL33" s="22">
        <f>IF(OR($B33="",AL$22=""),"",IF(LEN(VLOOKUP($B33,Database!$B$1:$IX$10144,AL$22,FALSE))=0,"",VLOOKUP($B33,Database!$B$1:$IX$10144,AL$22,FALSE)))</f>
        <v>23</v>
      </c>
      <c r="AM33" s="22">
        <f>IF(OR($B33="",AM$22=""),"",IF(LEN(VLOOKUP($B33,Database!$B$1:$IX$10144,AM$22,FALSE))=0,"",VLOOKUP($B33,Database!$B$1:$IX$10144,AM$22,FALSE)))</f>
        <v>100</v>
      </c>
      <c r="AN33" s="22" t="str">
        <f>IF(OR($B33="",AN$22=""),"",IF(LEN(VLOOKUP($B33,Database!$B$1:$IX$10144,AN$22,FALSE))=0,"",VLOOKUP($B33,Database!$B$1:$IX$10144,AN$22,FALSE)))</f>
        <v>ns</v>
      </c>
      <c r="AO33" s="22" t="str">
        <f>IF(OR($B33="",AO$22=""),"",IF(LEN(VLOOKUP($B33,Database!$B$1:$IX$10144,AO$22,FALSE))=0,"",VLOOKUP($B33,Database!$B$1:$IX$10144,AO$22,FALSE)))</f>
        <v>ns</v>
      </c>
      <c r="AP33" s="22">
        <f>IF(OR($B33="",AP$22=""),"",IF(LEN(VLOOKUP($B33,Database!$B$1:$IX$10144,AP$22,FALSE))=0,"",VLOOKUP($B33,Database!$B$1:$IX$10144,AP$22,FALSE)))</f>
        <v>0</v>
      </c>
      <c r="AQ33" s="22" t="str">
        <f>IF(OR($B33="",AQ$22=""),"",IF(LEN(VLOOKUP($B33,Database!$B$1:$IX$10144,AQ$22,FALSE))=0,"",VLOOKUP($B33,Database!$B$1:$IX$10144,AQ$22,FALSE)))</f>
        <v>Weniger G, Lange C, Irle E.</v>
      </c>
      <c r="AR33" s="13"/>
      <c r="AX33" s="13"/>
      <c r="AY33" s="13"/>
      <c r="AZ33" s="13"/>
      <c r="BA33" s="13"/>
      <c r="BC33" s="23"/>
      <c r="BF33" s="136"/>
      <c r="BG33" s="136"/>
      <c r="BH33" s="136"/>
      <c r="BI33" s="136"/>
    </row>
    <row r="34" spans="1:61">
      <c r="B34">
        <v>16461856</v>
      </c>
      <c r="C34" s="1" t="str">
        <f>IF($B34="","",HYPERLINK(IF(LEN(VLOOKUP($B34,Database!$B$1:$IX$10144,2,FALSE))=0,"",VLOOKUP($B34,Database!$B$1:$IX$10144,2,FALSE))))</f>
        <v/>
      </c>
      <c r="D34" s="1" t="str">
        <f>IF($B34="","",HYPERLINK(CONCATENATE("http://www.ncbi.nlm.nih.gov/pubmed/",B34)))</f>
        <v>http://www.ncbi.nlm.nih.gov/pubmed/16461856</v>
      </c>
      <c r="E34" s="22" t="str">
        <f>IF($B34="","",IF(LEN(VLOOKUP($B34,Database!$B$1:$IX$10144,4,FALSE))=0,"",VLOOKUP($B34,Database!$B$1:$IX$10144,4,FALSE)))</f>
        <v>Velakoulis D</v>
      </c>
      <c r="F34" s="22">
        <f>IF($B34="","",IF(LEN(VLOOKUP($B34,Database!$B$1:$IX$10144,5,FALSE))=0,"",VLOOKUP($B34,Database!$B$1:$IX$10144,5,FALSE)))</f>
        <v>2006</v>
      </c>
      <c r="G34" s="1" t="str">
        <f>IF($B34="","",HYPERLINK(IF(LEN(VLOOKUP($B34,Database!$B$1:$IX$10144,6,FALSE))=0,"",VLOOKUP($B34,Database!$B$1:$IX$10144,6,FALSE))))</f>
        <v>http://archpsyc.ama-assn.org/cgi/content/full/63/2/139</v>
      </c>
      <c r="H34" s="22">
        <f>IF($B34="","",IF(LEN(VLOOKUP($B34,Database!$B$1:$IX$10144,7,FALSE))=0,"",VLOOKUP($B34,Database!$B$1:$IX$10144,7,FALSE)))</f>
        <v>12</v>
      </c>
      <c r="I34" s="22">
        <f>IF($B34="","",IF(LEN(VLOOKUP($B34,Database!$B$1:$IX$10144,8,FALSE))=0,"",VLOOKUP($B34,Database!$B$1:$IX$10144,8,FALSE)))</f>
        <v>87</v>
      </c>
      <c r="J34" t="s">
        <v>571</v>
      </c>
      <c r="L34">
        <v>1751</v>
      </c>
      <c r="M34">
        <v>396</v>
      </c>
      <c r="N34">
        <v>1500</v>
      </c>
      <c r="O34">
        <v>256</v>
      </c>
      <c r="P34">
        <v>1757</v>
      </c>
      <c r="Q34">
        <v>227</v>
      </c>
      <c r="R34">
        <v>1510</v>
      </c>
      <c r="S34">
        <v>230</v>
      </c>
      <c r="Y34" s="22" t="str">
        <f>IF(OR($B34="",Y$22=""),"",IF(LEN(VLOOKUP($B34,Database!$B$1:$IX$10144,Y$22,FALSE))=0,"",VLOOKUP($B34,Database!$B$1:$IX$10144,Y$22,FALSE)))</f>
        <v>DSM-III-R</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22.6</v>
      </c>
      <c r="AC34" s="22">
        <f>IF(OR($B34="",AC$22=""),"",IF(LEN(VLOOKUP($B34,Database!$B$1:$IX$10144,AC$22,FALSE))=0,"",VLOOKUP($B34,Database!$B$1:$IX$10144,AC$22,FALSE)))</f>
        <v>4.0999999999999996</v>
      </c>
      <c r="AD34" s="22">
        <f>IF(OR($B34="",AD$22=""),"",IF(LEN(VLOOKUP($B34,Database!$B$1:$IX$10144,AD$22,FALSE))=0,"",VLOOKUP($B34,Database!$B$1:$IX$10144,AD$22,FALSE)))</f>
        <v>26.9</v>
      </c>
      <c r="AE34" s="22">
        <f>IF(OR($B34="",AE$22=""),"",IF(LEN(VLOOKUP($B34,Database!$B$1:$IX$10144,AE$22,FALSE))=0,"",VLOOKUP($B34,Database!$B$1:$IX$10144,AE$22,FALSE)))</f>
        <v>10</v>
      </c>
      <c r="AF34" s="22">
        <f>IF(OR($B34="",AF$22=""),"",IF(LEN(VLOOKUP($B34,Database!$B$1:$IX$10144,AF$22,FALSE))=0,"",VLOOKUP($B34,Database!$B$1:$IX$10144,AF$22,FALSE)))</f>
        <v>5</v>
      </c>
      <c r="AG34" s="22">
        <f>IF(OR($B34="",AG$22=""),"",IF(LEN(VLOOKUP($B34,Database!$B$1:$IX$10144,AG$22,FALSE))=0,"",VLOOKUP($B34,Database!$B$1:$IX$10144,AG$22,FALSE)))</f>
        <v>32</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21.5</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Velakoulis D, Wood SJ, Wong MT, McGorry PD, Yung A, Phillips L, Smith D, Brewer W, Proffitt T, Desmond P, Pantelis C.</v>
      </c>
      <c r="AR34" s="13"/>
      <c r="AX34" s="13"/>
      <c r="AY34" s="13"/>
      <c r="AZ34" s="13"/>
      <c r="BA34" s="13"/>
      <c r="BC34" s="23"/>
      <c r="BF34" s="136"/>
      <c r="BG34" s="136"/>
      <c r="BH34" s="136"/>
      <c r="BI34" s="136"/>
    </row>
    <row r="35" spans="1:61">
      <c r="B35">
        <v>17949901</v>
      </c>
      <c r="C35" s="1" t="str">
        <f>IF($B35="","",HYPERLINK(IF(LEN(VLOOKUP($B35,Database!$B$1:$IX$10144,2,FALSE))=0,"",VLOOKUP($B35,Database!$B$1:$IX$10144,2,FALSE))))</f>
        <v/>
      </c>
      <c r="D35" s="1" t="str">
        <f t="shared" si="0"/>
        <v>http://www.ncbi.nlm.nih.gov/pubmed/17949901</v>
      </c>
      <c r="E35" s="22" t="str">
        <f>IF($B35="","",IF(LEN(VLOOKUP($B35,Database!$B$1:$IX$10144,4,FALSE))=0,"",VLOOKUP($B35,Database!$B$1:$IX$10144,4,FALSE)))</f>
        <v>Caetano SC</v>
      </c>
      <c r="F35" s="22">
        <f>IF($B35="","",IF(LEN(VLOOKUP($B35,Database!$B$1:$IX$10144,5,FALSE))=0,"",VLOOKUP($B35,Database!$B$1:$IX$10144,5,FALSE)))</f>
        <v>2007</v>
      </c>
      <c r="G35" s="1" t="str">
        <f>IF($B35="","",HYPERLINK(IF(LEN(VLOOKUP($B35,Database!$B$1:$IX$10144,6,FALSE))=0,"",VLOOKUP($B35,Database!$B$1:$IX$10144,6,FALSE))))</f>
        <v>http://dx.doi.org/10.1016/j.neulet.2007.06.014</v>
      </c>
      <c r="H35" s="22">
        <f>IF($B35="","",IF(LEN(VLOOKUP($B35,Database!$B$1:$IX$10144,7,FALSE))=0,"",VLOOKUP($B35,Database!$B$1:$IX$10144,7,FALSE)))</f>
        <v>19</v>
      </c>
      <c r="I35" s="22">
        <f>IF($B35="","",IF(LEN(VLOOKUP($B35,Database!$B$1:$IX$10144,8,FALSE))=0,"",VLOOKUP($B35,Database!$B$1:$IX$10144,8,FALSE)))</f>
        <v>24</v>
      </c>
      <c r="J35" t="s">
        <v>1653</v>
      </c>
      <c r="L35">
        <v>1.46</v>
      </c>
      <c r="M35">
        <v>0.22</v>
      </c>
      <c r="N35">
        <v>1.5</v>
      </c>
      <c r="O35">
        <v>0.25</v>
      </c>
      <c r="P35">
        <v>1.56</v>
      </c>
      <c r="Q35">
        <v>0.23</v>
      </c>
      <c r="R35">
        <v>1.66</v>
      </c>
      <c r="S35">
        <v>0.28000000000000003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13</v>
      </c>
      <c r="AC35" s="22">
        <f>IF(OR($B35="",AC$22=""),"",IF(LEN(VLOOKUP($B35,Database!$B$1:$IX$10144,AC$22,FALSE))=0,"",VLOOKUP($B35,Database!$B$1:$IX$10144,AC$22,FALSE)))</f>
        <v>2.4</v>
      </c>
      <c r="AD35" s="22">
        <f>IF(OR($B35="",AD$22=""),"",IF(LEN(VLOOKUP($B35,Database!$B$1:$IX$10144,AD$22,FALSE))=0,"",VLOOKUP($B35,Database!$B$1:$IX$10144,AD$22,FALSE)))</f>
        <v>13.9</v>
      </c>
      <c r="AE35" s="22">
        <f>IF(OR($B35="",AE$22=""),"",IF(LEN(VLOOKUP($B35,Database!$B$1:$IX$10144,AE$22,FALSE))=0,"",VLOOKUP($B35,Database!$B$1:$IX$10144,AE$22,FALSE)))</f>
        <v>2.9</v>
      </c>
      <c r="AF35" s="22">
        <f>IF(OR($B35="",AF$22=""),"",IF(LEN(VLOOKUP($B35,Database!$B$1:$IX$10144,AF$22,FALSE))=0,"",VLOOKUP($B35,Database!$B$1:$IX$10144,AF$22,FALSE)))</f>
        <v>6</v>
      </c>
      <c r="AG35" s="22">
        <f>IF(OR($B35="",AG$22=""),"",IF(LEN(VLOOKUP($B35,Database!$B$1:$IX$10144,AG$22,FALSE))=0,"",VLOOKUP($B35,Database!$B$1:$IX$10144,AG$22,FALSE)))</f>
        <v>11</v>
      </c>
      <c r="AH35" s="22">
        <f>IF(OR($B35="",AH$22=""),"",IF(LEN(VLOOKUP($B35,Database!$B$1:$IX$10144,AH$22,FALSE))=0,"",VLOOKUP($B35,Database!$B$1:$IX$10144,AH$22,FALSE)))</f>
        <v>1.5</v>
      </c>
      <c r="AI35" s="22">
        <f>IF(OR($B35="",AI$22=""),"",IF(LEN(VLOOKUP($B35,Database!$B$1:$IX$10144,AI$22,FALSE))=0,"",VLOOKUP($B35,Database!$B$1:$IX$10144,AI$22,FALSE)))</f>
        <v>1</v>
      </c>
      <c r="AJ35" s="22" t="str">
        <f>IF(OR($B35="",AJ$22=""),"",IF(LEN(VLOOKUP($B35,Database!$B$1:$IX$10144,AJ$22,FALSE))=0,"",VLOOKUP($B35,Database!$B$1:$IX$10144,AJ$22,FALSE)))</f>
        <v/>
      </c>
      <c r="AK35" s="22">
        <f>IF(OR($B35="",AK$22=""),"",IF(LEN(VLOOKUP($B35,Database!$B$1:$IX$10144,AK$22,FALSE))=0,"",VLOOKUP($B35,Database!$B$1:$IX$10144,AK$22,FALSE)))</f>
        <v>10.3</v>
      </c>
      <c r="AL35" s="22" t="str">
        <f>IF(OR($B35="",AL$22=""),"",IF(LEN(VLOOKUP($B35,Database!$B$1:$IX$10144,AL$22,FALSE))=0,"",VLOOKUP($B35,Database!$B$1:$IX$10144,AL$22,FALSE)))</f>
        <v>ns</v>
      </c>
      <c r="AM35" s="22">
        <f>IF(OR($B35="",AM$22=""),"",IF(LEN(VLOOKUP($B35,Database!$B$1:$IX$10144,AM$22,FALSE))=0,"",VLOOKUP($B35,Database!$B$1:$IX$10144,AM$22,FALSE)))</f>
        <v>47.368421052631575</v>
      </c>
      <c r="AN35" s="22" t="str">
        <f>IF(OR($B35="",AN$22=""),"",IF(LEN(VLOOKUP($B35,Database!$B$1:$IX$10144,AN$22,FALSE))=0,"",VLOOKUP($B35,Database!$B$1:$IX$10144,AN$22,FALSE)))</f>
        <v>ns</v>
      </c>
      <c r="AO35" s="22" t="str">
        <f>IF(OR($B35="",AO$22=""),"",IF(LEN(VLOOKUP($B35,Database!$B$1:$IX$10144,AO$22,FALSE))=0,"",VLOOKUP($B35,Database!$B$1:$IX$10144,AO$22,FALSE)))</f>
        <v>ns</v>
      </c>
      <c r="AP35" s="22">
        <f>IF(OR($B35="",AP$22=""),"",IF(LEN(VLOOKUP($B35,Database!$B$1:$IX$10144,AP$22,FALSE))=0,"",VLOOKUP($B35,Database!$B$1:$IX$10144,AP$22,FALSE)))</f>
        <v>52.631578947368418</v>
      </c>
      <c r="AQ35" s="22" t="str">
        <f>IF(OR($B35="",AQ$22=""),"",IF(LEN(VLOOKUP($B35,Database!$B$1:$IX$10144,AQ$22,FALSE))=0,"",VLOOKUP($B35,Database!$B$1:$IX$10144,AQ$22,FALSE)))</f>
        <v>Caetano SC, Fonseca M, Hatch JP, Olvera RL, Nicoletti M, Hunter K, Lafer B, Pliszka SR, Soares JC.</v>
      </c>
      <c r="AR35" s="13"/>
      <c r="AX35" s="13"/>
      <c r="AY35" s="13"/>
      <c r="AZ35" s="13"/>
      <c r="BA35" s="13"/>
      <c r="BC35" s="23"/>
      <c r="BF35" s="136"/>
      <c r="BG35" s="136"/>
      <c r="BH35" s="136"/>
      <c r="BI35" s="136"/>
    </row>
    <row r="36" spans="1:61">
      <c r="B36">
        <v>17511971</v>
      </c>
      <c r="C36" s="1" t="str">
        <f>IF($B36="","",HYPERLINK(IF(LEN(VLOOKUP($B36,Database!$B$1:$IX$10144,2,FALSE))=0,"",VLOOKUP($B36,Database!$B$1:$IX$10144,2,FALSE))))</f>
        <v/>
      </c>
      <c r="D36" s="1" t="str">
        <f t="shared" si="0"/>
        <v>http://www.ncbi.nlm.nih.gov/pubmed/17511971</v>
      </c>
      <c r="E36" s="22" t="str">
        <f>IF($B36="","",IF(LEN(VLOOKUP($B36,Database!$B$1:$IX$10144,4,FALSE))=0,"",VLOOKUP($B36,Database!$B$1:$IX$10144,4,FALSE)))</f>
        <v>Munn MA</v>
      </c>
      <c r="F36" s="22">
        <f>IF($B36="","",IF(LEN(VLOOKUP($B36,Database!$B$1:$IX$10144,5,FALSE))=0,"",VLOOKUP($B36,Database!$B$1:$IX$10144,5,FALSE)))</f>
        <v>2007</v>
      </c>
      <c r="G36" s="1" t="str">
        <f>IF($B36="","",HYPERLINK(IF(LEN(VLOOKUP($B36,Database!$B$1:$IX$10144,6,FALSE))=0,"",VLOOKUP($B36,Database!$B$1:$IX$10144,6,FALSE))))</f>
        <v>http://dx.doi.org/10.1016/j.biopsych.2006.11.031</v>
      </c>
      <c r="H36" s="22">
        <f>IF($B36="","",IF(LEN(VLOOKUP($B36,Database!$B$1:$IX$10144,7,FALSE))=0,"",VLOOKUP($B36,Database!$B$1:$IX$10144,7,FALSE)))</f>
        <v>26</v>
      </c>
      <c r="I36" s="22">
        <f>IF($B36="","",IF(LEN(VLOOKUP($B36,Database!$B$1:$IX$10144,8,FALSE))=0,"",VLOOKUP($B36,Database!$B$1:$IX$10144,8,FALSE)))</f>
        <v>18</v>
      </c>
      <c r="J36" t="s">
        <v>1655</v>
      </c>
      <c r="L36">
        <v>14516.72</v>
      </c>
      <c r="M36">
        <v>1653.22</v>
      </c>
      <c r="N36">
        <v>14314.91</v>
      </c>
      <c r="O36">
        <v>1807.46</v>
      </c>
      <c r="P36">
        <v>14426.88</v>
      </c>
      <c r="Q36">
        <v>1956.37</v>
      </c>
      <c r="R36">
        <v>14262.96</v>
      </c>
      <c r="S36">
        <v>1747.51</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20.54</v>
      </c>
      <c r="AC36" s="22">
        <f>IF(OR($B36="",AC$22=""),"",IF(LEN(VLOOKUP($B36,Database!$B$1:$IX$10144,AC$22,FALSE))=0,"",VLOOKUP($B36,Database!$B$1:$IX$10144,AC$22,FALSE)))</f>
        <v>1.75</v>
      </c>
      <c r="AD36" s="22">
        <f>IF(OR($B36="",AD$22=""),"",IF(LEN(VLOOKUP($B36,Database!$B$1:$IX$10144,AD$22,FALSE))=0,"",VLOOKUP($B36,Database!$B$1:$IX$10144,AD$22,FALSE)))</f>
        <v>20.73</v>
      </c>
      <c r="AE36" s="22">
        <f>IF(OR($B36="",AE$22=""),"",IF(LEN(VLOOKUP($B36,Database!$B$1:$IX$10144,AE$22,FALSE))=0,"",VLOOKUP($B36,Database!$B$1:$IX$10144,AE$22,FALSE)))</f>
        <v>2.0699999999999998</v>
      </c>
      <c r="AF36" s="22">
        <f>IF(OR($B36="",AF$22=""),"",IF(LEN(VLOOKUP($B36,Database!$B$1:$IX$10144,AF$22,FALSE))=0,"",VLOOKUP($B36,Database!$B$1:$IX$10144,AF$22,FALSE)))</f>
        <v>26</v>
      </c>
      <c r="AG36" s="22">
        <f>IF(OR($B36="",AG$22=""),"",IF(LEN(VLOOKUP($B36,Database!$B$1:$IX$10144,AG$22,FALSE))=0,"",VLOOKUP($B36,Database!$B$1:$IX$10144,AG$22,FALSE)))</f>
        <v>18</v>
      </c>
      <c r="AH36" s="22">
        <f>IF(OR($B36="",AH$22=""),"",IF(LEN(VLOOKUP($B36,Database!$B$1:$IX$10144,AH$22,FALSE))=0,"",VLOOKUP($B36,Database!$B$1:$IX$10144,AH$22,FALSE)))</f>
        <v>1.5</v>
      </c>
      <c r="AI36" s="22">
        <f>IF(OR($B36="",AI$22=""),"",IF(LEN(VLOOKUP($B36,Database!$B$1:$IX$10144,AI$22,FALSE))=0,"",VLOOKUP($B36,Database!$B$1:$IX$10144,AI$22,FALSE)))</f>
        <v>1</v>
      </c>
      <c r="AJ36" s="22" t="str">
        <f>IF(OR($B36="",AJ$22=""),"",IF(LEN(VLOOKUP($B36,Database!$B$1:$IX$10144,AJ$22,FALSE))=0,"",VLOOKUP($B36,Database!$B$1:$IX$10144,AJ$22,FALSE)))</f>
        <v/>
      </c>
      <c r="AK36" s="22">
        <f>IF(OR($B36="",AK$22=""),"",IF(LEN(VLOOKUP($B36,Database!$B$1:$IX$10144,AK$22,FALSE))=0,"",VLOOKUP($B36,Database!$B$1:$IX$10144,AK$22,FALSE)))</f>
        <v>15.58</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Munn MA, Alexopoulos J, Nishino T, Babb CM, Flake LA, Singer T, Ratnanather JT, Huang H, Todd RD, Miller MI, Botteron KN.</v>
      </c>
      <c r="AR36" s="13"/>
      <c r="AX36" s="13"/>
      <c r="AY36" s="13"/>
      <c r="AZ36" s="13"/>
      <c r="BA36" s="13"/>
      <c r="BC36" s="23"/>
      <c r="BF36" s="136"/>
      <c r="BG36" s="136"/>
      <c r="BH36" s="136"/>
      <c r="BI36" s="136"/>
    </row>
    <row r="37" spans="1:61">
      <c r="B37">
        <v>18450931</v>
      </c>
      <c r="C37" s="1" t="str">
        <f>IF($B37="","",HYPERLINK(IF(LEN(VLOOKUP($B37,Database!$B$1:$IX$10144,2,FALSE))=0,"",VLOOKUP($B37,Database!$B$1:$IX$10144,2,FALSE))))</f>
        <v/>
      </c>
      <c r="D37" s="1" t="str">
        <f t="shared" si="0"/>
        <v>http://www.ncbi.nlm.nih.gov/pubmed/18450931</v>
      </c>
      <c r="E37" s="22" t="str">
        <f>IF($B37="","",IF(LEN(VLOOKUP($B37,Database!$B$1:$IX$10144,4,FALSE))=0,"",VLOOKUP($B37,Database!$B$1:$IX$10144,4,FALSE)))</f>
        <v>Keller J</v>
      </c>
      <c r="F37" s="22">
        <f>IF($B37="","",IF(LEN(VLOOKUP($B37,Database!$B$1:$IX$10144,5,FALSE))=0,"",VLOOKUP($B37,Database!$B$1:$IX$10144,5,FALSE)))</f>
        <v>2008</v>
      </c>
      <c r="G37" s="1" t="str">
        <f>IF($B37="","",HYPERLINK(IF(LEN(VLOOKUP($B37,Database!$B$1:$IX$10144,6,FALSE))=0,"",VLOOKUP($B37,Database!$B$1:$IX$10144,6,FALSE))))</f>
        <v>http://ajp.psychiatryonline.org/cgi/content/full/165/7/872</v>
      </c>
      <c r="H37" s="83">
        <v>23</v>
      </c>
      <c r="I37" s="83">
        <v>11</v>
      </c>
      <c r="K37" t="s">
        <v>1155</v>
      </c>
      <c r="L37">
        <v>2.56</v>
      </c>
      <c r="M37">
        <v>0.54</v>
      </c>
      <c r="N37">
        <v>2.65</v>
      </c>
      <c r="O37">
        <v>0.48</v>
      </c>
      <c r="P37">
        <v>2.29</v>
      </c>
      <c r="Q37">
        <v>0.45</v>
      </c>
      <c r="R37">
        <v>2.5499999999999998</v>
      </c>
      <c r="S37">
        <v>0.42</v>
      </c>
      <c r="Y37" s="22" t="str">
        <f>IF(OR($B37="",Y$22=""),"",IF(LEN(VLOOKUP($B37,Database!$B$1:$IX$10144,Y$22,FALSE))=0,"",VLOOKUP($B37,Database!$B$1:$IX$10144,Y$22,FALSE)))</f>
        <v>DSM-IV</v>
      </c>
      <c r="Z37" s="22" t="str">
        <f>IF(OR($B37="",Z$22=""),"",IF(LEN(VLOOKUP($B37,Database!$B$1:$IX$10144,Z$22,FALSE))=0,"",VLOOKUP($B37,Database!$B$1:$IX$10144,Z$22,FALSE)))</f>
        <v>MRI</v>
      </c>
      <c r="AA37" s="83" t="s">
        <v>754</v>
      </c>
      <c r="AB37" s="83">
        <v>36.5</v>
      </c>
      <c r="AC37" s="83">
        <v>13.2</v>
      </c>
      <c r="AD37" s="22">
        <f>IF(OR($B37="",AD$22=""),"",IF(LEN(VLOOKUP($B37,Database!$B$1:$IX$10144,AD$22,FALSE))=0,"",VLOOKUP($B37,Database!$B$1:$IX$10144,AD$22,FALSE)))</f>
        <v>32.200000000000003</v>
      </c>
      <c r="AE37" s="22">
        <f>IF(OR($B37="",AE$22=""),"",IF(LEN(VLOOKUP($B37,Database!$B$1:$IX$10144,AE$22,FALSE))=0,"",VLOOKUP($B37,Database!$B$1:$IX$10144,AE$22,FALSE)))</f>
        <v>11.5</v>
      </c>
      <c r="AF37" s="83">
        <v>11</v>
      </c>
      <c r="AG37" s="22">
        <f>IF(OR($B37="",AG$22=""),"",IF(LEN(VLOOKUP($B37,Database!$B$1:$IX$10144,AG$22,FALSE))=0,"",VLOOKUP($B37,Database!$B$1:$IX$10144,AG$22,FALSE)))</f>
        <v>11</v>
      </c>
      <c r="AH37" s="22">
        <f>IF(OR($B37="",AH$22=""),"",IF(LEN(VLOOKUP($B37,Database!$B$1:$IX$10144,AH$22,FALSE))=0,"",VLOOKUP($B37,Database!$B$1:$IX$10144,AH$22,FALSE)))</f>
        <v>3</v>
      </c>
      <c r="AI37" s="22">
        <f>IF(OR($B37="",AI$22=""),"",IF(LEN(VLOOKUP($B37,Database!$B$1:$IX$10144,AI$22,FALSE))=0,"",VLOOKUP($B37,Database!$B$1:$IX$10144,AI$22,FALSE)))</f>
        <v>1.5</v>
      </c>
      <c r="AJ37" s="83"/>
      <c r="AK37" s="83">
        <v>27.6</v>
      </c>
      <c r="AL37" s="83">
        <v>30.5</v>
      </c>
      <c r="AM37" s="83">
        <v>65.2</v>
      </c>
      <c r="AN37" s="83">
        <v>17.39</v>
      </c>
      <c r="AO37" s="83">
        <v>70</v>
      </c>
      <c r="AP37" s="83">
        <v>17.399999999999999</v>
      </c>
      <c r="AQ37" s="22" t="str">
        <f>IF(OR($B37="",AQ$22=""),"",IF(LEN(VLOOKUP($B37,Database!$B$1:$IX$10144,AQ$22,FALSE))=0,"",VLOOKUP($B37,Database!$B$1:$IX$10144,AQ$22,FALSE)))</f>
        <v>Keller J, Shen L, Gomez RG, Garrett A, Solvason HB, Reiss A, Schatzberg AF.</v>
      </c>
      <c r="AR37" s="13"/>
      <c r="AU37" s="13"/>
      <c r="AX37" s="13"/>
      <c r="AY37" s="13"/>
      <c r="AZ37" s="13"/>
      <c r="BA37" s="13"/>
      <c r="BC37" s="23"/>
      <c r="BF37" s="136"/>
      <c r="BG37" s="136"/>
      <c r="BH37" s="136"/>
      <c r="BI37" s="136"/>
    </row>
    <row r="38" spans="1:61">
      <c r="B38">
        <v>18450931</v>
      </c>
      <c r="C38" s="1" t="str">
        <f>IF($B38="","",HYPERLINK(IF(LEN(VLOOKUP($B38,Database!$B$1:$IX$10144,2,FALSE))=0,"",VLOOKUP($B38,Database!$B$1:$IX$10144,2,FALSE))))</f>
        <v/>
      </c>
      <c r="D38" s="1" t="str">
        <f t="shared" si="0"/>
        <v>http://www.ncbi.nlm.nih.gov/pubmed/18450931</v>
      </c>
      <c r="E38" s="22" t="str">
        <f>IF($B38="","",IF(LEN(VLOOKUP($B38,Database!$B$1:$IX$10144,4,FALSE))=0,"",VLOOKUP($B38,Database!$B$1:$IX$10144,4,FALSE)))</f>
        <v>Keller J</v>
      </c>
      <c r="F38" s="22">
        <f>IF($B38="","",IF(LEN(VLOOKUP($B38,Database!$B$1:$IX$10144,5,FALSE))=0,"",VLOOKUP($B38,Database!$B$1:$IX$10144,5,FALSE)))</f>
        <v>2008</v>
      </c>
      <c r="G38" s="1" t="str">
        <f>IF($B38="","",HYPERLINK(IF(LEN(VLOOKUP($B38,Database!$B$1:$IX$10144,6,FALSE))=0,"",VLOOKUP($B38,Database!$B$1:$IX$10144,6,FALSE))))</f>
        <v>http://ajp.psychiatryonline.org/cgi/content/full/165/7/872</v>
      </c>
      <c r="H38" s="83">
        <v>19</v>
      </c>
      <c r="I38" s="83">
        <v>11</v>
      </c>
      <c r="K38" t="s">
        <v>1156</v>
      </c>
      <c r="L38">
        <v>2.76</v>
      </c>
      <c r="M38">
        <v>0.5</v>
      </c>
      <c r="N38">
        <v>2.65</v>
      </c>
      <c r="O38">
        <v>0.48</v>
      </c>
      <c r="P38">
        <v>2.62</v>
      </c>
      <c r="Q38">
        <v>0.53</v>
      </c>
      <c r="R38">
        <v>2.5499999999999998</v>
      </c>
      <c r="S38">
        <v>0.42</v>
      </c>
      <c r="Y38" s="22" t="str">
        <f>IF(OR($B38="",Y$22=""),"",IF(LEN(VLOOKUP($B38,Database!$B$1:$IX$10144,Y$22,FALSE))=0,"",VLOOKUP($B38,Database!$B$1:$IX$10144,Y$22,FALSE)))</f>
        <v>DSM-IV</v>
      </c>
      <c r="Z38" s="22" t="str">
        <f>IF(OR($B38="",Z$22=""),"",IF(LEN(VLOOKUP($B38,Database!$B$1:$IX$10144,Z$22,FALSE))=0,"",VLOOKUP($B38,Database!$B$1:$IX$10144,Z$22,FALSE)))</f>
        <v>MRI</v>
      </c>
      <c r="AA38" s="83" t="s">
        <v>755</v>
      </c>
      <c r="AB38" s="83">
        <v>36.6</v>
      </c>
      <c r="AC38" s="83">
        <v>11.9</v>
      </c>
      <c r="AD38" s="22">
        <f>IF(OR($B38="",AD$22=""),"",IF(LEN(VLOOKUP($B38,Database!$B$1:$IX$10144,AD$22,FALSE))=0,"",VLOOKUP($B38,Database!$B$1:$IX$10144,AD$22,FALSE)))</f>
        <v>32.200000000000003</v>
      </c>
      <c r="AE38" s="22">
        <f>IF(OR($B38="",AE$22=""),"",IF(LEN(VLOOKUP($B38,Database!$B$1:$IX$10144,AE$22,FALSE))=0,"",VLOOKUP($B38,Database!$B$1:$IX$10144,AE$22,FALSE)))</f>
        <v>11.5</v>
      </c>
      <c r="AF38" s="83">
        <v>12</v>
      </c>
      <c r="AG38" s="22">
        <f>IF(OR($B38="",AG$22=""),"",IF(LEN(VLOOKUP($B38,Database!$B$1:$IX$10144,AG$22,FALSE))=0,"",VLOOKUP($B38,Database!$B$1:$IX$10144,AG$22,FALSE)))</f>
        <v>11</v>
      </c>
      <c r="AH38" s="22">
        <f>IF(OR($B38="",AH$22=""),"",IF(LEN(VLOOKUP($B38,Database!$B$1:$IX$10144,AH$22,FALSE))=0,"",VLOOKUP($B38,Database!$B$1:$IX$10144,AH$22,FALSE)))</f>
        <v>3</v>
      </c>
      <c r="AI38" s="22">
        <f>IF(OR($B38="",AI$22=""),"",IF(LEN(VLOOKUP($B38,Database!$B$1:$IX$10144,AI$22,FALSE))=0,"",VLOOKUP($B38,Database!$B$1:$IX$10144,AI$22,FALSE)))</f>
        <v>1.5</v>
      </c>
      <c r="AJ38" s="83"/>
      <c r="AK38" s="83">
        <v>27</v>
      </c>
      <c r="AL38" s="83">
        <v>23.7</v>
      </c>
      <c r="AM38" s="83">
        <v>57.9</v>
      </c>
      <c r="AN38" s="83">
        <v>10.5</v>
      </c>
      <c r="AO38" s="83">
        <v>0</v>
      </c>
      <c r="AP38" s="83">
        <v>42.1</v>
      </c>
      <c r="AQ38" s="22" t="str">
        <f>IF(OR($B38="",AQ$22=""),"",IF(LEN(VLOOKUP($B38,Database!$B$1:$IX$10144,AQ$22,FALSE))=0,"",VLOOKUP($B38,Database!$B$1:$IX$10144,AQ$22,FALSE)))</f>
        <v>Keller J, Shen L, Gomez RG, Garrett A, Solvason HB, Reiss A, Schatzberg AF.</v>
      </c>
      <c r="AR38" s="13"/>
      <c r="AU38" s="13"/>
      <c r="AX38" s="13"/>
      <c r="AY38" s="13"/>
      <c r="AZ38" s="13"/>
      <c r="BA38" s="13"/>
      <c r="BC38" s="23"/>
      <c r="BF38" s="136"/>
      <c r="BG38" s="136"/>
      <c r="BH38" s="136"/>
      <c r="BI38" s="136"/>
    </row>
    <row r="39" spans="1:61">
      <c r="B39">
        <v>17640621</v>
      </c>
      <c r="C39" s="1" t="str">
        <f>IF($B39="","",HYPERLINK(IF(LEN(VLOOKUP($B39,Database!$B$1:$IX$10144,2,FALSE))=0,"",VLOOKUP($B39,Database!$B$1:$IX$10144,2,FALSE))))</f>
        <v/>
      </c>
      <c r="D39" s="1" t="str">
        <f t="shared" si="0"/>
        <v>http://www.ncbi.nlm.nih.gov/pubmed/17640621</v>
      </c>
      <c r="E39" s="22" t="str">
        <f>IF($B39="","",IF(LEN(VLOOKUP($B39,Database!$B$1:$IX$10144,4,FALSE))=0,"",VLOOKUP($B39,Database!$B$1:$IX$10144,4,FALSE)))</f>
        <v>MacMaster FP (B)</v>
      </c>
      <c r="F39" s="22">
        <f>IF($B39="","",IF(LEN(VLOOKUP($B39,Database!$B$1:$IX$10144,5,FALSE))=0,"",VLOOKUP($B39,Database!$B$1:$IX$10144,5,FALSE)))</f>
        <v>2008</v>
      </c>
      <c r="G39" s="1" t="str">
        <f>IF($B39="","",HYPERLINK(IF(LEN(VLOOKUP($B39,Database!$B$1:$IX$10144,6,FALSE))=0,"",VLOOKUP($B39,Database!$B$1:$IX$10144,6,FALSE))))</f>
        <v>http://dx.doi.org/10.1016/j.biopsych.2007.05.005</v>
      </c>
      <c r="H39" s="22">
        <f>IF($B39="","",IF(LEN(VLOOKUP($B39,Database!$B$1:$IX$10144,7,FALSE))=0,"",VLOOKUP($B39,Database!$B$1:$IX$10144,7,FALSE)))</f>
        <v>32</v>
      </c>
      <c r="I39" s="22">
        <f>IF($B39="","",IF(LEN(VLOOKUP($B39,Database!$B$1:$IX$10144,8,FALSE))=0,"",VLOOKUP($B39,Database!$B$1:$IX$10144,8,FALSE)))</f>
        <v>35</v>
      </c>
      <c r="J39" t="s">
        <v>1651</v>
      </c>
      <c r="L39">
        <v>1.49</v>
      </c>
      <c r="M39">
        <v>0.36</v>
      </c>
      <c r="N39">
        <v>1.36</v>
      </c>
      <c r="O39">
        <v>0.28999999999999998</v>
      </c>
      <c r="P39">
        <v>1.52</v>
      </c>
      <c r="Q39">
        <v>0.27</v>
      </c>
      <c r="R39">
        <v>1.36</v>
      </c>
      <c r="S39">
        <v>0.28999999999999998</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14.08</v>
      </c>
      <c r="AC39" s="22">
        <f>IF(OR($B39="",AC$22=""),"",IF(LEN(VLOOKUP($B39,Database!$B$1:$IX$10144,AC$22,FALSE))=0,"",VLOOKUP($B39,Database!$B$1:$IX$10144,AC$22,FALSE)))</f>
        <v>2.88</v>
      </c>
      <c r="AD39" s="22">
        <f>IF(OR($B39="",AD$22=""),"",IF(LEN(VLOOKUP($B39,Database!$B$1:$IX$10144,AD$22,FALSE))=0,"",VLOOKUP($B39,Database!$B$1:$IX$10144,AD$22,FALSE)))</f>
        <v>14.51</v>
      </c>
      <c r="AE39" s="22">
        <f>IF(OR($B39="",AE$22=""),"",IF(LEN(VLOOKUP($B39,Database!$B$1:$IX$10144,AE$22,FALSE))=0,"",VLOOKUP($B39,Database!$B$1:$IX$10144,AE$22,FALSE)))</f>
        <v>2.72</v>
      </c>
      <c r="AF39" s="22">
        <f>IF(OR($B39="",AF$22=""),"",IF(LEN(VLOOKUP($B39,Database!$B$1:$IX$10144,AF$22,FALSE))=0,"",VLOOKUP($B39,Database!$B$1:$IX$10144,AF$22,FALSE)))</f>
        <v>20</v>
      </c>
      <c r="AG39" s="22">
        <f>IF(OR($B39="",AG$22=""),"",IF(LEN(VLOOKUP($B39,Database!$B$1:$IX$10144,AG$22,FALSE))=0,"",VLOOKUP($B39,Database!$B$1:$IX$10144,AG$22,FALSE)))</f>
        <v>22</v>
      </c>
      <c r="AH39" s="22">
        <f>IF(OR($B39="",AH$22=""),"",IF(LEN(VLOOKUP($B39,Database!$B$1:$IX$10144,AH$22,FALSE))=0,"",VLOOKUP($B39,Database!$B$1:$IX$10144,AH$22,FALSE)))</f>
        <v>1.5</v>
      </c>
      <c r="AI39" s="22">
        <f>IF(OR($B39="",AI$22=""),"",IF(LEN(VLOOKUP($B39,Database!$B$1:$IX$10144,AI$22,FALSE))=0,"",VLOOKUP($B39,Database!$B$1:$IX$10144,AI$22,FALSE)))</f>
        <v>1.5</v>
      </c>
      <c r="AJ39" s="22" t="str">
        <f>IF(OR($B39="",AJ$22=""),"",IF(LEN(VLOOKUP($B39,Database!$B$1:$IX$10144,AJ$22,FALSE))=0,"",VLOOKUP($B39,Database!$B$1:$IX$10144,AJ$22,FALSE)))</f>
        <v/>
      </c>
      <c r="AK39" s="22">
        <f>IF(OR($B39="",AK$22=""),"",IF(LEN(VLOOKUP($B39,Database!$B$1:$IX$10144,AK$22,FALSE))=0,"",VLOOKUP($B39,Database!$B$1:$IX$10144,AK$22,FALSE)))</f>
        <v>11.77</v>
      </c>
      <c r="AL39" s="22" t="str">
        <f>IF(OR($B39="",AL$22=""),"",IF(LEN(VLOOKUP($B39,Database!$B$1:$IX$10144,AL$22,FALSE))=0,"",VLOOKUP($B39,Database!$B$1:$IX$10144,AL$22,FALSE)))</f>
        <v>ns</v>
      </c>
      <c r="AM39" s="22">
        <f>IF(OR($B39="",AM$22=""),"",IF(LEN(VLOOKUP($B39,Database!$B$1:$IX$10144,AM$22,FALSE))=0,"",VLOOKUP($B39,Database!$B$1:$IX$10144,AM$22,FALSE)))</f>
        <v>0</v>
      </c>
      <c r="AN39" s="22">
        <f>IF(OR($B39="",AN$22=""),"",IF(LEN(VLOOKUP($B39,Database!$B$1:$IX$10144,AN$22,FALSE))=0,"",VLOOKUP($B39,Database!$B$1:$IX$10144,AN$22,FALSE)))</f>
        <v>0</v>
      </c>
      <c r="AO39" s="22">
        <f>IF(OR($B39="",AO$22=""),"",IF(LEN(VLOOKUP($B39,Database!$B$1:$IX$10144,AO$22,FALSE))=0,"",VLOOKUP($B39,Database!$B$1:$IX$10144,AO$22,FALSE)))</f>
        <v>0</v>
      </c>
      <c r="AP39" s="22">
        <f>IF(OR($B39="",AP$22=""),"",IF(LEN(VLOOKUP($B39,Database!$B$1:$IX$10144,AP$22,FALSE))=0,"",VLOOKUP($B39,Database!$B$1:$IX$10144,AP$22,FALSE)))</f>
        <v>100</v>
      </c>
      <c r="AQ39" s="22" t="str">
        <f>IF(OR($B39="",AQ$22=""),"",IF(LEN(VLOOKUP($B39,Database!$B$1:$IX$10144,AQ$22,FALSE))=0,"",VLOOKUP($B39,Database!$B$1:$IX$10144,AQ$22,FALSE)))</f>
        <v>MacMaster FP, Mirza Y, Szeszko PR, Kmiecik LE, Easter PC, Taormina SP, Lynch M, Rose M, Moore GJ, Rosenberg DR.</v>
      </c>
      <c r="AR39" s="13"/>
      <c r="AX39" s="13"/>
      <c r="AY39" s="13"/>
      <c r="AZ39" s="13"/>
      <c r="BA39" s="13"/>
      <c r="BC39" s="23"/>
      <c r="BF39" s="136"/>
      <c r="BG39" s="136"/>
      <c r="BH39" s="136"/>
      <c r="BI39" s="136"/>
    </row>
    <row r="40" spans="1:61">
      <c r="B40">
        <v>19085964</v>
      </c>
      <c r="C40" s="1" t="str">
        <f>IF($B40="","",HYPERLINK(IF(LEN(VLOOKUP($B40,Database!$B$1:$IX$10144,2,FALSE))=0,"",VLOOKUP($B40,Database!$B$1:$IX$10144,2,FALSE))))</f>
        <v/>
      </c>
      <c r="D40" s="1" t="str">
        <f t="shared" ref="D40:D45" si="1">IF($B40="","",HYPERLINK(CONCATENATE("http://www.ncbi.nlm.nih.gov/pubmed/",B40)))</f>
        <v>http://www.ncbi.nlm.nih.gov/pubmed/19085964</v>
      </c>
      <c r="E40" s="22" t="str">
        <f>IF($B40="","",IF(LEN(VLOOKUP($B40,Database!$B$1:$IX$10144,4,FALSE))=0,"",VLOOKUP($B40,Database!$B$1:$IX$10144,4,FALSE)))</f>
        <v>Tamburo RJ</v>
      </c>
      <c r="F40" s="22">
        <f>IF($B40="","",IF(LEN(VLOOKUP($B40,Database!$B$1:$IX$10144,5,FALSE))=0,"",VLOOKUP($B40,Database!$B$1:$IX$10144,5,FALSE)))</f>
        <v>2008</v>
      </c>
      <c r="G40" s="1" t="str">
        <f>IF($B40="","",HYPERLINK(IF(LEN(VLOOKUP($B40,Database!$B$1:$IX$10144,6,FALSE))=0,"",VLOOKUP($B40,Database!$B$1:$IX$10144,6,FALSE))))</f>
        <v>http://www3.interscience.wiley.com/cgi-bin/fulltext/121544225/PDFSTART</v>
      </c>
      <c r="H40" s="22">
        <f>IF($B40="","",IF(LEN(VLOOKUP($B40,Database!$B$1:$IX$10144,7,FALSE))=0,"",VLOOKUP($B40,Database!$B$1:$IX$10144,7,FALSE)))</f>
        <v>14</v>
      </c>
      <c r="I40" s="22">
        <f>IF($B40="","",IF(LEN(VLOOKUP($B40,Database!$B$1:$IX$10144,8,FALSE))=0,"",VLOOKUP($B40,Database!$B$1:$IX$10144,8,FALSE)))</f>
        <v>11</v>
      </c>
      <c r="J40" t="s">
        <v>924</v>
      </c>
      <c r="L40">
        <v>1295</v>
      </c>
      <c r="M40">
        <v>325</v>
      </c>
      <c r="N40">
        <v>1547</v>
      </c>
      <c r="O40">
        <v>329</v>
      </c>
      <c r="P40">
        <v>1433</v>
      </c>
      <c r="Q40">
        <v>404</v>
      </c>
      <c r="R40">
        <v>1553</v>
      </c>
      <c r="S40">
        <v>293</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69.8</v>
      </c>
      <c r="AC40" s="22">
        <f>IF(OR($B40="",AC$22=""),"",IF(LEN(VLOOKUP($B40,Database!$B$1:$IX$10144,AC$22,FALSE))=0,"",VLOOKUP($B40,Database!$B$1:$IX$10144,AC$22,FALSE)))</f>
        <v>5.0999999999999996</v>
      </c>
      <c r="AD40" s="22">
        <f>IF(OR($B40="",AD$22=""),"",IF(LEN(VLOOKUP($B40,Database!$B$1:$IX$10144,AD$22,FALSE))=0,"",VLOOKUP($B40,Database!$B$1:$IX$10144,AD$22,FALSE)))</f>
        <v>67.2</v>
      </c>
      <c r="AE40" s="22">
        <f>IF(OR($B40="",AE$22=""),"",IF(LEN(VLOOKUP($B40,Database!$B$1:$IX$10144,AE$22,FALSE))=0,"",VLOOKUP($B40,Database!$B$1:$IX$10144,AE$22,FALSE)))</f>
        <v>6.8</v>
      </c>
      <c r="AF40" s="22">
        <f>IF(OR($B40="",AF$22=""),"",IF(LEN(VLOOKUP($B40,Database!$B$1:$IX$10144,AF$22,FALSE))=0,"",VLOOKUP($B40,Database!$B$1:$IX$10144,AF$22,FALSE)))</f>
        <v>5</v>
      </c>
      <c r="AG40" s="22">
        <f>IF(OR($B40="",AG$22=""),"",IF(LEN(VLOOKUP($B40,Database!$B$1:$IX$10144,AG$22,FALSE))=0,"",VLOOKUP($B40,Database!$B$1:$IX$10144,AG$22,FALSE)))</f>
        <v>4</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t="str">
        <f>IF(OR($B40="",AK$22=""),"",IF(LEN(VLOOKUP($B40,Database!$B$1:$IX$10144,AK$22,FALSE))=0,"",VLOOKUP($B40,Database!$B$1:$IX$10144,AK$22,FALSE)))</f>
        <v>ns</v>
      </c>
      <c r="AL40" s="22">
        <f>IF(OR($B40="",AL$22=""),"",IF(LEN(VLOOKUP($B40,Database!$B$1:$IX$10144,AL$22,FALSE))=0,"",VLOOKUP($B40,Database!$B$1:$IX$10144,AL$22,FALSE)))</f>
        <v>13.8</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Tamburo RJ, Siegle GJ, Stetten GD, Cois CA, Butters MA, Reynolds Iii CF, Aizenstein HJ.</v>
      </c>
      <c r="AR40" s="13"/>
      <c r="AX40" s="13"/>
      <c r="AY40" s="13"/>
      <c r="AZ40" s="13"/>
      <c r="BA40" s="13"/>
      <c r="BC40" s="23"/>
      <c r="BF40" s="136"/>
      <c r="BG40" s="136"/>
      <c r="BH40" s="136"/>
      <c r="BI40" s="136"/>
    </row>
    <row r="41" spans="1:61">
      <c r="B41">
        <v>19028381</v>
      </c>
      <c r="C41" s="1" t="str">
        <f>IF($B41="","",HYPERLINK(IF(LEN(VLOOKUP($B41,Database!$B$1:$IX$10144,2,FALSE))=0,"",VLOOKUP($B41,Database!$B$1:$IX$10144,2,FALSE))))</f>
        <v/>
      </c>
      <c r="D41" s="1" t="str">
        <f t="shared" si="1"/>
        <v>http://www.ncbi.nlm.nih.gov/pubmed/19028381</v>
      </c>
      <c r="E41" s="22" t="str">
        <f>IF($B41="","",IF(LEN(VLOOKUP($B41,Database!$B$1:$IX$10144,4,FALSE))=0,"",VLOOKUP($B41,Database!$B$1:$IX$10144,4,FALSE)))</f>
        <v>van Eijndhoven P</v>
      </c>
      <c r="F41" s="22">
        <f>IF($B41="","",IF(LEN(VLOOKUP($B41,Database!$B$1:$IX$10144,5,FALSE))=0,"",VLOOKUP($B41,Database!$B$1:$IX$10144,5,FALSE)))</f>
        <v>2009</v>
      </c>
      <c r="G41" s="1" t="str">
        <f>IF($B41="","",HYPERLINK(IF(LEN(VLOOKUP($B41,Database!$B$1:$IX$10144,6,FALSE))=0,"",VLOOKUP($B41,Database!$B$1:$IX$10144,6,FALSE))))</f>
        <v>http://dx.doi.org/10.1016/j.biopsych.2008.10.027</v>
      </c>
      <c r="H41" s="83">
        <v>20</v>
      </c>
      <c r="I41" s="83">
        <v>10</v>
      </c>
      <c r="J41" t="s">
        <v>571</v>
      </c>
      <c r="K41" t="s">
        <v>864</v>
      </c>
      <c r="L41">
        <v>2389</v>
      </c>
      <c r="M41">
        <v>236</v>
      </c>
      <c r="N41">
        <v>2222</v>
      </c>
      <c r="O41">
        <v>412</v>
      </c>
      <c r="P41">
        <v>2358</v>
      </c>
      <c r="Q41">
        <v>307</v>
      </c>
      <c r="R41">
        <v>2153</v>
      </c>
      <c r="S41">
        <v>396</v>
      </c>
      <c r="Y41" s="22" t="str">
        <f>IF(OR($B41="",Y$22=""),"",IF(LEN(VLOOKUP($B41,Database!$B$1:$IX$10144,Y$22,FALSE))=0,"",VLOOKUP($B41,Database!$B$1:$IX$10144,Y$22,FALSE)))</f>
        <v>DSM-IV</v>
      </c>
      <c r="Z41" s="22" t="str">
        <f>IF(OR($B41="",Z$22=""),"",IF(LEN(VLOOKUP($B41,Database!$B$1:$IX$10144,Z$22,FALSE))=0,"",VLOOKUP($B41,Database!$B$1:$IX$10144,Z$22,FALSE)))</f>
        <v>MRI</v>
      </c>
      <c r="AA41" s="214" t="s">
        <v>2447</v>
      </c>
      <c r="AB41" s="83">
        <v>34.1</v>
      </c>
      <c r="AC41" s="83">
        <v>11.6</v>
      </c>
      <c r="AD41" s="22">
        <f>IF(OR($B41="",AD$22=""),"",IF(LEN(VLOOKUP($B41,Database!$B$1:$IX$10144,AD$22,FALSE))=0,"",VLOOKUP($B41,Database!$B$1:$IX$10144,AD$22,FALSE)))</f>
        <v>37.299999999999997</v>
      </c>
      <c r="AE41" s="22">
        <f>IF(OR($B41="",AE$22=""),"",IF(LEN(VLOOKUP($B41,Database!$B$1:$IX$10144,AE$22,FALSE))=0,"",VLOOKUP($B41,Database!$B$1:$IX$10144,AE$22,FALSE)))</f>
        <v>12.7</v>
      </c>
      <c r="AF41" s="214">
        <v>13</v>
      </c>
      <c r="AG41" s="22">
        <f>IF(OR($B41="",AG$22=""),"",IF(LEN(VLOOKUP($B41,Database!$B$1:$IX$10144,AG$22,FALSE))=0,"",VLOOKUP($B41,Database!$B$1:$IX$10144,AG$22,FALSE)))</f>
        <v>13</v>
      </c>
      <c r="AH41" s="22">
        <f>IF(OR($B41="",AH$22=""),"",IF(LEN(VLOOKUP($B41,Database!$B$1:$IX$10144,AH$22,FALSE))=0,"",VLOOKUP($B41,Database!$B$1:$IX$10144,AH$22,FALSE)))</f>
        <v>1.5</v>
      </c>
      <c r="AI41" s="22">
        <f>IF(OR($B41="",AI$22=""),"",IF(LEN(VLOOKUP($B41,Database!$B$1:$IX$10144,AI$22,FALSE))=0,"",VLOOKUP($B41,Database!$B$1:$IX$10144,AI$22,FALSE)))</f>
        <v>1</v>
      </c>
      <c r="AJ41" s="22" t="str">
        <f>IF(OR($B41="",AJ$22=""),"",IF(LEN(VLOOKUP($B41,Database!$B$1:$IX$10144,AJ$22,FALSE))=0,"",VLOOKUP($B41,Database!$B$1:$IX$10144,AJ$22,FALSE)))</f>
        <v/>
      </c>
      <c r="AK41" s="83">
        <v>34.1</v>
      </c>
      <c r="AL41" s="83">
        <v>21.08</v>
      </c>
      <c r="AM41" s="22">
        <f>IF(OR($B41="",AM$22=""),"",IF(LEN(VLOOKUP($B41,Database!$B$1:$IX$10144,AM$22,FALSE))=0,"",VLOOKUP($B41,Database!$B$1:$IX$10144,AM$22,FALSE)))</f>
        <v>0</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van Eijndhoven P, van Wingen G, van Oijen K, Rijpkema M, Goraj B, Jan Verkes R, Oude Voshaar R, Fernández G, Buitelaar J, Tendolkar I.</v>
      </c>
      <c r="AR41" s="13"/>
      <c r="AU41" s="13"/>
      <c r="AX41" s="13"/>
      <c r="AY41" s="13"/>
      <c r="AZ41" s="13"/>
      <c r="BA41" s="13"/>
      <c r="BC41" s="23"/>
      <c r="BF41" s="136"/>
      <c r="BG41" s="136"/>
      <c r="BH41" s="136"/>
      <c r="BI41" s="136"/>
    </row>
    <row r="42" spans="1:61">
      <c r="B42">
        <v>19028381</v>
      </c>
      <c r="C42" s="1" t="str">
        <f>IF($B42="","",HYPERLINK(IF(LEN(VLOOKUP($B42,Database!$B$1:$IX$10144,2,FALSE))=0,"",VLOOKUP($B42,Database!$B$1:$IX$10144,2,FALSE))))</f>
        <v/>
      </c>
      <c r="D42" s="1" t="str">
        <f t="shared" si="1"/>
        <v>http://www.ncbi.nlm.nih.gov/pubmed/19028381</v>
      </c>
      <c r="E42" s="22" t="str">
        <f>IF($B42="","",IF(LEN(VLOOKUP($B42,Database!$B$1:$IX$10144,4,FALSE))=0,"",VLOOKUP($B42,Database!$B$1:$IX$10144,4,FALSE)))</f>
        <v>van Eijndhoven P</v>
      </c>
      <c r="F42" s="22">
        <f>IF($B42="","",IF(LEN(VLOOKUP($B42,Database!$B$1:$IX$10144,5,FALSE))=0,"",VLOOKUP($B42,Database!$B$1:$IX$10144,5,FALSE)))</f>
        <v>2009</v>
      </c>
      <c r="G42" s="1" t="str">
        <f>IF($B42="","",HYPERLINK(IF(LEN(VLOOKUP($B42,Database!$B$1:$IX$10144,6,FALSE))=0,"",VLOOKUP($B42,Database!$B$1:$IX$10144,6,FALSE))))</f>
        <v>http://dx.doi.org/10.1016/j.biopsych.2008.10.027</v>
      </c>
      <c r="H42" s="83">
        <v>20</v>
      </c>
      <c r="I42" s="83">
        <v>10</v>
      </c>
      <c r="J42" t="s">
        <v>571</v>
      </c>
      <c r="K42" t="s">
        <v>357</v>
      </c>
      <c r="L42">
        <v>2062</v>
      </c>
      <c r="M42">
        <v>300</v>
      </c>
      <c r="N42">
        <v>2222</v>
      </c>
      <c r="O42">
        <v>412</v>
      </c>
      <c r="P42">
        <v>2024</v>
      </c>
      <c r="Q42">
        <v>292</v>
      </c>
      <c r="R42">
        <v>2153</v>
      </c>
      <c r="S42">
        <v>396</v>
      </c>
      <c r="Y42" s="22" t="str">
        <f>IF(OR($B42="",Y$22=""),"",IF(LEN(VLOOKUP($B42,Database!$B$1:$IX$10144,Y$22,FALSE))=0,"",VLOOKUP($B42,Database!$B$1:$IX$10144,Y$22,FALSE)))</f>
        <v>DSM-IV</v>
      </c>
      <c r="Z42" s="22" t="str">
        <f>IF(OR($B42="",Z$22=""),"",IF(LEN(VLOOKUP($B42,Database!$B$1:$IX$10144,Z$22,FALSE))=0,"",VLOOKUP($B42,Database!$B$1:$IX$10144,Z$22,FALSE)))</f>
        <v>MRI</v>
      </c>
      <c r="AA42" s="214" t="s">
        <v>2448</v>
      </c>
      <c r="AB42" s="83">
        <v>35.799999999999997</v>
      </c>
      <c r="AC42" s="83">
        <v>11.7</v>
      </c>
      <c r="AD42" s="22">
        <f>IF(OR($B42="",AD$22=""),"",IF(LEN(VLOOKUP($B42,Database!$B$1:$IX$10144,AD$22,FALSE))=0,"",VLOOKUP($B42,Database!$B$1:$IX$10144,AD$22,FALSE)))</f>
        <v>37.299999999999997</v>
      </c>
      <c r="AE42" s="22">
        <f>IF(OR($B42="",AE$22=""),"",IF(LEN(VLOOKUP($B42,Database!$B$1:$IX$10144,AE$22,FALSE))=0,"",VLOOKUP($B42,Database!$B$1:$IX$10144,AE$22,FALSE)))</f>
        <v>12.7</v>
      </c>
      <c r="AF42" s="214">
        <v>14</v>
      </c>
      <c r="AG42" s="22">
        <f>IF(OR($B42="",AG$22=""),"",IF(LEN(VLOOKUP($B42,Database!$B$1:$IX$10144,AG$22,FALSE))=0,"",VLOOKUP($B42,Database!$B$1:$IX$10144,AG$22,FALSE)))</f>
        <v>13</v>
      </c>
      <c r="AH42" s="22">
        <f>IF(OR($B42="",AH$22=""),"",IF(LEN(VLOOKUP($B42,Database!$B$1:$IX$10144,AH$22,FALSE))=0,"",VLOOKUP($B42,Database!$B$1:$IX$10144,AH$22,FALSE)))</f>
        <v>1.5</v>
      </c>
      <c r="AI42" s="22">
        <f>IF(OR($B42="",AI$22=""),"",IF(LEN(VLOOKUP($B42,Database!$B$1:$IX$10144,AI$22,FALSE))=0,"",VLOOKUP($B42,Database!$B$1:$IX$10144,AI$22,FALSE)))</f>
        <v>1</v>
      </c>
      <c r="AJ42" s="22" t="str">
        <f>IF(OR($B42="",AJ$22=""),"",IF(LEN(VLOOKUP($B42,Database!$B$1:$IX$10144,AJ$22,FALSE))=0,"",VLOOKUP($B42,Database!$B$1:$IX$10144,AJ$22,FALSE)))</f>
        <v/>
      </c>
      <c r="AK42" s="83">
        <v>33.4</v>
      </c>
      <c r="AL42" s="83">
        <v>3.4</v>
      </c>
      <c r="AM42" s="22">
        <f>IF(OR($B42="",AM$22=""),"",IF(LEN(VLOOKUP($B42,Database!$B$1:$IX$10144,AM$22,FALSE))=0,"",VLOOKUP($B42,Database!$B$1:$IX$10144,AM$22,FALSE)))</f>
        <v>0</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van Eijndhoven P, van Wingen G, van Oijen K, Rijpkema M, Goraj B, Jan Verkes R, Oude Voshaar R, Fernández G, Buitelaar J, Tendolkar I.</v>
      </c>
      <c r="AR42" s="13"/>
      <c r="AU42" s="13"/>
      <c r="AX42" s="13"/>
      <c r="AY42" s="13"/>
      <c r="AZ42" s="13"/>
      <c r="BA42" s="13"/>
      <c r="BC42" s="23"/>
      <c r="BF42" s="136"/>
      <c r="BG42" s="136"/>
      <c r="BH42" s="136"/>
      <c r="BI42" s="136"/>
    </row>
    <row r="43" spans="1:61">
      <c r="B43" s="2">
        <v>19464062</v>
      </c>
      <c r="C43" s="1" t="str">
        <f>IF($B43="","",HYPERLINK(IF(LEN(VLOOKUP($B43,Database!$B$1:$IX$10144,2,FALSE))=0,"",VLOOKUP($B43,Database!$B$1:$IX$10144,2,FALSE))))</f>
        <v/>
      </c>
      <c r="D43" s="1" t="str">
        <f t="shared" si="1"/>
        <v>http://www.ncbi.nlm.nih.gov/pubmed/19464062</v>
      </c>
      <c r="E43" s="22" t="str">
        <f>IF($B43="","",IF(LEN(VLOOKUP($B43,Database!$B$1:$IX$10144,4,FALSE))=0,"",VLOOKUP($B43,Database!$B$1:$IX$10144,4,FALSE)))</f>
        <v>Lorenzetti V (B)</v>
      </c>
      <c r="F43" s="22">
        <f>IF($B43="","",IF(LEN(VLOOKUP($B43,Database!$B$1:$IX$10144,5,FALSE))=0,"",VLOOKUP($B43,Database!$B$1:$IX$10144,5,FALSE)))</f>
        <v>2009</v>
      </c>
      <c r="G43" s="1" t="str">
        <f>IF($B43="","",HYPERLINK(IF(LEN(VLOOKUP($B43,Database!$B$1:$IX$10144,6,FALSE))=0,"",VLOOKUP($B43,Database!$B$1:$IX$10144,6,FALSE))))</f>
        <v>http://dx.doi.org/10.1016/j.jad.2009.04.021</v>
      </c>
      <c r="H43" s="83">
        <v>29</v>
      </c>
      <c r="I43" s="83">
        <v>15.5</v>
      </c>
      <c r="J43" t="s">
        <v>344</v>
      </c>
      <c r="K43" t="s">
        <v>345</v>
      </c>
      <c r="L43">
        <v>1606.54</v>
      </c>
      <c r="M43">
        <v>170.18</v>
      </c>
      <c r="N43">
        <v>1564.76</v>
      </c>
      <c r="O43">
        <v>145.19</v>
      </c>
      <c r="P43">
        <v>1657.09</v>
      </c>
      <c r="Q43">
        <v>172.29</v>
      </c>
      <c r="R43">
        <v>1641.36</v>
      </c>
      <c r="S43">
        <v>159.55000000000001</v>
      </c>
      <c r="Y43" s="22" t="str">
        <f>IF(OR($B43="",Y$22=""),"",IF(LEN(VLOOKUP($B43,Database!$B$1:$IX$10144,Y$22,FALSE))=0,"",VLOOKUP($B43,Database!$B$1:$IX$10144,Y$22,FALSE)))</f>
        <v>DSM-IV</v>
      </c>
      <c r="Z43" s="22" t="str">
        <f>IF(OR($B43="",Z$22=""),"",IF(LEN(VLOOKUP($B43,Database!$B$1:$IX$10144,Z$22,FALSE))=0,"",VLOOKUP($B43,Database!$B$1:$IX$10144,Z$22,FALSE)))</f>
        <v>MRI</v>
      </c>
      <c r="AA43" s="214" t="s">
        <v>2457</v>
      </c>
      <c r="AB43" s="214">
        <v>35.520000000000003</v>
      </c>
      <c r="AC43" s="214">
        <v>8.2799999999999994</v>
      </c>
      <c r="AD43" s="22">
        <f>IF(OR($B43="",AD$22=""),"",IF(LEN(VLOOKUP($B43,Database!$B$1:$IX$10144,AD$22,FALSE))=0,"",VLOOKUP($B43,Database!$B$1:$IX$10144,AD$22,FALSE)))</f>
        <v>34.68</v>
      </c>
      <c r="AE43" s="22">
        <f>IF(OR($B43="",AE$22=""),"",IF(LEN(VLOOKUP($B43,Database!$B$1:$IX$10144,AE$22,FALSE))=0,"",VLOOKUP($B43,Database!$B$1:$IX$10144,AE$22,FALSE)))</f>
        <v>9.86</v>
      </c>
      <c r="AF43" s="214">
        <v>22</v>
      </c>
      <c r="AG43" s="22">
        <f>IF(OR($B43="",AG$22=""),"",IF(LEN(VLOOKUP($B43,Database!$B$1:$IX$10144,AG$22,FALSE))=0,"",VLOOKUP($B43,Database!$B$1:$IX$10144,AG$22,FALSE)))</f>
        <v>21</v>
      </c>
      <c r="AH43" s="22">
        <f>IF(OR($B43="",AH$22=""),"",IF(LEN(VLOOKUP($B43,Database!$B$1:$IX$10144,AH$22,FALSE))=0,"",VLOOKUP($B43,Database!$B$1:$IX$10144,AH$22,FALSE)))</f>
        <v>1.5</v>
      </c>
      <c r="AI43" s="22">
        <f>IF(OR($B43="",AI$22=""),"",IF(LEN(VLOOKUP($B43,Database!$B$1:$IX$10144,AI$22,FALSE))=0,"",VLOOKUP($B43,Database!$B$1:$IX$10144,AI$22,FALSE)))</f>
        <v>1</v>
      </c>
      <c r="AJ43" s="22" t="str">
        <f>IF(OR($B43="",AJ$22=""),"",IF(LEN(VLOOKUP($B43,Database!$B$1:$IX$10144,AJ$22,FALSE))=0,"",VLOOKUP($B43,Database!$B$1:$IX$10144,AJ$22,FALSE)))</f>
        <v/>
      </c>
      <c r="AK43" s="214">
        <v>21.07</v>
      </c>
      <c r="AL43" s="22" t="str">
        <f>IF(OR($B43="",AL$22=""),"",IF(LEN(VLOOKUP($B43,Database!$B$1:$IX$10144,AL$22,FALSE))=0,"",VLOOKUP($B43,Database!$B$1:$IX$10144,AL$22,FALSE)))</f>
        <v>ns</v>
      </c>
      <c r="AM43" s="22" t="str">
        <f>IF(OR($B43="",AM$22=""),"",IF(LEN(VLOOKUP($B43,Database!$B$1:$IX$10144,AM$22,FALSE))=0,"",VLOOKUP($B43,Database!$B$1:$IX$10144,AM$22,FALSE)))</f>
        <v/>
      </c>
      <c r="AN43" s="22" t="str">
        <f>IF(OR($B43="",AN$22=""),"",IF(LEN(VLOOKUP($B43,Database!$B$1:$IX$10144,AN$22,FALSE))=0,"",VLOOKUP($B43,Database!$B$1:$IX$10144,AN$22,FALSE)))</f>
        <v/>
      </c>
      <c r="AO43" s="22" t="str">
        <f>IF(OR($B43="",AO$22=""),"",IF(LEN(VLOOKUP($B43,Database!$B$1:$IX$10144,AO$22,FALSE))=0,"",VLOOKUP($B43,Database!$B$1:$IX$10144,AO$22,FALSE)))</f>
        <v/>
      </c>
      <c r="AP43" s="22">
        <f>IF(OR($B43="",AP$22=""),"",IF(LEN(VLOOKUP($B43,Database!$B$1:$IX$10144,AP$22,FALSE))=0,"",VLOOKUP($B43,Database!$B$1:$IX$10144,AP$22,FALSE)))</f>
        <v>16.071428571428573</v>
      </c>
      <c r="AQ43" s="22" t="str">
        <f>IF(OR($B43="",AQ$22=""),"",IF(LEN(VLOOKUP($B43,Database!$B$1:$IX$10144,AQ$22,FALSE))=0,"",VLOOKUP($B43,Database!$B$1:$IX$10144,AQ$22,FALSE)))</f>
        <v>Lorenzetti V, Allen NB, Whittle S, Yücel M.</v>
      </c>
      <c r="AR43" s="13"/>
      <c r="AU43" s="13"/>
      <c r="AX43" s="13"/>
      <c r="AY43" s="13"/>
      <c r="AZ43" s="13"/>
      <c r="BA43" s="13"/>
      <c r="BC43" s="23"/>
      <c r="BF43" s="136"/>
      <c r="BG43" s="136"/>
      <c r="BH43" s="136"/>
      <c r="BI43" s="136"/>
    </row>
    <row r="44" spans="1:61">
      <c r="B44" s="2">
        <v>19464062</v>
      </c>
      <c r="C44" s="1" t="str">
        <f>IF($B44="","",HYPERLINK(IF(LEN(VLOOKUP($B44,Database!$B$1:$IX$10144,2,FALSE))=0,"",VLOOKUP($B44,Database!$B$1:$IX$10144,2,FALSE))))</f>
        <v/>
      </c>
      <c r="D44" s="1" t="str">
        <f t="shared" si="1"/>
        <v>http://www.ncbi.nlm.nih.gov/pubmed/19464062</v>
      </c>
      <c r="E44" s="22" t="str">
        <f>IF($B44="","",IF(LEN(VLOOKUP($B44,Database!$B$1:$IX$10144,4,FALSE))=0,"",VLOOKUP($B44,Database!$B$1:$IX$10144,4,FALSE)))</f>
        <v>Lorenzetti V (B)</v>
      </c>
      <c r="F44" s="22">
        <f>IF($B44="","",IF(LEN(VLOOKUP($B44,Database!$B$1:$IX$10144,5,FALSE))=0,"",VLOOKUP($B44,Database!$B$1:$IX$10144,5,FALSE)))</f>
        <v>2009</v>
      </c>
      <c r="G44" s="1" t="str">
        <f>IF($B44="","",HYPERLINK(IF(LEN(VLOOKUP($B44,Database!$B$1:$IX$10144,6,FALSE))=0,"",VLOOKUP($B44,Database!$B$1:$IX$10144,6,FALSE))))</f>
        <v>http://dx.doi.org/10.1016/j.jad.2009.04.021</v>
      </c>
      <c r="H44" s="83">
        <v>27</v>
      </c>
      <c r="I44" s="83">
        <v>15.5</v>
      </c>
      <c r="J44" t="s">
        <v>344</v>
      </c>
      <c r="K44" t="s">
        <v>272</v>
      </c>
      <c r="L44">
        <v>1666.74</v>
      </c>
      <c r="M44">
        <v>201.91</v>
      </c>
      <c r="N44">
        <v>1564.76</v>
      </c>
      <c r="O44">
        <v>145.19</v>
      </c>
      <c r="P44">
        <v>1642.96</v>
      </c>
      <c r="Q44">
        <v>186.15</v>
      </c>
      <c r="R44">
        <v>1641.36</v>
      </c>
      <c r="S44">
        <v>159.55000000000001</v>
      </c>
      <c r="Y44" s="22" t="str">
        <f>IF(OR($B44="",Y$22=""),"",IF(LEN(VLOOKUP($B44,Database!$B$1:$IX$10144,Y$22,FALSE))=0,"",VLOOKUP($B44,Database!$B$1:$IX$10144,Y$22,FALSE)))</f>
        <v>DSM-IV</v>
      </c>
      <c r="Z44" s="22" t="str">
        <f>IF(OR($B44="",Z$22=""),"",IF(LEN(VLOOKUP($B44,Database!$B$1:$IX$10144,Z$22,FALSE))=0,"",VLOOKUP($B44,Database!$B$1:$IX$10144,Z$22,FALSE)))</f>
        <v>MRI</v>
      </c>
      <c r="AA44" s="214" t="s">
        <v>2448</v>
      </c>
      <c r="AB44" s="214">
        <v>35.07</v>
      </c>
      <c r="AC44" s="214">
        <v>9.9600000000000009</v>
      </c>
      <c r="AD44" s="22">
        <f>IF(OR($B44="",AD$22=""),"",IF(LEN(VLOOKUP($B44,Database!$B$1:$IX$10144,AD$22,FALSE))=0,"",VLOOKUP($B44,Database!$B$1:$IX$10144,AD$22,FALSE)))</f>
        <v>34.68</v>
      </c>
      <c r="AE44" s="22">
        <f>IF(OR($B44="",AE$22=""),"",IF(LEN(VLOOKUP($B44,Database!$B$1:$IX$10144,AE$22,FALSE))=0,"",VLOOKUP($B44,Database!$B$1:$IX$10144,AE$22,FALSE)))</f>
        <v>9.86</v>
      </c>
      <c r="AF44" s="214">
        <v>18</v>
      </c>
      <c r="AG44" s="22">
        <f>IF(OR($B44="",AG$22=""),"",IF(LEN(VLOOKUP($B44,Database!$B$1:$IX$10144,AG$22,FALSE))=0,"",VLOOKUP($B44,Database!$B$1:$IX$10144,AG$22,FALSE)))</f>
        <v>21</v>
      </c>
      <c r="AH44" s="22">
        <f>IF(OR($B44="",AH$22=""),"",IF(LEN(VLOOKUP($B44,Database!$B$1:$IX$10144,AH$22,FALSE))=0,"",VLOOKUP($B44,Database!$B$1:$IX$10144,AH$22,FALSE)))</f>
        <v>1.5</v>
      </c>
      <c r="AI44" s="22">
        <f>IF(OR($B44="",AI$22=""),"",IF(LEN(VLOOKUP($B44,Database!$B$1:$IX$10144,AI$22,FALSE))=0,"",VLOOKUP($B44,Database!$B$1:$IX$10144,AI$22,FALSE)))</f>
        <v>1</v>
      </c>
      <c r="AJ44" s="22" t="str">
        <f>IF(OR($B44="",AJ$22=""),"",IF(LEN(VLOOKUP($B44,Database!$B$1:$IX$10144,AJ$22,FALSE))=0,"",VLOOKUP($B44,Database!$B$1:$IX$10144,AJ$22,FALSE)))</f>
        <v/>
      </c>
      <c r="AK44" s="214">
        <v>26.04</v>
      </c>
      <c r="AL44" s="22" t="str">
        <f>IF(OR($B44="",AL$22=""),"",IF(LEN(VLOOKUP($B44,Database!$B$1:$IX$10144,AL$22,FALSE))=0,"",VLOOKUP($B44,Database!$B$1:$IX$10144,AL$22,FALSE)))</f>
        <v>ns</v>
      </c>
      <c r="AM44" s="22" t="str">
        <f>IF(OR($B44="",AM$22=""),"",IF(LEN(VLOOKUP($B44,Database!$B$1:$IX$10144,AM$22,FALSE))=0,"",VLOOKUP($B44,Database!$B$1:$IX$10144,AM$22,FALSE)))</f>
        <v/>
      </c>
      <c r="AN44" s="22" t="str">
        <f>IF(OR($B44="",AN$22=""),"",IF(LEN(VLOOKUP($B44,Database!$B$1:$IX$10144,AN$22,FALSE))=0,"",VLOOKUP($B44,Database!$B$1:$IX$10144,AN$22,FALSE)))</f>
        <v/>
      </c>
      <c r="AO44" s="22" t="str">
        <f>IF(OR($B44="",AO$22=""),"",IF(LEN(VLOOKUP($B44,Database!$B$1:$IX$10144,AO$22,FALSE))=0,"",VLOOKUP($B44,Database!$B$1:$IX$10144,AO$22,FALSE)))</f>
        <v/>
      </c>
      <c r="AP44" s="22">
        <f>IF(OR($B44="",AP$22=""),"",IF(LEN(VLOOKUP($B44,Database!$B$1:$IX$10144,AP$22,FALSE))=0,"",VLOOKUP($B44,Database!$B$1:$IX$10144,AP$22,FALSE)))</f>
        <v>16.071428571428573</v>
      </c>
      <c r="AQ44" s="22" t="str">
        <f>IF(OR($B44="",AQ$22=""),"",IF(LEN(VLOOKUP($B44,Database!$B$1:$IX$10144,AQ$22,FALSE))=0,"",VLOOKUP($B44,Database!$B$1:$IX$10144,AQ$22,FALSE)))</f>
        <v>Lorenzetti V, Allen NB, Whittle S, Yücel M.</v>
      </c>
      <c r="AR44" s="13"/>
      <c r="AU44" s="13"/>
      <c r="AX44" s="13"/>
      <c r="AY44" s="13"/>
      <c r="AZ44" s="13"/>
      <c r="BA44" s="13"/>
      <c r="BC44" s="23"/>
      <c r="BF44" s="136"/>
      <c r="BG44" s="136"/>
      <c r="BH44" s="136"/>
      <c r="BI44" s="136"/>
    </row>
    <row r="45" spans="1:61">
      <c r="B45" s="2">
        <v>19394960</v>
      </c>
      <c r="C45" s="1" t="str">
        <f>IF($B45="","",HYPERLINK(IF(LEN(VLOOKUP($B45,Database!$B$1:$IX$10144,2,FALSE))=0,"",VLOOKUP($B45,Database!$B$1:$IX$10144,2,FALSE))))</f>
        <v/>
      </c>
      <c r="D45" s="1" t="str">
        <f t="shared" si="1"/>
        <v>http://www.ncbi.nlm.nih.gov/pubmed/19394960</v>
      </c>
      <c r="E45" s="22" t="str">
        <f>IF($B45="","",IF(LEN(VLOOKUP($B45,Database!$B$1:$IX$10144,4,FALSE))=0,"",VLOOKUP($B45,Database!$B$1:$IX$10144,4,FALSE)))</f>
        <v>Kronenberg G</v>
      </c>
      <c r="F45" s="22">
        <f>IF($B45="","",IF(LEN(VLOOKUP($B45,Database!$B$1:$IX$10144,5,FALSE))=0,"",VLOOKUP($B45,Database!$B$1:$IX$10144,5,FALSE)))</f>
        <v>2009</v>
      </c>
      <c r="G45" s="1" t="str">
        <f>IF($B45="","",HYPERLINK(IF(LEN(VLOOKUP($B45,Database!$B$1:$IX$10144,6,FALSE))=0,"",VLOOKUP($B45,Database!$B$1:$IX$10144,6,FALSE))))</f>
        <v>http://dx.doi.org/10.1016/j.jpsychires.2009.03.007</v>
      </c>
      <c r="H45" s="22">
        <f>IF($B45="","",IF(LEN(VLOOKUP($B45,Database!$B$1:$IX$10144,7,FALSE))=0,"",VLOOKUP($B45,Database!$B$1:$IX$10144,7,FALSE)))</f>
        <v>24</v>
      </c>
      <c r="I45" s="22">
        <f>IF($B45="","",IF(LEN(VLOOKUP($B45,Database!$B$1:$IX$10144,8,FALSE))=0,"",VLOOKUP($B45,Database!$B$1:$IX$10144,8,FALSE)))</f>
        <v>14</v>
      </c>
      <c r="J45" t="s">
        <v>343</v>
      </c>
      <c r="L45">
        <v>1.71</v>
      </c>
      <c r="M45">
        <v>0.34</v>
      </c>
      <c r="N45">
        <v>1.97</v>
      </c>
      <c r="O45">
        <v>0.26</v>
      </c>
      <c r="P45">
        <v>1.74</v>
      </c>
      <c r="Q45">
        <v>0.27</v>
      </c>
      <c r="R45">
        <v>1.97</v>
      </c>
      <c r="S45">
        <v>0.28000000000000003</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54.5</v>
      </c>
      <c r="AC45" s="22">
        <f>IF(OR($B45="",AC$22=""),"",IF(LEN(VLOOKUP($B45,Database!$B$1:$IX$10144,AC$22,FALSE))=0,"",VLOOKUP($B45,Database!$B$1:$IX$10144,AC$22,FALSE)))</f>
        <v>11.9</v>
      </c>
      <c r="AD45" s="22">
        <f>IF(OR($B45="",AD$22=""),"",IF(LEN(VLOOKUP($B45,Database!$B$1:$IX$10144,AD$22,FALSE))=0,"",VLOOKUP($B45,Database!$B$1:$IX$10144,AD$22,FALSE)))</f>
        <v>53.8</v>
      </c>
      <c r="AE45" s="22">
        <f>IF(OR($B45="",AE$22=""),"",IF(LEN(VLOOKUP($B45,Database!$B$1:$IX$10144,AE$22,FALSE))=0,"",VLOOKUP($B45,Database!$B$1:$IX$10144,AE$22,FALSE)))</f>
        <v>17.7</v>
      </c>
      <c r="AF45" s="22">
        <f>IF(OR($B45="",AF$22=""),"",IF(LEN(VLOOKUP($B45,Database!$B$1:$IX$10144,AF$22,FALSE))=0,"",VLOOKUP($B45,Database!$B$1:$IX$10144,AF$22,FALSE)))</f>
        <v>15</v>
      </c>
      <c r="AG45" s="22">
        <f>IF(OR($B45="",AG$22=""),"",IF(LEN(VLOOKUP($B45,Database!$B$1:$IX$10144,AG$22,FALSE))=0,"",VLOOKUP($B45,Database!$B$1:$IX$10144,AG$22,FALSE)))</f>
        <v>8</v>
      </c>
      <c r="AH45" s="22">
        <f>IF(OR($B45="",AH$22=""),"",IF(LEN(VLOOKUP($B45,Database!$B$1:$IX$10144,AH$22,FALSE))=0,"",VLOOKUP($B45,Database!$B$1:$IX$10144,AH$22,FALSE)))</f>
        <v>1.5</v>
      </c>
      <c r="AI45" s="22">
        <f>IF(OR($B45="",AI$22=""),"",IF(LEN(VLOOKUP($B45,Database!$B$1:$IX$10144,AI$22,FALSE))=0,"",VLOOKUP($B45,Database!$B$1:$IX$10144,AI$22,FALSE)))</f>
        <v>1.05</v>
      </c>
      <c r="AJ45" s="22" t="str">
        <f>IF(OR($B45="",AJ$22=""),"",IF(LEN(VLOOKUP($B45,Database!$B$1:$IX$10144,AJ$22,FALSE))=0,"",VLOOKUP($B45,Database!$B$1:$IX$10144,AJ$22,FALSE)))</f>
        <v/>
      </c>
      <c r="AK45" s="22" t="str">
        <f>IF(OR($B45="",AK$22=""),"",IF(LEN(VLOOKUP($B45,Database!$B$1:$IX$10144,AK$22,FALSE))=0,"",VLOOKUP($B45,Database!$B$1:$IX$10144,AK$22,FALSE)))</f>
        <v>ns</v>
      </c>
      <c r="AL45" s="22">
        <f>IF(OR($B45="",AL$22=""),"",IF(LEN(VLOOKUP($B45,Database!$B$1:$IX$10144,AL$22,FALSE))=0,"",VLOOKUP($B45,Database!$B$1:$IX$10144,AL$22,FALSE)))</f>
        <v>25.3</v>
      </c>
      <c r="AM45" s="22">
        <f>IF(OR($B45="",AM$22=""),"",IF(LEN(VLOOKUP($B45,Database!$B$1:$IX$10144,AM$22,FALSE))=0,"",VLOOKUP($B45,Database!$B$1:$IX$10144,AM$22,FALSE)))</f>
        <v>0</v>
      </c>
      <c r="AN45" s="22">
        <f>IF(OR($B45="",AN$22=""),"",IF(LEN(VLOOKUP($B45,Database!$B$1:$IX$10144,AN$22,FALSE))=0,"",VLOOKUP($B45,Database!$B$1:$IX$10144,AN$22,FALSE)))</f>
        <v>0</v>
      </c>
      <c r="AO45" s="22">
        <f>IF(OR($B45="",AO$22=""),"",IF(LEN(VLOOKUP($B45,Database!$B$1:$IX$10144,AO$22,FALSE))=0,"",VLOOKUP($B45,Database!$B$1:$IX$10144,AO$22,FALSE)))</f>
        <v>0</v>
      </c>
      <c r="AP45" s="22" t="str">
        <f>IF(OR($B45="",AP$22=""),"",IF(LEN(VLOOKUP($B45,Database!$B$1:$IX$10144,AP$22,FALSE))=0,"",VLOOKUP($B45,Database!$B$1:$IX$10144,AP$22,FALSE)))</f>
        <v>ns</v>
      </c>
      <c r="AQ45" s="22" t="str">
        <f>IF(OR($B45="",AQ$22=""),"",IF(LEN(VLOOKUP($B45,Database!$B$1:$IX$10144,AQ$22,FALSE))=0,"",VLOOKUP($B45,Database!$B$1:$IX$10144,AQ$22,FALSE)))</f>
        <v>Kronenberg G, Tebartz van Elst L, Regen F, Deuschle M, Heuser I, Colla M.</v>
      </c>
      <c r="AR45" s="13"/>
      <c r="AX45" s="13"/>
      <c r="AY45" s="13"/>
      <c r="AZ45" s="13"/>
      <c r="BA45" s="13"/>
      <c r="BC45" s="23"/>
      <c r="BF45" s="136"/>
      <c r="BG45" s="136"/>
      <c r="BH45" s="136"/>
      <c r="BI45" s="136"/>
    </row>
    <row r="46" spans="1:61">
      <c r="B46">
        <v>20018381</v>
      </c>
      <c r="C46" s="1" t="str">
        <f>IF($B46="","",HYPERLINK(IF(LEN(VLOOKUP($B46,Database!$B$1:$IX$10144,2,FALSE))=0,"",VLOOKUP($B46,Database!$B$1:$IX$10144,2,FALSE))))</f>
        <v/>
      </c>
      <c r="D46" s="1" t="str">
        <f>IF($B46="","",HYPERLINK(CONCATENATE("http://www.ncbi.nlm.nih.gov/pubmed/",B46)))</f>
        <v>http://www.ncbi.nlm.nih.gov/pubmed/20018381</v>
      </c>
      <c r="E46" s="22" t="str">
        <f>IF($B46="","",IF(LEN(VLOOKUP($B46,Database!$B$1:$IX$10144,4,FALSE))=0,"",VLOOKUP($B46,Database!$B$1:$IX$10144,4,FALSE)))</f>
        <v>Weber K</v>
      </c>
      <c r="F46" s="22">
        <f>IF($B46="","",IF(LEN(VLOOKUP($B46,Database!$B$1:$IX$10144,5,FALSE))=0,"",VLOOKUP($B46,Database!$B$1:$IX$10144,5,FALSE)))</f>
        <v>2009</v>
      </c>
      <c r="G46" s="1" t="str">
        <f>IF($B46="","",HYPERLINK(IF(LEN(VLOOKUP($B46,Database!$B$1:$IX$10144,6,FALSE))=0,"",VLOOKUP($B46,Database!$B$1:$IX$10144,6,FALSE))))</f>
        <v>http://dx.doi.org/10.1016/j.jad.2009.11.016</v>
      </c>
      <c r="H46" s="22">
        <f>IF($B46="","",IF(LEN(VLOOKUP($B46,Database!$B$1:$IX$10144,7,FALSE))=0,"",VLOOKUP($B46,Database!$B$1:$IX$10144,7,FALSE)))</f>
        <v>38</v>
      </c>
      <c r="I46" s="22">
        <f>IF($B46="","",IF(LEN(VLOOKUP($B46,Database!$B$1:$IX$10144,8,FALSE))=0,"",VLOOKUP($B46,Database!$B$1:$IX$10144,8,FALSE)))</f>
        <v>62</v>
      </c>
      <c r="J46" t="s">
        <v>2393</v>
      </c>
      <c r="L46">
        <v>0.83</v>
      </c>
      <c r="M46">
        <v>0.15</v>
      </c>
      <c r="N46">
        <v>0.83</v>
      </c>
      <c r="O46">
        <v>0.13</v>
      </c>
      <c r="P46">
        <v>0.84</v>
      </c>
      <c r="Q46">
        <v>0.13</v>
      </c>
      <c r="R46">
        <v>0.85</v>
      </c>
      <c r="S46">
        <v>0.15</v>
      </c>
      <c r="T46">
        <v>1.67</v>
      </c>
      <c r="U46">
        <v>0.25</v>
      </c>
      <c r="V46">
        <v>1.68</v>
      </c>
      <c r="W46">
        <v>0.27</v>
      </c>
      <c r="X46" s="2"/>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66.11</v>
      </c>
      <c r="AC46" s="22">
        <f>IF(OR($B46="",AC$22=""),"",IF(LEN(VLOOKUP($B46,Database!$B$1:$IX$10144,AC$22,FALSE))=0,"",VLOOKUP($B46,Database!$B$1:$IX$10144,AC$22,FALSE)))</f>
        <v>6.22</v>
      </c>
      <c r="AD46" s="22">
        <f>IF(OR($B46="",AD$22=""),"",IF(LEN(VLOOKUP($B46,Database!$B$1:$IX$10144,AD$22,FALSE))=0,"",VLOOKUP($B46,Database!$B$1:$IX$10144,AD$22,FALSE)))</f>
        <v>71.099999999999994</v>
      </c>
      <c r="AE46" s="22">
        <f>IF(OR($B46="",AE$22=""),"",IF(LEN(VLOOKUP($B46,Database!$B$1:$IX$10144,AE$22,FALSE))=0,"",VLOOKUP($B46,Database!$B$1:$IX$10144,AE$22,FALSE)))</f>
        <v>7.26</v>
      </c>
      <c r="AF46" s="22">
        <f>IF(OR($B46="",AF$22=""),"",IF(LEN(VLOOKUP($B46,Database!$B$1:$IX$10144,AF$22,FALSE))=0,"",VLOOKUP($B46,Database!$B$1:$IX$10144,AF$22,FALSE)))</f>
        <v>31</v>
      </c>
      <c r="AG46" s="22">
        <f>IF(OR($B46="",AG$22=""),"",IF(LEN(VLOOKUP($B46,Database!$B$1:$IX$10144,AG$22,FALSE))=0,"",VLOOKUP($B46,Database!$B$1:$IX$10144,AG$22,FALSE)))</f>
        <v>48</v>
      </c>
      <c r="AH46" s="22">
        <f>IF(OR($B46="",AH$22=""),"",IF(LEN(VLOOKUP($B46,Database!$B$1:$IX$10144,AH$22,FALSE))=0,"",VLOOKUP($B46,Database!$B$1:$IX$10144,AH$22,FALSE)))</f>
        <v>3</v>
      </c>
      <c r="AI46" s="22">
        <f>IF(OR($B46="",AI$22=""),"",IF(LEN(VLOOKUP($B46,Database!$B$1:$IX$10144,AI$22,FALSE))=0,"",VLOOKUP($B46,Database!$B$1:$IX$10144,AI$22,FALSE)))</f>
        <v>0.9</v>
      </c>
      <c r="AJ46" s="22" t="str">
        <f>IF(OR($B46="",AJ$22=""),"",IF(LEN(VLOOKUP($B46,Database!$B$1:$IX$10144,AJ$22,FALSE))=0,"",VLOOKUP($B46,Database!$B$1:$IX$10144,AJ$22,FALSE)))</f>
        <v/>
      </c>
      <c r="AK46" s="22">
        <f>IF(OR($B46="",AK$22=""),"",IF(LEN(VLOOKUP($B46,Database!$B$1:$IX$10144,AK$22,FALSE))=0,"",VLOOKUP($B46,Database!$B$1:$IX$10144,AK$22,FALSE)))</f>
        <v>37.76</v>
      </c>
      <c r="AL46" s="22" t="str">
        <f>IF(OR($B46="",AL$22=""),"",IF(LEN(VLOOKUP($B46,Database!$B$1:$IX$10144,AL$22,FALSE))=0,"",VLOOKUP($B46,Database!$B$1:$IX$10144,AL$22,FALSE)))</f>
        <v>ns</v>
      </c>
      <c r="AM46" s="22">
        <f>IF(OR($B46="",AM$22=""),"",IF(LEN(VLOOKUP($B46,Database!$B$1:$IX$10144,AM$22,FALSE))=0,"",VLOOKUP($B46,Database!$B$1:$IX$10144,AM$22,FALSE)))</f>
        <v>47.368421052631575</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Weber K, Giannakopoulos P, Delaloye C, de Bilbao F, Moy G, Moussa A, Rubio MM, Ebbing K, Meuli R, Lazeyras F, Meiler-Mititelu C, Herrmann FR, Gold G, Canuto A.</v>
      </c>
      <c r="AR46" s="13"/>
      <c r="AX46" s="13"/>
      <c r="AY46" s="13"/>
      <c r="AZ46" s="13"/>
      <c r="BA46" s="13"/>
      <c r="BC46" s="23"/>
      <c r="BF46" s="136"/>
      <c r="BG46" s="136"/>
      <c r="BH46" s="136"/>
      <c r="BI46" s="136"/>
    </row>
    <row r="47" spans="1:61">
      <c r="C47" s="1"/>
      <c r="D47" s="1"/>
      <c r="E47" s="22"/>
      <c r="F47" s="22"/>
      <c r="G47" s="1"/>
      <c r="H47" s="22"/>
      <c r="I47" s="22"/>
      <c r="Y47" s="22"/>
      <c r="Z47" s="22"/>
      <c r="AA47" s="22"/>
      <c r="AB47" s="22"/>
      <c r="AC47" s="22"/>
      <c r="AD47" s="22"/>
      <c r="AE47" s="22"/>
      <c r="AF47" s="22"/>
      <c r="AG47" s="22"/>
      <c r="AH47" s="22"/>
      <c r="AI47" s="22"/>
      <c r="AJ47" s="22"/>
      <c r="AK47" s="22"/>
      <c r="AL47" s="22"/>
      <c r="AM47" s="22"/>
      <c r="AN47" s="22"/>
      <c r="AO47" s="22"/>
      <c r="AP47" s="22"/>
      <c r="AQ47" s="22"/>
    </row>
    <row r="48" spans="1:61">
      <c r="A48" s="4" t="s">
        <v>1510</v>
      </c>
      <c r="C48" s="1"/>
      <c r="D48" s="1"/>
      <c r="E48" s="22"/>
      <c r="F48" s="22"/>
      <c r="G48" s="1"/>
      <c r="H48" s="22"/>
      <c r="I48" s="22"/>
      <c r="Y48" s="22"/>
      <c r="Z48" s="22"/>
      <c r="AA48" s="22"/>
      <c r="AB48" s="22"/>
      <c r="AC48" s="22"/>
      <c r="AD48" s="22"/>
      <c r="AE48" s="22"/>
      <c r="AF48" s="22"/>
      <c r="AG48" s="22"/>
      <c r="AH48" s="22"/>
      <c r="AI48" s="22"/>
      <c r="AJ48" s="22"/>
      <c r="AK48" s="22"/>
      <c r="AL48" s="22"/>
      <c r="AM48" s="22"/>
      <c r="AN48" s="22"/>
      <c r="AO48" s="22"/>
      <c r="AP48" s="22"/>
      <c r="AQ48" s="22"/>
    </row>
    <row r="49" spans="1:51">
      <c r="A49" s="10" t="s">
        <v>1914</v>
      </c>
      <c r="B49">
        <v>10366636</v>
      </c>
      <c r="C49" s="1" t="str">
        <f>IF($B49="","",HYPERLINK(IF(LEN(VLOOKUP($B49,Database!$B$1:$IX$10144,2,FALSE))=0,"",VLOOKUP($B49,Database!$B$1:$IX$10144,2,FALSE))))</f>
        <v/>
      </c>
      <c r="D49" s="1" t="str">
        <f t="shared" ref="D49:D55" si="2">IF($B49="","",HYPERLINK(CONCATENATE("http://www.ncbi.nlm.nih.gov/pubmed/",B49)))</f>
        <v>http://www.ncbi.nlm.nih.gov/pubmed/10366636</v>
      </c>
      <c r="E49" s="22" t="str">
        <f>IF($B49="","",IF(LEN(VLOOKUP($B49,Database!$B$1:$IX$10144,4,FALSE))=0,"",VLOOKUP($B49,Database!$B$1:$IX$10144,4,FALSE)))</f>
        <v>Sheline YI</v>
      </c>
      <c r="F49" s="22">
        <f>IF($B49="","",IF(LEN(VLOOKUP($B49,Database!$B$1:$IX$10144,5,FALSE))=0,"",VLOOKUP($B49,Database!$B$1:$IX$10144,5,FALSE)))</f>
        <v>1999</v>
      </c>
      <c r="G49" s="1" t="str">
        <f>IF($B49="","",HYPERLINK(IF(LEN(VLOOKUP($B49,Database!$B$1:$IX$10144,6,FALSE))=0,"",VLOOKUP($B49,Database!$B$1:$IX$10144,6,FALSE))))</f>
        <v>http://ajp.psychiatryonline.org/cgi/reprint/156/12/1989</v>
      </c>
      <c r="H49" s="22">
        <f>IF($B49="","",IF(LEN(VLOOKUP($B49,Database!$B$1:$IX$10144,7,FALSE))=0,"",VLOOKUP($B49,Database!$B$1:$IX$10144,7,FALSE)))</f>
        <v>24</v>
      </c>
      <c r="I49" s="22">
        <f>IF($B49="","",IF(LEN(VLOOKUP($B49,Database!$B$1:$IX$10144,8,FALSE))=0,"",VLOOKUP($B49,Database!$B$1:$IX$10144,8,FALSE)))</f>
        <v>24</v>
      </c>
      <c r="K49" s="10"/>
      <c r="Y49" s="22" t="str">
        <f>IF(OR($B49="",Y$22=""),"",IF(LEN(VLOOKUP($B49,Database!$B$1:$IX$10144,Y$22,FALSE))=0,"",VLOOKUP($B49,Database!$B$1:$IX$10144,Y$22,FALSE)))</f>
        <v>DSM-IV</v>
      </c>
      <c r="Z49" s="22" t="str">
        <f>IF(OR($B49="",Z$22=""),"",IF(LEN(VLOOKUP($B49,Database!$B$1:$IX$10144,Z$22,FALSE))=0,"",VLOOKUP($B49,Database!$B$1:$IX$10144,Z$22,FALSE)))</f>
        <v>MRI</v>
      </c>
      <c r="AA49" s="22" t="str">
        <f>IF(OR($B49="",AA$22=""),"",IF(LEN(VLOOKUP($B49,Database!$B$1:$IX$10144,AA$22,FALSE))=0,"",VLOOKUP($B49,Database!$B$1:$IX$10144,AA$22,FALSE)))</f>
        <v/>
      </c>
      <c r="AB49" s="22">
        <f>IF(OR($B49="",AB$22=""),"",IF(LEN(VLOOKUP($B49,Database!$B$1:$IX$10144,AB$22,FALSE))=0,"",VLOOKUP($B49,Database!$B$1:$IX$10144,AB$22,FALSE)))</f>
        <v>52.8</v>
      </c>
      <c r="AC49" s="22">
        <f>IF(OR($B49="",AC$22=""),"",IF(LEN(VLOOKUP($B49,Database!$B$1:$IX$10144,AC$22,FALSE))=0,"",VLOOKUP($B49,Database!$B$1:$IX$10144,AC$22,FALSE)))</f>
        <v>18.399999999999999</v>
      </c>
      <c r="AD49" s="22">
        <f>IF(OR($B49="",AD$22=""),"",IF(LEN(VLOOKUP($B49,Database!$B$1:$IX$10144,AD$22,FALSE))=0,"",VLOOKUP($B49,Database!$B$1:$IX$10144,AD$22,FALSE)))</f>
        <v>52.8</v>
      </c>
      <c r="AE49" s="22">
        <f>IF(OR($B49="",AE$22=""),"",IF(LEN(VLOOKUP($B49,Database!$B$1:$IX$10144,AE$22,FALSE))=0,"",VLOOKUP($B49,Database!$B$1:$IX$10144,AE$22,FALSE)))</f>
        <v>17.8</v>
      </c>
      <c r="AF49" s="22">
        <f>IF(OR($B49="",AF$22=""),"",IF(LEN(VLOOKUP($B49,Database!$B$1:$IX$10144,AF$22,FALSE))=0,"",VLOOKUP($B49,Database!$B$1:$IX$10144,AF$22,FALSE)))</f>
        <v>24</v>
      </c>
      <c r="AG49" s="22">
        <f>IF(OR($B49="",AG$22=""),"",IF(LEN(VLOOKUP($B49,Database!$B$1:$IX$10144,AG$22,FALSE))=0,"",VLOOKUP($B49,Database!$B$1:$IX$10144,AG$22,FALSE)))</f>
        <v>24</v>
      </c>
      <c r="AH49" s="22">
        <f>IF(OR($B49="",AH$22=""),"",IF(LEN(VLOOKUP($B49,Database!$B$1:$IX$10144,AH$22,FALSE))=0,"",VLOOKUP($B49,Database!$B$1:$IX$10144,AH$22,FALSE)))</f>
        <v>1.5</v>
      </c>
      <c r="AI49" s="22">
        <f>IF(OR($B49="",AI$22=""),"",IF(LEN(VLOOKUP($B49,Database!$B$1:$IX$10144,AI$22,FALSE))=0,"",VLOOKUP($B49,Database!$B$1:$IX$10144,AI$22,FALSE)))</f>
        <v>1.25</v>
      </c>
      <c r="AJ49" s="22" t="str">
        <f>IF(OR($B49="",AJ$22=""),"",IF(LEN(VLOOKUP($B49,Database!$B$1:$IX$10144,AJ$22,FALSE))=0,"",VLOOKUP($B49,Database!$B$1:$IX$10144,AJ$22,FALSE)))</f>
        <v/>
      </c>
      <c r="AK49" s="22" t="str">
        <f>IF(OR($B49="",AK$22=""),"",IF(LEN(VLOOKUP($B49,Database!$B$1:$IX$10144,AK$22,FALSE))=0,"",VLOOKUP($B49,Database!$B$1:$IX$10144,AK$22,FALSE)))</f>
        <v>ns</v>
      </c>
      <c r="AL49" s="22" t="str">
        <f>IF(OR($B49="",AL$22=""),"",IF(LEN(VLOOKUP($B49,Database!$B$1:$IX$10144,AL$22,FALSE))=0,"",VLOOKUP($B49,Database!$B$1:$IX$10144,AL$22,FALSE)))</f>
        <v>ns</v>
      </c>
      <c r="AM49" s="22">
        <f>IF(OR($B49="",AM$22=""),"",IF(LEN(VLOOKUP($B49,Database!$B$1:$IX$10144,AM$22,FALSE))=0,"",VLOOKUP($B49,Database!$B$1:$IX$10144,AM$22,FALSE)))</f>
        <v>66.666666666666657</v>
      </c>
      <c r="AN49" s="22" t="str">
        <f>IF(OR($B49="",AN$22=""),"",IF(LEN(VLOOKUP($B49,Database!$B$1:$IX$10144,AN$22,FALSE))=0,"",VLOOKUP($B49,Database!$B$1:$IX$10144,AN$22,FALSE)))</f>
        <v>ns</v>
      </c>
      <c r="AO49" s="22" t="str">
        <f>IF(OR($B49="",AO$22=""),"",IF(LEN(VLOOKUP($B49,Database!$B$1:$IX$10144,AO$22,FALSE))=0,"",VLOOKUP($B49,Database!$B$1:$IX$10144,AO$22,FALSE)))</f>
        <v>ns</v>
      </c>
      <c r="AP49" s="22" t="str">
        <f>IF(OR($B49="",AP$22=""),"",IF(LEN(VLOOKUP($B49,Database!$B$1:$IX$10144,AP$22,FALSE))=0,"",VLOOKUP($B49,Database!$B$1:$IX$10144,AP$22,FALSE)))</f>
        <v>ns</v>
      </c>
      <c r="AQ49" s="22" t="str">
        <f>IF(OR($B49="",AQ$22=""),"",IF(LEN(VLOOKUP($B49,Database!$B$1:$IX$10144,AQ$22,FALSE))=0,"",VLOOKUP($B49,Database!$B$1:$IX$10144,AQ$22,FALSE)))</f>
        <v>Sheline YI, Sanghavi M, Mintun MA, Gado MH.</v>
      </c>
    </row>
    <row r="50" spans="1:51">
      <c r="A50" s="10" t="s">
        <v>2027</v>
      </c>
      <c r="B50" s="13">
        <v>11983184</v>
      </c>
      <c r="C50" s="1" t="str">
        <f>IF($B50="","",HYPERLINK(IF(LEN(VLOOKUP($B50,Database!$B$1:$IX$10144,2,FALSE))=0,"",VLOOKUP($B50,Database!$B$1:$IX$10144,2,FALSE))))</f>
        <v/>
      </c>
      <c r="D50" s="1" t="str">
        <f t="shared" si="2"/>
        <v>http://www.ncbi.nlm.nih.gov/pubmed/11983184</v>
      </c>
      <c r="E50" s="22" t="str">
        <f>IF($B50="","",IF(LEN(VLOOKUP($B50,Database!$B$1:$IX$10144,4,FALSE))=0,"",VLOOKUP($B50,Database!$B$1:$IX$10144,4,FALSE)))</f>
        <v>Frodl T (A)</v>
      </c>
      <c r="F50" s="22">
        <f>IF($B50="","",IF(LEN(VLOOKUP($B50,Database!$B$1:$IX$10144,5,FALSE))=0,"",VLOOKUP($B50,Database!$B$1:$IX$10144,5,FALSE)))</f>
        <v>2002</v>
      </c>
      <c r="G50" s="1" t="str">
        <f>IF($B50="","",HYPERLINK(IF(LEN(VLOOKUP($B50,Database!$B$1:$IX$10144,6,FALSE))=0,"",VLOOKUP($B50,Database!$B$1:$IX$10144,6,FALSE))))</f>
        <v>http://dx.doi.org/10.1016/S0006-3223(01)01359-2</v>
      </c>
      <c r="H50" s="22">
        <f>IF($B50="","",IF(LEN(VLOOKUP($B50,Database!$B$1:$IX$10144,7,FALSE))=0,"",VLOOKUP($B50,Database!$B$1:$IX$10144,7,FALSE)))</f>
        <v>30</v>
      </c>
      <c r="I50" s="22">
        <f>IF($B50="","",IF(LEN(VLOOKUP($B50,Database!$B$1:$IX$10144,8,FALSE))=0,"",VLOOKUP($B50,Database!$B$1:$IX$10144,8,FALSE)))</f>
        <v>30</v>
      </c>
      <c r="K50" s="10"/>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40.299999999999997</v>
      </c>
      <c r="AC50" s="22">
        <f>IF(OR($B50="",AC$22=""),"",IF(LEN(VLOOKUP($B50,Database!$B$1:$IX$10144,AC$22,FALSE))=0,"",VLOOKUP($B50,Database!$B$1:$IX$10144,AC$22,FALSE)))</f>
        <v>12.6</v>
      </c>
      <c r="AD50" s="22">
        <f>IF(OR($B50="",AD$22=""),"",IF(LEN(VLOOKUP($B50,Database!$B$1:$IX$10144,AD$22,FALSE))=0,"",VLOOKUP($B50,Database!$B$1:$IX$10144,AD$22,FALSE)))</f>
        <v>40.6</v>
      </c>
      <c r="AE50" s="22">
        <f>IF(OR($B50="",AE$22=""),"",IF(LEN(VLOOKUP($B50,Database!$B$1:$IX$10144,AE$22,FALSE))=0,"",VLOOKUP($B50,Database!$B$1:$IX$10144,AE$22,FALSE)))</f>
        <v>12.5</v>
      </c>
      <c r="AF50" s="22">
        <f>IF(OR($B50="",AF$22=""),"",IF(LEN(VLOOKUP($B50,Database!$B$1:$IX$10144,AF$22,FALSE))=0,"",VLOOKUP($B50,Database!$B$1:$IX$10144,AF$22,FALSE)))</f>
        <v>17</v>
      </c>
      <c r="AG50" s="22">
        <f>IF(OR($B50="",AG$22=""),"",IF(LEN(VLOOKUP($B50,Database!$B$1:$IX$10144,AG$22,FALSE))=0,"",VLOOKUP($B50,Database!$B$1:$IX$10144,AG$22,FALSE)))</f>
        <v>17</v>
      </c>
      <c r="AH50" s="22">
        <f>IF(OR($B50="",AH$22=""),"",IF(LEN(VLOOKUP($B50,Database!$B$1:$IX$10144,AH$22,FALSE))=0,"",VLOOKUP($B50,Database!$B$1:$IX$10144,AH$22,FALSE)))</f>
        <v>1.5</v>
      </c>
      <c r="AI50" s="22">
        <f>IF(OR($B50="",AI$22=""),"",IF(LEN(VLOOKUP($B50,Database!$B$1:$IX$10144,AI$22,FALSE))=0,"",VLOOKUP($B50,Database!$B$1:$IX$10144,AI$22,FALSE)))</f>
        <v>1.5</v>
      </c>
      <c r="AJ50" s="22" t="str">
        <f>IF(OR($B50="",AJ$22=""),"",IF(LEN(VLOOKUP($B50,Database!$B$1:$IX$10144,AJ$22,FALSE))=0,"",VLOOKUP($B50,Database!$B$1:$IX$10144,AJ$22,FALSE)))</f>
        <v/>
      </c>
      <c r="AK50" s="22">
        <f>IF(OR($B50="",AK$22=""),"",IF(LEN(VLOOKUP($B50,Database!$B$1:$IX$10144,AK$22,FALSE))=0,"",VLOOKUP($B50,Database!$B$1:$IX$10144,AK$22,FALSE)))</f>
        <v>40</v>
      </c>
      <c r="AL50" s="22">
        <f>IF(OR($B50="",AL$22=""),"",IF(LEN(VLOOKUP($B50,Database!$B$1:$IX$10144,AL$22,FALSE))=0,"",VLOOKUP($B50,Database!$B$1:$IX$10144,AL$22,FALSE)))</f>
        <v>24.8</v>
      </c>
      <c r="AM50" s="22">
        <f>IF(OR($B50="",AM$22=""),"",IF(LEN(VLOOKUP($B50,Database!$B$1:$IX$10144,AM$22,FALSE))=0,"",VLOOKUP($B50,Database!$B$1:$IX$10144,AM$22,FALSE)))</f>
        <v>86.666666666666671</v>
      </c>
      <c r="AN50" s="22" t="str">
        <f>IF(OR($B50="",AN$22=""),"",IF(LEN(VLOOKUP($B50,Database!$B$1:$IX$10144,AN$22,FALSE))=0,"",VLOOKUP($B50,Database!$B$1:$IX$10144,AN$22,FALSE)))</f>
        <v>ns</v>
      </c>
      <c r="AO50" s="22" t="str">
        <f>IF(OR($B50="",AO$22=""),"",IF(LEN(VLOOKUP($B50,Database!$B$1:$IX$10144,AO$22,FALSE))=0,"",VLOOKUP($B50,Database!$B$1:$IX$10144,AO$22,FALSE)))</f>
        <v>ns</v>
      </c>
      <c r="AP50" s="22" t="str">
        <f>IF(OR($B50="",AP$22=""),"",IF(LEN(VLOOKUP($B50,Database!$B$1:$IX$10144,AP$22,FALSE))=0,"",VLOOKUP($B50,Database!$B$1:$IX$10144,AP$22,FALSE)))</f>
        <v>ns</v>
      </c>
      <c r="AQ50" s="22" t="str">
        <f>IF(OR($B50="",AQ$22=""),"",IF(LEN(VLOOKUP($B50,Database!$B$1:$IX$10144,AQ$22,FALSE))=0,"",VLOOKUP($B50,Database!$B$1:$IX$10144,AQ$22,FALSE)))</f>
        <v>Frodl T, Meisenzahl E, Zetzsche T, Bottlender R, Born C, Groll C, Jager M, Leinsinger G, Hahn K, Moller HJ.</v>
      </c>
    </row>
    <row r="51" spans="1:51">
      <c r="A51" s="10" t="s">
        <v>2190</v>
      </c>
      <c r="B51" s="13">
        <v>12804127</v>
      </c>
      <c r="C51" s="1" t="str">
        <f>IF($B51="","",HYPERLINK(IF(LEN(VLOOKUP($B51,Database!$B$1:$IX$10144,2,FALSE))=0,"",VLOOKUP($B51,Database!$B$1:$IX$10144,2,FALSE))))</f>
        <v/>
      </c>
      <c r="D51" s="1" t="str">
        <f t="shared" si="2"/>
        <v>http://www.ncbi.nlm.nih.gov/pubmed/12804127</v>
      </c>
      <c r="E51" s="22" t="str">
        <f>IF($B51="","",IF(LEN(VLOOKUP($B51,Database!$B$1:$IX$10144,4,FALSE))=0,"",VLOOKUP($B51,Database!$B$1:$IX$10144,4,FALSE)))</f>
        <v>MacMillan S</v>
      </c>
      <c r="F51" s="22">
        <f>IF($B51="","",IF(LEN(VLOOKUP($B51,Database!$B$1:$IX$10144,5,FALSE))=0,"",VLOOKUP($B51,Database!$B$1:$IX$10144,5,FALSE)))</f>
        <v>2003</v>
      </c>
      <c r="G51" s="1" t="str">
        <f>IF($B51="","",HYPERLINK(IF(LEN(VLOOKUP($B51,Database!$B$1:$IX$10144,6,FALSE))=0,"",VLOOKUP($B51,Database!$B$1:$IX$10144,6,FALSE))))</f>
        <v>http://www.liebertonline.com/doi/pdf/10.1089/104454603321666207</v>
      </c>
      <c r="H51" s="22">
        <f>IF($B51="","",IF(LEN(VLOOKUP($B51,Database!$B$1:$IX$10144,7,FALSE))=0,"",VLOOKUP($B51,Database!$B$1:$IX$10144,7,FALSE)))</f>
        <v>23</v>
      </c>
      <c r="I51" s="22">
        <f>IF($B51="","",IF(LEN(VLOOKUP($B51,Database!$B$1:$IX$10144,8,FALSE))=0,"",VLOOKUP($B51,Database!$B$1:$IX$10144,8,FALSE)))</f>
        <v>23</v>
      </c>
      <c r="J51" t="s">
        <v>326</v>
      </c>
      <c r="L51">
        <v>1.62</v>
      </c>
      <c r="M51">
        <v>0.3</v>
      </c>
      <c r="N51">
        <v>1.44</v>
      </c>
      <c r="O51">
        <v>0.3</v>
      </c>
      <c r="P51">
        <v>1.57</v>
      </c>
      <c r="Q51">
        <v>0.24</v>
      </c>
      <c r="R51">
        <v>1.46</v>
      </c>
      <c r="S51">
        <v>0.28000000000000003</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t="str">
        <f>IF(OR($B51="",AB$22=""),"",IF(LEN(VLOOKUP($B51,Database!$B$1:$IX$10144,AB$22,FALSE))=0,"",VLOOKUP($B51,Database!$B$1:$IX$10144,AB$22,FALSE)))</f>
        <v/>
      </c>
      <c r="AC51" s="22" t="str">
        <f>IF(OR($B51="",AC$22=""),"",IF(LEN(VLOOKUP($B51,Database!$B$1:$IX$10144,AC$22,FALSE))=0,"",VLOOKUP($B51,Database!$B$1:$IX$10144,AC$22,FALSE)))</f>
        <v/>
      </c>
      <c r="AD51" s="22" t="str">
        <f>IF(OR($B51="",AD$22=""),"",IF(LEN(VLOOKUP($B51,Database!$B$1:$IX$10144,AD$22,FALSE))=0,"",VLOOKUP($B51,Database!$B$1:$IX$10144,AD$22,FALSE)))</f>
        <v/>
      </c>
      <c r="AE51" s="22" t="str">
        <f>IF(OR($B51="",AE$22=""),"",IF(LEN(VLOOKUP($B51,Database!$B$1:$IX$10144,AE$22,FALSE))=0,"",VLOOKUP($B51,Database!$B$1:$IX$10144,AE$22,FALSE)))</f>
        <v/>
      </c>
      <c r="AF51" s="22">
        <f>IF(OR($B51="",AF$22=""),"",IF(LEN(VLOOKUP($B51,Database!$B$1:$IX$10144,AF$22,FALSE))=0,"",VLOOKUP($B51,Database!$B$1:$IX$10144,AF$22,FALSE)))</f>
        <v>13</v>
      </c>
      <c r="AG51" s="22">
        <f>IF(OR($B51="",AG$22=""),"",IF(LEN(VLOOKUP($B51,Database!$B$1:$IX$10144,AG$22,FALSE))=0,"",VLOOKUP($B51,Database!$B$1:$IX$10144,AG$22,FALSE)))</f>
        <v>13</v>
      </c>
      <c r="AH51" s="22">
        <f>IF(OR($B51="",AH$22=""),"",IF(LEN(VLOOKUP($B51,Database!$B$1:$IX$10144,AH$22,FALSE))=0,"",VLOOKUP($B51,Database!$B$1:$IX$10144,AH$22,FALSE)))</f>
        <v>1.5</v>
      </c>
      <c r="AI51" s="22">
        <f>IF(OR($B51="",AI$22=""),"",IF(LEN(VLOOKUP($B51,Database!$B$1:$IX$10144,AI$22,FALSE))=0,"",VLOOKUP($B51,Database!$B$1:$IX$10144,AI$22,FALSE)))</f>
        <v>1.5</v>
      </c>
      <c r="AJ51" s="22" t="str">
        <f>IF(OR($B51="",AJ$22=""),"",IF(LEN(VLOOKUP($B51,Database!$B$1:$IX$10144,AJ$22,FALSE))=0,"",VLOOKUP($B51,Database!$B$1:$IX$10144,AJ$22,FALSE)))</f>
        <v/>
      </c>
      <c r="AK51" s="22">
        <f>IF(OR($B51="",AK$22=""),"",IF(LEN(VLOOKUP($B51,Database!$B$1:$IX$10144,AK$22,FALSE))=0,"",VLOOKUP($B51,Database!$B$1:$IX$10144,AK$22,FALSE)))</f>
        <v>11.84</v>
      </c>
      <c r="AL51" s="22" t="str">
        <f>IF(OR($B51="",AL$22=""),"",IF(LEN(VLOOKUP($B51,Database!$B$1:$IX$10144,AL$22,FALSE))=0,"",VLOOKUP($B51,Database!$B$1:$IX$10144,AL$22,FALSE)))</f>
        <v>ns</v>
      </c>
      <c r="AM51" s="22">
        <f>IF(OR($B51="",AM$22=""),"",IF(LEN(VLOOKUP($B51,Database!$B$1:$IX$10144,AM$22,FALSE))=0,"",VLOOKUP($B51,Database!$B$1:$IX$10144,AM$22,FALSE)))</f>
        <v>0</v>
      </c>
      <c r="AN51" s="22">
        <f>IF(OR($B51="",AN$22=""),"",IF(LEN(VLOOKUP($B51,Database!$B$1:$IX$10144,AN$22,FALSE))=0,"",VLOOKUP($B51,Database!$B$1:$IX$10144,AN$22,FALSE)))</f>
        <v>0</v>
      </c>
      <c r="AO51" s="22">
        <f>IF(OR($B51="",AO$22=""),"",IF(LEN(VLOOKUP($B51,Database!$B$1:$IX$10144,AO$22,FALSE))=0,"",VLOOKUP($B51,Database!$B$1:$IX$10144,AO$22,FALSE)))</f>
        <v>0</v>
      </c>
      <c r="AP51" s="22">
        <f>IF(OR($B51="",AP$22=""),"",IF(LEN(VLOOKUP($B51,Database!$B$1:$IX$10144,AP$22,FALSE))=0,"",VLOOKUP($B51,Database!$B$1:$IX$10144,AP$22,FALSE)))</f>
        <v>100</v>
      </c>
      <c r="AQ51" s="22" t="str">
        <f>IF(OR($B51="",AQ$22=""),"",IF(LEN(VLOOKUP($B51,Database!$B$1:$IX$10144,AQ$22,FALSE))=0,"",VLOOKUP($B51,Database!$B$1:$IX$10144,AQ$22,FALSE)))</f>
        <v>MacMillan S, Szeszko PR, Moore GJ, Madden R, Lorch E, Ivey J, Banerjee SP, Rosenberg DR.</v>
      </c>
    </row>
    <row r="52" spans="1:51">
      <c r="A52" s="10" t="s">
        <v>424</v>
      </c>
      <c r="B52" s="13">
        <v>15119911</v>
      </c>
      <c r="C52" s="1" t="str">
        <f>IF($B52="","",HYPERLINK(IF(LEN(VLOOKUP($B52,Database!$B$1:$IX$10144,2,FALSE))=0,"",VLOOKUP($B52,Database!$B$1:$IX$10144,2,FALSE))))</f>
        <v/>
      </c>
      <c r="D52" s="1" t="str">
        <f t="shared" si="2"/>
        <v>http://www.ncbi.nlm.nih.gov/pubmed/15119911</v>
      </c>
      <c r="E52" s="22" t="str">
        <f>IF($B52="","",IF(LEN(VLOOKUP($B52,Database!$B$1:$IX$10144,4,FALSE))=0,"",VLOOKUP($B52,Database!$B$1:$IX$10144,4,FALSE)))</f>
        <v>Frodl T (B)</v>
      </c>
      <c r="F52" s="22">
        <f>IF($B52="","",IF(LEN(VLOOKUP($B52,Database!$B$1:$IX$10144,5,FALSE))=0,"",VLOOKUP($B52,Database!$B$1:$IX$10144,5,FALSE)))</f>
        <v>2004</v>
      </c>
      <c r="G52" s="1" t="str">
        <f>IF($B52="","",HYPERLINK(IF(LEN(VLOOKUP($B52,Database!$B$1:$IX$10144,6,FALSE))=0,"",VLOOKUP($B52,Database!$B$1:$IX$10144,6,FALSE))))</f>
        <v>http://www.psychiatrist.com/abstracts/abstracts.asp?abstract=200404/040405.htm</v>
      </c>
      <c r="H52" s="22">
        <f>IF($B52="","",IF(LEN(VLOOKUP($B52,Database!$B$1:$IX$10144,7,FALSE))=0,"",VLOOKUP($B52,Database!$B$1:$IX$10144,7,FALSE)))</f>
        <v>30</v>
      </c>
      <c r="I52" s="22">
        <f>IF($B52="","",IF(LEN(VLOOKUP($B52,Database!$B$1:$IX$10144,8,FALSE))=0,"",VLOOKUP($B52,Database!$B$1:$IX$10144,8,FALSE)))</f>
        <v>30</v>
      </c>
      <c r="L52">
        <v>1.69</v>
      </c>
      <c r="M52">
        <v>0.2</v>
      </c>
      <c r="N52">
        <v>1.66</v>
      </c>
      <c r="O52">
        <v>0.24</v>
      </c>
      <c r="P52">
        <v>1.68</v>
      </c>
      <c r="Q52">
        <v>0.26</v>
      </c>
      <c r="R52">
        <v>1.68</v>
      </c>
      <c r="S52">
        <v>0.24</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f>IF(OR($B52="",AB$22=""),"",IF(LEN(VLOOKUP($B52,Database!$B$1:$IX$10144,AB$22,FALSE))=0,"",VLOOKUP($B52,Database!$B$1:$IX$10144,AB$22,FALSE)))</f>
        <v>48.4</v>
      </c>
      <c r="AC52" s="22">
        <f>IF(OR($B52="",AC$22=""),"",IF(LEN(VLOOKUP($B52,Database!$B$1:$IX$10144,AC$22,FALSE))=0,"",VLOOKUP($B52,Database!$B$1:$IX$10144,AC$22,FALSE)))</f>
        <v>13.4</v>
      </c>
      <c r="AD52" s="22">
        <f>IF(OR($B52="",AD$22=""),"",IF(LEN(VLOOKUP($B52,Database!$B$1:$IX$10144,AD$22,FALSE))=0,"",VLOOKUP($B52,Database!$B$1:$IX$10144,AD$22,FALSE)))</f>
        <v>45.7</v>
      </c>
      <c r="AE52" s="22">
        <f>IF(OR($B52="",AE$22=""),"",IF(LEN(VLOOKUP($B52,Database!$B$1:$IX$10144,AE$22,FALSE))=0,"",VLOOKUP($B52,Database!$B$1:$IX$10144,AE$22,FALSE)))</f>
        <v>12.9</v>
      </c>
      <c r="AF52" s="22">
        <f>IF(OR($B52="",AF$22=""),"",IF(LEN(VLOOKUP($B52,Database!$B$1:$IX$10144,AF$22,FALSE))=0,"",VLOOKUP($B52,Database!$B$1:$IX$10144,AF$22,FALSE)))</f>
        <v>18</v>
      </c>
      <c r="AG52" s="22">
        <f>IF(OR($B52="",AG$22=""),"",IF(LEN(VLOOKUP($B52,Database!$B$1:$IX$10144,AG$22,FALSE))=0,"",VLOOKUP($B52,Database!$B$1:$IX$10144,AG$22,FALSE)))</f>
        <v>18</v>
      </c>
      <c r="AH52" s="22">
        <f>IF(OR($B52="",AH$22=""),"",IF(LEN(VLOOKUP($B52,Database!$B$1:$IX$10144,AH$22,FALSE))=0,"",VLOOKUP($B52,Database!$B$1:$IX$10144,AH$22,FALSE)))</f>
        <v>1.5</v>
      </c>
      <c r="AI52" s="22">
        <f>IF(OR($B52="",AI$22=""),"",IF(LEN(VLOOKUP($B52,Database!$B$1:$IX$10144,AI$22,FALSE))=0,"",VLOOKUP($B52,Database!$B$1:$IX$10144,AI$22,FALSE)))</f>
        <v>1.5</v>
      </c>
      <c r="AJ52" s="22" t="str">
        <f>IF(OR($B52="",AJ$22=""),"",IF(LEN(VLOOKUP($B52,Database!$B$1:$IX$10144,AJ$22,FALSE))=0,"",VLOOKUP($B52,Database!$B$1:$IX$10144,AJ$22,FALSE)))</f>
        <v/>
      </c>
      <c r="AK52" s="22">
        <f>IF(OR($B52="",AK$22=""),"",IF(LEN(VLOOKUP($B52,Database!$B$1:$IX$10144,AK$22,FALSE))=0,"",VLOOKUP($B52,Database!$B$1:$IX$10144,AK$22,FALSE)))</f>
        <v>39.299999999999997</v>
      </c>
      <c r="AL52" s="22">
        <f>IF(OR($B52="",AL$22=""),"",IF(LEN(VLOOKUP($B52,Database!$B$1:$IX$10144,AL$22,FALSE))=0,"",VLOOKUP($B52,Database!$B$1:$IX$10144,AL$22,FALSE)))</f>
        <v>23.7</v>
      </c>
      <c r="AM52" s="22" t="str">
        <f>IF(OR($B52="",AM$22=""),"",IF(LEN(VLOOKUP($B52,Database!$B$1:$IX$10144,AM$22,FALSE))=0,"",VLOOKUP($B52,Database!$B$1:$IX$10144,AM$22,FALSE)))</f>
        <v>ns</v>
      </c>
      <c r="AN52" s="22">
        <f>IF(OR($B52="",AN$22=""),"",IF(LEN(VLOOKUP($B52,Database!$B$1:$IX$10144,AN$22,FALSE))=0,"",VLOOKUP($B52,Database!$B$1:$IX$10144,AN$22,FALSE)))</f>
        <v>23.333333333333332</v>
      </c>
      <c r="AO52" s="22" t="str">
        <f>IF(OR($B52="",AO$22=""),"",IF(LEN(VLOOKUP($B52,Database!$B$1:$IX$10144,AO$22,FALSE))=0,"",VLOOKUP($B52,Database!$B$1:$IX$10144,AO$22,FALSE)))</f>
        <v>ns</v>
      </c>
      <c r="AP52" s="22">
        <f>IF(OR($B52="",AP$22=""),"",IF(LEN(VLOOKUP($B52,Database!$B$1:$IX$10144,AP$22,FALSE))=0,"",VLOOKUP($B52,Database!$B$1:$IX$10144,AP$22,FALSE)))</f>
        <v>6.666666666666667</v>
      </c>
      <c r="AQ52" s="22" t="str">
        <f>IF(OR($B52="",AQ$22=""),"",IF(LEN(VLOOKUP($B52,Database!$B$1:$IX$10144,AQ$22,FALSE))=0,"",VLOOKUP($B52,Database!$B$1:$IX$10144,AQ$22,FALSE)))</f>
        <v>Frodl T, Meisenzahl EM, Zetzsche T, Hohne T, Banac S, Schorr C, Jager M, Leinsinger G, Bottlender R, Reiser M, Moller HJ.</v>
      </c>
    </row>
    <row r="53" spans="1:51">
      <c r="A53" s="10" t="s">
        <v>424</v>
      </c>
      <c r="B53">
        <v>18787661</v>
      </c>
      <c r="C53" s="1" t="str">
        <f>IF($B53="","",HYPERLINK(IF(LEN(VLOOKUP($B53,Database!$B$1:$IX$10144,2,FALSE))=0,"",VLOOKUP($B53,Database!$B$1:$IX$10144,2,FALSE))))</f>
        <v/>
      </c>
      <c r="D53" s="1" t="str">
        <f t="shared" si="2"/>
        <v>http://www.ncbi.nlm.nih.gov/pubmed/18787661</v>
      </c>
      <c r="E53" s="22" t="str">
        <f>IF($B53="","",IF(LEN(VLOOKUP($B53,Database!$B$1:$IX$10144,4,FALSE))=0,"",VLOOKUP($B53,Database!$B$1:$IX$10144,4,FALSE)))</f>
        <v>Frodl T (C)</v>
      </c>
      <c r="F53" s="22">
        <f>IF($B53="","",IF(LEN(VLOOKUP($B53,Database!$B$1:$IX$10144,5,FALSE))=0,"",VLOOKUP($B53,Database!$B$1:$IX$10144,5,FALSE)))</f>
        <v>2008</v>
      </c>
      <c r="G53" s="1" t="str">
        <f>IF($B53="","",HYPERLINK(IF(LEN(VLOOKUP($B53,Database!$B$1:$IX$10144,6,FALSE))=0,"",VLOOKUP($B53,Database!$B$1:$IX$10144,6,FALSE))))</f>
        <v>http://www.cma.ca/multimedia/staticContent/HTML/N0/l2/jpn/vol-33/issue-5/pdf/pg423.pdf</v>
      </c>
      <c r="H53" s="22">
        <f>IF($B53="","",IF(LEN(VLOOKUP($B53,Database!$B$1:$IX$10144,7,FALSE))=0,"",VLOOKUP($B53,Database!$B$1:$IX$10144,7,FALSE)))</f>
        <v>30</v>
      </c>
      <c r="I53" s="22">
        <f>IF($B53="","",IF(LEN(VLOOKUP($B53,Database!$B$1:$IX$10144,8,FALSE))=0,"",VLOOKUP($B53,Database!$B$1:$IX$10144,8,FALSE)))</f>
        <v>30</v>
      </c>
      <c r="J53" t="s">
        <v>653</v>
      </c>
      <c r="L53">
        <v>1.47</v>
      </c>
      <c r="M53">
        <v>0.25</v>
      </c>
      <c r="N53">
        <v>1.39</v>
      </c>
      <c r="O53">
        <v>0.21</v>
      </c>
      <c r="P53">
        <v>1.56</v>
      </c>
      <c r="Q53">
        <v>0.3</v>
      </c>
      <c r="R53">
        <v>1.45</v>
      </c>
      <c r="S53">
        <v>0.28000000000000003</v>
      </c>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45</v>
      </c>
      <c r="AC53" s="22">
        <f>IF(OR($B53="",AC$22=""),"",IF(LEN(VLOOKUP($B53,Database!$B$1:$IX$10144,AC$22,FALSE))=0,"",VLOOKUP($B53,Database!$B$1:$IX$10144,AC$22,FALSE)))</f>
        <v>11.1</v>
      </c>
      <c r="AD53" s="22">
        <f>IF(OR($B53="",AD$22=""),"",IF(LEN(VLOOKUP($B53,Database!$B$1:$IX$10144,AD$22,FALSE))=0,"",VLOOKUP($B53,Database!$B$1:$IX$10144,AD$22,FALSE)))</f>
        <v>43.6</v>
      </c>
      <c r="AE53" s="22">
        <f>IF(OR($B53="",AE$22=""),"",IF(LEN(VLOOKUP($B53,Database!$B$1:$IX$10144,AE$22,FALSE))=0,"",VLOOKUP($B53,Database!$B$1:$IX$10144,AE$22,FALSE)))</f>
        <v>13.1</v>
      </c>
      <c r="AF53" s="22">
        <f>IF(OR($B53="",AF$22=""),"",IF(LEN(VLOOKUP($B53,Database!$B$1:$IX$10144,AF$22,FALSE))=0,"",VLOOKUP($B53,Database!$B$1:$IX$10144,AF$22,FALSE)))</f>
        <v>19</v>
      </c>
      <c r="AG53" s="22">
        <f>IF(OR($B53="",AG$22=""),"",IF(LEN(VLOOKUP($B53,Database!$B$1:$IX$10144,AG$22,FALSE))=0,"",VLOOKUP($B53,Database!$B$1:$IX$10144,AG$22,FALSE)))</f>
        <v>19</v>
      </c>
      <c r="AH53" s="22">
        <f>IF(OR($B53="",AH$22=""),"",IF(LEN(VLOOKUP($B53,Database!$B$1:$IX$10144,AH$22,FALSE))=0,"",VLOOKUP($B53,Database!$B$1:$IX$10144,AH$22,FALSE)))</f>
        <v>1.5</v>
      </c>
      <c r="AI53" s="22">
        <f>IF(OR($B53="",AI$22=""),"",IF(LEN(VLOOKUP($B53,Database!$B$1:$IX$10144,AI$22,FALSE))=0,"",VLOOKUP($B53,Database!$B$1:$IX$10144,AI$22,FALSE)))</f>
        <v>1.5</v>
      </c>
      <c r="AJ53" s="22" t="str">
        <f>IF(OR($B53="",AJ$22=""),"",IF(LEN(VLOOKUP($B53,Database!$B$1:$IX$10144,AJ$22,FALSE))=0,"",VLOOKUP($B53,Database!$B$1:$IX$10144,AJ$22,FALSE)))</f>
        <v/>
      </c>
      <c r="AK53" s="22">
        <f>IF(OR($B53="",AK$22=""),"",IF(LEN(VLOOKUP($B53,Database!$B$1:$IX$10144,AK$22,FALSE))=0,"",VLOOKUP($B53,Database!$B$1:$IX$10144,AK$22,FALSE)))</f>
        <v>39.299999999999997</v>
      </c>
      <c r="AL53" s="22">
        <f>IF(OR($B53="",AL$22=""),"",IF(LEN(VLOOKUP($B53,Database!$B$1:$IX$10144,AL$22,FALSE))=0,"",VLOOKUP($B53,Database!$B$1:$IX$10144,AL$22,FALSE)))</f>
        <v>24</v>
      </c>
      <c r="AM53" s="22">
        <f>IF(OR($B53="",AM$22=""),"",IF(LEN(VLOOKUP($B53,Database!$B$1:$IX$10144,AM$22,FALSE))=0,"",VLOOKUP($B53,Database!$B$1:$IX$10144,AM$22,FALSE)))</f>
        <v>96.666666666666671</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Frodl T, Jäger M, Smajstrlova I, Born C, Bottlender R, Palladino T, Reiser M, Möller HJ, Meisenzahl EM.</v>
      </c>
    </row>
    <row r="54" spans="1:51">
      <c r="A54" s="10" t="s">
        <v>2336</v>
      </c>
      <c r="B54">
        <v>17389903</v>
      </c>
      <c r="C54" s="1" t="str">
        <f>IF($B54="","",HYPERLINK(IF(LEN(VLOOKUP($B54,Database!$B$1:$IX$10144,2,FALSE))=0,"",VLOOKUP($B54,Database!$B$1:$IX$10144,2,FALSE))))</f>
        <v/>
      </c>
      <c r="D54" s="1" t="str">
        <f t="shared" si="2"/>
        <v>http://www.ncbi.nlm.nih.gov/pubmed/17389903</v>
      </c>
      <c r="E54" s="22" t="str">
        <f>IF($B54="","",IF(LEN(VLOOKUP($B54,Database!$B$1:$IX$10144,4,FALSE))=0,"",VLOOKUP($B54,Database!$B$1:$IX$10144,4,FALSE)))</f>
        <v>Monkul ES</v>
      </c>
      <c r="F54" s="22">
        <f>IF($B54="","",IF(LEN(VLOOKUP($B54,Database!$B$1:$IX$10144,5,FALSE))=0,"",VLOOKUP($B54,Database!$B$1:$IX$10144,5,FALSE)))</f>
        <v>2007</v>
      </c>
      <c r="G54" s="1" t="str">
        <f>IF($B54="","",HYPERLINK(IF(LEN(VLOOKUP($B54,Database!$B$1:$IX$10144,6,FALSE))=0,"",VLOOKUP($B54,Database!$B$1:$IX$10144,6,FALSE))))</f>
        <v>http://www.nature.com/mp/journal/v12/n4/pdf/4001919a.pdf</v>
      </c>
      <c r="H54" s="83">
        <v>7</v>
      </c>
      <c r="I54" s="83">
        <v>8.5</v>
      </c>
      <c r="J54" t="s">
        <v>1654</v>
      </c>
      <c r="K54" t="s">
        <v>1157</v>
      </c>
      <c r="L54">
        <v>2.0499999999999998</v>
      </c>
      <c r="M54">
        <v>0.37</v>
      </c>
      <c r="N54">
        <v>1.99</v>
      </c>
      <c r="O54">
        <v>0.39</v>
      </c>
      <c r="P54">
        <v>2.46</v>
      </c>
      <c r="Q54">
        <v>0.28999999999999998</v>
      </c>
      <c r="R54">
        <v>2.08</v>
      </c>
      <c r="S54">
        <v>0.43</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t="str">
        <f>IF(OR($B54="",AB$22=""),"",IF(LEN(VLOOKUP($B54,Database!$B$1:$IX$10144,AB$22,FALSE))=0,"",VLOOKUP($B54,Database!$B$1:$IX$10144,AB$22,FALSE)))</f>
        <v/>
      </c>
      <c r="AC54" s="22" t="str">
        <f>IF(OR($B54="",AC$22=""),"",IF(LEN(VLOOKUP($B54,Database!$B$1:$IX$10144,AC$22,FALSE))=0,"",VLOOKUP($B54,Database!$B$1:$IX$10144,AC$22,FALSE)))</f>
        <v/>
      </c>
      <c r="AD54" s="22">
        <f>IF(OR($B54="",AD$22=""),"",IF(LEN(VLOOKUP($B54,Database!$B$1:$IX$10144,AD$22,FALSE))=0,"",VLOOKUP($B54,Database!$B$1:$IX$10144,AD$22,FALSE)))</f>
        <v>31.3</v>
      </c>
      <c r="AE54" s="22">
        <f>IF(OR($B54="",AE$22=""),"",IF(LEN(VLOOKUP($B54,Database!$B$1:$IX$10144,AE$22,FALSE))=0,"",VLOOKUP($B54,Database!$B$1:$IX$10144,AE$22,FALSE)))</f>
        <v>8.3000000000000007</v>
      </c>
      <c r="AF54" s="22">
        <f>IF(OR($B54="",AF$22=""),"",IF(LEN(VLOOKUP($B54,Database!$B$1:$IX$10144,AF$22,FALSE))=0,"",VLOOKUP($B54,Database!$B$1:$IX$10144,AF$22,FALSE)))</f>
        <v>17</v>
      </c>
      <c r="AG54" s="22">
        <f>IF(OR($B54="",AG$22=""),"",IF(LEN(VLOOKUP($B54,Database!$B$1:$IX$10144,AG$22,FALSE))=0,"",VLOOKUP($B54,Database!$B$1:$IX$10144,AG$22,FALSE)))</f>
        <v>17</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t="str">
        <f>IF(OR($B54="",AK$22=""),"",IF(LEN(VLOOKUP($B54,Database!$B$1:$IX$10144,AK$22,FALSE))=0,"",VLOOKUP($B54,Database!$B$1:$IX$10144,AK$22,FALSE)))</f>
        <v>split depending on group (suicidal=16, nonsuicidal=26.9)</v>
      </c>
      <c r="AL54" s="22" t="str">
        <f>IF(OR($B54="",AL$22=""),"",IF(LEN(VLOOKUP($B54,Database!$B$1:$IX$10144,AL$22,FALSE))=0,"",VLOOKUP($B54,Database!$B$1:$IX$10144,AL$22,FALSE)))</f>
        <v>split depending on group (suicidal =13.7, non-suicidal = 10.9)</v>
      </c>
      <c r="AM54" s="22">
        <f>IF(OR($B54="",AM$22=""),"",IF(LEN(VLOOKUP($B54,Database!$B$1:$IX$10144,AM$22,FALSE))=0,"",VLOOKUP($B54,Database!$B$1:$IX$10144,AM$22,FALSE)))</f>
        <v>0</v>
      </c>
      <c r="AN54" s="22">
        <f>IF(OR($B54="",AN$22=""),"",IF(LEN(VLOOKUP($B54,Database!$B$1:$IX$10144,AN$22,FALSE))=0,"",VLOOKUP($B54,Database!$B$1:$IX$10144,AN$22,FALSE)))</f>
        <v>0</v>
      </c>
      <c r="AO54" s="22">
        <f>IF(OR($B54="",AO$22=""),"",IF(LEN(VLOOKUP($B54,Database!$B$1:$IX$10144,AO$22,FALSE))=0,"",VLOOKUP($B54,Database!$B$1:$IX$10144,AO$22,FALSE)))</f>
        <v>0</v>
      </c>
      <c r="AP54" s="22">
        <f>IF(OR($B54="",AP$22=""),"",IF(LEN(VLOOKUP($B54,Database!$B$1:$IX$10144,AP$22,FALSE))=0,"",VLOOKUP($B54,Database!$B$1:$IX$10144,AP$22,FALSE)))</f>
        <v>100</v>
      </c>
      <c r="AQ54" s="22" t="str">
        <f>IF(OR($B54="",AQ$22=""),"",IF(LEN(VLOOKUP($B54,Database!$B$1:$IX$10144,AQ$22,FALSE))=0,"",VLOOKUP($B54,Database!$B$1:$IX$10144,AQ$22,FALSE)))</f>
        <v>Monkul ES, Hatch JP, Nicoletti MA, Spence S, Brambilla P, Lacerda AL, Sassi RB, Mallinger AG, Keshavan MS, Soares JC.</v>
      </c>
    </row>
    <row r="55" spans="1:51">
      <c r="A55" s="10" t="s">
        <v>2336</v>
      </c>
      <c r="B55">
        <v>17389903</v>
      </c>
      <c r="C55" s="1" t="str">
        <f>IF($B55="","",HYPERLINK(IF(LEN(VLOOKUP($B55,Database!$B$1:$IX$10144,2,FALSE))=0,"",VLOOKUP($B55,Database!$B$1:$IX$10144,2,FALSE))))</f>
        <v/>
      </c>
      <c r="D55" s="1" t="str">
        <f t="shared" si="2"/>
        <v>http://www.ncbi.nlm.nih.gov/pubmed/17389903</v>
      </c>
      <c r="E55" s="22" t="str">
        <f>IF($B55="","",IF(LEN(VLOOKUP($B55,Database!$B$1:$IX$10144,4,FALSE))=0,"",VLOOKUP($B55,Database!$B$1:$IX$10144,4,FALSE)))</f>
        <v>Monkul ES</v>
      </c>
      <c r="F55" s="22">
        <f>IF($B55="","",IF(LEN(VLOOKUP($B55,Database!$B$1:$IX$10144,5,FALSE))=0,"",VLOOKUP($B55,Database!$B$1:$IX$10144,5,FALSE)))</f>
        <v>2007</v>
      </c>
      <c r="G55" s="1" t="str">
        <f>IF($B55="","",HYPERLINK(IF(LEN(VLOOKUP($B55,Database!$B$1:$IX$10144,6,FALSE))=0,"",VLOOKUP($B55,Database!$B$1:$IX$10144,6,FALSE))))</f>
        <v>http://www.nature.com/mp/journal/v12/n4/pdf/4001919a.pdf</v>
      </c>
      <c r="H55" s="83">
        <v>10</v>
      </c>
      <c r="I55" s="83">
        <v>8.5</v>
      </c>
      <c r="J55" t="s">
        <v>1654</v>
      </c>
      <c r="K55" t="s">
        <v>1158</v>
      </c>
      <c r="L55">
        <v>1.91</v>
      </c>
      <c r="M55">
        <v>0.44</v>
      </c>
      <c r="N55">
        <v>1.99</v>
      </c>
      <c r="O55">
        <v>0.39</v>
      </c>
      <c r="P55">
        <v>1.9</v>
      </c>
      <c r="Q55">
        <v>0.45</v>
      </c>
      <c r="R55">
        <v>2.08</v>
      </c>
      <c r="S55">
        <v>0.43</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t="str">
        <f>IF(OR($B55="",AB$22=""),"",IF(LEN(VLOOKUP($B55,Database!$B$1:$IX$10144,AB$22,FALSE))=0,"",VLOOKUP($B55,Database!$B$1:$IX$10144,AB$22,FALSE)))</f>
        <v/>
      </c>
      <c r="AC55" s="22" t="str">
        <f>IF(OR($B55="",AC$22=""),"",IF(LEN(VLOOKUP($B55,Database!$B$1:$IX$10144,AC$22,FALSE))=0,"",VLOOKUP($B55,Database!$B$1:$IX$10144,AC$22,FALSE)))</f>
        <v/>
      </c>
      <c r="AD55" s="22">
        <f>IF(OR($B55="",AD$22=""),"",IF(LEN(VLOOKUP($B55,Database!$B$1:$IX$10144,AD$22,FALSE))=0,"",VLOOKUP($B55,Database!$B$1:$IX$10144,AD$22,FALSE)))</f>
        <v>31.3</v>
      </c>
      <c r="AE55" s="22">
        <f>IF(OR($B55="",AE$22=""),"",IF(LEN(VLOOKUP($B55,Database!$B$1:$IX$10144,AE$22,FALSE))=0,"",VLOOKUP($B55,Database!$B$1:$IX$10144,AE$22,FALSE)))</f>
        <v>8.3000000000000007</v>
      </c>
      <c r="AF55" s="22">
        <f>IF(OR($B55="",AF$22=""),"",IF(LEN(VLOOKUP($B55,Database!$B$1:$IX$10144,AF$22,FALSE))=0,"",VLOOKUP($B55,Database!$B$1:$IX$10144,AF$22,FALSE)))</f>
        <v>17</v>
      </c>
      <c r="AG55" s="22">
        <f>IF(OR($B55="",AG$22=""),"",IF(LEN(VLOOKUP($B55,Database!$B$1:$IX$10144,AG$22,FALSE))=0,"",VLOOKUP($B55,Database!$B$1:$IX$10144,AG$22,FALSE)))</f>
        <v>17</v>
      </c>
      <c r="AH55" s="22">
        <f>IF(OR($B55="",AH$22=""),"",IF(LEN(VLOOKUP($B55,Database!$B$1:$IX$10144,AH$22,FALSE))=0,"",VLOOKUP($B55,Database!$B$1:$IX$10144,AH$22,FALSE)))</f>
        <v>1.5</v>
      </c>
      <c r="AI55" s="22">
        <f>IF(OR($B55="",AI$22=""),"",IF(LEN(VLOOKUP($B55,Database!$B$1:$IX$10144,AI$22,FALSE))=0,"",VLOOKUP($B55,Database!$B$1:$IX$10144,AI$22,FALSE)))</f>
        <v>1.5</v>
      </c>
      <c r="AJ55" s="22" t="str">
        <f>IF(OR($B55="",AJ$22=""),"",IF(LEN(VLOOKUP($B55,Database!$B$1:$IX$10144,AJ$22,FALSE))=0,"",VLOOKUP($B55,Database!$B$1:$IX$10144,AJ$22,FALSE)))</f>
        <v/>
      </c>
      <c r="AK55" s="22" t="str">
        <f>IF(OR($B55="",AK$22=""),"",IF(LEN(VLOOKUP($B55,Database!$B$1:$IX$10144,AK$22,FALSE))=0,"",VLOOKUP($B55,Database!$B$1:$IX$10144,AK$22,FALSE)))</f>
        <v>split depending on group (suicidal=16, nonsuicidal=26.9)</v>
      </c>
      <c r="AL55" s="22" t="str">
        <f>IF(OR($B55="",AL$22=""),"",IF(LEN(VLOOKUP($B55,Database!$B$1:$IX$10144,AL$22,FALSE))=0,"",VLOOKUP($B55,Database!$B$1:$IX$10144,AL$22,FALSE)))</f>
        <v>split depending on group (suicidal =13.7, non-suicidal = 10.9)</v>
      </c>
      <c r="AM55" s="22">
        <f>IF(OR($B55="",AM$22=""),"",IF(LEN(VLOOKUP($B55,Database!$B$1:$IX$10144,AM$22,FALSE))=0,"",VLOOKUP($B55,Database!$B$1:$IX$10144,AM$22,FALSE)))</f>
        <v>0</v>
      </c>
      <c r="AN55" s="22">
        <f>IF(OR($B55="",AN$22=""),"",IF(LEN(VLOOKUP($B55,Database!$B$1:$IX$10144,AN$22,FALSE))=0,"",VLOOKUP($B55,Database!$B$1:$IX$10144,AN$22,FALSE)))</f>
        <v>0</v>
      </c>
      <c r="AO55" s="22">
        <f>IF(OR($B55="",AO$22=""),"",IF(LEN(VLOOKUP($B55,Database!$B$1:$IX$10144,AO$22,FALSE))=0,"",VLOOKUP($B55,Database!$B$1:$IX$10144,AO$22,FALSE)))</f>
        <v>0</v>
      </c>
      <c r="AP55" s="22">
        <f>IF(OR($B55="",AP$22=""),"",IF(LEN(VLOOKUP($B55,Database!$B$1:$IX$10144,AP$22,FALSE))=0,"",VLOOKUP($B55,Database!$B$1:$IX$10144,AP$22,FALSE)))</f>
        <v>100</v>
      </c>
      <c r="AQ55" s="22" t="str">
        <f>IF(OR($B55="",AQ$22=""),"",IF(LEN(VLOOKUP($B55,Database!$B$1:$IX$10144,AQ$22,FALSE))=0,"",VLOOKUP($B55,Database!$B$1:$IX$10144,AQ$22,FALSE)))</f>
        <v>Monkul ES, Hatch JP, Nicoletti MA, Spence S, Brambilla P, Lacerda AL, Sassi RB, Mallinger AG, Keshavan MS, Soares JC.</v>
      </c>
    </row>
    <row r="56" spans="1:51">
      <c r="A56" s="10"/>
      <c r="C56" s="1"/>
      <c r="D56" s="1"/>
      <c r="E56" s="22"/>
      <c r="F56" s="22"/>
      <c r="G56" s="1"/>
      <c r="H56" s="22"/>
      <c r="I56" s="22"/>
      <c r="Y56" s="22"/>
      <c r="Z56" s="22"/>
      <c r="AA56" s="22"/>
      <c r="AB56" s="22"/>
      <c r="AC56" s="22"/>
      <c r="AD56" s="22"/>
      <c r="AE56" s="22"/>
      <c r="AF56" s="22"/>
      <c r="AG56" s="22"/>
      <c r="AH56" s="22"/>
      <c r="AI56" s="22"/>
      <c r="AJ56" s="22"/>
      <c r="AK56" s="22"/>
      <c r="AL56" s="22"/>
      <c r="AM56" s="22"/>
      <c r="AN56" s="22"/>
      <c r="AO56" s="22"/>
      <c r="AP56" s="22"/>
      <c r="AQ56" s="22"/>
    </row>
    <row r="57" spans="1:51">
      <c r="I57" s="22" t="str">
        <f>IF($B57="","",IF(LEN(VLOOKUP($B57,Database!$B$1:$IX$10144,8,FALSE))=0,"",VLOOKUP($B57,Database!$B$1:$IX$10144,8,FALSE)))</f>
        <v/>
      </c>
      <c r="AF57" t="s">
        <v>602</v>
      </c>
      <c r="AJ57" t="s">
        <v>329</v>
      </c>
      <c r="AN57" t="s">
        <v>330</v>
      </c>
    </row>
    <row r="58" spans="1:51" ht="45" customHeight="1">
      <c r="E58" s="60" t="s">
        <v>617</v>
      </c>
      <c r="F58" s="60" t="s">
        <v>740</v>
      </c>
      <c r="G58" s="60" t="s">
        <v>244</v>
      </c>
      <c r="H58" s="60" t="s">
        <v>245</v>
      </c>
      <c r="I58" s="60" t="s">
        <v>246</v>
      </c>
      <c r="J58" s="60" t="s">
        <v>593</v>
      </c>
      <c r="K58" s="60" t="s">
        <v>1039</v>
      </c>
      <c r="L58" s="60" t="s">
        <v>594</v>
      </c>
      <c r="M58" s="60" t="s">
        <v>1299</v>
      </c>
      <c r="N58" s="61" t="s">
        <v>595</v>
      </c>
      <c r="O58" s="61" t="s">
        <v>596</v>
      </c>
      <c r="P58" s="61" t="s">
        <v>597</v>
      </c>
      <c r="Q58" s="61" t="s">
        <v>598</v>
      </c>
      <c r="R58" s="61" t="s">
        <v>599</v>
      </c>
      <c r="S58" s="61" t="s">
        <v>600</v>
      </c>
      <c r="T58" s="61" t="s">
        <v>601</v>
      </c>
      <c r="U58" s="61" t="s">
        <v>484</v>
      </c>
      <c r="V58" s="61" t="s">
        <v>485</v>
      </c>
      <c r="W58" s="61" t="s">
        <v>486</v>
      </c>
      <c r="AF58" s="61" t="s">
        <v>1517</v>
      </c>
      <c r="AG58" s="62" t="s">
        <v>834</v>
      </c>
      <c r="AH58" s="62" t="s">
        <v>835</v>
      </c>
      <c r="AJ58" s="61" t="s">
        <v>836</v>
      </c>
      <c r="AK58" s="61" t="s">
        <v>837</v>
      </c>
      <c r="AL58" s="61" t="s">
        <v>487</v>
      </c>
      <c r="AN58" t="s">
        <v>488</v>
      </c>
      <c r="AO58" t="s">
        <v>489</v>
      </c>
      <c r="AP58" t="s">
        <v>490</v>
      </c>
      <c r="AQ58" t="s">
        <v>491</v>
      </c>
      <c r="AR58" t="s">
        <v>492</v>
      </c>
      <c r="AS58" t="s">
        <v>493</v>
      </c>
      <c r="AT58" t="s">
        <v>494</v>
      </c>
      <c r="AU58" t="s">
        <v>495</v>
      </c>
      <c r="AV58" t="s">
        <v>496</v>
      </c>
      <c r="AW58" t="s">
        <v>497</v>
      </c>
      <c r="AX58" t="s">
        <v>498</v>
      </c>
      <c r="AY58" t="s">
        <v>499</v>
      </c>
    </row>
    <row r="59" spans="1:51">
      <c r="E59" t="str">
        <f t="shared" ref="E59:F62" si="3">E24</f>
        <v>Sheline YI</v>
      </c>
      <c r="F59">
        <f t="shared" si="3"/>
        <v>1998</v>
      </c>
      <c r="G59">
        <v>23</v>
      </c>
      <c r="H59">
        <f t="shared" ref="H59:I62" si="4">H24</f>
        <v>20</v>
      </c>
      <c r="I59">
        <f t="shared" si="4"/>
        <v>20</v>
      </c>
      <c r="J59">
        <f t="shared" ref="J59:M62" si="5">IF($D$4="Total",T24,IF($D$4="Left",L24,IF($D$4="Right",P24,"error")))</f>
        <v>1724</v>
      </c>
      <c r="K59">
        <f t="shared" si="5"/>
        <v>304</v>
      </c>
      <c r="L59">
        <f t="shared" si="5"/>
        <v>1752</v>
      </c>
      <c r="M59">
        <f t="shared" si="5"/>
        <v>295</v>
      </c>
      <c r="N59">
        <f t="shared" ref="N59:N73" si="6">IF($D$3=1,SQRT((((I59-1)*(M59)^2)+((H59-1)*(K59)^2))/(H59+I59-2)),M59)</f>
        <v>299.53380443616044</v>
      </c>
      <c r="O59" s="59">
        <f t="shared" ref="O59:O73" si="7">IF($D$6=1,LN(J59/L59),IF($D$5=1,(1-3/(4*(H59+I59)-9))*((J59-L59)/N59),(J59-L59)/N59))</f>
        <v>-9.1621407009239889E-2</v>
      </c>
      <c r="P59" s="63">
        <f t="shared" ref="P59:P73" si="8">IF($D$6=1,(K59^2)/(H59*J59^2)+(M59^2)/(I59*L59^2),(IF($D$5=1,((H59+I59)/(H59*I59))+(O59*O59)/(2*(H59+I59-3.94)),((H59+I59)/(H59*I59))+((O59^2)/(2*(H59+I59-2))))))</f>
        <v>0.10011639603747023</v>
      </c>
      <c r="Q59" s="59">
        <f t="shared" ref="Q59:Q81" si="9">$R$98*SQRT(P59)</f>
        <v>0.62016703154678066</v>
      </c>
      <c r="R59" s="59">
        <f t="shared" ref="R59:R73" si="10">1/P59</f>
        <v>9.9883739285394704</v>
      </c>
      <c r="S59" s="59">
        <f t="shared" ref="S59:S73" si="11">O59*R59</f>
        <v>-0.91514887306719517</v>
      </c>
      <c r="T59" s="59">
        <f t="shared" ref="T59:T73" si="12">R59*(O59^2)</f>
        <v>8.3847227373336705E-2</v>
      </c>
      <c r="U59" s="23">
        <f t="shared" ref="U59:U73" si="13">R59^2</f>
        <v>99.767613736327007</v>
      </c>
      <c r="V59" s="59">
        <f t="shared" ref="V59:V79" si="14">1/((1/R59)+$I$95)</f>
        <v>2.8428911713288958</v>
      </c>
      <c r="W59" s="59">
        <f t="shared" ref="W59:W73" si="15">V59*O59</f>
        <v>-0.26046968909129947</v>
      </c>
      <c r="AF59" s="59">
        <f t="shared" ref="AF59:AF73" si="16">IF($D$6=1,100*((EXP(O59))-1),O59)</f>
        <v>-9.1621407009239889E-2</v>
      </c>
      <c r="AG59" s="59">
        <f t="shared" ref="AG59:AG73" si="17">IF($D$6=1,100*(EXP(O59+Q59)-EXP(O59)),Q59)</f>
        <v>0.62016703154678066</v>
      </c>
      <c r="AH59" s="59">
        <f t="shared" ref="AH59:AH73" si="18">IF($D$6=1,100*(EXP(O59)-EXP(O59-Q59)),Q59)</f>
        <v>0.62016703154678066</v>
      </c>
      <c r="AJ59">
        <f t="shared" ref="AJ59:AJ73" si="19">SQRT(P59)</f>
        <v>0.31641175078917383</v>
      </c>
      <c r="AK59">
        <f t="shared" ref="AK59:AK81" si="20">1/AJ59</f>
        <v>3.1604388822661118</v>
      </c>
      <c r="AL59">
        <f t="shared" ref="AL59:AL73" si="21">O59/AJ59</f>
        <v>-0.2895638571599306</v>
      </c>
      <c r="AN59" t="str">
        <f t="shared" ref="AN59:AN73" si="22">E59</f>
        <v>Sheline YI</v>
      </c>
      <c r="AO59">
        <f t="shared" ref="AO59:AO73" si="23">F59</f>
        <v>1998</v>
      </c>
      <c r="AP59" t="str">
        <f t="shared" ref="AP59:AP73" si="24">CONCATENATE(AN59," ",AO59)</f>
        <v>Sheline YI 1998</v>
      </c>
      <c r="AQ59">
        <f t="shared" ref="AQ59:AQ73" si="25">INT(H59)</f>
        <v>20</v>
      </c>
      <c r="AR59">
        <f t="shared" ref="AR59:AR73" si="26">J59</f>
        <v>1724</v>
      </c>
      <c r="AS59">
        <f t="shared" ref="AS59:AS73" si="27">K59</f>
        <v>304</v>
      </c>
      <c r="AT59">
        <f t="shared" ref="AT59:AT73" si="28">INT(I59)</f>
        <v>20</v>
      </c>
      <c r="AU59">
        <f t="shared" ref="AU59:AU73" si="29">L59</f>
        <v>1752</v>
      </c>
      <c r="AV59">
        <f t="shared" ref="AV59:AV73" si="30">M59</f>
        <v>295</v>
      </c>
      <c r="AW59" s="65">
        <f t="shared" ref="AW59:AW73" si="31">O59</f>
        <v>-9.1621407009239889E-2</v>
      </c>
      <c r="AX59">
        <f t="shared" ref="AX59:AX73" si="32">SQRT(P59)</f>
        <v>0.31641175078917383</v>
      </c>
      <c r="AY59" t="str">
        <f>$F$3</f>
        <v>Pooled SD</v>
      </c>
    </row>
    <row r="60" spans="1:51">
      <c r="E60" t="str">
        <f t="shared" si="3"/>
        <v>Bremner JD</v>
      </c>
      <c r="F60">
        <f t="shared" si="3"/>
        <v>2000</v>
      </c>
      <c r="G60">
        <v>22</v>
      </c>
      <c r="H60">
        <f t="shared" si="4"/>
        <v>16</v>
      </c>
      <c r="I60">
        <f t="shared" si="4"/>
        <v>16</v>
      </c>
      <c r="J60">
        <f t="shared" si="5"/>
        <v>1699</v>
      </c>
      <c r="K60">
        <f t="shared" si="5"/>
        <v>493</v>
      </c>
      <c r="L60">
        <f t="shared" si="5"/>
        <v>1335</v>
      </c>
      <c r="M60">
        <f t="shared" si="5"/>
        <v>450</v>
      </c>
      <c r="N60">
        <f t="shared" si="6"/>
        <v>471.98993633339262</v>
      </c>
      <c r="O60" s="59">
        <f t="shared" si="7"/>
        <v>0.75176079424103059</v>
      </c>
      <c r="P60" s="63">
        <f t="shared" si="8"/>
        <v>0.13507028317458847</v>
      </c>
      <c r="Q60" s="59">
        <f t="shared" si="9"/>
        <v>0.72033742082686425</v>
      </c>
      <c r="R60" s="59">
        <f t="shared" si="10"/>
        <v>7.4035529984595136</v>
      </c>
      <c r="S60" s="59">
        <f t="shared" si="11"/>
        <v>5.5657008823274872</v>
      </c>
      <c r="T60" s="59">
        <f t="shared" si="12"/>
        <v>4.1840757158065172</v>
      </c>
      <c r="U60" s="23">
        <f t="shared" si="13"/>
        <v>54.812597000998856</v>
      </c>
      <c r="V60" s="59">
        <f t="shared" si="14"/>
        <v>2.585927322118188</v>
      </c>
      <c r="W60" s="59">
        <f t="shared" si="15"/>
        <v>1.9439987775251504</v>
      </c>
      <c r="AF60" s="59">
        <f t="shared" si="16"/>
        <v>0.75176079424103059</v>
      </c>
      <c r="AG60" s="59">
        <f t="shared" si="17"/>
        <v>0.72033742082686425</v>
      </c>
      <c r="AH60" s="59">
        <f t="shared" si="18"/>
        <v>0.72033742082686425</v>
      </c>
      <c r="AJ60">
        <f t="shared" si="19"/>
        <v>0.36751909225860424</v>
      </c>
      <c r="AK60">
        <f t="shared" si="20"/>
        <v>2.7209470774823084</v>
      </c>
      <c r="AL60">
        <f t="shared" si="21"/>
        <v>2.0455013360559109</v>
      </c>
      <c r="AN60" t="str">
        <f t="shared" si="22"/>
        <v>Bremner JD</v>
      </c>
      <c r="AO60">
        <f t="shared" si="23"/>
        <v>2000</v>
      </c>
      <c r="AP60" t="str">
        <f t="shared" si="24"/>
        <v>Bremner JD 2000</v>
      </c>
      <c r="AQ60">
        <f t="shared" si="25"/>
        <v>16</v>
      </c>
      <c r="AR60">
        <f t="shared" si="26"/>
        <v>1699</v>
      </c>
      <c r="AS60">
        <f t="shared" si="27"/>
        <v>493</v>
      </c>
      <c r="AT60">
        <f t="shared" si="28"/>
        <v>16</v>
      </c>
      <c r="AU60">
        <f t="shared" si="29"/>
        <v>1335</v>
      </c>
      <c r="AV60">
        <f t="shared" si="30"/>
        <v>450</v>
      </c>
      <c r="AW60" s="65">
        <f t="shared" si="31"/>
        <v>0.75176079424103059</v>
      </c>
      <c r="AX60">
        <f t="shared" si="32"/>
        <v>0.36751909225860424</v>
      </c>
      <c r="AY60" t="str">
        <f>$F$4</f>
        <v>Right</v>
      </c>
    </row>
    <row r="61" spans="1:51">
      <c r="E61" t="str">
        <f t="shared" si="3"/>
        <v>Frodl T</v>
      </c>
      <c r="F61">
        <f t="shared" si="3"/>
        <v>2003</v>
      </c>
      <c r="G61">
        <v>21</v>
      </c>
      <c r="H61">
        <f t="shared" si="4"/>
        <v>30</v>
      </c>
      <c r="I61">
        <f t="shared" si="4"/>
        <v>30</v>
      </c>
      <c r="J61">
        <f t="shared" si="5"/>
        <v>1951</v>
      </c>
      <c r="K61">
        <f t="shared" si="5"/>
        <v>298</v>
      </c>
      <c r="L61">
        <f t="shared" si="5"/>
        <v>1815</v>
      </c>
      <c r="M61">
        <f t="shared" si="5"/>
        <v>279</v>
      </c>
      <c r="N61">
        <f t="shared" si="6"/>
        <v>288.65637010119838</v>
      </c>
      <c r="O61" s="59">
        <f t="shared" si="7"/>
        <v>0.46502963432508343</v>
      </c>
      <c r="P61" s="63">
        <f t="shared" si="8"/>
        <v>6.8595426573913557E-2</v>
      </c>
      <c r="Q61" s="59">
        <f t="shared" si="9"/>
        <v>0.51333828098666701</v>
      </c>
      <c r="R61" s="59">
        <f t="shared" si="10"/>
        <v>14.578231377021485</v>
      </c>
      <c r="S61" s="59">
        <f t="shared" si="11"/>
        <v>6.7793096063627587</v>
      </c>
      <c r="T61" s="59">
        <f t="shared" si="12"/>
        <v>3.1525798672233987</v>
      </c>
      <c r="U61" s="23">
        <f t="shared" si="13"/>
        <v>212.52483008197373</v>
      </c>
      <c r="V61" s="59">
        <f t="shared" si="14"/>
        <v>3.1227202769026907</v>
      </c>
      <c r="W61" s="59">
        <f t="shared" si="15"/>
        <v>1.4521574684675815</v>
      </c>
      <c r="AF61" s="59">
        <f t="shared" si="16"/>
        <v>0.46502963432508343</v>
      </c>
      <c r="AG61" s="59">
        <f t="shared" si="17"/>
        <v>0.51333828098666701</v>
      </c>
      <c r="AH61" s="59">
        <f t="shared" si="18"/>
        <v>0.51333828098666701</v>
      </c>
      <c r="AJ61">
        <f t="shared" si="19"/>
        <v>0.26190728621768727</v>
      </c>
      <c r="AK61">
        <f t="shared" si="20"/>
        <v>3.8181450178092349</v>
      </c>
      <c r="AL61">
        <f t="shared" si="21"/>
        <v>1.7755505814319676</v>
      </c>
      <c r="AN61" t="str">
        <f t="shared" si="22"/>
        <v>Frodl T</v>
      </c>
      <c r="AO61">
        <f t="shared" si="23"/>
        <v>2003</v>
      </c>
      <c r="AP61" t="str">
        <f t="shared" si="24"/>
        <v>Frodl T 2003</v>
      </c>
      <c r="AQ61">
        <f t="shared" si="25"/>
        <v>30</v>
      </c>
      <c r="AR61">
        <f t="shared" si="26"/>
        <v>1951</v>
      </c>
      <c r="AS61">
        <f t="shared" si="27"/>
        <v>298</v>
      </c>
      <c r="AT61">
        <f t="shared" si="28"/>
        <v>30</v>
      </c>
      <c r="AU61">
        <f t="shared" si="29"/>
        <v>1815</v>
      </c>
      <c r="AV61">
        <f t="shared" si="30"/>
        <v>279</v>
      </c>
      <c r="AW61" s="65">
        <f t="shared" si="31"/>
        <v>0.46502963432508343</v>
      </c>
      <c r="AX61">
        <f t="shared" si="32"/>
        <v>0.26190728621768727</v>
      </c>
      <c r="AY61" t="str">
        <f>$F$6</f>
        <v>Cohens Effect size</v>
      </c>
    </row>
    <row r="62" spans="1:51">
      <c r="E62" t="str">
        <f t="shared" si="3"/>
        <v>Frodl T</v>
      </c>
      <c r="F62">
        <f t="shared" si="3"/>
        <v>2003</v>
      </c>
      <c r="G62">
        <v>20</v>
      </c>
      <c r="H62">
        <f t="shared" si="4"/>
        <v>27</v>
      </c>
      <c r="I62">
        <f t="shared" si="4"/>
        <v>27</v>
      </c>
      <c r="J62">
        <f t="shared" si="5"/>
        <v>1762</v>
      </c>
      <c r="K62">
        <f t="shared" si="5"/>
        <v>251</v>
      </c>
      <c r="L62">
        <f t="shared" si="5"/>
        <v>1815</v>
      </c>
      <c r="M62">
        <f t="shared" si="5"/>
        <v>267</v>
      </c>
      <c r="N62">
        <f t="shared" si="6"/>
        <v>259.12352266824405</v>
      </c>
      <c r="O62" s="59">
        <f t="shared" si="7"/>
        <v>-0.20157137229429964</v>
      </c>
      <c r="P62" s="63">
        <f t="shared" si="8"/>
        <v>7.4479897267528003E-2</v>
      </c>
      <c r="Q62" s="59">
        <f t="shared" si="9"/>
        <v>0.53490370473846549</v>
      </c>
      <c r="R62" s="59">
        <f t="shared" si="10"/>
        <v>13.426441720348389</v>
      </c>
      <c r="S62" s="59">
        <f t="shared" si="11"/>
        <v>-2.7063862826000622</v>
      </c>
      <c r="T62" s="59">
        <f t="shared" si="12"/>
        <v>0.54552999694216275</v>
      </c>
      <c r="U62" s="23">
        <f t="shared" si="13"/>
        <v>180.26933726991183</v>
      </c>
      <c r="V62" s="59">
        <f t="shared" si="14"/>
        <v>3.0663739507946217</v>
      </c>
      <c r="W62" s="59">
        <f t="shared" si="15"/>
        <v>-0.61809320522916511</v>
      </c>
      <c r="AF62" s="59">
        <f t="shared" si="16"/>
        <v>-0.20157137229429964</v>
      </c>
      <c r="AG62" s="59">
        <f t="shared" si="17"/>
        <v>0.53490370473846549</v>
      </c>
      <c r="AH62" s="59">
        <f t="shared" si="18"/>
        <v>0.53490370473846549</v>
      </c>
      <c r="AJ62">
        <f t="shared" si="19"/>
        <v>0.27291005343799263</v>
      </c>
      <c r="AK62">
        <f t="shared" si="20"/>
        <v>3.6642109273823733</v>
      </c>
      <c r="AL62">
        <f t="shared" si="21"/>
        <v>-0.7386000250082333</v>
      </c>
      <c r="AN62" t="str">
        <f t="shared" si="22"/>
        <v>Frodl T</v>
      </c>
      <c r="AO62">
        <f t="shared" si="23"/>
        <v>2003</v>
      </c>
      <c r="AP62" t="str">
        <f t="shared" si="24"/>
        <v>Frodl T 2003</v>
      </c>
      <c r="AQ62">
        <f t="shared" si="25"/>
        <v>27</v>
      </c>
      <c r="AR62">
        <f t="shared" si="26"/>
        <v>1762</v>
      </c>
      <c r="AS62">
        <f t="shared" si="27"/>
        <v>251</v>
      </c>
      <c r="AT62">
        <f t="shared" si="28"/>
        <v>27</v>
      </c>
      <c r="AU62">
        <f t="shared" si="29"/>
        <v>1815</v>
      </c>
      <c r="AV62">
        <f t="shared" si="30"/>
        <v>267</v>
      </c>
      <c r="AW62" s="65">
        <f t="shared" si="31"/>
        <v>-0.20157137229429964</v>
      </c>
      <c r="AX62">
        <f t="shared" si="32"/>
        <v>0.27291005343799263</v>
      </c>
      <c r="AY62" t="str">
        <f>$F$5</f>
        <v>H Correction</v>
      </c>
    </row>
    <row r="63" spans="1:51">
      <c r="E63" t="str">
        <f>E28</f>
        <v>Caetano SC</v>
      </c>
      <c r="F63">
        <f>F28</f>
        <v>2004</v>
      </c>
      <c r="G63">
        <v>19</v>
      </c>
      <c r="H63">
        <f>H28</f>
        <v>31</v>
      </c>
      <c r="I63">
        <f>I28</f>
        <v>31</v>
      </c>
      <c r="J63">
        <f>IF($D$4="Total",T28,IF($D$4="Left",L28,IF($D$4="Right",P28,"error")))</f>
        <v>2.02</v>
      </c>
      <c r="K63">
        <f>IF($D$4="Total",U28,IF($D$4="Left",M28,IF($D$4="Right",Q28,"error")))</f>
        <v>0.47</v>
      </c>
      <c r="L63">
        <f>IF($D$4="Total",V28,IF($D$4="Left",N28,IF($D$4="Right",R28,"error")))</f>
        <v>2.1800000000000002</v>
      </c>
      <c r="M63">
        <f>IF($D$4="Total",W28,IF($D$4="Left",O28,IF($D$4="Right",S28,"error")))</f>
        <v>0.4</v>
      </c>
      <c r="N63">
        <f t="shared" si="6"/>
        <v>0.43640577448058587</v>
      </c>
      <c r="O63" s="59">
        <f t="shared" si="7"/>
        <v>-0.36202919630751085</v>
      </c>
      <c r="P63" s="63">
        <f t="shared" si="8"/>
        <v>6.5644833294909305E-2</v>
      </c>
      <c r="Q63" s="59">
        <f t="shared" si="9"/>
        <v>0.50217645463096294</v>
      </c>
      <c r="R63" s="59">
        <f t="shared" si="10"/>
        <v>15.233491347407368</v>
      </c>
      <c r="S63" s="59">
        <f t="shared" si="11"/>
        <v>-5.5149686294593101</v>
      </c>
      <c r="T63" s="59">
        <f t="shared" si="12"/>
        <v>1.9965796605842885</v>
      </c>
      <c r="U63" s="23">
        <f t="shared" si="13"/>
        <v>232.05925863153513</v>
      </c>
      <c r="V63" s="59">
        <f t="shared" si="14"/>
        <v>3.1517602092580037</v>
      </c>
      <c r="W63" s="59">
        <f t="shared" si="15"/>
        <v>-1.1410292155116672</v>
      </c>
      <c r="AF63" s="59">
        <f t="shared" si="16"/>
        <v>-0.36202919630751085</v>
      </c>
      <c r="AG63" s="59">
        <f t="shared" si="17"/>
        <v>0.50217645463096294</v>
      </c>
      <c r="AH63" s="59">
        <f t="shared" si="18"/>
        <v>0.50217645463096294</v>
      </c>
      <c r="AJ63">
        <f t="shared" si="19"/>
        <v>0.25621247685253212</v>
      </c>
      <c r="AK63">
        <f t="shared" si="20"/>
        <v>3.9030105492308582</v>
      </c>
      <c r="AL63">
        <f t="shared" si="21"/>
        <v>-1.4130037723177842</v>
      </c>
      <c r="AN63" t="str">
        <f t="shared" si="22"/>
        <v>Caetano SC</v>
      </c>
      <c r="AO63">
        <f t="shared" si="23"/>
        <v>2004</v>
      </c>
      <c r="AP63" t="str">
        <f t="shared" si="24"/>
        <v>Caetano SC 2004</v>
      </c>
      <c r="AQ63">
        <f t="shared" si="25"/>
        <v>31</v>
      </c>
      <c r="AR63">
        <f t="shared" si="26"/>
        <v>2.02</v>
      </c>
      <c r="AS63">
        <f t="shared" si="27"/>
        <v>0.47</v>
      </c>
      <c r="AT63">
        <f t="shared" si="28"/>
        <v>31</v>
      </c>
      <c r="AU63">
        <f t="shared" si="29"/>
        <v>2.1800000000000002</v>
      </c>
      <c r="AV63">
        <f t="shared" si="30"/>
        <v>0.4</v>
      </c>
      <c r="AW63" s="65">
        <f t="shared" si="31"/>
        <v>-0.36202919630751085</v>
      </c>
      <c r="AX63">
        <f t="shared" si="32"/>
        <v>0.25621247685253212</v>
      </c>
    </row>
    <row r="64" spans="1:51">
      <c r="E64" t="str">
        <f t="shared" ref="E64:F66" si="33">E29</f>
        <v>Hastings RS</v>
      </c>
      <c r="F64">
        <f t="shared" si="33"/>
        <v>2004</v>
      </c>
      <c r="G64">
        <v>18</v>
      </c>
      <c r="H64">
        <f t="shared" ref="H64:I66" si="34">H29</f>
        <v>10</v>
      </c>
      <c r="I64">
        <f t="shared" si="34"/>
        <v>10</v>
      </c>
      <c r="J64">
        <f t="shared" ref="J64:J69" si="35">IF($D$4="Total",T29,IF($D$4="Left",L29,IF($D$4="Right",P29,"error")))</f>
        <v>1411</v>
      </c>
      <c r="K64">
        <f t="shared" ref="K64:K69" si="36">IF($D$4="Total",U29,IF($D$4="Left",M29,IF($D$4="Right",Q29,"error")))</f>
        <v>253</v>
      </c>
      <c r="L64">
        <f t="shared" ref="L64:L69" si="37">IF($D$4="Total",V29,IF($D$4="Left",N29,IF($D$4="Right",R29,"error")))</f>
        <v>1845</v>
      </c>
      <c r="M64">
        <f t="shared" ref="M64:M69" si="38">IF($D$4="Total",W29,IF($D$4="Left",O29,IF($D$4="Right",S29,"error")))</f>
        <v>225</v>
      </c>
      <c r="N64">
        <f t="shared" si="6"/>
        <v>239.40969069776602</v>
      </c>
      <c r="O64" s="59">
        <f t="shared" si="7"/>
        <v>-1.7361952668646281</v>
      </c>
      <c r="P64" s="63">
        <f t="shared" si="8"/>
        <v>0.29384726041977388</v>
      </c>
      <c r="Q64" s="59">
        <f t="shared" si="9"/>
        <v>1.0624705340048746</v>
      </c>
      <c r="R64" s="59">
        <f t="shared" si="10"/>
        <v>3.4031285456650355</v>
      </c>
      <c r="S64" s="59">
        <f t="shared" si="11"/>
        <v>-5.9084956735155405</v>
      </c>
      <c r="T64" s="59">
        <f t="shared" si="12"/>
        <v>10.258302222647814</v>
      </c>
      <c r="U64" s="23">
        <f t="shared" si="13"/>
        <v>11.581283898320219</v>
      </c>
      <c r="V64" s="59">
        <f t="shared" si="14"/>
        <v>1.833229472613815</v>
      </c>
      <c r="W64" s="59">
        <f t="shared" si="15"/>
        <v>-3.1828443334288439</v>
      </c>
      <c r="AF64" s="59">
        <f t="shared" si="16"/>
        <v>-1.7361952668646281</v>
      </c>
      <c r="AG64" s="59">
        <f t="shared" si="17"/>
        <v>1.0624705340048746</v>
      </c>
      <c r="AH64" s="59">
        <f t="shared" si="18"/>
        <v>1.0624705340048746</v>
      </c>
      <c r="AJ64">
        <f t="shared" si="19"/>
        <v>0.54207680306371153</v>
      </c>
      <c r="AK64">
        <f t="shared" si="20"/>
        <v>1.8447570424489603</v>
      </c>
      <c r="AL64">
        <f t="shared" si="21"/>
        <v>-3.2028584456150746</v>
      </c>
      <c r="AN64" t="str">
        <f t="shared" si="22"/>
        <v>Hastings RS</v>
      </c>
      <c r="AO64">
        <f t="shared" si="23"/>
        <v>2004</v>
      </c>
      <c r="AP64" t="str">
        <f t="shared" si="24"/>
        <v>Hastings RS 2004</v>
      </c>
      <c r="AQ64">
        <f t="shared" si="25"/>
        <v>10</v>
      </c>
      <c r="AR64">
        <f t="shared" si="26"/>
        <v>1411</v>
      </c>
      <c r="AS64">
        <f t="shared" si="27"/>
        <v>253</v>
      </c>
      <c r="AT64">
        <f t="shared" si="28"/>
        <v>10</v>
      </c>
      <c r="AU64">
        <f t="shared" si="29"/>
        <v>1845</v>
      </c>
      <c r="AV64">
        <f t="shared" si="30"/>
        <v>225</v>
      </c>
      <c r="AW64" s="65">
        <f t="shared" si="31"/>
        <v>-1.7361952668646281</v>
      </c>
      <c r="AX64">
        <f t="shared" si="32"/>
        <v>0.54207680306371153</v>
      </c>
    </row>
    <row r="65" spans="5:50">
      <c r="E65" t="str">
        <f t="shared" si="33"/>
        <v>Lange C</v>
      </c>
      <c r="F65">
        <f t="shared" si="33"/>
        <v>2004</v>
      </c>
      <c r="G65">
        <v>17</v>
      </c>
      <c r="H65">
        <f t="shared" si="34"/>
        <v>17</v>
      </c>
      <c r="I65">
        <f t="shared" si="34"/>
        <v>17</v>
      </c>
      <c r="J65">
        <f t="shared" si="35"/>
        <v>1.26</v>
      </c>
      <c r="K65">
        <f t="shared" si="36"/>
        <v>0.26</v>
      </c>
      <c r="L65">
        <f t="shared" si="37"/>
        <v>1.1399999999999999</v>
      </c>
      <c r="M65">
        <f t="shared" si="38"/>
        <v>0.2</v>
      </c>
      <c r="N65">
        <f>IF($D$3=1,SQRT((((I65-1)*(M65)^2)+((H65-1)*(K65)^2))/(H65+I65-2)),M65)</f>
        <v>0.23194827009486405</v>
      </c>
      <c r="O65" s="59">
        <f>IF($D$6=1,LN(J65/L65),IF($D$5=1,(1-3/(4*(H65+I65)-9))*((J65-L65)/N65),(J65-L65)/N65))</f>
        <v>0.5051357110048269</v>
      </c>
      <c r="P65" s="63">
        <f>IF($D$6=1,(K65^2)/(H65*J65^2)+(M65^2)/(I65*L65^2),(IF($D$5=1,((H65+I65)/(H65*I65))+(O65*O65)/(2*(H65+I65-3.94)),((H65+I65)/(H65*I65))+((O65^2)/(2*(H65+I65-2))))))</f>
        <v>0.12189127183970293</v>
      </c>
      <c r="Q65" s="59">
        <f t="shared" si="9"/>
        <v>0.68429343844538126</v>
      </c>
      <c r="R65" s="59">
        <f>1/P65</f>
        <v>8.2040328639369893</v>
      </c>
      <c r="S65" s="59">
        <f>O65*R65</f>
        <v>4.1441499738317775</v>
      </c>
      <c r="T65" s="59">
        <f>R65*(O65^2)</f>
        <v>2.0933581435421496</v>
      </c>
      <c r="U65" s="23">
        <f>R65^2</f>
        <v>67.306155232558154</v>
      </c>
      <c r="V65" s="59">
        <f t="shared" si="14"/>
        <v>2.6771650133836955</v>
      </c>
      <c r="W65" s="59">
        <f>V65*O65</f>
        <v>1.3523316525128199</v>
      </c>
      <c r="AF65" s="59">
        <f>IF($D$6=1,100*((EXP(O65))-1),O65)</f>
        <v>0.5051357110048269</v>
      </c>
      <c r="AG65" s="59">
        <f>IF($D$6=1,100*(EXP(O65+Q65)-EXP(O65)),Q65)</f>
        <v>0.68429343844538126</v>
      </c>
      <c r="AH65" s="59">
        <f>IF($D$6=1,100*(EXP(O65)-EXP(O65-Q65)),Q65)</f>
        <v>0.68429343844538126</v>
      </c>
      <c r="AJ65">
        <f>SQRT(P65)</f>
        <v>0.34912930532927616</v>
      </c>
      <c r="AK65">
        <f t="shared" si="20"/>
        <v>2.8642682946848725</v>
      </c>
      <c r="AL65">
        <f>O65/AJ65</f>
        <v>1.4468442015442262</v>
      </c>
      <c r="AN65" t="str">
        <f>E65</f>
        <v>Lange C</v>
      </c>
      <c r="AO65">
        <f>F65</f>
        <v>2004</v>
      </c>
      <c r="AP65" t="str">
        <f>CONCATENATE(AN65," ",AO65)</f>
        <v>Lange C 2004</v>
      </c>
      <c r="AQ65">
        <f>INT(H65)</f>
        <v>17</v>
      </c>
      <c r="AR65">
        <f>J65</f>
        <v>1.26</v>
      </c>
      <c r="AS65">
        <f>K65</f>
        <v>0.26</v>
      </c>
      <c r="AT65">
        <f>INT(I65)</f>
        <v>17</v>
      </c>
      <c r="AU65">
        <f>L65</f>
        <v>1.1399999999999999</v>
      </c>
      <c r="AV65">
        <f>M65</f>
        <v>0.2</v>
      </c>
      <c r="AW65" s="65">
        <f>O65</f>
        <v>0.5051357110048269</v>
      </c>
      <c r="AX65">
        <f>SQRT(P65)</f>
        <v>0.34912930532927616</v>
      </c>
    </row>
    <row r="66" spans="5:50">
      <c r="E66" t="str">
        <f t="shared" si="33"/>
        <v>Xia J</v>
      </c>
      <c r="F66">
        <f t="shared" si="33"/>
        <v>2004</v>
      </c>
      <c r="G66">
        <v>16</v>
      </c>
      <c r="H66">
        <f t="shared" si="34"/>
        <v>22</v>
      </c>
      <c r="I66">
        <f t="shared" si="34"/>
        <v>13</v>
      </c>
      <c r="J66">
        <f t="shared" si="35"/>
        <v>2127.3200000000002</v>
      </c>
      <c r="K66">
        <f t="shared" si="36"/>
        <v>135.97999999999999</v>
      </c>
      <c r="L66">
        <f t="shared" si="37"/>
        <v>2305.54</v>
      </c>
      <c r="M66">
        <f t="shared" si="38"/>
        <v>52.26</v>
      </c>
      <c r="N66">
        <f>IF($D$3=1,SQRT((((I66-1)*(M66)^2)+((H66-1)*(K66)^2))/(H66+I66-2)),M66)</f>
        <v>112.95950730641972</v>
      </c>
      <c r="O66" s="59">
        <f>IF($D$6=1,LN(J66/L66),IF($D$5=1,(1-3/(4*(H66+I66)-9))*((J66-L66)/N66),(J66-L66)/N66))</f>
        <v>-1.5416022086730685</v>
      </c>
      <c r="P66" s="63">
        <f>IF($D$6=1,(K66^2)/(H66*J66^2)+(M66^2)/(I66*L66^2),(IF($D$5=1,((H66+I66)/(H66*I66))+(O66*O66)/(2*(H66+I66-3.94)),((H66+I66)/(H66*I66))+((O66^2)/(2*(H66+I66-2))))))</f>
        <v>0.16063482408054711</v>
      </c>
      <c r="Q66" s="59">
        <f t="shared" si="9"/>
        <v>0.7855537793097489</v>
      </c>
      <c r="R66" s="59">
        <f>1/P66</f>
        <v>6.2253001845886802</v>
      </c>
      <c r="S66" s="59">
        <f>O66*R66</f>
        <v>-9.5969365142147698</v>
      </c>
      <c r="T66" s="59">
        <f>R66*(O66^2)</f>
        <v>14.794658526808711</v>
      </c>
      <c r="U66" s="23">
        <f>R66^2</f>
        <v>38.754362388239855</v>
      </c>
      <c r="V66" s="59">
        <f t="shared" si="14"/>
        <v>2.4255771586344639</v>
      </c>
      <c r="W66" s="59">
        <f>V66*O66</f>
        <v>-3.7392751050578354</v>
      </c>
      <c r="AF66" s="59">
        <f>IF($D$6=1,100*((EXP(O66))-1),O66)</f>
        <v>-1.5416022086730685</v>
      </c>
      <c r="AG66" s="59">
        <f>IF($D$6=1,100*(EXP(O66+Q66)-EXP(O66)),Q66)</f>
        <v>0.7855537793097489</v>
      </c>
      <c r="AH66" s="59">
        <f>IF($D$6=1,100*(EXP(O66)-EXP(O66-Q66)),Q66)</f>
        <v>0.7855537793097489</v>
      </c>
      <c r="AJ66">
        <f>SQRT(P66)</f>
        <v>0.40079274454579028</v>
      </c>
      <c r="AK66">
        <f t="shared" si="20"/>
        <v>2.495055146602712</v>
      </c>
      <c r="AL66">
        <f>O66/AJ66</f>
        <v>-3.8463825247638472</v>
      </c>
      <c r="AN66" t="str">
        <f>E66</f>
        <v>Xia J</v>
      </c>
      <c r="AO66">
        <f>F66</f>
        <v>2004</v>
      </c>
      <c r="AP66" t="str">
        <f>CONCATENATE(AN66," ",AO66)</f>
        <v>Xia J 2004</v>
      </c>
      <c r="AQ66">
        <f>INT(H66)</f>
        <v>22</v>
      </c>
      <c r="AR66">
        <f>J66</f>
        <v>2127.3200000000002</v>
      </c>
      <c r="AS66">
        <f>K66</f>
        <v>135.97999999999999</v>
      </c>
      <c r="AT66">
        <f>INT(I66)</f>
        <v>13</v>
      </c>
      <c r="AU66">
        <f>L66</f>
        <v>2305.54</v>
      </c>
      <c r="AV66">
        <f>M66</f>
        <v>52.26</v>
      </c>
      <c r="AW66" s="65">
        <f>O66</f>
        <v>-1.5416022086730685</v>
      </c>
      <c r="AX66">
        <f>SQRT(P66)</f>
        <v>0.40079274454579028</v>
      </c>
    </row>
    <row r="67" spans="5:50">
      <c r="E67" t="str">
        <f t="shared" ref="E67:F69" si="39">E32</f>
        <v>Rosso IM</v>
      </c>
      <c r="F67">
        <f t="shared" si="39"/>
        <v>2005</v>
      </c>
      <c r="G67">
        <v>15</v>
      </c>
      <c r="H67">
        <f t="shared" ref="H67:I69" si="40">H32</f>
        <v>20</v>
      </c>
      <c r="I67">
        <f t="shared" si="40"/>
        <v>24</v>
      </c>
      <c r="J67">
        <f t="shared" si="35"/>
        <v>2.36</v>
      </c>
      <c r="K67">
        <f t="shared" si="36"/>
        <v>0.40200000000000002</v>
      </c>
      <c r="L67">
        <f t="shared" si="37"/>
        <v>2.74</v>
      </c>
      <c r="M67">
        <f t="shared" si="38"/>
        <v>0.39200000000000002</v>
      </c>
      <c r="N67">
        <f t="shared" si="6"/>
        <v>0.39655504632005983</v>
      </c>
      <c r="O67" s="59">
        <f t="shared" si="7"/>
        <v>-0.94103871872915823</v>
      </c>
      <c r="P67" s="63">
        <f t="shared" si="8"/>
        <v>0.10271951077734334</v>
      </c>
      <c r="Q67" s="59">
        <f t="shared" si="9"/>
        <v>0.6281777396583248</v>
      </c>
      <c r="R67" s="59">
        <f t="shared" si="10"/>
        <v>9.7352488581027021</v>
      </c>
      <c r="S67" s="59">
        <f t="shared" si="11"/>
        <v>-9.1612461119384676</v>
      </c>
      <c r="T67" s="59">
        <f t="shared" si="12"/>
        <v>8.6210873031410582</v>
      </c>
      <c r="U67" s="23">
        <f t="shared" si="13"/>
        <v>94.775070329189973</v>
      </c>
      <c r="V67" s="59">
        <f t="shared" si="14"/>
        <v>2.8220072680074395</v>
      </c>
      <c r="W67" s="59">
        <f t="shared" si="15"/>
        <v>-2.655618103730093</v>
      </c>
      <c r="AF67" s="59">
        <f t="shared" si="16"/>
        <v>-0.94103871872915823</v>
      </c>
      <c r="AG67" s="59">
        <f t="shared" si="17"/>
        <v>0.6281777396583248</v>
      </c>
      <c r="AH67" s="59">
        <f t="shared" si="18"/>
        <v>0.6281777396583248</v>
      </c>
      <c r="AJ67">
        <f t="shared" si="19"/>
        <v>0.32049884676445145</v>
      </c>
      <c r="AK67">
        <f t="shared" si="20"/>
        <v>3.1201360319868594</v>
      </c>
      <c r="AL67">
        <f t="shared" si="21"/>
        <v>-2.936168813801594</v>
      </c>
      <c r="AN67" t="str">
        <f t="shared" si="22"/>
        <v>Rosso IM</v>
      </c>
      <c r="AO67">
        <f t="shared" si="23"/>
        <v>2005</v>
      </c>
      <c r="AP67" t="str">
        <f t="shared" si="24"/>
        <v>Rosso IM 2005</v>
      </c>
      <c r="AQ67">
        <f t="shared" si="25"/>
        <v>20</v>
      </c>
      <c r="AR67">
        <f t="shared" si="26"/>
        <v>2.36</v>
      </c>
      <c r="AS67">
        <f t="shared" si="27"/>
        <v>0.40200000000000002</v>
      </c>
      <c r="AT67">
        <f t="shared" si="28"/>
        <v>24</v>
      </c>
      <c r="AU67">
        <f t="shared" si="29"/>
        <v>2.74</v>
      </c>
      <c r="AV67">
        <f t="shared" si="30"/>
        <v>0.39200000000000002</v>
      </c>
      <c r="AW67" s="65">
        <f t="shared" si="31"/>
        <v>-0.94103871872915823</v>
      </c>
      <c r="AX67">
        <f t="shared" si="32"/>
        <v>0.32049884676445145</v>
      </c>
    </row>
    <row r="68" spans="5:50">
      <c r="E68" t="str">
        <f t="shared" si="39"/>
        <v>Weniger G</v>
      </c>
      <c r="F68">
        <f t="shared" si="39"/>
        <v>2006</v>
      </c>
      <c r="G68">
        <v>14</v>
      </c>
      <c r="H68">
        <f t="shared" si="40"/>
        <v>21</v>
      </c>
      <c r="I68">
        <f t="shared" si="40"/>
        <v>23</v>
      </c>
      <c r="J68">
        <f t="shared" si="35"/>
        <v>1.3</v>
      </c>
      <c r="K68">
        <f t="shared" si="36"/>
        <v>0.3</v>
      </c>
      <c r="L68">
        <f t="shared" si="37"/>
        <v>1.2</v>
      </c>
      <c r="M68">
        <f t="shared" si="38"/>
        <v>0.2</v>
      </c>
      <c r="N68">
        <f t="shared" si="6"/>
        <v>0.25260547066428274</v>
      </c>
      <c r="O68" s="59">
        <f t="shared" si="7"/>
        <v>0.3887627316863842</v>
      </c>
      <c r="P68" s="63">
        <f t="shared" si="8"/>
        <v>9.2983684693658503E-2</v>
      </c>
      <c r="Q68" s="59">
        <f t="shared" si="9"/>
        <v>0.59766723443665415</v>
      </c>
      <c r="R68" s="59">
        <f t="shared" si="10"/>
        <v>10.754574883696774</v>
      </c>
      <c r="S68" s="59">
        <f t="shared" si="11"/>
        <v>4.1809779099117357</v>
      </c>
      <c r="T68" s="59">
        <f t="shared" si="12"/>
        <v>1.6254083933777155</v>
      </c>
      <c r="U68" s="23">
        <f t="shared" si="13"/>
        <v>115.66088092904148</v>
      </c>
      <c r="V68" s="59">
        <f t="shared" si="14"/>
        <v>2.9017310876062847</v>
      </c>
      <c r="W68" s="59">
        <f t="shared" si="15"/>
        <v>1.1280849042371219</v>
      </c>
      <c r="AF68" s="59">
        <f t="shared" si="16"/>
        <v>0.3887627316863842</v>
      </c>
      <c r="AG68" s="59">
        <f t="shared" si="17"/>
        <v>0.59766723443665415</v>
      </c>
      <c r="AH68" s="59">
        <f t="shared" si="18"/>
        <v>0.59766723443665415</v>
      </c>
      <c r="AJ68">
        <f t="shared" si="19"/>
        <v>0.30493226246768068</v>
      </c>
      <c r="AK68">
        <f t="shared" si="20"/>
        <v>3.2794168511637514</v>
      </c>
      <c r="AL68">
        <f t="shared" si="21"/>
        <v>1.2749150533967806</v>
      </c>
      <c r="AN68" t="str">
        <f t="shared" si="22"/>
        <v>Weniger G</v>
      </c>
      <c r="AO68">
        <f t="shared" si="23"/>
        <v>2006</v>
      </c>
      <c r="AP68" t="str">
        <f t="shared" si="24"/>
        <v>Weniger G 2006</v>
      </c>
      <c r="AQ68">
        <f t="shared" si="25"/>
        <v>21</v>
      </c>
      <c r="AR68">
        <f t="shared" si="26"/>
        <v>1.3</v>
      </c>
      <c r="AS68">
        <f t="shared" si="27"/>
        <v>0.3</v>
      </c>
      <c r="AT68">
        <f t="shared" si="28"/>
        <v>23</v>
      </c>
      <c r="AU68">
        <f t="shared" si="29"/>
        <v>1.2</v>
      </c>
      <c r="AV68">
        <f t="shared" si="30"/>
        <v>0.2</v>
      </c>
      <c r="AW68" s="65">
        <f t="shared" si="31"/>
        <v>0.3887627316863842</v>
      </c>
      <c r="AX68">
        <f t="shared" si="32"/>
        <v>0.30493226246768068</v>
      </c>
    </row>
    <row r="69" spans="5:50">
      <c r="E69" t="str">
        <f t="shared" si="39"/>
        <v>Velakoulis D</v>
      </c>
      <c r="F69">
        <f t="shared" si="39"/>
        <v>2006</v>
      </c>
      <c r="G69">
        <v>13</v>
      </c>
      <c r="H69">
        <f t="shared" si="40"/>
        <v>12</v>
      </c>
      <c r="I69">
        <f t="shared" si="40"/>
        <v>87</v>
      </c>
      <c r="J69">
        <f t="shared" si="35"/>
        <v>1757</v>
      </c>
      <c r="K69">
        <f t="shared" si="36"/>
        <v>227</v>
      </c>
      <c r="L69">
        <f t="shared" si="37"/>
        <v>1510</v>
      </c>
      <c r="M69">
        <f t="shared" si="38"/>
        <v>230</v>
      </c>
      <c r="N69">
        <f>IF($D$3=1,SQRT((((I69-1)*(M69)^2)+((H69-1)*(K69)^2))/(H69+I69-2)),M69)</f>
        <v>229.66176384674023</v>
      </c>
      <c r="O69" s="59">
        <f>IF($D$6=1,LN(J69/L69),IF($D$5=1,(1-3/(4*(H69+I69)-9))*((J69-L69)/N69),(J69-L69)/N69))</f>
        <v>1.0671574893998541</v>
      </c>
      <c r="P69" s="63">
        <f>IF($D$6=1,(K69^2)/(H69*J69^2)+(M69^2)/(I69*L69^2),(IF($D$5=1,((H69+I69)/(H69*I69))+(O69*O69)/(2*(H69+I69-3.94)),((H69+I69)/(H69*I69))+((O69^2)/(2*(H69+I69-2))))))</f>
        <v>0.10081761938163987</v>
      </c>
      <c r="Q69" s="59">
        <f t="shared" si="9"/>
        <v>0.62233509190508263</v>
      </c>
      <c r="R69" s="59">
        <f>1/P69</f>
        <v>9.9189011418187913</v>
      </c>
      <c r="S69" s="59">
        <f>O69*R69</f>
        <v>10.585029640108688</v>
      </c>
      <c r="T69" s="59">
        <f>R69*(O69^2)</f>
        <v>11.295893655961429</v>
      </c>
      <c r="U69" s="23">
        <f>R69^2</f>
        <v>98.384599861174124</v>
      </c>
      <c r="V69" s="59">
        <f t="shared" si="14"/>
        <v>2.8372351383869696</v>
      </c>
      <c r="W69" s="59">
        <f>V69*O69</f>
        <v>3.027776727118086</v>
      </c>
      <c r="AF69" s="59">
        <f>IF($D$6=1,100*((EXP(O69))-1),O69)</f>
        <v>1.0671574893998541</v>
      </c>
      <c r="AG69" s="59">
        <f>IF($D$6=1,100*(EXP(O69+Q69)-EXP(O69)),Q69)</f>
        <v>0.62233509190508263</v>
      </c>
      <c r="AH69" s="59">
        <f>IF($D$6=1,100*(EXP(O69)-EXP(O69-Q69)),Q69)</f>
        <v>0.62233509190508263</v>
      </c>
      <c r="AJ69">
        <f>SQRT(P69)</f>
        <v>0.31751790403320546</v>
      </c>
      <c r="AK69">
        <f t="shared" si="20"/>
        <v>3.1494287008628712</v>
      </c>
      <c r="AL69">
        <f>O69/AJ69</f>
        <v>3.3609364254566656</v>
      </c>
      <c r="AN69" t="str">
        <f>E69</f>
        <v>Velakoulis D</v>
      </c>
      <c r="AO69">
        <f>F69</f>
        <v>2006</v>
      </c>
      <c r="AP69" t="str">
        <f>CONCATENATE(AN69," ",AO69)</f>
        <v>Velakoulis D 2006</v>
      </c>
      <c r="AQ69">
        <f>INT(H69)</f>
        <v>12</v>
      </c>
      <c r="AR69">
        <f>J69</f>
        <v>1757</v>
      </c>
      <c r="AS69">
        <f>K69</f>
        <v>227</v>
      </c>
      <c r="AT69">
        <f>INT(I69)</f>
        <v>87</v>
      </c>
      <c r="AU69">
        <f>L69</f>
        <v>1510</v>
      </c>
      <c r="AV69">
        <f>M69</f>
        <v>230</v>
      </c>
      <c r="AW69" s="65">
        <f>O69</f>
        <v>1.0671574893998541</v>
      </c>
      <c r="AX69">
        <f>SQRT(P69)</f>
        <v>0.31751790403320546</v>
      </c>
    </row>
    <row r="70" spans="5:50">
      <c r="E70" t="str">
        <f>E35</f>
        <v>Caetano SC</v>
      </c>
      <c r="F70">
        <f>F35</f>
        <v>2007</v>
      </c>
      <c r="G70">
        <v>12</v>
      </c>
      <c r="H70">
        <f>H35</f>
        <v>19</v>
      </c>
      <c r="I70">
        <f>I35</f>
        <v>24</v>
      </c>
      <c r="J70">
        <f t="shared" ref="J70:M74" si="41">IF($D$4="Total",T35,IF($D$4="Left",L35,IF($D$4="Right",P35,"error")))</f>
        <v>1.56</v>
      </c>
      <c r="K70">
        <f t="shared" si="41"/>
        <v>0.23</v>
      </c>
      <c r="L70">
        <f t="shared" si="41"/>
        <v>1.66</v>
      </c>
      <c r="M70">
        <f t="shared" si="41"/>
        <v>0.28000000000000003</v>
      </c>
      <c r="N70">
        <f t="shared" si="6"/>
        <v>0.25923903650642682</v>
      </c>
      <c r="O70" s="59">
        <f t="shared" si="7"/>
        <v>-0.378644784849061</v>
      </c>
      <c r="P70" s="63">
        <f t="shared" si="8"/>
        <v>9.6133523047386232E-2</v>
      </c>
      <c r="Q70" s="59">
        <f t="shared" si="9"/>
        <v>0.60770596684485412</v>
      </c>
      <c r="R70" s="59">
        <f t="shared" si="10"/>
        <v>10.40219861189399</v>
      </c>
      <c r="S70" s="59">
        <f t="shared" si="11"/>
        <v>-3.938738255357801</v>
      </c>
      <c r="T70" s="59">
        <f t="shared" si="12"/>
        <v>1.4913826992767203</v>
      </c>
      <c r="U70" s="23">
        <f t="shared" si="13"/>
        <v>108.20573596128925</v>
      </c>
      <c r="V70" s="59">
        <f t="shared" si="14"/>
        <v>2.8754495253202621</v>
      </c>
      <c r="W70" s="59">
        <f t="shared" si="15"/>
        <v>-1.0887739668592251</v>
      </c>
      <c r="AF70" s="59">
        <f t="shared" si="16"/>
        <v>-0.378644784849061</v>
      </c>
      <c r="AG70" s="59">
        <f t="shared" si="17"/>
        <v>0.60770596684485412</v>
      </c>
      <c r="AH70" s="59">
        <f t="shared" si="18"/>
        <v>0.60770596684485412</v>
      </c>
      <c r="AJ70">
        <f t="shared" si="19"/>
        <v>0.31005406471676233</v>
      </c>
      <c r="AK70">
        <f t="shared" si="20"/>
        <v>3.2252439616087942</v>
      </c>
      <c r="AL70">
        <f t="shared" si="21"/>
        <v>-1.2212218059290951</v>
      </c>
      <c r="AN70" t="str">
        <f t="shared" si="22"/>
        <v>Caetano SC</v>
      </c>
      <c r="AO70">
        <f t="shared" si="23"/>
        <v>2007</v>
      </c>
      <c r="AP70" t="str">
        <f t="shared" si="24"/>
        <v>Caetano SC 2007</v>
      </c>
      <c r="AQ70">
        <f t="shared" si="25"/>
        <v>19</v>
      </c>
      <c r="AR70">
        <f t="shared" si="26"/>
        <v>1.56</v>
      </c>
      <c r="AS70">
        <f t="shared" si="27"/>
        <v>0.23</v>
      </c>
      <c r="AT70">
        <f t="shared" si="28"/>
        <v>24</v>
      </c>
      <c r="AU70">
        <f t="shared" si="29"/>
        <v>1.66</v>
      </c>
      <c r="AV70">
        <f t="shared" si="30"/>
        <v>0.28000000000000003</v>
      </c>
      <c r="AW70" s="65">
        <f t="shared" si="31"/>
        <v>-0.378644784849061</v>
      </c>
      <c r="AX70">
        <f t="shared" si="32"/>
        <v>0.31005406471676233</v>
      </c>
    </row>
    <row r="71" spans="5:50">
      <c r="E71" t="str">
        <f t="shared" ref="E71:F73" si="42">E36</f>
        <v>Munn MA</v>
      </c>
      <c r="F71">
        <f t="shared" si="42"/>
        <v>2007</v>
      </c>
      <c r="G71">
        <v>11</v>
      </c>
      <c r="H71">
        <f t="shared" ref="H71:I73" si="43">H36</f>
        <v>26</v>
      </c>
      <c r="I71">
        <f t="shared" si="43"/>
        <v>18</v>
      </c>
      <c r="J71">
        <f t="shared" si="41"/>
        <v>14426.88</v>
      </c>
      <c r="K71">
        <f t="shared" si="41"/>
        <v>1956.37</v>
      </c>
      <c r="L71">
        <f t="shared" si="41"/>
        <v>14262.96</v>
      </c>
      <c r="M71">
        <f t="shared" si="41"/>
        <v>1747.51</v>
      </c>
      <c r="N71">
        <f t="shared" si="6"/>
        <v>1874.636725597027</v>
      </c>
      <c r="O71" s="59">
        <f t="shared" si="7"/>
        <v>8.5870146009249151E-2</v>
      </c>
      <c r="P71" s="63">
        <f t="shared" si="8"/>
        <v>9.4109126992326791E-2</v>
      </c>
      <c r="Q71" s="59">
        <f t="shared" si="9"/>
        <v>0.60127333406174144</v>
      </c>
      <c r="R71" s="59">
        <f t="shared" si="10"/>
        <v>10.625961922710591</v>
      </c>
      <c r="S71" s="59">
        <f t="shared" si="11"/>
        <v>0.91245290179188032</v>
      </c>
      <c r="T71" s="59">
        <f t="shared" si="12"/>
        <v>7.8352463903431827E-2</v>
      </c>
      <c r="U71" s="23">
        <f t="shared" si="13"/>
        <v>112.91106678289536</v>
      </c>
      <c r="V71" s="59">
        <f t="shared" si="14"/>
        <v>2.8922856609362566</v>
      </c>
      <c r="W71" s="59">
        <f t="shared" si="15"/>
        <v>0.24836099200505404</v>
      </c>
      <c r="AF71" s="59">
        <f t="shared" si="16"/>
        <v>8.5870146009249151E-2</v>
      </c>
      <c r="AG71" s="59">
        <f t="shared" si="17"/>
        <v>0.60127333406174144</v>
      </c>
      <c r="AH71" s="59">
        <f t="shared" si="18"/>
        <v>0.60127333406174144</v>
      </c>
      <c r="AJ71">
        <f t="shared" si="19"/>
        <v>0.30677210921517423</v>
      </c>
      <c r="AK71">
        <f t="shared" si="20"/>
        <v>3.2597487514700565</v>
      </c>
      <c r="AL71">
        <f t="shared" si="21"/>
        <v>0.27991510124220137</v>
      </c>
      <c r="AN71" t="str">
        <f t="shared" si="22"/>
        <v>Munn MA</v>
      </c>
      <c r="AO71">
        <f t="shared" si="23"/>
        <v>2007</v>
      </c>
      <c r="AP71" t="str">
        <f t="shared" si="24"/>
        <v>Munn MA 2007</v>
      </c>
      <c r="AQ71">
        <f t="shared" si="25"/>
        <v>26</v>
      </c>
      <c r="AR71">
        <f t="shared" si="26"/>
        <v>14426.88</v>
      </c>
      <c r="AS71">
        <f t="shared" si="27"/>
        <v>1956.37</v>
      </c>
      <c r="AT71">
        <f t="shared" si="28"/>
        <v>18</v>
      </c>
      <c r="AU71">
        <f t="shared" si="29"/>
        <v>14262.96</v>
      </c>
      <c r="AV71">
        <f t="shared" si="30"/>
        <v>1747.51</v>
      </c>
      <c r="AW71" s="65">
        <f t="shared" si="31"/>
        <v>8.5870146009249151E-2</v>
      </c>
      <c r="AX71">
        <f t="shared" si="32"/>
        <v>0.30677210921517423</v>
      </c>
    </row>
    <row r="72" spans="5:50">
      <c r="E72" t="str">
        <f t="shared" si="42"/>
        <v>Keller J</v>
      </c>
      <c r="F72">
        <f t="shared" si="42"/>
        <v>2008</v>
      </c>
      <c r="G72">
        <v>10</v>
      </c>
      <c r="H72">
        <f t="shared" si="43"/>
        <v>23</v>
      </c>
      <c r="I72">
        <f t="shared" si="43"/>
        <v>11</v>
      </c>
      <c r="J72">
        <f t="shared" si="41"/>
        <v>2.29</v>
      </c>
      <c r="K72">
        <f t="shared" si="41"/>
        <v>0.45</v>
      </c>
      <c r="L72">
        <f t="shared" si="41"/>
        <v>2.5499999999999998</v>
      </c>
      <c r="M72">
        <f t="shared" si="41"/>
        <v>0.42</v>
      </c>
      <c r="N72">
        <f t="shared" si="6"/>
        <v>0.44084436029056784</v>
      </c>
      <c r="O72" s="59">
        <f t="shared" si="7"/>
        <v>-0.57584556043591673</v>
      </c>
      <c r="P72" s="63">
        <f t="shared" si="8"/>
        <v>0.13990295572865205</v>
      </c>
      <c r="Q72" s="59">
        <f t="shared" si="9"/>
        <v>0.73311062925535986</v>
      </c>
      <c r="R72" s="59">
        <f t="shared" si="10"/>
        <v>7.1478118156384349</v>
      </c>
      <c r="S72" s="59">
        <f t="shared" si="11"/>
        <v>-4.1160357008667816</v>
      </c>
      <c r="T72" s="59">
        <f t="shared" si="12"/>
        <v>2.3702008849398735</v>
      </c>
      <c r="U72" s="23">
        <f t="shared" si="13"/>
        <v>51.091213751780423</v>
      </c>
      <c r="V72" s="59">
        <f t="shared" si="14"/>
        <v>2.5540100122449485</v>
      </c>
      <c r="W72" s="59">
        <f t="shared" si="15"/>
        <v>-1.470715326860135</v>
      </c>
      <c r="AF72" s="59">
        <f t="shared" si="16"/>
        <v>-0.57584556043591673</v>
      </c>
      <c r="AG72" s="59">
        <f t="shared" si="17"/>
        <v>0.73311062925535986</v>
      </c>
      <c r="AH72" s="59">
        <f t="shared" si="18"/>
        <v>0.73311062925535986</v>
      </c>
      <c r="AJ72">
        <f t="shared" si="19"/>
        <v>0.3740360353343673</v>
      </c>
      <c r="AK72">
        <f t="shared" si="20"/>
        <v>2.6735391928375454</v>
      </c>
      <c r="AL72">
        <f t="shared" si="21"/>
        <v>-1.5395456748469247</v>
      </c>
      <c r="AN72" t="str">
        <f t="shared" si="22"/>
        <v>Keller J</v>
      </c>
      <c r="AO72">
        <f t="shared" si="23"/>
        <v>2008</v>
      </c>
      <c r="AP72" t="str">
        <f t="shared" si="24"/>
        <v>Keller J 2008</v>
      </c>
      <c r="AQ72">
        <f t="shared" si="25"/>
        <v>23</v>
      </c>
      <c r="AR72">
        <f t="shared" si="26"/>
        <v>2.29</v>
      </c>
      <c r="AS72">
        <f t="shared" si="27"/>
        <v>0.45</v>
      </c>
      <c r="AT72">
        <f t="shared" si="28"/>
        <v>11</v>
      </c>
      <c r="AU72">
        <f t="shared" si="29"/>
        <v>2.5499999999999998</v>
      </c>
      <c r="AV72">
        <f t="shared" si="30"/>
        <v>0.42</v>
      </c>
      <c r="AW72" s="65">
        <f t="shared" si="31"/>
        <v>-0.57584556043591673</v>
      </c>
      <c r="AX72">
        <f t="shared" si="32"/>
        <v>0.3740360353343673</v>
      </c>
    </row>
    <row r="73" spans="5:50">
      <c r="E73" t="str">
        <f t="shared" si="42"/>
        <v>Keller J</v>
      </c>
      <c r="F73">
        <f t="shared" si="42"/>
        <v>2008</v>
      </c>
      <c r="G73">
        <v>9</v>
      </c>
      <c r="H73">
        <f t="shared" si="43"/>
        <v>19</v>
      </c>
      <c r="I73">
        <f t="shared" si="43"/>
        <v>11</v>
      </c>
      <c r="J73">
        <f t="shared" si="41"/>
        <v>2.62</v>
      </c>
      <c r="K73">
        <f t="shared" si="41"/>
        <v>0.53</v>
      </c>
      <c r="L73">
        <f t="shared" si="41"/>
        <v>2.5499999999999998</v>
      </c>
      <c r="M73">
        <f t="shared" si="41"/>
        <v>0.42</v>
      </c>
      <c r="N73">
        <f t="shared" si="6"/>
        <v>0.49353679845435178</v>
      </c>
      <c r="O73" s="59">
        <f t="shared" si="7"/>
        <v>0.13800006062649825</v>
      </c>
      <c r="P73" s="63">
        <f t="shared" si="8"/>
        <v>0.14390605774465806</v>
      </c>
      <c r="Q73" s="59">
        <f t="shared" si="9"/>
        <v>0.74352505770275046</v>
      </c>
      <c r="R73" s="59">
        <f t="shared" si="10"/>
        <v>6.9489777961561945</v>
      </c>
      <c r="S73" s="59">
        <f t="shared" si="11"/>
        <v>0.95895935716174507</v>
      </c>
      <c r="T73" s="59">
        <f t="shared" si="12"/>
        <v>0.13233644942666861</v>
      </c>
      <c r="U73" s="23">
        <f t="shared" si="13"/>
        <v>48.288292411471801</v>
      </c>
      <c r="V73" s="59">
        <f t="shared" si="14"/>
        <v>2.5281621766312288</v>
      </c>
      <c r="W73" s="59">
        <f t="shared" si="15"/>
        <v>0.34888653364872935</v>
      </c>
      <c r="AF73" s="59">
        <f t="shared" si="16"/>
        <v>0.13800006062649825</v>
      </c>
      <c r="AG73" s="59">
        <f t="shared" si="17"/>
        <v>0.74352505770275046</v>
      </c>
      <c r="AH73" s="59">
        <f t="shared" si="18"/>
        <v>0.74352505770275046</v>
      </c>
      <c r="AJ73">
        <f t="shared" si="19"/>
        <v>0.37934951923609717</v>
      </c>
      <c r="AK73">
        <f t="shared" si="20"/>
        <v>2.6360913861541664</v>
      </c>
      <c r="AL73">
        <f t="shared" si="21"/>
        <v>0.36378077110626478</v>
      </c>
      <c r="AN73" t="str">
        <f t="shared" si="22"/>
        <v>Keller J</v>
      </c>
      <c r="AO73">
        <f t="shared" si="23"/>
        <v>2008</v>
      </c>
      <c r="AP73" t="str">
        <f t="shared" si="24"/>
        <v>Keller J 2008</v>
      </c>
      <c r="AQ73">
        <f t="shared" si="25"/>
        <v>19</v>
      </c>
      <c r="AR73">
        <f t="shared" si="26"/>
        <v>2.62</v>
      </c>
      <c r="AS73">
        <f t="shared" si="27"/>
        <v>0.53</v>
      </c>
      <c r="AT73">
        <f t="shared" si="28"/>
        <v>11</v>
      </c>
      <c r="AU73">
        <f t="shared" si="29"/>
        <v>2.5499999999999998</v>
      </c>
      <c r="AV73">
        <f t="shared" si="30"/>
        <v>0.42</v>
      </c>
      <c r="AW73" s="65">
        <f t="shared" si="31"/>
        <v>0.13800006062649825</v>
      </c>
      <c r="AX73">
        <f t="shared" si="32"/>
        <v>0.37934951923609717</v>
      </c>
    </row>
    <row r="74" spans="5:50">
      <c r="E74" t="str">
        <f t="shared" ref="E74:F76" si="44">E39</f>
        <v>MacMaster FP (B)</v>
      </c>
      <c r="F74">
        <f t="shared" si="44"/>
        <v>2008</v>
      </c>
      <c r="G74">
        <v>8</v>
      </c>
      <c r="H74">
        <f t="shared" ref="H74:I76" si="45">H39</f>
        <v>32</v>
      </c>
      <c r="I74">
        <f t="shared" si="45"/>
        <v>35</v>
      </c>
      <c r="J74">
        <f t="shared" si="41"/>
        <v>1.52</v>
      </c>
      <c r="K74">
        <f t="shared" si="41"/>
        <v>0.27</v>
      </c>
      <c r="L74">
        <f t="shared" si="41"/>
        <v>1.36</v>
      </c>
      <c r="M74">
        <f t="shared" si="41"/>
        <v>0.28999999999999998</v>
      </c>
      <c r="N74">
        <f t="shared" ref="N74:N79" si="46">IF($D$3=1,SQRT((((I74-1)*(M74)^2)+((H74-1)*(K74)^2))/(H74+I74-2)),M74)</f>
        <v>0.28063937987827287</v>
      </c>
      <c r="O74" s="59">
        <f t="shared" ref="O74:O79" si="47">IF($D$6=1,LN(J74/L74),IF($D$5=1,(1-3/(4*(H74+I74)-9))*((J74-L74)/N74),(J74-L74)/N74))</f>
        <v>0.56352290336200894</v>
      </c>
      <c r="P74" s="63">
        <f t="shared" ref="P74:P79" si="48">IF($D$6=1,(K74^2)/(H74*J74^2)+(M74^2)/(I74*L74^2),(IF($D$5=1,((H74+I74)/(H74*I74))+(O74*O74)/(2*(H74+I74-3.94)),((H74+I74)/(H74*I74))+((O74^2)/(2*(H74+I74-2))))))</f>
        <v>6.2339332651777039E-2</v>
      </c>
      <c r="Q74" s="59">
        <f t="shared" si="9"/>
        <v>0.48936977871040083</v>
      </c>
      <c r="R74" s="59">
        <f t="shared" ref="R74:R79" si="49">1/P74</f>
        <v>16.041236847784802</v>
      </c>
      <c r="S74" s="59">
        <f t="shared" ref="S74:S79" si="50">O74*R74</f>
        <v>9.0396043619813327</v>
      </c>
      <c r="T74" s="59">
        <f t="shared" ref="T74:T79" si="51">R74*(O74^2)</f>
        <v>5.094024095307601</v>
      </c>
      <c r="U74" s="23">
        <f t="shared" ref="U74:U79" si="52">R74^2</f>
        <v>257.32127960672887</v>
      </c>
      <c r="V74" s="59">
        <f t="shared" si="14"/>
        <v>3.1849413917637399</v>
      </c>
      <c r="W74" s="59">
        <f t="shared" ref="W74:W79" si="53">V74*O74</f>
        <v>1.7947874201245402</v>
      </c>
      <c r="AF74" s="59">
        <f t="shared" ref="AF74:AF79" si="54">IF($D$6=1,100*((EXP(O74))-1),O74)</f>
        <v>0.56352290336200894</v>
      </c>
      <c r="AG74" s="59">
        <f t="shared" ref="AG74:AG79" si="55">IF($D$6=1,100*(EXP(O74+Q74)-EXP(O74)),Q74)</f>
        <v>0.48936977871040083</v>
      </c>
      <c r="AH74" s="59">
        <f t="shared" ref="AH74:AH79" si="56">IF($D$6=1,100*(EXP(O74)-EXP(O74-Q74)),Q74)</f>
        <v>0.48936977871040083</v>
      </c>
      <c r="AJ74">
        <f t="shared" ref="AJ74:AJ79" si="57">SQRT(P74)</f>
        <v>0.24967845852571471</v>
      </c>
      <c r="AK74">
        <f t="shared" si="20"/>
        <v>4.0051512890008034</v>
      </c>
      <c r="AL74">
        <f t="shared" ref="AL74:AL79" si="58">O74/AJ74</f>
        <v>2.2569944827818254</v>
      </c>
      <c r="AN74" t="str">
        <f t="shared" ref="AN74:AO76" si="59">E74</f>
        <v>MacMaster FP (B)</v>
      </c>
      <c r="AO74">
        <f t="shared" si="59"/>
        <v>2008</v>
      </c>
      <c r="AP74" t="str">
        <f t="shared" ref="AP74:AP79" si="60">CONCATENATE(AN74," ",AO74)</f>
        <v>MacMaster FP (B) 2008</v>
      </c>
      <c r="AQ74">
        <f t="shared" ref="AQ74:AQ79" si="61">INT(H74)</f>
        <v>32</v>
      </c>
      <c r="AR74">
        <f t="shared" ref="AR74:AS76" si="62">J74</f>
        <v>1.52</v>
      </c>
      <c r="AS74">
        <f t="shared" si="62"/>
        <v>0.27</v>
      </c>
      <c r="AT74">
        <f t="shared" ref="AT74:AT79" si="63">INT(I74)</f>
        <v>35</v>
      </c>
      <c r="AU74">
        <f t="shared" ref="AU74:AV76" si="64">L74</f>
        <v>1.36</v>
      </c>
      <c r="AV74">
        <f t="shared" si="64"/>
        <v>0.28999999999999998</v>
      </c>
      <c r="AW74" s="65">
        <f t="shared" ref="AW74:AW79" si="65">O74</f>
        <v>0.56352290336200894</v>
      </c>
      <c r="AX74">
        <f t="shared" ref="AX74:AX79" si="66">SQRT(P74)</f>
        <v>0.24967845852571471</v>
      </c>
    </row>
    <row r="75" spans="5:50">
      <c r="E75" t="str">
        <f t="shared" si="44"/>
        <v>Tamburo RJ</v>
      </c>
      <c r="F75">
        <f t="shared" si="44"/>
        <v>2008</v>
      </c>
      <c r="G75">
        <v>7</v>
      </c>
      <c r="H75">
        <f t="shared" si="45"/>
        <v>14</v>
      </c>
      <c r="I75">
        <f t="shared" si="45"/>
        <v>11</v>
      </c>
      <c r="J75">
        <f t="shared" ref="J75:M76" si="67">IF($D$4="Total",T40,IF($D$4="Left",L40,IF($D$4="Right",P40,"error")))</f>
        <v>1433</v>
      </c>
      <c r="K75">
        <f t="shared" si="67"/>
        <v>404</v>
      </c>
      <c r="L75">
        <f t="shared" si="67"/>
        <v>1553</v>
      </c>
      <c r="M75">
        <f t="shared" si="67"/>
        <v>293</v>
      </c>
      <c r="N75">
        <f t="shared" si="46"/>
        <v>359.96968471392626</v>
      </c>
      <c r="O75" s="59">
        <f t="shared" si="47"/>
        <v>-0.32237146896461033</v>
      </c>
      <c r="P75" s="63">
        <f t="shared" si="48"/>
        <v>0.16480497867200233</v>
      </c>
      <c r="Q75" s="59">
        <f t="shared" si="9"/>
        <v>0.7956851174091194</v>
      </c>
      <c r="R75" s="59">
        <f t="shared" si="49"/>
        <v>6.0677778551230359</v>
      </c>
      <c r="S75" s="59">
        <f t="shared" si="50"/>
        <v>-1.9560784605069457</v>
      </c>
      <c r="T75" s="59">
        <f t="shared" si="51"/>
        <v>0.63058388672365762</v>
      </c>
      <c r="U75" s="23">
        <f t="shared" si="52"/>
        <v>36.817928099121509</v>
      </c>
      <c r="V75" s="59">
        <f t="shared" si="14"/>
        <v>2.4012880537894992</v>
      </c>
      <c r="W75" s="59">
        <f t="shared" si="53"/>
        <v>-0.77410675730729106</v>
      </c>
      <c r="AF75" s="59">
        <f t="shared" si="54"/>
        <v>-0.32237146896461033</v>
      </c>
      <c r="AG75" s="59">
        <f t="shared" si="55"/>
        <v>0.7956851174091194</v>
      </c>
      <c r="AH75" s="59">
        <f t="shared" si="56"/>
        <v>0.7956851174091194</v>
      </c>
      <c r="AJ75">
        <f t="shared" si="57"/>
        <v>0.40596179459648951</v>
      </c>
      <c r="AK75">
        <f t="shared" si="20"/>
        <v>2.4632859872785855</v>
      </c>
      <c r="AL75">
        <f t="shared" si="58"/>
        <v>-0.79409312219893802</v>
      </c>
      <c r="AN75" t="str">
        <f t="shared" si="59"/>
        <v>Tamburo RJ</v>
      </c>
      <c r="AO75">
        <f t="shared" si="59"/>
        <v>2008</v>
      </c>
      <c r="AP75" t="str">
        <f t="shared" si="60"/>
        <v>Tamburo RJ 2008</v>
      </c>
      <c r="AQ75">
        <f t="shared" si="61"/>
        <v>14</v>
      </c>
      <c r="AR75">
        <f t="shared" si="62"/>
        <v>1433</v>
      </c>
      <c r="AS75">
        <f t="shared" si="62"/>
        <v>404</v>
      </c>
      <c r="AT75">
        <f t="shared" si="63"/>
        <v>11</v>
      </c>
      <c r="AU75">
        <f t="shared" si="64"/>
        <v>1553</v>
      </c>
      <c r="AV75">
        <f t="shared" si="64"/>
        <v>293</v>
      </c>
      <c r="AW75" s="65">
        <f t="shared" si="65"/>
        <v>-0.32237146896461033</v>
      </c>
      <c r="AX75">
        <f t="shared" si="66"/>
        <v>0.40596179459648951</v>
      </c>
    </row>
    <row r="76" spans="5:50">
      <c r="E76" t="str">
        <f t="shared" si="44"/>
        <v>van Eijndhoven P</v>
      </c>
      <c r="F76">
        <f t="shared" si="44"/>
        <v>2009</v>
      </c>
      <c r="G76">
        <v>6</v>
      </c>
      <c r="H76">
        <f t="shared" si="45"/>
        <v>20</v>
      </c>
      <c r="I76">
        <f t="shared" si="45"/>
        <v>10</v>
      </c>
      <c r="J76">
        <f t="shared" si="67"/>
        <v>2358</v>
      </c>
      <c r="K76">
        <f t="shared" si="67"/>
        <v>307</v>
      </c>
      <c r="L76">
        <f t="shared" si="67"/>
        <v>2153</v>
      </c>
      <c r="M76">
        <f t="shared" si="67"/>
        <v>396</v>
      </c>
      <c r="N76">
        <f t="shared" si="46"/>
        <v>338.17129007142438</v>
      </c>
      <c r="O76" s="59">
        <f t="shared" si="47"/>
        <v>0.58981783881574357</v>
      </c>
      <c r="P76" s="63">
        <f t="shared" si="48"/>
        <v>0.15667469460831301</v>
      </c>
      <c r="Q76" s="59">
        <f t="shared" si="9"/>
        <v>0.77581022602650407</v>
      </c>
      <c r="R76" s="59">
        <f t="shared" si="49"/>
        <v>6.3826516624142879</v>
      </c>
      <c r="S76" s="59">
        <f t="shared" si="50"/>
        <v>3.7646018094389082</v>
      </c>
      <c r="T76" s="59">
        <f t="shared" si="51"/>
        <v>2.2204293032450946</v>
      </c>
      <c r="U76" s="23">
        <f t="shared" si="52"/>
        <v>40.738242243719874</v>
      </c>
      <c r="V76" s="59">
        <f t="shared" si="14"/>
        <v>2.449102254251327</v>
      </c>
      <c r="W76" s="59">
        <f t="shared" si="53"/>
        <v>1.4445241986412833</v>
      </c>
      <c r="AF76" s="59">
        <f t="shared" si="54"/>
        <v>0.58981783881574357</v>
      </c>
      <c r="AG76" s="59">
        <f t="shared" si="55"/>
        <v>0.77581022602650407</v>
      </c>
      <c r="AH76" s="59">
        <f t="shared" si="56"/>
        <v>0.77581022602650407</v>
      </c>
      <c r="AJ76">
        <f t="shared" si="57"/>
        <v>0.39582154389107349</v>
      </c>
      <c r="AK76">
        <f t="shared" si="20"/>
        <v>2.5263910351357501</v>
      </c>
      <c r="AL76">
        <f t="shared" si="58"/>
        <v>1.4901105003472375</v>
      </c>
      <c r="AN76" t="str">
        <f t="shared" si="59"/>
        <v>van Eijndhoven P</v>
      </c>
      <c r="AO76">
        <f t="shared" si="59"/>
        <v>2009</v>
      </c>
      <c r="AP76" t="str">
        <f t="shared" si="60"/>
        <v>van Eijndhoven P 2009</v>
      </c>
      <c r="AQ76">
        <f t="shared" si="61"/>
        <v>20</v>
      </c>
      <c r="AR76">
        <f t="shared" si="62"/>
        <v>2358</v>
      </c>
      <c r="AS76">
        <f t="shared" si="62"/>
        <v>307</v>
      </c>
      <c r="AT76">
        <f t="shared" si="63"/>
        <v>10</v>
      </c>
      <c r="AU76">
        <f t="shared" si="64"/>
        <v>2153</v>
      </c>
      <c r="AV76">
        <f t="shared" si="64"/>
        <v>396</v>
      </c>
      <c r="AW76" s="65">
        <f t="shared" si="65"/>
        <v>0.58981783881574357</v>
      </c>
      <c r="AX76">
        <f t="shared" si="66"/>
        <v>0.39582154389107349</v>
      </c>
    </row>
    <row r="77" spans="5:50">
      <c r="E77" t="str">
        <f t="shared" ref="E77:F79" si="68">E42</f>
        <v>van Eijndhoven P</v>
      </c>
      <c r="F77">
        <f t="shared" si="68"/>
        <v>2009</v>
      </c>
      <c r="G77">
        <v>5</v>
      </c>
      <c r="H77">
        <f t="shared" ref="H77:I79" si="69">H42</f>
        <v>20</v>
      </c>
      <c r="I77">
        <f t="shared" si="69"/>
        <v>10</v>
      </c>
      <c r="J77">
        <f t="shared" ref="J77:M79" si="70">IF($D$4="Total",T42,IF($D$4="Left",L42,IF($D$4="Right",P42,"error")))</f>
        <v>2024</v>
      </c>
      <c r="K77">
        <f t="shared" si="70"/>
        <v>292</v>
      </c>
      <c r="L77">
        <f t="shared" si="70"/>
        <v>2153</v>
      </c>
      <c r="M77">
        <f t="shared" si="70"/>
        <v>396</v>
      </c>
      <c r="N77">
        <f t="shared" si="46"/>
        <v>329.03321586559792</v>
      </c>
      <c r="O77" s="59">
        <f t="shared" si="47"/>
        <v>-0.38146152868889305</v>
      </c>
      <c r="P77" s="63">
        <f t="shared" si="48"/>
        <v>0.15279188215406114</v>
      </c>
      <c r="Q77" s="59">
        <f t="shared" si="9"/>
        <v>0.76613660301740005</v>
      </c>
      <c r="R77" s="59">
        <f t="shared" si="49"/>
        <v>6.5448503277922372</v>
      </c>
      <c r="S77" s="59">
        <f t="shared" si="50"/>
        <v>-2.4966086110796297</v>
      </c>
      <c r="T77" s="59">
        <f t="shared" si="51"/>
        <v>0.95236013732028957</v>
      </c>
      <c r="U77" s="23">
        <f t="shared" si="52"/>
        <v>42.835065813202156</v>
      </c>
      <c r="V77" s="59">
        <f t="shared" si="14"/>
        <v>2.4726153544092506</v>
      </c>
      <c r="W77" s="59">
        <f t="shared" si="53"/>
        <v>-0.94320763295258181</v>
      </c>
      <c r="AF77" s="59">
        <f t="shared" si="54"/>
        <v>-0.38146152868889305</v>
      </c>
      <c r="AG77" s="59">
        <f t="shared" si="55"/>
        <v>0.76613660301740005</v>
      </c>
      <c r="AH77" s="59">
        <f t="shared" si="56"/>
        <v>0.76613660301740005</v>
      </c>
      <c r="AJ77">
        <f t="shared" si="57"/>
        <v>0.3908860219476531</v>
      </c>
      <c r="AK77">
        <f t="shared" si="20"/>
        <v>2.5582905088735011</v>
      </c>
      <c r="AL77">
        <f t="shared" si="58"/>
        <v>-0.9758894083451719</v>
      </c>
      <c r="AN77" t="str">
        <f t="shared" ref="AN77:AO79" si="71">E77</f>
        <v>van Eijndhoven P</v>
      </c>
      <c r="AO77">
        <f t="shared" si="71"/>
        <v>2009</v>
      </c>
      <c r="AP77" t="str">
        <f t="shared" si="60"/>
        <v>van Eijndhoven P 2009</v>
      </c>
      <c r="AQ77">
        <f t="shared" si="61"/>
        <v>20</v>
      </c>
      <c r="AR77">
        <f t="shared" ref="AR77:AS79" si="72">J77</f>
        <v>2024</v>
      </c>
      <c r="AS77">
        <f t="shared" si="72"/>
        <v>292</v>
      </c>
      <c r="AT77">
        <f t="shared" si="63"/>
        <v>10</v>
      </c>
      <c r="AU77">
        <f t="shared" ref="AU77:AV79" si="73">L77</f>
        <v>2153</v>
      </c>
      <c r="AV77">
        <f t="shared" si="73"/>
        <v>396</v>
      </c>
      <c r="AW77" s="65">
        <f t="shared" si="65"/>
        <v>-0.38146152868889305</v>
      </c>
      <c r="AX77">
        <f t="shared" si="66"/>
        <v>0.3908860219476531</v>
      </c>
    </row>
    <row r="78" spans="5:50">
      <c r="E78" t="str">
        <f t="shared" si="68"/>
        <v>Lorenzetti V (B)</v>
      </c>
      <c r="F78">
        <f t="shared" si="68"/>
        <v>2009</v>
      </c>
      <c r="G78">
        <v>4</v>
      </c>
      <c r="H78">
        <f t="shared" si="69"/>
        <v>29</v>
      </c>
      <c r="I78">
        <f t="shared" si="69"/>
        <v>15.5</v>
      </c>
      <c r="J78">
        <f t="shared" si="70"/>
        <v>1657.09</v>
      </c>
      <c r="K78">
        <f t="shared" si="70"/>
        <v>172.29</v>
      </c>
      <c r="L78">
        <f t="shared" si="70"/>
        <v>1641.36</v>
      </c>
      <c r="M78">
        <f t="shared" si="70"/>
        <v>159.55000000000001</v>
      </c>
      <c r="N78">
        <f t="shared" si="46"/>
        <v>168.05199272844104</v>
      </c>
      <c r="O78" s="59">
        <f t="shared" si="47"/>
        <v>9.1940410702159858E-2</v>
      </c>
      <c r="P78" s="63">
        <f t="shared" si="48"/>
        <v>9.9103091784112432E-2</v>
      </c>
      <c r="Q78" s="59">
        <f t="shared" si="9"/>
        <v>0.6170206134302535</v>
      </c>
      <c r="R78" s="59">
        <f t="shared" si="49"/>
        <v>10.090502546362671</v>
      </c>
      <c r="S78" s="59">
        <f t="shared" si="50"/>
        <v>0.92772494830377383</v>
      </c>
      <c r="T78" s="59">
        <f t="shared" si="51"/>
        <v>8.5295412765688985E-2</v>
      </c>
      <c r="U78" s="23">
        <f t="shared" si="52"/>
        <v>101.81824163815156</v>
      </c>
      <c r="V78" s="59">
        <f t="shared" si="14"/>
        <v>2.8511043868410781</v>
      </c>
      <c r="W78" s="59">
        <f t="shared" si="53"/>
        <v>0.26213170828089838</v>
      </c>
      <c r="AF78" s="59">
        <f t="shared" si="54"/>
        <v>9.1940410702159858E-2</v>
      </c>
      <c r="AG78" s="59">
        <f t="shared" si="55"/>
        <v>0.6170206134302535</v>
      </c>
      <c r="AH78" s="59">
        <f t="shared" si="56"/>
        <v>0.6170206134302535</v>
      </c>
      <c r="AJ78">
        <f t="shared" si="57"/>
        <v>0.31480643542359871</v>
      </c>
      <c r="AK78">
        <f t="shared" si="20"/>
        <v>3.1765551382531787</v>
      </c>
      <c r="AL78">
        <f t="shared" si="58"/>
        <v>0.29205378402905346</v>
      </c>
      <c r="AN78" t="str">
        <f t="shared" si="71"/>
        <v>Lorenzetti V (B)</v>
      </c>
      <c r="AO78">
        <f t="shared" si="71"/>
        <v>2009</v>
      </c>
      <c r="AP78" t="str">
        <f t="shared" si="60"/>
        <v>Lorenzetti V (B) 2009</v>
      </c>
      <c r="AQ78">
        <f t="shared" si="61"/>
        <v>29</v>
      </c>
      <c r="AR78">
        <f t="shared" si="72"/>
        <v>1657.09</v>
      </c>
      <c r="AS78">
        <f t="shared" si="72"/>
        <v>172.29</v>
      </c>
      <c r="AT78">
        <f t="shared" si="63"/>
        <v>15</v>
      </c>
      <c r="AU78">
        <f t="shared" si="73"/>
        <v>1641.36</v>
      </c>
      <c r="AV78">
        <f t="shared" si="73"/>
        <v>159.55000000000001</v>
      </c>
      <c r="AW78" s="65">
        <f t="shared" si="65"/>
        <v>9.1940410702159858E-2</v>
      </c>
      <c r="AX78">
        <f t="shared" si="66"/>
        <v>0.31480643542359871</v>
      </c>
    </row>
    <row r="79" spans="5:50">
      <c r="E79" t="str">
        <f t="shared" si="68"/>
        <v>Lorenzetti V (B)</v>
      </c>
      <c r="F79">
        <f t="shared" si="68"/>
        <v>2009</v>
      </c>
      <c r="G79">
        <v>3</v>
      </c>
      <c r="H79">
        <f t="shared" si="69"/>
        <v>27</v>
      </c>
      <c r="I79">
        <f t="shared" si="69"/>
        <v>15.5</v>
      </c>
      <c r="J79">
        <f t="shared" si="70"/>
        <v>1642.96</v>
      </c>
      <c r="K79">
        <f t="shared" si="70"/>
        <v>186.15</v>
      </c>
      <c r="L79">
        <f t="shared" si="70"/>
        <v>1641.36</v>
      </c>
      <c r="M79">
        <f t="shared" si="70"/>
        <v>159.55000000000001</v>
      </c>
      <c r="N79">
        <f t="shared" si="46"/>
        <v>177.08631648903403</v>
      </c>
      <c r="O79" s="59">
        <f t="shared" si="47"/>
        <v>8.8667852295696344E-3</v>
      </c>
      <c r="P79" s="63">
        <f t="shared" si="48"/>
        <v>0.10155418551795053</v>
      </c>
      <c r="Q79" s="59">
        <f t="shared" si="9"/>
        <v>0.62460432201975569</v>
      </c>
      <c r="R79" s="59">
        <f t="shared" si="49"/>
        <v>9.8469599741237825</v>
      </c>
      <c r="S79" s="59">
        <f t="shared" si="50"/>
        <v>8.7310879254724139E-2</v>
      </c>
      <c r="T79" s="59">
        <f t="shared" si="51"/>
        <v>7.7416681455652592E-4</v>
      </c>
      <c r="U79" s="23">
        <f t="shared" si="52"/>
        <v>96.962620731995841</v>
      </c>
      <c r="V79" s="59">
        <f t="shared" si="14"/>
        <v>2.8313182175150469</v>
      </c>
      <c r="W79" s="59">
        <f t="shared" si="53"/>
        <v>2.5104690551273841E-2</v>
      </c>
      <c r="AF79" s="59">
        <f t="shared" si="54"/>
        <v>8.8667852295696344E-3</v>
      </c>
      <c r="AG79" s="59">
        <f t="shared" si="55"/>
        <v>0.62460432201975569</v>
      </c>
      <c r="AH79" s="59">
        <f t="shared" si="56"/>
        <v>0.62460432201975569</v>
      </c>
      <c r="AJ79">
        <f t="shared" si="57"/>
        <v>0.31867567449987538</v>
      </c>
      <c r="AK79">
        <f t="shared" si="20"/>
        <v>3.1379866115271722</v>
      </c>
      <c r="AL79">
        <f t="shared" si="58"/>
        <v>2.7823853337676396E-2</v>
      </c>
      <c r="AN79" t="str">
        <f t="shared" si="71"/>
        <v>Lorenzetti V (B)</v>
      </c>
      <c r="AO79">
        <f t="shared" si="71"/>
        <v>2009</v>
      </c>
      <c r="AP79" t="str">
        <f t="shared" si="60"/>
        <v>Lorenzetti V (B) 2009</v>
      </c>
      <c r="AQ79">
        <f t="shared" si="61"/>
        <v>27</v>
      </c>
      <c r="AR79">
        <f t="shared" si="72"/>
        <v>1642.96</v>
      </c>
      <c r="AS79">
        <f t="shared" si="72"/>
        <v>186.15</v>
      </c>
      <c r="AT79">
        <f t="shared" si="63"/>
        <v>15</v>
      </c>
      <c r="AU79">
        <f t="shared" si="73"/>
        <v>1641.36</v>
      </c>
      <c r="AV79">
        <f t="shared" si="73"/>
        <v>159.55000000000001</v>
      </c>
      <c r="AW79" s="65">
        <f t="shared" si="65"/>
        <v>8.8667852295696344E-3</v>
      </c>
      <c r="AX79">
        <f t="shared" si="66"/>
        <v>0.31867567449987538</v>
      </c>
    </row>
    <row r="80" spans="5:50">
      <c r="E80" t="str">
        <f>E45</f>
        <v>Kronenberg G</v>
      </c>
      <c r="F80">
        <f>F45</f>
        <v>2009</v>
      </c>
      <c r="G80">
        <v>2</v>
      </c>
      <c r="H80">
        <f>H45</f>
        <v>24</v>
      </c>
      <c r="I80">
        <f>I45</f>
        <v>14</v>
      </c>
      <c r="J80">
        <f t="shared" ref="J80:M81" si="74">IF($D$4="Total",T45,IF($D$4="Left",L45,IF($D$4="Right",P45,"error")))</f>
        <v>1.74</v>
      </c>
      <c r="K80">
        <f t="shared" si="74"/>
        <v>0.27</v>
      </c>
      <c r="L80">
        <f t="shared" si="74"/>
        <v>1.97</v>
      </c>
      <c r="M80">
        <f t="shared" si="74"/>
        <v>0.28000000000000003</v>
      </c>
      <c r="N80">
        <f>IF($D$3=1,SQRT((((I80-1)*(M80)^2)+((H80-1)*(K80)^2))/(H80+I80-2)),M80)</f>
        <v>0.27365326804390827</v>
      </c>
      <c r="O80" s="59">
        <f>IF($D$6=1,LN(J80/L80),IF($D$5=1,(1-3/(4*(H80+I80)-9))*((J80-L80)/N80),(J80-L80)/N80))</f>
        <v>-0.8228471992473898</v>
      </c>
      <c r="P80" s="63">
        <f>IF($D$6=1,(K80^2)/(H80*J80^2)+(M80^2)/(I80*L80^2),(IF($D$5=1,((H80+I80)/(H80*I80))+(O80*O80)/(2*(H80+I80-3.94)),((H80+I80)/(H80*I80))+((O80^2)/(2*(H80+I80-2))))))</f>
        <v>0.12303472008744704</v>
      </c>
      <c r="Q80" s="59">
        <f t="shared" si="9"/>
        <v>0.68749558594069282</v>
      </c>
      <c r="R80" s="59">
        <f>1/P80</f>
        <v>8.127787012391698</v>
      </c>
      <c r="S80" s="59">
        <f>O80*R80</f>
        <v>-6.687926779225819</v>
      </c>
      <c r="T80" s="59">
        <f>R80*(O80^2)</f>
        <v>5.5031418190575812</v>
      </c>
      <c r="U80" s="23">
        <f>R80^2</f>
        <v>66.060921718803158</v>
      </c>
      <c r="V80" s="59">
        <f>1/((1/R80)+$I$95)</f>
        <v>2.6689946877969737</v>
      </c>
      <c r="W80" s="59">
        <f>V80*O80</f>
        <v>-2.1961748036599014</v>
      </c>
      <c r="AF80" s="59">
        <f>IF($D$6=1,100*((EXP(O80))-1),O80)</f>
        <v>-0.8228471992473898</v>
      </c>
      <c r="AG80" s="59">
        <f>IF($D$6=1,100*(EXP(O80+Q80)-EXP(O80)),Q80)</f>
        <v>0.68749558594069282</v>
      </c>
      <c r="AH80" s="59">
        <f>IF($D$6=1,100*(EXP(O80)-EXP(O80-Q80)),Q80)</f>
        <v>0.68749558594069282</v>
      </c>
      <c r="AJ80">
        <f>SQRT(P80)</f>
        <v>0.35076305405137387</v>
      </c>
      <c r="AK80">
        <f t="shared" si="20"/>
        <v>2.8509273951456038</v>
      </c>
      <c r="AL80">
        <f>O80/AJ80</f>
        <v>-2.3458776223532167</v>
      </c>
      <c r="AN80" t="str">
        <f>E80</f>
        <v>Kronenberg G</v>
      </c>
      <c r="AO80">
        <f>F80</f>
        <v>2009</v>
      </c>
      <c r="AP80" t="str">
        <f>CONCATENATE(AN80," ",AO80)</f>
        <v>Kronenberg G 2009</v>
      </c>
      <c r="AQ80">
        <f>INT(H80)</f>
        <v>24</v>
      </c>
      <c r="AR80">
        <f>J80</f>
        <v>1.74</v>
      </c>
      <c r="AS80">
        <f>K80</f>
        <v>0.27</v>
      </c>
      <c r="AT80">
        <f>INT(I80)</f>
        <v>14</v>
      </c>
      <c r="AU80">
        <f>L80</f>
        <v>1.97</v>
      </c>
      <c r="AV80">
        <f>M80</f>
        <v>0.28000000000000003</v>
      </c>
      <c r="AW80" s="65">
        <f>O80</f>
        <v>-0.8228471992473898</v>
      </c>
      <c r="AX80">
        <f>SQRT(P80)</f>
        <v>0.35076305405137387</v>
      </c>
    </row>
    <row r="81" spans="5:50">
      <c r="E81" t="str">
        <f>E46</f>
        <v>Weber K</v>
      </c>
      <c r="F81">
        <f>F46</f>
        <v>2009</v>
      </c>
      <c r="G81">
        <v>1</v>
      </c>
      <c r="H81">
        <f>H46</f>
        <v>38</v>
      </c>
      <c r="I81">
        <f>I46</f>
        <v>62</v>
      </c>
      <c r="J81">
        <f t="shared" si="74"/>
        <v>0.84</v>
      </c>
      <c r="K81">
        <f t="shared" si="74"/>
        <v>0.13</v>
      </c>
      <c r="L81">
        <f t="shared" si="74"/>
        <v>0.85</v>
      </c>
      <c r="M81">
        <f t="shared" si="74"/>
        <v>0.15</v>
      </c>
      <c r="N81">
        <f>IF($D$3=1,SQRT((((I81-1)*(M81)^2)+((H81-1)*(K81)^2))/(H81+I81-2)),M81)</f>
        <v>0.14277854980953647</v>
      </c>
      <c r="O81" s="59">
        <f>IF($D$6=1,LN(J81/L81),IF($D$5=1,(1-3/(4*(H81+I81)-9))*((J81-L81)/N81),(J81-L81)/N81))</f>
        <v>-6.950115175232166E-2</v>
      </c>
      <c r="P81" s="63">
        <f>IF($D$6=1,(K81^2)/(H81*J81^2)+(M81^2)/(I81*L81^2),(IF($D$5=1,((H81+I81)/(H81*I81))+(O81*O81)/(2*(H81+I81-3.94)),((H81+I81)/(H81*I81))+((O81^2)/(2*(H81+I81-2))))))</f>
        <v>4.2469964403489817E-2</v>
      </c>
      <c r="Q81" s="59">
        <f t="shared" si="9"/>
        <v>0.40392154591262702</v>
      </c>
      <c r="R81" s="59">
        <f>1/P81</f>
        <v>23.546052228803578</v>
      </c>
      <c r="S81" s="59">
        <f>O81*R81</f>
        <v>-1.6364777491221691</v>
      </c>
      <c r="T81" s="59">
        <f>R81*(O81^2)</f>
        <v>0.11373708838103765</v>
      </c>
      <c r="U81" s="23">
        <f>R81^2</f>
        <v>554.41657556154598</v>
      </c>
      <c r="V81" s="59">
        <f>1/((1/R81)+$I$95)</f>
        <v>3.4001097675928027</v>
      </c>
      <c r="W81" s="59">
        <f>V81*O81</f>
        <v>-0.2363115449320185</v>
      </c>
      <c r="AF81" s="59">
        <f>IF($D$6=1,100*((EXP(O81))-1),O81)</f>
        <v>-6.950115175232166E-2</v>
      </c>
      <c r="AG81" s="59">
        <f>IF($D$6=1,100*(EXP(O81+Q81)-EXP(O81)),Q81)</f>
        <v>0.40392154591262702</v>
      </c>
      <c r="AH81" s="59">
        <f>IF($D$6=1,100*(EXP(O81)-EXP(O81-Q81)),Q81)</f>
        <v>0.40392154591262702</v>
      </c>
      <c r="AJ81">
        <f>SQRT(P81)</f>
        <v>0.20608242138399338</v>
      </c>
      <c r="AK81">
        <f t="shared" si="20"/>
        <v>4.8524274573458159</v>
      </c>
      <c r="AL81">
        <f>O81/AJ81</f>
        <v>-0.33724929708012391</v>
      </c>
      <c r="AN81" t="str">
        <f>E81</f>
        <v>Weber K</v>
      </c>
      <c r="AO81">
        <f>F81</f>
        <v>2009</v>
      </c>
      <c r="AP81" t="str">
        <f>CONCATENATE(AN81," ",AO81)</f>
        <v>Weber K 2009</v>
      </c>
      <c r="AQ81">
        <f>INT(H81)</f>
        <v>38</v>
      </c>
      <c r="AR81">
        <f>J81</f>
        <v>0.84</v>
      </c>
      <c r="AS81">
        <f>K81</f>
        <v>0.13</v>
      </c>
      <c r="AT81">
        <f>INT(I81)</f>
        <v>62</v>
      </c>
      <c r="AU81">
        <f>L81</f>
        <v>0.85</v>
      </c>
      <c r="AV81">
        <f>M81</f>
        <v>0.15</v>
      </c>
      <c r="AW81" s="65">
        <f>O81</f>
        <v>-6.950115175232166E-2</v>
      </c>
      <c r="AX81">
        <f>SQRT(P81)</f>
        <v>0.20608242138399338</v>
      </c>
    </row>
    <row r="82" spans="5:50">
      <c r="U82" s="23"/>
    </row>
    <row r="83" spans="5:50">
      <c r="L83" t="s">
        <v>500</v>
      </c>
      <c r="N83" s="7"/>
      <c r="O83" s="66">
        <f>COUNT(O59:O81)</f>
        <v>23</v>
      </c>
      <c r="Q83" t="s">
        <v>885</v>
      </c>
      <c r="R83" s="59">
        <f t="shared" ref="R83:W83" si="75">SUM(R59:R81)</f>
        <v>230.64404645078051</v>
      </c>
      <c r="S83" s="59">
        <f t="shared" si="75"/>
        <v>-7.6892253704796802</v>
      </c>
      <c r="T83" s="59">
        <f t="shared" si="75"/>
        <v>77.32393912057077</v>
      </c>
      <c r="U83" s="23">
        <f t="shared" si="75"/>
        <v>2723.3631736799757</v>
      </c>
      <c r="V83" s="59">
        <f t="shared" si="75"/>
        <v>63.375999558127489</v>
      </c>
      <c r="W83" s="59">
        <f t="shared" si="75"/>
        <v>-5.2784746115075194</v>
      </c>
    </row>
    <row r="84" spans="5:50">
      <c r="L84" t="s">
        <v>501</v>
      </c>
      <c r="N84" s="7"/>
      <c r="O84" s="2">
        <v>4</v>
      </c>
    </row>
    <row r="85" spans="5:50">
      <c r="N85" s="7"/>
      <c r="O85" s="7"/>
    </row>
    <row r="86" spans="5:50">
      <c r="G86" s="67" t="s">
        <v>502</v>
      </c>
      <c r="H86" s="40"/>
      <c r="I86" s="40">
        <f>S83/R83</f>
        <v>-3.3338061349528755E-2</v>
      </c>
      <c r="J86" s="40"/>
      <c r="K86" s="68" t="s">
        <v>879</v>
      </c>
      <c r="L86" s="40"/>
      <c r="M86" s="42"/>
      <c r="N86" s="7"/>
      <c r="O86" s="69" t="s">
        <v>503</v>
      </c>
      <c r="P86" s="70">
        <f>T83-((S83^2)/R83)</f>
        <v>77.067595253439364</v>
      </c>
      <c r="Q86" s="71" t="s">
        <v>824</v>
      </c>
      <c r="R86" s="28"/>
      <c r="S86" s="29"/>
      <c r="T86" s="30"/>
      <c r="U86" s="31"/>
      <c r="AF86" s="2" t="s">
        <v>1518</v>
      </c>
    </row>
    <row r="87" spans="5:50">
      <c r="G87" s="43" t="s">
        <v>504</v>
      </c>
      <c r="H87" s="31"/>
      <c r="I87" s="31">
        <f>1/R83</f>
        <v>4.3356852925028793E-3</v>
      </c>
      <c r="J87" s="31"/>
      <c r="K87" s="31"/>
      <c r="L87" s="31"/>
      <c r="M87" s="44"/>
      <c r="N87" s="7"/>
      <c r="O87" s="30" t="s">
        <v>505</v>
      </c>
      <c r="P87" s="31">
        <f>CHIDIST(P86,I91-1)</f>
        <v>4.8893512235594986E-8</v>
      </c>
      <c r="Q87" s="31"/>
      <c r="R87" s="31"/>
      <c r="S87" s="34"/>
      <c r="T87" s="30"/>
      <c r="U87" s="31"/>
      <c r="AF87" s="2"/>
    </row>
    <row r="88" spans="5:50">
      <c r="G88" s="72" t="s">
        <v>506</v>
      </c>
      <c r="H88" s="31"/>
      <c r="I88" s="31">
        <f>$R$98*SQRT(I87)</f>
        <v>0.12905800486478575</v>
      </c>
      <c r="J88" s="31"/>
      <c r="K88" s="31" t="s">
        <v>507</v>
      </c>
      <c r="L88" s="31"/>
      <c r="M88" s="44">
        <f>ABS(I86/SQRT(I87))</f>
        <v>0.50630412513765333</v>
      </c>
      <c r="N88" s="7"/>
      <c r="O88" s="35" t="s">
        <v>508</v>
      </c>
      <c r="P88" s="37">
        <f>IF(((P86-(I91-1))/P86)&lt;0,0,100*((P86-(I91-1))/P86))</f>
        <v>71.453631156321578</v>
      </c>
      <c r="Q88" s="36"/>
      <c r="R88" s="36"/>
      <c r="S88" s="38"/>
      <c r="T88" s="30"/>
      <c r="U88" s="31"/>
      <c r="AF88" s="2" t="s">
        <v>1535</v>
      </c>
      <c r="AH88">
        <f>IF($D$6=1,100*((EXP(I86))-1),I86)</f>
        <v>-3.3338061349528755E-2</v>
      </c>
    </row>
    <row r="89" spans="5:50">
      <c r="G89" s="45" t="s">
        <v>509</v>
      </c>
      <c r="H89" s="46"/>
      <c r="I89" s="46">
        <v>-2</v>
      </c>
      <c r="J89" s="46"/>
      <c r="K89" s="46" t="s">
        <v>825</v>
      </c>
      <c r="L89" s="46"/>
      <c r="M89" s="47">
        <f>2*(1-NORMDIST(M88,0,1,1))</f>
        <v>0.6126431675755537</v>
      </c>
      <c r="N89" s="7"/>
      <c r="O89" s="7"/>
      <c r="AF89" s="79" t="s">
        <v>834</v>
      </c>
      <c r="AH89">
        <f>IF($D$6=1,100*(EXP(I86+I88)-EXP(I86)),I88)</f>
        <v>0.12905800486478575</v>
      </c>
    </row>
    <row r="90" spans="5:50">
      <c r="G90" s="40"/>
      <c r="H90" s="40"/>
      <c r="I90" s="40"/>
      <c r="J90" s="40"/>
      <c r="K90" s="40"/>
      <c r="L90" s="40"/>
      <c r="M90" s="40"/>
      <c r="N90" s="7"/>
      <c r="O90" s="7"/>
      <c r="AF90" s="79" t="s">
        <v>835</v>
      </c>
      <c r="AH90">
        <f>IF($D$6=1,100*(EXP(I86)-EXP(I86-I88)),I88)</f>
        <v>0.12905800486478575</v>
      </c>
    </row>
    <row r="91" spans="5:50">
      <c r="G91" s="73" t="s">
        <v>1110</v>
      </c>
      <c r="H91" s="74"/>
      <c r="I91" s="74">
        <f>O83</f>
        <v>23</v>
      </c>
      <c r="J91" s="74"/>
      <c r="K91" s="75" t="s">
        <v>1167</v>
      </c>
      <c r="L91" s="74"/>
      <c r="M91" s="76"/>
      <c r="N91" s="77"/>
      <c r="O91" s="101" t="s">
        <v>1513</v>
      </c>
      <c r="P91" s="102"/>
      <c r="Q91" s="103"/>
      <c r="AF91" s="7"/>
    </row>
    <row r="92" spans="5:50">
      <c r="G92" s="77" t="s">
        <v>1531</v>
      </c>
      <c r="H92" s="31"/>
      <c r="I92" s="31">
        <f>R83/I91</f>
        <v>10.028002019599153</v>
      </c>
      <c r="J92" s="31"/>
      <c r="K92" s="31"/>
      <c r="L92" s="31"/>
      <c r="M92" s="78"/>
      <c r="N92" s="77"/>
      <c r="O92" s="104" t="s">
        <v>1514</v>
      </c>
      <c r="P92" s="31"/>
      <c r="Q92" s="105">
        <f>INDEX(LINEST(AL59:AL81,AK59:AK81,TRUE,TRUE),1,2)</f>
        <v>-2.9211902002088448</v>
      </c>
      <c r="AF92" s="2" t="s">
        <v>1687</v>
      </c>
      <c r="AH92">
        <f>IF($D$6=1,100*((EXP(I97))-1),I97)</f>
        <v>-8.3288226589092046E-2</v>
      </c>
    </row>
    <row r="93" spans="5:50">
      <c r="G93" s="77" t="s">
        <v>1532</v>
      </c>
      <c r="H93" s="31"/>
      <c r="I93" s="31">
        <f>(1/(I91-1))*(U83-(I91*I92^2))</f>
        <v>18.657464093773985</v>
      </c>
      <c r="J93" s="31"/>
      <c r="K93" s="31"/>
      <c r="L93" s="31"/>
      <c r="M93" s="78"/>
      <c r="N93" s="77"/>
      <c r="O93" s="104" t="s">
        <v>1516</v>
      </c>
      <c r="P93" s="31"/>
      <c r="Q93" s="105">
        <f>INDEX(LINEST(AL59:AL81,AK59:AK81,TRUE,TRUE),2,2)</f>
        <v>1.9091734133791314</v>
      </c>
      <c r="AF93" s="79" t="s">
        <v>834</v>
      </c>
      <c r="AG93" s="7"/>
      <c r="AH93">
        <f>IF($D$6=1,100*(EXP(I97+I99)-EXP(I97)),I99)</f>
        <v>0.24620318129891247</v>
      </c>
    </row>
    <row r="94" spans="5:50">
      <c r="G94" s="77" t="s">
        <v>1669</v>
      </c>
      <c r="H94" s="31"/>
      <c r="I94" s="31">
        <f>(I91-1)*(I92-(I93/(I91*I92)))</f>
        <v>218.83640079251228</v>
      </c>
      <c r="J94" s="31"/>
      <c r="K94" s="31"/>
      <c r="L94" s="31"/>
      <c r="M94" s="78"/>
      <c r="N94" s="77"/>
      <c r="O94" s="104" t="s">
        <v>1349</v>
      </c>
      <c r="P94" s="31"/>
      <c r="Q94" s="105">
        <f>ABS(Q92/Q93)</f>
        <v>1.5300811229287441</v>
      </c>
      <c r="AF94" s="79" t="s">
        <v>835</v>
      </c>
      <c r="AH94">
        <f>IF($D$6=1,100*(EXP(I97)-EXP(I97-I99)),I99)</f>
        <v>0.24620318129891247</v>
      </c>
    </row>
    <row r="95" spans="5:50">
      <c r="G95" s="77" t="s">
        <v>1685</v>
      </c>
      <c r="H95" s="31"/>
      <c r="I95" s="31">
        <f>IF(P86&gt;(I91-1),(P86-(I91-1))/I94,0)</f>
        <v>0.25163818749537559</v>
      </c>
      <c r="J95" s="31"/>
      <c r="K95" s="31"/>
      <c r="L95" s="31"/>
      <c r="M95" s="78"/>
      <c r="N95" s="77"/>
      <c r="O95" s="106" t="s">
        <v>1515</v>
      </c>
      <c r="P95" s="107"/>
      <c r="Q95" s="108">
        <f>TDIST(Q94,I91-2,2)</f>
        <v>0.14092186952156549</v>
      </c>
    </row>
    <row r="96" spans="5:50">
      <c r="G96" s="77"/>
      <c r="H96" s="31"/>
      <c r="I96" s="31"/>
      <c r="J96" s="31"/>
      <c r="K96" s="31"/>
      <c r="L96" s="31"/>
      <c r="M96" s="78"/>
      <c r="N96" s="77"/>
    </row>
    <row r="97" spans="7:18">
      <c r="G97" s="77" t="s">
        <v>1686</v>
      </c>
      <c r="H97" s="31"/>
      <c r="I97" s="31">
        <f>W83/V83</f>
        <v>-8.3288226589092046E-2</v>
      </c>
      <c r="J97" s="31"/>
      <c r="N97" s="77"/>
    </row>
    <row r="98" spans="7:18">
      <c r="G98" s="77" t="s">
        <v>504</v>
      </c>
      <c r="H98" s="31"/>
      <c r="I98" s="31">
        <f>1/V83</f>
        <v>1.5778843836345577E-2</v>
      </c>
      <c r="J98" s="31"/>
      <c r="N98" s="77"/>
      <c r="O98" t="s">
        <v>805</v>
      </c>
      <c r="R98">
        <v>1.96</v>
      </c>
    </row>
    <row r="99" spans="7:18">
      <c r="G99" s="80" t="s">
        <v>506</v>
      </c>
      <c r="H99" s="31"/>
      <c r="I99" s="31">
        <f>$R$98*SQRT(I98)</f>
        <v>0.24620318129891247</v>
      </c>
      <c r="J99" s="31"/>
      <c r="K99" s="31" t="s">
        <v>507</v>
      </c>
      <c r="L99" s="31"/>
      <c r="M99" s="78">
        <f>ABS(I97/(SQRT(I98)))</f>
        <v>0.66304961314219013</v>
      </c>
      <c r="N99" s="77"/>
    </row>
    <row r="100" spans="7:18">
      <c r="G100" s="81" t="s">
        <v>509</v>
      </c>
      <c r="H100" s="82"/>
      <c r="I100" s="82">
        <v>-3</v>
      </c>
      <c r="J100" s="82"/>
      <c r="K100" s="31" t="s">
        <v>825</v>
      </c>
      <c r="L100" s="31"/>
      <c r="M100" s="78">
        <f>2*(1-NORMDIST(M99,0,1,1))</f>
        <v>0.50729877959689929</v>
      </c>
      <c r="N100" s="77"/>
    </row>
    <row r="101" spans="7:18">
      <c r="G101" s="74"/>
      <c r="H101" s="74"/>
      <c r="I101" s="74"/>
      <c r="J101" s="74"/>
      <c r="K101" s="74"/>
      <c r="L101" s="74"/>
      <c r="M101" s="74"/>
      <c r="N101" s="31"/>
      <c r="O101" s="7"/>
    </row>
  </sheetData>
  <phoneticPr fontId="10" type="noConversion"/>
  <conditionalFormatting sqref="D17 D13 F13">
    <cfRule type="cellIs" dxfId="74" priority="0" stopIfTrue="1" operator="lessThan">
      <formula>0.05</formula>
    </cfRule>
  </conditionalFormatting>
  <conditionalFormatting sqref="D21">
    <cfRule type="cellIs" dxfId="7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3.xml><?xml version="1.0" encoding="utf-8"?>
<worksheet xmlns="http://schemas.openxmlformats.org/spreadsheetml/2006/main" xmlns:r="http://schemas.openxmlformats.org/officeDocument/2006/relationships">
  <sheetPr published="0" codeName="Sheet170" enableFormatConditionsCalculation="0"/>
  <dimension ref="A1:BM10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820</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I99-O92</f>
        <v>21</v>
      </c>
      <c r="AD7" s="89"/>
    </row>
    <row r="8" spans="2:30">
      <c r="B8" t="s">
        <v>822</v>
      </c>
      <c r="D8">
        <f>SUM(H24:H50)</f>
        <v>633</v>
      </c>
      <c r="E8" t="s">
        <v>298</v>
      </c>
      <c r="F8">
        <f>Summary!C78</f>
        <v>0.8</v>
      </c>
      <c r="AD8" s="89"/>
    </row>
    <row r="9" spans="2:30">
      <c r="B9" t="s">
        <v>823</v>
      </c>
      <c r="D9">
        <f>SUM(I24:I50)</f>
        <v>583</v>
      </c>
      <c r="AD9" s="89"/>
    </row>
    <row r="11" spans="2:30">
      <c r="B11" s="27" t="s">
        <v>516</v>
      </c>
      <c r="C11" s="28"/>
      <c r="D11" s="109">
        <f>P94</f>
        <v>87.452356697986161</v>
      </c>
      <c r="E11" s="110" t="s">
        <v>1513</v>
      </c>
      <c r="F11" s="103"/>
    </row>
    <row r="12" spans="2:30">
      <c r="B12" s="30" t="s">
        <v>826</v>
      </c>
      <c r="C12" s="31"/>
      <c r="D12" s="112">
        <f>P96</f>
        <v>72.556485718408709</v>
      </c>
      <c r="E12" s="31"/>
      <c r="F12" s="105"/>
    </row>
    <row r="13" spans="2:30">
      <c r="B13" s="35" t="s">
        <v>825</v>
      </c>
      <c r="C13" s="36"/>
      <c r="D13" s="113">
        <f>P95</f>
        <v>3.7904344407110627E-9</v>
      </c>
      <c r="E13" s="111" t="s">
        <v>825</v>
      </c>
      <c r="F13" s="115">
        <f>Q103</f>
        <v>0.96371096874919271</v>
      </c>
    </row>
    <row r="15" spans="2:30">
      <c r="B15" s="39" t="s">
        <v>879</v>
      </c>
      <c r="C15" s="40"/>
      <c r="D15" s="41">
        <f>AH96</f>
        <v>-7.3442430969780967E-2</v>
      </c>
      <c r="E15" s="116"/>
    </row>
    <row r="16" spans="2:30">
      <c r="B16" s="43" t="s">
        <v>1165</v>
      </c>
      <c r="C16" s="31"/>
      <c r="D16" s="33">
        <f>AH96-AH98</f>
        <v>-0.19419301634275354</v>
      </c>
      <c r="E16" s="117">
        <f>AH96+AH97</f>
        <v>4.7308154403191596E-2</v>
      </c>
    </row>
    <row r="17" spans="1:65">
      <c r="B17" s="45" t="s">
        <v>1166</v>
      </c>
      <c r="C17" s="46"/>
      <c r="D17" s="123">
        <f>M97</f>
        <v>0.23322076465204167</v>
      </c>
      <c r="E17" s="118"/>
    </row>
    <row r="18" spans="1:65">
      <c r="D18" s="48"/>
      <c r="F18" s="49"/>
    </row>
    <row r="19" spans="1:65">
      <c r="B19" s="50" t="s">
        <v>1167</v>
      </c>
      <c r="C19" s="51"/>
      <c r="D19" s="52">
        <f>AH100</f>
        <v>-7.3685794860872067E-2</v>
      </c>
      <c r="E19" s="120"/>
      <c r="F19" s="33"/>
      <c r="G19" s="31"/>
    </row>
    <row r="20" spans="1:65">
      <c r="B20" s="53" t="s">
        <v>1165</v>
      </c>
      <c r="C20" s="31"/>
      <c r="D20" s="33">
        <f>AH100-AH102</f>
        <v>-0.30841512244547131</v>
      </c>
      <c r="E20" s="121">
        <f>AH100+AH101</f>
        <v>0.16104353272372718</v>
      </c>
      <c r="F20" s="31"/>
      <c r="G20" s="31"/>
    </row>
    <row r="21" spans="1:65">
      <c r="B21" s="54" t="s">
        <v>1440</v>
      </c>
      <c r="C21" s="55"/>
      <c r="D21" s="114">
        <f>M108</f>
        <v>0.53837011232283638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10618023</v>
      </c>
      <c r="C24" s="1" t="str">
        <f>IF($B24="","",HYPERLINK(IF(LEN(VLOOKUP($B24,Database!$B$1:$IX$10144,2,FALSE))=0,"",VLOOKUP($B24,Database!$B$1:$IX$10144,2,FALSE))))</f>
        <v/>
      </c>
      <c r="D24" s="1" t="str">
        <f t="shared" ref="D24:D29" si="0">IF($B24="","",HYPERLINK(CONCATENATE("http://www.ncbi.nlm.nih.gov/pubmed/",B24)))</f>
        <v>http://www.ncbi.nlm.nih.gov/pubmed/10618023</v>
      </c>
      <c r="E24" s="22" t="str">
        <f>IF($B24="","",IF(LEN(VLOOKUP($B24,Database!$B$1:$IX$10144,4,FALSE))=0,"",VLOOKUP($B24,Database!$B$1:$IX$10144,4,FALSE)))</f>
        <v>Bremner JD</v>
      </c>
      <c r="F24" s="22">
        <f>IF($B24="","",IF(LEN(VLOOKUP($B24,Database!$B$1:$IX$10144,5,FALSE))=0,"",VLOOKUP($B24,Database!$B$1:$IX$10144,5,FALSE)))</f>
        <v>2000</v>
      </c>
      <c r="G24" s="1" t="str">
        <f>IF($B24="","",HYPERLINK(IF(LEN(VLOOKUP($B24,Database!$B$1:$IX$10144,6,FALSE))=0,"",VLOOKUP($B24,Database!$B$1:$IX$10144,6,FALSE))))</f>
        <v>http://ajp.psychiatryonline.org/cgi/reprint/157/1/115</v>
      </c>
      <c r="H24" s="22">
        <f>IF($B24="","",IF(LEN(VLOOKUP($B24,Database!$B$1:$IX$10144,7,FALSE))=0,"",VLOOKUP($B24,Database!$B$1:$IX$10144,7,FALSE)))</f>
        <v>16</v>
      </c>
      <c r="I24" s="22">
        <f>IF($B24="","",IF(LEN(VLOOKUP($B24,Database!$B$1:$IX$10144,8,FALSE))=0,"",VLOOKUP($B24,Database!$B$1:$IX$10144,8,FALSE)))</f>
        <v>16</v>
      </c>
      <c r="J24" t="s">
        <v>1125</v>
      </c>
      <c r="L24">
        <v>1652</v>
      </c>
      <c r="M24">
        <v>455</v>
      </c>
      <c r="N24">
        <v>1347</v>
      </c>
      <c r="O24">
        <v>448</v>
      </c>
      <c r="P24">
        <v>1699</v>
      </c>
      <c r="Q24">
        <v>493</v>
      </c>
      <c r="R24">
        <v>1335</v>
      </c>
      <c r="S24">
        <v>450</v>
      </c>
      <c r="T24">
        <v>1676</v>
      </c>
      <c r="U24">
        <v>474</v>
      </c>
      <c r="V24">
        <v>1341</v>
      </c>
      <c r="W24">
        <v>449</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43</v>
      </c>
      <c r="AC24" s="22">
        <f>IF(OR($B24="",AC$22=""),"",IF(LEN(VLOOKUP($B24,Database!$B$1:$IX$10144,AC$22,FALSE))=0,"",VLOOKUP($B24,Database!$B$1:$IX$10144,AC$22,FALSE)))</f>
        <v>8</v>
      </c>
      <c r="AD24" s="22">
        <f>IF(OR($B24="",AD$22=""),"",IF(LEN(VLOOKUP($B24,Database!$B$1:$IX$10144,AD$22,FALSE))=0,"",VLOOKUP($B24,Database!$B$1:$IX$10144,AD$22,FALSE)))</f>
        <v>45</v>
      </c>
      <c r="AE24" s="22">
        <f>IF(OR($B24="",AE$22=""),"",IF(LEN(VLOOKUP($B24,Database!$B$1:$IX$10144,AE$22,FALSE))=0,"",VLOOKUP($B24,Database!$B$1:$IX$10144,AE$22,FALSE)))</f>
        <v>10</v>
      </c>
      <c r="AF24" s="22">
        <f>IF(OR($B24="",AF$22=""),"",IF(LEN(VLOOKUP($B24,Database!$B$1:$IX$10144,AF$22,FALSE))=0,"",VLOOKUP($B24,Database!$B$1:$IX$10144,AF$22,FALSE)))</f>
        <v>6</v>
      </c>
      <c r="AG24" s="22">
        <f>IF(OR($B24="",AG$22=""),"",IF(LEN(VLOOKUP($B24,Database!$B$1:$IX$10144,AG$22,FALSE))=0,"",VLOOKUP($B24,Database!$B$1:$IX$10144,AG$22,FALSE)))</f>
        <v>6</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100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0</v>
      </c>
      <c r="AQ24" s="22" t="str">
        <f>IF(OR($B24="",AQ$22=""),"",IF(LEN(VLOOKUP($B24,Database!$B$1:$IX$10144,AQ$22,FALSE))=0,"",VLOOKUP($B24,Database!$B$1:$IX$10144,AQ$22,FALSE)))</f>
        <v>Bremner JD, Narayan M, Anderson ER, Staib LH, Miller HL, Charney DS.</v>
      </c>
      <c r="AR24" s="13"/>
      <c r="BC24" s="23"/>
      <c r="BF24" s="136"/>
      <c r="BG24" s="136"/>
      <c r="BH24" s="136"/>
      <c r="BI24" s="136"/>
    </row>
    <row r="25" spans="1:65">
      <c r="B25" s="13">
        <v>15554576</v>
      </c>
      <c r="C25" s="1" t="str">
        <f>IF($B25="","",HYPERLINK(IF(LEN(VLOOKUP($B25,Database!$B$1:$IX$10144,2,FALSE))=0,"",VLOOKUP($B25,Database!$B$1:$IX$10144,2,FALSE))))</f>
        <v/>
      </c>
      <c r="D25" s="1" t="str">
        <f t="shared" si="0"/>
        <v>http://www.ncbi.nlm.nih.gov/pubmed/15554576</v>
      </c>
      <c r="E25" s="22" t="str">
        <f>IF($B25="","",IF(LEN(VLOOKUP($B25,Database!$B$1:$IX$10144,4,FALSE))=0,"",VLOOKUP($B25,Database!$B$1:$IX$10144,4,FALSE)))</f>
        <v>Lange C</v>
      </c>
      <c r="F25" s="22">
        <f>IF($B25="","",IF(LEN(VLOOKUP($B25,Database!$B$1:$IX$10144,5,FALSE))=0,"",VLOOKUP($B25,Database!$B$1:$IX$10144,5,FALSE)))</f>
        <v>2004</v>
      </c>
      <c r="G25" s="1" t="str">
        <f>IF($B25="","",HYPERLINK(IF(LEN(VLOOKUP($B25,Database!$B$1:$IX$10144,6,FALSE))=0,"",VLOOKUP($B25,Database!$B$1:$IX$10144,6,FALSE))))</f>
        <v>http://dx.doi.org/10.1017/S0033291703001806</v>
      </c>
      <c r="H25" s="22">
        <f>IF($B25="","",IF(LEN(VLOOKUP($B25,Database!$B$1:$IX$10144,7,FALSE))=0,"",VLOOKUP($B25,Database!$B$1:$IX$10144,7,FALSE)))</f>
        <v>17</v>
      </c>
      <c r="I25" s="22">
        <f>IF($B25="","",IF(LEN(VLOOKUP($B25,Database!$B$1:$IX$10144,8,FALSE))=0,"",VLOOKUP($B25,Database!$B$1:$IX$10144,8,FALSE)))</f>
        <v>17</v>
      </c>
      <c r="J25" t="s">
        <v>1651</v>
      </c>
      <c r="L25">
        <v>1.29</v>
      </c>
      <c r="M25">
        <v>0.26</v>
      </c>
      <c r="N25">
        <v>1.1200000000000001</v>
      </c>
      <c r="O25">
        <v>0.17</v>
      </c>
      <c r="P25">
        <v>1.26</v>
      </c>
      <c r="Q25">
        <v>0.26</v>
      </c>
      <c r="R25">
        <v>1.1399999999999999</v>
      </c>
      <c r="S25">
        <v>0.2</v>
      </c>
      <c r="T25">
        <v>2.5499999999999998</v>
      </c>
      <c r="U25">
        <v>0.49</v>
      </c>
      <c r="V25">
        <v>2.2599999999999998</v>
      </c>
      <c r="W25">
        <v>0.33</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34</v>
      </c>
      <c r="AC25" s="22">
        <f>IF(OR($B25="",AC$22=""),"",IF(LEN(VLOOKUP($B25,Database!$B$1:$IX$10144,AC$22,FALSE))=0,"",VLOOKUP($B25,Database!$B$1:$IX$10144,AC$22,FALSE)))</f>
        <v>10</v>
      </c>
      <c r="AD25" s="22">
        <f>IF(OR($B25="",AD$22=""),"",IF(LEN(VLOOKUP($B25,Database!$B$1:$IX$10144,AD$22,FALSE))=0,"",VLOOKUP($B25,Database!$B$1:$IX$10144,AD$22,FALSE)))</f>
        <v>32</v>
      </c>
      <c r="AE25" s="22">
        <f>IF(OR($B25="",AE$22=""),"",IF(LEN(VLOOKUP($B25,Database!$B$1:$IX$10144,AE$22,FALSE))=0,"",VLOOKUP($B25,Database!$B$1:$IX$10144,AE$22,FALSE)))</f>
        <v>6</v>
      </c>
      <c r="AF25" s="22">
        <f>IF(OR($B25="",AF$22=""),"",IF(LEN(VLOOKUP($B25,Database!$B$1:$IX$10144,AF$22,FALSE))=0,"",VLOOKUP($B25,Database!$B$1:$IX$10144,AF$22,FALSE)))</f>
        <v>17</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1.3</v>
      </c>
      <c r="AJ25" s="22" t="str">
        <f>IF(OR($B25="",AJ$22=""),"",IF(LEN(VLOOKUP($B25,Database!$B$1:$IX$10144,AJ$22,FALSE))=0,"",VLOOKUP($B25,Database!$B$1:$IX$10144,AJ$22,FALSE)))</f>
        <v/>
      </c>
      <c r="AK25" s="22">
        <f>IF(OR($B25="",AK$22=""),"",IF(LEN(VLOOKUP($B25,Database!$B$1:$IX$10144,AK$22,FALSE))=0,"",VLOOKUP($B25,Database!$B$1:$IX$10144,AK$22,FALSE)))</f>
        <v>29</v>
      </c>
      <c r="AL25" s="22">
        <f>IF(OR($B25="",AL$22=""),"",IF(LEN(VLOOKUP($B25,Database!$B$1:$IX$10144,AL$22,FALSE))=0,"",VLOOKUP($B25,Database!$B$1:$IX$10144,AL$22,FALSE)))</f>
        <v>22</v>
      </c>
      <c r="AM25" s="22">
        <f>IF(OR($B25="",AM$22=""),"",IF(LEN(VLOOKUP($B25,Database!$B$1:$IX$10144,AM$22,FALSE))=0,"",VLOOKUP($B25,Database!$B$1:$IX$10144,AM$22,FALSE)))</f>
        <v>100</v>
      </c>
      <c r="AN25" s="22" t="str">
        <f>IF(OR($B25="",AN$22=""),"",IF(LEN(VLOOKUP($B25,Database!$B$1:$IX$10144,AN$22,FALSE))=0,"",VLOOKUP($B25,Database!$B$1:$IX$10144,AN$22,FALSE)))</f>
        <v>ns</v>
      </c>
      <c r="AO25" s="22" t="str">
        <f>IF(OR($B25="",AO$22=""),"",IF(LEN(VLOOKUP($B25,Database!$B$1:$IX$10144,AO$22,FALSE))=0,"",VLOOKUP($B25,Database!$B$1:$IX$10144,AO$22,FALSE)))</f>
        <v>ns</v>
      </c>
      <c r="AP25" s="22">
        <f>IF(OR($B25="",AP$22=""),"",IF(LEN(VLOOKUP($B25,Database!$B$1:$IX$10144,AP$22,FALSE))=0,"",VLOOKUP($B25,Database!$B$1:$IX$10144,AP$22,FALSE)))</f>
        <v>0</v>
      </c>
      <c r="AQ25" s="22" t="str">
        <f>IF(OR($B25="",AQ$22=""),"",IF(LEN(VLOOKUP($B25,Database!$B$1:$IX$10144,AQ$22,FALSE))=0,"",VLOOKUP($B25,Database!$B$1:$IX$10144,AQ$22,FALSE)))</f>
        <v>Lange, Irle</v>
      </c>
      <c r="AR25" s="13"/>
      <c r="BC25" s="23"/>
      <c r="BF25" s="136"/>
      <c r="BG25" s="136"/>
      <c r="BH25" s="136"/>
      <c r="BI25" s="136"/>
    </row>
    <row r="26" spans="1:65">
      <c r="B26" s="13">
        <v>15607296</v>
      </c>
      <c r="C26" s="1" t="str">
        <f>IF($B26="","",HYPERLINK(IF(LEN(VLOOKUP($B26,Database!$B$1:$IX$10144,2,FALSE))=0,"",VLOOKUP($B26,Database!$B$1:$IX$10144,2,FALSE))))</f>
        <v/>
      </c>
      <c r="D26" s="1" t="str">
        <f t="shared" si="0"/>
        <v>http://www.ncbi.nlm.nih.gov/pubmed/15607296</v>
      </c>
      <c r="E26" s="22" t="str">
        <f>IF($B26="","",IF(LEN(VLOOKUP($B26,Database!$B$1:$IX$10144,4,FALSE))=0,"",VLOOKUP($B26,Database!$B$1:$IX$10144,4,FALSE)))</f>
        <v>Rosso IM</v>
      </c>
      <c r="F26" s="22">
        <f>IF($B26="","",IF(LEN(VLOOKUP($B26,Database!$B$1:$IX$10144,5,FALSE))=0,"",VLOOKUP($B26,Database!$B$1:$IX$10144,5,FALSE)))</f>
        <v>2005</v>
      </c>
      <c r="G26" s="1" t="str">
        <f>IF($B26="","",HYPERLINK(IF(LEN(VLOOKUP($B26,Database!$B$1:$IX$10144,6,FALSE))=0,"",VLOOKUP($B26,Database!$B$1:$IX$10144,6,FALSE))))</f>
        <v>http://dx.doi.org/10.1016/j.biopsych.2004.10.027</v>
      </c>
      <c r="H26" s="22">
        <f>IF($B26="","",IF(LEN(VLOOKUP($B26,Database!$B$1:$IX$10144,7,FALSE))=0,"",VLOOKUP($B26,Database!$B$1:$IX$10144,7,FALSE)))</f>
        <v>20</v>
      </c>
      <c r="I26" s="22">
        <f>IF($B26="","",IF(LEN(VLOOKUP($B26,Database!$B$1:$IX$10144,8,FALSE))=0,"",VLOOKUP($B26,Database!$B$1:$IX$10144,8,FALSE)))</f>
        <v>24</v>
      </c>
      <c r="J26" t="s">
        <v>328</v>
      </c>
      <c r="L26">
        <v>2.2599999999999998</v>
      </c>
      <c r="M26">
        <v>0.35799999999999998</v>
      </c>
      <c r="N26">
        <v>2.52</v>
      </c>
      <c r="O26">
        <v>0.34300000000000003</v>
      </c>
      <c r="P26">
        <v>2.36</v>
      </c>
      <c r="Q26">
        <v>0.40200000000000002</v>
      </c>
      <c r="R26">
        <v>2.74</v>
      </c>
      <c r="S26">
        <v>0.39200000000000002</v>
      </c>
      <c r="T26">
        <v>4.62</v>
      </c>
      <c r="U26">
        <v>0.76</v>
      </c>
      <c r="V26">
        <v>5.26</v>
      </c>
      <c r="W26">
        <v>0.73499999999999999</v>
      </c>
      <c r="X26" s="151"/>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15.35</v>
      </c>
      <c r="AC26" s="22">
        <f>IF(OR($B26="",AC$22=""),"",IF(LEN(VLOOKUP($B26,Database!$B$1:$IX$10144,AC$22,FALSE))=0,"",VLOOKUP($B26,Database!$B$1:$IX$10144,AC$22,FALSE)))</f>
        <v>1.5209999999999999</v>
      </c>
      <c r="AD26" s="22">
        <f>IF(OR($B26="",AD$22=""),"",IF(LEN(VLOOKUP($B26,Database!$B$1:$IX$10144,AD$22,FALSE))=0,"",VLOOKUP($B26,Database!$B$1:$IX$10144,AD$22,FALSE)))</f>
        <v>14.08</v>
      </c>
      <c r="AE26" s="22">
        <f>IF(OR($B26="",AE$22=""),"",IF(LEN(VLOOKUP($B26,Database!$B$1:$IX$10144,AE$22,FALSE))=0,"",VLOOKUP($B26,Database!$B$1:$IX$10144,AE$22,FALSE)))</f>
        <v>1.5189999999999999</v>
      </c>
      <c r="AF26" s="22">
        <f>IF(OR($B26="",AF$22=""),"",IF(LEN(VLOOKUP($B26,Database!$B$1:$IX$10144,AF$22,FALSE))=0,"",VLOOKUP($B26,Database!$B$1:$IX$10144,AF$22,FALSE)))</f>
        <v>17</v>
      </c>
      <c r="AG26" s="22">
        <f>IF(OR($B26="",AG$22=""),"",IF(LEN(VLOOKUP($B26,Database!$B$1:$IX$10144,AG$22,FALSE))=0,"",VLOOKUP($B26,Database!$B$1:$IX$10144,AG$22,FALSE)))</f>
        <v>16</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12.8</v>
      </c>
      <c r="AL26" s="22">
        <f>IF(OR($B26="",AL$22=""),"",IF(LEN(VLOOKUP($B26,Database!$B$1:$IX$10144,AL$22,FALSE))=0,"",VLOOKUP($B26,Database!$B$1:$IX$10144,AL$22,FALSE)))</f>
        <v>16.55</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Rosso IM, Cintron CM, Steingard RJ, Renshaw PF, Young AD, Yurgelun-Todd DA.</v>
      </c>
      <c r="AR26" s="13"/>
      <c r="BC26" s="23"/>
      <c r="BF26" s="136"/>
      <c r="BG26" s="136"/>
      <c r="BH26" s="136"/>
      <c r="BI26" s="136"/>
    </row>
    <row r="27" spans="1:65">
      <c r="B27">
        <v>16930719</v>
      </c>
      <c r="C27" s="1" t="str">
        <f>IF($B27="","",HYPERLINK(IF(LEN(VLOOKUP($B27,Database!$B$1:$IX$10144,2,FALSE))=0,"",VLOOKUP($B27,Database!$B$1:$IX$10144,2,FALSE))))</f>
        <v/>
      </c>
      <c r="D27" s="1" t="str">
        <f t="shared" si="0"/>
        <v>http://www.ncbi.nlm.nih.gov/pubmed/16930719</v>
      </c>
      <c r="E27" s="22" t="str">
        <f>IF($B27="","",IF(LEN(VLOOKUP($B27,Database!$B$1:$IX$10144,4,FALSE))=0,"",VLOOKUP($B27,Database!$B$1:$IX$10144,4,FALSE)))</f>
        <v>Hickie IB (A)</v>
      </c>
      <c r="F27" s="22">
        <f>IF($B27="","",IF(LEN(VLOOKUP($B27,Database!$B$1:$IX$10144,5,FALSE))=0,"",VLOOKUP($B27,Database!$B$1:$IX$10144,5,FALSE)))</f>
        <v>2007</v>
      </c>
      <c r="G27" s="1" t="str">
        <f>IF($B27="","",HYPERLINK(IF(LEN(VLOOKUP($B27,Database!$B$1:$IX$10144,6,FALSE))=0,"",VLOOKUP($B27,Database!$B$1:$IX$10144,6,FALSE))))</f>
        <v>http://dx.doi.org/10.1016/j.jad.2006.07.010</v>
      </c>
      <c r="H27" s="22">
        <f>IF($B27="","",IF(LEN(VLOOKUP($B27,Database!$B$1:$IX$10144,7,FALSE))=0,"",VLOOKUP($B27,Database!$B$1:$IX$10144,7,FALSE)))</f>
        <v>45</v>
      </c>
      <c r="I27" s="22">
        <f>IF($B27="","",IF(LEN(VLOOKUP($B27,Database!$B$1:$IX$10144,8,FALSE))=0,"",VLOOKUP($B27,Database!$B$1:$IX$10144,8,FALSE)))</f>
        <v>16</v>
      </c>
      <c r="J27" t="s">
        <v>1654</v>
      </c>
      <c r="T27">
        <v>3.1</v>
      </c>
      <c r="U27">
        <v>0.6</v>
      </c>
      <c r="V27">
        <v>3.4</v>
      </c>
      <c r="W27">
        <v>0.5</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52</v>
      </c>
      <c r="AC27" s="22">
        <f>IF(OR($B27="",AC$22=""),"",IF(LEN(VLOOKUP($B27,Database!$B$1:$IX$10144,AC$22,FALSE))=0,"",VLOOKUP($B27,Database!$B$1:$IX$10144,AC$22,FALSE)))</f>
        <v>12.8</v>
      </c>
      <c r="AD27" s="22">
        <f>IF(OR($B27="",AD$22=""),"",IF(LEN(VLOOKUP($B27,Database!$B$1:$IX$10144,AD$22,FALSE))=0,"",VLOOKUP($B27,Database!$B$1:$IX$10144,AD$22,FALSE)))</f>
        <v>55.8</v>
      </c>
      <c r="AE27" s="22">
        <f>IF(OR($B27="",AE$22=""),"",IF(LEN(VLOOKUP($B27,Database!$B$1:$IX$10144,AE$22,FALSE))=0,"",VLOOKUP($B27,Database!$B$1:$IX$10144,AE$22,FALSE)))</f>
        <v>10.3</v>
      </c>
      <c r="AF27" s="22">
        <f>IF(OR($B27="",AF$22=""),"",IF(LEN(VLOOKUP($B27,Database!$B$1:$IX$10144,AF$22,FALSE))=0,"",VLOOKUP($B27,Database!$B$1:$IX$10144,AF$22,FALSE)))</f>
        <v>30</v>
      </c>
      <c r="AG27" s="22">
        <f>IF(OR($B27="",AG$22=""),"",IF(LEN(VLOOKUP($B27,Database!$B$1:$IX$10144,AG$22,FALSE))=0,"",VLOOKUP($B27,Database!$B$1:$IX$10144,AG$22,FALSE)))</f>
        <v>9</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36.1</v>
      </c>
      <c r="AL27" s="22">
        <f>IF(OR($B27="",AL$22=""),"",IF(LEN(VLOOKUP($B27,Database!$B$1:$IX$10144,AL$22,FALSE))=0,"",VLOOKUP($B27,Database!$B$1:$IX$10144,AL$22,FALSE)))</f>
        <v>26.8</v>
      </c>
      <c r="AM27" s="22">
        <f>IF(OR($B27="",AM$22=""),"",IF(LEN(VLOOKUP($B27,Database!$B$1:$IX$10144,AM$22,FALSE))=0,"",VLOOKUP($B27,Database!$B$1:$IX$10144,AM$22,FALSE)))</f>
        <v>64.444444444444443</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Hickie IB, Naismith SL, Ward PB, Scott EM, Mitchell PB, Schofield PR, Scimone A, Wilhelm K, Parker G.</v>
      </c>
      <c r="AR27" s="13"/>
      <c r="BC27" s="23"/>
      <c r="BF27" s="136"/>
      <c r="BG27" s="136"/>
      <c r="BH27" s="136"/>
      <c r="BI27" s="136"/>
    </row>
    <row r="28" spans="1:65">
      <c r="A28" s="10"/>
      <c r="B28">
        <v>18075490</v>
      </c>
      <c r="C28" s="1" t="str">
        <f>IF($B28="","",HYPERLINK(IF(LEN(VLOOKUP($B28,Database!$B$1:$IX$10144,2,FALSE))=0,"",VLOOKUP($B28,Database!$B$1:$IX$10144,2,FALSE))))</f>
        <v/>
      </c>
      <c r="D28" s="1" t="str">
        <f t="shared" si="0"/>
        <v>http://www.ncbi.nlm.nih.gov/pubmed/18075490</v>
      </c>
      <c r="E28" s="22" t="str">
        <f>IF($B28="","",IF(LEN(VLOOKUP($B28,Database!$B$1:$IX$10144,4,FALSE))=0,"",VLOOKUP($B28,Database!$B$1:$IX$10144,4,FALSE)))</f>
        <v>Andreescu C</v>
      </c>
      <c r="F28" s="22">
        <f>IF($B28="","",IF(LEN(VLOOKUP($B28,Database!$B$1:$IX$10144,5,FALSE))=0,"",VLOOKUP($B28,Database!$B$1:$IX$10144,5,FALSE)))</f>
        <v>2008</v>
      </c>
      <c r="G28" s="1" t="str">
        <f>IF($B28="","",HYPERLINK(IF(LEN(VLOOKUP($B28,Database!$B$1:$IX$10144,6,FALSE))=0,"",VLOOKUP($B28,Database!$B$1:$IX$10144,6,FALSE))))</f>
        <v>http://www.nature.com/npp/journal/v33/n11/pdf/1301655a.pdf</v>
      </c>
      <c r="H28" s="22">
        <f>IF($B28="","",IF(LEN(VLOOKUP($B28,Database!$B$1:$IX$10144,7,FALSE))=0,"",VLOOKUP($B28,Database!$B$1:$IX$10144,7,FALSE)))</f>
        <v>71</v>
      </c>
      <c r="I28" s="22">
        <f>IF($B28="","",IF(LEN(VLOOKUP($B28,Database!$B$1:$IX$10144,8,FALSE))=0,"",VLOOKUP($B28,Database!$B$1:$IX$10144,8,FALSE)))</f>
        <v>32</v>
      </c>
      <c r="J28" t="s">
        <v>206</v>
      </c>
      <c r="T28">
        <v>0.22</v>
      </c>
      <c r="U28">
        <v>0.04</v>
      </c>
      <c r="V28">
        <v>0.26</v>
      </c>
      <c r="W28">
        <v>0.04</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72.2</v>
      </c>
      <c r="AC28" s="22">
        <f>IF(OR($B28="",AC$22=""),"",IF(LEN(VLOOKUP($B28,Database!$B$1:$IX$10144,AC$22,FALSE))=0,"",VLOOKUP($B28,Database!$B$1:$IX$10144,AC$22,FALSE)))</f>
        <v>6.2</v>
      </c>
      <c r="AD28" s="22">
        <f>IF(OR($B28="",AD$22=""),"",IF(LEN(VLOOKUP($B28,Database!$B$1:$IX$10144,AD$22,FALSE))=0,"",VLOOKUP($B28,Database!$B$1:$IX$10144,AD$22,FALSE)))</f>
        <v>71</v>
      </c>
      <c r="AE28" s="22">
        <f>IF(OR($B28="",AE$22=""),"",IF(LEN(VLOOKUP($B28,Database!$B$1:$IX$10144,AE$22,FALSE))=0,"",VLOOKUP($B28,Database!$B$1:$IX$10144,AE$22,FALSE)))</f>
        <v>6.7</v>
      </c>
      <c r="AF28" s="22">
        <f>IF(OR($B28="",AF$22=""),"",IF(LEN(VLOOKUP($B28,Database!$B$1:$IX$10144,AF$22,FALSE))=0,"",VLOOKUP($B28,Database!$B$1:$IX$10144,AF$22,FALSE)))</f>
        <v>49</v>
      </c>
      <c r="AG28" s="22">
        <f>IF(OR($B28="",AG$22=""),"",IF(LEN(VLOOKUP($B28,Database!$B$1:$IX$10144,AG$22,FALSE))=0,"",VLOOKUP($B28,Database!$B$1:$IX$10144,AG$22,FALSE)))</f>
        <v>17</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52.3</v>
      </c>
      <c r="AL28" s="22">
        <f>IF(OR($B28="",AL$22=""),"",IF(LEN(VLOOKUP($B28,Database!$B$1:$IX$10144,AL$22,FALSE))=0,"",VLOOKUP($B28,Database!$B$1:$IX$10144,AL$22,FALSE)))</f>
        <v>18.3</v>
      </c>
      <c r="AM28" s="22">
        <f>IF(OR($B28="",AM$22=""),"",IF(LEN(VLOOKUP($B28,Database!$B$1:$IX$10144,AM$22,FALSE))=0,"",VLOOKUP($B28,Database!$B$1:$IX$10144,AM$22,FALSE)))</f>
        <v>16.901408450704224</v>
      </c>
      <c r="AN28" s="22" t="str">
        <f>IF(OR($B28="",AN$22=""),"",IF(LEN(VLOOKUP($B28,Database!$B$1:$IX$10144,AN$22,FALSE))=0,"",VLOOKUP($B28,Database!$B$1:$IX$10144,AN$22,FALSE)))</f>
        <v>ns</v>
      </c>
      <c r="AO28" s="22">
        <f>IF(OR($B28="",AO$22=""),"",IF(LEN(VLOOKUP($B28,Database!$B$1:$IX$10144,AO$22,FALSE))=0,"",VLOOKUP($B28,Database!$B$1:$IX$10144,AO$22,FALSE)))</f>
        <v>1.4084507042253522</v>
      </c>
      <c r="AP28" s="22" t="str">
        <f>IF(OR($B28="",AP$22=""),"",IF(LEN(VLOOKUP($B28,Database!$B$1:$IX$10144,AP$22,FALSE))=0,"",VLOOKUP($B28,Database!$B$1:$IX$10144,AP$22,FALSE)))</f>
        <v>ns</v>
      </c>
      <c r="AQ28" s="22" t="str">
        <f>IF(OR($B28="",AQ$22=""),"",IF(LEN(VLOOKUP($B28,Database!$B$1:$IX$10144,AQ$22,FALSE))=0,"",VLOOKUP($B28,Database!$B$1:$IX$10144,AQ$22,FALSE)))</f>
        <v>Andreescu C, Butters MA, Begley A, Rajji T, Wu M, Meltzer CC, Reynolds CF 3rd, Aizenstein H.</v>
      </c>
      <c r="AR28" s="13"/>
      <c r="BC28" s="23"/>
      <c r="BF28" s="136"/>
      <c r="BG28" s="136"/>
      <c r="BH28" s="136"/>
      <c r="BI28" s="136"/>
    </row>
    <row r="29" spans="1:65">
      <c r="A29" s="10"/>
      <c r="B29">
        <v>20018381</v>
      </c>
      <c r="C29" s="1" t="str">
        <f>IF($B29="","",HYPERLINK(IF(LEN(VLOOKUP($B29,Database!$B$1:$IX$10144,2,FALSE))=0,"",VLOOKUP($B29,Database!$B$1:$IX$10144,2,FALSE))))</f>
        <v/>
      </c>
      <c r="D29" s="1" t="str">
        <f t="shared" si="0"/>
        <v>http://www.ncbi.nlm.nih.gov/pubmed/20018381</v>
      </c>
      <c r="E29" s="22" t="str">
        <f>IF($B29="","",IF(LEN(VLOOKUP($B29,Database!$B$1:$IX$10144,4,FALSE))=0,"",VLOOKUP($B29,Database!$B$1:$IX$10144,4,FALSE)))</f>
        <v>Weber K</v>
      </c>
      <c r="F29" s="22">
        <f>IF($B29="","",IF(LEN(VLOOKUP($B29,Database!$B$1:$IX$10144,5,FALSE))=0,"",VLOOKUP($B29,Database!$B$1:$IX$10144,5,FALSE)))</f>
        <v>2009</v>
      </c>
      <c r="G29" s="1" t="str">
        <f>IF($B29="","",HYPERLINK(IF(LEN(VLOOKUP($B29,Database!$B$1:$IX$10144,6,FALSE))=0,"",VLOOKUP($B29,Database!$B$1:$IX$10144,6,FALSE))))</f>
        <v>http://dx.doi.org/10.1016/j.jad.2009.11.016</v>
      </c>
      <c r="H29" s="22">
        <f>IF($B29="","",IF(LEN(VLOOKUP($B29,Database!$B$1:$IX$10144,7,FALSE))=0,"",VLOOKUP($B29,Database!$B$1:$IX$10144,7,FALSE)))</f>
        <v>38</v>
      </c>
      <c r="I29" s="22">
        <f>IF($B29="","",IF(LEN(VLOOKUP($B29,Database!$B$1:$IX$10144,8,FALSE))=0,"",VLOOKUP($B29,Database!$B$1:$IX$10144,8,FALSE)))</f>
        <v>62</v>
      </c>
      <c r="J29" t="s">
        <v>2393</v>
      </c>
      <c r="L29">
        <v>0.83</v>
      </c>
      <c r="M29">
        <v>0.15</v>
      </c>
      <c r="N29">
        <v>0.83</v>
      </c>
      <c r="O29">
        <v>0.13</v>
      </c>
      <c r="P29">
        <v>0.84</v>
      </c>
      <c r="Q29">
        <v>0.13</v>
      </c>
      <c r="R29">
        <v>0.85</v>
      </c>
      <c r="S29">
        <v>0.15</v>
      </c>
      <c r="T29">
        <v>1.67</v>
      </c>
      <c r="U29">
        <v>0.25</v>
      </c>
      <c r="V29">
        <v>1.68</v>
      </c>
      <c r="W29">
        <v>0.27</v>
      </c>
      <c r="X29" s="2"/>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66.11</v>
      </c>
      <c r="AC29" s="22">
        <f>IF(OR($B29="",AC$22=""),"",IF(LEN(VLOOKUP($B29,Database!$B$1:$IX$10144,AC$22,FALSE))=0,"",VLOOKUP($B29,Database!$B$1:$IX$10144,AC$22,FALSE)))</f>
        <v>6.22</v>
      </c>
      <c r="AD29" s="22">
        <f>IF(OR($B29="",AD$22=""),"",IF(LEN(VLOOKUP($B29,Database!$B$1:$IX$10144,AD$22,FALSE))=0,"",VLOOKUP($B29,Database!$B$1:$IX$10144,AD$22,FALSE)))</f>
        <v>71.099999999999994</v>
      </c>
      <c r="AE29" s="22">
        <f>IF(OR($B29="",AE$22=""),"",IF(LEN(VLOOKUP($B29,Database!$B$1:$IX$10144,AE$22,FALSE))=0,"",VLOOKUP($B29,Database!$B$1:$IX$10144,AE$22,FALSE)))</f>
        <v>7.26</v>
      </c>
      <c r="AF29" s="22">
        <f>IF(OR($B29="",AF$22=""),"",IF(LEN(VLOOKUP($B29,Database!$B$1:$IX$10144,AF$22,FALSE))=0,"",VLOOKUP($B29,Database!$B$1:$IX$10144,AF$22,FALSE)))</f>
        <v>31</v>
      </c>
      <c r="AG29" s="22">
        <f>IF(OR($B29="",AG$22=""),"",IF(LEN(VLOOKUP($B29,Database!$B$1:$IX$10144,AG$22,FALSE))=0,"",VLOOKUP($B29,Database!$B$1:$IX$10144,AG$22,FALSE)))</f>
        <v>48</v>
      </c>
      <c r="AH29" s="22">
        <f>IF(OR($B29="",AH$22=""),"",IF(LEN(VLOOKUP($B29,Database!$B$1:$IX$10144,AH$22,FALSE))=0,"",VLOOKUP($B29,Database!$B$1:$IX$10144,AH$22,FALSE)))</f>
        <v>3</v>
      </c>
      <c r="AI29" s="22">
        <f>IF(OR($B29="",AI$22=""),"",IF(LEN(VLOOKUP($B29,Database!$B$1:$IX$10144,AI$22,FALSE))=0,"",VLOOKUP($B29,Database!$B$1:$IX$10144,AI$22,FALSE)))</f>
        <v>0.9</v>
      </c>
      <c r="AJ29" s="22" t="str">
        <f>IF(OR($B29="",AJ$22=""),"",IF(LEN(VLOOKUP($B29,Database!$B$1:$IX$10144,AJ$22,FALSE))=0,"",VLOOKUP($B29,Database!$B$1:$IX$10144,AJ$22,FALSE)))</f>
        <v/>
      </c>
      <c r="AK29" s="22">
        <f>IF(OR($B29="",AK$22=""),"",IF(LEN(VLOOKUP($B29,Database!$B$1:$IX$10144,AK$22,FALSE))=0,"",VLOOKUP($B29,Database!$B$1:$IX$10144,AK$22,FALSE)))</f>
        <v>37.76</v>
      </c>
      <c r="AL29" s="22" t="str">
        <f>IF(OR($B29="",AL$22=""),"",IF(LEN(VLOOKUP($B29,Database!$B$1:$IX$10144,AL$22,FALSE))=0,"",VLOOKUP($B29,Database!$B$1:$IX$10144,AL$22,FALSE)))</f>
        <v>ns</v>
      </c>
      <c r="AM29" s="22">
        <f>IF(OR($B29="",AM$22=""),"",IF(LEN(VLOOKUP($B29,Database!$B$1:$IX$10144,AM$22,FALSE))=0,"",VLOOKUP($B29,Database!$B$1:$IX$10144,AM$22,FALSE)))</f>
        <v>47.368421052631575</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Weber K, Giannakopoulos P, Delaloye C, de Bilbao F, Moy G, Moussa A, Rubio MM, Ebbing K, Meuli R, Lazeyras F, Meiler-Mititelu C, Herrmann FR, Gold G, Canuto A.</v>
      </c>
      <c r="AR29" s="13"/>
      <c r="BC29" s="23"/>
      <c r="BF29" s="136"/>
      <c r="BG29" s="136"/>
      <c r="BH29" s="136"/>
      <c r="BI29" s="136"/>
    </row>
    <row r="30" spans="1:65">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11"/>
      <c r="AR30" s="13"/>
      <c r="BC30" s="23"/>
      <c r="BF30" s="136"/>
      <c r="BG30" s="136"/>
      <c r="BH30" s="136"/>
      <c r="BI30" s="136"/>
    </row>
    <row r="31" spans="1:65">
      <c r="A31" s="4" t="s">
        <v>397</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11"/>
      <c r="AR31" s="13"/>
      <c r="BC31" s="23"/>
      <c r="BF31" s="136"/>
      <c r="BG31" s="136"/>
      <c r="BH31" s="136"/>
      <c r="BI31" s="136"/>
    </row>
    <row r="32" spans="1:65">
      <c r="B32" s="13">
        <v>9674587</v>
      </c>
      <c r="C32" s="1" t="str">
        <f>IF($B32="","",HYPERLINK(IF(LEN(VLOOKUP($B32,Database!$B$1:$IX$10144,2,FALSE))=0,"",VLOOKUP($B32,Database!$B$1:$IX$10144,2,FALSE))))</f>
        <v/>
      </c>
      <c r="D32" s="1" t="str">
        <f t="shared" ref="D32:D50" si="1">IF($B32="","",HYPERLINK(CONCATENATE("http://www.ncbi.nlm.nih.gov/pubmed/",B32)))</f>
        <v>http://www.ncbi.nlm.nih.gov/pubmed/9674587</v>
      </c>
      <c r="E32" s="22" t="str">
        <f>IF($B32="","",IF(LEN(VLOOKUP($B32,Database!$B$1:$IX$10144,4,FALSE))=0,"",VLOOKUP($B32,Database!$B$1:$IX$10144,4,FALSE)))</f>
        <v>Sheline YI</v>
      </c>
      <c r="F32" s="22">
        <f>IF($B32="","",IF(LEN(VLOOKUP($B32,Database!$B$1:$IX$10144,5,FALSE))=0,"",VLOOKUP($B32,Database!$B$1:$IX$10144,5,FALSE)))</f>
        <v>1998</v>
      </c>
      <c r="G32" s="1" t="str">
        <f>IF($B32="","",HYPERLINK(IF(LEN(VLOOKUP($B32,Database!$B$1:$IX$10144,6,FALSE))=0,"",VLOOKUP($B32,Database!$B$1:$IX$10144,6,FALSE))))</f>
        <v>http://www.neuroreport.com/pt/re/neuroreport/abstract.00001756-199806220-00021.htm</v>
      </c>
      <c r="H32" s="22">
        <f>IF($B32="","",IF(LEN(VLOOKUP($B32,Database!$B$1:$IX$10144,7,FALSE))=0,"",VLOOKUP($B32,Database!$B$1:$IX$10144,7,FALSE)))</f>
        <v>20</v>
      </c>
      <c r="I32" s="22">
        <f>IF($B32="","",IF(LEN(VLOOKUP($B32,Database!$B$1:$IX$10144,8,FALSE))=0,"",VLOOKUP($B32,Database!$B$1:$IX$10144,8,FALSE)))</f>
        <v>20</v>
      </c>
      <c r="J32" t="s">
        <v>1080</v>
      </c>
      <c r="L32">
        <v>1650</v>
      </c>
      <c r="M32">
        <v>310</v>
      </c>
      <c r="N32">
        <v>1782</v>
      </c>
      <c r="O32">
        <v>296</v>
      </c>
      <c r="P32">
        <v>1724</v>
      </c>
      <c r="Q32">
        <v>304</v>
      </c>
      <c r="R32">
        <v>1752</v>
      </c>
      <c r="S32">
        <v>295</v>
      </c>
      <c r="T32">
        <f t="shared" ref="T32:T50" si="2">L32+P32</f>
        <v>3374</v>
      </c>
      <c r="U32">
        <f t="shared" ref="U32:U50" si="3">2*SQRT(0.25*(M32^2+Q32^2+2*$F$8*M32*Q32))</f>
        <v>582.49463516842798</v>
      </c>
      <c r="V32">
        <f t="shared" ref="V32:V50" si="4">N32+R32</f>
        <v>3534</v>
      </c>
      <c r="W32">
        <f t="shared" ref="W32:W50" si="5">2*SQRT(0.25*(O32^2+S32^2+2*$F$8*O32*S32))</f>
        <v>560.67191832657363</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54</v>
      </c>
      <c r="AC32" s="22">
        <f>IF(OR($B32="",AC$22=""),"",IF(LEN(VLOOKUP($B32,Database!$B$1:$IX$10144,AC$22,FALSE))=0,"",VLOOKUP($B32,Database!$B$1:$IX$10144,AC$22,FALSE)))</f>
        <v>18</v>
      </c>
      <c r="AD32" s="22">
        <f>IF(OR($B32="",AD$22=""),"",IF(LEN(VLOOKUP($B32,Database!$B$1:$IX$10144,AD$22,FALSE))=0,"",VLOOKUP($B32,Database!$B$1:$IX$10144,AD$22,FALSE)))</f>
        <v>53</v>
      </c>
      <c r="AE32" s="22">
        <f>IF(OR($B32="",AE$22=""),"",IF(LEN(VLOOKUP($B32,Database!$B$1:$IX$10144,AE$22,FALSE))=0,"",VLOOKUP($B32,Database!$B$1:$IX$10144,AE$22,FALSE)))</f>
        <v>17</v>
      </c>
      <c r="AF32" s="22">
        <f>IF(OR($B32="",AF$22=""),"",IF(LEN(VLOOKUP($B32,Database!$B$1:$IX$10144,AF$22,FALSE))=0,"",VLOOKUP($B32,Database!$B$1:$IX$10144,AF$22,FALSE)))</f>
        <v>20</v>
      </c>
      <c r="AG32" s="22">
        <f>IF(OR($B32="",AG$22=""),"",IF(LEN(VLOOKUP($B32,Database!$B$1:$IX$10144,AG$22,FALSE))=0,"",VLOOKUP($B32,Database!$B$1:$IX$10144,AG$22,FALSE)))</f>
        <v>20</v>
      </c>
      <c r="AH32" s="22">
        <f>IF(OR($B32="",AH$22=""),"",IF(LEN(VLOOKUP($B32,Database!$B$1:$IX$10144,AH$22,FALSE))=0,"",VLOOKUP($B32,Database!$B$1:$IX$10144,AH$22,FALSE)))</f>
        <v>1.5</v>
      </c>
      <c r="AI32" s="22">
        <f>IF(OR($B32="",AI$22=""),"",IF(LEN(VLOOKUP($B32,Database!$B$1:$IX$10144,AI$22,FALSE))=0,"",VLOOKUP($B32,Database!$B$1:$IX$10144,AI$22,FALSE)))</f>
        <v>1.25</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5</v>
      </c>
      <c r="AM32" s="22">
        <f>IF(OR($B32="",AM$22=""),"",IF(LEN(VLOOKUP($B32,Database!$B$1:$IX$10144,AM$22,FALSE))=0,"",VLOOKUP($B32,Database!$B$1:$IX$10144,AM$22,FALSE)))</f>
        <v>70</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11" t="str">
        <f>IF(OR($B32="",AQ$22=""),"",IF(LEN(VLOOKUP($B32,Database!$B$1:$IX$10144,AQ$22,FALSE))=0,"",VLOOKUP($B32,Database!$B$1:$IX$10144,AQ$22,FALSE)))</f>
        <v>Sheline YI, Gado MH, Price JL.</v>
      </c>
      <c r="AR32" s="13"/>
      <c r="BC32" s="23"/>
      <c r="BF32" s="136"/>
      <c r="BG32" s="136"/>
      <c r="BH32" s="136"/>
      <c r="BI32" s="136"/>
    </row>
    <row r="33" spans="1:61">
      <c r="B33" s="13">
        <v>12586453</v>
      </c>
      <c r="C33" s="1" t="str">
        <f>IF($B33="","",HYPERLINK(IF(LEN(VLOOKUP($B33,Database!$B$1:$IX$10144,2,FALSE))=0,"",VLOOKUP($B33,Database!$B$1:$IX$10144,2,FALSE))))</f>
        <v/>
      </c>
      <c r="D33" s="1" t="str">
        <f t="shared" si="1"/>
        <v>http://www.ncbi.nlm.nih.gov/pubmed/12586453</v>
      </c>
      <c r="E33" s="22" t="str">
        <f>IF($B33="","",IF(LEN(VLOOKUP($B33,Database!$B$1:$IX$10144,4,FALSE))=0,"",VLOOKUP($B33,Database!$B$1:$IX$10144,4,FALSE)))</f>
        <v>Frodl T</v>
      </c>
      <c r="F33" s="22">
        <f>IF($B33="","",IF(LEN(VLOOKUP($B33,Database!$B$1:$IX$10144,5,FALSE))=0,"",VLOOKUP($B33,Database!$B$1:$IX$10144,5,FALSE)))</f>
        <v>2003</v>
      </c>
      <c r="G33" s="1" t="str">
        <f>IF($B33="","",HYPERLINK(IF(LEN(VLOOKUP($B33,Database!$B$1:$IX$10144,6,FALSE))=0,"",VLOOKUP($B33,Database!$B$1:$IX$10144,6,FALSE))))</f>
        <v>http://dx.doi.org/10.1016/S0006-3223(02)01474-9</v>
      </c>
      <c r="H33" s="83">
        <v>30</v>
      </c>
      <c r="I33" s="83">
        <v>30</v>
      </c>
      <c r="J33" t="s">
        <v>1125</v>
      </c>
      <c r="K33" t="s">
        <v>1160</v>
      </c>
      <c r="L33">
        <v>1944</v>
      </c>
      <c r="M33">
        <v>256</v>
      </c>
      <c r="N33">
        <v>1776</v>
      </c>
      <c r="O33">
        <v>292</v>
      </c>
      <c r="P33">
        <v>1951</v>
      </c>
      <c r="Q33">
        <v>298</v>
      </c>
      <c r="R33">
        <v>1815</v>
      </c>
      <c r="S33">
        <v>279</v>
      </c>
      <c r="T33">
        <f t="shared" si="2"/>
        <v>3895</v>
      </c>
      <c r="U33">
        <f t="shared" si="3"/>
        <v>525.73833795910298</v>
      </c>
      <c r="V33">
        <f t="shared" si="4"/>
        <v>3591</v>
      </c>
      <c r="W33">
        <f t="shared" si="5"/>
        <v>541.71376205520198</v>
      </c>
      <c r="Y33" s="22" t="str">
        <f>IF(OR($B33="",Y$22=""),"",IF(LEN(VLOOKUP($B33,Database!$B$1:$IX$10144,Y$22,FALSE))=0,"",VLOOKUP($B33,Database!$B$1:$IX$10144,Y$22,FALSE)))</f>
        <v>DSM-IV</v>
      </c>
      <c r="Z33" s="22" t="str">
        <f>IF(OR($B33="",Z$22=""),"",IF(LEN(VLOOKUP($B33,Database!$B$1:$IX$10144,Z$22,FALSE))=0,"",VLOOKUP($B33,Database!$B$1:$IX$10144,Z$22,FALSE)))</f>
        <v>MRI</v>
      </c>
      <c r="AA33" s="217" t="s">
        <v>2449</v>
      </c>
      <c r="AB33" s="83">
        <v>40.299999999999997</v>
      </c>
      <c r="AC33" s="83">
        <v>12.6</v>
      </c>
      <c r="AD33" s="83">
        <v>40.6</v>
      </c>
      <c r="AE33" s="83">
        <v>12.5</v>
      </c>
      <c r="AF33" s="83">
        <v>17</v>
      </c>
      <c r="AG33" s="83">
        <v>17</v>
      </c>
      <c r="AH33" s="22">
        <f>IF(OR($B33="",AH$22=""),"",IF(LEN(VLOOKUP($B33,Database!$B$1:$IX$10144,AH$22,FALSE))=0,"",VLOOKUP($B33,Database!$B$1:$IX$10144,AH$22,FALSE)))</f>
        <v>1.5</v>
      </c>
      <c r="AI33" s="22">
        <f>IF(OR($B33="",AI$22=""),"",IF(LEN(VLOOKUP($B33,Database!$B$1:$IX$10144,AI$22,FALSE))=0,"",VLOOKUP($B33,Database!$B$1:$IX$10144,AI$22,FALSE)))</f>
        <v>1.5</v>
      </c>
      <c r="AJ33" s="22" t="str">
        <f>IF(OR($B33="",AJ$22=""),"",IF(LEN(VLOOKUP($B33,Database!$B$1:$IX$10144,AJ$22,FALSE))=0,"",VLOOKUP($B33,Database!$B$1:$IX$10144,AJ$22,FALSE)))</f>
        <v/>
      </c>
      <c r="AK33" s="83">
        <f>IF(OR($B33="",AK$22=""),"",IF(LEN(VLOOKUP($B33,Database!$B$1:$IX$10144,AK$22,FALSE))=0,"",VLOOKUP($B33,Database!$B$1:$IX$10144,AK$22,FALSE)))</f>
        <v>40</v>
      </c>
      <c r="AL33" s="83">
        <v>24.8</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f>IF(OR($B33="",AP$22=""),"",IF(LEN(VLOOKUP($B33,Database!$B$1:$IX$10144,AP$22,FALSE))=0,"",VLOOKUP($B33,Database!$B$1:$IX$10144,AP$22,FALSE)))</f>
        <v>12.280701754385964</v>
      </c>
      <c r="AQ33" s="211" t="str">
        <f>IF(OR($B33="",AQ$22=""),"",IF(LEN(VLOOKUP($B33,Database!$B$1:$IX$10144,AQ$22,FALSE))=0,"",VLOOKUP($B33,Database!$B$1:$IX$10144,AQ$22,FALSE)))</f>
        <v>Frodl T, Meisenzahl EM, Zetzsche T, Born C, Jager M, Groll C, Bottlender R, Leinsinger G, Moller HJ.</v>
      </c>
      <c r="AR33" s="13"/>
      <c r="AU33" s="13"/>
      <c r="BC33" s="23"/>
      <c r="BF33" s="136"/>
      <c r="BG33" s="136"/>
      <c r="BH33" s="136"/>
      <c r="BI33" s="136"/>
    </row>
    <row r="34" spans="1:61">
      <c r="B34" s="13">
        <v>12586453</v>
      </c>
      <c r="C34" s="1" t="str">
        <f>IF($B34="","",HYPERLINK(IF(LEN(VLOOKUP($B34,Database!$B$1:$IX$10144,2,FALSE))=0,"",VLOOKUP($B34,Database!$B$1:$IX$10144,2,FALSE))))</f>
        <v/>
      </c>
      <c r="D34" s="1" t="str">
        <f t="shared" si="1"/>
        <v>http://www.ncbi.nlm.nih.gov/pubmed/12586453</v>
      </c>
      <c r="E34" s="22" t="str">
        <f>IF($B34="","",IF(LEN(VLOOKUP($B34,Database!$B$1:$IX$10144,4,FALSE))=0,"",VLOOKUP($B34,Database!$B$1:$IX$10144,4,FALSE)))</f>
        <v>Frodl T</v>
      </c>
      <c r="F34" s="22">
        <f>IF($B34="","",IF(LEN(VLOOKUP($B34,Database!$B$1:$IX$10144,5,FALSE))=0,"",VLOOKUP($B34,Database!$B$1:$IX$10144,5,FALSE)))</f>
        <v>2003</v>
      </c>
      <c r="G34" s="1" t="str">
        <f>IF($B34="","",HYPERLINK(IF(LEN(VLOOKUP($B34,Database!$B$1:$IX$10144,6,FALSE))=0,"",VLOOKUP($B34,Database!$B$1:$IX$10144,6,FALSE))))</f>
        <v>http://dx.doi.org/10.1016/S0006-3223(02)01474-9</v>
      </c>
      <c r="H34" s="83">
        <v>27</v>
      </c>
      <c r="I34" s="83">
        <v>27</v>
      </c>
      <c r="J34" t="s">
        <v>1125</v>
      </c>
      <c r="K34" t="s">
        <v>1161</v>
      </c>
      <c r="L34">
        <v>1780</v>
      </c>
      <c r="M34">
        <v>232</v>
      </c>
      <c r="N34">
        <v>1741</v>
      </c>
      <c r="O34">
        <v>292</v>
      </c>
      <c r="P34">
        <v>1762</v>
      </c>
      <c r="Q34">
        <v>251</v>
      </c>
      <c r="R34">
        <v>1815</v>
      </c>
      <c r="S34">
        <v>267</v>
      </c>
      <c r="T34">
        <f t="shared" si="2"/>
        <v>3542</v>
      </c>
      <c r="U34">
        <f t="shared" si="3"/>
        <v>458.25342333691299</v>
      </c>
      <c r="V34">
        <f t="shared" si="4"/>
        <v>3556</v>
      </c>
      <c r="W34">
        <f t="shared" si="5"/>
        <v>530.37288769317763</v>
      </c>
      <c r="Y34" s="22" t="str">
        <f>IF(OR($B34="",Y$22=""),"",IF(LEN(VLOOKUP($B34,Database!$B$1:$IX$10144,Y$22,FALSE))=0,"",VLOOKUP($B34,Database!$B$1:$IX$10144,Y$22,FALSE)))</f>
        <v>DSM-IV</v>
      </c>
      <c r="Z34" s="22" t="str">
        <f>IF(OR($B34="",Z$22=""),"",IF(LEN(VLOOKUP($B34,Database!$B$1:$IX$10144,Z$22,FALSE))=0,"",VLOOKUP($B34,Database!$B$1:$IX$10144,Z$22,FALSE)))</f>
        <v>MRI</v>
      </c>
      <c r="AA34" s="217" t="s">
        <v>2450</v>
      </c>
      <c r="AB34" s="83">
        <v>49.1</v>
      </c>
      <c r="AC34" s="83">
        <v>10.5</v>
      </c>
      <c r="AD34" s="83">
        <v>46.3</v>
      </c>
      <c r="AE34" s="83">
        <v>11.5</v>
      </c>
      <c r="AF34" s="83">
        <v>13</v>
      </c>
      <c r="AG34" s="83">
        <v>13</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83">
        <v>37.4</v>
      </c>
      <c r="AL34" s="83">
        <v>21.3</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f>IF(OR($B34="",AP$22=""),"",IF(LEN(VLOOKUP($B34,Database!$B$1:$IX$10144,AP$22,FALSE))=0,"",VLOOKUP($B34,Database!$B$1:$IX$10144,AP$22,FALSE)))</f>
        <v>12.280701754385964</v>
      </c>
      <c r="AQ34" s="211" t="str">
        <f>IF(OR($B34="",AQ$22=""),"",IF(LEN(VLOOKUP($B34,Database!$B$1:$IX$10144,AQ$22,FALSE))=0,"",VLOOKUP($B34,Database!$B$1:$IX$10144,AQ$22,FALSE)))</f>
        <v>Frodl T, Meisenzahl EM, Zetzsche T, Born C, Jager M, Groll C, Bottlender R, Leinsinger G, Moller HJ.</v>
      </c>
      <c r="AR34" s="13"/>
      <c r="AU34" s="13"/>
      <c r="BC34" s="23"/>
      <c r="BF34" s="136"/>
      <c r="BG34" s="136"/>
      <c r="BH34" s="136"/>
      <c r="BI34" s="136"/>
    </row>
    <row r="35" spans="1:61">
      <c r="A35" t="s">
        <v>2337</v>
      </c>
      <c r="B35" s="13">
        <v>15598548</v>
      </c>
      <c r="C35" s="1" t="str">
        <f>IF($B35="","",HYPERLINK(IF(LEN(VLOOKUP($B35,Database!$B$1:$IX$10144,2,FALSE))=0,"",VLOOKUP($B35,Database!$B$1:$IX$10144,2,FALSE))))</f>
        <v/>
      </c>
      <c r="D35" s="1" t="str">
        <f t="shared" si="1"/>
        <v>http://www.ncbi.nlm.nih.gov/pubmed/15598548</v>
      </c>
      <c r="E35" s="22" t="str">
        <f>IF($B35="","",IF(LEN(VLOOKUP($B35,Database!$B$1:$IX$10144,4,FALSE))=0,"",VLOOKUP($B35,Database!$B$1:$IX$10144,4,FALSE)))</f>
        <v>Caetano SC</v>
      </c>
      <c r="F35" s="22">
        <f>IF($B35="","",IF(LEN(VLOOKUP($B35,Database!$B$1:$IX$10144,5,FALSE))=0,"",VLOOKUP($B35,Database!$B$1:$IX$10144,5,FALSE)))</f>
        <v>2004</v>
      </c>
      <c r="G35" s="1" t="str">
        <f>IF($B35="","",HYPERLINK(IF(LEN(VLOOKUP($B35,Database!$B$1:$IX$10144,6,FALSE))=0,"",VLOOKUP($B35,Database!$B$1:$IX$10144,6,FALSE))))</f>
        <v>http://dx.doi.org/10.1016/j.pscychresns.2004.08.002</v>
      </c>
      <c r="H35" s="22">
        <f>IF($B35="","",IF(LEN(VLOOKUP($B35,Database!$B$1:$IX$10144,7,FALSE))=0,"",VLOOKUP($B35,Database!$B$1:$IX$10144,7,FALSE)))</f>
        <v>31</v>
      </c>
      <c r="I35" s="22">
        <f>IF($B35="","",IF(LEN(VLOOKUP($B35,Database!$B$1:$IX$10144,8,FALSE))=0,"",VLOOKUP($B35,Database!$B$1:$IX$10144,8,FALSE)))</f>
        <v>31</v>
      </c>
      <c r="J35" t="s">
        <v>327</v>
      </c>
      <c r="L35">
        <v>1.85</v>
      </c>
      <c r="M35">
        <v>0.39</v>
      </c>
      <c r="N35">
        <v>2.02</v>
      </c>
      <c r="O35">
        <v>0.37</v>
      </c>
      <c r="P35">
        <v>2.02</v>
      </c>
      <c r="Q35">
        <v>0.47</v>
      </c>
      <c r="R35">
        <v>2.1800000000000002</v>
      </c>
      <c r="S35">
        <v>0.4</v>
      </c>
      <c r="T35">
        <f t="shared" si="2"/>
        <v>3.87</v>
      </c>
      <c r="U35">
        <f t="shared" si="3"/>
        <v>0.81625976257561539</v>
      </c>
      <c r="V35">
        <f t="shared" si="4"/>
        <v>4.2</v>
      </c>
      <c r="W35">
        <f t="shared" si="5"/>
        <v>0.73054773971315523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39.200000000000003</v>
      </c>
      <c r="AC35" s="22">
        <f>IF(OR($B35="",AC$22=""),"",IF(LEN(VLOOKUP($B35,Database!$B$1:$IX$10144,AC$22,FALSE))=0,"",VLOOKUP($B35,Database!$B$1:$IX$10144,AC$22,FALSE)))</f>
        <v>11.9</v>
      </c>
      <c r="AD35" s="22">
        <f>IF(OR($B35="",AD$22=""),"",IF(LEN(VLOOKUP($B35,Database!$B$1:$IX$10144,AD$22,FALSE))=0,"",VLOOKUP($B35,Database!$B$1:$IX$10144,AD$22,FALSE)))</f>
        <v>36.700000000000003</v>
      </c>
      <c r="AE35" s="22">
        <f>IF(OR($B35="",AE$22=""),"",IF(LEN(VLOOKUP($B35,Database!$B$1:$IX$10144,AE$22,FALSE))=0,"",VLOOKUP($B35,Database!$B$1:$IX$10144,AE$22,FALSE)))</f>
        <v>10.7</v>
      </c>
      <c r="AF35" s="22">
        <f>IF(OR($B35="",AF$22=""),"",IF(LEN(VLOOKUP($B35,Database!$B$1:$IX$10144,AF$22,FALSE))=0,"",VLOOKUP($B35,Database!$B$1:$IX$10144,AF$22,FALSE)))</f>
        <v>24</v>
      </c>
      <c r="AG35" s="22">
        <f>IF(OR($B35="",AG$22=""),"",IF(LEN(VLOOKUP($B35,Database!$B$1:$IX$10144,AG$22,FALSE))=0,"",VLOOKUP($B35,Database!$B$1:$IX$10144,AG$22,FALSE)))</f>
        <v>24</v>
      </c>
      <c r="AH35" s="22">
        <f>IF(OR($B35="",AH$22=""),"",IF(LEN(VLOOKUP($B35,Database!$B$1:$IX$10144,AH$22,FALSE))=0,"",VLOOKUP($B35,Database!$B$1:$IX$10144,AH$22,FALSE)))</f>
        <v>1.5</v>
      </c>
      <c r="AI35" s="22">
        <f>IF(OR($B35="",AI$22=""),"",IF(LEN(VLOOKUP($B35,Database!$B$1:$IX$10144,AI$22,FALSE))=0,"",VLOOKUP($B35,Database!$B$1:$IX$10144,AI$22,FALSE)))</f>
        <v>1.5</v>
      </c>
      <c r="AJ35" s="22" t="str">
        <f>IF(OR($B35="",AJ$22=""),"",IF(LEN(VLOOKUP($B35,Database!$B$1:$IX$10144,AJ$22,FALSE))=0,"",VLOOKUP($B35,Database!$B$1:$IX$10144,AJ$22,FALSE)))</f>
        <v/>
      </c>
      <c r="AK35" s="214">
        <v>27.9</v>
      </c>
      <c r="AL35" s="214">
        <v>11.8</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f>IF(OR($B35="",AP$22=""),"",IF(LEN(VLOOKUP($B35,Database!$B$1:$IX$10144,AP$22,FALSE))=0,"",VLOOKUP($B35,Database!$B$1:$IX$10144,AP$22,FALSE)))</f>
        <v>100</v>
      </c>
      <c r="AQ35" s="211" t="str">
        <f>IF(OR($B35="",AQ$22=""),"",IF(LEN(VLOOKUP($B35,Database!$B$1:$IX$10144,AQ$22,FALSE))=0,"",VLOOKUP($B35,Database!$B$1:$IX$10144,AQ$22,FALSE)))</f>
        <v>Caetano SC, Hatch JP, Brambilla P, Sassi RB, Nicoletti M, Mallinger AG, Frank E, Kupfer DJ, Keshavan MS, Soares JC.</v>
      </c>
      <c r="AR35" s="13"/>
      <c r="BC35" s="23"/>
      <c r="BF35" s="136"/>
      <c r="BG35" s="136"/>
      <c r="BH35" s="136"/>
      <c r="BI35" s="136"/>
    </row>
    <row r="36" spans="1:61">
      <c r="B36" s="13">
        <v>14997169</v>
      </c>
      <c r="C36" s="1" t="str">
        <f>IF($B36="","",HYPERLINK(IF(LEN(VLOOKUP($B36,Database!$B$1:$IX$10144,2,FALSE))=0,"",VLOOKUP($B36,Database!$B$1:$IX$10144,2,FALSE))))</f>
        <v/>
      </c>
      <c r="D36" s="1" t="str">
        <f t="shared" si="1"/>
        <v>http://www.ncbi.nlm.nih.gov/pubmed/14997169</v>
      </c>
      <c r="E36" s="22" t="str">
        <f>IF($B36="","",IF(LEN(VLOOKUP($B36,Database!$B$1:$IX$10144,4,FALSE))=0,"",VLOOKUP($B36,Database!$B$1:$IX$10144,4,FALSE)))</f>
        <v>Hastings RS</v>
      </c>
      <c r="F36" s="22">
        <f>IF($B36="","",IF(LEN(VLOOKUP($B36,Database!$B$1:$IX$10144,5,FALSE))=0,"",VLOOKUP($B36,Database!$B$1:$IX$10144,5,FALSE)))</f>
        <v>2004</v>
      </c>
      <c r="G36" s="1" t="str">
        <f>IF($B36="","",HYPERLINK(IF(LEN(VLOOKUP($B36,Database!$B$1:$IX$10144,6,FALSE))=0,"",VLOOKUP($B36,Database!$B$1:$IX$10144,6,FALSE))))</f>
        <v>http://www.nature.com/npp/journal/v29/n5/pdf/1300371a.pdf</v>
      </c>
      <c r="H36" s="83">
        <v>10</v>
      </c>
      <c r="I36" s="83">
        <v>10</v>
      </c>
      <c r="J36" t="s">
        <v>207</v>
      </c>
      <c r="K36" t="s">
        <v>1159</v>
      </c>
      <c r="L36">
        <v>1454</v>
      </c>
      <c r="M36">
        <v>307</v>
      </c>
      <c r="N36">
        <v>1718</v>
      </c>
      <c r="O36">
        <v>339</v>
      </c>
      <c r="P36">
        <v>1411</v>
      </c>
      <c r="Q36">
        <v>253</v>
      </c>
      <c r="R36">
        <v>1845</v>
      </c>
      <c r="S36">
        <v>225</v>
      </c>
      <c r="T36">
        <f t="shared" si="2"/>
        <v>2865</v>
      </c>
      <c r="U36">
        <f t="shared" si="3"/>
        <v>531.5370165849223</v>
      </c>
      <c r="V36">
        <f t="shared" si="4"/>
        <v>3563</v>
      </c>
      <c r="W36">
        <f t="shared" si="5"/>
        <v>536.27045415536361</v>
      </c>
      <c r="Y36" s="22" t="str">
        <f>IF(OR($B36="",Y$22=""),"",IF(LEN(VLOOKUP($B36,Database!$B$1:$IX$10144,Y$22,FALSE))=0,"",VLOOKUP($B36,Database!$B$1:$IX$10144,Y$22,FALSE)))</f>
        <v>DSM-III-R</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38.9</v>
      </c>
      <c r="AC36" s="22">
        <f>IF(OR($B36="",AC$22=""),"",IF(LEN(VLOOKUP($B36,Database!$B$1:$IX$10144,AC$22,FALSE))=0,"",VLOOKUP($B36,Database!$B$1:$IX$10144,AC$22,FALSE)))</f>
        <v>11.4</v>
      </c>
      <c r="AD36" s="22">
        <f>IF(OR($B36="",AD$22=""),"",IF(LEN(VLOOKUP($B36,Database!$B$1:$IX$10144,AD$22,FALSE))=0,"",VLOOKUP($B36,Database!$B$1:$IX$10144,AD$22,FALSE)))</f>
        <v>34.799999999999997</v>
      </c>
      <c r="AE36" s="22">
        <f>IF(OR($B36="",AE$22=""),"",IF(LEN(VLOOKUP($B36,Database!$B$1:$IX$10144,AE$22,FALSE))=0,"",VLOOKUP($B36,Database!$B$1:$IX$10144,AE$22,FALSE)))</f>
        <v>13.6</v>
      </c>
      <c r="AF36" s="22">
        <f>IF(OR($B36="",AF$22=""),"",IF(LEN(VLOOKUP($B36,Database!$B$1:$IX$10144,AF$22,FALSE))=0,"",VLOOKUP($B36,Database!$B$1:$IX$10144,AF$22,FALSE)))</f>
        <v>10</v>
      </c>
      <c r="AG36" s="22">
        <f>IF(OR($B36="",AG$22=""),"",IF(LEN(VLOOKUP($B36,Database!$B$1:$IX$10144,AG$22,FALSE))=0,"",VLOOKUP($B36,Database!$B$1:$IX$10144,AG$22,FALSE)))</f>
        <v>10</v>
      </c>
      <c r="AH36" s="22">
        <f>IF(OR($B36="",AH$22=""),"",IF(LEN(VLOOKUP($B36,Database!$B$1:$IX$10144,AH$22,FALSE))=0,"",VLOOKUP($B36,Database!$B$1:$IX$10144,AH$22,FALSE)))</f>
        <v>1.5</v>
      </c>
      <c r="AI36" s="22">
        <f>IF(OR($B36="",AI$22=""),"",IF(LEN(VLOOKUP($B36,Database!$B$1:$IX$10144,AI$22,FALSE))=0,"",VLOOKUP($B36,Database!$B$1:$IX$10144,AI$22,FALSE)))</f>
        <v>1.5</v>
      </c>
      <c r="AJ36" s="22" t="str">
        <f>IF(OR($B36="",AJ$22=""),"",IF(LEN(VLOOKUP($B36,Database!$B$1:$IX$10144,AJ$22,FALSE))=0,"",VLOOKUP($B36,Database!$B$1:$IX$10144,AJ$22,FALSE)))</f>
        <v/>
      </c>
      <c r="AK36" s="22" t="str">
        <f>IF(OR($B36="",AK$22=""),"",IF(LEN(VLOOKUP($B36,Database!$B$1:$IX$10144,AK$22,FALSE))=0,"",VLOOKUP($B36,Database!$B$1:$IX$10144,AK$22,FALSE)))</f>
        <v>ns</v>
      </c>
      <c r="AL36" s="22">
        <f>IF(OR($B36="",AL$22=""),"",IF(LEN(VLOOKUP($B36,Database!$B$1:$IX$10144,AL$22,FALSE))=0,"",VLOOKUP($B36,Database!$B$1:$IX$10144,AL$22,FALSE)))</f>
        <v>23</v>
      </c>
      <c r="AM36" s="22">
        <f>IF(OR($B36="",AM$22=""),"",IF(LEN(VLOOKUP($B36,Database!$B$1:$IX$10144,AM$22,FALSE))=0,"",VLOOKUP($B36,Database!$B$1:$IX$10144,AM$22,FALSE)))</f>
        <v>0</v>
      </c>
      <c r="AN36" s="22">
        <f>IF(OR($B36="",AN$22=""),"",IF(LEN(VLOOKUP($B36,Database!$B$1:$IX$10144,AN$22,FALSE))=0,"",VLOOKUP($B36,Database!$B$1:$IX$10144,AN$22,FALSE)))</f>
        <v>0</v>
      </c>
      <c r="AO36" s="22">
        <f>IF(OR($B36="",AO$22=""),"",IF(LEN(VLOOKUP($B36,Database!$B$1:$IX$10144,AO$22,FALSE))=0,"",VLOOKUP($B36,Database!$B$1:$IX$10144,AO$22,FALSE)))</f>
        <v>0</v>
      </c>
      <c r="AP36" s="22">
        <f>IF(OR($B36="",AP$22=""),"",IF(LEN(VLOOKUP($B36,Database!$B$1:$IX$10144,AP$22,FALSE))=0,"",VLOOKUP($B36,Database!$B$1:$IX$10144,AP$22,FALSE)))</f>
        <v>100</v>
      </c>
      <c r="AQ36" s="211" t="str">
        <f>IF(OR($B36="",AQ$22=""),"",IF(LEN(VLOOKUP($B36,Database!$B$1:$IX$10144,AQ$22,FALSE))=0,"",VLOOKUP($B36,Database!$B$1:$IX$10144,AQ$22,FALSE)))</f>
        <v>Hastings RS, Parsey RV, Oquendo MA, Arango V, Mann JJ.</v>
      </c>
      <c r="AR36" s="13"/>
      <c r="BC36" s="23"/>
      <c r="BF36" s="136"/>
      <c r="BG36" s="136"/>
      <c r="BH36" s="136"/>
      <c r="BI36" s="136"/>
    </row>
    <row r="37" spans="1:61">
      <c r="B37" s="13">
        <v>15641704</v>
      </c>
      <c r="C37" s="1" t="str">
        <f>IF($B37="","",HYPERLINK(IF(LEN(VLOOKUP($B37,Database!$B$1:$IX$10144,2,FALSE))=0,"",VLOOKUP($B37,Database!$B$1:$IX$10144,2,FALSE))))</f>
        <v/>
      </c>
      <c r="D37" s="1" t="str">
        <f t="shared" si="1"/>
        <v>http://www.ncbi.nlm.nih.gov/pubmed/15641704</v>
      </c>
      <c r="E37" s="22" t="str">
        <f>IF($B37="","",IF(LEN(VLOOKUP($B37,Database!$B$1:$IX$10144,4,FALSE))=0,"",VLOOKUP($B37,Database!$B$1:$IX$10144,4,FALSE)))</f>
        <v>Xia J</v>
      </c>
      <c r="F37" s="22">
        <f>IF($B37="","",IF(LEN(VLOOKUP($B37,Database!$B$1:$IX$10144,5,FALSE))=0,"",VLOOKUP($B37,Database!$B$1:$IX$10144,5,FALSE)))</f>
        <v>2004</v>
      </c>
      <c r="G37" s="1" t="str">
        <f>IF($B37="","",HYPERLINK(IF(LEN(VLOOKUP($B37,Database!$B$1:$IX$10144,6,FALSE))=0,"",VLOOKUP($B37,Database!$B$1:$IX$10144,6,FALSE))))</f>
        <v>Not available on internet</v>
      </c>
      <c r="H37" s="22">
        <f>IF($B37="","",IF(LEN(VLOOKUP($B37,Database!$B$1:$IX$10144,7,FALSE))=0,"",VLOOKUP($B37,Database!$B$1:$IX$10144,7,FALSE)))</f>
        <v>22</v>
      </c>
      <c r="I37" s="22">
        <f>IF($B37="","",IF(LEN(VLOOKUP($B37,Database!$B$1:$IX$10144,8,FALSE))=0,"",VLOOKUP($B37,Database!$B$1:$IX$10144,8,FALSE)))</f>
        <v>13</v>
      </c>
      <c r="J37" t="s">
        <v>571</v>
      </c>
      <c r="L37">
        <v>2349.91</v>
      </c>
      <c r="M37">
        <v>125.11</v>
      </c>
      <c r="N37">
        <v>2323.69</v>
      </c>
      <c r="O37">
        <v>37.06</v>
      </c>
      <c r="P37">
        <v>2127.3200000000002</v>
      </c>
      <c r="Q37">
        <v>135.97999999999999</v>
      </c>
      <c r="R37">
        <v>2305.54</v>
      </c>
      <c r="S37">
        <v>52.26</v>
      </c>
      <c r="T37">
        <f t="shared" si="2"/>
        <v>4477.2299999999996</v>
      </c>
      <c r="U37">
        <f t="shared" si="3"/>
        <v>247.71557274422617</v>
      </c>
      <c r="V37">
        <f t="shared" si="4"/>
        <v>4629.2299999999996</v>
      </c>
      <c r="W37">
        <f t="shared" si="5"/>
        <v>84.87261136550471</v>
      </c>
      <c r="Y37" s="22" t="str">
        <f>IF(OR($B37="",Y$22=""),"",IF(LEN(VLOOKUP($B37,Database!$B$1:$IX$10144,Y$22,FALSE))=0,"",VLOOKUP($B37,Database!$B$1:$IX$10144,Y$22,FALSE)))</f>
        <v>CCMD-3-R</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39.5</v>
      </c>
      <c r="AC37" s="22">
        <f>IF(OR($B37="",AC$22=""),"",IF(LEN(VLOOKUP($B37,Database!$B$1:$IX$10144,AC$22,FALSE))=0,"",VLOOKUP($B37,Database!$B$1:$IX$10144,AC$22,FALSE)))</f>
        <v>12.05</v>
      </c>
      <c r="AD37" s="22">
        <f>IF(OR($B37="",AD$22=""),"",IF(LEN(VLOOKUP($B37,Database!$B$1:$IX$10144,AD$22,FALSE))=0,"",VLOOKUP($B37,Database!$B$1:$IX$10144,AD$22,FALSE)))</f>
        <v>35.43</v>
      </c>
      <c r="AE37" s="22">
        <f>IF(OR($B37="",AE$22=""),"",IF(LEN(VLOOKUP($B37,Database!$B$1:$IX$10144,AE$22,FALSE))=0,"",VLOOKUP($B37,Database!$B$1:$IX$10144,AE$22,FALSE)))</f>
        <v>8.86</v>
      </c>
      <c r="AF37" s="22">
        <f>IF(OR($B37="",AF$22=""),"",IF(LEN(VLOOKUP($B37,Database!$B$1:$IX$10144,AF$22,FALSE))=0,"",VLOOKUP($B37,Database!$B$1:$IX$10144,AF$22,FALSE)))</f>
        <v>10</v>
      </c>
      <c r="AG37" s="22">
        <f>IF(OR($B37="",AG$22=""),"",IF(LEN(VLOOKUP($B37,Database!$B$1:$IX$10144,AG$22,FALSE))=0,"",VLOOKUP($B37,Database!$B$1:$IX$10144,AG$22,FALSE)))</f>
        <v>8</v>
      </c>
      <c r="AH37" s="22">
        <f>IF(OR($B37="",AH$22=""),"",IF(LEN(VLOOKUP($B37,Database!$B$1:$IX$10144,AH$22,FALSE))=0,"",VLOOKUP($B37,Database!$B$1:$IX$10144,AH$22,FALSE)))</f>
        <v>1.5</v>
      </c>
      <c r="AI37" s="22">
        <f>IF(OR($B37="",AI$22=""),"",IF(LEN(VLOOKUP($B37,Database!$B$1:$IX$10144,AI$22,FALSE))=0,"",VLOOKUP($B37,Database!$B$1:$IX$10144,AI$22,FALSE)))</f>
        <v>1.2</v>
      </c>
      <c r="AJ37" s="22" t="str">
        <f>IF(OR($B37="",AJ$22=""),"",IF(LEN(VLOOKUP($B37,Database!$B$1:$IX$10144,AJ$22,FALSE))=0,"",VLOOKUP($B37,Database!$B$1:$IX$10144,AJ$22,FALSE)))</f>
        <v/>
      </c>
      <c r="AK37" s="22" t="str">
        <f>IF(OR($B37="",AK$22=""),"",IF(LEN(VLOOKUP($B37,Database!$B$1:$IX$10144,AK$22,FALSE))=0,"",VLOOKUP($B37,Database!$B$1:$IX$10144,AK$22,FALSE)))</f>
        <v>ns</v>
      </c>
      <c r="AL37" s="22">
        <f>IF(OR($B37="",AL$22=""),"",IF(LEN(VLOOKUP($B37,Database!$B$1:$IX$10144,AL$22,FALSE))=0,"",VLOOKUP($B37,Database!$B$1:$IX$10144,AL$22,FALSE)))</f>
        <v>21.45</v>
      </c>
      <c r="AM37" s="22" t="str">
        <f>IF(OR($B37="",AM$22=""),"",IF(LEN(VLOOKUP($B37,Database!$B$1:$IX$10144,AM$22,FALSE))=0,"",VLOOKUP($B37,Database!$B$1:$IX$10144,AM$22,FALSE)))</f>
        <v>ns</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11" t="str">
        <f>IF(OR($B37="",AQ$22=""),"",IF(LEN(VLOOKUP($B37,Database!$B$1:$IX$10144,AQ$22,FALSE))=0,"",VLOOKUP($B37,Database!$B$1:$IX$10144,AQ$22,FALSE)))</f>
        <v>Xia J, Chen J, Zhou Y, Zhang J, Yang B, Xia L, Wang C.</v>
      </c>
      <c r="AR37" s="13"/>
      <c r="BC37" s="23"/>
      <c r="BF37" s="136"/>
      <c r="BG37" s="136"/>
      <c r="BH37" s="136"/>
      <c r="BI37" s="136"/>
    </row>
    <row r="38" spans="1:61">
      <c r="B38">
        <v>16740316</v>
      </c>
      <c r="C38" s="1" t="str">
        <f>IF($B38="","",HYPERLINK(IF(LEN(VLOOKUP($B38,Database!$B$1:$IX$10144,2,FALSE))=0,"",VLOOKUP($B38,Database!$B$1:$IX$10144,2,FALSE))))</f>
        <v/>
      </c>
      <c r="D38" s="1" t="str">
        <f t="shared" si="1"/>
        <v>http://www.ncbi.nlm.nih.gov/pubmed/16740316</v>
      </c>
      <c r="E38" s="22" t="str">
        <f>IF($B38="","",IF(LEN(VLOOKUP($B38,Database!$B$1:$IX$10144,4,FALSE))=0,"",VLOOKUP($B38,Database!$B$1:$IX$10144,4,FALSE)))</f>
        <v>Weniger G</v>
      </c>
      <c r="F38" s="22">
        <f>IF($B38="","",IF(LEN(VLOOKUP($B38,Database!$B$1:$IX$10144,5,FALSE))=0,"",VLOOKUP($B38,Database!$B$1:$IX$10144,5,FALSE)))</f>
        <v>2006</v>
      </c>
      <c r="G38" s="1" t="str">
        <f>IF($B38="","",HYPERLINK(IF(LEN(VLOOKUP($B38,Database!$B$1:$IX$10144,6,FALSE))=0,"",VLOOKUP($B38,Database!$B$1:$IX$10144,6,FALSE))))</f>
        <v>http://dx.doi.org/10.1016/j.jad.2006.04.017</v>
      </c>
      <c r="H38" s="22">
        <f>IF($B38="","",IF(LEN(VLOOKUP($B38,Database!$B$1:$IX$10144,7,FALSE))=0,"",VLOOKUP($B38,Database!$B$1:$IX$10144,7,FALSE)))</f>
        <v>21</v>
      </c>
      <c r="I38" s="22">
        <f>IF($B38="","",IF(LEN(VLOOKUP($B38,Database!$B$1:$IX$10144,8,FALSE))=0,"",VLOOKUP($B38,Database!$B$1:$IX$10144,8,FALSE)))</f>
        <v>23</v>
      </c>
      <c r="J38" t="s">
        <v>1651</v>
      </c>
      <c r="L38">
        <v>1.3</v>
      </c>
      <c r="M38">
        <v>0.3</v>
      </c>
      <c r="N38">
        <v>1.1000000000000001</v>
      </c>
      <c r="O38">
        <v>0.2</v>
      </c>
      <c r="P38">
        <v>1.3</v>
      </c>
      <c r="Q38">
        <v>0.3</v>
      </c>
      <c r="R38">
        <v>1.2</v>
      </c>
      <c r="S38">
        <v>0.2</v>
      </c>
      <c r="T38">
        <f t="shared" si="2"/>
        <v>2.6</v>
      </c>
      <c r="U38">
        <f t="shared" si="3"/>
        <v>0.56920997883030822</v>
      </c>
      <c r="V38">
        <f t="shared" si="4"/>
        <v>2.2999999999999998</v>
      </c>
      <c r="W38">
        <f t="shared" si="5"/>
        <v>0.37947331922020555</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34</v>
      </c>
      <c r="AC38" s="22">
        <f>IF(OR($B38="",AC$22=""),"",IF(LEN(VLOOKUP($B38,Database!$B$1:$IX$10144,AC$22,FALSE))=0,"",VLOOKUP($B38,Database!$B$1:$IX$10144,AC$22,FALSE)))</f>
        <v>9</v>
      </c>
      <c r="AD38" s="22">
        <f>IF(OR($B38="",AD$22=""),"",IF(LEN(VLOOKUP($B38,Database!$B$1:$IX$10144,AD$22,FALSE))=0,"",VLOOKUP($B38,Database!$B$1:$IX$10144,AD$22,FALSE)))</f>
        <v>32</v>
      </c>
      <c r="AE38" s="22">
        <f>IF(OR($B38="",AE$22=""),"",IF(LEN(VLOOKUP($B38,Database!$B$1:$IX$10144,AE$22,FALSE))=0,"",VLOOKUP($B38,Database!$B$1:$IX$10144,AE$22,FALSE)))</f>
        <v>7</v>
      </c>
      <c r="AF38" s="22">
        <f>IF(OR($B38="",AF$22=""),"",IF(LEN(VLOOKUP($B38,Database!$B$1:$IX$10144,AF$22,FALSE))=0,"",VLOOKUP($B38,Database!$B$1:$IX$10144,AF$22,FALSE)))</f>
        <v>21</v>
      </c>
      <c r="AG38" s="22">
        <f>IF(OR($B38="",AG$22=""),"",IF(LEN(VLOOKUP($B38,Database!$B$1:$IX$10144,AG$22,FALSE))=0,"",VLOOKUP($B38,Database!$B$1:$IX$10144,AG$22,FALSE)))</f>
        <v>23</v>
      </c>
      <c r="AH38" s="22">
        <f>IF(OR($B38="",AH$22=""),"",IF(LEN(VLOOKUP($B38,Database!$B$1:$IX$10144,AH$22,FALSE))=0,"",VLOOKUP($B38,Database!$B$1:$IX$10144,AH$22,FALSE)))</f>
        <v>1.5</v>
      </c>
      <c r="AI38" s="22">
        <f>IF(OR($B38="",AI$22=""),"",IF(LEN(VLOOKUP($B38,Database!$B$1:$IX$10144,AI$22,FALSE))=0,"",VLOOKUP($B38,Database!$B$1:$IX$10144,AI$22,FALSE)))</f>
        <v>1.3</v>
      </c>
      <c r="AJ38" s="22" t="str">
        <f>IF(OR($B38="",AJ$22=""),"",IF(LEN(VLOOKUP($B38,Database!$B$1:$IX$10144,AJ$22,FALSE))=0,"",VLOOKUP($B38,Database!$B$1:$IX$10144,AJ$22,FALSE)))</f>
        <v/>
      </c>
      <c r="AK38" s="22">
        <f>IF(OR($B38="",AK$22=""),"",IF(LEN(VLOOKUP($B38,Database!$B$1:$IX$10144,AK$22,FALSE))=0,"",VLOOKUP($B38,Database!$B$1:$IX$10144,AK$22,FALSE)))</f>
        <v>28</v>
      </c>
      <c r="AL38" s="22">
        <f>IF(OR($B38="",AL$22=""),"",IF(LEN(VLOOKUP($B38,Database!$B$1:$IX$10144,AL$22,FALSE))=0,"",VLOOKUP($B38,Database!$B$1:$IX$10144,AL$22,FALSE)))</f>
        <v>23</v>
      </c>
      <c r="AM38" s="22">
        <f>IF(OR($B38="",AM$22=""),"",IF(LEN(VLOOKUP($B38,Database!$B$1:$IX$10144,AM$22,FALSE))=0,"",VLOOKUP($B38,Database!$B$1:$IX$10144,AM$22,FALSE)))</f>
        <v>100</v>
      </c>
      <c r="AN38" s="22" t="str">
        <f>IF(OR($B38="",AN$22=""),"",IF(LEN(VLOOKUP($B38,Database!$B$1:$IX$10144,AN$22,FALSE))=0,"",VLOOKUP($B38,Database!$B$1:$IX$10144,AN$22,FALSE)))</f>
        <v>ns</v>
      </c>
      <c r="AO38" s="22" t="str">
        <f>IF(OR($B38="",AO$22=""),"",IF(LEN(VLOOKUP($B38,Database!$B$1:$IX$10144,AO$22,FALSE))=0,"",VLOOKUP($B38,Database!$B$1:$IX$10144,AO$22,FALSE)))</f>
        <v>ns</v>
      </c>
      <c r="AP38" s="22">
        <f>IF(OR($B38="",AP$22=""),"",IF(LEN(VLOOKUP($B38,Database!$B$1:$IX$10144,AP$22,FALSE))=0,"",VLOOKUP($B38,Database!$B$1:$IX$10144,AP$22,FALSE)))</f>
        <v>0</v>
      </c>
      <c r="AQ38" s="211" t="str">
        <f>IF(OR($B38="",AQ$22=""),"",IF(LEN(VLOOKUP($B38,Database!$B$1:$IX$10144,AQ$22,FALSE))=0,"",VLOOKUP($B38,Database!$B$1:$IX$10144,AQ$22,FALSE)))</f>
        <v>Weniger G, Lange C, Irle E.</v>
      </c>
      <c r="AR38" s="13"/>
      <c r="BC38" s="23"/>
      <c r="BF38" s="136"/>
      <c r="BG38" s="136"/>
      <c r="BH38" s="136"/>
      <c r="BI38" s="136"/>
    </row>
    <row r="39" spans="1:61">
      <c r="B39">
        <v>16461856</v>
      </c>
      <c r="C39" s="1" t="str">
        <f>IF($B39="","",HYPERLINK(IF(LEN(VLOOKUP($B39,Database!$B$1:$IX$10144,2,FALSE))=0,"",VLOOKUP($B39,Database!$B$1:$IX$10144,2,FALSE))))</f>
        <v/>
      </c>
      <c r="D39" s="1" t="str">
        <f t="shared" si="1"/>
        <v>http://www.ncbi.nlm.nih.gov/pubmed/16461856</v>
      </c>
      <c r="E39" s="22" t="str">
        <f>IF($B39="","",IF(LEN(VLOOKUP($B39,Database!$B$1:$IX$10144,4,FALSE))=0,"",VLOOKUP($B39,Database!$B$1:$IX$10144,4,FALSE)))</f>
        <v>Velakoulis D</v>
      </c>
      <c r="F39" s="22">
        <f>IF($B39="","",IF(LEN(VLOOKUP($B39,Database!$B$1:$IX$10144,5,FALSE))=0,"",VLOOKUP($B39,Database!$B$1:$IX$10144,5,FALSE)))</f>
        <v>2006</v>
      </c>
      <c r="G39" s="1" t="str">
        <f>IF($B39="","",HYPERLINK(IF(LEN(VLOOKUP($B39,Database!$B$1:$IX$10144,6,FALSE))=0,"",VLOOKUP($B39,Database!$B$1:$IX$10144,6,FALSE))))</f>
        <v>http://archpsyc.ama-assn.org/cgi/content/full/63/2/139</v>
      </c>
      <c r="H39" s="22">
        <f>IF($B39="","",IF(LEN(VLOOKUP($B39,Database!$B$1:$IX$10144,7,FALSE))=0,"",VLOOKUP($B39,Database!$B$1:$IX$10144,7,FALSE)))</f>
        <v>12</v>
      </c>
      <c r="I39" s="22">
        <f>IF($B39="","",IF(LEN(VLOOKUP($B39,Database!$B$1:$IX$10144,8,FALSE))=0,"",VLOOKUP($B39,Database!$B$1:$IX$10144,8,FALSE)))</f>
        <v>87</v>
      </c>
      <c r="J39" t="s">
        <v>571</v>
      </c>
      <c r="L39">
        <v>1751</v>
      </c>
      <c r="M39">
        <v>396</v>
      </c>
      <c r="N39">
        <v>1500</v>
      </c>
      <c r="O39">
        <v>256</v>
      </c>
      <c r="P39">
        <v>1757</v>
      </c>
      <c r="Q39">
        <v>227</v>
      </c>
      <c r="R39">
        <v>1510</v>
      </c>
      <c r="S39">
        <v>230</v>
      </c>
      <c r="T39">
        <f t="shared" si="2"/>
        <v>3508</v>
      </c>
      <c r="U39">
        <f t="shared" si="3"/>
        <v>593.44098274386135</v>
      </c>
      <c r="V39">
        <f t="shared" si="4"/>
        <v>3010</v>
      </c>
      <c r="W39">
        <f t="shared" si="5"/>
        <v>461.13338634282383</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22.6</v>
      </c>
      <c r="AC39" s="22">
        <f>IF(OR($B39="",AC$22=""),"",IF(LEN(VLOOKUP($B39,Database!$B$1:$IX$10144,AC$22,FALSE))=0,"",VLOOKUP($B39,Database!$B$1:$IX$10144,AC$22,FALSE)))</f>
        <v>4.0999999999999996</v>
      </c>
      <c r="AD39" s="22">
        <f>IF(OR($B39="",AD$22=""),"",IF(LEN(VLOOKUP($B39,Database!$B$1:$IX$10144,AD$22,FALSE))=0,"",VLOOKUP($B39,Database!$B$1:$IX$10144,AD$22,FALSE)))</f>
        <v>26.9</v>
      </c>
      <c r="AE39" s="22">
        <f>IF(OR($B39="",AE$22=""),"",IF(LEN(VLOOKUP($B39,Database!$B$1:$IX$10144,AE$22,FALSE))=0,"",VLOOKUP($B39,Database!$B$1:$IX$10144,AE$22,FALSE)))</f>
        <v>10</v>
      </c>
      <c r="AF39" s="22">
        <f>IF(OR($B39="",AF$22=""),"",IF(LEN(VLOOKUP($B39,Database!$B$1:$IX$10144,AF$22,FALSE))=0,"",VLOOKUP($B39,Database!$B$1:$IX$10144,AF$22,FALSE)))</f>
        <v>5</v>
      </c>
      <c r="AG39" s="22">
        <f>IF(OR($B39="",AG$22=""),"",IF(LEN(VLOOKUP($B39,Database!$B$1:$IX$10144,AG$22,FALSE))=0,"",VLOOKUP($B39,Database!$B$1:$IX$10144,AG$22,FALSE)))</f>
        <v>32</v>
      </c>
      <c r="AH39" s="22">
        <f>IF(OR($B39="",AH$22=""),"",IF(LEN(VLOOKUP($B39,Database!$B$1:$IX$10144,AH$22,FALSE))=0,"",VLOOKUP($B39,Database!$B$1:$IX$10144,AH$22,FALSE)))</f>
        <v>1.5</v>
      </c>
      <c r="AI39" s="22">
        <f>IF(OR($B39="",AI$22=""),"",IF(LEN(VLOOKUP($B39,Database!$B$1:$IX$10144,AI$22,FALSE))=0,"",VLOOKUP($B39,Database!$B$1:$IX$10144,AI$22,FALSE)))</f>
        <v>1.5</v>
      </c>
      <c r="AJ39" s="22" t="str">
        <f>IF(OR($B39="",AJ$22=""),"",IF(LEN(VLOOKUP($B39,Database!$B$1:$IX$10144,AJ$22,FALSE))=0,"",VLOOKUP($B39,Database!$B$1:$IX$10144,AJ$22,FALSE)))</f>
        <v/>
      </c>
      <c r="AK39" s="22">
        <f>IF(OR($B39="",AK$22=""),"",IF(LEN(VLOOKUP($B39,Database!$B$1:$IX$10144,AK$22,FALSE))=0,"",VLOOKUP($B39,Database!$B$1:$IX$10144,AK$22,FALSE)))</f>
        <v>21.5</v>
      </c>
      <c r="AL39" s="22" t="str">
        <f>IF(OR($B39="",AL$22=""),"",IF(LEN(VLOOKUP($B39,Database!$B$1:$IX$10144,AL$22,FALSE))=0,"",VLOOKUP($B39,Database!$B$1:$IX$10144,AL$22,FALSE)))</f>
        <v>ns</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11" t="str">
        <f>IF(OR($B39="",AQ$22=""),"",IF(LEN(VLOOKUP($B39,Database!$B$1:$IX$10144,AQ$22,FALSE))=0,"",VLOOKUP($B39,Database!$B$1:$IX$10144,AQ$22,FALSE)))</f>
        <v>Velakoulis D, Wood SJ, Wong MT, McGorry PD, Yung A, Phillips L, Smith D, Brewer W, Proffitt T, Desmond P, Pantelis C.</v>
      </c>
      <c r="AR39" s="13"/>
      <c r="BC39" s="23"/>
      <c r="BF39" s="136"/>
      <c r="BG39" s="136"/>
      <c r="BH39" s="136"/>
      <c r="BI39" s="136"/>
    </row>
    <row r="40" spans="1:61">
      <c r="B40">
        <v>17949901</v>
      </c>
      <c r="C40" s="1" t="str">
        <f>IF($B40="","",HYPERLINK(IF(LEN(VLOOKUP($B40,Database!$B$1:$IX$10144,2,FALSE))=0,"",VLOOKUP($B40,Database!$B$1:$IX$10144,2,FALSE))))</f>
        <v/>
      </c>
      <c r="D40" s="1" t="str">
        <f t="shared" si="1"/>
        <v>http://www.ncbi.nlm.nih.gov/pubmed/17949901</v>
      </c>
      <c r="E40" s="22" t="str">
        <f>IF($B40="","",IF(LEN(VLOOKUP($B40,Database!$B$1:$IX$10144,4,FALSE))=0,"",VLOOKUP($B40,Database!$B$1:$IX$10144,4,FALSE)))</f>
        <v>Caetano SC</v>
      </c>
      <c r="F40" s="22">
        <f>IF($B40="","",IF(LEN(VLOOKUP($B40,Database!$B$1:$IX$10144,5,FALSE))=0,"",VLOOKUP($B40,Database!$B$1:$IX$10144,5,FALSE)))</f>
        <v>2007</v>
      </c>
      <c r="G40" s="1" t="str">
        <f>IF($B40="","",HYPERLINK(IF(LEN(VLOOKUP($B40,Database!$B$1:$IX$10144,6,FALSE))=0,"",VLOOKUP($B40,Database!$B$1:$IX$10144,6,FALSE))))</f>
        <v>http://dx.doi.org/10.1016/j.neulet.2007.06.014</v>
      </c>
      <c r="H40" s="22">
        <f>IF($B40="","",IF(LEN(VLOOKUP($B40,Database!$B$1:$IX$10144,7,FALSE))=0,"",VLOOKUP($B40,Database!$B$1:$IX$10144,7,FALSE)))</f>
        <v>19</v>
      </c>
      <c r="I40" s="22">
        <f>IF($B40="","",IF(LEN(VLOOKUP($B40,Database!$B$1:$IX$10144,8,FALSE))=0,"",VLOOKUP($B40,Database!$B$1:$IX$10144,8,FALSE)))</f>
        <v>24</v>
      </c>
      <c r="J40" t="s">
        <v>1653</v>
      </c>
      <c r="L40">
        <v>1.46</v>
      </c>
      <c r="M40">
        <v>0.22</v>
      </c>
      <c r="N40">
        <v>1.5</v>
      </c>
      <c r="O40">
        <v>0.25</v>
      </c>
      <c r="P40">
        <v>1.56</v>
      </c>
      <c r="Q40">
        <v>0.23</v>
      </c>
      <c r="R40">
        <v>1.66</v>
      </c>
      <c r="S40">
        <v>0.28000000000000003</v>
      </c>
      <c r="T40">
        <f t="shared" si="2"/>
        <v>3.02</v>
      </c>
      <c r="U40">
        <f t="shared" si="3"/>
        <v>0.42691919610155743</v>
      </c>
      <c r="V40">
        <f t="shared" si="4"/>
        <v>3.16</v>
      </c>
      <c r="W40">
        <f t="shared" si="5"/>
        <v>0.5028916384272063</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13</v>
      </c>
      <c r="AC40" s="22">
        <f>IF(OR($B40="",AC$22=""),"",IF(LEN(VLOOKUP($B40,Database!$B$1:$IX$10144,AC$22,FALSE))=0,"",VLOOKUP($B40,Database!$B$1:$IX$10144,AC$22,FALSE)))</f>
        <v>2.4</v>
      </c>
      <c r="AD40" s="22">
        <f>IF(OR($B40="",AD$22=""),"",IF(LEN(VLOOKUP($B40,Database!$B$1:$IX$10144,AD$22,FALSE))=0,"",VLOOKUP($B40,Database!$B$1:$IX$10144,AD$22,FALSE)))</f>
        <v>13.9</v>
      </c>
      <c r="AE40" s="22">
        <f>IF(OR($B40="",AE$22=""),"",IF(LEN(VLOOKUP($B40,Database!$B$1:$IX$10144,AE$22,FALSE))=0,"",VLOOKUP($B40,Database!$B$1:$IX$10144,AE$22,FALSE)))</f>
        <v>2.9</v>
      </c>
      <c r="AF40" s="22">
        <f>IF(OR($B40="",AF$22=""),"",IF(LEN(VLOOKUP($B40,Database!$B$1:$IX$10144,AF$22,FALSE))=0,"",VLOOKUP($B40,Database!$B$1:$IX$10144,AF$22,FALSE)))</f>
        <v>6</v>
      </c>
      <c r="AG40" s="22">
        <f>IF(OR($B40="",AG$22=""),"",IF(LEN(VLOOKUP($B40,Database!$B$1:$IX$10144,AG$22,FALSE))=0,"",VLOOKUP($B40,Database!$B$1:$IX$10144,AG$22,FALSE)))</f>
        <v>11</v>
      </c>
      <c r="AH40" s="22">
        <f>IF(OR($B40="",AH$22=""),"",IF(LEN(VLOOKUP($B40,Database!$B$1:$IX$10144,AH$22,FALSE))=0,"",VLOOKUP($B40,Database!$B$1:$IX$10144,AH$22,FALSE)))</f>
        <v>1.5</v>
      </c>
      <c r="AI40" s="22">
        <f>IF(OR($B40="",AI$22=""),"",IF(LEN(VLOOKUP($B40,Database!$B$1:$IX$10144,AI$22,FALSE))=0,"",VLOOKUP($B40,Database!$B$1:$IX$10144,AI$22,FALSE)))</f>
        <v>1</v>
      </c>
      <c r="AJ40" s="22" t="str">
        <f>IF(OR($B40="",AJ$22=""),"",IF(LEN(VLOOKUP($B40,Database!$B$1:$IX$10144,AJ$22,FALSE))=0,"",VLOOKUP($B40,Database!$B$1:$IX$10144,AJ$22,FALSE)))</f>
        <v/>
      </c>
      <c r="AK40" s="22">
        <f>IF(OR($B40="",AK$22=""),"",IF(LEN(VLOOKUP($B40,Database!$B$1:$IX$10144,AK$22,FALSE))=0,"",VLOOKUP($B40,Database!$B$1:$IX$10144,AK$22,FALSE)))</f>
        <v>10.3</v>
      </c>
      <c r="AL40" s="22" t="str">
        <f>IF(OR($B40="",AL$22=""),"",IF(LEN(VLOOKUP($B40,Database!$B$1:$IX$10144,AL$22,FALSE))=0,"",VLOOKUP($B40,Database!$B$1:$IX$10144,AL$22,FALSE)))</f>
        <v>ns</v>
      </c>
      <c r="AM40" s="22">
        <f>IF(OR($B40="",AM$22=""),"",IF(LEN(VLOOKUP($B40,Database!$B$1:$IX$10144,AM$22,FALSE))=0,"",VLOOKUP($B40,Database!$B$1:$IX$10144,AM$22,FALSE)))</f>
        <v>47.368421052631575</v>
      </c>
      <c r="AN40" s="22" t="str">
        <f>IF(OR($B40="",AN$22=""),"",IF(LEN(VLOOKUP($B40,Database!$B$1:$IX$10144,AN$22,FALSE))=0,"",VLOOKUP($B40,Database!$B$1:$IX$10144,AN$22,FALSE)))</f>
        <v>ns</v>
      </c>
      <c r="AO40" s="22" t="str">
        <f>IF(OR($B40="",AO$22=""),"",IF(LEN(VLOOKUP($B40,Database!$B$1:$IX$10144,AO$22,FALSE))=0,"",VLOOKUP($B40,Database!$B$1:$IX$10144,AO$22,FALSE)))</f>
        <v>ns</v>
      </c>
      <c r="AP40" s="22">
        <f>IF(OR($B40="",AP$22=""),"",IF(LEN(VLOOKUP($B40,Database!$B$1:$IX$10144,AP$22,FALSE))=0,"",VLOOKUP($B40,Database!$B$1:$IX$10144,AP$22,FALSE)))</f>
        <v>52.631578947368418</v>
      </c>
      <c r="AQ40" s="211" t="str">
        <f>IF(OR($B40="",AQ$22=""),"",IF(LEN(VLOOKUP($B40,Database!$B$1:$IX$10144,AQ$22,FALSE))=0,"",VLOOKUP($B40,Database!$B$1:$IX$10144,AQ$22,FALSE)))</f>
        <v>Caetano SC, Fonseca M, Hatch JP, Olvera RL, Nicoletti M, Hunter K, Lafer B, Pliszka SR, Soares JC.</v>
      </c>
      <c r="AR40" s="13"/>
      <c r="BC40" s="23"/>
      <c r="BF40" s="136"/>
      <c r="BG40" s="136"/>
      <c r="BH40" s="136"/>
      <c r="BI40" s="136"/>
    </row>
    <row r="41" spans="1:61">
      <c r="B41">
        <v>17511971</v>
      </c>
      <c r="C41" s="1" t="str">
        <f>IF($B41="","",HYPERLINK(IF(LEN(VLOOKUP($B41,Database!$B$1:$IX$10144,2,FALSE))=0,"",VLOOKUP($B41,Database!$B$1:$IX$10144,2,FALSE))))</f>
        <v/>
      </c>
      <c r="D41" s="1" t="str">
        <f t="shared" si="1"/>
        <v>http://www.ncbi.nlm.nih.gov/pubmed/17511971</v>
      </c>
      <c r="E41" s="22" t="str">
        <f>IF($B41="","",IF(LEN(VLOOKUP($B41,Database!$B$1:$IX$10144,4,FALSE))=0,"",VLOOKUP($B41,Database!$B$1:$IX$10144,4,FALSE)))</f>
        <v>Munn MA</v>
      </c>
      <c r="F41" s="22">
        <f>IF($B41="","",IF(LEN(VLOOKUP($B41,Database!$B$1:$IX$10144,5,FALSE))=0,"",VLOOKUP($B41,Database!$B$1:$IX$10144,5,FALSE)))</f>
        <v>2007</v>
      </c>
      <c r="G41" s="1" t="str">
        <f>IF($B41="","",HYPERLINK(IF(LEN(VLOOKUP($B41,Database!$B$1:$IX$10144,6,FALSE))=0,"",VLOOKUP($B41,Database!$B$1:$IX$10144,6,FALSE))))</f>
        <v>http://dx.doi.org/10.1016/j.biopsych.2006.11.031</v>
      </c>
      <c r="H41" s="22">
        <f>IF($B41="","",IF(LEN(VLOOKUP($B41,Database!$B$1:$IX$10144,7,FALSE))=0,"",VLOOKUP($B41,Database!$B$1:$IX$10144,7,FALSE)))</f>
        <v>26</v>
      </c>
      <c r="I41" s="22">
        <f>IF($B41="","",IF(LEN(VLOOKUP($B41,Database!$B$1:$IX$10144,8,FALSE))=0,"",VLOOKUP($B41,Database!$B$1:$IX$10144,8,FALSE)))</f>
        <v>18</v>
      </c>
      <c r="J41" t="s">
        <v>1655</v>
      </c>
      <c r="L41">
        <v>14516.72</v>
      </c>
      <c r="M41">
        <v>1653.22</v>
      </c>
      <c r="N41">
        <v>14314.91</v>
      </c>
      <c r="O41">
        <v>1807.46</v>
      </c>
      <c r="P41">
        <v>14426.88</v>
      </c>
      <c r="Q41">
        <v>1956.37</v>
      </c>
      <c r="R41">
        <v>14262.96</v>
      </c>
      <c r="S41">
        <v>1747.51</v>
      </c>
      <c r="T41">
        <f t="shared" si="2"/>
        <v>28943.599999999999</v>
      </c>
      <c r="U41">
        <f t="shared" si="3"/>
        <v>3425.6993393378816</v>
      </c>
      <c r="V41">
        <f t="shared" si="4"/>
        <v>28577.87</v>
      </c>
      <c r="W41">
        <f t="shared" si="5"/>
        <v>3372.593946958335</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20.54</v>
      </c>
      <c r="AC41" s="22">
        <f>IF(OR($B41="",AC$22=""),"",IF(LEN(VLOOKUP($B41,Database!$B$1:$IX$10144,AC$22,FALSE))=0,"",VLOOKUP($B41,Database!$B$1:$IX$10144,AC$22,FALSE)))</f>
        <v>1.75</v>
      </c>
      <c r="AD41" s="22">
        <f>IF(OR($B41="",AD$22=""),"",IF(LEN(VLOOKUP($B41,Database!$B$1:$IX$10144,AD$22,FALSE))=0,"",VLOOKUP($B41,Database!$B$1:$IX$10144,AD$22,FALSE)))</f>
        <v>20.73</v>
      </c>
      <c r="AE41" s="22">
        <f>IF(OR($B41="",AE$22=""),"",IF(LEN(VLOOKUP($B41,Database!$B$1:$IX$10144,AE$22,FALSE))=0,"",VLOOKUP($B41,Database!$B$1:$IX$10144,AE$22,FALSE)))</f>
        <v>2.0699999999999998</v>
      </c>
      <c r="AF41" s="22">
        <f>IF(OR($B41="",AF$22=""),"",IF(LEN(VLOOKUP($B41,Database!$B$1:$IX$10144,AF$22,FALSE))=0,"",VLOOKUP($B41,Database!$B$1:$IX$10144,AF$22,FALSE)))</f>
        <v>26</v>
      </c>
      <c r="AG41" s="22">
        <f>IF(OR($B41="",AG$22=""),"",IF(LEN(VLOOKUP($B41,Database!$B$1:$IX$10144,AG$22,FALSE))=0,"",VLOOKUP($B41,Database!$B$1:$IX$10144,AG$22,FALSE)))</f>
        <v>18</v>
      </c>
      <c r="AH41" s="22">
        <f>IF(OR($B41="",AH$22=""),"",IF(LEN(VLOOKUP($B41,Database!$B$1:$IX$10144,AH$22,FALSE))=0,"",VLOOKUP($B41,Database!$B$1:$IX$10144,AH$22,FALSE)))</f>
        <v>1.5</v>
      </c>
      <c r="AI41" s="22">
        <f>IF(OR($B41="",AI$22=""),"",IF(LEN(VLOOKUP($B41,Database!$B$1:$IX$10144,AI$22,FALSE))=0,"",VLOOKUP($B41,Database!$B$1:$IX$10144,AI$22,FALSE)))</f>
        <v>1</v>
      </c>
      <c r="AJ41" s="22" t="str">
        <f>IF(OR($B41="",AJ$22=""),"",IF(LEN(VLOOKUP($B41,Database!$B$1:$IX$10144,AJ$22,FALSE))=0,"",VLOOKUP($B41,Database!$B$1:$IX$10144,AJ$22,FALSE)))</f>
        <v/>
      </c>
      <c r="AK41" s="22">
        <f>IF(OR($B41="",AK$22=""),"",IF(LEN(VLOOKUP($B41,Database!$B$1:$IX$10144,AK$22,FALSE))=0,"",VLOOKUP($B41,Database!$B$1:$IX$10144,AK$22,FALSE)))</f>
        <v>15.58</v>
      </c>
      <c r="AL41" s="22" t="str">
        <f>IF(OR($B41="",AL$22=""),"",IF(LEN(VLOOKUP($B41,Database!$B$1:$IX$10144,AL$22,FALSE))=0,"",VLOOKUP($B41,Database!$B$1:$IX$10144,AL$22,FALSE)))</f>
        <v>ns</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11" t="str">
        <f>IF(OR($B41="",AQ$22=""),"",IF(LEN(VLOOKUP($B41,Database!$B$1:$IX$10144,AQ$22,FALSE))=0,"",VLOOKUP($B41,Database!$B$1:$IX$10144,AQ$22,FALSE)))</f>
        <v>Munn MA, Alexopoulos J, Nishino T, Babb CM, Flake LA, Singer T, Ratnanather JT, Huang H, Todd RD, Miller MI, Botteron KN.</v>
      </c>
      <c r="AR41" s="13"/>
      <c r="BC41" s="23"/>
      <c r="BF41" s="136"/>
      <c r="BG41" s="136"/>
      <c r="BH41" s="136"/>
      <c r="BI41" s="136"/>
    </row>
    <row r="42" spans="1:61">
      <c r="B42">
        <v>18450931</v>
      </c>
      <c r="C42" s="1" t="str">
        <f>IF($B42="","",HYPERLINK(IF(LEN(VLOOKUP($B42,Database!$B$1:$IX$10144,2,FALSE))=0,"",VLOOKUP($B42,Database!$B$1:$IX$10144,2,FALSE))))</f>
        <v/>
      </c>
      <c r="D42" s="1" t="str">
        <f t="shared" si="1"/>
        <v>http://www.ncbi.nlm.nih.gov/pubmed/18450931</v>
      </c>
      <c r="E42" s="22" t="str">
        <f>IF($B42="","",IF(LEN(VLOOKUP($B42,Database!$B$1:$IX$10144,4,FALSE))=0,"",VLOOKUP($B42,Database!$B$1:$IX$10144,4,FALSE)))</f>
        <v>Keller J</v>
      </c>
      <c r="F42" s="22">
        <f>IF($B42="","",IF(LEN(VLOOKUP($B42,Database!$B$1:$IX$10144,5,FALSE))=0,"",VLOOKUP($B42,Database!$B$1:$IX$10144,5,FALSE)))</f>
        <v>2008</v>
      </c>
      <c r="G42" s="1" t="str">
        <f>IF($B42="","",HYPERLINK(IF(LEN(VLOOKUP($B42,Database!$B$1:$IX$10144,6,FALSE))=0,"",VLOOKUP($B42,Database!$B$1:$IX$10144,6,FALSE))))</f>
        <v>http://ajp.psychiatryonline.org/cgi/content/full/165/7/872</v>
      </c>
      <c r="H42" s="83">
        <v>23</v>
      </c>
      <c r="I42" s="83">
        <v>11</v>
      </c>
      <c r="J42" t="s">
        <v>1654</v>
      </c>
      <c r="K42" t="s">
        <v>1155</v>
      </c>
      <c r="L42">
        <v>2.56</v>
      </c>
      <c r="M42">
        <v>0.54</v>
      </c>
      <c r="N42">
        <v>2.65</v>
      </c>
      <c r="O42">
        <v>0.48</v>
      </c>
      <c r="P42">
        <v>2.29</v>
      </c>
      <c r="Q42">
        <v>0.45</v>
      </c>
      <c r="R42">
        <v>2.5499999999999998</v>
      </c>
      <c r="S42">
        <v>0.42</v>
      </c>
      <c r="T42">
        <f t="shared" si="2"/>
        <v>4.8499999999999996</v>
      </c>
      <c r="U42">
        <f t="shared" si="3"/>
        <v>0.93962758580194949</v>
      </c>
      <c r="V42">
        <f t="shared" si="4"/>
        <v>5.1999999999999993</v>
      </c>
      <c r="W42">
        <f t="shared" si="5"/>
        <v>0.85402576073558811</v>
      </c>
      <c r="Y42" s="22" t="str">
        <f>IF(OR($B42="",Y$22=""),"",IF(LEN(VLOOKUP($B42,Database!$B$1:$IX$10144,Y$22,FALSE))=0,"",VLOOKUP($B42,Database!$B$1:$IX$10144,Y$22,FALSE)))</f>
        <v>DSM-IV</v>
      </c>
      <c r="Z42" s="22" t="str">
        <f>IF(OR($B42="",Z$22=""),"",IF(LEN(VLOOKUP($B42,Database!$B$1:$IX$10144,Z$22,FALSE))=0,"",VLOOKUP($B42,Database!$B$1:$IX$10144,Z$22,FALSE)))</f>
        <v>MRI</v>
      </c>
      <c r="AA42" s="83" t="s">
        <v>754</v>
      </c>
      <c r="AB42" s="83">
        <v>36.5</v>
      </c>
      <c r="AC42" s="83">
        <v>13.2</v>
      </c>
      <c r="AD42" s="22">
        <f>IF(OR($B42="",AD$22=""),"",IF(LEN(VLOOKUP($B42,Database!$B$1:$IX$10144,AD$22,FALSE))=0,"",VLOOKUP($B42,Database!$B$1:$IX$10144,AD$22,FALSE)))</f>
        <v>32.200000000000003</v>
      </c>
      <c r="AE42" s="22">
        <f>IF(OR($B42="",AE$22=""),"",IF(LEN(VLOOKUP($B42,Database!$B$1:$IX$10144,AE$22,FALSE))=0,"",VLOOKUP($B42,Database!$B$1:$IX$10144,AE$22,FALSE)))</f>
        <v>11.5</v>
      </c>
      <c r="AF42" s="83">
        <v>11</v>
      </c>
      <c r="AG42" s="22">
        <f>IF(OR($B42="",AG$22=""),"",IF(LEN(VLOOKUP($B42,Database!$B$1:$IX$10144,AG$22,FALSE))=0,"",VLOOKUP($B42,Database!$B$1:$IX$10144,AG$22,FALSE)))</f>
        <v>11</v>
      </c>
      <c r="AH42" s="22">
        <f>IF(OR($B42="",AH$22=""),"",IF(LEN(VLOOKUP($B42,Database!$B$1:$IX$10144,AH$22,FALSE))=0,"",VLOOKUP($B42,Database!$B$1:$IX$10144,AH$22,FALSE)))</f>
        <v>3</v>
      </c>
      <c r="AI42" s="22">
        <f>IF(OR($B42="",AI$22=""),"",IF(LEN(VLOOKUP($B42,Database!$B$1:$IX$10144,AI$22,FALSE))=0,"",VLOOKUP($B42,Database!$B$1:$IX$10144,AI$22,FALSE)))</f>
        <v>1.5</v>
      </c>
      <c r="AJ42" s="83"/>
      <c r="AK42" s="83">
        <v>27.6</v>
      </c>
      <c r="AL42" s="83">
        <v>30.5</v>
      </c>
      <c r="AM42" s="83">
        <v>65.2</v>
      </c>
      <c r="AN42" s="83">
        <v>17.39</v>
      </c>
      <c r="AO42" s="83">
        <v>70</v>
      </c>
      <c r="AP42" s="83">
        <v>17.399999999999999</v>
      </c>
      <c r="AQ42" s="211" t="str">
        <f>IF(OR($B42="",AQ$22=""),"",IF(LEN(VLOOKUP($B42,Database!$B$1:$IX$10144,AQ$22,FALSE))=0,"",VLOOKUP($B42,Database!$B$1:$IX$10144,AQ$22,FALSE)))</f>
        <v>Keller J, Shen L, Gomez RG, Garrett A, Solvason HB, Reiss A, Schatzberg AF.</v>
      </c>
      <c r="AR42" s="13"/>
      <c r="AU42" s="13"/>
      <c r="BC42" s="23"/>
      <c r="BF42" s="136"/>
      <c r="BG42" s="136"/>
      <c r="BH42" s="136"/>
      <c r="BI42" s="136"/>
    </row>
    <row r="43" spans="1:61">
      <c r="B43">
        <v>18450931</v>
      </c>
      <c r="C43" s="1" t="str">
        <f>IF($B43="","",HYPERLINK(IF(LEN(VLOOKUP($B43,Database!$B$1:$IX$10144,2,FALSE))=0,"",VLOOKUP($B43,Database!$B$1:$IX$10144,2,FALSE))))</f>
        <v/>
      </c>
      <c r="D43" s="1" t="str">
        <f t="shared" si="1"/>
        <v>http://www.ncbi.nlm.nih.gov/pubmed/18450931</v>
      </c>
      <c r="E43" s="22" t="str">
        <f>IF($B43="","",IF(LEN(VLOOKUP($B43,Database!$B$1:$IX$10144,4,FALSE))=0,"",VLOOKUP($B43,Database!$B$1:$IX$10144,4,FALSE)))</f>
        <v>Keller J</v>
      </c>
      <c r="F43" s="22">
        <f>IF($B43="","",IF(LEN(VLOOKUP($B43,Database!$B$1:$IX$10144,5,FALSE))=0,"",VLOOKUP($B43,Database!$B$1:$IX$10144,5,FALSE)))</f>
        <v>2008</v>
      </c>
      <c r="G43" s="1" t="str">
        <f>IF($B43="","",HYPERLINK(IF(LEN(VLOOKUP($B43,Database!$B$1:$IX$10144,6,FALSE))=0,"",VLOOKUP($B43,Database!$B$1:$IX$10144,6,FALSE))))</f>
        <v>http://ajp.psychiatryonline.org/cgi/content/full/165/7/872</v>
      </c>
      <c r="H43" s="83">
        <v>19</v>
      </c>
      <c r="I43" s="83">
        <v>11</v>
      </c>
      <c r="J43" t="s">
        <v>1654</v>
      </c>
      <c r="K43" t="s">
        <v>1156</v>
      </c>
      <c r="L43">
        <v>2.76</v>
      </c>
      <c r="M43">
        <v>0.5</v>
      </c>
      <c r="N43">
        <v>2.65</v>
      </c>
      <c r="O43">
        <v>0.48</v>
      </c>
      <c r="P43">
        <v>2.62</v>
      </c>
      <c r="Q43">
        <v>0.53</v>
      </c>
      <c r="R43">
        <v>2.5499999999999998</v>
      </c>
      <c r="S43">
        <v>0.42</v>
      </c>
      <c r="T43">
        <f t="shared" si="2"/>
        <v>5.38</v>
      </c>
      <c r="U43">
        <f t="shared" si="3"/>
        <v>0.97718984849413992</v>
      </c>
      <c r="V43">
        <f t="shared" si="4"/>
        <v>5.1999999999999993</v>
      </c>
      <c r="W43">
        <f t="shared" si="5"/>
        <v>0.85402576073558811</v>
      </c>
      <c r="Y43" s="22" t="str">
        <f>IF(OR($B43="",Y$22=""),"",IF(LEN(VLOOKUP($B43,Database!$B$1:$IX$10144,Y$22,FALSE))=0,"",VLOOKUP($B43,Database!$B$1:$IX$10144,Y$22,FALSE)))</f>
        <v>DSM-IV</v>
      </c>
      <c r="Z43" s="22" t="str">
        <f>IF(OR($B43="",Z$22=""),"",IF(LEN(VLOOKUP($B43,Database!$B$1:$IX$10144,Z$22,FALSE))=0,"",VLOOKUP($B43,Database!$B$1:$IX$10144,Z$22,FALSE)))</f>
        <v>MRI</v>
      </c>
      <c r="AA43" s="83" t="s">
        <v>755</v>
      </c>
      <c r="AB43" s="83">
        <v>36.6</v>
      </c>
      <c r="AC43" s="83">
        <v>11.9</v>
      </c>
      <c r="AD43" s="22">
        <f>IF(OR($B43="",AD$22=""),"",IF(LEN(VLOOKUP($B43,Database!$B$1:$IX$10144,AD$22,FALSE))=0,"",VLOOKUP($B43,Database!$B$1:$IX$10144,AD$22,FALSE)))</f>
        <v>32.200000000000003</v>
      </c>
      <c r="AE43" s="22">
        <f>IF(OR($B43="",AE$22=""),"",IF(LEN(VLOOKUP($B43,Database!$B$1:$IX$10144,AE$22,FALSE))=0,"",VLOOKUP($B43,Database!$B$1:$IX$10144,AE$22,FALSE)))</f>
        <v>11.5</v>
      </c>
      <c r="AF43" s="83">
        <v>12</v>
      </c>
      <c r="AG43" s="22">
        <f>IF(OR($B43="",AG$22=""),"",IF(LEN(VLOOKUP($B43,Database!$B$1:$IX$10144,AG$22,FALSE))=0,"",VLOOKUP($B43,Database!$B$1:$IX$10144,AG$22,FALSE)))</f>
        <v>11</v>
      </c>
      <c r="AH43" s="22">
        <f>IF(OR($B43="",AH$22=""),"",IF(LEN(VLOOKUP($B43,Database!$B$1:$IX$10144,AH$22,FALSE))=0,"",VLOOKUP($B43,Database!$B$1:$IX$10144,AH$22,FALSE)))</f>
        <v>3</v>
      </c>
      <c r="AI43" s="22">
        <f>IF(OR($B43="",AI$22=""),"",IF(LEN(VLOOKUP($B43,Database!$B$1:$IX$10144,AI$22,FALSE))=0,"",VLOOKUP($B43,Database!$B$1:$IX$10144,AI$22,FALSE)))</f>
        <v>1.5</v>
      </c>
      <c r="AJ43" s="83"/>
      <c r="AK43" s="83">
        <v>27</v>
      </c>
      <c r="AL43" s="83">
        <v>23.7</v>
      </c>
      <c r="AM43" s="83">
        <v>57.9</v>
      </c>
      <c r="AN43" s="83">
        <v>10.5</v>
      </c>
      <c r="AO43" s="83">
        <v>0</v>
      </c>
      <c r="AP43" s="83">
        <v>42.1</v>
      </c>
      <c r="AQ43" s="211" t="str">
        <f>IF(OR($B43="",AQ$22=""),"",IF(LEN(VLOOKUP($B43,Database!$B$1:$IX$10144,AQ$22,FALSE))=0,"",VLOOKUP($B43,Database!$B$1:$IX$10144,AQ$22,FALSE)))</f>
        <v>Keller J, Shen L, Gomez RG, Garrett A, Solvason HB, Reiss A, Schatzberg AF.</v>
      </c>
      <c r="AR43" s="13"/>
      <c r="AU43" s="13"/>
      <c r="BC43" s="23"/>
      <c r="BF43" s="136"/>
      <c r="BG43" s="136"/>
      <c r="BH43" s="136"/>
      <c r="BI43" s="136"/>
    </row>
    <row r="44" spans="1:61">
      <c r="B44">
        <v>17640621</v>
      </c>
      <c r="C44" s="1" t="str">
        <f>IF($B44="","",HYPERLINK(IF(LEN(VLOOKUP($B44,Database!$B$1:$IX$10144,2,FALSE))=0,"",VLOOKUP($B44,Database!$B$1:$IX$10144,2,FALSE))))</f>
        <v/>
      </c>
      <c r="D44" s="1" t="str">
        <f t="shared" si="1"/>
        <v>http://www.ncbi.nlm.nih.gov/pubmed/17640621</v>
      </c>
      <c r="E44" s="22" t="str">
        <f>IF($B44="","",IF(LEN(VLOOKUP($B44,Database!$B$1:$IX$10144,4,FALSE))=0,"",VLOOKUP($B44,Database!$B$1:$IX$10144,4,FALSE)))</f>
        <v>MacMaster FP (B)</v>
      </c>
      <c r="F44" s="22">
        <f>IF($B44="","",IF(LEN(VLOOKUP($B44,Database!$B$1:$IX$10144,5,FALSE))=0,"",VLOOKUP($B44,Database!$B$1:$IX$10144,5,FALSE)))</f>
        <v>2008</v>
      </c>
      <c r="G44" s="1" t="str">
        <f>IF($B44="","",HYPERLINK(IF(LEN(VLOOKUP($B44,Database!$B$1:$IX$10144,6,FALSE))=0,"",VLOOKUP($B44,Database!$B$1:$IX$10144,6,FALSE))))</f>
        <v>http://dx.doi.org/10.1016/j.biopsych.2007.05.005</v>
      </c>
      <c r="H44" s="22">
        <f>IF($B44="","",IF(LEN(VLOOKUP($B44,Database!$B$1:$IX$10144,7,FALSE))=0,"",VLOOKUP($B44,Database!$B$1:$IX$10144,7,FALSE)))</f>
        <v>32</v>
      </c>
      <c r="I44" s="22">
        <f>IF($B44="","",IF(LEN(VLOOKUP($B44,Database!$B$1:$IX$10144,8,FALSE))=0,"",VLOOKUP($B44,Database!$B$1:$IX$10144,8,FALSE)))</f>
        <v>35</v>
      </c>
      <c r="J44" t="s">
        <v>1651</v>
      </c>
      <c r="L44">
        <v>1.49</v>
      </c>
      <c r="M44">
        <v>0.36</v>
      </c>
      <c r="N44">
        <v>1.36</v>
      </c>
      <c r="O44">
        <v>0.28999999999999998</v>
      </c>
      <c r="P44">
        <v>1.52</v>
      </c>
      <c r="Q44">
        <v>0.27</v>
      </c>
      <c r="R44">
        <v>1.36</v>
      </c>
      <c r="S44">
        <v>0.28999999999999998</v>
      </c>
      <c r="T44">
        <f t="shared" si="2"/>
        <v>3.01</v>
      </c>
      <c r="U44">
        <f t="shared" si="3"/>
        <v>0.5983477249894078</v>
      </c>
      <c r="V44">
        <f t="shared" si="4"/>
        <v>2.72</v>
      </c>
      <c r="W44">
        <f t="shared" si="5"/>
        <v>0.55023631286929797</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f>IF(OR($B44="",AB$22=""),"",IF(LEN(VLOOKUP($B44,Database!$B$1:$IX$10144,AB$22,FALSE))=0,"",VLOOKUP($B44,Database!$B$1:$IX$10144,AB$22,FALSE)))</f>
        <v>14.08</v>
      </c>
      <c r="AC44" s="22">
        <f>IF(OR($B44="",AC$22=""),"",IF(LEN(VLOOKUP($B44,Database!$B$1:$IX$10144,AC$22,FALSE))=0,"",VLOOKUP($B44,Database!$B$1:$IX$10144,AC$22,FALSE)))</f>
        <v>2.88</v>
      </c>
      <c r="AD44" s="22">
        <f>IF(OR($B44="",AD$22=""),"",IF(LEN(VLOOKUP($B44,Database!$B$1:$IX$10144,AD$22,FALSE))=0,"",VLOOKUP($B44,Database!$B$1:$IX$10144,AD$22,FALSE)))</f>
        <v>14.51</v>
      </c>
      <c r="AE44" s="22">
        <f>IF(OR($B44="",AE$22=""),"",IF(LEN(VLOOKUP($B44,Database!$B$1:$IX$10144,AE$22,FALSE))=0,"",VLOOKUP($B44,Database!$B$1:$IX$10144,AE$22,FALSE)))</f>
        <v>2.72</v>
      </c>
      <c r="AF44" s="22">
        <f>IF(OR($B44="",AF$22=""),"",IF(LEN(VLOOKUP($B44,Database!$B$1:$IX$10144,AF$22,FALSE))=0,"",VLOOKUP($B44,Database!$B$1:$IX$10144,AF$22,FALSE)))</f>
        <v>20</v>
      </c>
      <c r="AG44" s="22">
        <f>IF(OR($B44="",AG$22=""),"",IF(LEN(VLOOKUP($B44,Database!$B$1:$IX$10144,AG$22,FALSE))=0,"",VLOOKUP($B44,Database!$B$1:$IX$10144,AG$22,FALSE)))</f>
        <v>22</v>
      </c>
      <c r="AH44" s="22">
        <f>IF(OR($B44="",AH$22=""),"",IF(LEN(VLOOKUP($B44,Database!$B$1:$IX$10144,AH$22,FALSE))=0,"",VLOOKUP($B44,Database!$B$1:$IX$10144,AH$22,FALSE)))</f>
        <v>1.5</v>
      </c>
      <c r="AI44" s="22">
        <f>IF(OR($B44="",AI$22=""),"",IF(LEN(VLOOKUP($B44,Database!$B$1:$IX$10144,AI$22,FALSE))=0,"",VLOOKUP($B44,Database!$B$1:$IX$10144,AI$22,FALSE)))</f>
        <v>1.5</v>
      </c>
      <c r="AJ44" s="22" t="str">
        <f>IF(OR($B44="",AJ$22=""),"",IF(LEN(VLOOKUP($B44,Database!$B$1:$IX$10144,AJ$22,FALSE))=0,"",VLOOKUP($B44,Database!$B$1:$IX$10144,AJ$22,FALSE)))</f>
        <v/>
      </c>
      <c r="AK44" s="22">
        <f>IF(OR($B44="",AK$22=""),"",IF(LEN(VLOOKUP($B44,Database!$B$1:$IX$10144,AK$22,FALSE))=0,"",VLOOKUP($B44,Database!$B$1:$IX$10144,AK$22,FALSE)))</f>
        <v>11.77</v>
      </c>
      <c r="AL44" s="22" t="str">
        <f>IF(OR($B44="",AL$22=""),"",IF(LEN(VLOOKUP($B44,Database!$B$1:$IX$10144,AL$22,FALSE))=0,"",VLOOKUP($B44,Database!$B$1:$IX$10144,AL$22,FALSE)))</f>
        <v>ns</v>
      </c>
      <c r="AM44" s="22">
        <f>IF(OR($B44="",AM$22=""),"",IF(LEN(VLOOKUP($B44,Database!$B$1:$IX$10144,AM$22,FALSE))=0,"",VLOOKUP($B44,Database!$B$1:$IX$10144,AM$22,FALSE)))</f>
        <v>0</v>
      </c>
      <c r="AN44" s="22">
        <f>IF(OR($B44="",AN$22=""),"",IF(LEN(VLOOKUP($B44,Database!$B$1:$IX$10144,AN$22,FALSE))=0,"",VLOOKUP($B44,Database!$B$1:$IX$10144,AN$22,FALSE)))</f>
        <v>0</v>
      </c>
      <c r="AO44" s="22">
        <f>IF(OR($B44="",AO$22=""),"",IF(LEN(VLOOKUP($B44,Database!$B$1:$IX$10144,AO$22,FALSE))=0,"",VLOOKUP($B44,Database!$B$1:$IX$10144,AO$22,FALSE)))</f>
        <v>0</v>
      </c>
      <c r="AP44" s="22">
        <f>IF(OR($B44="",AP$22=""),"",IF(LEN(VLOOKUP($B44,Database!$B$1:$IX$10144,AP$22,FALSE))=0,"",VLOOKUP($B44,Database!$B$1:$IX$10144,AP$22,FALSE)))</f>
        <v>100</v>
      </c>
      <c r="AQ44" s="211" t="str">
        <f>IF(OR($B44="",AQ$22=""),"",IF(LEN(VLOOKUP($B44,Database!$B$1:$IX$10144,AQ$22,FALSE))=0,"",VLOOKUP($B44,Database!$B$1:$IX$10144,AQ$22,FALSE)))</f>
        <v>MacMaster FP, Mirza Y, Szeszko PR, Kmiecik LE, Easter PC, Taormina SP, Lynch M, Rose M, Moore GJ, Rosenberg DR.</v>
      </c>
      <c r="AR44" s="13"/>
      <c r="BC44" s="23"/>
      <c r="BF44" s="136"/>
      <c r="BG44" s="136"/>
      <c r="BH44" s="136"/>
      <c r="BI44" s="136"/>
    </row>
    <row r="45" spans="1:61">
      <c r="A45" s="10"/>
      <c r="B45">
        <v>19085964</v>
      </c>
      <c r="C45" s="1" t="str">
        <f>IF($B45="","",HYPERLINK(IF(LEN(VLOOKUP($B45,Database!$B$1:$IX$10144,2,FALSE))=0,"",VLOOKUP($B45,Database!$B$1:$IX$10144,2,FALSE))))</f>
        <v/>
      </c>
      <c r="D45" s="1" t="str">
        <f t="shared" si="1"/>
        <v>http://www.ncbi.nlm.nih.gov/pubmed/19085964</v>
      </c>
      <c r="E45" s="22" t="str">
        <f>IF($B45="","",IF(LEN(VLOOKUP($B45,Database!$B$1:$IX$10144,4,FALSE))=0,"",VLOOKUP($B45,Database!$B$1:$IX$10144,4,FALSE)))</f>
        <v>Tamburo RJ</v>
      </c>
      <c r="F45" s="22">
        <f>IF($B45="","",IF(LEN(VLOOKUP($B45,Database!$B$1:$IX$10144,5,FALSE))=0,"",VLOOKUP($B45,Database!$B$1:$IX$10144,5,FALSE)))</f>
        <v>2008</v>
      </c>
      <c r="G45" s="1" t="str">
        <f>IF($B45="","",HYPERLINK(IF(LEN(VLOOKUP($B45,Database!$B$1:$IX$10144,6,FALSE))=0,"",VLOOKUP($B45,Database!$B$1:$IX$10144,6,FALSE))))</f>
        <v>http://www3.interscience.wiley.com/cgi-bin/fulltext/121544225/PDFSTART</v>
      </c>
      <c r="H45" s="22">
        <f>IF($B45="","",IF(LEN(VLOOKUP($B45,Database!$B$1:$IX$10144,7,FALSE))=0,"",VLOOKUP($B45,Database!$B$1:$IX$10144,7,FALSE)))</f>
        <v>14</v>
      </c>
      <c r="I45" s="22">
        <f>IF($B45="","",IF(LEN(VLOOKUP($B45,Database!$B$1:$IX$10144,8,FALSE))=0,"",VLOOKUP($B45,Database!$B$1:$IX$10144,8,FALSE)))</f>
        <v>11</v>
      </c>
      <c r="J45" t="s">
        <v>208</v>
      </c>
      <c r="L45">
        <v>1295</v>
      </c>
      <c r="M45">
        <v>325</v>
      </c>
      <c r="N45">
        <v>1547</v>
      </c>
      <c r="O45">
        <v>329</v>
      </c>
      <c r="P45">
        <v>1433</v>
      </c>
      <c r="Q45">
        <v>404</v>
      </c>
      <c r="R45">
        <v>1553</v>
      </c>
      <c r="S45">
        <v>293</v>
      </c>
      <c r="T45">
        <f t="shared" si="2"/>
        <v>2728</v>
      </c>
      <c r="U45">
        <f t="shared" si="3"/>
        <v>692.04118374559187</v>
      </c>
      <c r="V45">
        <f t="shared" si="4"/>
        <v>3100</v>
      </c>
      <c r="W45">
        <f t="shared" si="5"/>
        <v>590.19081660086852</v>
      </c>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69.8</v>
      </c>
      <c r="AC45" s="22">
        <f>IF(OR($B45="",AC$22=""),"",IF(LEN(VLOOKUP($B45,Database!$B$1:$IX$10144,AC$22,FALSE))=0,"",VLOOKUP($B45,Database!$B$1:$IX$10144,AC$22,FALSE)))</f>
        <v>5.0999999999999996</v>
      </c>
      <c r="AD45" s="22">
        <f>IF(OR($B45="",AD$22=""),"",IF(LEN(VLOOKUP($B45,Database!$B$1:$IX$10144,AD$22,FALSE))=0,"",VLOOKUP($B45,Database!$B$1:$IX$10144,AD$22,FALSE)))</f>
        <v>67.2</v>
      </c>
      <c r="AE45" s="22">
        <f>IF(OR($B45="",AE$22=""),"",IF(LEN(VLOOKUP($B45,Database!$B$1:$IX$10144,AE$22,FALSE))=0,"",VLOOKUP($B45,Database!$B$1:$IX$10144,AE$22,FALSE)))</f>
        <v>6.8</v>
      </c>
      <c r="AF45" s="22">
        <f>IF(OR($B45="",AF$22=""),"",IF(LEN(VLOOKUP($B45,Database!$B$1:$IX$10144,AF$22,FALSE))=0,"",VLOOKUP($B45,Database!$B$1:$IX$10144,AF$22,FALSE)))</f>
        <v>5</v>
      </c>
      <c r="AG45" s="22">
        <f>IF(OR($B45="",AG$22=""),"",IF(LEN(VLOOKUP($B45,Database!$B$1:$IX$10144,AG$22,FALSE))=0,"",VLOOKUP($B45,Database!$B$1:$IX$10144,AG$22,FALSE)))</f>
        <v>4</v>
      </c>
      <c r="AH45" s="22">
        <f>IF(OR($B45="",AH$22=""),"",IF(LEN(VLOOKUP($B45,Database!$B$1:$IX$10144,AH$22,FALSE))=0,"",VLOOKUP($B45,Database!$B$1:$IX$10144,AH$22,FALSE)))</f>
        <v>1.5</v>
      </c>
      <c r="AI45" s="22">
        <f>IF(OR($B45="",AI$22=""),"",IF(LEN(VLOOKUP($B45,Database!$B$1:$IX$10144,AI$22,FALSE))=0,"",VLOOKUP($B45,Database!$B$1:$IX$10144,AI$22,FALSE)))</f>
        <v>1.5</v>
      </c>
      <c r="AJ45" s="22" t="str">
        <f>IF(OR($B45="",AJ$22=""),"",IF(LEN(VLOOKUP($B45,Database!$B$1:$IX$10144,AJ$22,FALSE))=0,"",VLOOKUP($B45,Database!$B$1:$IX$10144,AJ$22,FALSE)))</f>
        <v/>
      </c>
      <c r="AK45" s="22" t="str">
        <f>IF(OR($B45="",AK$22=""),"",IF(LEN(VLOOKUP($B45,Database!$B$1:$IX$10144,AK$22,FALSE))=0,"",VLOOKUP($B45,Database!$B$1:$IX$10144,AK$22,FALSE)))</f>
        <v>ns</v>
      </c>
      <c r="AL45" s="22">
        <f>IF(OR($B45="",AL$22=""),"",IF(LEN(VLOOKUP($B45,Database!$B$1:$IX$10144,AL$22,FALSE))=0,"",VLOOKUP($B45,Database!$B$1:$IX$10144,AL$22,FALSE)))</f>
        <v>13.8</v>
      </c>
      <c r="AM45" s="22" t="str">
        <f>IF(OR($B45="",AM$22=""),"",IF(LEN(VLOOKUP($B45,Database!$B$1:$IX$10144,AM$22,FALSE))=0,"",VLOOKUP($B45,Database!$B$1:$IX$10144,AM$22,FALSE)))</f>
        <v>ns</v>
      </c>
      <c r="AN45" s="22" t="str">
        <f>IF(OR($B45="",AN$22=""),"",IF(LEN(VLOOKUP($B45,Database!$B$1:$IX$10144,AN$22,FALSE))=0,"",VLOOKUP($B45,Database!$B$1:$IX$10144,AN$22,FALSE)))</f>
        <v>ns</v>
      </c>
      <c r="AO45" s="22" t="str">
        <f>IF(OR($B45="",AO$22=""),"",IF(LEN(VLOOKUP($B45,Database!$B$1:$IX$10144,AO$22,FALSE))=0,"",VLOOKUP($B45,Database!$B$1:$IX$10144,AO$22,FALSE)))</f>
        <v>ns</v>
      </c>
      <c r="AP45" s="22" t="str">
        <f>IF(OR($B45="",AP$22=""),"",IF(LEN(VLOOKUP($B45,Database!$B$1:$IX$10144,AP$22,FALSE))=0,"",VLOOKUP($B45,Database!$B$1:$IX$10144,AP$22,FALSE)))</f>
        <v>ns</v>
      </c>
      <c r="AQ45" s="211" t="str">
        <f>IF(OR($B45="",AQ$22=""),"",IF(LEN(VLOOKUP($B45,Database!$B$1:$IX$10144,AQ$22,FALSE))=0,"",VLOOKUP($B45,Database!$B$1:$IX$10144,AQ$22,FALSE)))</f>
        <v>Tamburo RJ, Siegle GJ, Stetten GD, Cois CA, Butters MA, Reynolds Iii CF, Aizenstein HJ.</v>
      </c>
      <c r="AR45" s="13"/>
      <c r="BC45" s="23"/>
      <c r="BF45" s="136"/>
      <c r="BG45" s="136"/>
      <c r="BH45" s="136"/>
      <c r="BI45" s="136"/>
    </row>
    <row r="46" spans="1:61">
      <c r="B46">
        <v>19028381</v>
      </c>
      <c r="C46" s="1" t="str">
        <f>IF($B46="","",HYPERLINK(IF(LEN(VLOOKUP($B46,Database!$B$1:$IX$10144,2,FALSE))=0,"",VLOOKUP($B46,Database!$B$1:$IX$10144,2,FALSE))))</f>
        <v/>
      </c>
      <c r="D46" s="1" t="str">
        <f t="shared" si="1"/>
        <v>http://www.ncbi.nlm.nih.gov/pubmed/19028381</v>
      </c>
      <c r="E46" s="22" t="str">
        <f>IF($B46="","",IF(LEN(VLOOKUP($B46,Database!$B$1:$IX$10144,4,FALSE))=0,"",VLOOKUP($B46,Database!$B$1:$IX$10144,4,FALSE)))</f>
        <v>van Eijndhoven P</v>
      </c>
      <c r="F46" s="22">
        <f>IF($B46="","",IF(LEN(VLOOKUP($B46,Database!$B$1:$IX$10144,5,FALSE))=0,"",VLOOKUP($B46,Database!$B$1:$IX$10144,5,FALSE)))</f>
        <v>2009</v>
      </c>
      <c r="G46" s="1" t="str">
        <f>IF($B46="","",HYPERLINK(IF(LEN(VLOOKUP($B46,Database!$B$1:$IX$10144,6,FALSE))=0,"",VLOOKUP($B46,Database!$B$1:$IX$10144,6,FALSE))))</f>
        <v>http://dx.doi.org/10.1016/j.biopsych.2008.10.027</v>
      </c>
      <c r="H46" s="83">
        <v>20</v>
      </c>
      <c r="I46" s="83">
        <v>10</v>
      </c>
      <c r="J46" t="s">
        <v>571</v>
      </c>
      <c r="K46" t="s">
        <v>864</v>
      </c>
      <c r="L46">
        <v>2389</v>
      </c>
      <c r="M46">
        <v>236</v>
      </c>
      <c r="N46">
        <v>2222</v>
      </c>
      <c r="O46">
        <v>412</v>
      </c>
      <c r="P46">
        <v>2358</v>
      </c>
      <c r="Q46">
        <v>307</v>
      </c>
      <c r="R46">
        <v>2153</v>
      </c>
      <c r="S46">
        <v>396</v>
      </c>
      <c r="T46">
        <f t="shared" si="2"/>
        <v>4747</v>
      </c>
      <c r="U46">
        <f t="shared" si="3"/>
        <v>515.62408787798108</v>
      </c>
      <c r="V46">
        <f t="shared" si="4"/>
        <v>4375</v>
      </c>
      <c r="W46">
        <f t="shared" si="5"/>
        <v>766.55280313883134</v>
      </c>
      <c r="Y46" s="22" t="str">
        <f>IF(OR($B46="",Y$22=""),"",IF(LEN(VLOOKUP($B46,Database!$B$1:$IX$10144,Y$22,FALSE))=0,"",VLOOKUP($B46,Database!$B$1:$IX$10144,Y$22,FALSE)))</f>
        <v>DSM-IV</v>
      </c>
      <c r="Z46" s="22" t="str">
        <f>IF(OR($B46="",Z$22=""),"",IF(LEN(VLOOKUP($B46,Database!$B$1:$IX$10144,Z$22,FALSE))=0,"",VLOOKUP($B46,Database!$B$1:$IX$10144,Z$22,FALSE)))</f>
        <v>MRI</v>
      </c>
      <c r="AA46" s="214" t="s">
        <v>2447</v>
      </c>
      <c r="AB46" s="83">
        <v>34.1</v>
      </c>
      <c r="AC46" s="83">
        <v>11.6</v>
      </c>
      <c r="AD46" s="22">
        <f>IF(OR($B46="",AD$22=""),"",IF(LEN(VLOOKUP($B46,Database!$B$1:$IX$10144,AD$22,FALSE))=0,"",VLOOKUP($B46,Database!$B$1:$IX$10144,AD$22,FALSE)))</f>
        <v>37.299999999999997</v>
      </c>
      <c r="AE46" s="22">
        <f>IF(OR($B46="",AE$22=""),"",IF(LEN(VLOOKUP($B46,Database!$B$1:$IX$10144,AE$22,FALSE))=0,"",VLOOKUP($B46,Database!$B$1:$IX$10144,AE$22,FALSE)))</f>
        <v>12.7</v>
      </c>
      <c r="AF46" s="214">
        <v>13</v>
      </c>
      <c r="AG46" s="22">
        <f>IF(OR($B46="",AG$22=""),"",IF(LEN(VLOOKUP($B46,Database!$B$1:$IX$10144,AG$22,FALSE))=0,"",VLOOKUP($B46,Database!$B$1:$IX$10144,AG$22,FALSE)))</f>
        <v>13</v>
      </c>
      <c r="AH46" s="22">
        <f>IF(OR($B46="",AH$22=""),"",IF(LEN(VLOOKUP($B46,Database!$B$1:$IX$10144,AH$22,FALSE))=0,"",VLOOKUP($B46,Database!$B$1:$IX$10144,AH$22,FALSE)))</f>
        <v>1.5</v>
      </c>
      <c r="AI46" s="22">
        <f>IF(OR($B46="",AI$22=""),"",IF(LEN(VLOOKUP($B46,Database!$B$1:$IX$10144,AI$22,FALSE))=0,"",VLOOKUP($B46,Database!$B$1:$IX$10144,AI$22,FALSE)))</f>
        <v>1</v>
      </c>
      <c r="AJ46" s="22" t="str">
        <f>IF(OR($B46="",AJ$22=""),"",IF(LEN(VLOOKUP($B46,Database!$B$1:$IX$10144,AJ$22,FALSE))=0,"",VLOOKUP($B46,Database!$B$1:$IX$10144,AJ$22,FALSE)))</f>
        <v/>
      </c>
      <c r="AK46" s="83">
        <v>34.1</v>
      </c>
      <c r="AL46" s="83">
        <v>21.08</v>
      </c>
      <c r="AM46" s="22">
        <f>IF(OR($B46="",AM$22=""),"",IF(LEN(VLOOKUP($B46,Database!$B$1:$IX$10144,AM$22,FALSE))=0,"",VLOOKUP($B46,Database!$B$1:$IX$10144,AM$22,FALSE)))</f>
        <v>0</v>
      </c>
      <c r="AN46" s="22" t="str">
        <f>IF(OR($B46="",AN$22=""),"",IF(LEN(VLOOKUP($B46,Database!$B$1:$IX$10144,AN$22,FALSE))=0,"",VLOOKUP($B46,Database!$B$1:$IX$10144,AN$22,FALSE)))</f>
        <v>ns</v>
      </c>
      <c r="AO46" s="22" t="str">
        <f>IF(OR($B46="",AO$22=""),"",IF(LEN(VLOOKUP($B46,Database!$B$1:$IX$10144,AO$22,FALSE))=0,"",VLOOKUP($B46,Database!$B$1:$IX$10144,AO$22,FALSE)))</f>
        <v>ns</v>
      </c>
      <c r="AP46" s="22" t="str">
        <f>IF(OR($B46="",AP$22=""),"",IF(LEN(VLOOKUP($B46,Database!$B$1:$IX$10144,AP$22,FALSE))=0,"",VLOOKUP($B46,Database!$B$1:$IX$10144,AP$22,FALSE)))</f>
        <v>ns</v>
      </c>
      <c r="AQ46" s="22" t="str">
        <f>IF(OR($B46="",AQ$22=""),"",IF(LEN(VLOOKUP($B46,Database!$B$1:$IX$10144,AQ$22,FALSE))=0,"",VLOOKUP($B46,Database!$B$1:$IX$10144,AQ$22,FALSE)))</f>
        <v>van Eijndhoven P, van Wingen G, van Oijen K, Rijpkema M, Goraj B, Jan Verkes R, Oude Voshaar R, Fernández G, Buitelaar J, Tendolkar I.</v>
      </c>
      <c r="AR46" s="13"/>
      <c r="AU46" s="13"/>
      <c r="BC46" s="23"/>
      <c r="BF46" s="136"/>
      <c r="BG46" s="136"/>
      <c r="BH46" s="136"/>
      <c r="BI46" s="136"/>
    </row>
    <row r="47" spans="1:61">
      <c r="B47">
        <v>19028381</v>
      </c>
      <c r="C47" s="1" t="str">
        <f>IF($B47="","",HYPERLINK(IF(LEN(VLOOKUP($B47,Database!$B$1:$IX$10144,2,FALSE))=0,"",VLOOKUP($B47,Database!$B$1:$IX$10144,2,FALSE))))</f>
        <v/>
      </c>
      <c r="D47" s="1" t="str">
        <f t="shared" si="1"/>
        <v>http://www.ncbi.nlm.nih.gov/pubmed/19028381</v>
      </c>
      <c r="E47" s="22" t="str">
        <f>IF($B47="","",IF(LEN(VLOOKUP($B47,Database!$B$1:$IX$10144,4,FALSE))=0,"",VLOOKUP($B47,Database!$B$1:$IX$10144,4,FALSE)))</f>
        <v>van Eijndhoven P</v>
      </c>
      <c r="F47" s="22">
        <f>IF($B47="","",IF(LEN(VLOOKUP($B47,Database!$B$1:$IX$10144,5,FALSE))=0,"",VLOOKUP($B47,Database!$B$1:$IX$10144,5,FALSE)))</f>
        <v>2009</v>
      </c>
      <c r="G47" s="1" t="str">
        <f>IF($B47="","",HYPERLINK(IF(LEN(VLOOKUP($B47,Database!$B$1:$IX$10144,6,FALSE))=0,"",VLOOKUP($B47,Database!$B$1:$IX$10144,6,FALSE))))</f>
        <v>http://dx.doi.org/10.1016/j.biopsych.2008.10.027</v>
      </c>
      <c r="H47" s="83">
        <v>20</v>
      </c>
      <c r="I47" s="83">
        <v>10</v>
      </c>
      <c r="J47" t="s">
        <v>571</v>
      </c>
      <c r="K47" t="s">
        <v>357</v>
      </c>
      <c r="L47">
        <v>2062</v>
      </c>
      <c r="M47">
        <v>300</v>
      </c>
      <c r="N47">
        <v>2222</v>
      </c>
      <c r="O47">
        <v>412</v>
      </c>
      <c r="P47">
        <v>2024</v>
      </c>
      <c r="Q47">
        <v>292</v>
      </c>
      <c r="R47">
        <v>2153</v>
      </c>
      <c r="S47">
        <v>396</v>
      </c>
      <c r="T47">
        <f t="shared" si="2"/>
        <v>4086</v>
      </c>
      <c r="U47">
        <f t="shared" si="3"/>
        <v>561.62621021458745</v>
      </c>
      <c r="V47">
        <f t="shared" si="4"/>
        <v>4375</v>
      </c>
      <c r="W47">
        <f t="shared" si="5"/>
        <v>766.55280313883134</v>
      </c>
      <c r="Y47" s="22" t="str">
        <f>IF(OR($B47="",Y$22=""),"",IF(LEN(VLOOKUP($B47,Database!$B$1:$IX$10144,Y$22,FALSE))=0,"",VLOOKUP($B47,Database!$B$1:$IX$10144,Y$22,FALSE)))</f>
        <v>DSM-IV</v>
      </c>
      <c r="Z47" s="22" t="str">
        <f>IF(OR($B47="",Z$22=""),"",IF(LEN(VLOOKUP($B47,Database!$B$1:$IX$10144,Z$22,FALSE))=0,"",VLOOKUP($B47,Database!$B$1:$IX$10144,Z$22,FALSE)))</f>
        <v>MRI</v>
      </c>
      <c r="AA47" s="214" t="s">
        <v>2448</v>
      </c>
      <c r="AB47" s="83">
        <v>35.799999999999997</v>
      </c>
      <c r="AC47" s="83">
        <v>11.7</v>
      </c>
      <c r="AD47" s="22">
        <f>IF(OR($B47="",AD$22=""),"",IF(LEN(VLOOKUP($B47,Database!$B$1:$IX$10144,AD$22,FALSE))=0,"",VLOOKUP($B47,Database!$B$1:$IX$10144,AD$22,FALSE)))</f>
        <v>37.299999999999997</v>
      </c>
      <c r="AE47" s="22">
        <f>IF(OR($B47="",AE$22=""),"",IF(LEN(VLOOKUP($B47,Database!$B$1:$IX$10144,AE$22,FALSE))=0,"",VLOOKUP($B47,Database!$B$1:$IX$10144,AE$22,FALSE)))</f>
        <v>12.7</v>
      </c>
      <c r="AF47" s="214">
        <v>14</v>
      </c>
      <c r="AG47" s="22">
        <f>IF(OR($B47="",AG$22=""),"",IF(LEN(VLOOKUP($B47,Database!$B$1:$IX$10144,AG$22,FALSE))=0,"",VLOOKUP($B47,Database!$B$1:$IX$10144,AG$22,FALSE)))</f>
        <v>13</v>
      </c>
      <c r="AH47" s="22">
        <f>IF(OR($B47="",AH$22=""),"",IF(LEN(VLOOKUP($B47,Database!$B$1:$IX$10144,AH$22,FALSE))=0,"",VLOOKUP($B47,Database!$B$1:$IX$10144,AH$22,FALSE)))</f>
        <v>1.5</v>
      </c>
      <c r="AI47" s="22">
        <f>IF(OR($B47="",AI$22=""),"",IF(LEN(VLOOKUP($B47,Database!$B$1:$IX$10144,AI$22,FALSE))=0,"",VLOOKUP($B47,Database!$B$1:$IX$10144,AI$22,FALSE)))</f>
        <v>1</v>
      </c>
      <c r="AJ47" s="22" t="str">
        <f>IF(OR($B47="",AJ$22=""),"",IF(LEN(VLOOKUP($B47,Database!$B$1:$IX$10144,AJ$22,FALSE))=0,"",VLOOKUP($B47,Database!$B$1:$IX$10144,AJ$22,FALSE)))</f>
        <v/>
      </c>
      <c r="AK47" s="83">
        <v>33.4</v>
      </c>
      <c r="AL47" s="83">
        <v>3.4</v>
      </c>
      <c r="AM47" s="22">
        <f>IF(OR($B47="",AM$22=""),"",IF(LEN(VLOOKUP($B47,Database!$B$1:$IX$10144,AM$22,FALSE))=0,"",VLOOKUP($B47,Database!$B$1:$IX$10144,AM$22,FALSE)))</f>
        <v>0</v>
      </c>
      <c r="AN47" s="22" t="str">
        <f>IF(OR($B47="",AN$22=""),"",IF(LEN(VLOOKUP($B47,Database!$B$1:$IX$10144,AN$22,FALSE))=0,"",VLOOKUP($B47,Database!$B$1:$IX$10144,AN$22,FALSE)))</f>
        <v>ns</v>
      </c>
      <c r="AO47" s="22" t="str">
        <f>IF(OR($B47="",AO$22=""),"",IF(LEN(VLOOKUP($B47,Database!$B$1:$IX$10144,AO$22,FALSE))=0,"",VLOOKUP($B47,Database!$B$1:$IX$10144,AO$22,FALSE)))</f>
        <v>ns</v>
      </c>
      <c r="AP47" s="22" t="str">
        <f>IF(OR($B47="",AP$22=""),"",IF(LEN(VLOOKUP($B47,Database!$B$1:$IX$10144,AP$22,FALSE))=0,"",VLOOKUP($B47,Database!$B$1:$IX$10144,AP$22,FALSE)))</f>
        <v>ns</v>
      </c>
      <c r="AQ47" s="22" t="str">
        <f>IF(OR($B47="",AQ$22=""),"",IF(LEN(VLOOKUP($B47,Database!$B$1:$IX$10144,AQ$22,FALSE))=0,"",VLOOKUP($B47,Database!$B$1:$IX$10144,AQ$22,FALSE)))</f>
        <v>van Eijndhoven P, van Wingen G, van Oijen K, Rijpkema M, Goraj B, Jan Verkes R, Oude Voshaar R, Fernández G, Buitelaar J, Tendolkar I.</v>
      </c>
      <c r="AR47" s="13"/>
      <c r="AU47" s="13"/>
      <c r="BC47" s="23"/>
      <c r="BF47" s="136"/>
      <c r="BG47" s="136"/>
      <c r="BH47" s="136"/>
      <c r="BI47" s="136"/>
    </row>
    <row r="48" spans="1:61">
      <c r="B48" s="2">
        <v>19464062</v>
      </c>
      <c r="C48" s="1" t="str">
        <f>IF($B48="","",HYPERLINK(IF(LEN(VLOOKUP($B48,Database!$B$1:$IX$10144,2,FALSE))=0,"",VLOOKUP($B48,Database!$B$1:$IX$10144,2,FALSE))))</f>
        <v/>
      </c>
      <c r="D48" s="1" t="str">
        <f t="shared" si="1"/>
        <v>http://www.ncbi.nlm.nih.gov/pubmed/19464062</v>
      </c>
      <c r="E48" s="22" t="str">
        <f>IF($B48="","",IF(LEN(VLOOKUP($B48,Database!$B$1:$IX$10144,4,FALSE))=0,"",VLOOKUP($B48,Database!$B$1:$IX$10144,4,FALSE)))</f>
        <v>Lorenzetti V (B)</v>
      </c>
      <c r="F48" s="22">
        <f>IF($B48="","",IF(LEN(VLOOKUP($B48,Database!$B$1:$IX$10144,5,FALSE))=0,"",VLOOKUP($B48,Database!$B$1:$IX$10144,5,FALSE)))</f>
        <v>2009</v>
      </c>
      <c r="G48" s="1" t="str">
        <f>IF($B48="","",HYPERLINK(IF(LEN(VLOOKUP($B48,Database!$B$1:$IX$10144,6,FALSE))=0,"",VLOOKUP($B48,Database!$B$1:$IX$10144,6,FALSE))))</f>
        <v>http://dx.doi.org/10.1016/j.jad.2009.04.021</v>
      </c>
      <c r="H48" s="83">
        <v>29</v>
      </c>
      <c r="I48" s="83">
        <v>15.5</v>
      </c>
      <c r="J48" t="s">
        <v>344</v>
      </c>
      <c r="K48" t="s">
        <v>345</v>
      </c>
      <c r="L48">
        <v>1606.54</v>
      </c>
      <c r="M48">
        <v>170.18</v>
      </c>
      <c r="N48">
        <v>1564.76</v>
      </c>
      <c r="O48">
        <v>145.19</v>
      </c>
      <c r="P48">
        <v>1657.09</v>
      </c>
      <c r="Q48">
        <v>172.29</v>
      </c>
      <c r="R48">
        <v>1641.36</v>
      </c>
      <c r="S48">
        <v>159.55000000000001</v>
      </c>
      <c r="T48">
        <f t="shared" si="2"/>
        <v>3263.63</v>
      </c>
      <c r="U48">
        <f t="shared" si="3"/>
        <v>324.89625424125774</v>
      </c>
      <c r="V48">
        <f t="shared" si="4"/>
        <v>3206.12</v>
      </c>
      <c r="W48">
        <f t="shared" si="5"/>
        <v>289.13740989363515</v>
      </c>
      <c r="Y48" s="22" t="str">
        <f>IF(OR($B48="",Y$22=""),"",IF(LEN(VLOOKUP($B48,Database!$B$1:$IX$10144,Y$22,FALSE))=0,"",VLOOKUP($B48,Database!$B$1:$IX$10144,Y$22,FALSE)))</f>
        <v>DSM-IV</v>
      </c>
      <c r="Z48" s="22" t="str">
        <f>IF(OR($B48="",Z$22=""),"",IF(LEN(VLOOKUP($B48,Database!$B$1:$IX$10144,Z$22,FALSE))=0,"",VLOOKUP($B48,Database!$B$1:$IX$10144,Z$22,FALSE)))</f>
        <v>MRI</v>
      </c>
      <c r="AA48" s="214" t="s">
        <v>2457</v>
      </c>
      <c r="AB48" s="214">
        <v>35.520000000000003</v>
      </c>
      <c r="AC48" s="214">
        <v>8.2799999999999994</v>
      </c>
      <c r="AD48" s="22">
        <f>IF(OR($B48="",AD$22=""),"",IF(LEN(VLOOKUP($B48,Database!$B$1:$IX$10144,AD$22,FALSE))=0,"",VLOOKUP($B48,Database!$B$1:$IX$10144,AD$22,FALSE)))</f>
        <v>34.68</v>
      </c>
      <c r="AE48" s="22">
        <f>IF(OR($B48="",AE$22=""),"",IF(LEN(VLOOKUP($B48,Database!$B$1:$IX$10144,AE$22,FALSE))=0,"",VLOOKUP($B48,Database!$B$1:$IX$10144,AE$22,FALSE)))</f>
        <v>9.86</v>
      </c>
      <c r="AF48" s="214">
        <v>22</v>
      </c>
      <c r="AG48" s="22">
        <f>IF(OR($B48="",AG$22=""),"",IF(LEN(VLOOKUP($B48,Database!$B$1:$IX$10144,AG$22,FALSE))=0,"",VLOOKUP($B48,Database!$B$1:$IX$10144,AG$22,FALSE)))</f>
        <v>21</v>
      </c>
      <c r="AH48" s="22">
        <f>IF(OR($B48="",AH$22=""),"",IF(LEN(VLOOKUP($B48,Database!$B$1:$IX$10144,AH$22,FALSE))=0,"",VLOOKUP($B48,Database!$B$1:$IX$10144,AH$22,FALSE)))</f>
        <v>1.5</v>
      </c>
      <c r="AI48" s="22">
        <f>IF(OR($B48="",AI$22=""),"",IF(LEN(VLOOKUP($B48,Database!$B$1:$IX$10144,AI$22,FALSE))=0,"",VLOOKUP($B48,Database!$B$1:$IX$10144,AI$22,FALSE)))</f>
        <v>1</v>
      </c>
      <c r="AJ48" s="22" t="str">
        <f>IF(OR($B48="",AJ$22=""),"",IF(LEN(VLOOKUP($B48,Database!$B$1:$IX$10144,AJ$22,FALSE))=0,"",VLOOKUP($B48,Database!$B$1:$IX$10144,AJ$22,FALSE)))</f>
        <v/>
      </c>
      <c r="AK48" s="214">
        <v>21.07</v>
      </c>
      <c r="AL48" s="22" t="str">
        <f>IF(OR($B48="",AL$22=""),"",IF(LEN(VLOOKUP($B48,Database!$B$1:$IX$10144,AL$22,FALSE))=0,"",VLOOKUP($B48,Database!$B$1:$IX$10144,AL$22,FALSE)))</f>
        <v>ns</v>
      </c>
      <c r="AM48" s="22" t="str">
        <f>IF(OR($B48="",AM$22=""),"",IF(LEN(VLOOKUP($B48,Database!$B$1:$IX$10144,AM$22,FALSE))=0,"",VLOOKUP($B48,Database!$B$1:$IX$10144,AM$22,FALSE)))</f>
        <v/>
      </c>
      <c r="AN48" s="22" t="str">
        <f>IF(OR($B48="",AN$22=""),"",IF(LEN(VLOOKUP($B48,Database!$B$1:$IX$10144,AN$22,FALSE))=0,"",VLOOKUP($B48,Database!$B$1:$IX$10144,AN$22,FALSE)))</f>
        <v/>
      </c>
      <c r="AO48" s="22" t="str">
        <f>IF(OR($B48="",AO$22=""),"",IF(LEN(VLOOKUP($B48,Database!$B$1:$IX$10144,AO$22,FALSE))=0,"",VLOOKUP($B48,Database!$B$1:$IX$10144,AO$22,FALSE)))</f>
        <v/>
      </c>
      <c r="AP48" s="22">
        <f>IF(OR($B48="",AP$22=""),"",IF(LEN(VLOOKUP($B48,Database!$B$1:$IX$10144,AP$22,FALSE))=0,"",VLOOKUP($B48,Database!$B$1:$IX$10144,AP$22,FALSE)))</f>
        <v>16.071428571428573</v>
      </c>
      <c r="AQ48" s="22" t="str">
        <f>IF(OR($B48="",AQ$22=""),"",IF(LEN(VLOOKUP($B48,Database!$B$1:$IX$10144,AQ$22,FALSE))=0,"",VLOOKUP($B48,Database!$B$1:$IX$10144,AQ$22,FALSE)))</f>
        <v>Lorenzetti V, Allen NB, Whittle S, Yücel M.</v>
      </c>
      <c r="AR48" s="13"/>
      <c r="AU48" s="13"/>
      <c r="BC48" s="23"/>
      <c r="BF48" s="136"/>
      <c r="BG48" s="136"/>
      <c r="BH48" s="136"/>
      <c r="BI48" s="136"/>
    </row>
    <row r="49" spans="1:61">
      <c r="B49" s="2">
        <v>19464062</v>
      </c>
      <c r="C49" s="1" t="str">
        <f>IF($B49="","",HYPERLINK(IF(LEN(VLOOKUP($B49,Database!$B$1:$IX$10144,2,FALSE))=0,"",VLOOKUP($B49,Database!$B$1:$IX$10144,2,FALSE))))</f>
        <v/>
      </c>
      <c r="D49" s="1" t="str">
        <f t="shared" si="1"/>
        <v>http://www.ncbi.nlm.nih.gov/pubmed/19464062</v>
      </c>
      <c r="E49" s="22" t="str">
        <f>IF($B49="","",IF(LEN(VLOOKUP($B49,Database!$B$1:$IX$10144,4,FALSE))=0,"",VLOOKUP($B49,Database!$B$1:$IX$10144,4,FALSE)))</f>
        <v>Lorenzetti V (B)</v>
      </c>
      <c r="F49" s="22">
        <f>IF($B49="","",IF(LEN(VLOOKUP($B49,Database!$B$1:$IX$10144,5,FALSE))=0,"",VLOOKUP($B49,Database!$B$1:$IX$10144,5,FALSE)))</f>
        <v>2009</v>
      </c>
      <c r="G49" s="1" t="str">
        <f>IF($B49="","",HYPERLINK(IF(LEN(VLOOKUP($B49,Database!$B$1:$IX$10144,6,FALSE))=0,"",VLOOKUP($B49,Database!$B$1:$IX$10144,6,FALSE))))</f>
        <v>http://dx.doi.org/10.1016/j.jad.2009.04.021</v>
      </c>
      <c r="H49" s="83">
        <v>27</v>
      </c>
      <c r="I49" s="83">
        <v>15.5</v>
      </c>
      <c r="J49" t="s">
        <v>344</v>
      </c>
      <c r="K49" t="s">
        <v>272</v>
      </c>
      <c r="L49">
        <v>1666.74</v>
      </c>
      <c r="M49">
        <v>201.91</v>
      </c>
      <c r="N49">
        <v>1564.76</v>
      </c>
      <c r="O49">
        <v>145.19</v>
      </c>
      <c r="P49">
        <v>1642.96</v>
      </c>
      <c r="Q49">
        <v>186.15</v>
      </c>
      <c r="R49">
        <v>1641.36</v>
      </c>
      <c r="S49">
        <v>159.55000000000001</v>
      </c>
      <c r="T49">
        <f t="shared" si="2"/>
        <v>3309.7</v>
      </c>
      <c r="U49">
        <f t="shared" si="3"/>
        <v>368.17977266547382</v>
      </c>
      <c r="V49">
        <f t="shared" si="4"/>
        <v>3206.12</v>
      </c>
      <c r="W49">
        <f t="shared" si="5"/>
        <v>289.13740989363515</v>
      </c>
      <c r="Y49" s="22" t="str">
        <f>IF(OR($B49="",Y$22=""),"",IF(LEN(VLOOKUP($B49,Database!$B$1:$IX$10144,Y$22,FALSE))=0,"",VLOOKUP($B49,Database!$B$1:$IX$10144,Y$22,FALSE)))</f>
        <v>DSM-IV</v>
      </c>
      <c r="Z49" s="22" t="str">
        <f>IF(OR($B49="",Z$22=""),"",IF(LEN(VLOOKUP($B49,Database!$B$1:$IX$10144,Z$22,FALSE))=0,"",VLOOKUP($B49,Database!$B$1:$IX$10144,Z$22,FALSE)))</f>
        <v>MRI</v>
      </c>
      <c r="AA49" s="214" t="s">
        <v>2448</v>
      </c>
      <c r="AB49" s="214">
        <v>35.07</v>
      </c>
      <c r="AC49" s="214">
        <v>9.9600000000000009</v>
      </c>
      <c r="AD49" s="22">
        <f>IF(OR($B49="",AD$22=""),"",IF(LEN(VLOOKUP($B49,Database!$B$1:$IX$10144,AD$22,FALSE))=0,"",VLOOKUP($B49,Database!$B$1:$IX$10144,AD$22,FALSE)))</f>
        <v>34.68</v>
      </c>
      <c r="AE49" s="22">
        <f>IF(OR($B49="",AE$22=""),"",IF(LEN(VLOOKUP($B49,Database!$B$1:$IX$10144,AE$22,FALSE))=0,"",VLOOKUP($B49,Database!$B$1:$IX$10144,AE$22,FALSE)))</f>
        <v>9.86</v>
      </c>
      <c r="AF49" s="214">
        <v>18</v>
      </c>
      <c r="AG49" s="22">
        <f>IF(OR($B49="",AG$22=""),"",IF(LEN(VLOOKUP($B49,Database!$B$1:$IX$10144,AG$22,FALSE))=0,"",VLOOKUP($B49,Database!$B$1:$IX$10144,AG$22,FALSE)))</f>
        <v>21</v>
      </c>
      <c r="AH49" s="22">
        <f>IF(OR($B49="",AH$22=""),"",IF(LEN(VLOOKUP($B49,Database!$B$1:$IX$10144,AH$22,FALSE))=0,"",VLOOKUP($B49,Database!$B$1:$IX$10144,AH$22,FALSE)))</f>
        <v>1.5</v>
      </c>
      <c r="AI49" s="22">
        <f>IF(OR($B49="",AI$22=""),"",IF(LEN(VLOOKUP($B49,Database!$B$1:$IX$10144,AI$22,FALSE))=0,"",VLOOKUP($B49,Database!$B$1:$IX$10144,AI$22,FALSE)))</f>
        <v>1</v>
      </c>
      <c r="AJ49" s="22" t="str">
        <f>IF(OR($B49="",AJ$22=""),"",IF(LEN(VLOOKUP($B49,Database!$B$1:$IX$10144,AJ$22,FALSE))=0,"",VLOOKUP($B49,Database!$B$1:$IX$10144,AJ$22,FALSE)))</f>
        <v/>
      </c>
      <c r="AK49" s="214">
        <v>26.04</v>
      </c>
      <c r="AL49" s="22" t="str">
        <f>IF(OR($B49="",AL$22=""),"",IF(LEN(VLOOKUP($B49,Database!$B$1:$IX$10144,AL$22,FALSE))=0,"",VLOOKUP($B49,Database!$B$1:$IX$10144,AL$22,FALSE)))</f>
        <v>ns</v>
      </c>
      <c r="AM49" s="22" t="str">
        <f>IF(OR($B49="",AM$22=""),"",IF(LEN(VLOOKUP($B49,Database!$B$1:$IX$10144,AM$22,FALSE))=0,"",VLOOKUP($B49,Database!$B$1:$IX$10144,AM$22,FALSE)))</f>
        <v/>
      </c>
      <c r="AN49" s="22" t="str">
        <f>IF(OR($B49="",AN$22=""),"",IF(LEN(VLOOKUP($B49,Database!$B$1:$IX$10144,AN$22,FALSE))=0,"",VLOOKUP($B49,Database!$B$1:$IX$10144,AN$22,FALSE)))</f>
        <v/>
      </c>
      <c r="AO49" s="22" t="str">
        <f>IF(OR($B49="",AO$22=""),"",IF(LEN(VLOOKUP($B49,Database!$B$1:$IX$10144,AO$22,FALSE))=0,"",VLOOKUP($B49,Database!$B$1:$IX$10144,AO$22,FALSE)))</f>
        <v/>
      </c>
      <c r="AP49" s="22">
        <f>IF(OR($B49="",AP$22=""),"",IF(LEN(VLOOKUP($B49,Database!$B$1:$IX$10144,AP$22,FALSE))=0,"",VLOOKUP($B49,Database!$B$1:$IX$10144,AP$22,FALSE)))</f>
        <v>16.071428571428573</v>
      </c>
      <c r="AQ49" s="22" t="str">
        <f>IF(OR($B49="",AQ$22=""),"",IF(LEN(VLOOKUP($B49,Database!$B$1:$IX$10144,AQ$22,FALSE))=0,"",VLOOKUP($B49,Database!$B$1:$IX$10144,AQ$22,FALSE)))</f>
        <v>Lorenzetti V, Allen NB, Whittle S, Yücel M.</v>
      </c>
      <c r="AR49" s="13"/>
      <c r="AU49" s="13"/>
      <c r="BC49" s="23"/>
      <c r="BF49" s="136"/>
      <c r="BG49" s="136"/>
      <c r="BH49" s="136"/>
      <c r="BI49" s="136"/>
    </row>
    <row r="50" spans="1:61">
      <c r="B50" s="2">
        <v>19394960</v>
      </c>
      <c r="C50" s="1" t="str">
        <f>IF($B50="","",HYPERLINK(IF(LEN(VLOOKUP($B50,Database!$B$1:$IX$10144,2,FALSE))=0,"",VLOOKUP($B50,Database!$B$1:$IX$10144,2,FALSE))))</f>
        <v/>
      </c>
      <c r="D50" s="1" t="str">
        <f t="shared" si="1"/>
        <v>http://www.ncbi.nlm.nih.gov/pubmed/19394960</v>
      </c>
      <c r="E50" s="22" t="str">
        <f>IF($B50="","",IF(LEN(VLOOKUP($B50,Database!$B$1:$IX$10144,4,FALSE))=0,"",VLOOKUP($B50,Database!$B$1:$IX$10144,4,FALSE)))</f>
        <v>Kronenberg G</v>
      </c>
      <c r="F50" s="22">
        <f>IF($B50="","",IF(LEN(VLOOKUP($B50,Database!$B$1:$IX$10144,5,FALSE))=0,"",VLOOKUP($B50,Database!$B$1:$IX$10144,5,FALSE)))</f>
        <v>2009</v>
      </c>
      <c r="G50" s="1" t="str">
        <f>IF($B50="","",HYPERLINK(IF(LEN(VLOOKUP($B50,Database!$B$1:$IX$10144,6,FALSE))=0,"",VLOOKUP($B50,Database!$B$1:$IX$10144,6,FALSE))))</f>
        <v>http://dx.doi.org/10.1016/j.jpsychires.2009.03.007</v>
      </c>
      <c r="H50" s="22">
        <f>IF($B50="","",IF(LEN(VLOOKUP($B50,Database!$B$1:$IX$10144,7,FALSE))=0,"",VLOOKUP($B50,Database!$B$1:$IX$10144,7,FALSE)))</f>
        <v>24</v>
      </c>
      <c r="I50" s="22">
        <f>IF($B50="","",IF(LEN(VLOOKUP($B50,Database!$B$1:$IX$10144,8,FALSE))=0,"",VLOOKUP($B50,Database!$B$1:$IX$10144,8,FALSE)))</f>
        <v>14</v>
      </c>
      <c r="J50" t="s">
        <v>343</v>
      </c>
      <c r="L50">
        <v>1.71</v>
      </c>
      <c r="M50">
        <v>0.34</v>
      </c>
      <c r="N50">
        <v>1.97</v>
      </c>
      <c r="O50">
        <v>0.26</v>
      </c>
      <c r="P50">
        <v>1.74</v>
      </c>
      <c r="Q50">
        <v>0.27</v>
      </c>
      <c r="R50">
        <v>1.97</v>
      </c>
      <c r="S50">
        <v>0.28000000000000003</v>
      </c>
      <c r="T50">
        <f t="shared" si="2"/>
        <v>3.45</v>
      </c>
      <c r="U50">
        <f t="shared" si="3"/>
        <v>0.57912002210249991</v>
      </c>
      <c r="V50">
        <f t="shared" si="4"/>
        <v>3.94</v>
      </c>
      <c r="W50">
        <f t="shared" si="5"/>
        <v>0.51232801992473542</v>
      </c>
      <c r="Y50" s="22" t="str">
        <f>IF(OR($B50="",Y$22=""),"",IF(LEN(VLOOKUP($B50,Database!$B$1:$IX$10144,Y$22,FALSE))=0,"",VLOOKUP($B50,Database!$B$1:$IX$10144,Y$22,FALSE)))</f>
        <v>DSM-IV</v>
      </c>
      <c r="Z50" s="22" t="str">
        <f>IF(OR($B50="",Z$22=""),"",IF(LEN(VLOOKUP($B50,Database!$B$1:$IX$10144,Z$22,FALSE))=0,"",VLOOKUP($B50,Database!$B$1:$IX$10144,Z$22,FALSE)))</f>
        <v>MRI</v>
      </c>
      <c r="AA50" s="22" t="str">
        <f>IF(OR($B50="",AA$22=""),"",IF(LEN(VLOOKUP($B50,Database!$B$1:$IX$10144,AA$22,FALSE))=0,"",VLOOKUP($B50,Database!$B$1:$IX$10144,AA$22,FALSE)))</f>
        <v/>
      </c>
      <c r="AB50" s="22">
        <f>IF(OR($B50="",AB$22=""),"",IF(LEN(VLOOKUP($B50,Database!$B$1:$IX$10144,AB$22,FALSE))=0,"",VLOOKUP($B50,Database!$B$1:$IX$10144,AB$22,FALSE)))</f>
        <v>54.5</v>
      </c>
      <c r="AC50" s="22">
        <f>IF(OR($B50="",AC$22=""),"",IF(LEN(VLOOKUP($B50,Database!$B$1:$IX$10144,AC$22,FALSE))=0,"",VLOOKUP($B50,Database!$B$1:$IX$10144,AC$22,FALSE)))</f>
        <v>11.9</v>
      </c>
      <c r="AD50" s="22">
        <f>IF(OR($B50="",AD$22=""),"",IF(LEN(VLOOKUP($B50,Database!$B$1:$IX$10144,AD$22,FALSE))=0,"",VLOOKUP($B50,Database!$B$1:$IX$10144,AD$22,FALSE)))</f>
        <v>53.8</v>
      </c>
      <c r="AE50" s="22">
        <f>IF(OR($B50="",AE$22=""),"",IF(LEN(VLOOKUP($B50,Database!$B$1:$IX$10144,AE$22,FALSE))=0,"",VLOOKUP($B50,Database!$B$1:$IX$10144,AE$22,FALSE)))</f>
        <v>17.7</v>
      </c>
      <c r="AF50" s="22">
        <f>IF(OR($B50="",AF$22=""),"",IF(LEN(VLOOKUP($B50,Database!$B$1:$IX$10144,AF$22,FALSE))=0,"",VLOOKUP($B50,Database!$B$1:$IX$10144,AF$22,FALSE)))</f>
        <v>15</v>
      </c>
      <c r="AG50" s="22">
        <f>IF(OR($B50="",AG$22=""),"",IF(LEN(VLOOKUP($B50,Database!$B$1:$IX$10144,AG$22,FALSE))=0,"",VLOOKUP($B50,Database!$B$1:$IX$10144,AG$22,FALSE)))</f>
        <v>8</v>
      </c>
      <c r="AH50" s="22">
        <f>IF(OR($B50="",AH$22=""),"",IF(LEN(VLOOKUP($B50,Database!$B$1:$IX$10144,AH$22,FALSE))=0,"",VLOOKUP($B50,Database!$B$1:$IX$10144,AH$22,FALSE)))</f>
        <v>1.5</v>
      </c>
      <c r="AI50" s="22">
        <f>IF(OR($B50="",AI$22=""),"",IF(LEN(VLOOKUP($B50,Database!$B$1:$IX$10144,AI$22,FALSE))=0,"",VLOOKUP($B50,Database!$B$1:$IX$10144,AI$22,FALSE)))</f>
        <v>1.05</v>
      </c>
      <c r="AJ50" s="22" t="str">
        <f>IF(OR($B50="",AJ$22=""),"",IF(LEN(VLOOKUP($B50,Database!$B$1:$IX$10144,AJ$22,FALSE))=0,"",VLOOKUP($B50,Database!$B$1:$IX$10144,AJ$22,FALSE)))</f>
        <v/>
      </c>
      <c r="AK50" s="22" t="str">
        <f>IF(OR($B50="",AK$22=""),"",IF(LEN(VLOOKUP($B50,Database!$B$1:$IX$10144,AK$22,FALSE))=0,"",VLOOKUP($B50,Database!$B$1:$IX$10144,AK$22,FALSE)))</f>
        <v>ns</v>
      </c>
      <c r="AL50" s="22">
        <f>IF(OR($B50="",AL$22=""),"",IF(LEN(VLOOKUP($B50,Database!$B$1:$IX$10144,AL$22,FALSE))=0,"",VLOOKUP($B50,Database!$B$1:$IX$10144,AL$22,FALSE)))</f>
        <v>25.3</v>
      </c>
      <c r="AM50" s="22">
        <f>IF(OR($B50="",AM$22=""),"",IF(LEN(VLOOKUP($B50,Database!$B$1:$IX$10144,AM$22,FALSE))=0,"",VLOOKUP($B50,Database!$B$1:$IX$10144,AM$22,FALSE)))</f>
        <v>0</v>
      </c>
      <c r="AN50" s="22">
        <f>IF(OR($B50="",AN$22=""),"",IF(LEN(VLOOKUP($B50,Database!$B$1:$IX$10144,AN$22,FALSE))=0,"",VLOOKUP($B50,Database!$B$1:$IX$10144,AN$22,FALSE)))</f>
        <v>0</v>
      </c>
      <c r="AO50" s="22">
        <f>IF(OR($B50="",AO$22=""),"",IF(LEN(VLOOKUP($B50,Database!$B$1:$IX$10144,AO$22,FALSE))=0,"",VLOOKUP($B50,Database!$B$1:$IX$10144,AO$22,FALSE)))</f>
        <v>0</v>
      </c>
      <c r="AP50" s="22" t="str">
        <f>IF(OR($B50="",AP$22=""),"",IF(LEN(VLOOKUP($B50,Database!$B$1:$IX$10144,AP$22,FALSE))=0,"",VLOOKUP($B50,Database!$B$1:$IX$10144,AP$22,FALSE)))</f>
        <v>ns</v>
      </c>
      <c r="AQ50" s="22" t="str">
        <f>IF(OR($B50="",AQ$22=""),"",IF(LEN(VLOOKUP($B50,Database!$B$1:$IX$10144,AQ$22,FALSE))=0,"",VLOOKUP($B50,Database!$B$1:$IX$10144,AQ$22,FALSE)))</f>
        <v>Kronenberg G, Tebartz van Elst L, Regen F, Deuschle M, Heuser I, Colla M.</v>
      </c>
      <c r="AR50" s="13"/>
      <c r="BC50" s="23"/>
      <c r="BF50" s="136"/>
      <c r="BG50" s="136"/>
      <c r="BH50" s="136"/>
      <c r="BI50" s="136"/>
    </row>
    <row r="51" spans="1:61">
      <c r="B51" s="2"/>
      <c r="C51" s="1"/>
      <c r="D51" s="1"/>
      <c r="E51" s="22"/>
      <c r="F51" s="22"/>
      <c r="G51" s="1"/>
      <c r="H51" s="22"/>
      <c r="I51" s="22"/>
      <c r="Y51" s="22"/>
      <c r="Z51" s="22"/>
      <c r="AA51" s="22"/>
      <c r="AB51" s="22"/>
      <c r="AC51" s="22"/>
      <c r="AD51" s="22"/>
      <c r="AE51" s="22"/>
      <c r="AF51" s="22"/>
      <c r="AG51" s="22"/>
      <c r="AH51" s="22"/>
      <c r="AI51" s="22"/>
      <c r="AJ51" s="22"/>
      <c r="AK51" s="22"/>
      <c r="AL51" s="22"/>
      <c r="AM51" s="22"/>
      <c r="AN51" s="22"/>
      <c r="AO51" s="22"/>
      <c r="AP51" s="22"/>
      <c r="AQ51" s="22"/>
    </row>
    <row r="52" spans="1:61">
      <c r="A52" s="4" t="s">
        <v>346</v>
      </c>
      <c r="C52" s="1"/>
      <c r="D52" s="1"/>
      <c r="E52" s="22"/>
      <c r="F52" s="22"/>
      <c r="G52" s="1"/>
      <c r="H52" s="22"/>
      <c r="I52" s="22"/>
      <c r="Y52" s="22"/>
      <c r="Z52" s="22"/>
      <c r="AA52" s="22"/>
      <c r="AB52" s="22"/>
      <c r="AC52" s="22"/>
      <c r="AD52" s="22"/>
      <c r="AE52" s="22"/>
      <c r="AF52" s="22"/>
      <c r="AG52" s="22"/>
      <c r="AH52" s="22"/>
      <c r="AI52" s="22"/>
      <c r="AJ52" s="22"/>
      <c r="AK52" s="22"/>
      <c r="AL52" s="22"/>
      <c r="AM52" s="22"/>
      <c r="AN52" s="22"/>
      <c r="AO52" s="22"/>
      <c r="AP52" s="22"/>
      <c r="AQ52" s="22"/>
    </row>
    <row r="53" spans="1:61">
      <c r="A53" s="10" t="s">
        <v>1914</v>
      </c>
      <c r="B53">
        <v>10366636</v>
      </c>
      <c r="C53" s="1" t="str">
        <f>IF($B53="","",HYPERLINK(IF(LEN(VLOOKUP($B53,Database!$B$1:$IX$10144,2,FALSE))=0,"",VLOOKUP($B53,Database!$B$1:$IX$10144,2,FALSE))))</f>
        <v/>
      </c>
      <c r="D53" s="1" t="str">
        <f>IF($B53="","",HYPERLINK(CONCATENATE("http://www.ncbi.nlm.nih.gov/pubmed/",B53)))</f>
        <v>http://www.ncbi.nlm.nih.gov/pubmed/10366636</v>
      </c>
      <c r="E53" s="22" t="str">
        <f>IF($B53="","",IF(LEN(VLOOKUP($B53,Database!$B$1:$IX$10144,4,FALSE))=0,"",VLOOKUP($B53,Database!$B$1:$IX$10144,4,FALSE)))</f>
        <v>Sheline YI</v>
      </c>
      <c r="F53" s="22">
        <f>IF($B53="","",IF(LEN(VLOOKUP($B53,Database!$B$1:$IX$10144,5,FALSE))=0,"",VLOOKUP($B53,Database!$B$1:$IX$10144,5,FALSE)))</f>
        <v>1999</v>
      </c>
      <c r="G53" s="1" t="str">
        <f>IF($B53="","",HYPERLINK(IF(LEN(VLOOKUP($B53,Database!$B$1:$IX$10144,6,FALSE))=0,"",VLOOKUP($B53,Database!$B$1:$IX$10144,6,FALSE))))</f>
        <v>http://ajp.psychiatryonline.org/cgi/reprint/156/12/1989</v>
      </c>
      <c r="H53" s="22">
        <f>IF($B53="","",IF(LEN(VLOOKUP($B53,Database!$B$1:$IX$10144,7,FALSE))=0,"",VLOOKUP($B53,Database!$B$1:$IX$10144,7,FALSE)))</f>
        <v>24</v>
      </c>
      <c r="I53" s="22">
        <f>IF($B53="","",IF(LEN(VLOOKUP($B53,Database!$B$1:$IX$10144,8,FALSE))=0,"",VLOOKUP($B53,Database!$B$1:$IX$10144,8,FALSE)))</f>
        <v>24</v>
      </c>
      <c r="K53" s="10"/>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f>IF(OR($B53="",AB$22=""),"",IF(LEN(VLOOKUP($B53,Database!$B$1:$IX$10144,AB$22,FALSE))=0,"",VLOOKUP($B53,Database!$B$1:$IX$10144,AB$22,FALSE)))</f>
        <v>52.8</v>
      </c>
      <c r="AC53" s="22">
        <f>IF(OR($B53="",AC$22=""),"",IF(LEN(VLOOKUP($B53,Database!$B$1:$IX$10144,AC$22,FALSE))=0,"",VLOOKUP($B53,Database!$B$1:$IX$10144,AC$22,FALSE)))</f>
        <v>18.399999999999999</v>
      </c>
      <c r="AD53" s="22">
        <f>IF(OR($B53="",AD$22=""),"",IF(LEN(VLOOKUP($B53,Database!$B$1:$IX$10144,AD$22,FALSE))=0,"",VLOOKUP($B53,Database!$B$1:$IX$10144,AD$22,FALSE)))</f>
        <v>52.8</v>
      </c>
      <c r="AE53" s="22">
        <f>IF(OR($B53="",AE$22=""),"",IF(LEN(VLOOKUP($B53,Database!$B$1:$IX$10144,AE$22,FALSE))=0,"",VLOOKUP($B53,Database!$B$1:$IX$10144,AE$22,FALSE)))</f>
        <v>17.8</v>
      </c>
      <c r="AF53" s="22">
        <f>IF(OR($B53="",AF$22=""),"",IF(LEN(VLOOKUP($B53,Database!$B$1:$IX$10144,AF$22,FALSE))=0,"",VLOOKUP($B53,Database!$B$1:$IX$10144,AF$22,FALSE)))</f>
        <v>24</v>
      </c>
      <c r="AG53" s="22">
        <f>IF(OR($B53="",AG$22=""),"",IF(LEN(VLOOKUP($B53,Database!$B$1:$IX$10144,AG$22,FALSE))=0,"",VLOOKUP($B53,Database!$B$1:$IX$10144,AG$22,FALSE)))</f>
        <v>24</v>
      </c>
      <c r="AH53" s="22">
        <f>IF(OR($B53="",AH$22=""),"",IF(LEN(VLOOKUP($B53,Database!$B$1:$IX$10144,AH$22,FALSE))=0,"",VLOOKUP($B53,Database!$B$1:$IX$10144,AH$22,FALSE)))</f>
        <v>1.5</v>
      </c>
      <c r="AI53" s="22">
        <f>IF(OR($B53="",AI$22=""),"",IF(LEN(VLOOKUP($B53,Database!$B$1:$IX$10144,AI$22,FALSE))=0,"",VLOOKUP($B53,Database!$B$1:$IX$10144,AI$22,FALSE)))</f>
        <v>1.25</v>
      </c>
      <c r="AJ53" s="22" t="str">
        <f>IF(OR($B53="",AJ$22=""),"",IF(LEN(VLOOKUP($B53,Database!$B$1:$IX$10144,AJ$22,FALSE))=0,"",VLOOKUP($B53,Database!$B$1:$IX$10144,AJ$22,FALSE)))</f>
        <v/>
      </c>
      <c r="AK53" s="22" t="str">
        <f>IF(OR($B53="",AK$22=""),"",IF(LEN(VLOOKUP($B53,Database!$B$1:$IX$10144,AK$22,FALSE))=0,"",VLOOKUP($B53,Database!$B$1:$IX$10144,AK$22,FALSE)))</f>
        <v>ns</v>
      </c>
      <c r="AL53" s="22" t="str">
        <f>IF(OR($B53="",AL$22=""),"",IF(LEN(VLOOKUP($B53,Database!$B$1:$IX$10144,AL$22,FALSE))=0,"",VLOOKUP($B53,Database!$B$1:$IX$10144,AL$22,FALSE)))</f>
        <v>ns</v>
      </c>
      <c r="AM53" s="22">
        <f>IF(OR($B53="",AM$22=""),"",IF(LEN(VLOOKUP($B53,Database!$B$1:$IX$10144,AM$22,FALSE))=0,"",VLOOKUP($B53,Database!$B$1:$IX$10144,AM$22,FALSE)))</f>
        <v>66.666666666666657</v>
      </c>
      <c r="AN53" s="22" t="str">
        <f>IF(OR($B53="",AN$22=""),"",IF(LEN(VLOOKUP($B53,Database!$B$1:$IX$10144,AN$22,FALSE))=0,"",VLOOKUP($B53,Database!$B$1:$IX$10144,AN$22,FALSE)))</f>
        <v>ns</v>
      </c>
      <c r="AO53" s="22" t="str">
        <f>IF(OR($B53="",AO$22=""),"",IF(LEN(VLOOKUP($B53,Database!$B$1:$IX$10144,AO$22,FALSE))=0,"",VLOOKUP($B53,Database!$B$1:$IX$10144,AO$22,FALSE)))</f>
        <v>ns</v>
      </c>
      <c r="AP53" s="22" t="str">
        <f>IF(OR($B53="",AP$22=""),"",IF(LEN(VLOOKUP($B53,Database!$B$1:$IX$10144,AP$22,FALSE))=0,"",VLOOKUP($B53,Database!$B$1:$IX$10144,AP$22,FALSE)))</f>
        <v>ns</v>
      </c>
      <c r="AQ53" s="22" t="str">
        <f>IF(OR($B53="",AQ$22=""),"",IF(LEN(VLOOKUP($B53,Database!$B$1:$IX$10144,AQ$22,FALSE))=0,"",VLOOKUP($B53,Database!$B$1:$IX$10144,AQ$22,FALSE)))</f>
        <v>Sheline YI, Sanghavi M, Mintun MA, Gado MH.</v>
      </c>
    </row>
    <row r="54" spans="1:61">
      <c r="A54" s="4" t="s">
        <v>347</v>
      </c>
      <c r="C54" s="1"/>
      <c r="D54" s="1"/>
      <c r="E54" s="22"/>
      <c r="F54" s="22"/>
      <c r="G54" s="1"/>
      <c r="H54" s="22"/>
      <c r="I54" s="22"/>
      <c r="K54" s="10"/>
      <c r="Y54" s="22"/>
      <c r="Z54" s="22"/>
      <c r="AA54" s="22"/>
      <c r="AB54" s="22"/>
      <c r="AC54" s="22"/>
      <c r="AD54" s="22"/>
      <c r="AE54" s="22"/>
      <c r="AF54" s="22"/>
      <c r="AG54" s="22"/>
      <c r="AH54" s="22"/>
      <c r="AI54" s="22"/>
      <c r="AJ54" s="22"/>
      <c r="AK54" s="22"/>
      <c r="AL54" s="22"/>
      <c r="AM54" s="22"/>
      <c r="AN54" s="22"/>
      <c r="AO54" s="22"/>
      <c r="AP54" s="22"/>
      <c r="AQ54" s="22"/>
    </row>
    <row r="55" spans="1:61">
      <c r="A55" s="10" t="s">
        <v>1914</v>
      </c>
      <c r="B55">
        <v>10366636</v>
      </c>
      <c r="C55" s="1" t="str">
        <f>IF($B55="","",HYPERLINK(IF(LEN(VLOOKUP($B55,Database!$B$1:$IX$10144,2,FALSE))=0,"",VLOOKUP($B55,Database!$B$1:$IX$10144,2,FALSE))))</f>
        <v/>
      </c>
      <c r="D55" s="1" t="str">
        <f t="shared" ref="D55:D61" si="6">IF($B55="","",HYPERLINK(CONCATENATE("http://www.ncbi.nlm.nih.gov/pubmed/",B55)))</f>
        <v>http://www.ncbi.nlm.nih.gov/pubmed/10366636</v>
      </c>
      <c r="E55" s="22" t="str">
        <f>IF($B55="","",IF(LEN(VLOOKUP($B55,Database!$B$1:$IX$10144,4,FALSE))=0,"",VLOOKUP($B55,Database!$B$1:$IX$10144,4,FALSE)))</f>
        <v>Sheline YI</v>
      </c>
      <c r="F55" s="22">
        <f>IF($B55="","",IF(LEN(VLOOKUP($B55,Database!$B$1:$IX$10144,5,FALSE))=0,"",VLOOKUP($B55,Database!$B$1:$IX$10144,5,FALSE)))</f>
        <v>1999</v>
      </c>
      <c r="G55" s="1" t="str">
        <f>IF($B55="","",HYPERLINK(IF(LEN(VLOOKUP($B55,Database!$B$1:$IX$10144,6,FALSE))=0,"",VLOOKUP($B55,Database!$B$1:$IX$10144,6,FALSE))))</f>
        <v>http://ajp.psychiatryonline.org/cgi/reprint/156/12/1989</v>
      </c>
      <c r="H55" s="22">
        <f>IF($B55="","",IF(LEN(VLOOKUP($B55,Database!$B$1:$IX$10144,7,FALSE))=0,"",VLOOKUP($B55,Database!$B$1:$IX$10144,7,FALSE)))</f>
        <v>24</v>
      </c>
      <c r="I55" s="22">
        <f>IF($B55="","",IF(LEN(VLOOKUP($B55,Database!$B$1:$IX$10144,8,FALSE))=0,"",VLOOKUP($B55,Database!$B$1:$IX$10144,8,FALSE)))</f>
        <v>24</v>
      </c>
      <c r="K55" s="10"/>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52.8</v>
      </c>
      <c r="AC55" s="22">
        <f>IF(OR($B55="",AC$22=""),"",IF(LEN(VLOOKUP($B55,Database!$B$1:$IX$10144,AC$22,FALSE))=0,"",VLOOKUP($B55,Database!$B$1:$IX$10144,AC$22,FALSE)))</f>
        <v>18.399999999999999</v>
      </c>
      <c r="AD55" s="22">
        <f>IF(OR($B55="",AD$22=""),"",IF(LEN(VLOOKUP($B55,Database!$B$1:$IX$10144,AD$22,FALSE))=0,"",VLOOKUP($B55,Database!$B$1:$IX$10144,AD$22,FALSE)))</f>
        <v>52.8</v>
      </c>
      <c r="AE55" s="22">
        <f>IF(OR($B55="",AE$22=""),"",IF(LEN(VLOOKUP($B55,Database!$B$1:$IX$10144,AE$22,FALSE))=0,"",VLOOKUP($B55,Database!$B$1:$IX$10144,AE$22,FALSE)))</f>
        <v>17.8</v>
      </c>
      <c r="AF55" s="22">
        <f>IF(OR($B55="",AF$22=""),"",IF(LEN(VLOOKUP($B55,Database!$B$1:$IX$10144,AF$22,FALSE))=0,"",VLOOKUP($B55,Database!$B$1:$IX$10144,AF$22,FALSE)))</f>
        <v>24</v>
      </c>
      <c r="AG55" s="22">
        <f>IF(OR($B55="",AG$22=""),"",IF(LEN(VLOOKUP($B55,Database!$B$1:$IX$10144,AG$22,FALSE))=0,"",VLOOKUP($B55,Database!$B$1:$IX$10144,AG$22,FALSE)))</f>
        <v>24</v>
      </c>
      <c r="AH55" s="22">
        <f>IF(OR($B55="",AH$22=""),"",IF(LEN(VLOOKUP($B55,Database!$B$1:$IX$10144,AH$22,FALSE))=0,"",VLOOKUP($B55,Database!$B$1:$IX$10144,AH$22,FALSE)))</f>
        <v>1.5</v>
      </c>
      <c r="AI55" s="22">
        <f>IF(OR($B55="",AI$22=""),"",IF(LEN(VLOOKUP($B55,Database!$B$1:$IX$10144,AI$22,FALSE))=0,"",VLOOKUP($B55,Database!$B$1:$IX$10144,AI$22,FALSE)))</f>
        <v>1.25</v>
      </c>
      <c r="AJ55" s="22" t="str">
        <f>IF(OR($B55="",AJ$22=""),"",IF(LEN(VLOOKUP($B55,Database!$B$1:$IX$10144,AJ$22,FALSE))=0,"",VLOOKUP($B55,Database!$B$1:$IX$10144,AJ$22,FALSE)))</f>
        <v/>
      </c>
      <c r="AK55" s="22" t="str">
        <f>IF(OR($B55="",AK$22=""),"",IF(LEN(VLOOKUP($B55,Database!$B$1:$IX$10144,AK$22,FALSE))=0,"",VLOOKUP($B55,Database!$B$1:$IX$10144,AK$22,FALSE)))</f>
        <v>ns</v>
      </c>
      <c r="AL55" s="22" t="str">
        <f>IF(OR($B55="",AL$22=""),"",IF(LEN(VLOOKUP($B55,Database!$B$1:$IX$10144,AL$22,FALSE))=0,"",VLOOKUP($B55,Database!$B$1:$IX$10144,AL$22,FALSE)))</f>
        <v>ns</v>
      </c>
      <c r="AM55" s="22">
        <f>IF(OR($B55="",AM$22=""),"",IF(LEN(VLOOKUP($B55,Database!$B$1:$IX$10144,AM$22,FALSE))=0,"",VLOOKUP($B55,Database!$B$1:$IX$10144,AM$22,FALSE)))</f>
        <v>66.666666666666657</v>
      </c>
      <c r="AN55" s="22" t="str">
        <f>IF(OR($B55="",AN$22=""),"",IF(LEN(VLOOKUP($B55,Database!$B$1:$IX$10144,AN$22,FALSE))=0,"",VLOOKUP($B55,Database!$B$1:$IX$10144,AN$22,FALSE)))</f>
        <v>ns</v>
      </c>
      <c r="AO55" s="22" t="str">
        <f>IF(OR($B55="",AO$22=""),"",IF(LEN(VLOOKUP($B55,Database!$B$1:$IX$10144,AO$22,FALSE))=0,"",VLOOKUP($B55,Database!$B$1:$IX$10144,AO$22,FALSE)))</f>
        <v>ns</v>
      </c>
      <c r="AP55" s="22" t="str">
        <f>IF(OR($B55="",AP$22=""),"",IF(LEN(VLOOKUP($B55,Database!$B$1:$IX$10144,AP$22,FALSE))=0,"",VLOOKUP($B55,Database!$B$1:$IX$10144,AP$22,FALSE)))</f>
        <v>ns</v>
      </c>
      <c r="AQ55" s="22" t="str">
        <f>IF(OR($B55="",AQ$22=""),"",IF(LEN(VLOOKUP($B55,Database!$B$1:$IX$10144,AQ$22,FALSE))=0,"",VLOOKUP($B55,Database!$B$1:$IX$10144,AQ$22,FALSE)))</f>
        <v>Sheline YI, Sanghavi M, Mintun MA, Gado MH.</v>
      </c>
    </row>
    <row r="56" spans="1:61">
      <c r="A56" s="10" t="s">
        <v>2027</v>
      </c>
      <c r="B56" s="13">
        <v>11983184</v>
      </c>
      <c r="C56" s="1" t="str">
        <f>IF($B56="","",HYPERLINK(IF(LEN(VLOOKUP($B56,Database!$B$1:$IX$10144,2,FALSE))=0,"",VLOOKUP($B56,Database!$B$1:$IX$10144,2,FALSE))))</f>
        <v/>
      </c>
      <c r="D56" s="1" t="str">
        <f t="shared" si="6"/>
        <v>http://www.ncbi.nlm.nih.gov/pubmed/11983184</v>
      </c>
      <c r="E56" s="22" t="str">
        <f>IF($B56="","",IF(LEN(VLOOKUP($B56,Database!$B$1:$IX$10144,4,FALSE))=0,"",VLOOKUP($B56,Database!$B$1:$IX$10144,4,FALSE)))</f>
        <v>Frodl T (A)</v>
      </c>
      <c r="F56" s="22">
        <f>IF($B56="","",IF(LEN(VLOOKUP($B56,Database!$B$1:$IX$10144,5,FALSE))=0,"",VLOOKUP($B56,Database!$B$1:$IX$10144,5,FALSE)))</f>
        <v>2002</v>
      </c>
      <c r="G56" s="1" t="str">
        <f>IF($B56="","",HYPERLINK(IF(LEN(VLOOKUP($B56,Database!$B$1:$IX$10144,6,FALSE))=0,"",VLOOKUP($B56,Database!$B$1:$IX$10144,6,FALSE))))</f>
        <v>http://dx.doi.org/10.1016/S0006-3223(01)01359-2</v>
      </c>
      <c r="H56" s="22">
        <f>IF($B56="","",IF(LEN(VLOOKUP($B56,Database!$B$1:$IX$10144,7,FALSE))=0,"",VLOOKUP($B56,Database!$B$1:$IX$10144,7,FALSE)))</f>
        <v>30</v>
      </c>
      <c r="I56" s="22">
        <f>IF($B56="","",IF(LEN(VLOOKUP($B56,Database!$B$1:$IX$10144,8,FALSE))=0,"",VLOOKUP($B56,Database!$B$1:$IX$10144,8,FALSE)))</f>
        <v>30</v>
      </c>
      <c r="K56" s="10"/>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f>IF(OR($B56="",AB$22=""),"",IF(LEN(VLOOKUP($B56,Database!$B$1:$IX$10144,AB$22,FALSE))=0,"",VLOOKUP($B56,Database!$B$1:$IX$10144,AB$22,FALSE)))</f>
        <v>40.299999999999997</v>
      </c>
      <c r="AC56" s="22">
        <f>IF(OR($B56="",AC$22=""),"",IF(LEN(VLOOKUP($B56,Database!$B$1:$IX$10144,AC$22,FALSE))=0,"",VLOOKUP($B56,Database!$B$1:$IX$10144,AC$22,FALSE)))</f>
        <v>12.6</v>
      </c>
      <c r="AD56" s="22">
        <f>IF(OR($B56="",AD$22=""),"",IF(LEN(VLOOKUP($B56,Database!$B$1:$IX$10144,AD$22,FALSE))=0,"",VLOOKUP($B56,Database!$B$1:$IX$10144,AD$22,FALSE)))</f>
        <v>40.6</v>
      </c>
      <c r="AE56" s="22">
        <f>IF(OR($B56="",AE$22=""),"",IF(LEN(VLOOKUP($B56,Database!$B$1:$IX$10144,AE$22,FALSE))=0,"",VLOOKUP($B56,Database!$B$1:$IX$10144,AE$22,FALSE)))</f>
        <v>12.5</v>
      </c>
      <c r="AF56" s="22">
        <f>IF(OR($B56="",AF$22=""),"",IF(LEN(VLOOKUP($B56,Database!$B$1:$IX$10144,AF$22,FALSE))=0,"",VLOOKUP($B56,Database!$B$1:$IX$10144,AF$22,FALSE)))</f>
        <v>17</v>
      </c>
      <c r="AG56" s="22">
        <f>IF(OR($B56="",AG$22=""),"",IF(LEN(VLOOKUP($B56,Database!$B$1:$IX$10144,AG$22,FALSE))=0,"",VLOOKUP($B56,Database!$B$1:$IX$10144,AG$22,FALSE)))</f>
        <v>17</v>
      </c>
      <c r="AH56" s="22">
        <f>IF(OR($B56="",AH$22=""),"",IF(LEN(VLOOKUP($B56,Database!$B$1:$IX$10144,AH$22,FALSE))=0,"",VLOOKUP($B56,Database!$B$1:$IX$10144,AH$22,FALSE)))</f>
        <v>1.5</v>
      </c>
      <c r="AI56" s="22">
        <f>IF(OR($B56="",AI$22=""),"",IF(LEN(VLOOKUP($B56,Database!$B$1:$IX$10144,AI$22,FALSE))=0,"",VLOOKUP($B56,Database!$B$1:$IX$10144,AI$22,FALSE)))</f>
        <v>1.5</v>
      </c>
      <c r="AJ56" s="22" t="str">
        <f>IF(OR($B56="",AJ$22=""),"",IF(LEN(VLOOKUP($B56,Database!$B$1:$IX$10144,AJ$22,FALSE))=0,"",VLOOKUP($B56,Database!$B$1:$IX$10144,AJ$22,FALSE)))</f>
        <v/>
      </c>
      <c r="AK56" s="22">
        <f>IF(OR($B56="",AK$22=""),"",IF(LEN(VLOOKUP($B56,Database!$B$1:$IX$10144,AK$22,FALSE))=0,"",VLOOKUP($B56,Database!$B$1:$IX$10144,AK$22,FALSE)))</f>
        <v>40</v>
      </c>
      <c r="AL56" s="22">
        <f>IF(OR($B56="",AL$22=""),"",IF(LEN(VLOOKUP($B56,Database!$B$1:$IX$10144,AL$22,FALSE))=0,"",VLOOKUP($B56,Database!$B$1:$IX$10144,AL$22,FALSE)))</f>
        <v>24.8</v>
      </c>
      <c r="AM56" s="22">
        <f>IF(OR($B56="",AM$22=""),"",IF(LEN(VLOOKUP($B56,Database!$B$1:$IX$10144,AM$22,FALSE))=0,"",VLOOKUP($B56,Database!$B$1:$IX$10144,AM$22,FALSE)))</f>
        <v>86.666666666666671</v>
      </c>
      <c r="AN56" s="22" t="str">
        <f>IF(OR($B56="",AN$22=""),"",IF(LEN(VLOOKUP($B56,Database!$B$1:$IX$10144,AN$22,FALSE))=0,"",VLOOKUP($B56,Database!$B$1:$IX$10144,AN$22,FALSE)))</f>
        <v>ns</v>
      </c>
      <c r="AO56" s="22" t="str">
        <f>IF(OR($B56="",AO$22=""),"",IF(LEN(VLOOKUP($B56,Database!$B$1:$IX$10144,AO$22,FALSE))=0,"",VLOOKUP($B56,Database!$B$1:$IX$10144,AO$22,FALSE)))</f>
        <v>ns</v>
      </c>
      <c r="AP56" s="22" t="str">
        <f>IF(OR($B56="",AP$22=""),"",IF(LEN(VLOOKUP($B56,Database!$B$1:$IX$10144,AP$22,FALSE))=0,"",VLOOKUP($B56,Database!$B$1:$IX$10144,AP$22,FALSE)))</f>
        <v>ns</v>
      </c>
      <c r="AQ56" s="22" t="str">
        <f>IF(OR($B56="",AQ$22=""),"",IF(LEN(VLOOKUP($B56,Database!$B$1:$IX$10144,AQ$22,FALSE))=0,"",VLOOKUP($B56,Database!$B$1:$IX$10144,AQ$22,FALSE)))</f>
        <v>Frodl T, Meisenzahl E, Zetzsche T, Bottlender R, Born C, Groll C, Jager M, Leinsinger G, Hahn K, Moller HJ.</v>
      </c>
    </row>
    <row r="57" spans="1:61">
      <c r="A57" s="10" t="s">
        <v>2190</v>
      </c>
      <c r="B57" s="13">
        <v>12804127</v>
      </c>
      <c r="C57" s="1" t="str">
        <f>IF($B57="","",HYPERLINK(IF(LEN(VLOOKUP($B57,Database!$B$1:$IX$10144,2,FALSE))=0,"",VLOOKUP($B57,Database!$B$1:$IX$10144,2,FALSE))))</f>
        <v/>
      </c>
      <c r="D57" s="1" t="str">
        <f t="shared" si="6"/>
        <v>http://www.ncbi.nlm.nih.gov/pubmed/12804127</v>
      </c>
      <c r="E57" s="22" t="str">
        <f>IF($B57="","",IF(LEN(VLOOKUP($B57,Database!$B$1:$IX$10144,4,FALSE))=0,"",VLOOKUP($B57,Database!$B$1:$IX$10144,4,FALSE)))</f>
        <v>MacMillan S</v>
      </c>
      <c r="F57" s="22">
        <f>IF($B57="","",IF(LEN(VLOOKUP($B57,Database!$B$1:$IX$10144,5,FALSE))=0,"",VLOOKUP($B57,Database!$B$1:$IX$10144,5,FALSE)))</f>
        <v>2003</v>
      </c>
      <c r="G57" s="1" t="str">
        <f>IF($B57="","",HYPERLINK(IF(LEN(VLOOKUP($B57,Database!$B$1:$IX$10144,6,FALSE))=0,"",VLOOKUP($B57,Database!$B$1:$IX$10144,6,FALSE))))</f>
        <v>http://www.liebertonline.com/doi/pdf/10.1089/104454603321666207</v>
      </c>
      <c r="H57" s="22">
        <f>IF($B57="","",IF(LEN(VLOOKUP($B57,Database!$B$1:$IX$10144,7,FALSE))=0,"",VLOOKUP($B57,Database!$B$1:$IX$10144,7,FALSE)))</f>
        <v>23</v>
      </c>
      <c r="I57" s="22">
        <f>IF($B57="","",IF(LEN(VLOOKUP($B57,Database!$B$1:$IX$10144,8,FALSE))=0,"",VLOOKUP($B57,Database!$B$1:$IX$10144,8,FALSE)))</f>
        <v>23</v>
      </c>
      <c r="J57" t="s">
        <v>326</v>
      </c>
      <c r="L57">
        <v>1.62</v>
      </c>
      <c r="M57">
        <v>0.3</v>
      </c>
      <c r="N57">
        <v>1.44</v>
      </c>
      <c r="O57">
        <v>0.3</v>
      </c>
      <c r="P57">
        <v>1.57</v>
      </c>
      <c r="Q57">
        <v>0.24</v>
      </c>
      <c r="R57">
        <v>1.46</v>
      </c>
      <c r="S57">
        <v>0.28000000000000003</v>
      </c>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t="str">
        <f>IF(OR($B57="",AB$22=""),"",IF(LEN(VLOOKUP($B57,Database!$B$1:$IX$10144,AB$22,FALSE))=0,"",VLOOKUP($B57,Database!$B$1:$IX$10144,AB$22,FALSE)))</f>
        <v/>
      </c>
      <c r="AC57" s="22" t="str">
        <f>IF(OR($B57="",AC$22=""),"",IF(LEN(VLOOKUP($B57,Database!$B$1:$IX$10144,AC$22,FALSE))=0,"",VLOOKUP($B57,Database!$B$1:$IX$10144,AC$22,FALSE)))</f>
        <v/>
      </c>
      <c r="AD57" s="22" t="str">
        <f>IF(OR($B57="",AD$22=""),"",IF(LEN(VLOOKUP($B57,Database!$B$1:$IX$10144,AD$22,FALSE))=0,"",VLOOKUP($B57,Database!$B$1:$IX$10144,AD$22,FALSE)))</f>
        <v/>
      </c>
      <c r="AE57" s="22" t="str">
        <f>IF(OR($B57="",AE$22=""),"",IF(LEN(VLOOKUP($B57,Database!$B$1:$IX$10144,AE$22,FALSE))=0,"",VLOOKUP($B57,Database!$B$1:$IX$10144,AE$22,FALSE)))</f>
        <v/>
      </c>
      <c r="AF57" s="22">
        <f>IF(OR($B57="",AF$22=""),"",IF(LEN(VLOOKUP($B57,Database!$B$1:$IX$10144,AF$22,FALSE))=0,"",VLOOKUP($B57,Database!$B$1:$IX$10144,AF$22,FALSE)))</f>
        <v>13</v>
      </c>
      <c r="AG57" s="22">
        <f>IF(OR($B57="",AG$22=""),"",IF(LEN(VLOOKUP($B57,Database!$B$1:$IX$10144,AG$22,FALSE))=0,"",VLOOKUP($B57,Database!$B$1:$IX$10144,AG$22,FALSE)))</f>
        <v>13</v>
      </c>
      <c r="AH57" s="22">
        <f>IF(OR($B57="",AH$22=""),"",IF(LEN(VLOOKUP($B57,Database!$B$1:$IX$10144,AH$22,FALSE))=0,"",VLOOKUP($B57,Database!$B$1:$IX$10144,AH$22,FALSE)))</f>
        <v>1.5</v>
      </c>
      <c r="AI57" s="22">
        <f>IF(OR($B57="",AI$22=""),"",IF(LEN(VLOOKUP($B57,Database!$B$1:$IX$10144,AI$22,FALSE))=0,"",VLOOKUP($B57,Database!$B$1:$IX$10144,AI$22,FALSE)))</f>
        <v>1.5</v>
      </c>
      <c r="AJ57" s="22" t="str">
        <f>IF(OR($B57="",AJ$22=""),"",IF(LEN(VLOOKUP($B57,Database!$B$1:$IX$10144,AJ$22,FALSE))=0,"",VLOOKUP($B57,Database!$B$1:$IX$10144,AJ$22,FALSE)))</f>
        <v/>
      </c>
      <c r="AK57" s="22">
        <f>IF(OR($B57="",AK$22=""),"",IF(LEN(VLOOKUP($B57,Database!$B$1:$IX$10144,AK$22,FALSE))=0,"",VLOOKUP($B57,Database!$B$1:$IX$10144,AK$22,FALSE)))</f>
        <v>11.84</v>
      </c>
      <c r="AL57" s="22" t="str">
        <f>IF(OR($B57="",AL$22=""),"",IF(LEN(VLOOKUP($B57,Database!$B$1:$IX$10144,AL$22,FALSE))=0,"",VLOOKUP($B57,Database!$B$1:$IX$10144,AL$22,FALSE)))</f>
        <v>ns</v>
      </c>
      <c r="AM57" s="22">
        <f>IF(OR($B57="",AM$22=""),"",IF(LEN(VLOOKUP($B57,Database!$B$1:$IX$10144,AM$22,FALSE))=0,"",VLOOKUP($B57,Database!$B$1:$IX$10144,AM$22,FALSE)))</f>
        <v>0</v>
      </c>
      <c r="AN57" s="22">
        <f>IF(OR($B57="",AN$22=""),"",IF(LEN(VLOOKUP($B57,Database!$B$1:$IX$10144,AN$22,FALSE))=0,"",VLOOKUP($B57,Database!$B$1:$IX$10144,AN$22,FALSE)))</f>
        <v>0</v>
      </c>
      <c r="AO57" s="22">
        <f>IF(OR($B57="",AO$22=""),"",IF(LEN(VLOOKUP($B57,Database!$B$1:$IX$10144,AO$22,FALSE))=0,"",VLOOKUP($B57,Database!$B$1:$IX$10144,AO$22,FALSE)))</f>
        <v>0</v>
      </c>
      <c r="AP57" s="22">
        <f>IF(OR($B57="",AP$22=""),"",IF(LEN(VLOOKUP($B57,Database!$B$1:$IX$10144,AP$22,FALSE))=0,"",VLOOKUP($B57,Database!$B$1:$IX$10144,AP$22,FALSE)))</f>
        <v>100</v>
      </c>
      <c r="AQ57" s="22" t="str">
        <f>IF(OR($B57="",AQ$22=""),"",IF(LEN(VLOOKUP($B57,Database!$B$1:$IX$10144,AQ$22,FALSE))=0,"",VLOOKUP($B57,Database!$B$1:$IX$10144,AQ$22,FALSE)))</f>
        <v>MacMillan S, Szeszko PR, Moore GJ, Madden R, Lorch E, Ivey J, Banerjee SP, Rosenberg DR.</v>
      </c>
    </row>
    <row r="58" spans="1:61">
      <c r="A58" s="10" t="s">
        <v>424</v>
      </c>
      <c r="B58" s="13">
        <v>15119911</v>
      </c>
      <c r="C58" s="1" t="str">
        <f>IF($B58="","",HYPERLINK(IF(LEN(VLOOKUP($B58,Database!$B$1:$IX$10144,2,FALSE))=0,"",VLOOKUP($B58,Database!$B$1:$IX$10144,2,FALSE))))</f>
        <v/>
      </c>
      <c r="D58" s="1" t="str">
        <f t="shared" si="6"/>
        <v>http://www.ncbi.nlm.nih.gov/pubmed/15119911</v>
      </c>
      <c r="E58" s="22" t="str">
        <f>IF($B58="","",IF(LEN(VLOOKUP($B58,Database!$B$1:$IX$10144,4,FALSE))=0,"",VLOOKUP($B58,Database!$B$1:$IX$10144,4,FALSE)))</f>
        <v>Frodl T (B)</v>
      </c>
      <c r="F58" s="22">
        <f>IF($B58="","",IF(LEN(VLOOKUP($B58,Database!$B$1:$IX$10144,5,FALSE))=0,"",VLOOKUP($B58,Database!$B$1:$IX$10144,5,FALSE)))</f>
        <v>2004</v>
      </c>
      <c r="G58" s="1" t="str">
        <f>IF($B58="","",HYPERLINK(IF(LEN(VLOOKUP($B58,Database!$B$1:$IX$10144,6,FALSE))=0,"",VLOOKUP($B58,Database!$B$1:$IX$10144,6,FALSE))))</f>
        <v>http://www.psychiatrist.com/abstracts/abstracts.asp?abstract=200404/040405.htm</v>
      </c>
      <c r="H58" s="22">
        <f>IF($B58="","",IF(LEN(VLOOKUP($B58,Database!$B$1:$IX$10144,7,FALSE))=0,"",VLOOKUP($B58,Database!$B$1:$IX$10144,7,FALSE)))</f>
        <v>30</v>
      </c>
      <c r="I58" s="22">
        <f>IF($B58="","",IF(LEN(VLOOKUP($B58,Database!$B$1:$IX$10144,8,FALSE))=0,"",VLOOKUP($B58,Database!$B$1:$IX$10144,8,FALSE)))</f>
        <v>30</v>
      </c>
      <c r="L58">
        <v>1.69</v>
      </c>
      <c r="M58">
        <v>0.2</v>
      </c>
      <c r="N58">
        <v>1.66</v>
      </c>
      <c r="O58">
        <v>0.24</v>
      </c>
      <c r="P58">
        <v>1.68</v>
      </c>
      <c r="Q58">
        <v>0.26</v>
      </c>
      <c r="R58">
        <v>1.68</v>
      </c>
      <c r="S58">
        <v>0.24</v>
      </c>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f>IF(OR($B58="",AB$22=""),"",IF(LEN(VLOOKUP($B58,Database!$B$1:$IX$10144,AB$22,FALSE))=0,"",VLOOKUP($B58,Database!$B$1:$IX$10144,AB$22,FALSE)))</f>
        <v>48.4</v>
      </c>
      <c r="AC58" s="22">
        <f>IF(OR($B58="",AC$22=""),"",IF(LEN(VLOOKUP($B58,Database!$B$1:$IX$10144,AC$22,FALSE))=0,"",VLOOKUP($B58,Database!$B$1:$IX$10144,AC$22,FALSE)))</f>
        <v>13.4</v>
      </c>
      <c r="AD58" s="22">
        <f>IF(OR($B58="",AD$22=""),"",IF(LEN(VLOOKUP($B58,Database!$B$1:$IX$10144,AD$22,FALSE))=0,"",VLOOKUP($B58,Database!$B$1:$IX$10144,AD$22,FALSE)))</f>
        <v>45.7</v>
      </c>
      <c r="AE58" s="22">
        <f>IF(OR($B58="",AE$22=""),"",IF(LEN(VLOOKUP($B58,Database!$B$1:$IX$10144,AE$22,FALSE))=0,"",VLOOKUP($B58,Database!$B$1:$IX$10144,AE$22,FALSE)))</f>
        <v>12.9</v>
      </c>
      <c r="AF58" s="22">
        <f>IF(OR($B58="",AF$22=""),"",IF(LEN(VLOOKUP($B58,Database!$B$1:$IX$10144,AF$22,FALSE))=0,"",VLOOKUP($B58,Database!$B$1:$IX$10144,AF$22,FALSE)))</f>
        <v>18</v>
      </c>
      <c r="AG58" s="22">
        <f>IF(OR($B58="",AG$22=""),"",IF(LEN(VLOOKUP($B58,Database!$B$1:$IX$10144,AG$22,FALSE))=0,"",VLOOKUP($B58,Database!$B$1:$IX$10144,AG$22,FALSE)))</f>
        <v>18</v>
      </c>
      <c r="AH58" s="22">
        <f>IF(OR($B58="",AH$22=""),"",IF(LEN(VLOOKUP($B58,Database!$B$1:$IX$10144,AH$22,FALSE))=0,"",VLOOKUP($B58,Database!$B$1:$IX$10144,AH$22,FALSE)))</f>
        <v>1.5</v>
      </c>
      <c r="AI58" s="22">
        <f>IF(OR($B58="",AI$22=""),"",IF(LEN(VLOOKUP($B58,Database!$B$1:$IX$10144,AI$22,FALSE))=0,"",VLOOKUP($B58,Database!$B$1:$IX$10144,AI$22,FALSE)))</f>
        <v>1.5</v>
      </c>
      <c r="AJ58" s="22" t="str">
        <f>IF(OR($B58="",AJ$22=""),"",IF(LEN(VLOOKUP($B58,Database!$B$1:$IX$10144,AJ$22,FALSE))=0,"",VLOOKUP($B58,Database!$B$1:$IX$10144,AJ$22,FALSE)))</f>
        <v/>
      </c>
      <c r="AK58" s="22">
        <f>IF(OR($B58="",AK$22=""),"",IF(LEN(VLOOKUP($B58,Database!$B$1:$IX$10144,AK$22,FALSE))=0,"",VLOOKUP($B58,Database!$B$1:$IX$10144,AK$22,FALSE)))</f>
        <v>39.299999999999997</v>
      </c>
      <c r="AL58" s="22">
        <f>IF(OR($B58="",AL$22=""),"",IF(LEN(VLOOKUP($B58,Database!$B$1:$IX$10144,AL$22,FALSE))=0,"",VLOOKUP($B58,Database!$B$1:$IX$10144,AL$22,FALSE)))</f>
        <v>23.7</v>
      </c>
      <c r="AM58" s="22" t="str">
        <f>IF(OR($B58="",AM$22=""),"",IF(LEN(VLOOKUP($B58,Database!$B$1:$IX$10144,AM$22,FALSE))=0,"",VLOOKUP($B58,Database!$B$1:$IX$10144,AM$22,FALSE)))</f>
        <v>ns</v>
      </c>
      <c r="AN58" s="22">
        <f>IF(OR($B58="",AN$22=""),"",IF(LEN(VLOOKUP($B58,Database!$B$1:$IX$10144,AN$22,FALSE))=0,"",VLOOKUP($B58,Database!$B$1:$IX$10144,AN$22,FALSE)))</f>
        <v>23.333333333333332</v>
      </c>
      <c r="AO58" s="22" t="str">
        <f>IF(OR($B58="",AO$22=""),"",IF(LEN(VLOOKUP($B58,Database!$B$1:$IX$10144,AO$22,FALSE))=0,"",VLOOKUP($B58,Database!$B$1:$IX$10144,AO$22,FALSE)))</f>
        <v>ns</v>
      </c>
      <c r="AP58" s="22">
        <f>IF(OR($B58="",AP$22=""),"",IF(LEN(VLOOKUP($B58,Database!$B$1:$IX$10144,AP$22,FALSE))=0,"",VLOOKUP($B58,Database!$B$1:$IX$10144,AP$22,FALSE)))</f>
        <v>6.666666666666667</v>
      </c>
      <c r="AQ58" s="22" t="str">
        <f>IF(OR($B58="",AQ$22=""),"",IF(LEN(VLOOKUP($B58,Database!$B$1:$IX$10144,AQ$22,FALSE))=0,"",VLOOKUP($B58,Database!$B$1:$IX$10144,AQ$22,FALSE)))</f>
        <v>Frodl T, Meisenzahl EM, Zetzsche T, Hohne T, Banac S, Schorr C, Jager M, Leinsinger G, Bottlender R, Reiser M, Moller HJ.</v>
      </c>
    </row>
    <row r="59" spans="1:61">
      <c r="A59" s="10" t="s">
        <v>2336</v>
      </c>
      <c r="B59">
        <v>17389903</v>
      </c>
      <c r="C59" s="1" t="str">
        <f>IF($B59="","",HYPERLINK(IF(LEN(VLOOKUP($B59,Database!$B$1:$IX$10144,2,FALSE))=0,"",VLOOKUP($B59,Database!$B$1:$IX$10144,2,FALSE))))</f>
        <v/>
      </c>
      <c r="D59" s="1" t="str">
        <f t="shared" si="6"/>
        <v>http://www.ncbi.nlm.nih.gov/pubmed/17389903</v>
      </c>
      <c r="E59" s="22" t="str">
        <f>IF($B59="","",IF(LEN(VLOOKUP($B59,Database!$B$1:$IX$10144,4,FALSE))=0,"",VLOOKUP($B59,Database!$B$1:$IX$10144,4,FALSE)))</f>
        <v>Monkul ES</v>
      </c>
      <c r="F59" s="22">
        <f>IF($B59="","",IF(LEN(VLOOKUP($B59,Database!$B$1:$IX$10144,5,FALSE))=0,"",VLOOKUP($B59,Database!$B$1:$IX$10144,5,FALSE)))</f>
        <v>2007</v>
      </c>
      <c r="G59" s="1" t="str">
        <f>IF($B59="","",HYPERLINK(IF(LEN(VLOOKUP($B59,Database!$B$1:$IX$10144,6,FALSE))=0,"",VLOOKUP($B59,Database!$B$1:$IX$10144,6,FALSE))))</f>
        <v>http://www.nature.com/mp/journal/v12/n4/pdf/4001919a.pdf</v>
      </c>
      <c r="H59" s="83">
        <v>7</v>
      </c>
      <c r="I59" s="83">
        <v>8.5</v>
      </c>
      <c r="J59" t="s">
        <v>1654</v>
      </c>
      <c r="K59" t="s">
        <v>1157</v>
      </c>
      <c r="L59">
        <v>2.0499999999999998</v>
      </c>
      <c r="M59">
        <v>0.37</v>
      </c>
      <c r="N59">
        <v>1.99</v>
      </c>
      <c r="O59">
        <v>0.39</v>
      </c>
      <c r="P59">
        <v>2.46</v>
      </c>
      <c r="Q59">
        <v>0.28999999999999998</v>
      </c>
      <c r="R59">
        <v>2.08</v>
      </c>
      <c r="S59">
        <v>0.43</v>
      </c>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t="str">
        <f>IF(OR($B59="",AB$22=""),"",IF(LEN(VLOOKUP($B59,Database!$B$1:$IX$10144,AB$22,FALSE))=0,"",VLOOKUP($B59,Database!$B$1:$IX$10144,AB$22,FALSE)))</f>
        <v/>
      </c>
      <c r="AC59" s="22" t="str">
        <f>IF(OR($B59="",AC$22=""),"",IF(LEN(VLOOKUP($B59,Database!$B$1:$IX$10144,AC$22,FALSE))=0,"",VLOOKUP($B59,Database!$B$1:$IX$10144,AC$22,FALSE)))</f>
        <v/>
      </c>
      <c r="AD59" s="22">
        <f>IF(OR($B59="",AD$22=""),"",IF(LEN(VLOOKUP($B59,Database!$B$1:$IX$10144,AD$22,FALSE))=0,"",VLOOKUP($B59,Database!$B$1:$IX$10144,AD$22,FALSE)))</f>
        <v>31.3</v>
      </c>
      <c r="AE59" s="22">
        <f>IF(OR($B59="",AE$22=""),"",IF(LEN(VLOOKUP($B59,Database!$B$1:$IX$10144,AE$22,FALSE))=0,"",VLOOKUP($B59,Database!$B$1:$IX$10144,AE$22,FALSE)))</f>
        <v>8.3000000000000007</v>
      </c>
      <c r="AF59" s="22">
        <f>IF(OR($B59="",AF$22=""),"",IF(LEN(VLOOKUP($B59,Database!$B$1:$IX$10144,AF$22,FALSE))=0,"",VLOOKUP($B59,Database!$B$1:$IX$10144,AF$22,FALSE)))</f>
        <v>17</v>
      </c>
      <c r="AG59" s="22">
        <f>IF(OR($B59="",AG$22=""),"",IF(LEN(VLOOKUP($B59,Database!$B$1:$IX$10144,AG$22,FALSE))=0,"",VLOOKUP($B59,Database!$B$1:$IX$10144,AG$22,FALSE)))</f>
        <v>17</v>
      </c>
      <c r="AH59" s="22">
        <f>IF(OR($B59="",AH$22=""),"",IF(LEN(VLOOKUP($B59,Database!$B$1:$IX$10144,AH$22,FALSE))=0,"",VLOOKUP($B59,Database!$B$1:$IX$10144,AH$22,FALSE)))</f>
        <v>1.5</v>
      </c>
      <c r="AI59" s="22">
        <f>IF(OR($B59="",AI$22=""),"",IF(LEN(VLOOKUP($B59,Database!$B$1:$IX$10144,AI$22,FALSE))=0,"",VLOOKUP($B59,Database!$B$1:$IX$10144,AI$22,FALSE)))</f>
        <v>1.5</v>
      </c>
      <c r="AJ59" s="22" t="str">
        <f>IF(OR($B59="",AJ$22=""),"",IF(LEN(VLOOKUP($B59,Database!$B$1:$IX$10144,AJ$22,FALSE))=0,"",VLOOKUP($B59,Database!$B$1:$IX$10144,AJ$22,FALSE)))</f>
        <v/>
      </c>
      <c r="AK59" s="22" t="str">
        <f>IF(OR($B59="",AK$22=""),"",IF(LEN(VLOOKUP($B59,Database!$B$1:$IX$10144,AK$22,FALSE))=0,"",VLOOKUP($B59,Database!$B$1:$IX$10144,AK$22,FALSE)))</f>
        <v>split depending on group (suicidal=16, nonsuicidal=26.9)</v>
      </c>
      <c r="AL59" s="22" t="str">
        <f>IF(OR($B59="",AL$22=""),"",IF(LEN(VLOOKUP($B59,Database!$B$1:$IX$10144,AL$22,FALSE))=0,"",VLOOKUP($B59,Database!$B$1:$IX$10144,AL$22,FALSE)))</f>
        <v>split depending on group (suicidal =13.7, non-suicidal = 10.9)</v>
      </c>
      <c r="AM59" s="22">
        <f>IF(OR($B59="",AM$22=""),"",IF(LEN(VLOOKUP($B59,Database!$B$1:$IX$10144,AM$22,FALSE))=0,"",VLOOKUP($B59,Database!$B$1:$IX$10144,AM$22,FALSE)))</f>
        <v>0</v>
      </c>
      <c r="AN59" s="22">
        <f>IF(OR($B59="",AN$22=""),"",IF(LEN(VLOOKUP($B59,Database!$B$1:$IX$10144,AN$22,FALSE))=0,"",VLOOKUP($B59,Database!$B$1:$IX$10144,AN$22,FALSE)))</f>
        <v>0</v>
      </c>
      <c r="AO59" s="22">
        <f>IF(OR($B59="",AO$22=""),"",IF(LEN(VLOOKUP($B59,Database!$B$1:$IX$10144,AO$22,FALSE))=0,"",VLOOKUP($B59,Database!$B$1:$IX$10144,AO$22,FALSE)))</f>
        <v>0</v>
      </c>
      <c r="AP59" s="22">
        <f>IF(OR($B59="",AP$22=""),"",IF(LEN(VLOOKUP($B59,Database!$B$1:$IX$10144,AP$22,FALSE))=0,"",VLOOKUP($B59,Database!$B$1:$IX$10144,AP$22,FALSE)))</f>
        <v>100</v>
      </c>
      <c r="AQ59" s="22" t="str">
        <f>IF(OR($B59="",AQ$22=""),"",IF(LEN(VLOOKUP($B59,Database!$B$1:$IX$10144,AQ$22,FALSE))=0,"",VLOOKUP($B59,Database!$B$1:$IX$10144,AQ$22,FALSE)))</f>
        <v>Monkul ES, Hatch JP, Nicoletti MA, Spence S, Brambilla P, Lacerda AL, Sassi RB, Mallinger AG, Keshavan MS, Soares JC.</v>
      </c>
    </row>
    <row r="60" spans="1:61">
      <c r="A60" s="10" t="s">
        <v>2336</v>
      </c>
      <c r="B60">
        <v>17389903</v>
      </c>
      <c r="C60" s="1" t="str">
        <f>IF($B60="","",HYPERLINK(IF(LEN(VLOOKUP($B60,Database!$B$1:$IX$10144,2,FALSE))=0,"",VLOOKUP($B60,Database!$B$1:$IX$10144,2,FALSE))))</f>
        <v/>
      </c>
      <c r="D60" s="1" t="str">
        <f t="shared" si="6"/>
        <v>http://www.ncbi.nlm.nih.gov/pubmed/17389903</v>
      </c>
      <c r="E60" s="22" t="str">
        <f>IF($B60="","",IF(LEN(VLOOKUP($B60,Database!$B$1:$IX$10144,4,FALSE))=0,"",VLOOKUP($B60,Database!$B$1:$IX$10144,4,FALSE)))</f>
        <v>Monkul ES</v>
      </c>
      <c r="F60" s="22">
        <f>IF($B60="","",IF(LEN(VLOOKUP($B60,Database!$B$1:$IX$10144,5,FALSE))=0,"",VLOOKUP($B60,Database!$B$1:$IX$10144,5,FALSE)))</f>
        <v>2007</v>
      </c>
      <c r="G60" s="1" t="str">
        <f>IF($B60="","",HYPERLINK(IF(LEN(VLOOKUP($B60,Database!$B$1:$IX$10144,6,FALSE))=0,"",VLOOKUP($B60,Database!$B$1:$IX$10144,6,FALSE))))</f>
        <v>http://www.nature.com/mp/journal/v12/n4/pdf/4001919a.pdf</v>
      </c>
      <c r="H60" s="83">
        <v>10</v>
      </c>
      <c r="I60" s="83">
        <v>8.5</v>
      </c>
      <c r="J60" t="s">
        <v>1654</v>
      </c>
      <c r="K60" t="s">
        <v>1158</v>
      </c>
      <c r="L60">
        <v>1.91</v>
      </c>
      <c r="M60">
        <v>0.44</v>
      </c>
      <c r="N60">
        <v>1.99</v>
      </c>
      <c r="O60">
        <v>0.39</v>
      </c>
      <c r="P60">
        <v>1.9</v>
      </c>
      <c r="Q60">
        <v>0.45</v>
      </c>
      <c r="R60">
        <v>2.08</v>
      </c>
      <c r="S60">
        <v>0.43</v>
      </c>
      <c r="Y60" s="22" t="str">
        <f>IF(OR($B60="",Y$22=""),"",IF(LEN(VLOOKUP($B60,Database!$B$1:$IX$10144,Y$22,FALSE))=0,"",VLOOKUP($B60,Database!$B$1:$IX$10144,Y$22,FALSE)))</f>
        <v>DSM-IV</v>
      </c>
      <c r="Z60" s="22" t="str">
        <f>IF(OR($B60="",Z$22=""),"",IF(LEN(VLOOKUP($B60,Database!$B$1:$IX$10144,Z$22,FALSE))=0,"",VLOOKUP($B60,Database!$B$1:$IX$10144,Z$22,FALSE)))</f>
        <v>MRI</v>
      </c>
      <c r="AA60" s="22" t="str">
        <f>IF(OR($B60="",AA$22=""),"",IF(LEN(VLOOKUP($B60,Database!$B$1:$IX$10144,AA$22,FALSE))=0,"",VLOOKUP($B60,Database!$B$1:$IX$10144,AA$22,FALSE)))</f>
        <v/>
      </c>
      <c r="AB60" s="22" t="str">
        <f>IF(OR($B60="",AB$22=""),"",IF(LEN(VLOOKUP($B60,Database!$B$1:$IX$10144,AB$22,FALSE))=0,"",VLOOKUP($B60,Database!$B$1:$IX$10144,AB$22,FALSE)))</f>
        <v/>
      </c>
      <c r="AC60" s="22" t="str">
        <f>IF(OR($B60="",AC$22=""),"",IF(LEN(VLOOKUP($B60,Database!$B$1:$IX$10144,AC$22,FALSE))=0,"",VLOOKUP($B60,Database!$B$1:$IX$10144,AC$22,FALSE)))</f>
        <v/>
      </c>
      <c r="AD60" s="22">
        <f>IF(OR($B60="",AD$22=""),"",IF(LEN(VLOOKUP($B60,Database!$B$1:$IX$10144,AD$22,FALSE))=0,"",VLOOKUP($B60,Database!$B$1:$IX$10144,AD$22,FALSE)))</f>
        <v>31.3</v>
      </c>
      <c r="AE60" s="22">
        <f>IF(OR($B60="",AE$22=""),"",IF(LEN(VLOOKUP($B60,Database!$B$1:$IX$10144,AE$22,FALSE))=0,"",VLOOKUP($B60,Database!$B$1:$IX$10144,AE$22,FALSE)))</f>
        <v>8.3000000000000007</v>
      </c>
      <c r="AF60" s="22">
        <f>IF(OR($B60="",AF$22=""),"",IF(LEN(VLOOKUP($B60,Database!$B$1:$IX$10144,AF$22,FALSE))=0,"",VLOOKUP($B60,Database!$B$1:$IX$10144,AF$22,FALSE)))</f>
        <v>17</v>
      </c>
      <c r="AG60" s="22">
        <f>IF(OR($B60="",AG$22=""),"",IF(LEN(VLOOKUP($B60,Database!$B$1:$IX$10144,AG$22,FALSE))=0,"",VLOOKUP($B60,Database!$B$1:$IX$10144,AG$22,FALSE)))</f>
        <v>17</v>
      </c>
      <c r="AH60" s="22">
        <f>IF(OR($B60="",AH$22=""),"",IF(LEN(VLOOKUP($B60,Database!$B$1:$IX$10144,AH$22,FALSE))=0,"",VLOOKUP($B60,Database!$B$1:$IX$10144,AH$22,FALSE)))</f>
        <v>1.5</v>
      </c>
      <c r="AI60" s="22">
        <f>IF(OR($B60="",AI$22=""),"",IF(LEN(VLOOKUP($B60,Database!$B$1:$IX$10144,AI$22,FALSE))=0,"",VLOOKUP($B60,Database!$B$1:$IX$10144,AI$22,FALSE)))</f>
        <v>1.5</v>
      </c>
      <c r="AJ60" s="22" t="str">
        <f>IF(OR($B60="",AJ$22=""),"",IF(LEN(VLOOKUP($B60,Database!$B$1:$IX$10144,AJ$22,FALSE))=0,"",VLOOKUP($B60,Database!$B$1:$IX$10144,AJ$22,FALSE)))</f>
        <v/>
      </c>
      <c r="AK60" s="22" t="str">
        <f>IF(OR($B60="",AK$22=""),"",IF(LEN(VLOOKUP($B60,Database!$B$1:$IX$10144,AK$22,FALSE))=0,"",VLOOKUP($B60,Database!$B$1:$IX$10144,AK$22,FALSE)))</f>
        <v>split depending on group (suicidal=16, nonsuicidal=26.9)</v>
      </c>
      <c r="AL60" s="22" t="str">
        <f>IF(OR($B60="",AL$22=""),"",IF(LEN(VLOOKUP($B60,Database!$B$1:$IX$10144,AL$22,FALSE))=0,"",VLOOKUP($B60,Database!$B$1:$IX$10144,AL$22,FALSE)))</f>
        <v>split depending on group (suicidal =13.7, non-suicidal = 10.9)</v>
      </c>
      <c r="AM60" s="22">
        <f>IF(OR($B60="",AM$22=""),"",IF(LEN(VLOOKUP($B60,Database!$B$1:$IX$10144,AM$22,FALSE))=0,"",VLOOKUP($B60,Database!$B$1:$IX$10144,AM$22,FALSE)))</f>
        <v>0</v>
      </c>
      <c r="AN60" s="22">
        <f>IF(OR($B60="",AN$22=""),"",IF(LEN(VLOOKUP($B60,Database!$B$1:$IX$10144,AN$22,FALSE))=0,"",VLOOKUP($B60,Database!$B$1:$IX$10144,AN$22,FALSE)))</f>
        <v>0</v>
      </c>
      <c r="AO60" s="22">
        <f>IF(OR($B60="",AO$22=""),"",IF(LEN(VLOOKUP($B60,Database!$B$1:$IX$10144,AO$22,FALSE))=0,"",VLOOKUP($B60,Database!$B$1:$IX$10144,AO$22,FALSE)))</f>
        <v>0</v>
      </c>
      <c r="AP60" s="22">
        <f>IF(OR($B60="",AP$22=""),"",IF(LEN(VLOOKUP($B60,Database!$B$1:$IX$10144,AP$22,FALSE))=0,"",VLOOKUP($B60,Database!$B$1:$IX$10144,AP$22,FALSE)))</f>
        <v>100</v>
      </c>
      <c r="AQ60" s="22" t="str">
        <f>IF(OR($B60="",AQ$22=""),"",IF(LEN(VLOOKUP($B60,Database!$B$1:$IX$10144,AQ$22,FALSE))=0,"",VLOOKUP($B60,Database!$B$1:$IX$10144,AQ$22,FALSE)))</f>
        <v>Monkul ES, Hatch JP, Nicoletti MA, Spence S, Brambilla P, Lacerda AL, Sassi RB, Mallinger AG, Keshavan MS, Soares JC.</v>
      </c>
    </row>
    <row r="61" spans="1:61">
      <c r="A61" s="10" t="s">
        <v>424</v>
      </c>
      <c r="B61">
        <v>18787661</v>
      </c>
      <c r="C61" s="1" t="str">
        <f>IF($B61="","",HYPERLINK(IF(LEN(VLOOKUP($B61,Database!$B$1:$IX$10144,2,FALSE))=0,"",VLOOKUP($B61,Database!$B$1:$IX$10144,2,FALSE))))</f>
        <v/>
      </c>
      <c r="D61" s="1" t="str">
        <f t="shared" si="6"/>
        <v>http://www.ncbi.nlm.nih.gov/pubmed/18787661</v>
      </c>
      <c r="E61" s="22" t="str">
        <f>IF($B61="","",IF(LEN(VLOOKUP($B61,Database!$B$1:$IX$10144,4,FALSE))=0,"",VLOOKUP($B61,Database!$B$1:$IX$10144,4,FALSE)))</f>
        <v>Frodl T (C)</v>
      </c>
      <c r="F61" s="22">
        <f>IF($B61="","",IF(LEN(VLOOKUP($B61,Database!$B$1:$IX$10144,5,FALSE))=0,"",VLOOKUP($B61,Database!$B$1:$IX$10144,5,FALSE)))</f>
        <v>2008</v>
      </c>
      <c r="G61" s="1" t="str">
        <f>IF($B61="","",HYPERLINK(IF(LEN(VLOOKUP($B61,Database!$B$1:$IX$10144,6,FALSE))=0,"",VLOOKUP($B61,Database!$B$1:$IX$10144,6,FALSE))))</f>
        <v>http://www.cma.ca/multimedia/staticContent/HTML/N0/l2/jpn/vol-33/issue-5/pdf/pg423.pdf</v>
      </c>
      <c r="H61" s="22">
        <f>IF($B61="","",IF(LEN(VLOOKUP($B61,Database!$B$1:$IX$10144,7,FALSE))=0,"",VLOOKUP($B61,Database!$B$1:$IX$10144,7,FALSE)))</f>
        <v>30</v>
      </c>
      <c r="I61" s="22">
        <f>IF($B61="","",IF(LEN(VLOOKUP($B61,Database!$B$1:$IX$10144,8,FALSE))=0,"",VLOOKUP($B61,Database!$B$1:$IX$10144,8,FALSE)))</f>
        <v>30</v>
      </c>
      <c r="J61" t="s">
        <v>653</v>
      </c>
      <c r="L61">
        <v>1.47</v>
      </c>
      <c r="M61">
        <v>0.25</v>
      </c>
      <c r="N61">
        <v>1.39</v>
      </c>
      <c r="O61">
        <v>0.21</v>
      </c>
      <c r="P61">
        <v>1.56</v>
      </c>
      <c r="Q61">
        <v>0.3</v>
      </c>
      <c r="R61">
        <v>1.45</v>
      </c>
      <c r="S61">
        <v>0.28000000000000003</v>
      </c>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f>IF(OR($B61="",AB$22=""),"",IF(LEN(VLOOKUP($B61,Database!$B$1:$IX$10144,AB$22,FALSE))=0,"",VLOOKUP($B61,Database!$B$1:$IX$10144,AB$22,FALSE)))</f>
        <v>45</v>
      </c>
      <c r="AC61" s="22">
        <f>IF(OR($B61="",AC$22=""),"",IF(LEN(VLOOKUP($B61,Database!$B$1:$IX$10144,AC$22,FALSE))=0,"",VLOOKUP($B61,Database!$B$1:$IX$10144,AC$22,FALSE)))</f>
        <v>11.1</v>
      </c>
      <c r="AD61" s="22">
        <f>IF(OR($B61="",AD$22=""),"",IF(LEN(VLOOKUP($B61,Database!$B$1:$IX$10144,AD$22,FALSE))=0,"",VLOOKUP($B61,Database!$B$1:$IX$10144,AD$22,FALSE)))</f>
        <v>43.6</v>
      </c>
      <c r="AE61" s="22">
        <f>IF(OR($B61="",AE$22=""),"",IF(LEN(VLOOKUP($B61,Database!$B$1:$IX$10144,AE$22,FALSE))=0,"",VLOOKUP($B61,Database!$B$1:$IX$10144,AE$22,FALSE)))</f>
        <v>13.1</v>
      </c>
      <c r="AF61" s="22">
        <f>IF(OR($B61="",AF$22=""),"",IF(LEN(VLOOKUP($B61,Database!$B$1:$IX$10144,AF$22,FALSE))=0,"",VLOOKUP($B61,Database!$B$1:$IX$10144,AF$22,FALSE)))</f>
        <v>19</v>
      </c>
      <c r="AG61" s="22">
        <f>IF(OR($B61="",AG$22=""),"",IF(LEN(VLOOKUP($B61,Database!$B$1:$IX$10144,AG$22,FALSE))=0,"",VLOOKUP($B61,Database!$B$1:$IX$10144,AG$22,FALSE)))</f>
        <v>19</v>
      </c>
      <c r="AH61" s="22">
        <f>IF(OR($B61="",AH$22=""),"",IF(LEN(VLOOKUP($B61,Database!$B$1:$IX$10144,AH$22,FALSE))=0,"",VLOOKUP($B61,Database!$B$1:$IX$10144,AH$22,FALSE)))</f>
        <v>1.5</v>
      </c>
      <c r="AI61" s="22">
        <f>IF(OR($B61="",AI$22=""),"",IF(LEN(VLOOKUP($B61,Database!$B$1:$IX$10144,AI$22,FALSE))=0,"",VLOOKUP($B61,Database!$B$1:$IX$10144,AI$22,FALSE)))</f>
        <v>1.5</v>
      </c>
      <c r="AJ61" s="22" t="str">
        <f>IF(OR($B61="",AJ$22=""),"",IF(LEN(VLOOKUP($B61,Database!$B$1:$IX$10144,AJ$22,FALSE))=0,"",VLOOKUP($B61,Database!$B$1:$IX$10144,AJ$22,FALSE)))</f>
        <v/>
      </c>
      <c r="AK61" s="22">
        <f>IF(OR($B61="",AK$22=""),"",IF(LEN(VLOOKUP($B61,Database!$B$1:$IX$10144,AK$22,FALSE))=0,"",VLOOKUP($B61,Database!$B$1:$IX$10144,AK$22,FALSE)))</f>
        <v>39.299999999999997</v>
      </c>
      <c r="AL61" s="22">
        <f>IF(OR($B61="",AL$22=""),"",IF(LEN(VLOOKUP($B61,Database!$B$1:$IX$10144,AL$22,FALSE))=0,"",VLOOKUP($B61,Database!$B$1:$IX$10144,AL$22,FALSE)))</f>
        <v>24</v>
      </c>
      <c r="AM61" s="22">
        <f>IF(OR($B61="",AM$22=""),"",IF(LEN(VLOOKUP($B61,Database!$B$1:$IX$10144,AM$22,FALSE))=0,"",VLOOKUP($B61,Database!$B$1:$IX$10144,AM$22,FALSE)))</f>
        <v>96.666666666666671</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Frodl T, Jäger M, Smajstrlova I, Born C, Bottlender R, Palladino T, Reiser M, Möller HJ, Meisenzahl EM.</v>
      </c>
    </row>
    <row r="62" spans="1:61">
      <c r="C62" s="1"/>
      <c r="D62" s="1"/>
      <c r="E62" s="22"/>
      <c r="F62" s="22"/>
      <c r="G62" s="1"/>
      <c r="H62" s="22"/>
      <c r="I62" s="22"/>
      <c r="K62" s="10"/>
      <c r="Y62" s="22"/>
      <c r="Z62" s="22"/>
      <c r="AA62" s="22"/>
      <c r="AB62" s="22"/>
      <c r="AC62" s="22"/>
      <c r="AD62" s="22"/>
      <c r="AE62" s="22"/>
      <c r="AF62" s="22"/>
      <c r="AG62" s="22"/>
      <c r="AH62" s="22"/>
      <c r="AI62" s="22"/>
      <c r="AJ62" s="22"/>
      <c r="AK62" s="22"/>
      <c r="AL62" s="22"/>
      <c r="AM62" s="22"/>
      <c r="AN62" s="22"/>
      <c r="AO62" s="22"/>
      <c r="AP62" s="22"/>
      <c r="AQ62" s="22"/>
    </row>
    <row r="63" spans="1:61">
      <c r="I63" s="22" t="str">
        <f>IF($B63="","",IF(LEN(VLOOKUP($B63,Database!$B$1:$IX$10144,8,FALSE))=0,"",VLOOKUP($B63,Database!$B$1:$IX$10144,8,FALSE)))</f>
        <v/>
      </c>
      <c r="AF63" t="s">
        <v>602</v>
      </c>
      <c r="AJ63" t="s">
        <v>329</v>
      </c>
      <c r="AN63" t="s">
        <v>330</v>
      </c>
    </row>
    <row r="64" spans="1:61" ht="45" customHeight="1">
      <c r="E64" s="60" t="s">
        <v>617</v>
      </c>
      <c r="F64" s="60" t="s">
        <v>740</v>
      </c>
      <c r="G64" s="60" t="s">
        <v>244</v>
      </c>
      <c r="H64" s="60" t="s">
        <v>245</v>
      </c>
      <c r="I64" s="60" t="s">
        <v>246</v>
      </c>
      <c r="J64" s="60" t="s">
        <v>593</v>
      </c>
      <c r="K64" s="60" t="s">
        <v>1039</v>
      </c>
      <c r="L64" s="60" t="s">
        <v>594</v>
      </c>
      <c r="M64" s="60" t="s">
        <v>1299</v>
      </c>
      <c r="N64" s="61" t="s">
        <v>595</v>
      </c>
      <c r="O64" s="61" t="s">
        <v>596</v>
      </c>
      <c r="P64" s="61" t="s">
        <v>597</v>
      </c>
      <c r="Q64" s="61" t="s">
        <v>598</v>
      </c>
      <c r="R64" s="61" t="s">
        <v>599</v>
      </c>
      <c r="S64" s="61" t="s">
        <v>600</v>
      </c>
      <c r="T64" s="61" t="s">
        <v>601</v>
      </c>
      <c r="U64" s="61" t="s">
        <v>484</v>
      </c>
      <c r="V64" s="61" t="s">
        <v>485</v>
      </c>
      <c r="W64" s="61" t="s">
        <v>486</v>
      </c>
      <c r="AF64" s="61" t="s">
        <v>1517</v>
      </c>
      <c r="AG64" s="62" t="s">
        <v>834</v>
      </c>
      <c r="AH64" s="62" t="s">
        <v>835</v>
      </c>
      <c r="AJ64" s="61" t="s">
        <v>836</v>
      </c>
      <c r="AK64" s="61" t="s">
        <v>837</v>
      </c>
      <c r="AL64" s="61" t="s">
        <v>487</v>
      </c>
      <c r="AN64" t="s">
        <v>488</v>
      </c>
      <c r="AO64" t="s">
        <v>489</v>
      </c>
      <c r="AP64" t="s">
        <v>490</v>
      </c>
      <c r="AQ64" t="s">
        <v>491</v>
      </c>
      <c r="AR64" t="s">
        <v>492</v>
      </c>
      <c r="AS64" t="s">
        <v>493</v>
      </c>
      <c r="AT64" t="s">
        <v>494</v>
      </c>
      <c r="AU64" t="s">
        <v>495</v>
      </c>
      <c r="AV64" t="s">
        <v>496</v>
      </c>
      <c r="AW64" t="s">
        <v>497</v>
      </c>
      <c r="AX64" t="s">
        <v>498</v>
      </c>
      <c r="AY64" t="s">
        <v>499</v>
      </c>
    </row>
    <row r="65" spans="5:51">
      <c r="E65" t="str">
        <f t="shared" ref="E65:F70" si="7">E24</f>
        <v>Bremner JD</v>
      </c>
      <c r="F65">
        <f t="shared" si="7"/>
        <v>2000</v>
      </c>
      <c r="G65">
        <v>25</v>
      </c>
      <c r="H65">
        <f t="shared" ref="H65:I70" si="8">H24</f>
        <v>16</v>
      </c>
      <c r="I65">
        <f t="shared" si="8"/>
        <v>16</v>
      </c>
      <c r="J65">
        <f t="shared" ref="J65:M70" si="9">IF($D$4="Total",T24,IF($D$4="Left",L24,IF($D$4="Right",P24,"error")))</f>
        <v>1676</v>
      </c>
      <c r="K65">
        <f t="shared" si="9"/>
        <v>474</v>
      </c>
      <c r="L65">
        <f t="shared" si="9"/>
        <v>1341</v>
      </c>
      <c r="M65">
        <f t="shared" si="9"/>
        <v>449</v>
      </c>
      <c r="N65">
        <f t="shared" ref="N65:N89" si="10">IF($D$3=1,SQRT((((I65-1)*(M65)^2)+((H65-1)*(K65)^2))/(H65+I65-2)),M65)</f>
        <v>461.66925390370108</v>
      </c>
      <c r="O65" s="59">
        <f t="shared" ref="O65:O89" si="11">IF($D$6=1,LN(J65/L65),IF($D$5=1,(1-3/(4*(H65+I65)-9))*((J65-L65)/N65),(J65-L65)/N65))</f>
        <v>0.70733456709000397</v>
      </c>
      <c r="P65" s="63">
        <f t="shared" ref="P65:P89" si="12">IF($D$6=1,(K65^2)/(H65*J65^2)+(M65^2)/(I65*L65^2),(IF($D$5=1,((H65+I65)/(H65*I65))+(O65*O65)/(2*(H65+I65-3.94)),((H65+I65)/(H65*I65))+((O65^2)/(2*(H65+I65-2))))))</f>
        <v>0.13391522077335002</v>
      </c>
      <c r="Q65" s="59">
        <f t="shared" ref="Q65:Q89" si="13">$R$106*SQRT(P65)</f>
        <v>0.71725080140973108</v>
      </c>
      <c r="R65" s="59">
        <f t="shared" ref="R65:R89" si="14">1/P65</f>
        <v>7.4674110547335655</v>
      </c>
      <c r="S65" s="59">
        <f t="shared" ref="S65:S89" si="15">O65*R65</f>
        <v>5.2819579656830768</v>
      </c>
      <c r="T65" s="59">
        <f t="shared" ref="T65:T89" si="16">R65*(O65^2)</f>
        <v>3.736111451044037</v>
      </c>
      <c r="U65" s="23">
        <f t="shared" ref="U65:U89" si="17">R65^2</f>
        <v>55.762227860357058</v>
      </c>
      <c r="V65" s="59">
        <f t="shared" ref="V65:V89" si="18">1/((1/R65)+$I$103)</f>
        <v>2.5864419828007086</v>
      </c>
      <c r="W65" s="59">
        <f t="shared" ref="W65:W89" si="19">V65*O65</f>
        <v>1.8294798202077507</v>
      </c>
      <c r="AF65" s="59">
        <f t="shared" ref="AF65:AF89" si="20">IF($D$6=1,100*((EXP(O65))-1),O65)</f>
        <v>0.70733456709000397</v>
      </c>
      <c r="AG65" s="59">
        <f t="shared" ref="AG65:AG89" si="21">IF($D$6=1,100*(EXP(O65+Q65)-EXP(O65)),Q65)</f>
        <v>0.71725080140973108</v>
      </c>
      <c r="AH65" s="59">
        <f t="shared" ref="AH65:AH89" si="22">IF($D$6=1,100*(EXP(O65)-EXP(O65-Q65)),Q65)</f>
        <v>0.71725080140973108</v>
      </c>
      <c r="AJ65">
        <f t="shared" ref="AJ65:AJ89" si="23">SQRT(P65)</f>
        <v>0.36594428643353627</v>
      </c>
      <c r="AK65">
        <f t="shared" ref="AK65:AK89" si="24">1/AJ65</f>
        <v>2.732656409930375</v>
      </c>
      <c r="AL65">
        <f t="shared" ref="AL65:AL89" si="25">O65/AJ65</f>
        <v>1.9329023387238262</v>
      </c>
      <c r="AN65" t="str">
        <f t="shared" ref="AN65:AN89" si="26">E65</f>
        <v>Bremner JD</v>
      </c>
      <c r="AO65">
        <f t="shared" ref="AO65:AO89" si="27">F65</f>
        <v>2000</v>
      </c>
      <c r="AP65" t="str">
        <f t="shared" ref="AP65:AP89" si="28">CONCATENATE(AN65," ",AO65)</f>
        <v>Bremner JD 2000</v>
      </c>
      <c r="AQ65">
        <f t="shared" ref="AQ65:AQ89" si="29">INT(H65)</f>
        <v>16</v>
      </c>
      <c r="AR65">
        <f t="shared" ref="AR65:AR89" si="30">J65</f>
        <v>1676</v>
      </c>
      <c r="AS65">
        <f t="shared" ref="AS65:AS89" si="31">K65</f>
        <v>474</v>
      </c>
      <c r="AT65">
        <f t="shared" ref="AT65:AT89" si="32">INT(I65)</f>
        <v>16</v>
      </c>
      <c r="AU65">
        <f t="shared" ref="AU65:AU89" si="33">L65</f>
        <v>1341</v>
      </c>
      <c r="AV65">
        <f t="shared" ref="AV65:AV89" si="34">M65</f>
        <v>449</v>
      </c>
      <c r="AW65" s="65">
        <f t="shared" ref="AW65:AW89" si="35">O65</f>
        <v>0.70733456709000397</v>
      </c>
      <c r="AX65">
        <f t="shared" ref="AX65:AX89" si="36">SQRT(P65)</f>
        <v>0.36594428643353627</v>
      </c>
      <c r="AY65" t="str">
        <f>$F$3</f>
        <v>Pooled SD</v>
      </c>
    </row>
    <row r="66" spans="5:51">
      <c r="E66" t="str">
        <f t="shared" si="7"/>
        <v>Lange C</v>
      </c>
      <c r="F66">
        <f t="shared" si="7"/>
        <v>2004</v>
      </c>
      <c r="G66">
        <v>24</v>
      </c>
      <c r="H66">
        <f t="shared" si="8"/>
        <v>17</v>
      </c>
      <c r="I66">
        <f t="shared" si="8"/>
        <v>17</v>
      </c>
      <c r="J66">
        <f t="shared" si="9"/>
        <v>2.5499999999999998</v>
      </c>
      <c r="K66">
        <f t="shared" si="9"/>
        <v>0.49</v>
      </c>
      <c r="L66">
        <f t="shared" si="9"/>
        <v>2.2599999999999998</v>
      </c>
      <c r="M66">
        <f t="shared" si="9"/>
        <v>0.33</v>
      </c>
      <c r="N66">
        <f t="shared" si="10"/>
        <v>0.41773197148410846</v>
      </c>
      <c r="O66" s="59">
        <f t="shared" si="11"/>
        <v>0.67782603589867751</v>
      </c>
      <c r="P66" s="63">
        <f t="shared" si="12"/>
        <v>0.12528924337013811</v>
      </c>
      <c r="Q66" s="59">
        <f t="shared" si="13"/>
        <v>0.69376592401956616</v>
      </c>
      <c r="R66" s="59">
        <f t="shared" si="14"/>
        <v>7.9815311602268295</v>
      </c>
      <c r="S66" s="59">
        <f t="shared" si="15"/>
        <v>5.4100896267383245</v>
      </c>
      <c r="T66" s="59">
        <f t="shared" si="16"/>
        <v>3.6670996055485943</v>
      </c>
      <c r="U66" s="23">
        <f t="shared" si="17"/>
        <v>63.704839661671841</v>
      </c>
      <c r="V66" s="59">
        <f t="shared" si="18"/>
        <v>2.6454638422041512</v>
      </c>
      <c r="W66" s="59">
        <f t="shared" si="19"/>
        <v>1.7931642692745244</v>
      </c>
      <c r="AF66" s="59">
        <f t="shared" si="20"/>
        <v>0.67782603589867751</v>
      </c>
      <c r="AG66" s="59">
        <f t="shared" si="21"/>
        <v>0.69376592401956616</v>
      </c>
      <c r="AH66" s="59">
        <f t="shared" si="22"/>
        <v>0.69376592401956616</v>
      </c>
      <c r="AJ66">
        <f t="shared" si="23"/>
        <v>0.35396220613243173</v>
      </c>
      <c r="AK66">
        <f t="shared" si="24"/>
        <v>2.8251603777886363</v>
      </c>
      <c r="AL66">
        <f t="shared" si="25"/>
        <v>1.9149672596544816</v>
      </c>
      <c r="AN66" t="str">
        <f t="shared" si="26"/>
        <v>Lange C</v>
      </c>
      <c r="AO66">
        <f t="shared" si="27"/>
        <v>2004</v>
      </c>
      <c r="AP66" t="str">
        <f t="shared" si="28"/>
        <v>Lange C 2004</v>
      </c>
      <c r="AQ66">
        <f t="shared" si="29"/>
        <v>17</v>
      </c>
      <c r="AR66">
        <f t="shared" si="30"/>
        <v>2.5499999999999998</v>
      </c>
      <c r="AS66">
        <f t="shared" si="31"/>
        <v>0.49</v>
      </c>
      <c r="AT66">
        <f t="shared" si="32"/>
        <v>17</v>
      </c>
      <c r="AU66">
        <f t="shared" si="33"/>
        <v>2.2599999999999998</v>
      </c>
      <c r="AV66">
        <f t="shared" si="34"/>
        <v>0.33</v>
      </c>
      <c r="AW66" s="65">
        <f t="shared" si="35"/>
        <v>0.67782603589867751</v>
      </c>
      <c r="AX66">
        <f t="shared" si="36"/>
        <v>0.35396220613243173</v>
      </c>
      <c r="AY66" t="str">
        <f>$F$4</f>
        <v>Total</v>
      </c>
    </row>
    <row r="67" spans="5:51">
      <c r="E67" t="str">
        <f t="shared" si="7"/>
        <v>Rosso IM</v>
      </c>
      <c r="F67">
        <f t="shared" si="7"/>
        <v>2005</v>
      </c>
      <c r="G67">
        <v>23</v>
      </c>
      <c r="H67">
        <f t="shared" si="8"/>
        <v>20</v>
      </c>
      <c r="I67">
        <f t="shared" si="8"/>
        <v>24</v>
      </c>
      <c r="J67">
        <f t="shared" si="9"/>
        <v>4.62</v>
      </c>
      <c r="K67">
        <f t="shared" si="9"/>
        <v>0.76</v>
      </c>
      <c r="L67">
        <f t="shared" si="9"/>
        <v>5.26</v>
      </c>
      <c r="M67">
        <f t="shared" si="9"/>
        <v>0.73499999999999999</v>
      </c>
      <c r="N67">
        <f t="shared" si="10"/>
        <v>0.74641324887440075</v>
      </c>
      <c r="O67" s="59">
        <f t="shared" si="11"/>
        <v>-0.84203086555572937</v>
      </c>
      <c r="P67" s="63">
        <f t="shared" si="12"/>
        <v>0.1005160922601331</v>
      </c>
      <c r="Q67" s="59">
        <f t="shared" si="13"/>
        <v>0.62140374960771461</v>
      </c>
      <c r="R67" s="59">
        <f t="shared" si="14"/>
        <v>9.9486557576474954</v>
      </c>
      <c r="S67" s="59">
        <f t="shared" si="15"/>
        <v>-8.3770752187279118</v>
      </c>
      <c r="T67" s="59">
        <f t="shared" si="16"/>
        <v>7.0537558972509142</v>
      </c>
      <c r="U67" s="23">
        <f t="shared" si="17"/>
        <v>98.975751384172668</v>
      </c>
      <c r="V67" s="59">
        <f t="shared" si="18"/>
        <v>2.8309974363883028</v>
      </c>
      <c r="W67" s="59">
        <f t="shared" si="19"/>
        <v>-2.3837872217480935</v>
      </c>
      <c r="AF67" s="59">
        <f t="shared" si="20"/>
        <v>-0.84203086555572937</v>
      </c>
      <c r="AG67" s="59">
        <f t="shared" si="21"/>
        <v>0.62140374960771461</v>
      </c>
      <c r="AH67" s="59">
        <f t="shared" si="22"/>
        <v>0.62140374960771461</v>
      </c>
      <c r="AJ67">
        <f t="shared" si="23"/>
        <v>0.31704272939169115</v>
      </c>
      <c r="AK67">
        <f t="shared" si="24"/>
        <v>3.1541489751829248</v>
      </c>
      <c r="AL67">
        <f t="shared" si="25"/>
        <v>-2.6558907916649948</v>
      </c>
      <c r="AN67" t="str">
        <f t="shared" si="26"/>
        <v>Rosso IM</v>
      </c>
      <c r="AO67">
        <f t="shared" si="27"/>
        <v>2005</v>
      </c>
      <c r="AP67" t="str">
        <f t="shared" si="28"/>
        <v>Rosso IM 2005</v>
      </c>
      <c r="AQ67">
        <f t="shared" si="29"/>
        <v>20</v>
      </c>
      <c r="AR67">
        <f t="shared" si="30"/>
        <v>4.62</v>
      </c>
      <c r="AS67">
        <f t="shared" si="31"/>
        <v>0.76</v>
      </c>
      <c r="AT67">
        <f t="shared" si="32"/>
        <v>24</v>
      </c>
      <c r="AU67">
        <f t="shared" si="33"/>
        <v>5.26</v>
      </c>
      <c r="AV67">
        <f t="shared" si="34"/>
        <v>0.73499999999999999</v>
      </c>
      <c r="AW67" s="65">
        <f t="shared" si="35"/>
        <v>-0.84203086555572937</v>
      </c>
      <c r="AX67">
        <f t="shared" si="36"/>
        <v>0.31704272939169115</v>
      </c>
      <c r="AY67" t="str">
        <f>$F$6</f>
        <v>Cohens Effect size</v>
      </c>
    </row>
    <row r="68" spans="5:51">
      <c r="E68" t="str">
        <f t="shared" si="7"/>
        <v>Hickie IB (A)</v>
      </c>
      <c r="F68">
        <f t="shared" si="7"/>
        <v>2007</v>
      </c>
      <c r="G68">
        <v>22</v>
      </c>
      <c r="H68">
        <f t="shared" si="8"/>
        <v>45</v>
      </c>
      <c r="I68">
        <f t="shared" si="8"/>
        <v>16</v>
      </c>
      <c r="J68">
        <f t="shared" si="9"/>
        <v>3.1</v>
      </c>
      <c r="K68">
        <f t="shared" si="9"/>
        <v>0.6</v>
      </c>
      <c r="L68">
        <f t="shared" si="9"/>
        <v>3.4</v>
      </c>
      <c r="M68">
        <f t="shared" si="9"/>
        <v>0.5</v>
      </c>
      <c r="N68">
        <f t="shared" si="10"/>
        <v>0.57622382656836113</v>
      </c>
      <c r="O68" s="59">
        <f t="shared" si="11"/>
        <v>-0.51398466899532258</v>
      </c>
      <c r="P68" s="63">
        <f t="shared" si="12"/>
        <v>8.7037155975834488E-2</v>
      </c>
      <c r="Q68" s="59">
        <f t="shared" si="13"/>
        <v>0.57824038115369092</v>
      </c>
      <c r="R68" s="59">
        <f t="shared" si="14"/>
        <v>11.489346001581737</v>
      </c>
      <c r="S68" s="59">
        <f t="shared" si="15"/>
        <v>-5.9053477015957219</v>
      </c>
      <c r="T68" s="59">
        <f t="shared" si="16"/>
        <v>3.0352581837069663</v>
      </c>
      <c r="U68" s="23">
        <f t="shared" si="17"/>
        <v>132.00507154406225</v>
      </c>
      <c r="V68" s="59">
        <f t="shared" si="18"/>
        <v>2.9433107426209162</v>
      </c>
      <c r="W68" s="59">
        <f t="shared" si="19"/>
        <v>-1.5128165977963888</v>
      </c>
      <c r="AF68" s="59">
        <f t="shared" si="20"/>
        <v>-0.51398466899532258</v>
      </c>
      <c r="AG68" s="59">
        <f t="shared" si="21"/>
        <v>0.57824038115369092</v>
      </c>
      <c r="AH68" s="59">
        <f t="shared" si="22"/>
        <v>0.57824038115369092</v>
      </c>
      <c r="AJ68">
        <f t="shared" si="23"/>
        <v>0.29502060262943414</v>
      </c>
      <c r="AK68">
        <f t="shared" si="24"/>
        <v>3.3895937812047241</v>
      </c>
      <c r="AL68">
        <f t="shared" si="25"/>
        <v>-1.742199237661114</v>
      </c>
      <c r="AN68" t="str">
        <f t="shared" si="26"/>
        <v>Hickie IB (A)</v>
      </c>
      <c r="AO68">
        <f t="shared" si="27"/>
        <v>2007</v>
      </c>
      <c r="AP68" t="str">
        <f t="shared" si="28"/>
        <v>Hickie IB (A) 2007</v>
      </c>
      <c r="AQ68">
        <f t="shared" si="29"/>
        <v>45</v>
      </c>
      <c r="AR68">
        <f t="shared" si="30"/>
        <v>3.1</v>
      </c>
      <c r="AS68">
        <f t="shared" si="31"/>
        <v>0.6</v>
      </c>
      <c r="AT68">
        <f t="shared" si="32"/>
        <v>16</v>
      </c>
      <c r="AU68">
        <f t="shared" si="33"/>
        <v>3.4</v>
      </c>
      <c r="AV68">
        <f t="shared" si="34"/>
        <v>0.5</v>
      </c>
      <c r="AW68" s="65">
        <f t="shared" si="35"/>
        <v>-0.51398466899532258</v>
      </c>
      <c r="AX68">
        <f t="shared" si="36"/>
        <v>0.29502060262943414</v>
      </c>
    </row>
    <row r="69" spans="5:51">
      <c r="E69" t="str">
        <f t="shared" si="7"/>
        <v>Andreescu C</v>
      </c>
      <c r="F69">
        <f t="shared" si="7"/>
        <v>2008</v>
      </c>
      <c r="G69">
        <v>21</v>
      </c>
      <c r="H69">
        <f t="shared" si="8"/>
        <v>71</v>
      </c>
      <c r="I69">
        <f t="shared" si="8"/>
        <v>32</v>
      </c>
      <c r="J69">
        <f t="shared" si="9"/>
        <v>0.22</v>
      </c>
      <c r="K69">
        <f t="shared" si="9"/>
        <v>0.04</v>
      </c>
      <c r="L69">
        <f t="shared" si="9"/>
        <v>0.26</v>
      </c>
      <c r="M69">
        <f t="shared" si="9"/>
        <v>0.04</v>
      </c>
      <c r="N69">
        <f t="shared" si="10"/>
        <v>0.04</v>
      </c>
      <c r="O69" s="59">
        <f t="shared" si="11"/>
        <v>-0.99255583126550895</v>
      </c>
      <c r="P69" s="63">
        <f t="shared" si="12"/>
        <v>5.0307084662782324E-2</v>
      </c>
      <c r="Q69" s="59">
        <f t="shared" si="13"/>
        <v>0.43961312132435787</v>
      </c>
      <c r="R69" s="59">
        <f t="shared" si="14"/>
        <v>19.877915937748821</v>
      </c>
      <c r="S69" s="59">
        <f t="shared" si="15"/>
        <v>-19.729941377418189</v>
      </c>
      <c r="T69" s="59">
        <f t="shared" si="16"/>
        <v>19.583068364683072</v>
      </c>
      <c r="U69" s="23">
        <f t="shared" si="17"/>
        <v>395.13154202820857</v>
      </c>
      <c r="V69" s="59">
        <f t="shared" si="18"/>
        <v>3.3000753309623017</v>
      </c>
      <c r="W69" s="59">
        <f t="shared" si="19"/>
        <v>-3.275509013362087</v>
      </c>
      <c r="AF69" s="59">
        <f t="shared" si="20"/>
        <v>-0.99255583126550895</v>
      </c>
      <c r="AG69" s="59">
        <f t="shared" si="21"/>
        <v>0.43961312132435787</v>
      </c>
      <c r="AH69" s="59">
        <f t="shared" si="22"/>
        <v>0.43961312132435787</v>
      </c>
      <c r="AJ69">
        <f t="shared" si="23"/>
        <v>0.2242924088389581</v>
      </c>
      <c r="AK69">
        <f t="shared" si="24"/>
        <v>4.4584656483759995</v>
      </c>
      <c r="AL69">
        <f t="shared" si="25"/>
        <v>-4.4252760777925566</v>
      </c>
      <c r="AN69" t="str">
        <f t="shared" si="26"/>
        <v>Andreescu C</v>
      </c>
      <c r="AO69">
        <f t="shared" si="27"/>
        <v>2008</v>
      </c>
      <c r="AP69" t="str">
        <f t="shared" si="28"/>
        <v>Andreescu C 2008</v>
      </c>
      <c r="AQ69">
        <f t="shared" si="29"/>
        <v>71</v>
      </c>
      <c r="AR69">
        <f t="shared" si="30"/>
        <v>0.22</v>
      </c>
      <c r="AS69">
        <f t="shared" si="31"/>
        <v>0.04</v>
      </c>
      <c r="AT69">
        <f t="shared" si="32"/>
        <v>32</v>
      </c>
      <c r="AU69">
        <f t="shared" si="33"/>
        <v>0.26</v>
      </c>
      <c r="AV69">
        <f t="shared" si="34"/>
        <v>0.04</v>
      </c>
      <c r="AW69" s="65">
        <f t="shared" si="35"/>
        <v>-0.99255583126550895</v>
      </c>
      <c r="AX69">
        <f t="shared" si="36"/>
        <v>0.2242924088389581</v>
      </c>
    </row>
    <row r="70" spans="5:51">
      <c r="E70" t="str">
        <f t="shared" si="7"/>
        <v>Weber K</v>
      </c>
      <c r="F70">
        <f t="shared" si="7"/>
        <v>2009</v>
      </c>
      <c r="G70">
        <v>20</v>
      </c>
      <c r="H70">
        <f t="shared" si="8"/>
        <v>38</v>
      </c>
      <c r="I70">
        <f t="shared" si="8"/>
        <v>62</v>
      </c>
      <c r="J70">
        <f t="shared" si="9"/>
        <v>1.67</v>
      </c>
      <c r="K70">
        <f t="shared" si="9"/>
        <v>0.25</v>
      </c>
      <c r="L70">
        <f t="shared" si="9"/>
        <v>1.68</v>
      </c>
      <c r="M70">
        <f t="shared" si="9"/>
        <v>0.27</v>
      </c>
      <c r="N70">
        <f t="shared" si="10"/>
        <v>0.26262800571864969</v>
      </c>
      <c r="O70" s="59">
        <f t="shared" si="11"/>
        <v>-3.7784521990086986E-2</v>
      </c>
      <c r="P70" s="63">
        <f t="shared" si="12"/>
        <v>4.245225286906925E-2</v>
      </c>
      <c r="Q70" s="59">
        <f t="shared" si="13"/>
        <v>0.4038373120723448</v>
      </c>
      <c r="R70" s="59">
        <f t="shared" si="14"/>
        <v>23.555875893893983</v>
      </c>
      <c r="S70" s="59">
        <f t="shared" si="15"/>
        <v>-0.89004751070859711</v>
      </c>
      <c r="T70" s="59">
        <f t="shared" si="16"/>
        <v>3.3630019740591169E-2</v>
      </c>
      <c r="U70" s="23">
        <f t="shared" si="17"/>
        <v>554.87928912853567</v>
      </c>
      <c r="V70" s="59">
        <f t="shared" si="18"/>
        <v>3.3878947693284069</v>
      </c>
      <c r="W70" s="59">
        <f t="shared" si="19"/>
        <v>-0.12800998441178987</v>
      </c>
      <c r="AF70" s="59">
        <f t="shared" si="20"/>
        <v>-3.7784521990086986E-2</v>
      </c>
      <c r="AG70" s="59">
        <f t="shared" si="21"/>
        <v>0.4038373120723448</v>
      </c>
      <c r="AH70" s="59">
        <f t="shared" si="22"/>
        <v>0.4038373120723448</v>
      </c>
      <c r="AJ70">
        <f t="shared" si="23"/>
        <v>0.20603944493486981</v>
      </c>
      <c r="AK70">
        <f t="shared" si="24"/>
        <v>4.8534395941325963</v>
      </c>
      <c r="AL70">
        <f t="shared" si="25"/>
        <v>-0.18338489507206196</v>
      </c>
      <c r="AN70" t="str">
        <f t="shared" si="26"/>
        <v>Weber K</v>
      </c>
      <c r="AO70">
        <f t="shared" si="27"/>
        <v>2009</v>
      </c>
      <c r="AP70" t="str">
        <f t="shared" si="28"/>
        <v>Weber K 2009</v>
      </c>
      <c r="AQ70">
        <f t="shared" si="29"/>
        <v>38</v>
      </c>
      <c r="AR70">
        <f t="shared" si="30"/>
        <v>1.67</v>
      </c>
      <c r="AS70">
        <f t="shared" si="31"/>
        <v>0.25</v>
      </c>
      <c r="AT70">
        <f t="shared" si="32"/>
        <v>62</v>
      </c>
      <c r="AU70">
        <f t="shared" si="33"/>
        <v>1.68</v>
      </c>
      <c r="AV70">
        <f t="shared" si="34"/>
        <v>0.27</v>
      </c>
      <c r="AW70" s="65">
        <f t="shared" si="35"/>
        <v>-3.7784521990086986E-2</v>
      </c>
      <c r="AX70">
        <f t="shared" si="36"/>
        <v>0.20603944493486981</v>
      </c>
    </row>
    <row r="71" spans="5:51">
      <c r="E71" t="str">
        <f t="shared" ref="E71:F89" si="37">E32</f>
        <v>Sheline YI</v>
      </c>
      <c r="F71">
        <f t="shared" si="37"/>
        <v>1998</v>
      </c>
      <c r="G71">
        <v>19</v>
      </c>
      <c r="H71">
        <f t="shared" ref="H71:I89" si="38">H32</f>
        <v>20</v>
      </c>
      <c r="I71">
        <f t="shared" si="38"/>
        <v>20</v>
      </c>
      <c r="J71">
        <f t="shared" ref="J71:J89" si="39">IF($D$4="Total",T32,IF($D$4="Left",L32,IF($D$4="Right",P32,"error")))</f>
        <v>3374</v>
      </c>
      <c r="K71">
        <f t="shared" ref="K71:K89" si="40">IF($D$4="Total",U32,IF($D$4="Left",M32,IF($D$4="Right",Q32,"error")))</f>
        <v>582.49463516842798</v>
      </c>
      <c r="L71">
        <f t="shared" ref="L71:L89" si="41">IF($D$4="Total",V32,IF($D$4="Left",N32,IF($D$4="Right",R32,"error")))</f>
        <v>3534</v>
      </c>
      <c r="M71">
        <f t="shared" ref="M71:M89" si="42">IF($D$4="Total",W32,IF($D$4="Left",O32,IF($D$4="Right",S32,"error")))</f>
        <v>560.67191832657363</v>
      </c>
      <c r="N71">
        <f t="shared" si="10"/>
        <v>571.68741458947648</v>
      </c>
      <c r="O71" s="59">
        <f t="shared" si="11"/>
        <v>-0.27431282909313648</v>
      </c>
      <c r="P71" s="63">
        <f t="shared" si="12"/>
        <v>0.10104336561571105</v>
      </c>
      <c r="Q71" s="59">
        <f t="shared" si="13"/>
        <v>0.62303145454247777</v>
      </c>
      <c r="R71" s="59">
        <f t="shared" si="14"/>
        <v>9.8967408093195175</v>
      </c>
      <c r="S71" s="59">
        <f t="shared" si="15"/>
        <v>-2.714802970205934</v>
      </c>
      <c r="T71" s="59">
        <f t="shared" si="16"/>
        <v>0.74470528318763973</v>
      </c>
      <c r="U71" s="23">
        <f t="shared" si="17"/>
        <v>97.945478646850333</v>
      </c>
      <c r="V71" s="59">
        <f t="shared" si="18"/>
        <v>2.8267778781445592</v>
      </c>
      <c r="W71" s="59">
        <f t="shared" si="19"/>
        <v>-0.77542143697172738</v>
      </c>
      <c r="AF71" s="59">
        <f t="shared" si="20"/>
        <v>-0.27431282909313648</v>
      </c>
      <c r="AG71" s="59">
        <f t="shared" si="21"/>
        <v>0.62303145454247777</v>
      </c>
      <c r="AH71" s="59">
        <f t="shared" si="22"/>
        <v>0.62303145454247777</v>
      </c>
      <c r="AJ71">
        <f t="shared" si="23"/>
        <v>0.31787319109310092</v>
      </c>
      <c r="AK71">
        <f t="shared" si="24"/>
        <v>3.1459085824797128</v>
      </c>
      <c r="AL71">
        <f t="shared" si="25"/>
        <v>-0.86296308332838878</v>
      </c>
      <c r="AN71" t="str">
        <f t="shared" si="26"/>
        <v>Sheline YI</v>
      </c>
      <c r="AO71">
        <f t="shared" si="27"/>
        <v>1998</v>
      </c>
      <c r="AP71" t="str">
        <f t="shared" si="28"/>
        <v>Sheline YI 1998</v>
      </c>
      <c r="AQ71">
        <f t="shared" si="29"/>
        <v>20</v>
      </c>
      <c r="AR71">
        <f t="shared" si="30"/>
        <v>3374</v>
      </c>
      <c r="AS71">
        <f t="shared" si="31"/>
        <v>582.49463516842798</v>
      </c>
      <c r="AT71">
        <f t="shared" si="32"/>
        <v>20</v>
      </c>
      <c r="AU71">
        <f t="shared" si="33"/>
        <v>3534</v>
      </c>
      <c r="AV71">
        <f t="shared" si="34"/>
        <v>560.67191832657363</v>
      </c>
      <c r="AW71" s="65">
        <f t="shared" si="35"/>
        <v>-0.27431282909313648</v>
      </c>
      <c r="AX71">
        <f t="shared" si="36"/>
        <v>0.31787319109310092</v>
      </c>
    </row>
    <row r="72" spans="5:51">
      <c r="E72" t="str">
        <f t="shared" si="37"/>
        <v>Frodl T</v>
      </c>
      <c r="F72">
        <f t="shared" si="37"/>
        <v>2003</v>
      </c>
      <c r="G72">
        <v>18</v>
      </c>
      <c r="H72">
        <f t="shared" si="38"/>
        <v>30</v>
      </c>
      <c r="I72">
        <f t="shared" si="38"/>
        <v>30</v>
      </c>
      <c r="J72">
        <f t="shared" si="39"/>
        <v>3895</v>
      </c>
      <c r="K72">
        <f t="shared" si="40"/>
        <v>525.73833795910298</v>
      </c>
      <c r="L72">
        <f t="shared" si="41"/>
        <v>3591</v>
      </c>
      <c r="M72">
        <f t="shared" si="42"/>
        <v>541.71376205520198</v>
      </c>
      <c r="N72">
        <f t="shared" si="10"/>
        <v>533.78581847029238</v>
      </c>
      <c r="O72" s="59">
        <f t="shared" si="11"/>
        <v>0.56212049415592946</v>
      </c>
      <c r="P72" s="63">
        <f t="shared" si="12"/>
        <v>6.9484892228119627E-2</v>
      </c>
      <c r="Q72" s="59">
        <f t="shared" si="13"/>
        <v>0.51665574804074754</v>
      </c>
      <c r="R72" s="59">
        <f t="shared" si="14"/>
        <v>14.391617629872542</v>
      </c>
      <c r="S72" s="59">
        <f t="shared" si="15"/>
        <v>8.08982321380714</v>
      </c>
      <c r="T72" s="59">
        <f t="shared" si="16"/>
        <v>4.5474554225793788</v>
      </c>
      <c r="U72" s="23">
        <f t="shared" si="17"/>
        <v>207.11865800445815</v>
      </c>
      <c r="V72" s="59">
        <f t="shared" si="18"/>
        <v>3.1036508267629705</v>
      </c>
      <c r="W72" s="59">
        <f t="shared" si="19"/>
        <v>1.74462573642746</v>
      </c>
      <c r="AF72" s="59">
        <f t="shared" si="20"/>
        <v>0.56212049415592946</v>
      </c>
      <c r="AG72" s="59">
        <f t="shared" si="21"/>
        <v>0.51665574804074754</v>
      </c>
      <c r="AH72" s="59">
        <f t="shared" si="22"/>
        <v>0.51665574804074754</v>
      </c>
      <c r="AJ72">
        <f t="shared" si="23"/>
        <v>0.26359987144936098</v>
      </c>
      <c r="AK72">
        <f t="shared" si="24"/>
        <v>3.793628557182759</v>
      </c>
      <c r="AL72">
        <f t="shared" si="25"/>
        <v>2.1324763592076179</v>
      </c>
      <c r="AN72" t="str">
        <f t="shared" si="26"/>
        <v>Frodl T</v>
      </c>
      <c r="AO72">
        <f t="shared" si="27"/>
        <v>2003</v>
      </c>
      <c r="AP72" t="str">
        <f t="shared" si="28"/>
        <v>Frodl T 2003</v>
      </c>
      <c r="AQ72">
        <f t="shared" si="29"/>
        <v>30</v>
      </c>
      <c r="AR72">
        <f t="shared" si="30"/>
        <v>3895</v>
      </c>
      <c r="AS72">
        <f t="shared" si="31"/>
        <v>525.73833795910298</v>
      </c>
      <c r="AT72">
        <f t="shared" si="32"/>
        <v>30</v>
      </c>
      <c r="AU72">
        <f t="shared" si="33"/>
        <v>3591</v>
      </c>
      <c r="AV72">
        <f t="shared" si="34"/>
        <v>541.71376205520198</v>
      </c>
      <c r="AW72" s="65">
        <f t="shared" si="35"/>
        <v>0.56212049415592946</v>
      </c>
      <c r="AX72">
        <f t="shared" si="36"/>
        <v>0.26359987144936098</v>
      </c>
    </row>
    <row r="73" spans="5:51">
      <c r="E73" t="str">
        <f t="shared" si="37"/>
        <v>Frodl T</v>
      </c>
      <c r="F73">
        <f t="shared" si="37"/>
        <v>2003</v>
      </c>
      <c r="G73">
        <v>17</v>
      </c>
      <c r="H73">
        <f t="shared" si="38"/>
        <v>27</v>
      </c>
      <c r="I73">
        <f t="shared" si="38"/>
        <v>27</v>
      </c>
      <c r="J73">
        <f t="shared" si="39"/>
        <v>3542</v>
      </c>
      <c r="K73">
        <f t="shared" si="40"/>
        <v>458.25342333691299</v>
      </c>
      <c r="L73">
        <f t="shared" si="41"/>
        <v>3556</v>
      </c>
      <c r="M73">
        <f t="shared" si="42"/>
        <v>530.37288769317763</v>
      </c>
      <c r="N73">
        <f t="shared" si="10"/>
        <v>495.62667401987153</v>
      </c>
      <c r="O73" s="59">
        <f t="shared" si="11"/>
        <v>-2.7837689479808313E-2</v>
      </c>
      <c r="P73" s="63">
        <f t="shared" si="12"/>
        <v>7.4081814155532069E-2</v>
      </c>
      <c r="Q73" s="59">
        <f t="shared" si="13"/>
        <v>0.5334723022424801</v>
      </c>
      <c r="R73" s="59">
        <f t="shared" si="14"/>
        <v>13.498589517537145</v>
      </c>
      <c r="S73" s="59">
        <f t="shared" si="15"/>
        <v>-0.37576954340459456</v>
      </c>
      <c r="T73" s="59">
        <f t="shared" si="16"/>
        <v>1.0460555865266456E-2</v>
      </c>
      <c r="U73" s="23">
        <f t="shared" si="17"/>
        <v>182.21191896296369</v>
      </c>
      <c r="V73" s="59">
        <f t="shared" si="18"/>
        <v>3.0599931681800197</v>
      </c>
      <c r="W73" s="59">
        <f t="shared" si="19"/>
        <v>-8.518313962613025E-2</v>
      </c>
      <c r="AF73" s="59">
        <f t="shared" si="20"/>
        <v>-2.7837689479808313E-2</v>
      </c>
      <c r="AG73" s="59">
        <f t="shared" si="21"/>
        <v>0.5334723022424801</v>
      </c>
      <c r="AH73" s="59">
        <f t="shared" si="22"/>
        <v>0.5334723022424801</v>
      </c>
      <c r="AJ73">
        <f t="shared" si="23"/>
        <v>0.27217974604208167</v>
      </c>
      <c r="AK73">
        <f t="shared" si="24"/>
        <v>3.6740426668095654</v>
      </c>
      <c r="AL73">
        <f t="shared" si="25"/>
        <v>-0.10227685889421152</v>
      </c>
      <c r="AN73" t="str">
        <f t="shared" si="26"/>
        <v>Frodl T</v>
      </c>
      <c r="AO73">
        <f t="shared" si="27"/>
        <v>2003</v>
      </c>
      <c r="AP73" t="str">
        <f t="shared" si="28"/>
        <v>Frodl T 2003</v>
      </c>
      <c r="AQ73">
        <f t="shared" si="29"/>
        <v>27</v>
      </c>
      <c r="AR73">
        <f t="shared" si="30"/>
        <v>3542</v>
      </c>
      <c r="AS73">
        <f t="shared" si="31"/>
        <v>458.25342333691299</v>
      </c>
      <c r="AT73">
        <f t="shared" si="32"/>
        <v>27</v>
      </c>
      <c r="AU73">
        <f t="shared" si="33"/>
        <v>3556</v>
      </c>
      <c r="AV73">
        <f t="shared" si="34"/>
        <v>530.37288769317763</v>
      </c>
      <c r="AW73" s="65">
        <f t="shared" si="35"/>
        <v>-2.7837689479808313E-2</v>
      </c>
      <c r="AX73">
        <f t="shared" si="36"/>
        <v>0.27217974604208167</v>
      </c>
    </row>
    <row r="74" spans="5:51">
      <c r="E74" t="str">
        <f t="shared" si="37"/>
        <v>Caetano SC</v>
      </c>
      <c r="F74">
        <f t="shared" si="37"/>
        <v>2004</v>
      </c>
      <c r="G74">
        <v>16</v>
      </c>
      <c r="H74">
        <f t="shared" si="38"/>
        <v>31</v>
      </c>
      <c r="I74">
        <f t="shared" si="38"/>
        <v>31</v>
      </c>
      <c r="J74">
        <f t="shared" si="39"/>
        <v>3.87</v>
      </c>
      <c r="K74">
        <f t="shared" si="40"/>
        <v>0.81625976257561539</v>
      </c>
      <c r="L74">
        <f t="shared" si="41"/>
        <v>4.2</v>
      </c>
      <c r="M74">
        <f t="shared" si="42"/>
        <v>0.73054773971315523</v>
      </c>
      <c r="N74">
        <f t="shared" si="10"/>
        <v>0.77459021424234364</v>
      </c>
      <c r="O74" s="59">
        <f t="shared" si="11"/>
        <v>-0.42068403988876635</v>
      </c>
      <c r="P74" s="63">
        <f t="shared" si="12"/>
        <v>6.6040199488829998E-2</v>
      </c>
      <c r="Q74" s="59">
        <f t="shared" si="13"/>
        <v>0.50368644051263611</v>
      </c>
      <c r="R74" s="59">
        <f t="shared" si="14"/>
        <v>15.142292236248309</v>
      </c>
      <c r="S74" s="59">
        <f t="shared" si="15"/>
        <v>-6.3701206711212404</v>
      </c>
      <c r="T74" s="59">
        <f t="shared" si="16"/>
        <v>2.6798080985062231</v>
      </c>
      <c r="U74" s="23">
        <f t="shared" si="17"/>
        <v>229.28901416794582</v>
      </c>
      <c r="V74" s="59">
        <f t="shared" si="18"/>
        <v>3.1371909222562557</v>
      </c>
      <c r="W74" s="59">
        <f t="shared" si="19"/>
        <v>-1.3197661510771264</v>
      </c>
      <c r="AF74" s="59">
        <f t="shared" si="20"/>
        <v>-0.42068403988876635</v>
      </c>
      <c r="AG74" s="59">
        <f t="shared" si="21"/>
        <v>0.50368644051263611</v>
      </c>
      <c r="AH74" s="59">
        <f t="shared" si="22"/>
        <v>0.50368644051263611</v>
      </c>
      <c r="AJ74">
        <f t="shared" si="23"/>
        <v>0.25698287781256945</v>
      </c>
      <c r="AK74">
        <f t="shared" si="24"/>
        <v>3.8913098355500177</v>
      </c>
      <c r="AL74">
        <f t="shared" si="25"/>
        <v>-1.6370119420780727</v>
      </c>
      <c r="AN74" t="str">
        <f t="shared" si="26"/>
        <v>Caetano SC</v>
      </c>
      <c r="AO74">
        <f t="shared" si="27"/>
        <v>2004</v>
      </c>
      <c r="AP74" t="str">
        <f t="shared" si="28"/>
        <v>Caetano SC 2004</v>
      </c>
      <c r="AQ74">
        <f t="shared" si="29"/>
        <v>31</v>
      </c>
      <c r="AR74">
        <f t="shared" si="30"/>
        <v>3.87</v>
      </c>
      <c r="AS74">
        <f t="shared" si="31"/>
        <v>0.81625976257561539</v>
      </c>
      <c r="AT74">
        <f t="shared" si="32"/>
        <v>31</v>
      </c>
      <c r="AU74">
        <f t="shared" si="33"/>
        <v>4.2</v>
      </c>
      <c r="AV74">
        <f t="shared" si="34"/>
        <v>0.73054773971315523</v>
      </c>
      <c r="AW74" s="65">
        <f t="shared" si="35"/>
        <v>-0.42068403988876635</v>
      </c>
      <c r="AX74">
        <f t="shared" si="36"/>
        <v>0.25698287781256945</v>
      </c>
    </row>
    <row r="75" spans="5:51">
      <c r="E75" t="str">
        <f t="shared" si="37"/>
        <v>Hastings RS</v>
      </c>
      <c r="F75">
        <f t="shared" si="37"/>
        <v>2004</v>
      </c>
      <c r="G75">
        <v>15</v>
      </c>
      <c r="H75">
        <f t="shared" si="38"/>
        <v>10</v>
      </c>
      <c r="I75">
        <f t="shared" si="38"/>
        <v>10</v>
      </c>
      <c r="J75">
        <f t="shared" si="39"/>
        <v>2865</v>
      </c>
      <c r="K75">
        <f t="shared" si="40"/>
        <v>531.5370165849223</v>
      </c>
      <c r="L75">
        <f t="shared" si="41"/>
        <v>3563</v>
      </c>
      <c r="M75">
        <f t="shared" si="42"/>
        <v>536.27045415536361</v>
      </c>
      <c r="N75">
        <f t="shared" si="10"/>
        <v>533.90898100706261</v>
      </c>
      <c r="O75" s="59">
        <f t="shared" si="11"/>
        <v>-1.2520992641715425</v>
      </c>
      <c r="P75" s="63">
        <f t="shared" si="12"/>
        <v>0.2488092331051967</v>
      </c>
      <c r="Q75" s="59">
        <f t="shared" si="13"/>
        <v>0.97766331111325</v>
      </c>
      <c r="R75" s="59">
        <f t="shared" si="14"/>
        <v>4.0191434518718179</v>
      </c>
      <c r="S75" s="59">
        <f t="shared" si="15"/>
        <v>-5.0323665586885769</v>
      </c>
      <c r="T75" s="59">
        <f t="shared" si="16"/>
        <v>6.3010224651754436</v>
      </c>
      <c r="U75" s="23">
        <f t="shared" si="17"/>
        <v>16.153514086724112</v>
      </c>
      <c r="V75" s="59">
        <f t="shared" si="18"/>
        <v>1.9939164246567906</v>
      </c>
      <c r="W75" s="59">
        <f t="shared" si="19"/>
        <v>-2.4965812881323206</v>
      </c>
      <c r="AF75" s="59">
        <f t="shared" si="20"/>
        <v>-1.2520992641715425</v>
      </c>
      <c r="AG75" s="59">
        <f t="shared" si="21"/>
        <v>0.97766331111325</v>
      </c>
      <c r="AH75" s="59">
        <f t="shared" si="22"/>
        <v>0.97766331111325</v>
      </c>
      <c r="AJ75">
        <f t="shared" si="23"/>
        <v>0.49880781179247452</v>
      </c>
      <c r="AK75">
        <f t="shared" si="24"/>
        <v>2.0047801505082341</v>
      </c>
      <c r="AL75">
        <f t="shared" si="25"/>
        <v>-2.5101837512770744</v>
      </c>
      <c r="AN75" t="str">
        <f t="shared" si="26"/>
        <v>Hastings RS</v>
      </c>
      <c r="AO75">
        <f t="shared" si="27"/>
        <v>2004</v>
      </c>
      <c r="AP75" t="str">
        <f t="shared" si="28"/>
        <v>Hastings RS 2004</v>
      </c>
      <c r="AQ75">
        <f t="shared" si="29"/>
        <v>10</v>
      </c>
      <c r="AR75">
        <f t="shared" si="30"/>
        <v>2865</v>
      </c>
      <c r="AS75">
        <f t="shared" si="31"/>
        <v>531.5370165849223</v>
      </c>
      <c r="AT75">
        <f t="shared" si="32"/>
        <v>10</v>
      </c>
      <c r="AU75">
        <f t="shared" si="33"/>
        <v>3563</v>
      </c>
      <c r="AV75">
        <f t="shared" si="34"/>
        <v>536.27045415536361</v>
      </c>
      <c r="AW75" s="65">
        <f t="shared" si="35"/>
        <v>-1.2520992641715425</v>
      </c>
      <c r="AX75">
        <f t="shared" si="36"/>
        <v>0.49880781179247452</v>
      </c>
    </row>
    <row r="76" spans="5:51">
      <c r="E76" t="str">
        <f t="shared" si="37"/>
        <v>Xia J</v>
      </c>
      <c r="F76">
        <f t="shared" si="37"/>
        <v>2004</v>
      </c>
      <c r="G76">
        <v>14</v>
      </c>
      <c r="H76">
        <f t="shared" si="38"/>
        <v>22</v>
      </c>
      <c r="I76">
        <f t="shared" si="38"/>
        <v>13</v>
      </c>
      <c r="J76">
        <f t="shared" si="39"/>
        <v>4477.2299999999996</v>
      </c>
      <c r="K76">
        <f t="shared" si="40"/>
        <v>247.71557274422617</v>
      </c>
      <c r="L76">
        <f t="shared" si="41"/>
        <v>4629.2299999999996</v>
      </c>
      <c r="M76">
        <f t="shared" si="42"/>
        <v>84.87261136550471</v>
      </c>
      <c r="N76">
        <f t="shared" si="10"/>
        <v>204.1288531340393</v>
      </c>
      <c r="O76" s="59">
        <f t="shared" si="11"/>
        <v>-0.72757516484914542</v>
      </c>
      <c r="P76" s="63">
        <f t="shared" si="12"/>
        <v>0.13089928400842182</v>
      </c>
      <c r="Q76" s="59">
        <f t="shared" si="13"/>
        <v>0.70912811920467045</v>
      </c>
      <c r="R76" s="59">
        <f t="shared" si="14"/>
        <v>7.6394611901441865</v>
      </c>
      <c r="S76" s="59">
        <f t="shared" si="15"/>
        <v>-5.5582822347778054</v>
      </c>
      <c r="T76" s="59">
        <f t="shared" si="16"/>
        <v>4.0440681132465377</v>
      </c>
      <c r="U76" s="23">
        <f t="shared" si="17"/>
        <v>58.361367275719232</v>
      </c>
      <c r="V76" s="59">
        <f t="shared" si="18"/>
        <v>2.6067762595336266</v>
      </c>
      <c r="W76" s="59">
        <f t="shared" si="19"/>
        <v>-1.896625666755017</v>
      </c>
      <c r="AF76" s="59">
        <f t="shared" si="20"/>
        <v>-0.72757516484914542</v>
      </c>
      <c r="AG76" s="59">
        <f t="shared" si="21"/>
        <v>0.70912811920467045</v>
      </c>
      <c r="AH76" s="59">
        <f t="shared" si="22"/>
        <v>0.70912811920467045</v>
      </c>
      <c r="AJ76">
        <f t="shared" si="23"/>
        <v>0.36180006081870941</v>
      </c>
      <c r="AK76">
        <f t="shared" si="24"/>
        <v>2.7639575232163365</v>
      </c>
      <c r="AL76">
        <f t="shared" si="25"/>
        <v>-2.0109868505901618</v>
      </c>
      <c r="AN76" t="str">
        <f t="shared" si="26"/>
        <v>Xia J</v>
      </c>
      <c r="AO76">
        <f t="shared" si="27"/>
        <v>2004</v>
      </c>
      <c r="AP76" t="str">
        <f t="shared" si="28"/>
        <v>Xia J 2004</v>
      </c>
      <c r="AQ76">
        <f t="shared" si="29"/>
        <v>22</v>
      </c>
      <c r="AR76">
        <f t="shared" si="30"/>
        <v>4477.2299999999996</v>
      </c>
      <c r="AS76">
        <f t="shared" si="31"/>
        <v>247.71557274422617</v>
      </c>
      <c r="AT76">
        <f t="shared" si="32"/>
        <v>13</v>
      </c>
      <c r="AU76">
        <f t="shared" si="33"/>
        <v>4629.2299999999996</v>
      </c>
      <c r="AV76">
        <f t="shared" si="34"/>
        <v>84.87261136550471</v>
      </c>
      <c r="AW76" s="65">
        <f t="shared" si="35"/>
        <v>-0.72757516484914542</v>
      </c>
      <c r="AX76">
        <f t="shared" si="36"/>
        <v>0.36180006081870941</v>
      </c>
    </row>
    <row r="77" spans="5:51">
      <c r="E77" t="str">
        <f t="shared" si="37"/>
        <v>Weniger G</v>
      </c>
      <c r="F77">
        <f t="shared" si="37"/>
        <v>2006</v>
      </c>
      <c r="G77">
        <v>13</v>
      </c>
      <c r="H77">
        <f t="shared" si="38"/>
        <v>21</v>
      </c>
      <c r="I77">
        <f t="shared" si="38"/>
        <v>23</v>
      </c>
      <c r="J77">
        <f t="shared" si="39"/>
        <v>2.6</v>
      </c>
      <c r="K77">
        <f t="shared" si="40"/>
        <v>0.56920997883030822</v>
      </c>
      <c r="L77">
        <f t="shared" si="41"/>
        <v>2.2999999999999998</v>
      </c>
      <c r="M77">
        <f t="shared" si="42"/>
        <v>0.37947331922020555</v>
      </c>
      <c r="N77">
        <f t="shared" si="10"/>
        <v>0.47928518203078813</v>
      </c>
      <c r="O77" s="59">
        <f t="shared" si="11"/>
        <v>0.61468785075894328</v>
      </c>
      <c r="P77" s="63">
        <f t="shared" si="12"/>
        <v>9.5813249001227022E-2</v>
      </c>
      <c r="Q77" s="59">
        <f t="shared" si="13"/>
        <v>0.60669281960734767</v>
      </c>
      <c r="R77" s="59">
        <f t="shared" si="14"/>
        <v>10.436969943344616</v>
      </c>
      <c r="S77" s="59">
        <f t="shared" si="15"/>
        <v>6.4154786229101921</v>
      </c>
      <c r="T77" s="59">
        <f t="shared" si="16"/>
        <v>3.9435167663066113</v>
      </c>
      <c r="U77" s="23">
        <f t="shared" si="17"/>
        <v>108.93034159827891</v>
      </c>
      <c r="V77" s="59">
        <f t="shared" si="18"/>
        <v>2.8691971735598907</v>
      </c>
      <c r="W77" s="59">
        <f t="shared" si="19"/>
        <v>1.763660644019164</v>
      </c>
      <c r="AF77" s="59">
        <f t="shared" si="20"/>
        <v>0.61468785075894328</v>
      </c>
      <c r="AG77" s="59">
        <f t="shared" si="21"/>
        <v>0.60669281960734767</v>
      </c>
      <c r="AH77" s="59">
        <f t="shared" si="22"/>
        <v>0.60669281960734767</v>
      </c>
      <c r="AJ77">
        <f t="shared" si="23"/>
        <v>0.30953715286089167</v>
      </c>
      <c r="AK77">
        <f t="shared" si="24"/>
        <v>3.2306299607575943</v>
      </c>
      <c r="AL77">
        <f t="shared" si="25"/>
        <v>1.985828987175535</v>
      </c>
      <c r="AN77" t="str">
        <f t="shared" si="26"/>
        <v>Weniger G</v>
      </c>
      <c r="AO77">
        <f t="shared" si="27"/>
        <v>2006</v>
      </c>
      <c r="AP77" t="str">
        <f t="shared" si="28"/>
        <v>Weniger G 2006</v>
      </c>
      <c r="AQ77">
        <f t="shared" si="29"/>
        <v>21</v>
      </c>
      <c r="AR77">
        <f t="shared" si="30"/>
        <v>2.6</v>
      </c>
      <c r="AS77">
        <f t="shared" si="31"/>
        <v>0.56920997883030822</v>
      </c>
      <c r="AT77">
        <f t="shared" si="32"/>
        <v>23</v>
      </c>
      <c r="AU77">
        <f t="shared" si="33"/>
        <v>2.2999999999999998</v>
      </c>
      <c r="AV77">
        <f t="shared" si="34"/>
        <v>0.37947331922020555</v>
      </c>
      <c r="AW77" s="65">
        <f t="shared" si="35"/>
        <v>0.61468785075894328</v>
      </c>
      <c r="AX77">
        <f t="shared" si="36"/>
        <v>0.30953715286089167</v>
      </c>
    </row>
    <row r="78" spans="5:51">
      <c r="E78" t="str">
        <f t="shared" si="37"/>
        <v>Velakoulis D</v>
      </c>
      <c r="F78">
        <f t="shared" si="37"/>
        <v>2006</v>
      </c>
      <c r="G78">
        <v>12</v>
      </c>
      <c r="H78">
        <f t="shared" si="38"/>
        <v>12</v>
      </c>
      <c r="I78">
        <f t="shared" si="38"/>
        <v>87</v>
      </c>
      <c r="J78">
        <f t="shared" si="39"/>
        <v>3508</v>
      </c>
      <c r="K78">
        <f t="shared" si="40"/>
        <v>593.44098274386135</v>
      </c>
      <c r="L78">
        <f t="shared" si="41"/>
        <v>3010</v>
      </c>
      <c r="M78">
        <f t="shared" si="42"/>
        <v>461.13338634282383</v>
      </c>
      <c r="N78">
        <f t="shared" si="10"/>
        <v>477.98199293175298</v>
      </c>
      <c r="O78" s="59">
        <f t="shared" si="11"/>
        <v>1.0338036624619766</v>
      </c>
      <c r="P78" s="63">
        <f t="shared" si="12"/>
        <v>0.10044903588352076</v>
      </c>
      <c r="Q78" s="59">
        <f t="shared" si="13"/>
        <v>0.62119643934115831</v>
      </c>
      <c r="R78" s="59">
        <f t="shared" si="14"/>
        <v>9.9552971435145032</v>
      </c>
      <c r="S78" s="59">
        <f t="shared" si="15"/>
        <v>10.291822647862547</v>
      </c>
      <c r="T78" s="59">
        <f t="shared" si="16"/>
        <v>10.63972394676942</v>
      </c>
      <c r="U78" s="23">
        <f t="shared" si="17"/>
        <v>99.107941215668021</v>
      </c>
      <c r="V78" s="59">
        <f t="shared" si="18"/>
        <v>2.8315349648782568</v>
      </c>
      <c r="W78" s="59">
        <f t="shared" si="19"/>
        <v>2.9272512170802862</v>
      </c>
      <c r="AF78" s="59">
        <f t="shared" si="20"/>
        <v>1.0338036624619766</v>
      </c>
      <c r="AG78" s="59">
        <f t="shared" si="21"/>
        <v>0.62119643934115831</v>
      </c>
      <c r="AH78" s="59">
        <f t="shared" si="22"/>
        <v>0.62119643934115831</v>
      </c>
      <c r="AJ78">
        <f t="shared" si="23"/>
        <v>0.31693695884752976</v>
      </c>
      <c r="AK78">
        <f t="shared" si="24"/>
        <v>3.1552016010889861</v>
      </c>
      <c r="AL78">
        <f t="shared" si="25"/>
        <v>3.2618589710116863</v>
      </c>
      <c r="AN78" t="str">
        <f t="shared" si="26"/>
        <v>Velakoulis D</v>
      </c>
      <c r="AO78">
        <f t="shared" si="27"/>
        <v>2006</v>
      </c>
      <c r="AP78" t="str">
        <f t="shared" si="28"/>
        <v>Velakoulis D 2006</v>
      </c>
      <c r="AQ78">
        <f t="shared" si="29"/>
        <v>12</v>
      </c>
      <c r="AR78">
        <f t="shared" si="30"/>
        <v>3508</v>
      </c>
      <c r="AS78">
        <f t="shared" si="31"/>
        <v>593.44098274386135</v>
      </c>
      <c r="AT78">
        <f t="shared" si="32"/>
        <v>87</v>
      </c>
      <c r="AU78">
        <f t="shared" si="33"/>
        <v>3010</v>
      </c>
      <c r="AV78">
        <f t="shared" si="34"/>
        <v>461.13338634282383</v>
      </c>
      <c r="AW78" s="65">
        <f t="shared" si="35"/>
        <v>1.0338036624619766</v>
      </c>
      <c r="AX78">
        <f t="shared" si="36"/>
        <v>0.31693695884752976</v>
      </c>
    </row>
    <row r="79" spans="5:51">
      <c r="E79" t="str">
        <f t="shared" si="37"/>
        <v>Caetano SC</v>
      </c>
      <c r="F79">
        <f t="shared" si="37"/>
        <v>2007</v>
      </c>
      <c r="G79">
        <v>11</v>
      </c>
      <c r="H79">
        <f t="shared" si="38"/>
        <v>19</v>
      </c>
      <c r="I79">
        <f t="shared" si="38"/>
        <v>24</v>
      </c>
      <c r="J79">
        <f t="shared" si="39"/>
        <v>3.02</v>
      </c>
      <c r="K79">
        <f t="shared" si="40"/>
        <v>0.42691919610155743</v>
      </c>
      <c r="L79">
        <f t="shared" si="41"/>
        <v>3.16</v>
      </c>
      <c r="M79">
        <f t="shared" si="42"/>
        <v>0.5028916384272063</v>
      </c>
      <c r="N79">
        <f t="shared" si="10"/>
        <v>0.47104916630132226</v>
      </c>
      <c r="O79" s="59">
        <f t="shared" si="11"/>
        <v>-0.29173878803880171</v>
      </c>
      <c r="P79" s="63">
        <f t="shared" si="12"/>
        <v>9.5387742803568487E-2</v>
      </c>
      <c r="Q79" s="59">
        <f t="shared" si="13"/>
        <v>0.60534416058485996</v>
      </c>
      <c r="R79" s="59">
        <f t="shared" si="14"/>
        <v>10.483527239545809</v>
      </c>
      <c r="S79" s="59">
        <f t="shared" si="15"/>
        <v>-3.0584515312368588</v>
      </c>
      <c r="T79" s="59">
        <f t="shared" si="16"/>
        <v>0.89226894299845849</v>
      </c>
      <c r="U79" s="23">
        <f t="shared" si="17"/>
        <v>109.90434338229898</v>
      </c>
      <c r="V79" s="59">
        <f t="shared" si="18"/>
        <v>2.8727043467774949</v>
      </c>
      <c r="W79" s="59">
        <f t="shared" si="19"/>
        <v>-0.83807928452266389</v>
      </c>
      <c r="AF79" s="59">
        <f t="shared" si="20"/>
        <v>-0.29173878803880171</v>
      </c>
      <c r="AG79" s="59">
        <f t="shared" si="21"/>
        <v>0.60534416058485996</v>
      </c>
      <c r="AH79" s="59">
        <f t="shared" si="22"/>
        <v>0.60534416058485996</v>
      </c>
      <c r="AJ79">
        <f t="shared" si="23"/>
        <v>0.30884906152288771</v>
      </c>
      <c r="AK79">
        <f t="shared" si="24"/>
        <v>3.2378275493833533</v>
      </c>
      <c r="AL79">
        <f t="shared" si="25"/>
        <v>-0.94459988513574289</v>
      </c>
      <c r="AN79" t="str">
        <f t="shared" si="26"/>
        <v>Caetano SC</v>
      </c>
      <c r="AO79">
        <f t="shared" si="27"/>
        <v>2007</v>
      </c>
      <c r="AP79" t="str">
        <f t="shared" si="28"/>
        <v>Caetano SC 2007</v>
      </c>
      <c r="AQ79">
        <f t="shared" si="29"/>
        <v>19</v>
      </c>
      <c r="AR79">
        <f t="shared" si="30"/>
        <v>3.02</v>
      </c>
      <c r="AS79">
        <f t="shared" si="31"/>
        <v>0.42691919610155743</v>
      </c>
      <c r="AT79">
        <f t="shared" si="32"/>
        <v>24</v>
      </c>
      <c r="AU79">
        <f t="shared" si="33"/>
        <v>3.16</v>
      </c>
      <c r="AV79">
        <f t="shared" si="34"/>
        <v>0.5028916384272063</v>
      </c>
      <c r="AW79" s="65">
        <f t="shared" si="35"/>
        <v>-0.29173878803880171</v>
      </c>
      <c r="AX79">
        <f t="shared" si="36"/>
        <v>0.30884906152288771</v>
      </c>
    </row>
    <row r="80" spans="5:51">
      <c r="E80" t="str">
        <f t="shared" si="37"/>
        <v>Munn MA</v>
      </c>
      <c r="F80">
        <f t="shared" si="37"/>
        <v>2007</v>
      </c>
      <c r="G80">
        <v>10</v>
      </c>
      <c r="H80">
        <f t="shared" si="38"/>
        <v>26</v>
      </c>
      <c r="I80">
        <f t="shared" si="38"/>
        <v>18</v>
      </c>
      <c r="J80">
        <f t="shared" si="39"/>
        <v>28943.599999999999</v>
      </c>
      <c r="K80">
        <f t="shared" si="40"/>
        <v>3425.6993393378816</v>
      </c>
      <c r="L80">
        <f t="shared" si="41"/>
        <v>28577.87</v>
      </c>
      <c r="M80">
        <f t="shared" si="42"/>
        <v>3372.593946958335</v>
      </c>
      <c r="N80">
        <f t="shared" si="10"/>
        <v>3404.3040961354732</v>
      </c>
      <c r="O80" s="59">
        <f t="shared" si="11"/>
        <v>0.10550173834579404</v>
      </c>
      <c r="P80" s="63">
        <f t="shared" si="12"/>
        <v>9.4156018340533665E-2</v>
      </c>
      <c r="Q80" s="59">
        <f t="shared" si="13"/>
        <v>0.60142311234021772</v>
      </c>
      <c r="R80" s="59">
        <f t="shared" si="14"/>
        <v>10.620670007341477</v>
      </c>
      <c r="S80" s="59">
        <f t="shared" si="15"/>
        <v>1.1204991481715629</v>
      </c>
      <c r="T80" s="59">
        <f t="shared" si="16"/>
        <v>0.11821460794708136</v>
      </c>
      <c r="U80" s="23">
        <f t="shared" si="17"/>
        <v>112.79863140484281</v>
      </c>
      <c r="V80" s="59">
        <f t="shared" si="18"/>
        <v>2.8829051613737304</v>
      </c>
      <c r="W80" s="59">
        <f t="shared" si="19"/>
        <v>0.30415150601099045</v>
      </c>
      <c r="AF80" s="59">
        <f t="shared" si="20"/>
        <v>0.10550173834579404</v>
      </c>
      <c r="AG80" s="59">
        <f t="shared" si="21"/>
        <v>0.60142311234021772</v>
      </c>
      <c r="AH80" s="59">
        <f t="shared" si="22"/>
        <v>0.60142311234021772</v>
      </c>
      <c r="AJ80">
        <f t="shared" si="23"/>
        <v>0.30684852670419271</v>
      </c>
      <c r="AK80">
        <f t="shared" si="24"/>
        <v>3.2589369443641401</v>
      </c>
      <c r="AL80">
        <f t="shared" si="25"/>
        <v>0.34382351278974704</v>
      </c>
      <c r="AN80" t="str">
        <f t="shared" si="26"/>
        <v>Munn MA</v>
      </c>
      <c r="AO80">
        <f t="shared" si="27"/>
        <v>2007</v>
      </c>
      <c r="AP80" t="str">
        <f t="shared" si="28"/>
        <v>Munn MA 2007</v>
      </c>
      <c r="AQ80">
        <f t="shared" si="29"/>
        <v>26</v>
      </c>
      <c r="AR80">
        <f t="shared" si="30"/>
        <v>28943.599999999999</v>
      </c>
      <c r="AS80">
        <f t="shared" si="31"/>
        <v>3425.6993393378816</v>
      </c>
      <c r="AT80">
        <f t="shared" si="32"/>
        <v>18</v>
      </c>
      <c r="AU80">
        <f t="shared" si="33"/>
        <v>28577.87</v>
      </c>
      <c r="AV80">
        <f t="shared" si="34"/>
        <v>3372.593946958335</v>
      </c>
      <c r="AW80" s="65">
        <f t="shared" si="35"/>
        <v>0.10550173834579404</v>
      </c>
      <c r="AX80">
        <f t="shared" si="36"/>
        <v>0.30684852670419271</v>
      </c>
    </row>
    <row r="81" spans="5:50">
      <c r="E81" t="str">
        <f t="shared" si="37"/>
        <v>Keller J</v>
      </c>
      <c r="F81">
        <f t="shared" si="37"/>
        <v>2008</v>
      </c>
      <c r="G81">
        <v>9</v>
      </c>
      <c r="H81">
        <f t="shared" si="38"/>
        <v>23</v>
      </c>
      <c r="I81">
        <f t="shared" si="38"/>
        <v>11</v>
      </c>
      <c r="J81">
        <f t="shared" si="39"/>
        <v>4.8499999999999996</v>
      </c>
      <c r="K81">
        <f t="shared" si="40"/>
        <v>0.93962758580194949</v>
      </c>
      <c r="L81">
        <f t="shared" si="41"/>
        <v>5.1999999999999993</v>
      </c>
      <c r="M81">
        <f t="shared" si="42"/>
        <v>0.85402576073558811</v>
      </c>
      <c r="N81">
        <f t="shared" si="10"/>
        <v>0.91373888502131717</v>
      </c>
      <c r="O81" s="59">
        <f t="shared" si="11"/>
        <v>-0.37399336841902497</v>
      </c>
      <c r="P81" s="63">
        <f t="shared" si="12"/>
        <v>0.13671388271048263</v>
      </c>
      <c r="Q81" s="59">
        <f t="shared" si="13"/>
        <v>0.72470687303253167</v>
      </c>
      <c r="R81" s="59">
        <f t="shared" si="14"/>
        <v>7.3145461175854996</v>
      </c>
      <c r="S81" s="59">
        <f t="shared" si="15"/>
        <v>-2.7355917409721027</v>
      </c>
      <c r="T81" s="59">
        <f t="shared" si="16"/>
        <v>1.0230931698254213</v>
      </c>
      <c r="U81" s="23">
        <f t="shared" si="17"/>
        <v>53.502584906285108</v>
      </c>
      <c r="V81" s="59">
        <f t="shared" si="18"/>
        <v>2.5678543718985987</v>
      </c>
      <c r="W81" s="59">
        <f t="shared" si="19"/>
        <v>-0.96036050615587654</v>
      </c>
      <c r="AF81" s="59">
        <f t="shared" si="20"/>
        <v>-0.37399336841902497</v>
      </c>
      <c r="AG81" s="59">
        <f t="shared" si="21"/>
        <v>0.72470687303253167</v>
      </c>
      <c r="AH81" s="59">
        <f t="shared" si="22"/>
        <v>0.72470687303253167</v>
      </c>
      <c r="AJ81">
        <f t="shared" si="23"/>
        <v>0.36974840460843456</v>
      </c>
      <c r="AK81">
        <f t="shared" si="24"/>
        <v>2.7045417574120574</v>
      </c>
      <c r="AL81">
        <f t="shared" si="25"/>
        <v>-1.0114806818844448</v>
      </c>
      <c r="AN81" t="str">
        <f t="shared" si="26"/>
        <v>Keller J</v>
      </c>
      <c r="AO81">
        <f t="shared" si="27"/>
        <v>2008</v>
      </c>
      <c r="AP81" t="str">
        <f t="shared" si="28"/>
        <v>Keller J 2008</v>
      </c>
      <c r="AQ81">
        <f t="shared" si="29"/>
        <v>23</v>
      </c>
      <c r="AR81">
        <f t="shared" si="30"/>
        <v>4.8499999999999996</v>
      </c>
      <c r="AS81">
        <f t="shared" si="31"/>
        <v>0.93962758580194949</v>
      </c>
      <c r="AT81">
        <f t="shared" si="32"/>
        <v>11</v>
      </c>
      <c r="AU81">
        <f t="shared" si="33"/>
        <v>5.1999999999999993</v>
      </c>
      <c r="AV81">
        <f t="shared" si="34"/>
        <v>0.85402576073558811</v>
      </c>
      <c r="AW81" s="65">
        <f t="shared" si="35"/>
        <v>-0.37399336841902497</v>
      </c>
      <c r="AX81">
        <f t="shared" si="36"/>
        <v>0.36974840460843456</v>
      </c>
    </row>
    <row r="82" spans="5:50">
      <c r="E82" t="str">
        <f t="shared" si="37"/>
        <v>Keller J</v>
      </c>
      <c r="F82">
        <f t="shared" si="37"/>
        <v>2008</v>
      </c>
      <c r="G82">
        <v>8</v>
      </c>
      <c r="H82">
        <f t="shared" si="38"/>
        <v>19</v>
      </c>
      <c r="I82">
        <f t="shared" si="38"/>
        <v>11</v>
      </c>
      <c r="J82">
        <f t="shared" si="39"/>
        <v>5.38</v>
      </c>
      <c r="K82">
        <f t="shared" si="40"/>
        <v>0.97718984849413992</v>
      </c>
      <c r="L82">
        <f t="shared" si="41"/>
        <v>5.1999999999999993</v>
      </c>
      <c r="M82">
        <f t="shared" si="42"/>
        <v>0.85402576073558811</v>
      </c>
      <c r="N82">
        <f t="shared" si="10"/>
        <v>0.93506684253052197</v>
      </c>
      <c r="O82" s="59">
        <f t="shared" si="11"/>
        <v>0.18729691522498731</v>
      </c>
      <c r="P82" s="63">
        <f t="shared" si="12"/>
        <v>0.14421373460037329</v>
      </c>
      <c r="Q82" s="59">
        <f t="shared" si="13"/>
        <v>0.74431947632773521</v>
      </c>
      <c r="R82" s="59">
        <f t="shared" si="14"/>
        <v>6.9341523036697748</v>
      </c>
      <c r="S82" s="59">
        <f t="shared" si="15"/>
        <v>1.2987453361775882</v>
      </c>
      <c r="T82" s="59">
        <f t="shared" si="16"/>
        <v>0.24325099512890139</v>
      </c>
      <c r="U82" s="23">
        <f t="shared" si="17"/>
        <v>48.082468170488845</v>
      </c>
      <c r="V82" s="59">
        <f t="shared" si="18"/>
        <v>2.519335676580027</v>
      </c>
      <c r="W82" s="59">
        <f t="shared" si="19"/>
        <v>0.47186380063969535</v>
      </c>
      <c r="AF82" s="59">
        <f t="shared" si="20"/>
        <v>0.18729691522498731</v>
      </c>
      <c r="AG82" s="59">
        <f t="shared" si="21"/>
        <v>0.74431947632773521</v>
      </c>
      <c r="AH82" s="59">
        <f t="shared" si="22"/>
        <v>0.74431947632773521</v>
      </c>
      <c r="AJ82">
        <f t="shared" si="23"/>
        <v>0.37975483486108941</v>
      </c>
      <c r="AK82">
        <f t="shared" si="24"/>
        <v>2.6332778629817581</v>
      </c>
      <c r="AL82">
        <f t="shared" si="25"/>
        <v>0.4932048206667301</v>
      </c>
      <c r="AN82" t="str">
        <f t="shared" si="26"/>
        <v>Keller J</v>
      </c>
      <c r="AO82">
        <f t="shared" si="27"/>
        <v>2008</v>
      </c>
      <c r="AP82" t="str">
        <f t="shared" si="28"/>
        <v>Keller J 2008</v>
      </c>
      <c r="AQ82">
        <f t="shared" si="29"/>
        <v>19</v>
      </c>
      <c r="AR82">
        <f t="shared" si="30"/>
        <v>5.38</v>
      </c>
      <c r="AS82">
        <f t="shared" si="31"/>
        <v>0.97718984849413992</v>
      </c>
      <c r="AT82">
        <f t="shared" si="32"/>
        <v>11</v>
      </c>
      <c r="AU82">
        <f t="shared" si="33"/>
        <v>5.1999999999999993</v>
      </c>
      <c r="AV82">
        <f t="shared" si="34"/>
        <v>0.85402576073558811</v>
      </c>
      <c r="AW82" s="65">
        <f t="shared" si="35"/>
        <v>0.18729691522498731</v>
      </c>
      <c r="AX82">
        <f t="shared" si="36"/>
        <v>0.37975483486108941</v>
      </c>
    </row>
    <row r="83" spans="5:50">
      <c r="E83" t="str">
        <f t="shared" si="37"/>
        <v>MacMaster FP (B)</v>
      </c>
      <c r="F83">
        <f t="shared" si="37"/>
        <v>2008</v>
      </c>
      <c r="G83">
        <v>7</v>
      </c>
      <c r="H83">
        <f t="shared" si="38"/>
        <v>32</v>
      </c>
      <c r="I83">
        <f t="shared" si="38"/>
        <v>35</v>
      </c>
      <c r="J83">
        <f t="shared" si="39"/>
        <v>3.01</v>
      </c>
      <c r="K83">
        <f t="shared" si="40"/>
        <v>0.5983477249894078</v>
      </c>
      <c r="L83">
        <f t="shared" si="41"/>
        <v>2.72</v>
      </c>
      <c r="M83">
        <f t="shared" si="42"/>
        <v>0.55023631286929797</v>
      </c>
      <c r="N83">
        <f t="shared" si="10"/>
        <v>0.57368525275691828</v>
      </c>
      <c r="O83" s="59">
        <f t="shared" si="11"/>
        <v>0.49964841394028592</v>
      </c>
      <c r="P83" s="63">
        <f t="shared" si="12"/>
        <v>6.1800880978287467E-2</v>
      </c>
      <c r="Q83" s="59">
        <f t="shared" si="13"/>
        <v>0.48725174639624341</v>
      </c>
      <c r="R83" s="59">
        <f t="shared" si="14"/>
        <v>16.180999108270488</v>
      </c>
      <c r="S83" s="59">
        <f t="shared" si="15"/>
        <v>8.0848105404165302</v>
      </c>
      <c r="T83" s="59">
        <f t="shared" si="16"/>
        <v>4.039562763526825</v>
      </c>
      <c r="U83" s="23">
        <f t="shared" si="17"/>
        <v>261.82473214185029</v>
      </c>
      <c r="V83" s="59">
        <f t="shared" si="18"/>
        <v>3.1794765343195448</v>
      </c>
      <c r="W83" s="59">
        <f t="shared" si="19"/>
        <v>1.5886204075331176</v>
      </c>
      <c r="AF83" s="59">
        <f t="shared" si="20"/>
        <v>0.49964841394028592</v>
      </c>
      <c r="AG83" s="59">
        <f t="shared" si="21"/>
        <v>0.48725174639624341</v>
      </c>
      <c r="AH83" s="59">
        <f t="shared" si="22"/>
        <v>0.48725174639624341</v>
      </c>
      <c r="AJ83">
        <f t="shared" si="23"/>
        <v>0.24859782979400175</v>
      </c>
      <c r="AK83">
        <f t="shared" si="24"/>
        <v>4.0225612622147207</v>
      </c>
      <c r="AL83">
        <f t="shared" si="25"/>
        <v>2.0098663546432198</v>
      </c>
      <c r="AN83" t="str">
        <f t="shared" si="26"/>
        <v>MacMaster FP (B)</v>
      </c>
      <c r="AO83">
        <f t="shared" si="27"/>
        <v>2008</v>
      </c>
      <c r="AP83" t="str">
        <f t="shared" si="28"/>
        <v>MacMaster FP (B) 2008</v>
      </c>
      <c r="AQ83">
        <f t="shared" si="29"/>
        <v>32</v>
      </c>
      <c r="AR83">
        <f t="shared" si="30"/>
        <v>3.01</v>
      </c>
      <c r="AS83">
        <f t="shared" si="31"/>
        <v>0.5983477249894078</v>
      </c>
      <c r="AT83">
        <f t="shared" si="32"/>
        <v>35</v>
      </c>
      <c r="AU83">
        <f t="shared" si="33"/>
        <v>2.72</v>
      </c>
      <c r="AV83">
        <f t="shared" si="34"/>
        <v>0.55023631286929797</v>
      </c>
      <c r="AW83" s="65">
        <f t="shared" si="35"/>
        <v>0.49964841394028592</v>
      </c>
      <c r="AX83">
        <f t="shared" si="36"/>
        <v>0.24859782979400175</v>
      </c>
    </row>
    <row r="84" spans="5:50">
      <c r="E84" t="str">
        <f t="shared" si="37"/>
        <v>Tamburo RJ</v>
      </c>
      <c r="F84">
        <f t="shared" si="37"/>
        <v>2008</v>
      </c>
      <c r="G84">
        <v>6</v>
      </c>
      <c r="H84">
        <f t="shared" si="38"/>
        <v>14</v>
      </c>
      <c r="I84">
        <f t="shared" si="38"/>
        <v>11</v>
      </c>
      <c r="J84">
        <f t="shared" si="39"/>
        <v>2728</v>
      </c>
      <c r="K84">
        <f t="shared" si="40"/>
        <v>692.04118374559187</v>
      </c>
      <c r="L84">
        <f t="shared" si="41"/>
        <v>3100</v>
      </c>
      <c r="M84">
        <f t="shared" si="42"/>
        <v>590.19081660086852</v>
      </c>
      <c r="N84">
        <f t="shared" si="10"/>
        <v>649.72318520374836</v>
      </c>
      <c r="O84" s="59">
        <f t="shared" si="11"/>
        <v>-0.55367619923160527</v>
      </c>
      <c r="P84" s="63">
        <f t="shared" si="12"/>
        <v>0.16961585164429949</v>
      </c>
      <c r="Q84" s="59">
        <f t="shared" si="13"/>
        <v>0.80721512354312397</v>
      </c>
      <c r="R84" s="59">
        <f t="shared" si="14"/>
        <v>5.8956753764801109</v>
      </c>
      <c r="S84" s="59">
        <f t="shared" si="15"/>
        <v>-3.2642951343528712</v>
      </c>
      <c r="T84" s="59">
        <f t="shared" si="16"/>
        <v>1.80736252315872</v>
      </c>
      <c r="U84" s="23">
        <f t="shared" si="17"/>
        <v>34.7589881448339</v>
      </c>
      <c r="V84" s="59">
        <f t="shared" si="18"/>
        <v>2.3678045669632173</v>
      </c>
      <c r="W84" s="59">
        <f t="shared" si="19"/>
        <v>-1.3109970331594312</v>
      </c>
      <c r="AF84" s="59">
        <f t="shared" si="20"/>
        <v>-0.55367619923160527</v>
      </c>
      <c r="AG84" s="59">
        <f t="shared" si="21"/>
        <v>0.80721512354312397</v>
      </c>
      <c r="AH84" s="59">
        <f t="shared" si="22"/>
        <v>0.80721512354312397</v>
      </c>
      <c r="AJ84">
        <f t="shared" si="23"/>
        <v>0.41184445078730814</v>
      </c>
      <c r="AK84">
        <f t="shared" si="24"/>
        <v>2.4281011874467078</v>
      </c>
      <c r="AL84">
        <f t="shared" si="25"/>
        <v>-1.3443818368152405</v>
      </c>
      <c r="AN84" t="str">
        <f t="shared" si="26"/>
        <v>Tamburo RJ</v>
      </c>
      <c r="AO84">
        <f t="shared" si="27"/>
        <v>2008</v>
      </c>
      <c r="AP84" t="str">
        <f t="shared" si="28"/>
        <v>Tamburo RJ 2008</v>
      </c>
      <c r="AQ84">
        <f t="shared" si="29"/>
        <v>14</v>
      </c>
      <c r="AR84">
        <f t="shared" si="30"/>
        <v>2728</v>
      </c>
      <c r="AS84">
        <f t="shared" si="31"/>
        <v>692.04118374559187</v>
      </c>
      <c r="AT84">
        <f t="shared" si="32"/>
        <v>11</v>
      </c>
      <c r="AU84">
        <f t="shared" si="33"/>
        <v>3100</v>
      </c>
      <c r="AV84">
        <f t="shared" si="34"/>
        <v>590.19081660086852</v>
      </c>
      <c r="AW84" s="65">
        <f t="shared" si="35"/>
        <v>-0.55367619923160527</v>
      </c>
      <c r="AX84">
        <f t="shared" si="36"/>
        <v>0.41184445078730814</v>
      </c>
    </row>
    <row r="85" spans="5:50">
      <c r="E85" t="str">
        <f t="shared" si="37"/>
        <v>van Eijndhoven P</v>
      </c>
      <c r="F85">
        <f t="shared" si="37"/>
        <v>2009</v>
      </c>
      <c r="G85">
        <v>5</v>
      </c>
      <c r="H85">
        <f t="shared" si="38"/>
        <v>20</v>
      </c>
      <c r="I85">
        <f t="shared" si="38"/>
        <v>10</v>
      </c>
      <c r="J85">
        <f t="shared" si="39"/>
        <v>4747</v>
      </c>
      <c r="K85">
        <f t="shared" si="40"/>
        <v>515.62408787798108</v>
      </c>
      <c r="L85">
        <f t="shared" si="41"/>
        <v>4375</v>
      </c>
      <c r="M85">
        <f t="shared" si="42"/>
        <v>766.55280313883134</v>
      </c>
      <c r="N85">
        <f t="shared" si="10"/>
        <v>607.68661448856301</v>
      </c>
      <c r="O85" s="59">
        <f t="shared" si="11"/>
        <v>0.5956128328588649</v>
      </c>
      <c r="P85" s="63">
        <f t="shared" si="12"/>
        <v>0.15680649744179129</v>
      </c>
      <c r="Q85" s="59">
        <f t="shared" si="13"/>
        <v>0.77613648321180306</v>
      </c>
      <c r="R85" s="59">
        <f t="shared" si="14"/>
        <v>6.3772867598883369</v>
      </c>
      <c r="S85" s="59">
        <f t="shared" si="15"/>
        <v>3.7983938330104241</v>
      </c>
      <c r="T85" s="59">
        <f t="shared" si="16"/>
        <v>2.2623721111929811</v>
      </c>
      <c r="U85" s="23">
        <f t="shared" si="17"/>
        <v>40.669786417847085</v>
      </c>
      <c r="V85" s="59">
        <f t="shared" si="18"/>
        <v>2.4418664934051693</v>
      </c>
      <c r="W85" s="59">
        <f t="shared" si="19"/>
        <v>1.4544070196001957</v>
      </c>
      <c r="AF85" s="59">
        <f t="shared" si="20"/>
        <v>0.5956128328588649</v>
      </c>
      <c r="AG85" s="59">
        <f t="shared" si="21"/>
        <v>0.77613648321180306</v>
      </c>
      <c r="AH85" s="59">
        <f t="shared" si="22"/>
        <v>0.77613648321180306</v>
      </c>
      <c r="AJ85">
        <f t="shared" si="23"/>
        <v>0.39598800163867504</v>
      </c>
      <c r="AK85">
        <f t="shared" si="24"/>
        <v>2.525329039924963</v>
      </c>
      <c r="AL85">
        <f t="shared" si="25"/>
        <v>1.504118383370465</v>
      </c>
      <c r="AN85" t="str">
        <f t="shared" si="26"/>
        <v>van Eijndhoven P</v>
      </c>
      <c r="AO85">
        <f t="shared" si="27"/>
        <v>2009</v>
      </c>
      <c r="AP85" t="str">
        <f t="shared" si="28"/>
        <v>van Eijndhoven P 2009</v>
      </c>
      <c r="AQ85">
        <f t="shared" si="29"/>
        <v>20</v>
      </c>
      <c r="AR85">
        <f t="shared" si="30"/>
        <v>4747</v>
      </c>
      <c r="AS85">
        <f t="shared" si="31"/>
        <v>515.62408787798108</v>
      </c>
      <c r="AT85">
        <f t="shared" si="32"/>
        <v>10</v>
      </c>
      <c r="AU85">
        <f t="shared" si="33"/>
        <v>4375</v>
      </c>
      <c r="AV85">
        <f t="shared" si="34"/>
        <v>766.55280313883134</v>
      </c>
      <c r="AW85" s="65">
        <f t="shared" si="35"/>
        <v>0.5956128328588649</v>
      </c>
      <c r="AX85">
        <f t="shared" si="36"/>
        <v>0.39598800163867504</v>
      </c>
    </row>
    <row r="86" spans="5:50">
      <c r="E86" t="str">
        <f t="shared" si="37"/>
        <v>van Eijndhoven P</v>
      </c>
      <c r="F86">
        <f t="shared" si="37"/>
        <v>2009</v>
      </c>
      <c r="G86">
        <v>4</v>
      </c>
      <c r="H86">
        <f t="shared" si="38"/>
        <v>20</v>
      </c>
      <c r="I86">
        <f t="shared" si="38"/>
        <v>10</v>
      </c>
      <c r="J86">
        <f t="shared" si="39"/>
        <v>4086</v>
      </c>
      <c r="K86">
        <f t="shared" si="40"/>
        <v>561.62621021458745</v>
      </c>
      <c r="L86">
        <f t="shared" si="41"/>
        <v>4375</v>
      </c>
      <c r="M86">
        <f t="shared" si="42"/>
        <v>766.55280313883134</v>
      </c>
      <c r="N86">
        <f t="shared" si="10"/>
        <v>634.75205508022691</v>
      </c>
      <c r="O86" s="59">
        <f t="shared" si="11"/>
        <v>-0.44299059284439724</v>
      </c>
      <c r="P86" s="63">
        <f t="shared" si="12"/>
        <v>0.15376517009494686</v>
      </c>
      <c r="Q86" s="59">
        <f t="shared" si="13"/>
        <v>0.76857288362051113</v>
      </c>
      <c r="R86" s="59">
        <f t="shared" si="14"/>
        <v>6.5034233655288798</v>
      </c>
      <c r="S86" s="59">
        <f t="shared" si="15"/>
        <v>-2.8809553722137435</v>
      </c>
      <c r="T86" s="59">
        <f t="shared" si="16"/>
        <v>1.2762361282952173</v>
      </c>
      <c r="U86" s="23">
        <f t="shared" si="17"/>
        <v>42.29451547130698</v>
      </c>
      <c r="V86" s="59">
        <f t="shared" si="18"/>
        <v>2.4601367366274225</v>
      </c>
      <c r="W86" s="59">
        <f t="shared" si="19"/>
        <v>-1.0898174314368627</v>
      </c>
      <c r="AF86" s="59">
        <f t="shared" si="20"/>
        <v>-0.44299059284439724</v>
      </c>
      <c r="AG86" s="59">
        <f t="shared" si="21"/>
        <v>0.76857288362051113</v>
      </c>
      <c r="AH86" s="59">
        <f t="shared" si="22"/>
        <v>0.76857288362051113</v>
      </c>
      <c r="AJ86">
        <f t="shared" si="23"/>
        <v>0.39212902225536284</v>
      </c>
      <c r="AK86">
        <f t="shared" si="24"/>
        <v>2.5501810456375211</v>
      </c>
      <c r="AL86">
        <f t="shared" si="25"/>
        <v>-1.1297062132675104</v>
      </c>
      <c r="AN86" t="str">
        <f t="shared" si="26"/>
        <v>van Eijndhoven P</v>
      </c>
      <c r="AO86">
        <f t="shared" si="27"/>
        <v>2009</v>
      </c>
      <c r="AP86" t="str">
        <f t="shared" si="28"/>
        <v>van Eijndhoven P 2009</v>
      </c>
      <c r="AQ86">
        <f t="shared" si="29"/>
        <v>20</v>
      </c>
      <c r="AR86">
        <f t="shared" si="30"/>
        <v>4086</v>
      </c>
      <c r="AS86">
        <f t="shared" si="31"/>
        <v>561.62621021458745</v>
      </c>
      <c r="AT86">
        <f t="shared" si="32"/>
        <v>10</v>
      </c>
      <c r="AU86">
        <f t="shared" si="33"/>
        <v>4375</v>
      </c>
      <c r="AV86">
        <f t="shared" si="34"/>
        <v>766.55280313883134</v>
      </c>
      <c r="AW86" s="65">
        <f t="shared" si="35"/>
        <v>-0.44299059284439724</v>
      </c>
      <c r="AX86">
        <f t="shared" si="36"/>
        <v>0.39212902225536284</v>
      </c>
    </row>
    <row r="87" spans="5:50">
      <c r="E87" t="str">
        <f t="shared" si="37"/>
        <v>Lorenzetti V (B)</v>
      </c>
      <c r="F87">
        <f t="shared" si="37"/>
        <v>2009</v>
      </c>
      <c r="G87">
        <v>3</v>
      </c>
      <c r="H87">
        <f t="shared" si="38"/>
        <v>29</v>
      </c>
      <c r="I87">
        <f t="shared" si="38"/>
        <v>15.5</v>
      </c>
      <c r="J87">
        <f t="shared" si="39"/>
        <v>3263.63</v>
      </c>
      <c r="K87">
        <f t="shared" si="40"/>
        <v>324.89625424125774</v>
      </c>
      <c r="L87">
        <f t="shared" si="41"/>
        <v>3206.12</v>
      </c>
      <c r="M87">
        <f t="shared" si="42"/>
        <v>289.13740989363515</v>
      </c>
      <c r="N87">
        <f t="shared" si="10"/>
        <v>313.15542221489352</v>
      </c>
      <c r="O87" s="59">
        <f t="shared" si="11"/>
        <v>0.18038682525915761</v>
      </c>
      <c r="P87" s="63">
        <f t="shared" si="12"/>
        <v>9.9400014461713468E-2</v>
      </c>
      <c r="Q87" s="59">
        <f t="shared" si="13"/>
        <v>0.6179442495534031</v>
      </c>
      <c r="R87" s="59">
        <f t="shared" si="14"/>
        <v>10.060360709355594</v>
      </c>
      <c r="S87" s="59">
        <f t="shared" si="15"/>
        <v>1.8147565293226224</v>
      </c>
      <c r="T87" s="59">
        <f t="shared" si="16"/>
        <v>0.32735816894283526</v>
      </c>
      <c r="U87" s="23">
        <f t="shared" si="17"/>
        <v>101.2108576023458</v>
      </c>
      <c r="V87" s="59">
        <f t="shared" si="18"/>
        <v>2.8399706456565519</v>
      </c>
      <c r="W87" s="59">
        <f t="shared" si="19"/>
        <v>0.51229328859918544</v>
      </c>
      <c r="AF87" s="59">
        <f t="shared" si="20"/>
        <v>0.18038682525915761</v>
      </c>
      <c r="AG87" s="59">
        <f t="shared" si="21"/>
        <v>0.6179442495534031</v>
      </c>
      <c r="AH87" s="59">
        <f t="shared" si="22"/>
        <v>0.6179442495534031</v>
      </c>
      <c r="AJ87">
        <f t="shared" si="23"/>
        <v>0.31527767834357301</v>
      </c>
      <c r="AK87">
        <f t="shared" si="24"/>
        <v>3.1718071677445323</v>
      </c>
      <c r="AL87">
        <f t="shared" si="25"/>
        <v>0.5721522253236766</v>
      </c>
      <c r="AN87" t="str">
        <f t="shared" si="26"/>
        <v>Lorenzetti V (B)</v>
      </c>
      <c r="AO87">
        <f t="shared" si="27"/>
        <v>2009</v>
      </c>
      <c r="AP87" t="str">
        <f t="shared" si="28"/>
        <v>Lorenzetti V (B) 2009</v>
      </c>
      <c r="AQ87">
        <f t="shared" si="29"/>
        <v>29</v>
      </c>
      <c r="AR87">
        <f t="shared" si="30"/>
        <v>3263.63</v>
      </c>
      <c r="AS87">
        <f t="shared" si="31"/>
        <v>324.89625424125774</v>
      </c>
      <c r="AT87">
        <f t="shared" si="32"/>
        <v>15</v>
      </c>
      <c r="AU87">
        <f t="shared" si="33"/>
        <v>3206.12</v>
      </c>
      <c r="AV87">
        <f t="shared" si="34"/>
        <v>289.13740989363515</v>
      </c>
      <c r="AW87" s="65">
        <f t="shared" si="35"/>
        <v>0.18038682525915761</v>
      </c>
      <c r="AX87">
        <f t="shared" si="36"/>
        <v>0.31527767834357301</v>
      </c>
    </row>
    <row r="88" spans="5:50">
      <c r="E88" t="str">
        <f t="shared" si="37"/>
        <v>Lorenzetti V (B)</v>
      </c>
      <c r="F88">
        <f t="shared" si="37"/>
        <v>2009</v>
      </c>
      <c r="G88">
        <v>2</v>
      </c>
      <c r="H88">
        <f t="shared" si="38"/>
        <v>27</v>
      </c>
      <c r="I88">
        <f t="shared" si="38"/>
        <v>15.5</v>
      </c>
      <c r="J88">
        <f t="shared" si="39"/>
        <v>3309.7</v>
      </c>
      <c r="K88">
        <f t="shared" si="40"/>
        <v>368.17977266547382</v>
      </c>
      <c r="L88">
        <f t="shared" si="41"/>
        <v>3206.12</v>
      </c>
      <c r="M88">
        <f t="shared" si="42"/>
        <v>289.13740989363515</v>
      </c>
      <c r="N88">
        <f t="shared" si="10"/>
        <v>341.98662078010096</v>
      </c>
      <c r="O88" s="59">
        <f t="shared" si="11"/>
        <v>0.29723366854623262</v>
      </c>
      <c r="P88" s="63">
        <f t="shared" si="12"/>
        <v>0.10269875545878487</v>
      </c>
      <c r="Q88" s="59">
        <f t="shared" si="13"/>
        <v>0.62811427222319027</v>
      </c>
      <c r="R88" s="59">
        <f t="shared" si="14"/>
        <v>9.7372163424251088</v>
      </c>
      <c r="S88" s="59">
        <f t="shared" si="15"/>
        <v>2.8942285348873442</v>
      </c>
      <c r="T88" s="59">
        <f t="shared" si="16"/>
        <v>0.86026216503575337</v>
      </c>
      <c r="U88" s="23">
        <f t="shared" si="17"/>
        <v>94.813382099190619</v>
      </c>
      <c r="V88" s="59">
        <f t="shared" si="18"/>
        <v>2.8136118084972721</v>
      </c>
      <c r="W88" s="59">
        <f t="shared" si="19"/>
        <v>0.83630015970464433</v>
      </c>
      <c r="AF88" s="59">
        <f t="shared" si="20"/>
        <v>0.29723366854623262</v>
      </c>
      <c r="AG88" s="59">
        <f t="shared" si="21"/>
        <v>0.62811427222319027</v>
      </c>
      <c r="AH88" s="59">
        <f t="shared" si="22"/>
        <v>0.62811427222319027</v>
      </c>
      <c r="AJ88">
        <f t="shared" si="23"/>
        <v>0.32046646541999502</v>
      </c>
      <c r="AK88">
        <f t="shared" si="24"/>
        <v>3.120451304286787</v>
      </c>
      <c r="AL88">
        <f t="shared" si="25"/>
        <v>0.92750318869303816</v>
      </c>
      <c r="AN88" t="str">
        <f t="shared" si="26"/>
        <v>Lorenzetti V (B)</v>
      </c>
      <c r="AO88">
        <f t="shared" si="27"/>
        <v>2009</v>
      </c>
      <c r="AP88" t="str">
        <f t="shared" si="28"/>
        <v>Lorenzetti V (B) 2009</v>
      </c>
      <c r="AQ88">
        <f t="shared" si="29"/>
        <v>27</v>
      </c>
      <c r="AR88">
        <f t="shared" si="30"/>
        <v>3309.7</v>
      </c>
      <c r="AS88">
        <f t="shared" si="31"/>
        <v>368.17977266547382</v>
      </c>
      <c r="AT88">
        <f t="shared" si="32"/>
        <v>15</v>
      </c>
      <c r="AU88">
        <f t="shared" si="33"/>
        <v>3206.12</v>
      </c>
      <c r="AV88">
        <f t="shared" si="34"/>
        <v>289.13740989363515</v>
      </c>
      <c r="AW88" s="65">
        <f t="shared" si="35"/>
        <v>0.29723366854623262</v>
      </c>
      <c r="AX88">
        <f t="shared" si="36"/>
        <v>0.32046646541999502</v>
      </c>
    </row>
    <row r="89" spans="5:50">
      <c r="E89" t="str">
        <f t="shared" si="37"/>
        <v>Kronenberg G</v>
      </c>
      <c r="F89">
        <f t="shared" si="37"/>
        <v>2009</v>
      </c>
      <c r="G89">
        <v>1</v>
      </c>
      <c r="H89">
        <f t="shared" si="38"/>
        <v>24</v>
      </c>
      <c r="I89">
        <f t="shared" si="38"/>
        <v>14</v>
      </c>
      <c r="J89">
        <f t="shared" si="39"/>
        <v>3.45</v>
      </c>
      <c r="K89">
        <f t="shared" si="40"/>
        <v>0.57912002210249991</v>
      </c>
      <c r="L89">
        <f t="shared" si="41"/>
        <v>3.94</v>
      </c>
      <c r="M89">
        <f t="shared" si="42"/>
        <v>0.51232801992473542</v>
      </c>
      <c r="N89">
        <f t="shared" si="10"/>
        <v>0.55592715350124788</v>
      </c>
      <c r="O89" s="59">
        <f t="shared" si="11"/>
        <v>-0.86291931721446791</v>
      </c>
      <c r="P89" s="63">
        <f t="shared" si="12"/>
        <v>0.12402638530636381</v>
      </c>
      <c r="Q89" s="59">
        <f t="shared" si="13"/>
        <v>0.6902606477215163</v>
      </c>
      <c r="R89" s="59">
        <f t="shared" si="14"/>
        <v>8.0628004882174853</v>
      </c>
      <c r="S89" s="59">
        <f t="shared" si="15"/>
        <v>-6.9575462921291109</v>
      </c>
      <c r="T89" s="59">
        <f t="shared" si="16"/>
        <v>6.003801095892106</v>
      </c>
      <c r="U89" s="23">
        <f t="shared" si="17"/>
        <v>65.00875171280012</v>
      </c>
      <c r="V89" s="59">
        <f t="shared" si="18"/>
        <v>2.6543315534199436</v>
      </c>
      <c r="W89" s="59">
        <f t="shared" si="19"/>
        <v>-2.2904739717379559</v>
      </c>
      <c r="AF89" s="59">
        <f t="shared" si="20"/>
        <v>-0.86291931721446791</v>
      </c>
      <c r="AG89" s="59">
        <f t="shared" si="21"/>
        <v>0.6902606477215163</v>
      </c>
      <c r="AH89" s="59">
        <f t="shared" si="22"/>
        <v>0.6902606477215163</v>
      </c>
      <c r="AJ89">
        <f t="shared" si="23"/>
        <v>0.35217379985791647</v>
      </c>
      <c r="AK89">
        <f t="shared" si="24"/>
        <v>2.8395070854318156</v>
      </c>
      <c r="AL89">
        <f t="shared" si="25"/>
        <v>-2.4502655153864663</v>
      </c>
      <c r="AN89" t="str">
        <f t="shared" si="26"/>
        <v>Kronenberg G</v>
      </c>
      <c r="AO89">
        <f t="shared" si="27"/>
        <v>2009</v>
      </c>
      <c r="AP89" t="str">
        <f t="shared" si="28"/>
        <v>Kronenberg G 2009</v>
      </c>
      <c r="AQ89">
        <f t="shared" si="29"/>
        <v>24</v>
      </c>
      <c r="AR89">
        <f t="shared" si="30"/>
        <v>3.45</v>
      </c>
      <c r="AS89">
        <f t="shared" si="31"/>
        <v>0.57912002210249991</v>
      </c>
      <c r="AT89">
        <f t="shared" si="32"/>
        <v>14</v>
      </c>
      <c r="AU89">
        <f t="shared" si="33"/>
        <v>3.94</v>
      </c>
      <c r="AV89">
        <f t="shared" si="34"/>
        <v>0.51232801992473542</v>
      </c>
      <c r="AW89" s="65">
        <f t="shared" si="35"/>
        <v>-0.86291931721446791</v>
      </c>
      <c r="AX89">
        <f t="shared" si="36"/>
        <v>0.35217379985791647</v>
      </c>
    </row>
    <row r="90" spans="5:50">
      <c r="U90" s="23"/>
    </row>
    <row r="91" spans="5:50">
      <c r="L91" t="s">
        <v>500</v>
      </c>
      <c r="N91" s="7"/>
      <c r="O91" s="66">
        <f>COUNT(O65:O89)</f>
        <v>25</v>
      </c>
      <c r="Q91" t="s">
        <v>885</v>
      </c>
      <c r="R91" s="59">
        <f t="shared" ref="R91:W91" si="43">SUM(R65:R89)</f>
        <v>263.47150554599369</v>
      </c>
      <c r="S91" s="59">
        <f t="shared" si="43"/>
        <v>-19.349987858565903</v>
      </c>
      <c r="T91" s="59">
        <f t="shared" si="43"/>
        <v>88.873466845554987</v>
      </c>
      <c r="U91" s="23">
        <f t="shared" si="43"/>
        <v>3264.4459970197067</v>
      </c>
      <c r="V91" s="59">
        <f t="shared" si="43"/>
        <v>69.723219617796133</v>
      </c>
      <c r="W91" s="59">
        <f t="shared" si="43"/>
        <v>-5.1376108577964565</v>
      </c>
    </row>
    <row r="92" spans="5:50">
      <c r="L92" t="s">
        <v>501</v>
      </c>
      <c r="N92" s="7"/>
      <c r="O92" s="2">
        <v>4</v>
      </c>
    </row>
    <row r="93" spans="5:50">
      <c r="N93" s="7"/>
      <c r="O93" s="7"/>
    </row>
    <row r="94" spans="5:50">
      <c r="G94" s="67" t="s">
        <v>502</v>
      </c>
      <c r="H94" s="40"/>
      <c r="I94" s="40">
        <f>S91/R91</f>
        <v>-7.3442430969780967E-2</v>
      </c>
      <c r="J94" s="40"/>
      <c r="K94" s="68" t="s">
        <v>879</v>
      </c>
      <c r="L94" s="40"/>
      <c r="M94" s="42"/>
      <c r="N94" s="7"/>
      <c r="O94" s="69" t="s">
        <v>503</v>
      </c>
      <c r="P94" s="70">
        <f>T91-((S91^2)/R91)</f>
        <v>87.452356697986161</v>
      </c>
      <c r="Q94" s="71" t="s">
        <v>824</v>
      </c>
      <c r="R94" s="28"/>
      <c r="S94" s="29"/>
      <c r="T94" s="30"/>
      <c r="U94" s="31"/>
      <c r="AF94" s="2" t="s">
        <v>1518</v>
      </c>
    </row>
    <row r="95" spans="5:50">
      <c r="G95" s="43" t="s">
        <v>504</v>
      </c>
      <c r="H95" s="31"/>
      <c r="I95" s="31">
        <f>1/R91</f>
        <v>3.7954768502487342E-3</v>
      </c>
      <c r="J95" s="31"/>
      <c r="K95" s="31"/>
      <c r="L95" s="31"/>
      <c r="M95" s="44"/>
      <c r="N95" s="7"/>
      <c r="O95" s="30" t="s">
        <v>505</v>
      </c>
      <c r="P95" s="31">
        <f>CHIDIST(P94,I99-1)</f>
        <v>3.7904344407110627E-9</v>
      </c>
      <c r="Q95" s="31"/>
      <c r="R95" s="31"/>
      <c r="S95" s="34"/>
      <c r="T95" s="30"/>
      <c r="U95" s="31"/>
      <c r="AF95" s="2"/>
    </row>
    <row r="96" spans="5:50">
      <c r="G96" s="72" t="s">
        <v>506</v>
      </c>
      <c r="H96" s="31"/>
      <c r="I96" s="31">
        <f>$R$106*SQRT(I95)</f>
        <v>0.12075058537297256</v>
      </c>
      <c r="J96" s="31"/>
      <c r="K96" s="31" t="s">
        <v>507</v>
      </c>
      <c r="L96" s="31"/>
      <c r="M96" s="44">
        <f>ABS(I94/SQRT(I95))</f>
        <v>1.1921032453478291</v>
      </c>
      <c r="N96" s="7"/>
      <c r="O96" s="35" t="s">
        <v>508</v>
      </c>
      <c r="P96" s="37">
        <f>IF(((P94-(I99-1))/P94)&lt;0,0,100*((P94-(I99-1))/P94))</f>
        <v>72.556485718408709</v>
      </c>
      <c r="Q96" s="36"/>
      <c r="R96" s="36"/>
      <c r="S96" s="38"/>
      <c r="T96" s="30"/>
      <c r="U96" s="31"/>
      <c r="AF96" s="2" t="s">
        <v>1535</v>
      </c>
      <c r="AH96">
        <f>IF($D$6=1,100*((EXP(I94))-1),I94)</f>
        <v>-7.3442430969780967E-2</v>
      </c>
    </row>
    <row r="97" spans="7:34">
      <c r="G97" s="45" t="s">
        <v>509</v>
      </c>
      <c r="H97" s="46"/>
      <c r="I97" s="46">
        <v>-2</v>
      </c>
      <c r="J97" s="46"/>
      <c r="K97" s="46" t="s">
        <v>825</v>
      </c>
      <c r="L97" s="46"/>
      <c r="M97" s="47">
        <f>2*(1-NORMDIST(M96,0,1,1))</f>
        <v>0.23322076465204167</v>
      </c>
      <c r="N97" s="7"/>
      <c r="O97" s="7"/>
      <c r="AF97" s="79" t="s">
        <v>834</v>
      </c>
      <c r="AH97">
        <f>IF($D$6=1,100*(EXP(I94+I96)-EXP(I94)),I96)</f>
        <v>0.12075058537297256</v>
      </c>
    </row>
    <row r="98" spans="7:34">
      <c r="G98" s="40"/>
      <c r="H98" s="40"/>
      <c r="I98" s="40"/>
      <c r="J98" s="40"/>
      <c r="K98" s="40"/>
      <c r="L98" s="40"/>
      <c r="M98" s="40"/>
      <c r="N98" s="7"/>
      <c r="O98" s="7"/>
      <c r="AF98" s="79" t="s">
        <v>835</v>
      </c>
      <c r="AH98">
        <f>IF($D$6=1,100*(EXP(I94)-EXP(I94-I96)),I96)</f>
        <v>0.12075058537297256</v>
      </c>
    </row>
    <row r="99" spans="7:34">
      <c r="G99" s="73" t="s">
        <v>1110</v>
      </c>
      <c r="H99" s="74"/>
      <c r="I99" s="74">
        <f>O91</f>
        <v>25</v>
      </c>
      <c r="J99" s="74"/>
      <c r="K99" s="75" t="s">
        <v>1167</v>
      </c>
      <c r="L99" s="74"/>
      <c r="M99" s="76"/>
      <c r="N99" s="77"/>
      <c r="O99" s="101" t="s">
        <v>1513</v>
      </c>
      <c r="P99" s="102"/>
      <c r="Q99" s="103"/>
      <c r="AF99" s="7"/>
    </row>
    <row r="100" spans="7:34">
      <c r="G100" s="77" t="s">
        <v>1531</v>
      </c>
      <c r="H100" s="31"/>
      <c r="I100" s="31">
        <f>R91/I99</f>
        <v>10.538860221839748</v>
      </c>
      <c r="J100" s="31"/>
      <c r="K100" s="31"/>
      <c r="L100" s="31"/>
      <c r="M100" s="78"/>
      <c r="N100" s="77"/>
      <c r="O100" s="104" t="s">
        <v>1514</v>
      </c>
      <c r="P100" s="31"/>
      <c r="Q100" s="105">
        <f>INDEX(LINEST(AL65:AL89,AK65:AK89,TRUE,TRUE),1,2)</f>
        <v>-9.0960911468713962E-2</v>
      </c>
      <c r="AF100" s="2" t="s">
        <v>1687</v>
      </c>
      <c r="AH100">
        <f>IF($D$6=1,100*((EXP(I105))-1),I105)</f>
        <v>-7.3685794860872067E-2</v>
      </c>
    </row>
    <row r="101" spans="7:34">
      <c r="G101" s="77" t="s">
        <v>1532</v>
      </c>
      <c r="H101" s="31"/>
      <c r="I101" s="31">
        <f>(1/(I99-1))*(U91-(I99*I100^2))</f>
        <v>20.323192818033455</v>
      </c>
      <c r="J101" s="31"/>
      <c r="K101" s="31"/>
      <c r="L101" s="31"/>
      <c r="M101" s="78"/>
      <c r="N101" s="77"/>
      <c r="O101" s="104" t="s">
        <v>1516</v>
      </c>
      <c r="P101" s="31"/>
      <c r="Q101" s="105">
        <f>INDEX(LINEST(AL65:AL89,AK65:AK89,TRUE,TRUE),2,2)</f>
        <v>1.9776098734216556</v>
      </c>
      <c r="AF101" s="79" t="s">
        <v>834</v>
      </c>
      <c r="AG101" s="7"/>
      <c r="AH101">
        <f>IF($D$6=1,100*(EXP(I105+I107)-EXP(I105)),I107)</f>
        <v>0.23472932758459925</v>
      </c>
    </row>
    <row r="102" spans="7:34">
      <c r="G102" s="77" t="s">
        <v>1669</v>
      </c>
      <c r="H102" s="31"/>
      <c r="I102" s="31">
        <f>(I99-1)*(I100-(I101/(I99*I100)))</f>
        <v>251.08137633541827</v>
      </c>
      <c r="J102" s="31"/>
      <c r="K102" s="31"/>
      <c r="L102" s="31"/>
      <c r="M102" s="78"/>
      <c r="N102" s="77"/>
      <c r="O102" s="104" t="s">
        <v>1349</v>
      </c>
      <c r="P102" s="31"/>
      <c r="Q102" s="105">
        <f>ABS(Q100/Q101)</f>
        <v>4.5995376889645896E-2</v>
      </c>
      <c r="AF102" s="79" t="s">
        <v>835</v>
      </c>
      <c r="AH102">
        <f>IF($D$6=1,100*(EXP(I105)-EXP(I105-I107)),I107)</f>
        <v>0.23472932758459925</v>
      </c>
    </row>
    <row r="103" spans="7:34">
      <c r="G103" s="77" t="s">
        <v>1685</v>
      </c>
      <c r="H103" s="31"/>
      <c r="I103" s="31">
        <f>IF(P94&gt;(I99-1),(P94-(I99-1))/I102,0)</f>
        <v>0.25271630108168797</v>
      </c>
      <c r="J103" s="31"/>
      <c r="K103" s="31"/>
      <c r="L103" s="31"/>
      <c r="M103" s="78"/>
      <c r="N103" s="77"/>
      <c r="O103" s="106" t="s">
        <v>1515</v>
      </c>
      <c r="P103" s="107"/>
      <c r="Q103" s="108">
        <f>TDIST(Q102,I99-2,2)</f>
        <v>0.96371096874919271</v>
      </c>
    </row>
    <row r="104" spans="7:34">
      <c r="G104" s="77"/>
      <c r="H104" s="31"/>
      <c r="I104" s="31"/>
      <c r="J104" s="31"/>
      <c r="K104" s="31"/>
      <c r="L104" s="31"/>
      <c r="M104" s="78"/>
      <c r="N104" s="77"/>
    </row>
    <row r="105" spans="7:34">
      <c r="G105" s="77" t="s">
        <v>1686</v>
      </c>
      <c r="H105" s="31"/>
      <c r="I105" s="31">
        <f>W91/V91</f>
        <v>-7.3685794860872067E-2</v>
      </c>
      <c r="J105" s="31"/>
      <c r="N105" s="77"/>
    </row>
    <row r="106" spans="7:34">
      <c r="G106" s="77" t="s">
        <v>504</v>
      </c>
      <c r="H106" s="31"/>
      <c r="I106" s="31">
        <f>1/V91</f>
        <v>1.4342424309745447E-2</v>
      </c>
      <c r="J106" s="31"/>
      <c r="N106" s="77"/>
      <c r="O106" t="s">
        <v>805</v>
      </c>
      <c r="R106">
        <v>1.96</v>
      </c>
    </row>
    <row r="107" spans="7:34">
      <c r="G107" s="80" t="s">
        <v>506</v>
      </c>
      <c r="H107" s="31"/>
      <c r="I107" s="31">
        <f>$R$106*SQRT(I106)</f>
        <v>0.23472932758459925</v>
      </c>
      <c r="J107" s="31"/>
      <c r="K107" s="31" t="s">
        <v>507</v>
      </c>
      <c r="L107" s="31"/>
      <c r="M107" s="78">
        <f>ABS(I105/(SQRT(I106)))</f>
        <v>0.61527956226627478</v>
      </c>
      <c r="N107" s="77"/>
    </row>
    <row r="108" spans="7:34">
      <c r="G108" s="81" t="s">
        <v>509</v>
      </c>
      <c r="H108" s="82"/>
      <c r="I108" s="82">
        <v>-3</v>
      </c>
      <c r="J108" s="82"/>
      <c r="K108" s="31" t="s">
        <v>825</v>
      </c>
      <c r="L108" s="31"/>
      <c r="M108" s="78">
        <f>2*(1-NORMDIST(M107,0,1,1))</f>
        <v>0.53837011232283638</v>
      </c>
      <c r="N108" s="77"/>
    </row>
    <row r="109" spans="7:34">
      <c r="G109" s="74"/>
      <c r="H109" s="74"/>
      <c r="I109" s="74"/>
      <c r="J109" s="74"/>
      <c r="K109" s="74"/>
      <c r="L109" s="74"/>
      <c r="M109" s="74"/>
      <c r="N109" s="31"/>
      <c r="O109" s="7"/>
    </row>
  </sheetData>
  <phoneticPr fontId="10" type="noConversion"/>
  <conditionalFormatting sqref="D17 D13 F13">
    <cfRule type="cellIs" dxfId="72" priority="0" stopIfTrue="1" operator="lessThan">
      <formula>0.05</formula>
    </cfRule>
  </conditionalFormatting>
  <conditionalFormatting sqref="D21">
    <cfRule type="cellIs" dxfId="7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4.xml><?xml version="1.0" encoding="utf-8"?>
<worksheet xmlns="http://schemas.openxmlformats.org/spreadsheetml/2006/main" xmlns:r="http://schemas.openxmlformats.org/officeDocument/2006/relationships">
  <sheetPr published="0" codeName="Sheet95" enableFormatConditionsCalculation="0"/>
  <dimension ref="A1:BM68"/>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433</v>
      </c>
      <c r="D1" s="10"/>
      <c r="E1" s="91"/>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I58-O51</f>
        <v>6</v>
      </c>
      <c r="AD7" s="89"/>
    </row>
    <row r="8" spans="2:30">
      <c r="B8" t="s">
        <v>822</v>
      </c>
      <c r="D8">
        <f>SUM(H24:H31)</f>
        <v>276</v>
      </c>
      <c r="E8" t="s">
        <v>298</v>
      </c>
      <c r="F8">
        <f>Summary!C78</f>
        <v>0.8</v>
      </c>
      <c r="AD8" s="89"/>
    </row>
    <row r="9" spans="2:30">
      <c r="B9" t="s">
        <v>823</v>
      </c>
      <c r="D9">
        <f>SUM(I24:I31)</f>
        <v>264</v>
      </c>
      <c r="AD9" s="89"/>
    </row>
    <row r="11" spans="2:30">
      <c r="B11" s="27" t="s">
        <v>516</v>
      </c>
      <c r="C11" s="28"/>
      <c r="D11" s="109">
        <f>P53</f>
        <v>16.562007881226261</v>
      </c>
      <c r="E11" s="110" t="s">
        <v>1513</v>
      </c>
      <c r="F11" s="103"/>
    </row>
    <row r="12" spans="2:30">
      <c r="B12" s="30" t="s">
        <v>826</v>
      </c>
      <c r="C12" s="31"/>
      <c r="D12" s="112">
        <f>P55</f>
        <v>69.81042373692074</v>
      </c>
      <c r="E12" s="31"/>
      <c r="F12" s="105"/>
    </row>
    <row r="13" spans="2:30">
      <c r="B13" s="35" t="s">
        <v>825</v>
      </c>
      <c r="C13" s="36"/>
      <c r="D13" s="113">
        <f>P54</f>
        <v>5.4099197046986675E-3</v>
      </c>
      <c r="E13" s="111" t="s">
        <v>825</v>
      </c>
      <c r="F13" s="115">
        <f>Q62</f>
        <v>0.18186689707172943</v>
      </c>
    </row>
    <row r="15" spans="2:30">
      <c r="B15" s="39" t="s">
        <v>879</v>
      </c>
      <c r="C15" s="40"/>
      <c r="D15" s="41">
        <f>AH55</f>
        <v>-0.13388328482491116</v>
      </c>
      <c r="E15" s="116"/>
    </row>
    <row r="16" spans="2:30">
      <c r="B16" s="43" t="s">
        <v>1165</v>
      </c>
      <c r="C16" s="31"/>
      <c r="D16" s="33">
        <f>AH55-AH57</f>
        <v>-0.30763666974936205</v>
      </c>
      <c r="E16" s="117">
        <f>AH55+AH56</f>
        <v>3.9870100099539729E-2</v>
      </c>
    </row>
    <row r="17" spans="1:65">
      <c r="B17" s="45" t="s">
        <v>1166</v>
      </c>
      <c r="C17" s="46"/>
      <c r="D17" s="123">
        <f>M56</f>
        <v>0.13097936776855867</v>
      </c>
      <c r="E17" s="118"/>
    </row>
    <row r="18" spans="1:65">
      <c r="D18" s="48"/>
      <c r="F18" s="49"/>
    </row>
    <row r="19" spans="1:65">
      <c r="B19" s="50" t="s">
        <v>1167</v>
      </c>
      <c r="C19" s="51"/>
      <c r="D19" s="52">
        <f>AH59</f>
        <v>-0.20663830747560413</v>
      </c>
      <c r="E19" s="120"/>
      <c r="F19" s="33"/>
      <c r="G19" s="31"/>
    </row>
    <row r="20" spans="1:65">
      <c r="B20" s="53" t="s">
        <v>1165</v>
      </c>
      <c r="C20" s="31"/>
      <c r="D20" s="33">
        <f>AH59-AH61</f>
        <v>-0.53455193984095428</v>
      </c>
      <c r="E20" s="121">
        <f>AH59+AH60</f>
        <v>0.12127532488974602</v>
      </c>
      <c r="F20" s="31"/>
      <c r="G20" s="31"/>
    </row>
    <row r="21" spans="1:65">
      <c r="B21" s="54" t="s">
        <v>1440</v>
      </c>
      <c r="C21" s="55"/>
      <c r="D21" s="114">
        <f>M67</f>
        <v>0.21678766605062005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11958777</v>
      </c>
      <c r="C24" s="1" t="str">
        <f>IF($B24="","",HYPERLINK(IF(LEN(VLOOKUP($B24,Database!$B$1:$IX$10144,2,FALSE))=0,"",VLOOKUP($B24,Database!$B$1:$IX$10144,2,FALSE))))</f>
        <v/>
      </c>
      <c r="D24" s="1" t="str">
        <f>IF($B24="","",HYPERLINK(CONCATENATE("http://www.ncbi.nlm.nih.gov/pubmed/",B24)))</f>
        <v>http://www.ncbi.nlm.nih.gov/pubmed/11958777</v>
      </c>
      <c r="E24" s="22" t="str">
        <f>IF($B24="","",IF(LEN(VLOOKUP($B24,Database!$B$1:$IX$10144,4,FALSE))=0,"",VLOOKUP($B24,Database!$B$1:$IX$10144,4,FALSE)))</f>
        <v>Bremner JD</v>
      </c>
      <c r="F24" s="22">
        <f>IF($B24="","",IF(LEN(VLOOKUP($B24,Database!$B$1:$IX$10144,5,FALSE))=0,"",VLOOKUP($B24,Database!$B$1:$IX$10144,5,FALSE)))</f>
        <v>2002</v>
      </c>
      <c r="G24" s="1" t="str">
        <f>IF($B24="","",HYPERLINK(IF(LEN(VLOOKUP($B24,Database!$B$1:$IX$10144,6,FALSE))=0,"",VLOOKUP($B24,Database!$B$1:$IX$10144,6,FALSE))))</f>
        <v>http://dx.doi.org/10.1016/S0006-3223(01)01336-1</v>
      </c>
      <c r="H24" s="22">
        <f>IF($B24="","",IF(LEN(VLOOKUP($B24,Database!$B$1:$IX$10144,7,FALSE))=0,"",VLOOKUP($B24,Database!$B$1:$IX$10144,7,FALSE)))</f>
        <v>15</v>
      </c>
      <c r="I24" s="22">
        <f>IF($B24="","",IF(LEN(VLOOKUP($B24,Database!$B$1:$IX$10144,8,FALSE))=0,"",VLOOKUP($B24,Database!$B$1:$IX$10144,8,FALSE)))</f>
        <v>20</v>
      </c>
      <c r="J24" t="s">
        <v>163</v>
      </c>
      <c r="T24">
        <v>6317</v>
      </c>
      <c r="U24">
        <v>1114</v>
      </c>
      <c r="V24">
        <v>6837</v>
      </c>
      <c r="W24">
        <v>2118</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43</v>
      </c>
      <c r="AC24" s="22">
        <f>IF(OR($B24="",AC$22=""),"",IF(LEN(VLOOKUP($B24,Database!$B$1:$IX$10144,AC$22,FALSE))=0,"",VLOOKUP($B24,Database!$B$1:$IX$10144,AC$22,FALSE)))</f>
        <v>8</v>
      </c>
      <c r="AD24" s="22">
        <f>IF(OR($B24="",AD$22=""),"",IF(LEN(VLOOKUP($B24,Database!$B$1:$IX$10144,AD$22,FALSE))=0,"",VLOOKUP($B24,Database!$B$1:$IX$10144,AD$22,FALSE)))</f>
        <v>45</v>
      </c>
      <c r="AE24" s="22">
        <f>IF(OR($B24="",AE$22=""),"",IF(LEN(VLOOKUP($B24,Database!$B$1:$IX$10144,AE$22,FALSE))=0,"",VLOOKUP($B24,Database!$B$1:$IX$10144,AE$22,FALSE)))</f>
        <v>11</v>
      </c>
      <c r="AF24" s="22">
        <f>IF(OR($B24="",AF$22=""),"",IF(LEN(VLOOKUP($B24,Database!$B$1:$IX$10144,AF$22,FALSE))=0,"",VLOOKUP($B24,Database!$B$1:$IX$10144,AF$22,FALSE)))</f>
        <v>5</v>
      </c>
      <c r="AG24" s="22">
        <f>IF(OR($B24="",AG$22=""),"",IF(LEN(VLOOKUP($B24,Database!$B$1:$IX$10144,AG$22,FALSE))=0,"",VLOOKUP($B24,Database!$B$1:$IX$10144,AG$22,FALSE)))</f>
        <v>9</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100</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Bremner JD, Vythilingam M, Vermetten E, Nazeer A, Adil J, Khan S, Staib LH, Charney DS.</v>
      </c>
      <c r="AR24" s="13"/>
      <c r="BC24" s="23"/>
      <c r="BF24" s="136"/>
      <c r="BG24" s="136"/>
      <c r="BH24" s="136"/>
      <c r="BI24" s="136"/>
    </row>
    <row r="25" spans="1:65">
      <c r="B25">
        <v>18075490</v>
      </c>
      <c r="C25" s="1" t="str">
        <f>IF($B25="","",HYPERLINK(IF(LEN(VLOOKUP($B25,Database!$B$1:$IX$10144,2,FALSE))=0,"",VLOOKUP($B25,Database!$B$1:$IX$10144,2,FALSE))))</f>
        <v/>
      </c>
      <c r="D25" s="1" t="str">
        <f>IF($B25="","",HYPERLINK(CONCATENATE("http://www.ncbi.nlm.nih.gov/pubmed/",B25)))</f>
        <v>http://www.ncbi.nlm.nih.gov/pubmed/18075490</v>
      </c>
      <c r="E25" s="22" t="str">
        <f>IF($B25="","",IF(LEN(VLOOKUP($B25,Database!$B$1:$IX$10144,4,FALSE))=0,"",VLOOKUP($B25,Database!$B$1:$IX$10144,4,FALSE)))</f>
        <v>Andreescu C</v>
      </c>
      <c r="F25" s="22">
        <f>IF($B25="","",IF(LEN(VLOOKUP($B25,Database!$B$1:$IX$10144,5,FALSE))=0,"",VLOOKUP($B25,Database!$B$1:$IX$10144,5,FALSE)))</f>
        <v>2008</v>
      </c>
      <c r="G25" s="1" t="str">
        <f>IF($B25="","",HYPERLINK(IF(LEN(VLOOKUP($B25,Database!$B$1:$IX$10144,6,FALSE))=0,"",VLOOKUP($B25,Database!$B$1:$IX$10144,6,FALSE))))</f>
        <v>http://www.nature.com/npp/journal/v33/n11/pdf/1301655a.pdf</v>
      </c>
      <c r="H25" s="22">
        <f>IF($B25="","",IF(LEN(VLOOKUP($B25,Database!$B$1:$IX$10144,7,FALSE))=0,"",VLOOKUP($B25,Database!$B$1:$IX$10144,7,FALSE)))</f>
        <v>71</v>
      </c>
      <c r="I25" s="22">
        <f>IF($B25="","",IF(LEN(VLOOKUP($B25,Database!$B$1:$IX$10144,8,FALSE))=0,"",VLOOKUP($B25,Database!$B$1:$IX$10144,8,FALSE)))</f>
        <v>32</v>
      </c>
      <c r="J25" s="19" t="s">
        <v>164</v>
      </c>
      <c r="T25">
        <v>1.85</v>
      </c>
      <c r="U25">
        <v>0.27</v>
      </c>
      <c r="V25">
        <v>1.97</v>
      </c>
      <c r="W25">
        <v>0.34</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72.2</v>
      </c>
      <c r="AC25" s="22">
        <f>IF(OR($B25="",AC$22=""),"",IF(LEN(VLOOKUP($B25,Database!$B$1:$IX$10144,AC$22,FALSE))=0,"",VLOOKUP($B25,Database!$B$1:$IX$10144,AC$22,FALSE)))</f>
        <v>6.2</v>
      </c>
      <c r="AD25" s="22">
        <f>IF(OR($B25="",AD$22=""),"",IF(LEN(VLOOKUP($B25,Database!$B$1:$IX$10144,AD$22,FALSE))=0,"",VLOOKUP($B25,Database!$B$1:$IX$10144,AD$22,FALSE)))</f>
        <v>71</v>
      </c>
      <c r="AE25" s="22">
        <f>IF(OR($B25="",AE$22=""),"",IF(LEN(VLOOKUP($B25,Database!$B$1:$IX$10144,AE$22,FALSE))=0,"",VLOOKUP($B25,Database!$B$1:$IX$10144,AE$22,FALSE)))</f>
        <v>6.7</v>
      </c>
      <c r="AF25" s="22">
        <f>IF(OR($B25="",AF$22=""),"",IF(LEN(VLOOKUP($B25,Database!$B$1:$IX$10144,AF$22,FALSE))=0,"",VLOOKUP($B25,Database!$B$1:$IX$10144,AF$22,FALSE)))</f>
        <v>49</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52.3</v>
      </c>
      <c r="AL25" s="22">
        <f>IF(OR($B25="",AL$22=""),"",IF(LEN(VLOOKUP($B25,Database!$B$1:$IX$10144,AL$22,FALSE))=0,"",VLOOKUP($B25,Database!$B$1:$IX$10144,AL$22,FALSE)))</f>
        <v>18.3</v>
      </c>
      <c r="AM25" s="22">
        <f>IF(OR($B25="",AM$22=""),"",IF(LEN(VLOOKUP($B25,Database!$B$1:$IX$10144,AM$22,FALSE))=0,"",VLOOKUP($B25,Database!$B$1:$IX$10144,AM$22,FALSE)))</f>
        <v>16.901408450704224</v>
      </c>
      <c r="AN25" s="22" t="str">
        <f>IF(OR($B25="",AN$22=""),"",IF(LEN(VLOOKUP($B25,Database!$B$1:$IX$10144,AN$22,FALSE))=0,"",VLOOKUP($B25,Database!$B$1:$IX$10144,AN$22,FALSE)))</f>
        <v>ns</v>
      </c>
      <c r="AO25" s="22">
        <f>IF(OR($B25="",AO$22=""),"",IF(LEN(VLOOKUP($B25,Database!$B$1:$IX$10144,AO$22,FALSE))=0,"",VLOOKUP($B25,Database!$B$1:$IX$10144,AO$22,FALSE)))</f>
        <v>1.4084507042253522</v>
      </c>
      <c r="AP25" s="22" t="str">
        <f>IF(OR($B25="",AP$22=""),"",IF(LEN(VLOOKUP($B25,Database!$B$1:$IX$10144,AP$22,FALSE))=0,"",VLOOKUP($B25,Database!$B$1:$IX$10144,AP$22,FALSE)))</f>
        <v>ns</v>
      </c>
      <c r="AQ25" s="22" t="str">
        <f>IF(OR($B25="",AQ$22=""),"",IF(LEN(VLOOKUP($B25,Database!$B$1:$IX$10144,AQ$22,FALSE))=0,"",VLOOKUP($B25,Database!$B$1:$IX$10144,AQ$22,FALSE)))</f>
        <v>Andreescu C, Butters MA, Begley A, Rajji T, Wu M, Meltzer CC, Reynolds CF 3rd, Aizenstein H.</v>
      </c>
      <c r="AR25" s="13"/>
      <c r="BC25" s="23"/>
      <c r="BF25" s="136"/>
      <c r="BG25" s="136"/>
      <c r="BH25" s="136"/>
      <c r="BI25" s="136"/>
    </row>
    <row r="26" spans="1:65">
      <c r="B26">
        <v>20018381</v>
      </c>
      <c r="C26" s="1" t="str">
        <f>IF($B26="","",HYPERLINK(IF(LEN(VLOOKUP($B26,Database!$B$1:$IX$10144,2,FALSE))=0,"",VLOOKUP($B26,Database!$B$1:$IX$10144,2,FALSE))))</f>
        <v/>
      </c>
      <c r="D26" s="1" t="str">
        <f>IF($B26="","",HYPERLINK(CONCATENATE("http://www.ncbi.nlm.nih.gov/pubmed/",B26)))</f>
        <v>http://www.ncbi.nlm.nih.gov/pubmed/20018381</v>
      </c>
      <c r="E26" s="22" t="str">
        <f>IF($B26="","",IF(LEN(VLOOKUP($B26,Database!$B$1:$IX$10144,4,FALSE))=0,"",VLOOKUP($B26,Database!$B$1:$IX$10144,4,FALSE)))</f>
        <v>Weber K</v>
      </c>
      <c r="F26" s="22">
        <f>IF($B26="","",IF(LEN(VLOOKUP($B26,Database!$B$1:$IX$10144,5,FALSE))=0,"",VLOOKUP($B26,Database!$B$1:$IX$10144,5,FALSE)))</f>
        <v>2009</v>
      </c>
      <c r="G26" s="1" t="str">
        <f>IF($B26="","",HYPERLINK(IF(LEN(VLOOKUP($B26,Database!$B$1:$IX$10144,6,FALSE))=0,"",VLOOKUP($B26,Database!$B$1:$IX$10144,6,FALSE))))</f>
        <v>http://dx.doi.org/10.1016/j.jad.2009.11.016</v>
      </c>
      <c r="H26" s="22">
        <f>IF($B26="","",IF(LEN(VLOOKUP($B26,Database!$B$1:$IX$10144,7,FALSE))=0,"",VLOOKUP($B26,Database!$B$1:$IX$10144,7,FALSE)))</f>
        <v>38</v>
      </c>
      <c r="I26" s="22">
        <f>IF($B26="","",IF(LEN(VLOOKUP($B26,Database!$B$1:$IX$10144,8,FALSE))=0,"",VLOOKUP($B26,Database!$B$1:$IX$10144,8,FALSE)))</f>
        <v>62</v>
      </c>
      <c r="J26" t="s">
        <v>190</v>
      </c>
      <c r="L26">
        <v>1.37</v>
      </c>
      <c r="M26">
        <v>0.33</v>
      </c>
      <c r="N26">
        <v>1.26</v>
      </c>
      <c r="O26">
        <v>0.37</v>
      </c>
      <c r="P26">
        <v>1.39</v>
      </c>
      <c r="Q26">
        <v>0.39</v>
      </c>
      <c r="R26">
        <v>1.37</v>
      </c>
      <c r="S26">
        <v>0.41</v>
      </c>
      <c r="T26">
        <v>2.72</v>
      </c>
      <c r="U26">
        <v>0.62</v>
      </c>
      <c r="V26">
        <v>2.63</v>
      </c>
      <c r="W26">
        <v>0.63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66.11</v>
      </c>
      <c r="AC26" s="22">
        <f>IF(OR($B26="",AC$22=""),"",IF(LEN(VLOOKUP($B26,Database!$B$1:$IX$10144,AC$22,FALSE))=0,"",VLOOKUP($B26,Database!$B$1:$IX$10144,AC$22,FALSE)))</f>
        <v>6.22</v>
      </c>
      <c r="AD26" s="22">
        <f>IF(OR($B26="",AD$22=""),"",IF(LEN(VLOOKUP($B26,Database!$B$1:$IX$10144,AD$22,FALSE))=0,"",VLOOKUP($B26,Database!$B$1:$IX$10144,AD$22,FALSE)))</f>
        <v>71.099999999999994</v>
      </c>
      <c r="AE26" s="22">
        <f>IF(OR($B26="",AE$22=""),"",IF(LEN(VLOOKUP($B26,Database!$B$1:$IX$10144,AE$22,FALSE))=0,"",VLOOKUP($B26,Database!$B$1:$IX$10144,AE$22,FALSE)))</f>
        <v>7.26</v>
      </c>
      <c r="AF26" s="22">
        <f>IF(OR($B26="",AF$22=""),"",IF(LEN(VLOOKUP($B26,Database!$B$1:$IX$10144,AF$22,FALSE))=0,"",VLOOKUP($B26,Database!$B$1:$IX$10144,AF$22,FALSE)))</f>
        <v>31</v>
      </c>
      <c r="AG26" s="22">
        <f>IF(OR($B26="",AG$22=""),"",IF(LEN(VLOOKUP($B26,Database!$B$1:$IX$10144,AG$22,FALSE))=0,"",VLOOKUP($B26,Database!$B$1:$IX$10144,AG$22,FALSE)))</f>
        <v>48</v>
      </c>
      <c r="AH26" s="22">
        <f>IF(OR($B26="",AH$22=""),"",IF(LEN(VLOOKUP($B26,Database!$B$1:$IX$10144,AH$22,FALSE))=0,"",VLOOKUP($B26,Database!$B$1:$IX$10144,AH$22,FALSE)))</f>
        <v>3</v>
      </c>
      <c r="AI26" s="22">
        <f>IF(OR($B26="",AI$22=""),"",IF(LEN(VLOOKUP($B26,Database!$B$1:$IX$10144,AI$22,FALSE))=0,"",VLOOKUP($B26,Database!$B$1:$IX$10144,AI$22,FALSE)))</f>
        <v>0.9</v>
      </c>
      <c r="AJ26" s="22" t="str">
        <f>IF(OR($B26="",AJ$22=""),"",IF(LEN(VLOOKUP($B26,Database!$B$1:$IX$10144,AJ$22,FALSE))=0,"",VLOOKUP($B26,Database!$B$1:$IX$10144,AJ$22,FALSE)))</f>
        <v/>
      </c>
      <c r="AK26" s="22">
        <f>IF(OR($B26="",AK$22=""),"",IF(LEN(VLOOKUP($B26,Database!$B$1:$IX$10144,AK$22,FALSE))=0,"",VLOOKUP($B26,Database!$B$1:$IX$10144,AK$22,FALSE)))</f>
        <v>37.76</v>
      </c>
      <c r="AL26" s="22" t="str">
        <f>IF(OR($B26="",AL$22=""),"",IF(LEN(VLOOKUP($B26,Database!$B$1:$IX$10144,AL$22,FALSE))=0,"",VLOOKUP($B26,Database!$B$1:$IX$10144,AL$22,FALSE)))</f>
        <v>ns</v>
      </c>
      <c r="AM26" s="22">
        <f>IF(OR($B26="",AM$22=""),"",IF(LEN(VLOOKUP($B26,Database!$B$1:$IX$10144,AM$22,FALSE))=0,"",VLOOKUP($B26,Database!$B$1:$IX$10144,AM$22,FALSE)))</f>
        <v>47.368421052631575</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Weber K, Giannakopoulos P, Delaloye C, de Bilbao F, Moy G, Moussa A, Rubio MM, Ebbing K, Meuli R, Lazeyras F, Meiler-Mititelu C, Herrmann FR, Gold G, Canuto A.</v>
      </c>
      <c r="AR26" s="13"/>
      <c r="BC26" s="23"/>
      <c r="BF26" s="136"/>
      <c r="BG26" s="136"/>
      <c r="BH26" s="136"/>
      <c r="BI26" s="136"/>
    </row>
    <row r="27" spans="1:65">
      <c r="C27" s="1" t="str">
        <f>IF($B27="","",HYPERLINK(IF(LEN(VLOOKUP($B27,Database!$B$1:$IX$10144,2,FALSE))=0,"",VLOOKUP($B27,Database!$B$1:$IX$10144,2,FALSE))))</f>
        <v/>
      </c>
      <c r="D27" s="1" t="str">
        <f>IF($B27="","",HYPERLINK(CONCATENATE("http://www.ncbi.nlm.nih.gov/pubmed/",B27)))</f>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J27" s="19"/>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c r="BC27" s="23"/>
      <c r="BF27" s="136"/>
      <c r="BG27" s="136"/>
      <c r="BH27" s="136"/>
      <c r="BI27" s="136"/>
    </row>
    <row r="28" spans="1:65">
      <c r="A28" s="4" t="s">
        <v>397</v>
      </c>
      <c r="C28" s="1"/>
      <c r="D28" s="1"/>
      <c r="E28" s="22"/>
      <c r="F28" s="22" t="str">
        <f>IF($B28="","",IF(LEN(VLOOKUP($B28,Database!$B$1:$IX$10144,5,FALSE))=0,"",VLOOKUP($B28,Database!$B$1:$IX$10144,5,FALSE)))</f>
        <v/>
      </c>
      <c r="G28" s="1" t="str">
        <f>IF($B28="","",HYPERLINK(IF(LEN(VLOOKUP($B28,Database!$B$1:$IX$10144,6,FALSE))=0,"",VLOOKUP($B28,Database!$B$1:$IX$10144,6,FALSE))))</f>
        <v/>
      </c>
      <c r="H28" s="22" t="str">
        <f>IF($B28="","",IF(LEN(VLOOKUP($B28,Database!$B$1:$IX$10144,7,FALSE))=0,"",VLOOKUP($B28,Database!$B$1:$IX$10144,7,FALSE)))</f>
        <v/>
      </c>
      <c r="I28" s="22" t="str">
        <f>IF($B28="","",IF(LEN(VLOOKUP($B28,Database!$B$1:$IX$10144,8,FALSE))=0,"",VLOOKUP($B28,Database!$B$1:$IX$10144,8,FALSE)))</f>
        <v/>
      </c>
      <c r="J28" s="19"/>
      <c r="Y28" s="22" t="str">
        <f>IF(OR($B28="",Y$22=""),"",IF(LEN(VLOOKUP($B28,Database!$B$1:$IX$10144,Y$22,FALSE))=0,"",VLOOKUP($B28,Database!$B$1:$IX$10144,Y$22,FALSE)))</f>
        <v/>
      </c>
      <c r="Z28" s="22" t="str">
        <f>IF(OR($B28="",Z$22=""),"",IF(LEN(VLOOKUP($B28,Database!$B$1:$IX$10144,Z$22,FALSE))=0,"",VLOOKUP($B28,Database!$B$1:$IX$10144,Z$22,FALSE)))</f>
        <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t="str">
        <f>IF(OR($B28="",AF$22=""),"",IF(LEN(VLOOKUP($B28,Database!$B$1:$IX$10144,AF$22,FALSE))=0,"",VLOOKUP($B28,Database!$B$1:$IX$10144,AF$22,FALSE)))</f>
        <v/>
      </c>
      <c r="AG28" s="22" t="str">
        <f>IF(OR($B28="",AG$22=""),"",IF(LEN(VLOOKUP($B28,Database!$B$1:$IX$10144,AG$22,FALSE))=0,"",VLOOKUP($B28,Database!$B$1:$IX$10144,AG$22,FALSE)))</f>
        <v/>
      </c>
      <c r="AH28" s="22" t="str">
        <f>IF(OR($B28="",AH$22=""),"",IF(LEN(VLOOKUP($B28,Database!$B$1:$IX$10144,AH$22,FALSE))=0,"",VLOOKUP($B28,Database!$B$1:$IX$10144,AH$22,FALSE)))</f>
        <v/>
      </c>
      <c r="AI28" s="22" t="str">
        <f>IF(OR($B28="",AI$22=""),"",IF(LEN(VLOOKUP($B28,Database!$B$1:$IX$10144,AI$22,FALSE))=0,"",VLOOKUP($B28,Database!$B$1:$IX$10144,AI$22,FALSE)))</f>
        <v/>
      </c>
      <c r="AJ28" s="22" t="str">
        <f>IF(OR($B28="",AJ$22=""),"",IF(LEN(VLOOKUP($B28,Database!$B$1:$IX$10144,AJ$22,FALSE))=0,"",VLOOKUP($B28,Database!$B$1:$IX$10144,AJ$22,FALSE)))</f>
        <v/>
      </c>
      <c r="AK28" s="22" t="str">
        <f>IF(OR($B28="",AK$22=""),"",IF(LEN(VLOOKUP($B28,Database!$B$1:$IX$10144,AK$22,FALSE))=0,"",VLOOKUP($B28,Database!$B$1:$IX$10144,AK$22,FALSE)))</f>
        <v/>
      </c>
      <c r="AL28" s="22" t="str">
        <f>IF(OR($B28="",AL$22=""),"",IF(LEN(VLOOKUP($B28,Database!$B$1:$IX$10144,AL$22,FALSE))=0,"",VLOOKUP($B28,Database!$B$1:$IX$10144,AL$22,FALSE)))</f>
        <v/>
      </c>
      <c r="AM28" s="22" t="str">
        <f>IF(OR($B28="",AM$22=""),"",IF(LEN(VLOOKUP($B28,Database!$B$1:$IX$10144,AM$22,FALSE))=0,"",VLOOKUP($B28,Database!$B$1:$IX$10144,AM$22,FALSE)))</f>
        <v/>
      </c>
      <c r="AN28" s="22" t="str">
        <f>IF(OR($B28="",AN$22=""),"",IF(LEN(VLOOKUP($B28,Database!$B$1:$IX$10144,AN$22,FALSE))=0,"",VLOOKUP($B28,Database!$B$1:$IX$10144,AN$22,FALSE)))</f>
        <v/>
      </c>
      <c r="AO28" s="22" t="str">
        <f>IF(OR($B28="",AO$22=""),"",IF(LEN(VLOOKUP($B28,Database!$B$1:$IX$10144,AO$22,FALSE))=0,"",VLOOKUP($B28,Database!$B$1:$IX$10144,AO$22,FALSE)))</f>
        <v/>
      </c>
      <c r="AP28" s="22" t="str">
        <f>IF(OR($B28="",AP$22=""),"",IF(LEN(VLOOKUP($B28,Database!$B$1:$IX$10144,AP$22,FALSE))=0,"",VLOOKUP($B28,Database!$B$1:$IX$10144,AP$22,FALSE)))</f>
        <v/>
      </c>
      <c r="AQ28" s="22" t="str">
        <f>IF(OR($B28="",AQ$22=""),"",IF(LEN(VLOOKUP($B28,Database!$B$1:$IX$10144,AQ$22,FALSE))=0,"",VLOOKUP($B28,Database!$B$1:$IX$10144,AQ$22,FALSE)))</f>
        <v/>
      </c>
      <c r="BC28" s="23"/>
      <c r="BF28" s="136"/>
      <c r="BG28" s="136"/>
      <c r="BH28" s="136"/>
      <c r="BI28" s="136"/>
    </row>
    <row r="29" spans="1:65">
      <c r="B29">
        <v>16414029</v>
      </c>
      <c r="C29" s="1" t="str">
        <f>IF($B29="","",HYPERLINK(IF(LEN(VLOOKUP($B29,Database!$B$1:$IX$10144,2,FALSE))=0,"",VLOOKUP($B29,Database!$B$1:$IX$10144,2,FALSE))))</f>
        <v/>
      </c>
      <c r="D29" s="1" t="str">
        <f>IF($B29="","",HYPERLINK(CONCATENATE("http://www.ncbi.nlm.nih.gov/pubmed/",B29)))</f>
        <v>http://www.ncbi.nlm.nih.gov/pubmed/16414029</v>
      </c>
      <c r="E29" s="22" t="str">
        <f>IF($B29="","",IF(LEN(VLOOKUP($B29,Database!$B$1:$IX$10144,4,FALSE))=0,"",VLOOKUP($B29,Database!$B$1:$IX$10144,4,FALSE)))</f>
        <v>Caetano SC</v>
      </c>
      <c r="F29" s="22">
        <f>IF($B29="","",IF(LEN(VLOOKUP($B29,Database!$B$1:$IX$10144,5,FALSE))=0,"",VLOOKUP($B29,Database!$B$1:$IX$10144,5,FALSE)))</f>
        <v>2006</v>
      </c>
      <c r="G29" s="1" t="str">
        <f>IF($B29="","",HYPERLINK(IF(LEN(VLOOKUP($B29,Database!$B$1:$IX$10144,6,FALSE))=0,"",VLOOKUP($B29,Database!$B$1:$IX$10144,6,FALSE))))</f>
        <v>http://dx.doi.org/10.1016/j.biopsych.2005.10.011</v>
      </c>
      <c r="H29" s="22">
        <f>IF($B29="","",IF(LEN(VLOOKUP($B29,Database!$B$1:$IX$10144,7,FALSE))=0,"",VLOOKUP($B29,Database!$B$1:$IX$10144,7,FALSE)))</f>
        <v>31</v>
      </c>
      <c r="I29" s="22">
        <f>IF($B29="","",IF(LEN(VLOOKUP($B29,Database!$B$1:$IX$10144,8,FALSE))=0,"",VLOOKUP($B29,Database!$B$1:$IX$10144,8,FALSE)))</f>
        <v>31</v>
      </c>
      <c r="J29" s="2" t="s">
        <v>1328</v>
      </c>
      <c r="L29">
        <v>2.41</v>
      </c>
      <c r="M29">
        <v>0.48</v>
      </c>
      <c r="N29">
        <v>3.02</v>
      </c>
      <c r="O29">
        <v>0.52</v>
      </c>
      <c r="P29">
        <v>2.52</v>
      </c>
      <c r="Q29">
        <v>0.43</v>
      </c>
      <c r="R29">
        <v>2.85</v>
      </c>
      <c r="S29">
        <v>0.53</v>
      </c>
      <c r="T29">
        <f>L29+P29</f>
        <v>4.93</v>
      </c>
      <c r="U29">
        <f>2*SQRT(0.25*(M29^2+Q29^2+2*$F$8*M29*Q29))</f>
        <v>0.86344658201882996</v>
      </c>
      <c r="V29">
        <f>N29+R29</f>
        <v>5.87</v>
      </c>
      <c r="W29">
        <f>2*SQRT(0.25*(O29^2+S29^2+2*$F$8*O29*S29))</f>
        <v>0.99612248242874235</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39.200000000000003</v>
      </c>
      <c r="AC29" s="22">
        <f>IF(OR($B29="",AC$22=""),"",IF(LEN(VLOOKUP($B29,Database!$B$1:$IX$10144,AC$22,FALSE))=0,"",VLOOKUP($B29,Database!$B$1:$IX$10144,AC$22,FALSE)))</f>
        <v>11.9</v>
      </c>
      <c r="AD29" s="22">
        <f>IF(OR($B29="",AD$22=""),"",IF(LEN(VLOOKUP($B29,Database!$B$1:$IX$10144,AD$22,FALSE))=0,"",VLOOKUP($B29,Database!$B$1:$IX$10144,AD$22,FALSE)))</f>
        <v>36.700000000000003</v>
      </c>
      <c r="AE29" s="22">
        <f>IF(OR($B29="",AE$22=""),"",IF(LEN(VLOOKUP($B29,Database!$B$1:$IX$10144,AE$22,FALSE))=0,"",VLOOKUP($B29,Database!$B$1:$IX$10144,AE$22,FALSE)))</f>
        <v>10.7</v>
      </c>
      <c r="AF29" s="22">
        <f>IF(OR($B29="",AF$22=""),"",IF(LEN(VLOOKUP($B29,Database!$B$1:$IX$10144,AF$22,FALSE))=0,"",VLOOKUP($B29,Database!$B$1:$IX$10144,AF$22,FALSE)))</f>
        <v>24</v>
      </c>
      <c r="AG29" s="22">
        <f>IF(OR($B29="",AG$22=""),"",IF(LEN(VLOOKUP($B29,Database!$B$1:$IX$10144,AG$22,FALSE))=0,"",VLOOKUP($B29,Database!$B$1:$IX$10144,AG$22,FALSE)))</f>
        <v>24</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27.9</v>
      </c>
      <c r="AL29" s="22">
        <f>IF(OR($B29="",AL$22=""),"",IF(LEN(VLOOKUP($B29,Database!$B$1:$IX$10144,AL$22,FALSE))=0,"",VLOOKUP($B29,Database!$B$1:$IX$10144,AL$22,FALSE)))</f>
        <v>11.8</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Caetano SC, Kaur S, Brambilla P, Nicoletti M, Hatch JP, Sassi RB, Mallinger AG, Keshavan MS, Kupfer DJ, Frank E, Soares JC.</v>
      </c>
      <c r="AR29" s="13"/>
      <c r="BC29" s="23"/>
      <c r="BF29" s="136"/>
      <c r="BG29" s="136"/>
      <c r="BH29" s="136"/>
      <c r="BI29" s="136"/>
    </row>
    <row r="30" spans="1:65">
      <c r="B30">
        <v>17463189</v>
      </c>
      <c r="C30" s="1" t="str">
        <f>IF($B30="","",HYPERLINK(IF(LEN(VLOOKUP($B30,Database!$B$1:$IX$10144,2,FALSE))=0,"",VLOOKUP($B30,Database!$B$1:$IX$10144,2,FALSE))))</f>
        <v/>
      </c>
      <c r="D30" s="1" t="str">
        <f>IF($B30="","",HYPERLINK(CONCATENATE("http://www.ncbi.nlm.nih.gov/pubmed/",B30)))</f>
        <v>http://www.ncbi.nlm.nih.gov/pubmed/17463189</v>
      </c>
      <c r="E30" s="22" t="str">
        <f>IF($B30="","",IF(LEN(VLOOKUP($B30,Database!$B$1:$IX$10144,4,FALSE))=0,"",VLOOKUP($B30,Database!$B$1:$IX$10144,4,FALSE)))</f>
        <v>Lavretsky H</v>
      </c>
      <c r="F30" s="22">
        <f>IF($B30="","",IF(LEN(VLOOKUP($B30,Database!$B$1:$IX$10144,5,FALSE))=0,"",VLOOKUP($B30,Database!$B$1:$IX$10144,5,FALSE)))</f>
        <v>2007</v>
      </c>
      <c r="G30" s="1" t="str">
        <f>IF($B30="","",HYPERLINK(IF(LEN(VLOOKUP($B30,Database!$B$1:$IX$10144,6,FALSE))=0,"",VLOOKUP($B30,Database!$B$1:$IX$10144,6,FALSE))))</f>
        <v>http://dx.doi.org/10.1097/JGP.0b013e3180325a16</v>
      </c>
      <c r="H30" s="22">
        <f>IF($B30="","",IF(LEN(VLOOKUP($B30,Database!$B$1:$IX$10144,7,FALSE))=0,"",VLOOKUP($B30,Database!$B$1:$IX$10144,7,FALSE)))</f>
        <v>43</v>
      </c>
      <c r="I30" s="22">
        <f>IF($B30="","",IF(LEN(VLOOKUP($B30,Database!$B$1:$IX$10144,8,FALSE))=0,"",VLOOKUP($B30,Database!$B$1:$IX$10144,8,FALSE)))</f>
        <v>41</v>
      </c>
      <c r="J30" t="s">
        <v>1541</v>
      </c>
      <c r="L30">
        <v>4.4000000000000003E-3</v>
      </c>
      <c r="M30">
        <v>1.6000000000000001E-3</v>
      </c>
      <c r="N30">
        <v>4.3E-3</v>
      </c>
      <c r="O30">
        <v>1E-3</v>
      </c>
      <c r="P30">
        <v>4.3E-3</v>
      </c>
      <c r="Q30">
        <v>1.4E-3</v>
      </c>
      <c r="R30">
        <v>4.4000000000000003E-3</v>
      </c>
      <c r="S30">
        <v>6.9999999999999999E-4</v>
      </c>
      <c r="T30">
        <f>L30+P30</f>
        <v>8.6999999999999994E-3</v>
      </c>
      <c r="U30">
        <f>2*SQRT(0.25*(M30^2+Q30^2+2*$F$8*M30*Q30))</f>
        <v>2.8467525357852939E-3</v>
      </c>
      <c r="V30">
        <f>N30+R30</f>
        <v>8.6999999999999994E-3</v>
      </c>
      <c r="W30">
        <f>2*SQRT(0.25*(O30^2+S30^2+2*$F$8*O30*S30))</f>
        <v>1.6155494421403512E-3</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70.67</v>
      </c>
      <c r="AC30" s="22">
        <f>IF(OR($B30="",AC$22=""),"",IF(LEN(VLOOKUP($B30,Database!$B$1:$IX$10144,AC$22,FALSE))=0,"",VLOOKUP($B30,Database!$B$1:$IX$10144,AC$22,FALSE)))</f>
        <v>7.76</v>
      </c>
      <c r="AD30" s="22">
        <f>IF(OR($B30="",AD$22=""),"",IF(LEN(VLOOKUP($B30,Database!$B$1:$IX$10144,AD$22,FALSE))=0,"",VLOOKUP($B30,Database!$B$1:$IX$10144,AD$22,FALSE)))</f>
        <v>72.19</v>
      </c>
      <c r="AE30" s="22">
        <f>IF(OR($B30="",AE$22=""),"",IF(LEN(VLOOKUP($B30,Database!$B$1:$IX$10144,AE$22,FALSE))=0,"",VLOOKUP($B30,Database!$B$1:$IX$10144,AE$22,FALSE)))</f>
        <v>7.27</v>
      </c>
      <c r="AF30" s="22">
        <f>IF(OR($B30="",AF$22=""),"",IF(LEN(VLOOKUP($B30,Database!$B$1:$IX$10144,AF$22,FALSE))=0,"",VLOOKUP($B30,Database!$B$1:$IX$10144,AF$22,FALSE)))</f>
        <v>33</v>
      </c>
      <c r="AG30" s="22">
        <f>IF(OR($B30="",AG$22=""),"",IF(LEN(VLOOKUP($B30,Database!$B$1:$IX$10144,AG$22,FALSE))=0,"",VLOOKUP($B30,Database!$B$1:$IX$10144,AG$22,FALSE)))</f>
        <v>20</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2">
        <f>IF(OR($B30="",AK$22=""),"",IF(LEN(VLOOKUP($B30,Database!$B$1:$IX$10144,AK$22,FALSE))=0,"",VLOOKUP($B30,Database!$B$1:$IX$10144,AK$22,FALSE)))</f>
        <v>49.6</v>
      </c>
      <c r="AL30" s="22">
        <f>IF(OR($B30="",AL$22=""),"",IF(LEN(VLOOKUP($B30,Database!$B$1:$IX$10144,AL$22,FALSE))=0,"",VLOOKUP($B30,Database!$B$1:$IX$10144,AL$22,FALSE)))</f>
        <v>17.7</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Lavretsky H, Ballmaier M, Pham D, Toga A, Kumar A.</v>
      </c>
      <c r="AR30" s="13"/>
      <c r="BC30" s="23"/>
      <c r="BF30" s="136"/>
      <c r="BG30" s="136"/>
      <c r="BH30" s="136"/>
      <c r="BI30" s="136"/>
    </row>
    <row r="31" spans="1:65">
      <c r="B31">
        <v>18406580</v>
      </c>
      <c r="C31" s="1" t="str">
        <f>IF($B31="","",HYPERLINK(IF(LEN(VLOOKUP($B31,Database!$B$1:$IX$10144,2,FALSE))=0,"",VLOOKUP($B31,Database!$B$1:$IX$10144,2,FALSE))))</f>
        <v/>
      </c>
      <c r="D31" s="1" t="str">
        <f>IF($B31="","",HYPERLINK(CONCATENATE("http://www.ncbi.nlm.nih.gov/pubmed/",B31)))</f>
        <v>http://www.ncbi.nlm.nih.gov/pubmed/18406580</v>
      </c>
      <c r="E31" s="22" t="str">
        <f>IF($B31="","",IF(LEN(VLOOKUP($B31,Database!$B$1:$IX$10144,4,FALSE))=0,"",VLOOKUP($B31,Database!$B$1:$IX$10144,4,FALSE)))</f>
        <v>Frodl T (A)</v>
      </c>
      <c r="F31" s="22">
        <f>IF($B31="","",IF(LEN(VLOOKUP($B31,Database!$B$1:$IX$10144,5,FALSE))=0,"",VLOOKUP($B31,Database!$B$1:$IX$10144,5,FALSE)))</f>
        <v>2008</v>
      </c>
      <c r="G31" s="1" t="str">
        <f>IF($B31="","",HYPERLINK(IF(LEN(VLOOKUP($B31,Database!$B$1:$IX$10144,6,FALSE))=0,"",VLOOKUP($B31,Database!$B$1:$IX$10144,6,FALSE))))</f>
        <v>http://dx.doi.org/10.1016/j.pscychresns.2007.04.012</v>
      </c>
      <c r="H31" s="22">
        <f>IF($B31="","",IF(LEN(VLOOKUP($B31,Database!$B$1:$IX$10144,7,FALSE))=0,"",VLOOKUP($B31,Database!$B$1:$IX$10144,7,FALSE)))</f>
        <v>78</v>
      </c>
      <c r="I31" s="22">
        <f>IF($B31="","",IF(LEN(VLOOKUP($B31,Database!$B$1:$IX$10144,8,FALSE))=0,"",VLOOKUP($B31,Database!$B$1:$IX$10144,8,FALSE)))</f>
        <v>78</v>
      </c>
      <c r="J31" s="2" t="s">
        <v>165</v>
      </c>
      <c r="L31">
        <v>6.65</v>
      </c>
      <c r="M31">
        <v>1.42</v>
      </c>
      <c r="N31">
        <v>6.06</v>
      </c>
      <c r="O31">
        <v>1.78</v>
      </c>
      <c r="P31">
        <v>6.57</v>
      </c>
      <c r="Q31">
        <v>1.61</v>
      </c>
      <c r="R31">
        <v>6.81</v>
      </c>
      <c r="S31">
        <v>1.56</v>
      </c>
      <c r="T31">
        <f>L31+P31</f>
        <v>13.22</v>
      </c>
      <c r="U31">
        <f>2*SQRT(0.25*(M31^2+Q31^2+2*$F$8*M31*Q31))</f>
        <v>2.8751382575451916</v>
      </c>
      <c r="V31">
        <f>N31+R31</f>
        <v>12.87</v>
      </c>
      <c r="W31">
        <f>2*SQRT(0.25*(O31^2+S31^2+2*$F$8*O31*S31))</f>
        <v>3.1693658671728011</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44.7</v>
      </c>
      <c r="AC31" s="22">
        <f>IF(OR($B31="",AC$22=""),"",IF(LEN(VLOOKUP($B31,Database!$B$1:$IX$10144,AC$22,FALSE))=0,"",VLOOKUP($B31,Database!$B$1:$IX$10144,AC$22,FALSE)))</f>
        <v>12.2</v>
      </c>
      <c r="AD31" s="22">
        <f>IF(OR($B31="",AD$22=""),"",IF(LEN(VLOOKUP($B31,Database!$B$1:$IX$10144,AD$22,FALSE))=0,"",VLOOKUP($B31,Database!$B$1:$IX$10144,AD$22,FALSE)))</f>
        <v>44.1</v>
      </c>
      <c r="AE31" s="22">
        <f>IF(OR($B31="",AE$22=""),"",IF(LEN(VLOOKUP($B31,Database!$B$1:$IX$10144,AE$22,FALSE))=0,"",VLOOKUP($B31,Database!$B$1:$IX$10144,AE$22,FALSE)))</f>
        <v>11.6</v>
      </c>
      <c r="AF31" s="22">
        <f>IF(OR($B31="",AF$22=""),"",IF(LEN(VLOOKUP($B31,Database!$B$1:$IX$10144,AF$22,FALSE))=0,"",VLOOKUP($B31,Database!$B$1:$IX$10144,AF$22,FALSE)))</f>
        <v>40</v>
      </c>
      <c r="AG31" s="22">
        <f>IF(OR($B31="",AG$22=""),"",IF(LEN(VLOOKUP($B31,Database!$B$1:$IX$10144,AG$22,FALSE))=0,"",VLOOKUP($B31,Database!$B$1:$IX$10144,AG$22,FALSE)))</f>
        <v>40</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f>IF(OR($B31="",AK$22=""),"",IF(LEN(VLOOKUP($B31,Database!$B$1:$IX$10144,AK$22,FALSE))=0,"",VLOOKUP($B31,Database!$B$1:$IX$10144,AK$22,FALSE)))</f>
        <v>39.6</v>
      </c>
      <c r="AL31" s="22">
        <f>IF(OR($B31="",AL$22=""),"",IF(LEN(VLOOKUP($B31,Database!$B$1:$IX$10144,AL$22,FALSE))=0,"",VLOOKUP($B31,Database!$B$1:$IX$10144,AL$22,FALSE)))</f>
        <v>23.5</v>
      </c>
      <c r="AM31" s="22" t="str">
        <f>IF(OR($B31="",AM$22=""),"",IF(LEN(VLOOKUP($B31,Database!$B$1:$IX$10144,AM$22,FALSE))=0,"",VLOOKUP($B31,Database!$B$1:$IX$10144,AM$22,FALSE)))</f>
        <v>ns</v>
      </c>
      <c r="AN31" s="22">
        <f>IF(OR($B31="",AN$22=""),"",IF(LEN(VLOOKUP($B31,Database!$B$1:$IX$10144,AN$22,FALSE))=0,"",VLOOKUP($B31,Database!$B$1:$IX$10144,AN$22,FALSE)))</f>
        <v>11.538461538461538</v>
      </c>
      <c r="AO31" s="22">
        <f>IF(OR($B31="",AO$22=""),"",IF(LEN(VLOOKUP($B31,Database!$B$1:$IX$10144,AO$22,FALSE))=0,"",VLOOKUP($B31,Database!$B$1:$IX$10144,AO$22,FALSE)))</f>
        <v>10.256410256410255</v>
      </c>
      <c r="AP31" s="22">
        <f>IF(OR($B31="",AP$22=""),"",IF(LEN(VLOOKUP($B31,Database!$B$1:$IX$10144,AP$22,FALSE))=0,"",VLOOKUP($B31,Database!$B$1:$IX$10144,AP$22,FALSE)))</f>
        <v>10.256410256410255</v>
      </c>
      <c r="AQ31" s="22" t="str">
        <f>IF(OR($B31="",AQ$22=""),"",IF(LEN(VLOOKUP($B31,Database!$B$1:$IX$10144,AQ$22,FALSE))=0,"",VLOOKUP($B31,Database!$B$1:$IX$10144,AQ$22,FALSE)))</f>
        <v>Frodl T, Jäger M, Born C, Ritter S, Kraft E, Zetzsche T, Bottlender R, Leinsinger G, Reiser M, Möller HJ, Meisenzahl E.</v>
      </c>
      <c r="AR31" s="13"/>
      <c r="BC31" s="23"/>
      <c r="BF31" s="136"/>
      <c r="BG31" s="136"/>
      <c r="BH31" s="136"/>
      <c r="BI31" s="136"/>
    </row>
    <row r="32" spans="1:65">
      <c r="C32" s="1" t="str">
        <f>IF($B32="","",HYPERLINK(IF(LEN(VLOOKUP($B32,Database!$B$1:$IX$10144,2,FALSE))=0,"",VLOOKUP($B32,Database!$B$1:$IX$10144,2,FALSE))))</f>
        <v/>
      </c>
      <c r="D32" s="1" t="str">
        <f>IF($B32="","",HYPERLINK(CONCATENATE("http://www.ncbi.nlm.nih.gov/pubmed/",B32)))</f>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J32" s="19"/>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1:51">
      <c r="A33" s="4" t="s">
        <v>1510</v>
      </c>
      <c r="C33" s="1"/>
      <c r="D33" s="1"/>
      <c r="E33" s="22"/>
      <c r="F33" s="22"/>
      <c r="G33" s="1"/>
      <c r="H33" s="22"/>
      <c r="I33" s="22"/>
      <c r="J33" s="19"/>
      <c r="Y33" s="22"/>
      <c r="Z33" s="22"/>
      <c r="AA33" s="22"/>
      <c r="AB33" s="22"/>
      <c r="AC33" s="22"/>
      <c r="AD33" s="22"/>
      <c r="AE33" s="22"/>
      <c r="AF33" s="22"/>
      <c r="AG33" s="22"/>
      <c r="AH33" s="22"/>
      <c r="AI33" s="22"/>
      <c r="AJ33" s="22"/>
      <c r="AK33" s="22"/>
      <c r="AL33" s="22"/>
      <c r="AM33" s="22"/>
      <c r="AN33" s="22"/>
      <c r="AO33" s="22"/>
      <c r="AP33" s="22"/>
      <c r="AQ33" s="22"/>
    </row>
    <row r="34" spans="1:51">
      <c r="A34" s="10" t="s">
        <v>260</v>
      </c>
      <c r="B34">
        <v>14702257</v>
      </c>
      <c r="C34" s="1" t="str">
        <f>IF($B34="","",HYPERLINK(IF(LEN(VLOOKUP($B34,Database!$B$1:$IX$10144,2,FALSE))=0,"",VLOOKUP($B34,Database!$B$1:$IX$10144,2,FALSE))))</f>
        <v/>
      </c>
      <c r="D34" s="1" t="str">
        <f t="shared" ref="D34:D39" si="0">IF($B34="","",HYPERLINK(CONCATENATE("http://www.ncbi.nlm.nih.gov/pubmed/",B34)))</f>
        <v>http://www.ncbi.nlm.nih.gov/pubmed/14702257</v>
      </c>
      <c r="E34" s="22" t="str">
        <f>IF($B34="","",IF(LEN(VLOOKUP($B34,Database!$B$1:$IX$10144,4,FALSE))=0,"",VLOOKUP($B34,Database!$B$1:$IX$10144,4,FALSE)))</f>
        <v>Ballmaier M (A)</v>
      </c>
      <c r="F34" s="22">
        <f>IF($B34="","",IF(LEN(VLOOKUP($B34,Database!$B$1:$IX$10144,5,FALSE))=0,"",VLOOKUP($B34,Database!$B$1:$IX$10144,5,FALSE)))</f>
        <v>2004</v>
      </c>
      <c r="G34" s="1" t="str">
        <f>IF($B34="","",HYPERLINK(IF(LEN(VLOOKUP($B34,Database!$B$1:$IX$10144,6,FALSE))=0,"",VLOOKUP($B34,Database!$B$1:$IX$10144,6,FALSE))))</f>
        <v>http://ajp.psychiatryonline.org/cgi/reprint/161/1/99</v>
      </c>
      <c r="H34" s="22">
        <f>IF($B34="","",IF(LEN(VLOOKUP($B34,Database!$B$1:$IX$10144,7,FALSE))=0,"",VLOOKUP($B34,Database!$B$1:$IX$10144,7,FALSE)))</f>
        <v>24</v>
      </c>
      <c r="I34" s="22">
        <f>IF($B34="","",IF(LEN(VLOOKUP($B34,Database!$B$1:$IX$10144,8,FALSE))=0,"",VLOOKUP($B34,Database!$B$1:$IX$10144,8,FALSE)))</f>
        <v>19</v>
      </c>
      <c r="J34" t="s">
        <v>922</v>
      </c>
      <c r="L34">
        <v>4391</v>
      </c>
      <c r="M34">
        <v>1064</v>
      </c>
      <c r="N34">
        <v>5472</v>
      </c>
      <c r="O34">
        <v>896</v>
      </c>
      <c r="P34">
        <v>4433</v>
      </c>
      <c r="Q34">
        <v>1195</v>
      </c>
      <c r="R34">
        <v>5676</v>
      </c>
      <c r="S34">
        <v>1003</v>
      </c>
      <c r="X34" s="7"/>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65.849999999999994</v>
      </c>
      <c r="AC34" s="22">
        <f>IF(OR($B34="",AC$22=""),"",IF(LEN(VLOOKUP($B34,Database!$B$1:$IX$10144,AC$22,FALSE))=0,"",VLOOKUP($B34,Database!$B$1:$IX$10144,AC$22,FALSE)))</f>
        <v>8.18</v>
      </c>
      <c r="AD34" s="22">
        <f>IF(OR($B34="",AD$22=""),"",IF(LEN(VLOOKUP($B34,Database!$B$1:$IX$10144,AD$22,FALSE))=0,"",VLOOKUP($B34,Database!$B$1:$IX$10144,AD$22,FALSE)))</f>
        <v>66.239999999999995</v>
      </c>
      <c r="AE34" s="22">
        <f>IF(OR($B34="",AE$22=""),"",IF(LEN(VLOOKUP($B34,Database!$B$1:$IX$10144,AE$22,FALSE))=0,"",VLOOKUP($B34,Database!$B$1:$IX$10144,AE$22,FALSE)))</f>
        <v>7.25</v>
      </c>
      <c r="AF34" s="22">
        <f>IF(OR($B34="",AF$22=""),"",IF(LEN(VLOOKUP($B34,Database!$B$1:$IX$10144,AF$22,FALSE))=0,"",VLOOKUP($B34,Database!$B$1:$IX$10144,AF$22,FALSE)))</f>
        <v>18</v>
      </c>
      <c r="AG34" s="22">
        <f>IF(OR($B34="",AG$22=""),"",IF(LEN(VLOOKUP($B34,Database!$B$1:$IX$10144,AG$22,FALSE))=0,"",VLOOKUP($B34,Database!$B$1:$IX$10144,AG$22,FALSE)))</f>
        <v>15</v>
      </c>
      <c r="AH34" s="22">
        <f>IF(OR($B34="",AH$22=""),"",IF(LEN(VLOOKUP($B34,Database!$B$1:$IX$10144,AH$22,FALSE))=0,"",VLOOKUP($B34,Database!$B$1:$IX$10144,AH$22,FALSE)))</f>
        <v>1.5</v>
      </c>
      <c r="AI34" s="22">
        <f>IF(OR($B34="",AI$22=""),"",IF(LEN(VLOOKUP($B34,Database!$B$1:$IX$10144,AI$22,FALSE))=0,"",VLOOKUP($B34,Database!$B$1:$IX$10144,AI$22,FALSE)))</f>
        <v>1.4</v>
      </c>
      <c r="AJ34" s="22" t="str">
        <f>IF(OR($B34="",AJ$22=""),"",IF(LEN(VLOOKUP($B34,Database!$B$1:$IX$10144,AJ$22,FALSE))=0,"",VLOOKUP($B34,Database!$B$1:$IX$10144,AJ$22,FALSE)))</f>
        <v/>
      </c>
      <c r="AK34" s="22">
        <f>IF(OR($B34="",AK$22=""),"",IF(LEN(VLOOKUP($B34,Database!$B$1:$IX$10144,AK$22,FALSE))=0,"",VLOOKUP($B34,Database!$B$1:$IX$10144,AK$22,FALSE)))</f>
        <v>35</v>
      </c>
      <c r="AL34" s="22" t="str">
        <f>IF(OR($B34="",AL$22=""),"",IF(LEN(VLOOKUP($B34,Database!$B$1:$IX$10144,AL$22,FALSE))=0,"",VLOOKUP($B34,Database!$B$1:$IX$10144,AL$22,FALSE)))</f>
        <v>ns</v>
      </c>
      <c r="AM34" s="22">
        <f>IF(OR($B34="",AM$22=""),"",IF(LEN(VLOOKUP($B34,Database!$B$1:$IX$10144,AM$22,FALSE))=0,"",VLOOKUP($B34,Database!$B$1:$IX$10144,AM$22,FALSE)))</f>
        <v>0</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100</v>
      </c>
      <c r="AQ34" s="22" t="str">
        <f>IF(OR($B34="",AQ$22=""),"",IF(LEN(VLOOKUP($B34,Database!$B$1:$IX$10144,AQ$22,FALSE))=0,"",VLOOKUP($B34,Database!$B$1:$IX$10144,AQ$22,FALSE)))</f>
        <v>Ballmaier M, Toga AW, Blanton RE, Sowell ER, Lavretsky H, Peterson J, Pham D, Kumar A.</v>
      </c>
    </row>
    <row r="35" spans="1:51">
      <c r="A35" s="10" t="s">
        <v>2338</v>
      </c>
      <c r="B35">
        <v>17389903</v>
      </c>
      <c r="C35" s="1" t="str">
        <f>IF($B35="","",HYPERLINK(IF(LEN(VLOOKUP($B35,Database!$B$1:$IX$10144,2,FALSE))=0,"",VLOOKUP($B35,Database!$B$1:$IX$10144,2,FALSE))))</f>
        <v/>
      </c>
      <c r="D35" s="1" t="str">
        <f t="shared" si="0"/>
        <v>http://www.ncbi.nlm.nih.gov/pubmed/17389903</v>
      </c>
      <c r="E35" s="22" t="str">
        <f>IF($B35="","",IF(LEN(VLOOKUP($B35,Database!$B$1:$IX$10144,4,FALSE))=0,"",VLOOKUP($B35,Database!$B$1:$IX$10144,4,FALSE)))</f>
        <v>Monkul ES</v>
      </c>
      <c r="F35" s="22">
        <f>IF($B35="","",IF(LEN(VLOOKUP($B35,Database!$B$1:$IX$10144,5,FALSE))=0,"",VLOOKUP($B35,Database!$B$1:$IX$10144,5,FALSE)))</f>
        <v>2007</v>
      </c>
      <c r="G35" s="1" t="str">
        <f>IF($B35="","",HYPERLINK(IF(LEN(VLOOKUP($B35,Database!$B$1:$IX$10144,6,FALSE))=0,"",VLOOKUP($B35,Database!$B$1:$IX$10144,6,FALSE))))</f>
        <v>http://www.nature.com/mp/journal/v12/n4/pdf/4001919a.pdf</v>
      </c>
      <c r="H35" s="83">
        <v>7</v>
      </c>
      <c r="I35" s="83">
        <v>8.5</v>
      </c>
      <c r="J35" t="s">
        <v>1370</v>
      </c>
      <c r="K35" t="s">
        <v>1157</v>
      </c>
      <c r="L35">
        <v>2.73</v>
      </c>
      <c r="M35">
        <v>0.48</v>
      </c>
      <c r="N35">
        <v>3.17</v>
      </c>
      <c r="O35">
        <v>0.52</v>
      </c>
      <c r="P35">
        <v>2.66</v>
      </c>
      <c r="Q35">
        <v>0.26</v>
      </c>
      <c r="R35">
        <v>3</v>
      </c>
      <c r="S35">
        <v>0.56000000000000005</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f>IF(OR($B35="",AD$22=""),"",IF(LEN(VLOOKUP($B35,Database!$B$1:$IX$10144,AD$22,FALSE))=0,"",VLOOKUP($B35,Database!$B$1:$IX$10144,AD$22,FALSE)))</f>
        <v>31.3</v>
      </c>
      <c r="AE35" s="22">
        <f>IF(OR($B35="",AE$22=""),"",IF(LEN(VLOOKUP($B35,Database!$B$1:$IX$10144,AE$22,FALSE))=0,"",VLOOKUP($B35,Database!$B$1:$IX$10144,AE$22,FALSE)))</f>
        <v>8.3000000000000007</v>
      </c>
      <c r="AF35" s="22">
        <f>IF(OR($B35="",AF$22=""),"",IF(LEN(VLOOKUP($B35,Database!$B$1:$IX$10144,AF$22,FALSE))=0,"",VLOOKUP($B35,Database!$B$1:$IX$10144,AF$22,FALSE)))</f>
        <v>17</v>
      </c>
      <c r="AG35" s="22">
        <f>IF(OR($B35="",AG$22=""),"",IF(LEN(VLOOKUP($B35,Database!$B$1:$IX$10144,AG$22,FALSE))=0,"",VLOOKUP($B35,Database!$B$1:$IX$10144,AG$22,FALSE)))</f>
        <v>17</v>
      </c>
      <c r="AH35" s="22">
        <f>IF(OR($B35="",AH$22=""),"",IF(LEN(VLOOKUP($B35,Database!$B$1:$IX$10144,AH$22,FALSE))=0,"",VLOOKUP($B35,Database!$B$1:$IX$10144,AH$22,FALSE)))</f>
        <v>1.5</v>
      </c>
      <c r="AI35" s="22">
        <f>IF(OR($B35="",AI$22=""),"",IF(LEN(VLOOKUP($B35,Database!$B$1:$IX$10144,AI$22,FALSE))=0,"",VLOOKUP($B35,Database!$B$1:$IX$10144,AI$22,FALSE)))</f>
        <v>1.5</v>
      </c>
      <c r="AJ35" s="22" t="str">
        <f>IF(OR($B35="",AJ$22=""),"",IF(LEN(VLOOKUP($B35,Database!$B$1:$IX$10144,AJ$22,FALSE))=0,"",VLOOKUP($B35,Database!$B$1:$IX$10144,AJ$22,FALSE)))</f>
        <v/>
      </c>
      <c r="AK35" s="22" t="str">
        <f>IF(OR($B35="",AK$22=""),"",IF(LEN(VLOOKUP($B35,Database!$B$1:$IX$10144,AK$22,FALSE))=0,"",VLOOKUP($B35,Database!$B$1:$IX$10144,AK$22,FALSE)))</f>
        <v>split depending on group (suicidal=16, nonsuicidal=26.9)</v>
      </c>
      <c r="AL35" s="22" t="str">
        <f>IF(OR($B35="",AL$22=""),"",IF(LEN(VLOOKUP($B35,Database!$B$1:$IX$10144,AL$22,FALSE))=0,"",VLOOKUP($B35,Database!$B$1:$IX$10144,AL$22,FALSE)))</f>
        <v>split depending on group (suicidal =13.7, non-suicidal = 10.9)</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f>IF(OR($B35="",AP$22=""),"",IF(LEN(VLOOKUP($B35,Database!$B$1:$IX$10144,AP$22,FALSE))=0,"",VLOOKUP($B35,Database!$B$1:$IX$10144,AP$22,FALSE)))</f>
        <v>100</v>
      </c>
      <c r="AQ35" s="22" t="str">
        <f>IF(OR($B35="",AQ$22=""),"",IF(LEN(VLOOKUP($B35,Database!$B$1:$IX$10144,AQ$22,FALSE))=0,"",VLOOKUP($B35,Database!$B$1:$IX$10144,AQ$22,FALSE)))</f>
        <v>Monkul ES, Hatch JP, Nicoletti MA, Spence S, Brambilla P, Lacerda AL, Sassi RB, Mallinger AG, Keshavan MS, Soares JC.</v>
      </c>
    </row>
    <row r="36" spans="1:51">
      <c r="A36" s="10" t="s">
        <v>2338</v>
      </c>
      <c r="B36">
        <v>17389903</v>
      </c>
      <c r="C36" s="1" t="str">
        <f>IF($B36="","",HYPERLINK(IF(LEN(VLOOKUP($B36,Database!$B$1:$IX$10144,2,FALSE))=0,"",VLOOKUP($B36,Database!$B$1:$IX$10144,2,FALSE))))</f>
        <v/>
      </c>
      <c r="D36" s="1" t="str">
        <f t="shared" si="0"/>
        <v>http://www.ncbi.nlm.nih.gov/pubmed/17389903</v>
      </c>
      <c r="E36" s="22" t="str">
        <f>IF($B36="","",IF(LEN(VLOOKUP($B36,Database!$B$1:$IX$10144,4,FALSE))=0,"",VLOOKUP($B36,Database!$B$1:$IX$10144,4,FALSE)))</f>
        <v>Monkul ES</v>
      </c>
      <c r="F36" s="22">
        <f>IF($B36="","",IF(LEN(VLOOKUP($B36,Database!$B$1:$IX$10144,5,FALSE))=0,"",VLOOKUP($B36,Database!$B$1:$IX$10144,5,FALSE)))</f>
        <v>2007</v>
      </c>
      <c r="G36" s="1" t="str">
        <f>IF($B36="","",HYPERLINK(IF(LEN(VLOOKUP($B36,Database!$B$1:$IX$10144,6,FALSE))=0,"",VLOOKUP($B36,Database!$B$1:$IX$10144,6,FALSE))))</f>
        <v>http://www.nature.com/mp/journal/v12/n4/pdf/4001919a.pdf</v>
      </c>
      <c r="H36" s="83">
        <v>10</v>
      </c>
      <c r="I36" s="83">
        <v>8.5</v>
      </c>
      <c r="J36" t="s">
        <v>1370</v>
      </c>
      <c r="K36" t="s">
        <v>1158</v>
      </c>
      <c r="L36">
        <v>2.74</v>
      </c>
      <c r="M36">
        <v>0.62</v>
      </c>
      <c r="N36">
        <v>3.17</v>
      </c>
      <c r="O36">
        <v>0.52</v>
      </c>
      <c r="P36">
        <v>3.1</v>
      </c>
      <c r="Q36">
        <v>0.54</v>
      </c>
      <c r="R36">
        <v>3</v>
      </c>
      <c r="S36">
        <v>0.56000000000000005</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t="str">
        <f>IF(OR($B36="",AB$22=""),"",IF(LEN(VLOOKUP($B36,Database!$B$1:$IX$10144,AB$22,FALSE))=0,"",VLOOKUP($B36,Database!$B$1:$IX$10144,AB$22,FALSE)))</f>
        <v/>
      </c>
      <c r="AC36" s="22" t="str">
        <f>IF(OR($B36="",AC$22=""),"",IF(LEN(VLOOKUP($B36,Database!$B$1:$IX$10144,AC$22,FALSE))=0,"",VLOOKUP($B36,Database!$B$1:$IX$10144,AC$22,FALSE)))</f>
        <v/>
      </c>
      <c r="AD36" s="22">
        <f>IF(OR($B36="",AD$22=""),"",IF(LEN(VLOOKUP($B36,Database!$B$1:$IX$10144,AD$22,FALSE))=0,"",VLOOKUP($B36,Database!$B$1:$IX$10144,AD$22,FALSE)))</f>
        <v>31.3</v>
      </c>
      <c r="AE36" s="22">
        <f>IF(OR($B36="",AE$22=""),"",IF(LEN(VLOOKUP($B36,Database!$B$1:$IX$10144,AE$22,FALSE))=0,"",VLOOKUP($B36,Database!$B$1:$IX$10144,AE$22,FALSE)))</f>
        <v>8.3000000000000007</v>
      </c>
      <c r="AF36" s="22">
        <f>IF(OR($B36="",AF$22=""),"",IF(LEN(VLOOKUP($B36,Database!$B$1:$IX$10144,AF$22,FALSE))=0,"",VLOOKUP($B36,Database!$B$1:$IX$10144,AF$22,FALSE)))</f>
        <v>17</v>
      </c>
      <c r="AG36" s="22">
        <f>IF(OR($B36="",AG$22=""),"",IF(LEN(VLOOKUP($B36,Database!$B$1:$IX$10144,AG$22,FALSE))=0,"",VLOOKUP($B36,Database!$B$1:$IX$10144,AG$22,FALSE)))</f>
        <v>17</v>
      </c>
      <c r="AH36" s="22">
        <f>IF(OR($B36="",AH$22=""),"",IF(LEN(VLOOKUP($B36,Database!$B$1:$IX$10144,AH$22,FALSE))=0,"",VLOOKUP($B36,Database!$B$1:$IX$10144,AH$22,FALSE)))</f>
        <v>1.5</v>
      </c>
      <c r="AI36" s="22">
        <f>IF(OR($B36="",AI$22=""),"",IF(LEN(VLOOKUP($B36,Database!$B$1:$IX$10144,AI$22,FALSE))=0,"",VLOOKUP($B36,Database!$B$1:$IX$10144,AI$22,FALSE)))</f>
        <v>1.5</v>
      </c>
      <c r="AJ36" s="22" t="str">
        <f>IF(OR($B36="",AJ$22=""),"",IF(LEN(VLOOKUP($B36,Database!$B$1:$IX$10144,AJ$22,FALSE))=0,"",VLOOKUP($B36,Database!$B$1:$IX$10144,AJ$22,FALSE)))</f>
        <v/>
      </c>
      <c r="AK36" s="22" t="str">
        <f>IF(OR($B36="",AK$22=""),"",IF(LEN(VLOOKUP($B36,Database!$B$1:$IX$10144,AK$22,FALSE))=0,"",VLOOKUP($B36,Database!$B$1:$IX$10144,AK$22,FALSE)))</f>
        <v>split depending on group (suicidal=16, nonsuicidal=26.9)</v>
      </c>
      <c r="AL36" s="22" t="str">
        <f>IF(OR($B36="",AL$22=""),"",IF(LEN(VLOOKUP($B36,Database!$B$1:$IX$10144,AL$22,FALSE))=0,"",VLOOKUP($B36,Database!$B$1:$IX$10144,AL$22,FALSE)))</f>
        <v>split depending on group (suicidal =13.7, non-suicidal = 10.9)</v>
      </c>
      <c r="AM36" s="22">
        <f>IF(OR($B36="",AM$22=""),"",IF(LEN(VLOOKUP($B36,Database!$B$1:$IX$10144,AM$22,FALSE))=0,"",VLOOKUP($B36,Database!$B$1:$IX$10144,AM$22,FALSE)))</f>
        <v>0</v>
      </c>
      <c r="AN36" s="22">
        <f>IF(OR($B36="",AN$22=""),"",IF(LEN(VLOOKUP($B36,Database!$B$1:$IX$10144,AN$22,FALSE))=0,"",VLOOKUP($B36,Database!$B$1:$IX$10144,AN$22,FALSE)))</f>
        <v>0</v>
      </c>
      <c r="AO36" s="22">
        <f>IF(OR($B36="",AO$22=""),"",IF(LEN(VLOOKUP($B36,Database!$B$1:$IX$10144,AO$22,FALSE))=0,"",VLOOKUP($B36,Database!$B$1:$IX$10144,AO$22,FALSE)))</f>
        <v>0</v>
      </c>
      <c r="AP36" s="22">
        <f>IF(OR($B36="",AP$22=""),"",IF(LEN(VLOOKUP($B36,Database!$B$1:$IX$10144,AP$22,FALSE))=0,"",VLOOKUP($B36,Database!$B$1:$IX$10144,AP$22,FALSE)))</f>
        <v>100</v>
      </c>
      <c r="AQ36" s="22" t="str">
        <f>IF(OR($B36="",AQ$22=""),"",IF(LEN(VLOOKUP($B36,Database!$B$1:$IX$10144,AQ$22,FALSE))=0,"",VLOOKUP($B36,Database!$B$1:$IX$10144,AQ$22,FALSE)))</f>
        <v>Monkul ES, Hatch JP, Nicoletti MA, Spence S, Brambilla P, Lacerda AL, Sassi RB, Mallinger AG, Keshavan MS, Soares JC.</v>
      </c>
    </row>
    <row r="37" spans="1:51">
      <c r="A37" s="10" t="s">
        <v>348</v>
      </c>
      <c r="B37">
        <v>18368034</v>
      </c>
      <c r="C37" s="1" t="str">
        <f>IF($B37="","",HYPERLINK(IF(LEN(VLOOKUP($B37,Database!$B$1:$IX$10144,2,FALSE))=0,"",VLOOKUP($B37,Database!$B$1:$IX$10144,2,FALSE))))</f>
        <v/>
      </c>
      <c r="D37" s="1" t="str">
        <f t="shared" si="0"/>
        <v>http://www.ncbi.nlm.nih.gov/pubmed/18368034</v>
      </c>
      <c r="E37" s="22" t="str">
        <f>IF($B37="","",IF(LEN(VLOOKUP($B37,Database!$B$1:$IX$10144,4,FALSE))=0,"",VLOOKUP($B37,Database!$B$1:$IX$10144,4,FALSE)))</f>
        <v>Yucel K</v>
      </c>
      <c r="F37" s="22">
        <f>IF($B37="","",IF(LEN(VLOOKUP($B37,Database!$B$1:$IX$10144,5,FALSE))=0,"",VLOOKUP($B37,Database!$B$1:$IX$10144,5,FALSE)))</f>
        <v>2008</v>
      </c>
      <c r="G37" s="1" t="str">
        <f>IF($B37="","",HYPERLINK(IF(LEN(VLOOKUP($B37,Database!$B$1:$IX$10144,6,FALSE))=0,"",VLOOKUP($B37,Database!$B$1:$IX$10144,6,FALSE))))</f>
        <v>http://dx.doi.org/10.1038/npp.2008.40</v>
      </c>
      <c r="H37" s="22">
        <f>IF($B37="","",IF(LEN(VLOOKUP($B37,Database!$B$1:$IX$10144,7,FALSE))=0,"",VLOOKUP($B37,Database!$B$1:$IX$10144,7,FALSE)))</f>
        <v>65</v>
      </c>
      <c r="I37" s="22">
        <f>IF($B37="","",IF(LEN(VLOOKUP($B37,Database!$B$1:$IX$10144,8,FALSE))=0,"",VLOOKUP($B37,Database!$B$1:$IX$10144,8,FALSE)))</f>
        <v>93</v>
      </c>
      <c r="J37" s="19"/>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28.8</v>
      </c>
      <c r="AC37" s="22">
        <f>IF(OR($B37="",AC$22=""),"",IF(LEN(VLOOKUP($B37,Database!$B$1:$IX$10144,AC$22,FALSE))=0,"",VLOOKUP($B37,Database!$B$1:$IX$10144,AC$22,FALSE)))</f>
        <v>10.3</v>
      </c>
      <c r="AD37" s="22">
        <f>IF(OR($B37="",AD$22=""),"",IF(LEN(VLOOKUP($B37,Database!$B$1:$IX$10144,AD$22,FALSE))=0,"",VLOOKUP($B37,Database!$B$1:$IX$10144,AD$22,FALSE)))</f>
        <v>28.4</v>
      </c>
      <c r="AE37" s="22">
        <f>IF(OR($B37="",AE$22=""),"",IF(LEN(VLOOKUP($B37,Database!$B$1:$IX$10144,AE$22,FALSE))=0,"",VLOOKUP($B37,Database!$B$1:$IX$10144,AE$22,FALSE)))</f>
        <v>10.7</v>
      </c>
      <c r="AF37" s="22">
        <f>IF(OR($B37="",AF$22=""),"",IF(LEN(VLOOKUP($B37,Database!$B$1:$IX$10144,AF$22,FALSE))=0,"",VLOOKUP($B37,Database!$B$1:$IX$10144,AF$22,FALSE)))</f>
        <v>30</v>
      </c>
      <c r="AG37" s="22">
        <f>IF(OR($B37="",AG$22=""),"",IF(LEN(VLOOKUP($B37,Database!$B$1:$IX$10144,AG$22,FALSE))=0,"",VLOOKUP($B37,Database!$B$1:$IX$10144,AG$22,FALSE)))</f>
        <v>56</v>
      </c>
      <c r="AH37" s="22">
        <f>IF(OR($B37="",AH$22=""),"",IF(LEN(VLOOKUP($B37,Database!$B$1:$IX$10144,AH$22,FALSE))=0,"",VLOOKUP($B37,Database!$B$1:$IX$10144,AH$22,FALSE)))</f>
        <v>1</v>
      </c>
      <c r="AI37" s="22">
        <f>IF(OR($B37="",AI$22=""),"",IF(LEN(VLOOKUP($B37,Database!$B$1:$IX$10144,AI$22,FALSE))=0,"",VLOOKUP($B37,Database!$B$1:$IX$10144,AI$22,FALSE)))</f>
        <v>1.2</v>
      </c>
      <c r="AJ37" s="22" t="str">
        <f>IF(OR($B37="",AJ$22=""),"",IF(LEN(VLOOKUP($B37,Database!$B$1:$IX$10144,AJ$22,FALSE))=0,"",VLOOKUP($B37,Database!$B$1:$IX$10144,AJ$22,FALSE)))</f>
        <v/>
      </c>
      <c r="AK37" s="22">
        <f>IF(OR($B37="",AK$22=""),"",IF(LEN(VLOOKUP($B37,Database!$B$1:$IX$10144,AK$22,FALSE))=0,"",VLOOKUP($B37,Database!$B$1:$IX$10144,AK$22,FALSE)))</f>
        <v>20.9</v>
      </c>
      <c r="AL37" s="22">
        <f>IF(OR($B37="",AL$22=""),"",IF(LEN(VLOOKUP($B37,Database!$B$1:$IX$10144,AL$22,FALSE))=0,"",VLOOKUP($B37,Database!$B$1:$IX$10144,AL$22,FALSE)))</f>
        <v>16.2</v>
      </c>
      <c r="AM37" s="22" t="str">
        <f>IF(OR($B37="",AM$22=""),"",IF(LEN(VLOOKUP($B37,Database!$B$1:$IX$10144,AM$22,FALSE))=0,"",VLOOKUP($B37,Database!$B$1:$IX$10144,AM$22,FALSE)))</f>
        <v>ns</v>
      </c>
      <c r="AN37" s="22" t="str">
        <f>IF(OR($B37="",AN$22=""),"",IF(LEN(VLOOKUP($B37,Database!$B$1:$IX$10144,AN$22,FALSE))=0,"",VLOOKUP($B37,Database!$B$1:$IX$10144,AN$22,FALSE)))</f>
        <v>ns</v>
      </c>
      <c r="AO37" s="22">
        <f>IF(OR($B37="",AO$22=""),"",IF(LEN(VLOOKUP($B37,Database!$B$1:$IX$10144,AO$22,FALSE))=0,"",VLOOKUP($B37,Database!$B$1:$IX$10144,AO$22,FALSE)))</f>
        <v>4.6153846153846159</v>
      </c>
      <c r="AP37" s="22">
        <f>IF(OR($B37="",AP$22=""),"",IF(LEN(VLOOKUP($B37,Database!$B$1:$IX$10144,AP$22,FALSE))=0,"",VLOOKUP($B37,Database!$B$1:$IX$10144,AP$22,FALSE)))</f>
        <v>29.230769230769234</v>
      </c>
      <c r="AQ37" s="22" t="str">
        <f>IF(OR($B37="",AQ$22=""),"",IF(LEN(VLOOKUP($B37,Database!$B$1:$IX$10144,AQ$22,FALSE))=0,"",VLOOKUP($B37,Database!$B$1:$IX$10144,AQ$22,FALSE)))</f>
        <v>Yucel K, McKinnon MC, Chahal R, Taylor VH, Macdonald K, Joffe R, MacQueen GM</v>
      </c>
    </row>
    <row r="38" spans="1:51">
      <c r="A38" s="10" t="s">
        <v>348</v>
      </c>
      <c r="B38">
        <v>19464154</v>
      </c>
      <c r="C38" s="1" t="str">
        <f>IF($B38="","",HYPERLINK(IF(LEN(VLOOKUP($B38,Database!$B$1:$IX$10144,2,FALSE))=0,"",VLOOKUP($B38,Database!$B$1:$IX$10144,2,FALSE))))</f>
        <v/>
      </c>
      <c r="D38" s="1" t="str">
        <f t="shared" si="0"/>
        <v>http://www.ncbi.nlm.nih.gov/pubmed/19464154</v>
      </c>
      <c r="E38" s="22" t="str">
        <f>IF($B38="","",IF(LEN(VLOOKUP($B38,Database!$B$1:$IX$10144,4,FALSE))=0,"",VLOOKUP($B38,Database!$B$1:$IX$10144,4,FALSE)))</f>
        <v>Yucel K</v>
      </c>
      <c r="F38" s="22">
        <f>IF($B38="","",IF(LEN(VLOOKUP($B38,Database!$B$1:$IX$10144,5,FALSE))=0,"",VLOOKUP($B38,Database!$B$1:$IX$10144,5,FALSE)))</f>
        <v>2009</v>
      </c>
      <c r="G38" s="1" t="str">
        <f>IF($B38="","",HYPERLINK(IF(LEN(VLOOKUP($B38,Database!$B$1:$IX$10144,6,FALSE))=0,"",VLOOKUP($B38,Database!$B$1:$IX$10144,6,FALSE))))</f>
        <v>http://dx.doi.org/10.1016/j.pscychresns.2008.07.013</v>
      </c>
      <c r="H38" s="22">
        <f>IF($B38="","",IF(LEN(VLOOKUP($B38,Database!$B$1:$IX$10144,7,FALSE))=0,"",VLOOKUP($B38,Database!$B$1:$IX$10144,7,FALSE)))</f>
        <v>40</v>
      </c>
      <c r="I38" s="22">
        <f>IF($B38="","",IF(LEN(VLOOKUP($B38,Database!$B$1:$IX$10144,8,FALSE))=0,"",VLOOKUP($B38,Database!$B$1:$IX$10144,8,FALSE)))</f>
        <v>40</v>
      </c>
      <c r="J38" s="19"/>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41.4</v>
      </c>
      <c r="AC38" s="22">
        <f>IF(OR($B38="",AC$22=""),"",IF(LEN(VLOOKUP($B38,Database!$B$1:$IX$10144,AC$22,FALSE))=0,"",VLOOKUP($B38,Database!$B$1:$IX$10144,AC$22,FALSE)))</f>
        <v>12.5</v>
      </c>
      <c r="AD38" s="22">
        <f>IF(OR($B38="",AD$22=""),"",IF(LEN(VLOOKUP($B38,Database!$B$1:$IX$10144,AD$22,FALSE))=0,"",VLOOKUP($B38,Database!$B$1:$IX$10144,AD$22,FALSE)))</f>
        <v>37.200000000000003</v>
      </c>
      <c r="AE38" s="22">
        <f>IF(OR($B38="",AE$22=""),"",IF(LEN(VLOOKUP($B38,Database!$B$1:$IX$10144,AE$22,FALSE))=0,"",VLOOKUP($B38,Database!$B$1:$IX$10144,AE$22,FALSE)))</f>
        <v>10.1</v>
      </c>
      <c r="AF38" s="22">
        <f>IF(OR($B38="",AF$22=""),"",IF(LEN(VLOOKUP($B38,Database!$B$1:$IX$10144,AF$22,FALSE))=0,"",VLOOKUP($B38,Database!$B$1:$IX$10144,AF$22,FALSE)))</f>
        <v>27</v>
      </c>
      <c r="AG38" s="22">
        <f>IF(OR($B38="",AG$22=""),"",IF(LEN(VLOOKUP($B38,Database!$B$1:$IX$10144,AG$22,FALSE))=0,"",VLOOKUP($B38,Database!$B$1:$IX$10144,AG$22,FALSE)))</f>
        <v>25</v>
      </c>
      <c r="AH38" s="22">
        <f>IF(OR($B38="",AH$22=""),"",IF(LEN(VLOOKUP($B38,Database!$B$1:$IX$10144,AH$22,FALSE))=0,"",VLOOKUP($B38,Database!$B$1:$IX$10144,AH$22,FALSE)))</f>
        <v>1</v>
      </c>
      <c r="AI38" s="22">
        <f>IF(OR($B38="",AI$22=""),"",IF(LEN(VLOOKUP($B38,Database!$B$1:$IX$10144,AI$22,FALSE))=0,"",VLOOKUP($B38,Database!$B$1:$IX$10144,AI$22,FALSE)))</f>
        <v>1.2</v>
      </c>
      <c r="AJ38" s="22" t="str">
        <f>IF(OR($B38="",AJ$22=""),"",IF(LEN(VLOOKUP($B38,Database!$B$1:$IX$10144,AJ$22,FALSE))=0,"",VLOOKUP($B38,Database!$B$1:$IX$10144,AJ$22,FALSE)))</f>
        <v/>
      </c>
      <c r="AK38" s="22">
        <f>IF(OR($B38="",AK$22=""),"",IF(LEN(VLOOKUP($B38,Database!$B$1:$IX$10144,AK$22,FALSE))=0,"",VLOOKUP($B38,Database!$B$1:$IX$10144,AK$22,FALSE)))</f>
        <v>27.1</v>
      </c>
      <c r="AL38" s="22">
        <f>IF(OR($B38="",AL$22=""),"",IF(LEN(VLOOKUP($B38,Database!$B$1:$IX$10144,AL$22,FALSE))=0,"",VLOOKUP($B38,Database!$B$1:$IX$10144,AL$22,FALSE)))</f>
        <v>11.1</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Yucel K, M C Kinnon M, Chahal R, Taylor V, Macdonald K, Joffe R, Macqueen G.</v>
      </c>
    </row>
    <row r="39" spans="1:51">
      <c r="A39" s="10" t="s">
        <v>2277</v>
      </c>
      <c r="B39">
        <v>18819162</v>
      </c>
      <c r="C39" s="1" t="str">
        <f>IF($B39="","",HYPERLINK(IF(LEN(VLOOKUP($B39,Database!$B$1:$IX$10144,2,FALSE))=0,"",VLOOKUP($B39,Database!$B$1:$IX$10144,2,FALSE))))</f>
        <v/>
      </c>
      <c r="D39" s="1" t="str">
        <f t="shared" si="0"/>
        <v>http://www.ncbi.nlm.nih.gov/pubmed/18819162</v>
      </c>
      <c r="E39" s="22" t="str">
        <f>IF($B39="","",IF(LEN(VLOOKUP($B39,Database!$B$1:$IX$10144,4,FALSE))=0,"",VLOOKUP($B39,Database!$B$1:$IX$10144,4,FALSE)))</f>
        <v>Elderkin-Thompson V (B)</v>
      </c>
      <c r="F39" s="22">
        <f>IF($B39="","",IF(LEN(VLOOKUP($B39,Database!$B$1:$IX$10144,5,FALSE))=0,"",VLOOKUP($B39,Database!$B$1:$IX$10144,5,FALSE)))</f>
        <v>2008</v>
      </c>
      <c r="G39" s="1" t="str">
        <f>IF($B39="","",HYPERLINK(IF(LEN(VLOOKUP($B39,Database!$B$1:$IX$10144,6,FALSE))=0,"",VLOOKUP($B39,Database!$B$1:$IX$10144,6,FALSE))))</f>
        <v>http://www3.interscience.wiley.com/cgi-bin/fulltext/121421785/PDFSTART</v>
      </c>
      <c r="H39" s="22">
        <f>IF($B39="","",IF(LEN(VLOOKUP($B39,Database!$B$1:$IX$10144,7,FALSE))=0,"",VLOOKUP($B39,Database!$B$1:$IX$10144,7,FALSE)))</f>
        <v>26</v>
      </c>
      <c r="I39" s="22">
        <f>IF($B39="","",IF(LEN(VLOOKUP($B39,Database!$B$1:$IX$10144,8,FALSE))=0,"",VLOOKUP($B39,Database!$B$1:$IX$10144,8,FALSE)))</f>
        <v>23</v>
      </c>
      <c r="J39" s="19" t="s">
        <v>2360</v>
      </c>
      <c r="T39">
        <v>0.84199999999999997</v>
      </c>
      <c r="U39">
        <v>0.30299999999999999</v>
      </c>
      <c r="V39">
        <v>0.88500000000000001</v>
      </c>
      <c r="W39">
        <v>0.17199999999999999</v>
      </c>
      <c r="Y39" s="22"/>
      <c r="Z39" s="22"/>
      <c r="AA39" s="22"/>
      <c r="AB39" s="22">
        <f>IF(OR($B39="",AB$22=""),"",IF(LEN(VLOOKUP($B39,Database!$B$1:$IX$10144,AB$22,FALSE))=0,"",VLOOKUP($B39,Database!$B$1:$IX$10144,AB$22,FALSE)))</f>
        <v>70</v>
      </c>
      <c r="AC39" s="22">
        <f>IF(OR($B39="",AC$22=""),"",IF(LEN(VLOOKUP($B39,Database!$B$1:$IX$10144,AC$22,FALSE))=0,"",VLOOKUP($B39,Database!$B$1:$IX$10144,AC$22,FALSE)))</f>
        <v>7.7</v>
      </c>
      <c r="AD39" s="22">
        <f>IF(OR($B39="",AD$22=""),"",IF(LEN(VLOOKUP($B39,Database!$B$1:$IX$10144,AD$22,FALSE))=0,"",VLOOKUP($B39,Database!$B$1:$IX$10144,AD$22,FALSE)))</f>
        <v>71</v>
      </c>
      <c r="AE39" s="22">
        <f>IF(OR($B39="",AE$22=""),"",IF(LEN(VLOOKUP($B39,Database!$B$1:$IX$10144,AE$22,FALSE))=0,"",VLOOKUP($B39,Database!$B$1:$IX$10144,AE$22,FALSE)))</f>
        <v>7.9</v>
      </c>
      <c r="AF39" s="22">
        <f>IF(OR($B39="",AF$22=""),"",IF(LEN(VLOOKUP($B39,Database!$B$1:$IX$10144,AF$22,FALSE))=0,"",VLOOKUP($B39,Database!$B$1:$IX$10144,AF$22,FALSE)))</f>
        <v>11</v>
      </c>
      <c r="AG39" s="22">
        <f>IF(OR($B39="",AG$22=""),"",IF(LEN(VLOOKUP($B39,Database!$B$1:$IX$10144,AG$22,FALSE))=0,"",VLOOKUP($B39,Database!$B$1:$IX$10144,AG$22,FALSE)))</f>
        <v>21</v>
      </c>
      <c r="AH39" s="22">
        <f>IF(OR($B39="",AH$22=""),"",IF(LEN(VLOOKUP($B39,Database!$B$1:$IX$10144,AH$22,FALSE))=0,"",VLOOKUP($B39,Database!$B$1:$IX$10144,AH$22,FALSE)))</f>
        <v>1.5</v>
      </c>
      <c r="AI39" s="22">
        <f>IF(OR($B39="",AI$22=""),"",IF(LEN(VLOOKUP($B39,Database!$B$1:$IX$10144,AI$22,FALSE))=0,"",VLOOKUP($B39,Database!$B$1:$IX$10144,AI$22,FALSE)))</f>
        <v>1.4</v>
      </c>
      <c r="AJ39" s="22" t="str">
        <f>IF(OR($B39="",AJ$22=""),"",IF(LEN(VLOOKUP($B39,Database!$B$1:$IX$10144,AJ$22,FALSE))=0,"",VLOOKUP($B39,Database!$B$1:$IX$10144,AJ$22,FALSE)))</f>
        <v/>
      </c>
      <c r="AK39" s="22">
        <f>IF(OR($B39="",AK$22=""),"",IF(LEN(VLOOKUP($B39,Database!$B$1:$IX$10144,AK$22,FALSE))=0,"",VLOOKUP($B39,Database!$B$1:$IX$10144,AK$22,FALSE)))</f>
        <v>49.8</v>
      </c>
      <c r="AL39" s="22">
        <f>IF(OR($B39="",AL$22=""),"",IF(LEN(VLOOKUP($B39,Database!$B$1:$IX$10144,AL$22,FALSE))=0,"",VLOOKUP($B39,Database!$B$1:$IX$10144,AL$22,FALSE)))</f>
        <v>17.899999999999999</v>
      </c>
      <c r="AM39" s="22">
        <f>IF(OR($B39="",AM$22=""),"",IF(LEN(VLOOKUP($B39,Database!$B$1:$IX$10144,AM$22,FALSE))=0,"",VLOOKUP($B39,Database!$B$1:$IX$10144,AM$22,FALSE)))</f>
        <v>0</v>
      </c>
      <c r="AN39" s="22" t="str">
        <f>IF(OR($B39="",AN$22=""),"",IF(LEN(VLOOKUP($B39,Database!$B$1:$IX$10144,AN$22,FALSE))=0,"",VLOOKUP($B39,Database!$B$1:$IX$10144,AN$22,FALSE)))</f>
        <v>ns</v>
      </c>
      <c r="AO39" s="22">
        <f>IF(OR($B39="",AO$22=""),"",IF(LEN(VLOOKUP($B39,Database!$B$1:$IX$10144,AO$22,FALSE))=0,"",VLOOKUP($B39,Database!$B$1:$IX$10144,AO$22,FALSE)))</f>
        <v>0</v>
      </c>
      <c r="AP39" s="22" t="str">
        <f>IF(OR($B39="",AP$22=""),"",IF(LEN(VLOOKUP($B39,Database!$B$1:$IX$10144,AP$22,FALSE))=0,"",VLOOKUP($B39,Database!$B$1:$IX$10144,AP$22,FALSE)))</f>
        <v>ns</v>
      </c>
      <c r="AQ39" s="22" t="str">
        <f>IF(OR($B39="",AQ$22=""),"",IF(LEN(VLOOKUP($B39,Database!$B$1:$IX$10144,AQ$22,FALSE))=0,"",VLOOKUP($B39,Database!$B$1:$IX$10144,AQ$22,FALSE)))</f>
        <v>Elderkin-Thompson V, Hellemann G, Pham D, Kumar A.</v>
      </c>
    </row>
    <row r="40" spans="1:51">
      <c r="A40" s="10"/>
      <c r="C40" s="1"/>
      <c r="D40" s="1"/>
      <c r="E40" s="22"/>
      <c r="F40" s="22"/>
      <c r="G40" s="1"/>
      <c r="H40" s="22"/>
      <c r="I40" s="22"/>
      <c r="J40" s="19"/>
      <c r="AE40" s="22"/>
      <c r="AF40" s="22"/>
      <c r="AG40" s="22"/>
      <c r="AH40" s="22"/>
      <c r="AI40" s="22"/>
      <c r="AJ40" s="22"/>
      <c r="AK40" s="22"/>
      <c r="AL40" s="22"/>
      <c r="AM40" s="22"/>
      <c r="AN40" s="22"/>
      <c r="AO40" s="22"/>
      <c r="AP40" s="22"/>
      <c r="AQ40" s="22"/>
    </row>
    <row r="41" spans="1:51">
      <c r="I41" s="22" t="str">
        <f>IF($B41="","",IF(LEN(VLOOKUP($B41,Database!$B$1:$IX$10144,8,FALSE))=0,"",VLOOKUP($B41,Database!$B$1:$IX$10144,8,FALSE)))</f>
        <v/>
      </c>
      <c r="AF41" t="s">
        <v>602</v>
      </c>
      <c r="AJ41" t="s">
        <v>329</v>
      </c>
      <c r="AN41" t="s">
        <v>330</v>
      </c>
    </row>
    <row r="42" spans="1:51" ht="45" customHeight="1">
      <c r="E42" s="60" t="s">
        <v>617</v>
      </c>
      <c r="F42" s="60" t="s">
        <v>740</v>
      </c>
      <c r="G42" s="60" t="s">
        <v>244</v>
      </c>
      <c r="H42" s="60" t="s">
        <v>245</v>
      </c>
      <c r="I42" s="60" t="s">
        <v>246</v>
      </c>
      <c r="J42" s="60" t="s">
        <v>593</v>
      </c>
      <c r="K42" s="60" t="s">
        <v>1039</v>
      </c>
      <c r="L42" s="60" t="s">
        <v>594</v>
      </c>
      <c r="M42" s="60" t="s">
        <v>1299</v>
      </c>
      <c r="N42" s="61" t="s">
        <v>595</v>
      </c>
      <c r="O42" s="61" t="s">
        <v>596</v>
      </c>
      <c r="P42" s="61" t="s">
        <v>597</v>
      </c>
      <c r="Q42" s="61" t="s">
        <v>598</v>
      </c>
      <c r="R42" s="61" t="s">
        <v>599</v>
      </c>
      <c r="S42" s="61" t="s">
        <v>600</v>
      </c>
      <c r="T42" s="61" t="s">
        <v>601</v>
      </c>
      <c r="U42" s="61" t="s">
        <v>484</v>
      </c>
      <c r="V42" s="61" t="s">
        <v>485</v>
      </c>
      <c r="W42" s="61" t="s">
        <v>486</v>
      </c>
      <c r="AF42" s="61" t="s">
        <v>1517</v>
      </c>
      <c r="AG42" s="62" t="s">
        <v>834</v>
      </c>
      <c r="AH42" s="62" t="s">
        <v>835</v>
      </c>
      <c r="AJ42" s="61" t="s">
        <v>836</v>
      </c>
      <c r="AK42" s="61" t="s">
        <v>837</v>
      </c>
      <c r="AL42" s="61" t="s">
        <v>487</v>
      </c>
      <c r="AN42" t="s">
        <v>488</v>
      </c>
      <c r="AO42" t="s">
        <v>489</v>
      </c>
      <c r="AP42" t="s">
        <v>490</v>
      </c>
      <c r="AQ42" t="s">
        <v>491</v>
      </c>
      <c r="AR42" t="s">
        <v>492</v>
      </c>
      <c r="AS42" t="s">
        <v>493</v>
      </c>
      <c r="AT42" t="s">
        <v>494</v>
      </c>
      <c r="AU42" t="s">
        <v>495</v>
      </c>
      <c r="AV42" t="s">
        <v>496</v>
      </c>
      <c r="AW42" t="s">
        <v>497</v>
      </c>
      <c r="AX42" t="s">
        <v>498</v>
      </c>
      <c r="AY42" t="s">
        <v>499</v>
      </c>
    </row>
    <row r="43" spans="1:51">
      <c r="E43" t="str">
        <f t="shared" ref="E43:F45" si="1">E24</f>
        <v>Bremner JD</v>
      </c>
      <c r="F43">
        <f t="shared" si="1"/>
        <v>2002</v>
      </c>
      <c r="G43">
        <v>7</v>
      </c>
      <c r="H43">
        <f t="shared" ref="H43:I45" si="2">H24</f>
        <v>15</v>
      </c>
      <c r="I43">
        <f t="shared" si="2"/>
        <v>20</v>
      </c>
      <c r="J43">
        <f>IF($D$4="Total",T24,IF($D$4="Left",L24,IF($D$4="Right",P24,"error")))</f>
        <v>6317</v>
      </c>
      <c r="K43">
        <f>IF($D$4="Total",U24,IF($D$4="Left",M24,IF($D$4="Right",Q24,"error")))</f>
        <v>1114</v>
      </c>
      <c r="L43">
        <f>IF($D$4="Total",V24,IF($D$4="Left",N24,IF($D$4="Right",R24,"error")))</f>
        <v>6837</v>
      </c>
      <c r="M43">
        <f>IF($D$4="Total",W24,IF($D$4="Left",O24,IF($D$4="Right",S24,"error")))</f>
        <v>2118</v>
      </c>
      <c r="N43">
        <f t="shared" ref="N43:N48" si="3">IF($D$3=1,SQRT((((I43-1)*(M43)^2)+((H43-1)*(K43)^2))/(H43+I43-2)),M43)</f>
        <v>1763.3172938492603</v>
      </c>
      <c r="O43" s="59">
        <f t="shared" ref="O43:O48" si="4">IF($D$6=1,LN(J43/L43),IF($D$5=1,(1-3/(4*(H43+I43)-9))*((J43-L43)/N43),(J43-L43)/N43))</f>
        <v>-0.28814530704470598</v>
      </c>
      <c r="P43" s="63">
        <f t="shared" ref="P43:P48" si="5">IF($D$6=1,(K43^2)/(H43*J43^2)+(M43^2)/(I43*L43^2),(IF($D$5=1,((H43+I43)/(H43*I43))+(O43*O43)/(2*(H43+I43-3.94)),((H43+I43)/(H43*I43))+((O43^2)/(2*(H43+I43-2))))))</f>
        <v>0.11800323649879622</v>
      </c>
      <c r="Q43" s="59">
        <f t="shared" ref="Q43:Q48" si="6">$R$65*SQRT(P43)</f>
        <v>0.67329134357555465</v>
      </c>
      <c r="R43" s="59">
        <f t="shared" ref="R43:R48" si="7">1/P43</f>
        <v>8.4743438372573898</v>
      </c>
      <c r="S43" s="59">
        <f t="shared" ref="S43:S48" si="8">O43*R43</f>
        <v>-2.4418424069889424</v>
      </c>
      <c r="T43" s="59">
        <f t="shared" ref="T43:T48" si="9">R43*(O43^2)</f>
        <v>0.70360543011661281</v>
      </c>
      <c r="U43" s="23">
        <f t="shared" ref="U43:U48" si="10">R43^2</f>
        <v>71.814503472062299</v>
      </c>
      <c r="V43" s="59">
        <f t="shared" ref="V43:V48" si="11">1/((1/R43)+$I$62)</f>
        <v>4.3183366481247694</v>
      </c>
      <c r="W43" s="59">
        <f t="shared" ref="W43:W48" si="12">V43*O43</f>
        <v>-1.2443084393963182</v>
      </c>
      <c r="AF43" s="59">
        <f t="shared" ref="AF43:AF48" si="13">IF($D$6=1,100*((EXP(O43))-1),O43)</f>
        <v>-0.28814530704470598</v>
      </c>
      <c r="AG43" s="59">
        <f t="shared" ref="AG43:AG48" si="14">IF($D$6=1,100*(EXP(O43+Q43)-EXP(O43)),Q43)</f>
        <v>0.67329134357555465</v>
      </c>
      <c r="AH43" s="59">
        <f t="shared" ref="AH43:AH48" si="15">IF($D$6=1,100*(EXP(O43)-EXP(O43-Q43)),Q43)</f>
        <v>0.67329134357555465</v>
      </c>
      <c r="AJ43">
        <f t="shared" ref="AJ43:AJ48" si="16">SQRT(P43)</f>
        <v>0.34351599162018093</v>
      </c>
      <c r="AK43">
        <f t="shared" ref="AK43:AK48" si="17">1/AJ43</f>
        <v>2.9110726265858413</v>
      </c>
      <c r="AL43">
        <f t="shared" ref="AL43:AL48" si="18">O43/AJ43</f>
        <v>-0.83881191581701597</v>
      </c>
      <c r="AN43" t="str">
        <f t="shared" ref="AN43:AO48" si="19">E43</f>
        <v>Bremner JD</v>
      </c>
      <c r="AO43">
        <f t="shared" si="19"/>
        <v>2002</v>
      </c>
      <c r="AP43" t="str">
        <f t="shared" ref="AP43:AP48" si="20">CONCATENATE(AN43," ",AO43)</f>
        <v>Bremner JD 2002</v>
      </c>
      <c r="AQ43">
        <f t="shared" ref="AQ43:AQ48" si="21">INT(H43)</f>
        <v>15</v>
      </c>
      <c r="AR43">
        <f t="shared" ref="AR43:AS48" si="22">J43</f>
        <v>6317</v>
      </c>
      <c r="AS43">
        <f t="shared" si="22"/>
        <v>1114</v>
      </c>
      <c r="AT43">
        <f t="shared" ref="AT43:AT48" si="23">INT(I43)</f>
        <v>20</v>
      </c>
      <c r="AU43">
        <f t="shared" ref="AU43:AV48" si="24">L43</f>
        <v>6837</v>
      </c>
      <c r="AV43">
        <f t="shared" si="24"/>
        <v>2118</v>
      </c>
      <c r="AW43" s="65">
        <f t="shared" ref="AW43:AW48" si="25">O43</f>
        <v>-0.28814530704470598</v>
      </c>
      <c r="AX43">
        <f t="shared" ref="AX43:AX48" si="26">SQRT(P43)</f>
        <v>0.34351599162018093</v>
      </c>
      <c r="AY43" t="str">
        <f>$F$4</f>
        <v>Total</v>
      </c>
    </row>
    <row r="44" spans="1:51">
      <c r="E44" t="str">
        <f t="shared" si="1"/>
        <v>Andreescu C</v>
      </c>
      <c r="F44">
        <f t="shared" si="1"/>
        <v>2008</v>
      </c>
      <c r="G44">
        <v>5</v>
      </c>
      <c r="H44">
        <f t="shared" si="2"/>
        <v>71</v>
      </c>
      <c r="I44">
        <f t="shared" si="2"/>
        <v>32</v>
      </c>
      <c r="J44">
        <f t="shared" ref="J44:M45" si="27">IF($D$4="Total",T25,IF($D$4="Left",L25,IF($D$4="Right",P25,"error")))</f>
        <v>1.85</v>
      </c>
      <c r="K44">
        <f t="shared" si="27"/>
        <v>0.27</v>
      </c>
      <c r="L44">
        <f t="shared" si="27"/>
        <v>1.97</v>
      </c>
      <c r="M44">
        <f t="shared" si="27"/>
        <v>0.34</v>
      </c>
      <c r="N44">
        <f t="shared" si="3"/>
        <v>0.29326769442620071</v>
      </c>
      <c r="O44" s="59">
        <f t="shared" si="4"/>
        <v>-0.40613644808338584</v>
      </c>
      <c r="P44" s="63">
        <f t="shared" si="5"/>
        <v>4.6167067179855928E-2</v>
      </c>
      <c r="Q44" s="59">
        <f t="shared" si="6"/>
        <v>0.42113585133319453</v>
      </c>
      <c r="R44" s="59">
        <f t="shared" si="7"/>
        <v>21.660461906844493</v>
      </c>
      <c r="S44" s="59">
        <f t="shared" si="8"/>
        <v>-8.7971030626913045</v>
      </c>
      <c r="T44" s="59">
        <f t="shared" si="9"/>
        <v>3.5728241913049219</v>
      </c>
      <c r="U44" s="23">
        <f t="shared" si="10"/>
        <v>469.17561001786135</v>
      </c>
      <c r="V44" s="59">
        <f t="shared" si="11"/>
        <v>6.2603893116304636</v>
      </c>
      <c r="W44" s="59">
        <f t="shared" si="12"/>
        <v>-2.5425722786447893</v>
      </c>
      <c r="AF44" s="59">
        <f t="shared" si="13"/>
        <v>-0.40613644808338584</v>
      </c>
      <c r="AG44" s="59">
        <f t="shared" si="14"/>
        <v>0.42113585133319453</v>
      </c>
      <c r="AH44" s="59">
        <f t="shared" si="15"/>
        <v>0.42113585133319453</v>
      </c>
      <c r="AJ44">
        <f t="shared" si="16"/>
        <v>0.21486523027203802</v>
      </c>
      <c r="AK44">
        <f t="shared" si="17"/>
        <v>4.6540801354128503</v>
      </c>
      <c r="AL44">
        <f t="shared" si="18"/>
        <v>-1.8901915752920184</v>
      </c>
      <c r="AN44" t="str">
        <f t="shared" si="19"/>
        <v>Andreescu C</v>
      </c>
      <c r="AO44">
        <f t="shared" si="19"/>
        <v>2008</v>
      </c>
      <c r="AP44" t="str">
        <f t="shared" si="20"/>
        <v>Andreescu C 2008</v>
      </c>
      <c r="AQ44">
        <f t="shared" si="21"/>
        <v>71</v>
      </c>
      <c r="AR44">
        <f t="shared" si="22"/>
        <v>1.85</v>
      </c>
      <c r="AS44">
        <f t="shared" si="22"/>
        <v>0.27</v>
      </c>
      <c r="AT44">
        <f t="shared" si="23"/>
        <v>32</v>
      </c>
      <c r="AU44">
        <f t="shared" si="24"/>
        <v>1.97</v>
      </c>
      <c r="AV44">
        <f t="shared" si="24"/>
        <v>0.34</v>
      </c>
      <c r="AW44" s="65">
        <f t="shared" si="25"/>
        <v>-0.40613644808338584</v>
      </c>
      <c r="AX44">
        <f t="shared" si="26"/>
        <v>0.21486523027203802</v>
      </c>
    </row>
    <row r="45" spans="1:51">
      <c r="E45" t="str">
        <f t="shared" si="1"/>
        <v>Weber K</v>
      </c>
      <c r="F45">
        <f t="shared" si="1"/>
        <v>2009</v>
      </c>
      <c r="G45">
        <v>4</v>
      </c>
      <c r="H45">
        <f t="shared" si="2"/>
        <v>38</v>
      </c>
      <c r="I45">
        <f t="shared" si="2"/>
        <v>62</v>
      </c>
      <c r="J45">
        <f t="shared" si="27"/>
        <v>2.72</v>
      </c>
      <c r="K45">
        <f t="shared" si="27"/>
        <v>0.62</v>
      </c>
      <c r="L45">
        <f t="shared" si="27"/>
        <v>2.63</v>
      </c>
      <c r="M45">
        <f t="shared" si="27"/>
        <v>0.63</v>
      </c>
      <c r="N45">
        <f>IF($D$3=1,SQRT((((I45-1)*(M45)^2)+((H45-1)*(K45)^2))/(H45+I45-2)),M45)</f>
        <v>0.62624325325299746</v>
      </c>
      <c r="O45" s="59">
        <f>IF($D$6=1,LN(J45/L45),IF($D$5=1,(1-3/(4*(H45+I45)-9))*((J45-L45)/N45),(J45-L45)/N45))</f>
        <v>0.14261145721201246</v>
      </c>
      <c r="P45" s="63">
        <f>IF($D$6=1,(K45^2)/(H45*J45^2)+(M45^2)/(I45*L45^2),(IF($D$5=1,((H45+I45)/(H45*I45))+(O45*O45)/(2*(H45+I45-3.94)),((H45+I45)/(H45*I45))+((O45^2)/(2*(H45+I45-2))))))</f>
        <v>4.2550682796334054E-2</v>
      </c>
      <c r="Q45" s="59">
        <f t="shared" si="6"/>
        <v>0.40430521024394045</v>
      </c>
      <c r="R45" s="59">
        <f>1/P45</f>
        <v>23.50138550740612</v>
      </c>
      <c r="S45" s="59">
        <f>O45*R45</f>
        <v>3.3515668337124578</v>
      </c>
      <c r="T45" s="59">
        <f>R45*(O45^2)</f>
        <v>0.4779718300991842</v>
      </c>
      <c r="U45" s="23">
        <f>R45^2</f>
        <v>552.31512076771844</v>
      </c>
      <c r="V45" s="59">
        <f t="shared" si="11"/>
        <v>6.405407573458354</v>
      </c>
      <c r="W45" s="59">
        <f>V45*O45</f>
        <v>0.91348450808775661</v>
      </c>
      <c r="AF45" s="59">
        <f>IF($D$6=1,100*((EXP(O45))-1),O45)</f>
        <v>0.14261145721201246</v>
      </c>
      <c r="AG45" s="59">
        <f>IF($D$6=1,100*(EXP(O45+Q45)-EXP(O45)),Q45)</f>
        <v>0.40430521024394045</v>
      </c>
      <c r="AH45" s="59">
        <f>IF($D$6=1,100*(EXP(O45)-EXP(O45-Q45)),Q45)</f>
        <v>0.40430521024394045</v>
      </c>
      <c r="AJ45">
        <f>SQRT(P45)</f>
        <v>0.20627816849180636</v>
      </c>
      <c r="AK45">
        <f t="shared" si="17"/>
        <v>4.8478227594876158</v>
      </c>
      <c r="AL45">
        <f>O45/AJ45</f>
        <v>0.69135506803608826</v>
      </c>
      <c r="AN45" t="str">
        <f>E45</f>
        <v>Weber K</v>
      </c>
      <c r="AO45">
        <f>F45</f>
        <v>2009</v>
      </c>
      <c r="AP45" t="str">
        <f>CONCATENATE(AN45," ",AO45)</f>
        <v>Weber K 2009</v>
      </c>
      <c r="AQ45">
        <f>INT(H45)</f>
        <v>38</v>
      </c>
      <c r="AR45">
        <f>J45</f>
        <v>2.72</v>
      </c>
      <c r="AS45">
        <f>K45</f>
        <v>0.62</v>
      </c>
      <c r="AT45">
        <f>INT(I45)</f>
        <v>62</v>
      </c>
      <c r="AU45">
        <f>L45</f>
        <v>2.63</v>
      </c>
      <c r="AV45">
        <f>M45</f>
        <v>0.63</v>
      </c>
      <c r="AW45" s="65">
        <f>O45</f>
        <v>0.14261145721201246</v>
      </c>
      <c r="AX45">
        <f>SQRT(P45)</f>
        <v>0.20627816849180636</v>
      </c>
    </row>
    <row r="46" spans="1:51">
      <c r="E46" t="str">
        <f t="shared" ref="E46:F48" si="28">E29</f>
        <v>Caetano SC</v>
      </c>
      <c r="F46">
        <f t="shared" si="28"/>
        <v>2006</v>
      </c>
      <c r="G46">
        <v>3</v>
      </c>
      <c r="H46">
        <f t="shared" ref="H46:I48" si="29">H29</f>
        <v>31</v>
      </c>
      <c r="I46">
        <f t="shared" si="29"/>
        <v>31</v>
      </c>
      <c r="J46">
        <f t="shared" ref="J46:M47" si="30">IF($D$4="Total",T29,IF($D$4="Left",L29,IF($D$4="Right",P29,"error")))</f>
        <v>4.93</v>
      </c>
      <c r="K46">
        <f t="shared" si="30"/>
        <v>0.86344658201882996</v>
      </c>
      <c r="L46">
        <f t="shared" si="30"/>
        <v>5.87</v>
      </c>
      <c r="M46">
        <f t="shared" si="30"/>
        <v>0.99612248242874235</v>
      </c>
      <c r="N46">
        <f t="shared" si="3"/>
        <v>0.93214805690941616</v>
      </c>
      <c r="O46" s="59">
        <f t="shared" si="4"/>
        <v>-0.99576545800844196</v>
      </c>
      <c r="P46" s="63">
        <f t="shared" si="5"/>
        <v>7.3055130473549501E-2</v>
      </c>
      <c r="Q46" s="59">
        <f t="shared" si="6"/>
        <v>0.52976276693175384</v>
      </c>
      <c r="R46" s="59">
        <f t="shared" si="7"/>
        <v>13.688292574633921</v>
      </c>
      <c r="S46" s="59">
        <f t="shared" si="8"/>
        <v>-13.630328924933902</v>
      </c>
      <c r="T46" s="59">
        <f t="shared" si="9"/>
        <v>13.572610724742521</v>
      </c>
      <c r="U46" s="23">
        <f t="shared" si="10"/>
        <v>187.36935360877814</v>
      </c>
      <c r="V46" s="59">
        <f t="shared" si="11"/>
        <v>5.3584095958269087</v>
      </c>
      <c r="W46" s="59">
        <f t="shared" si="12"/>
        <v>-5.335719185385412</v>
      </c>
      <c r="AF46" s="59">
        <f t="shared" si="13"/>
        <v>-0.99576545800844196</v>
      </c>
      <c r="AG46" s="59">
        <f t="shared" si="14"/>
        <v>0.52976276693175384</v>
      </c>
      <c r="AH46" s="59">
        <f t="shared" si="15"/>
        <v>0.52976276693175384</v>
      </c>
      <c r="AJ46">
        <f t="shared" si="16"/>
        <v>0.27028712598558868</v>
      </c>
      <c r="AK46">
        <f t="shared" si="17"/>
        <v>3.6997692596476774</v>
      </c>
      <c r="AL46">
        <f t="shared" si="18"/>
        <v>-3.6841024313586237</v>
      </c>
      <c r="AN46" t="str">
        <f t="shared" si="19"/>
        <v>Caetano SC</v>
      </c>
      <c r="AO46">
        <f t="shared" si="19"/>
        <v>2006</v>
      </c>
      <c r="AP46" t="str">
        <f t="shared" si="20"/>
        <v>Caetano SC 2006</v>
      </c>
      <c r="AQ46">
        <f t="shared" si="21"/>
        <v>31</v>
      </c>
      <c r="AR46">
        <f t="shared" si="22"/>
        <v>4.93</v>
      </c>
      <c r="AS46">
        <f t="shared" si="22"/>
        <v>0.86344658201882996</v>
      </c>
      <c r="AT46">
        <f t="shared" si="23"/>
        <v>31</v>
      </c>
      <c r="AU46">
        <f t="shared" si="24"/>
        <v>5.87</v>
      </c>
      <c r="AV46">
        <f t="shared" si="24"/>
        <v>0.99612248242874235</v>
      </c>
      <c r="AW46" s="65">
        <f t="shared" si="25"/>
        <v>-0.99576545800844196</v>
      </c>
      <c r="AX46">
        <f t="shared" si="26"/>
        <v>0.27028712598558868</v>
      </c>
    </row>
    <row r="47" spans="1:51">
      <c r="E47" t="str">
        <f t="shared" si="28"/>
        <v>Lavretsky H</v>
      </c>
      <c r="F47">
        <f t="shared" si="28"/>
        <v>2007</v>
      </c>
      <c r="G47">
        <v>2</v>
      </c>
      <c r="H47">
        <f t="shared" si="29"/>
        <v>43</v>
      </c>
      <c r="I47">
        <f t="shared" si="29"/>
        <v>41</v>
      </c>
      <c r="J47">
        <f t="shared" si="30"/>
        <v>8.6999999999999994E-3</v>
      </c>
      <c r="K47">
        <f t="shared" si="30"/>
        <v>2.8467525357852939E-3</v>
      </c>
      <c r="L47">
        <f t="shared" si="30"/>
        <v>8.6999999999999994E-3</v>
      </c>
      <c r="M47">
        <f t="shared" si="30"/>
        <v>1.6155494421403512E-3</v>
      </c>
      <c r="N47">
        <f t="shared" si="3"/>
        <v>2.3289482604815421E-3</v>
      </c>
      <c r="O47" s="59">
        <f t="shared" si="4"/>
        <v>0</v>
      </c>
      <c r="P47" s="63">
        <f t="shared" si="5"/>
        <v>4.7646057855927397E-2</v>
      </c>
      <c r="Q47" s="59">
        <f t="shared" si="6"/>
        <v>0.42782834859243568</v>
      </c>
      <c r="R47" s="59">
        <f t="shared" si="7"/>
        <v>20.988095238095237</v>
      </c>
      <c r="S47" s="59">
        <f t="shared" si="8"/>
        <v>0</v>
      </c>
      <c r="T47" s="59">
        <f t="shared" si="9"/>
        <v>0</v>
      </c>
      <c r="U47" s="23">
        <f t="shared" si="10"/>
        <v>440.50014172335597</v>
      </c>
      <c r="V47" s="59">
        <f t="shared" si="11"/>
        <v>6.2029557878143988</v>
      </c>
      <c r="W47" s="59">
        <f t="shared" si="12"/>
        <v>0</v>
      </c>
      <c r="AF47" s="59">
        <f t="shared" si="13"/>
        <v>0</v>
      </c>
      <c r="AG47" s="59">
        <f t="shared" si="14"/>
        <v>0.42782834859243568</v>
      </c>
      <c r="AH47" s="59">
        <f t="shared" si="15"/>
        <v>0.42782834859243568</v>
      </c>
      <c r="AJ47">
        <f t="shared" si="16"/>
        <v>0.21827976969001822</v>
      </c>
      <c r="AK47">
        <f t="shared" si="17"/>
        <v>4.5812765948035965</v>
      </c>
      <c r="AL47">
        <f t="shared" si="18"/>
        <v>0</v>
      </c>
      <c r="AN47" t="str">
        <f t="shared" si="19"/>
        <v>Lavretsky H</v>
      </c>
      <c r="AO47">
        <f t="shared" si="19"/>
        <v>2007</v>
      </c>
      <c r="AP47" t="str">
        <f t="shared" si="20"/>
        <v>Lavretsky H 2007</v>
      </c>
      <c r="AQ47">
        <f t="shared" si="21"/>
        <v>43</v>
      </c>
      <c r="AR47">
        <f t="shared" si="22"/>
        <v>8.6999999999999994E-3</v>
      </c>
      <c r="AS47">
        <f t="shared" si="22"/>
        <v>2.8467525357852939E-3</v>
      </c>
      <c r="AT47">
        <f t="shared" si="23"/>
        <v>41</v>
      </c>
      <c r="AU47">
        <f t="shared" si="24"/>
        <v>8.6999999999999994E-3</v>
      </c>
      <c r="AV47">
        <f t="shared" si="24"/>
        <v>1.6155494421403512E-3</v>
      </c>
      <c r="AW47" s="65">
        <f t="shared" si="25"/>
        <v>0</v>
      </c>
      <c r="AX47">
        <f t="shared" si="26"/>
        <v>0.21827976969001822</v>
      </c>
    </row>
    <row r="48" spans="1:51">
      <c r="E48" t="str">
        <f t="shared" si="28"/>
        <v>Frodl T (A)</v>
      </c>
      <c r="F48">
        <f t="shared" si="28"/>
        <v>2008</v>
      </c>
      <c r="G48">
        <v>1</v>
      </c>
      <c r="H48">
        <f t="shared" si="29"/>
        <v>78</v>
      </c>
      <c r="I48">
        <f t="shared" si="29"/>
        <v>78</v>
      </c>
      <c r="J48">
        <f>IF($D$4="Total",T31,IF($D$4="Left",L31,IF($D$4="Right",P31,"error")))</f>
        <v>13.22</v>
      </c>
      <c r="K48">
        <f>IF($D$4="Total",U31,IF($D$4="Left",M31,IF($D$4="Right",Q31,"error")))</f>
        <v>2.8751382575451916</v>
      </c>
      <c r="L48">
        <f>IF($D$4="Total",V31,IF($D$4="Left",N31,IF($D$4="Right",R31,"error")))</f>
        <v>12.87</v>
      </c>
      <c r="M48">
        <f>IF($D$4="Total",W31,IF($D$4="Left",O31,IF($D$4="Right",S31,"error")))</f>
        <v>3.1693658671728011</v>
      </c>
      <c r="N48">
        <f t="shared" si="3"/>
        <v>3.0258304645171381</v>
      </c>
      <c r="O48" s="59">
        <f t="shared" si="4"/>
        <v>0.11510647639090753</v>
      </c>
      <c r="P48" s="63">
        <f t="shared" si="5"/>
        <v>2.5684592328212047E-2</v>
      </c>
      <c r="Q48" s="59">
        <f t="shared" si="6"/>
        <v>0.31411770069204853</v>
      </c>
      <c r="R48" s="59">
        <f t="shared" si="7"/>
        <v>38.933847468608505</v>
      </c>
      <c r="S48" s="59">
        <f t="shared" si="8"/>
        <v>4.4815379944525793</v>
      </c>
      <c r="T48" s="59">
        <f t="shared" si="9"/>
        <v>0.51585404735341089</v>
      </c>
      <c r="U48" s="23">
        <f t="shared" si="10"/>
        <v>1515.8444787088729</v>
      </c>
      <c r="V48" s="59">
        <f t="shared" si="11"/>
        <v>7.1812253965608575</v>
      </c>
      <c r="W48" s="59">
        <f t="shared" si="12"/>
        <v>0.82660555156701787</v>
      </c>
      <c r="AF48" s="59">
        <f t="shared" si="13"/>
        <v>0.11510647639090753</v>
      </c>
      <c r="AG48" s="59">
        <f t="shared" si="14"/>
        <v>0.31411770069204853</v>
      </c>
      <c r="AH48" s="59">
        <f t="shared" si="15"/>
        <v>0.31411770069204853</v>
      </c>
      <c r="AJ48">
        <f t="shared" si="16"/>
        <v>0.16026413300614722</v>
      </c>
      <c r="AK48">
        <f t="shared" si="17"/>
        <v>6.2396993091501214</v>
      </c>
      <c r="AL48">
        <f t="shared" si="18"/>
        <v>0.71822980121505042</v>
      </c>
      <c r="AN48" t="str">
        <f t="shared" si="19"/>
        <v>Frodl T (A)</v>
      </c>
      <c r="AO48">
        <f t="shared" si="19"/>
        <v>2008</v>
      </c>
      <c r="AP48" t="str">
        <f t="shared" si="20"/>
        <v>Frodl T (A) 2008</v>
      </c>
      <c r="AQ48">
        <f t="shared" si="21"/>
        <v>78</v>
      </c>
      <c r="AR48">
        <f t="shared" si="22"/>
        <v>13.22</v>
      </c>
      <c r="AS48">
        <f t="shared" si="22"/>
        <v>2.8751382575451916</v>
      </c>
      <c r="AT48">
        <f t="shared" si="23"/>
        <v>78</v>
      </c>
      <c r="AU48">
        <f t="shared" si="24"/>
        <v>12.87</v>
      </c>
      <c r="AV48">
        <f t="shared" si="24"/>
        <v>3.1693658671728011</v>
      </c>
      <c r="AW48" s="65">
        <f t="shared" si="25"/>
        <v>0.11510647639090753</v>
      </c>
      <c r="AX48">
        <f t="shared" si="26"/>
        <v>0.16026413300614722</v>
      </c>
    </row>
    <row r="49" spans="7:34">
      <c r="U49" s="23"/>
    </row>
    <row r="50" spans="7:34">
      <c r="L50" t="s">
        <v>500</v>
      </c>
      <c r="N50" s="7"/>
      <c r="O50" s="66">
        <f>COUNT(O43:O48)</f>
        <v>6</v>
      </c>
      <c r="Q50" t="s">
        <v>885</v>
      </c>
      <c r="R50" s="59">
        <f t="shared" ref="R50:W50" si="31">SUM(R43:R48)</f>
        <v>127.24642653284567</v>
      </c>
      <c r="S50" s="59">
        <f t="shared" si="31"/>
        <v>-17.036169566449111</v>
      </c>
      <c r="T50" s="59">
        <f t="shared" si="31"/>
        <v>18.84286622361665</v>
      </c>
      <c r="U50" s="23">
        <f t="shared" si="31"/>
        <v>3237.0192082986487</v>
      </c>
      <c r="V50" s="59">
        <f t="shared" si="31"/>
        <v>35.726724313415751</v>
      </c>
      <c r="W50" s="59">
        <f t="shared" si="31"/>
        <v>-7.3825098437717456</v>
      </c>
    </row>
    <row r="51" spans="7:34">
      <c r="L51" t="s">
        <v>501</v>
      </c>
      <c r="N51" s="7"/>
      <c r="O51" s="2">
        <v>0</v>
      </c>
    </row>
    <row r="52" spans="7:34">
      <c r="N52" s="7"/>
      <c r="O52" s="7"/>
    </row>
    <row r="53" spans="7:34">
      <c r="G53" s="67" t="s">
        <v>502</v>
      </c>
      <c r="H53" s="40"/>
      <c r="I53" s="40">
        <f>S50/R50</f>
        <v>-0.13388328482491116</v>
      </c>
      <c r="J53" s="40"/>
      <c r="K53" s="68" t="s">
        <v>879</v>
      </c>
      <c r="L53" s="40"/>
      <c r="M53" s="42"/>
      <c r="N53" s="7"/>
      <c r="O53" s="69" t="s">
        <v>503</v>
      </c>
      <c r="P53" s="70">
        <f>T50-((S50^2)/R50)</f>
        <v>16.562007881226261</v>
      </c>
      <c r="Q53" s="71" t="s">
        <v>824</v>
      </c>
      <c r="R53" s="28"/>
      <c r="S53" s="29"/>
      <c r="T53" s="30"/>
      <c r="U53" s="31"/>
      <c r="AF53" s="2" t="s">
        <v>1518</v>
      </c>
    </row>
    <row r="54" spans="7:34">
      <c r="G54" s="43" t="s">
        <v>504</v>
      </c>
      <c r="H54" s="31"/>
      <c r="I54" s="31">
        <f>1/R50</f>
        <v>7.8587668608664108E-3</v>
      </c>
      <c r="J54" s="31"/>
      <c r="K54" s="31"/>
      <c r="L54" s="31"/>
      <c r="M54" s="44"/>
      <c r="N54" s="7"/>
      <c r="O54" s="30" t="s">
        <v>505</v>
      </c>
      <c r="P54" s="31">
        <f>CHIDIST(P53,I58-1)</f>
        <v>5.4099197046986675E-3</v>
      </c>
      <c r="Q54" s="31"/>
      <c r="R54" s="31"/>
      <c r="S54" s="34"/>
      <c r="T54" s="30"/>
      <c r="U54" s="31"/>
      <c r="AF54" s="2"/>
    </row>
    <row r="55" spans="7:34">
      <c r="G55" s="72" t="s">
        <v>506</v>
      </c>
      <c r="H55" s="31"/>
      <c r="I55" s="31">
        <f>$R$65*SQRT(I54)</f>
        <v>0.17375338492445089</v>
      </c>
      <c r="J55" s="31"/>
      <c r="K55" s="31" t="s">
        <v>507</v>
      </c>
      <c r="L55" s="31"/>
      <c r="M55" s="44">
        <f>ABS(I53/SQRT(I54))</f>
        <v>1.5102510858762492</v>
      </c>
      <c r="N55" s="7"/>
      <c r="O55" s="35" t="s">
        <v>508</v>
      </c>
      <c r="P55" s="37">
        <f>IF(((P53-(I58-1))/P53)&lt;0,0,100*((P53-(I58-1))/P53))</f>
        <v>69.81042373692074</v>
      </c>
      <c r="Q55" s="36"/>
      <c r="R55" s="36"/>
      <c r="S55" s="38"/>
      <c r="T55" s="30"/>
      <c r="U55" s="31"/>
      <c r="AF55" s="2" t="s">
        <v>1535</v>
      </c>
      <c r="AH55">
        <f>IF($D$6=1,100*((EXP(I53))-1),I53)</f>
        <v>-0.13388328482491116</v>
      </c>
    </row>
    <row r="56" spans="7:34">
      <c r="G56" s="45" t="s">
        <v>509</v>
      </c>
      <c r="H56" s="46"/>
      <c r="I56" s="46">
        <v>-2</v>
      </c>
      <c r="J56" s="46"/>
      <c r="K56" s="46" t="s">
        <v>825</v>
      </c>
      <c r="L56" s="46"/>
      <c r="M56" s="47">
        <f>2*(1-NORMDIST(M55,0,1,1))</f>
        <v>0.13097936776855867</v>
      </c>
      <c r="N56" s="7"/>
      <c r="O56" s="7"/>
      <c r="AF56" s="79" t="s">
        <v>834</v>
      </c>
      <c r="AH56">
        <f>IF($D$6=1,100*(EXP(I53+I55)-EXP(I53)),I55)</f>
        <v>0.17375338492445089</v>
      </c>
    </row>
    <row r="57" spans="7:34">
      <c r="G57" s="40"/>
      <c r="H57" s="40"/>
      <c r="I57" s="40"/>
      <c r="J57" s="40"/>
      <c r="K57" s="40"/>
      <c r="L57" s="40"/>
      <c r="M57" s="40"/>
      <c r="N57" s="7"/>
      <c r="O57" s="7"/>
      <c r="AF57" s="79" t="s">
        <v>835</v>
      </c>
      <c r="AH57">
        <f>IF($D$6=1,100*(EXP(I53)-EXP(I53-I55)),I55)</f>
        <v>0.17375338492445089</v>
      </c>
    </row>
    <row r="58" spans="7:34">
      <c r="G58" s="73" t="s">
        <v>1110</v>
      </c>
      <c r="H58" s="74"/>
      <c r="I58" s="74">
        <f>O50</f>
        <v>6</v>
      </c>
      <c r="J58" s="74"/>
      <c r="K58" s="75" t="s">
        <v>1167</v>
      </c>
      <c r="L58" s="74"/>
      <c r="M58" s="76"/>
      <c r="N58" s="77"/>
      <c r="O58" s="101" t="s">
        <v>1513</v>
      </c>
      <c r="P58" s="102"/>
      <c r="Q58" s="103"/>
      <c r="AF58" s="7"/>
    </row>
    <row r="59" spans="7:34">
      <c r="G59" s="77" t="s">
        <v>1531</v>
      </c>
      <c r="H59" s="31"/>
      <c r="I59" s="31">
        <f>R50/I58</f>
        <v>21.20773775547428</v>
      </c>
      <c r="J59" s="31"/>
      <c r="K59" s="31"/>
      <c r="L59" s="31"/>
      <c r="M59" s="78"/>
      <c r="N59" s="77"/>
      <c r="O59" s="104" t="s">
        <v>1514</v>
      </c>
      <c r="P59" s="31"/>
      <c r="Q59" s="105">
        <f>INDEX(LINEST(AL43:AL48,AK43:AK48,TRUE,TRUE),1,2)</f>
        <v>-4.6732603638286978</v>
      </c>
      <c r="AF59" s="2" t="s">
        <v>1687</v>
      </c>
      <c r="AH59">
        <f>IF($D$6=1,100*((EXP(I64))-1),I64)</f>
        <v>-0.20663830747560413</v>
      </c>
    </row>
    <row r="60" spans="7:34">
      <c r="G60" s="77" t="s">
        <v>1532</v>
      </c>
      <c r="H60" s="31"/>
      <c r="I60" s="31">
        <f>(1/(I58-1))*(U50-(I58*I59^2))</f>
        <v>107.68207281376664</v>
      </c>
      <c r="J60" s="31"/>
      <c r="K60" s="31"/>
      <c r="L60" s="31"/>
      <c r="M60" s="78"/>
      <c r="N60" s="77"/>
      <c r="O60" s="104" t="s">
        <v>1516</v>
      </c>
      <c r="P60" s="31"/>
      <c r="Q60" s="105">
        <f>INDEX(LINEST(AL43:AL48,AK43:AK48,TRUE,TRUE),2,2)</f>
        <v>2.8957903984387641</v>
      </c>
      <c r="AF60" s="79" t="s">
        <v>834</v>
      </c>
      <c r="AG60" s="7"/>
      <c r="AH60">
        <f>IF($D$6=1,100*(EXP(I64+I66)-EXP(I64)),I66)</f>
        <v>0.32791363236535015</v>
      </c>
    </row>
    <row r="61" spans="7:34">
      <c r="G61" s="77" t="s">
        <v>1669</v>
      </c>
      <c r="H61" s="31"/>
      <c r="I61" s="31">
        <f>(I58-1)*(I59-(I60/(I58*I59)))</f>
        <v>101.80744725068024</v>
      </c>
      <c r="J61" s="31"/>
      <c r="K61" s="31"/>
      <c r="L61" s="31"/>
      <c r="M61" s="78"/>
      <c r="N61" s="77"/>
      <c r="O61" s="104" t="s">
        <v>1349</v>
      </c>
      <c r="P61" s="31"/>
      <c r="Q61" s="105">
        <f>ABS(Q59/Q60)</f>
        <v>1.6138116786174299</v>
      </c>
      <c r="AF61" s="79" t="s">
        <v>835</v>
      </c>
      <c r="AH61">
        <f>IF($D$6=1,100*(EXP(I64)-EXP(I64-I66)),I66)</f>
        <v>0.32791363236535015</v>
      </c>
    </row>
    <row r="62" spans="7:34">
      <c r="G62" s="77" t="s">
        <v>1685</v>
      </c>
      <c r="H62" s="31"/>
      <c r="I62" s="31">
        <f>IF(P53&gt;(I58-1),(P53-(I58-1))/I61,0)</f>
        <v>0.11356740782191656</v>
      </c>
      <c r="J62" s="31"/>
      <c r="K62" s="31"/>
      <c r="L62" s="31"/>
      <c r="M62" s="78"/>
      <c r="N62" s="77"/>
      <c r="O62" s="106" t="s">
        <v>1515</v>
      </c>
      <c r="P62" s="107"/>
      <c r="Q62" s="108">
        <f>TDIST(Q61,I58-2,2)</f>
        <v>0.18186689707172943</v>
      </c>
    </row>
    <row r="63" spans="7:34">
      <c r="G63" s="77"/>
      <c r="H63" s="31"/>
      <c r="I63" s="31"/>
      <c r="J63" s="31"/>
      <c r="K63" s="31"/>
      <c r="L63" s="31"/>
      <c r="M63" s="78"/>
      <c r="N63" s="77"/>
    </row>
    <row r="64" spans="7:34">
      <c r="G64" s="77" t="s">
        <v>1686</v>
      </c>
      <c r="H64" s="31"/>
      <c r="I64" s="31">
        <f>W50/V50</f>
        <v>-0.20663830747560413</v>
      </c>
      <c r="J64" s="31"/>
      <c r="N64" s="77"/>
    </row>
    <row r="65" spans="7:18">
      <c r="G65" s="77" t="s">
        <v>504</v>
      </c>
      <c r="H65" s="31"/>
      <c r="I65" s="31">
        <f>1/V50</f>
        <v>2.7990251533485531E-2</v>
      </c>
      <c r="J65" s="31"/>
      <c r="N65" s="77"/>
      <c r="O65" t="s">
        <v>805</v>
      </c>
      <c r="R65">
        <v>1.96</v>
      </c>
    </row>
    <row r="66" spans="7:18">
      <c r="G66" s="80" t="s">
        <v>506</v>
      </c>
      <c r="H66" s="31"/>
      <c r="I66" s="31">
        <f>$R$65*SQRT(I65)</f>
        <v>0.32791363236535015</v>
      </c>
      <c r="J66" s="31"/>
      <c r="K66" s="31" t="s">
        <v>507</v>
      </c>
      <c r="L66" s="31"/>
      <c r="M66" s="78">
        <f>ABS(I64/(SQRT(I65)))</f>
        <v>1.2351151116551771</v>
      </c>
      <c r="N66" s="77"/>
    </row>
    <row r="67" spans="7:18">
      <c r="G67" s="81" t="s">
        <v>509</v>
      </c>
      <c r="H67" s="82"/>
      <c r="I67" s="82">
        <v>-3</v>
      </c>
      <c r="J67" s="82"/>
      <c r="K67" s="31" t="s">
        <v>825</v>
      </c>
      <c r="L67" s="31"/>
      <c r="M67" s="78">
        <f>2*(1-NORMDIST(M66,0,1,1))</f>
        <v>0.21678766605062005</v>
      </c>
      <c r="N67" s="77"/>
    </row>
    <row r="68" spans="7:18">
      <c r="G68" s="74"/>
      <c r="H68" s="74"/>
      <c r="I68" s="74"/>
      <c r="J68" s="74"/>
      <c r="K68" s="74"/>
      <c r="L68" s="74"/>
      <c r="M68" s="74"/>
      <c r="N68" s="31"/>
      <c r="O68" s="7"/>
    </row>
  </sheetData>
  <phoneticPr fontId="10" type="noConversion"/>
  <conditionalFormatting sqref="D17 D13 F13">
    <cfRule type="cellIs" dxfId="70" priority="0" stopIfTrue="1" operator="lessThan">
      <formula>0.05</formula>
    </cfRule>
  </conditionalFormatting>
  <conditionalFormatting sqref="D21">
    <cfRule type="cellIs" dxfId="6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5.xml><?xml version="1.0" encoding="utf-8"?>
<worksheet xmlns="http://schemas.openxmlformats.org/spreadsheetml/2006/main" xmlns:r="http://schemas.openxmlformats.org/officeDocument/2006/relationships">
  <sheetPr published="0" codeName="Sheet51" enableFormatConditionsCalculation="0"/>
  <dimension ref="A1:BM58"/>
  <sheetViews>
    <sheetView zoomScale="80" zoomScaleNormal="80" zoomScalePageLayoutView="80" workbookViewId="0">
      <selection activeCell="V38" sqref="V38"/>
    </sheetView>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1721</v>
      </c>
      <c r="D1" s="10"/>
      <c r="E1" s="91"/>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I48-O41</f>
        <v>4</v>
      </c>
      <c r="AD7" s="89"/>
    </row>
    <row r="8" spans="2:30">
      <c r="B8" t="s">
        <v>822</v>
      </c>
      <c r="D8">
        <f>SUM(H24:H27)</f>
        <v>190</v>
      </c>
      <c r="AD8" s="89"/>
    </row>
    <row r="9" spans="2:30">
      <c r="B9" t="s">
        <v>823</v>
      </c>
      <c r="D9">
        <f>SUM(I24:I27)</f>
        <v>212</v>
      </c>
      <c r="AD9" s="89"/>
    </row>
    <row r="11" spans="2:30">
      <c r="B11" s="27" t="s">
        <v>516</v>
      </c>
      <c r="C11" s="28"/>
      <c r="D11" s="109">
        <f>P43</f>
        <v>25.708948369806375</v>
      </c>
      <c r="E11" s="110" t="s">
        <v>1513</v>
      </c>
      <c r="F11" s="103"/>
    </row>
    <row r="12" spans="2:30">
      <c r="B12" s="30" t="s">
        <v>826</v>
      </c>
      <c r="C12" s="31"/>
      <c r="D12" s="112">
        <f>P45</f>
        <v>88.330911257640849</v>
      </c>
      <c r="E12" s="31"/>
      <c r="F12" s="105"/>
    </row>
    <row r="13" spans="2:30">
      <c r="B13" s="35" t="s">
        <v>825</v>
      </c>
      <c r="C13" s="36"/>
      <c r="D13" s="113">
        <f>P44</f>
        <v>1.0973799566569688E-5</v>
      </c>
      <c r="E13" s="111" t="s">
        <v>825</v>
      </c>
      <c r="F13" s="115">
        <f>Q52</f>
        <v>0.12610545301217208</v>
      </c>
    </row>
    <row r="15" spans="2:30">
      <c r="B15" s="39" t="s">
        <v>879</v>
      </c>
      <c r="C15" s="40"/>
      <c r="D15" s="41">
        <f>AH45</f>
        <v>7.3758375379142913E-2</v>
      </c>
      <c r="E15" s="116"/>
    </row>
    <row r="16" spans="2:30">
      <c r="B16" s="43" t="s">
        <v>1165</v>
      </c>
      <c r="C16" s="31"/>
      <c r="D16" s="33">
        <f>AH45-AH47</f>
        <v>-0.12670362748150465</v>
      </c>
      <c r="E16" s="117">
        <f>AH45+AH46</f>
        <v>0.27422037823979045</v>
      </c>
    </row>
    <row r="17" spans="1:65">
      <c r="B17" s="45" t="s">
        <v>1166</v>
      </c>
      <c r="C17" s="46"/>
      <c r="D17" s="123">
        <f>M46</f>
        <v>0.47080728047402287</v>
      </c>
      <c r="E17" s="118"/>
    </row>
    <row r="18" spans="1:65">
      <c r="D18" s="48"/>
      <c r="F18" s="49"/>
    </row>
    <row r="19" spans="1:65">
      <c r="B19" s="50" t="s">
        <v>1167</v>
      </c>
      <c r="C19" s="51"/>
      <c r="D19" s="52">
        <f>AH49</f>
        <v>-8.653158691284131E-2</v>
      </c>
      <c r="E19" s="120"/>
      <c r="F19" s="33"/>
      <c r="G19" s="31"/>
    </row>
    <row r="20" spans="1:65">
      <c r="B20" s="53" t="s">
        <v>1165</v>
      </c>
      <c r="C20" s="31"/>
      <c r="D20" s="33">
        <f>AH49-AH51</f>
        <v>-0.69116056247928082</v>
      </c>
      <c r="E20" s="121">
        <f>AH49+AH50</f>
        <v>0.51809738865359811</v>
      </c>
      <c r="F20" s="31"/>
      <c r="G20" s="31"/>
    </row>
    <row r="21" spans="1:65">
      <c r="B21" s="54" t="s">
        <v>1440</v>
      </c>
      <c r="C21" s="55"/>
      <c r="D21" s="114">
        <f>M57</f>
        <v>0.77908950689109369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16414029</v>
      </c>
      <c r="C24" s="1" t="str">
        <f>IF($B24="","",HYPERLINK(IF(LEN(VLOOKUP($B24,Database!$B$1:$IX$10144,2,FALSE))=0,"",VLOOKUP($B24,Database!$B$1:$IX$10144,2,FALSE))))</f>
        <v/>
      </c>
      <c r="D24" s="1" t="str">
        <f>IF($B24="","",HYPERLINK(CONCATENATE("http://www.ncbi.nlm.nih.gov/pubmed/",B24)))</f>
        <v>http://www.ncbi.nlm.nih.gov/pubmed/16414029</v>
      </c>
      <c r="E24" s="22" t="str">
        <f>IF($B24="","",IF(LEN(VLOOKUP($B24,Database!$B$1:$IX$10144,4,FALSE))=0,"",VLOOKUP($B24,Database!$B$1:$IX$10144,4,FALSE)))</f>
        <v>Caetano SC</v>
      </c>
      <c r="F24" s="22">
        <f>IF($B24="","",IF(LEN(VLOOKUP($B24,Database!$B$1:$IX$10144,5,FALSE))=0,"",VLOOKUP($B24,Database!$B$1:$IX$10144,5,FALSE)))</f>
        <v>2006</v>
      </c>
      <c r="G24" s="1" t="str">
        <f>IF($B24="","",HYPERLINK(IF(LEN(VLOOKUP($B24,Database!$B$1:$IX$10144,6,FALSE))=0,"",VLOOKUP($B24,Database!$B$1:$IX$10144,6,FALSE))))</f>
        <v>http://dx.doi.org/10.1016/j.biopsych.2005.10.011</v>
      </c>
      <c r="H24" s="22">
        <f>IF($B24="","",IF(LEN(VLOOKUP($B24,Database!$B$1:$IX$10144,7,FALSE))=0,"",VLOOKUP($B24,Database!$B$1:$IX$10144,7,FALSE)))</f>
        <v>31</v>
      </c>
      <c r="I24" s="22">
        <f>IF($B24="","",IF(LEN(VLOOKUP($B24,Database!$B$1:$IX$10144,8,FALSE))=0,"",VLOOKUP($B24,Database!$B$1:$IX$10144,8,FALSE)))</f>
        <v>31</v>
      </c>
      <c r="J24" s="2" t="s">
        <v>1328</v>
      </c>
      <c r="L24">
        <v>2.41</v>
      </c>
      <c r="M24">
        <v>0.48</v>
      </c>
      <c r="N24">
        <v>3.02</v>
      </c>
      <c r="O24">
        <v>0.52</v>
      </c>
      <c r="P24">
        <v>2.52</v>
      </c>
      <c r="Q24">
        <v>0.43</v>
      </c>
      <c r="R24">
        <v>2.85</v>
      </c>
      <c r="S24">
        <v>0.53</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36.700000000000003</v>
      </c>
      <c r="AE24" s="22">
        <f>IF(OR($B24="",AE$22=""),"",IF(LEN(VLOOKUP($B24,Database!$B$1:$IX$10144,AE$22,FALSE))=0,"",VLOOKUP($B24,Database!$B$1:$IX$10144,AE$22,FALSE)))</f>
        <v>10.7</v>
      </c>
      <c r="AF24" s="22">
        <f>IF(OR($B24="",AF$22=""),"",IF(LEN(VLOOKUP($B24,Database!$B$1:$IX$10144,AF$22,FALSE))=0,"",VLOOKUP($B24,Database!$B$1:$IX$10144,AF$22,FALSE)))</f>
        <v>24</v>
      </c>
      <c r="AG24" s="22">
        <f>IF(OR($B24="",AG$22=""),"",IF(LEN(VLOOKUP($B24,Database!$B$1:$IX$10144,AG$22,FALSE))=0,"",VLOOKUP($B24,Database!$B$1:$IX$10144,AG$22,FALSE)))</f>
        <v>24</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27.9</v>
      </c>
      <c r="AL24" s="22">
        <f>IF(OR($B24="",AL$22=""),"",IF(LEN(VLOOKUP($B24,Database!$B$1:$IX$10144,AL$22,FALSE))=0,"",VLOOKUP($B24,Database!$B$1:$IX$10144,AL$22,FALSE)))</f>
        <v>11.8</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Caetano SC, Kaur S, Brambilla P, Nicoletti M, Hatch JP, Sassi RB, Mallinger AG, Keshavan MS, Kupfer DJ, Frank E, Soares JC.</v>
      </c>
      <c r="AR24" s="13"/>
      <c r="AX24" s="13"/>
      <c r="AY24" s="13"/>
      <c r="AZ24" s="13"/>
      <c r="BA24" s="13"/>
      <c r="BC24" s="23"/>
      <c r="BF24" s="136"/>
      <c r="BG24" s="136"/>
      <c r="BH24" s="136"/>
      <c r="BI24" s="136"/>
    </row>
    <row r="25" spans="1:65">
      <c r="B25">
        <v>17463189</v>
      </c>
      <c r="C25" s="1" t="str">
        <f>IF($B25="","",HYPERLINK(IF(LEN(VLOOKUP($B25,Database!$B$1:$IX$10144,2,FALSE))=0,"",VLOOKUP($B25,Database!$B$1:$IX$10144,2,FALSE))))</f>
        <v/>
      </c>
      <c r="D25" s="1" t="str">
        <f>IF($B25="","",HYPERLINK(CONCATENATE("http://www.ncbi.nlm.nih.gov/pubmed/",B25)))</f>
        <v>http://www.ncbi.nlm.nih.gov/pubmed/17463189</v>
      </c>
      <c r="E25" s="22" t="str">
        <f>IF($B25="","",IF(LEN(VLOOKUP($B25,Database!$B$1:$IX$10144,4,FALSE))=0,"",VLOOKUP($B25,Database!$B$1:$IX$10144,4,FALSE)))</f>
        <v>Lavretsky H</v>
      </c>
      <c r="F25" s="22">
        <f>IF($B25="","",IF(LEN(VLOOKUP($B25,Database!$B$1:$IX$10144,5,FALSE))=0,"",VLOOKUP($B25,Database!$B$1:$IX$10144,5,FALSE)))</f>
        <v>2007</v>
      </c>
      <c r="G25" s="1" t="str">
        <f>IF($B25="","",HYPERLINK(IF(LEN(VLOOKUP($B25,Database!$B$1:$IX$10144,6,FALSE))=0,"",VLOOKUP($B25,Database!$B$1:$IX$10144,6,FALSE))))</f>
        <v>http://dx.doi.org/10.1097/JGP.0b013e3180325a16</v>
      </c>
      <c r="H25" s="22">
        <f>IF($B25="","",IF(LEN(VLOOKUP($B25,Database!$B$1:$IX$10144,7,FALSE))=0,"",VLOOKUP($B25,Database!$B$1:$IX$10144,7,FALSE)))</f>
        <v>43</v>
      </c>
      <c r="I25" s="22">
        <f>IF($B25="","",IF(LEN(VLOOKUP($B25,Database!$B$1:$IX$10144,8,FALSE))=0,"",VLOOKUP($B25,Database!$B$1:$IX$10144,8,FALSE)))</f>
        <v>41</v>
      </c>
      <c r="J25" t="s">
        <v>1541</v>
      </c>
      <c r="L25">
        <v>4.4000000000000003E-3</v>
      </c>
      <c r="M25">
        <v>1.6000000000000001E-3</v>
      </c>
      <c r="N25">
        <v>4.3E-3</v>
      </c>
      <c r="O25">
        <v>1E-3</v>
      </c>
      <c r="P25">
        <v>4.3E-3</v>
      </c>
      <c r="Q25">
        <v>1.4E-3</v>
      </c>
      <c r="R25">
        <v>4.4000000000000003E-3</v>
      </c>
      <c r="S25">
        <v>6.9999999999999999E-4</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70.67</v>
      </c>
      <c r="AC25" s="22">
        <f>IF(OR($B25="",AC$22=""),"",IF(LEN(VLOOKUP($B25,Database!$B$1:$IX$10144,AC$22,FALSE))=0,"",VLOOKUP($B25,Database!$B$1:$IX$10144,AC$22,FALSE)))</f>
        <v>7.76</v>
      </c>
      <c r="AD25" s="22">
        <f>IF(OR($B25="",AD$22=""),"",IF(LEN(VLOOKUP($B25,Database!$B$1:$IX$10144,AD$22,FALSE))=0,"",VLOOKUP($B25,Database!$B$1:$IX$10144,AD$22,FALSE)))</f>
        <v>72.19</v>
      </c>
      <c r="AE25" s="22">
        <f>IF(OR($B25="",AE$22=""),"",IF(LEN(VLOOKUP($B25,Database!$B$1:$IX$10144,AE$22,FALSE))=0,"",VLOOKUP($B25,Database!$B$1:$IX$10144,AE$22,FALSE)))</f>
        <v>7.27</v>
      </c>
      <c r="AF25" s="22">
        <f>IF(OR($B25="",AF$22=""),"",IF(LEN(VLOOKUP($B25,Database!$B$1:$IX$10144,AF$22,FALSE))=0,"",VLOOKUP($B25,Database!$B$1:$IX$10144,AF$22,FALSE)))</f>
        <v>33</v>
      </c>
      <c r="AG25" s="22">
        <f>IF(OR($B25="",AG$22=""),"",IF(LEN(VLOOKUP($B25,Database!$B$1:$IX$10144,AG$22,FALSE))=0,"",VLOOKUP($B25,Database!$B$1:$IX$10144,AG$22,FALSE)))</f>
        <v>20</v>
      </c>
      <c r="AH25" s="22">
        <f>IF(OR($B25="",AH$22=""),"",IF(LEN(VLOOKUP($B25,Database!$B$1:$IX$10144,AH$22,FALSE))=0,"",VLOOKUP($B25,Database!$B$1:$IX$10144,AH$22,FALSE)))</f>
        <v>1.5</v>
      </c>
      <c r="AI25" s="22">
        <f>IF(OR($B25="",AI$22=""),"",IF(LEN(VLOOKUP($B25,Database!$B$1:$IX$10144,AI$22,FALSE))=0,"",VLOOKUP($B25,Database!$B$1:$IX$10144,AI$22,FALSE)))</f>
        <v>1.4</v>
      </c>
      <c r="AJ25" s="22" t="str">
        <f>IF(OR($B25="",AJ$22=""),"",IF(LEN(VLOOKUP($B25,Database!$B$1:$IX$10144,AJ$22,FALSE))=0,"",VLOOKUP($B25,Database!$B$1:$IX$10144,AJ$22,FALSE)))</f>
        <v/>
      </c>
      <c r="AK25" s="22">
        <f>IF(OR($B25="",AK$22=""),"",IF(LEN(VLOOKUP($B25,Database!$B$1:$IX$10144,AK$22,FALSE))=0,"",VLOOKUP($B25,Database!$B$1:$IX$10144,AK$22,FALSE)))</f>
        <v>49.6</v>
      </c>
      <c r="AL25" s="22">
        <f>IF(OR($B25="",AL$22=""),"",IF(LEN(VLOOKUP($B25,Database!$B$1:$IX$10144,AL$22,FALSE))=0,"",VLOOKUP($B25,Database!$B$1:$IX$10144,AL$22,FALSE)))</f>
        <v>17.7</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Lavretsky H, Ballmaier M, Pham D, Toga A, Kumar A.</v>
      </c>
      <c r="AR25" s="13"/>
      <c r="AX25" s="13"/>
      <c r="AY25" s="13"/>
      <c r="AZ25" s="13"/>
      <c r="BA25" s="13"/>
      <c r="BC25" s="23"/>
      <c r="BF25" s="136"/>
      <c r="BG25" s="136"/>
      <c r="BH25" s="136"/>
      <c r="BI25" s="136"/>
    </row>
    <row r="26" spans="1:65">
      <c r="B26">
        <v>18406580</v>
      </c>
      <c r="C26" s="1" t="str">
        <f>IF($B26="","",HYPERLINK(IF(LEN(VLOOKUP($B26,Database!$B$1:$IX$10144,2,FALSE))=0,"",VLOOKUP($B26,Database!$B$1:$IX$10144,2,FALSE))))</f>
        <v/>
      </c>
      <c r="D26" s="1" t="str">
        <f>IF($B26="","",HYPERLINK(CONCATENATE("http://www.ncbi.nlm.nih.gov/pubmed/",B26)))</f>
        <v>http://www.ncbi.nlm.nih.gov/pubmed/18406580</v>
      </c>
      <c r="E26" s="22" t="str">
        <f>IF($B26="","",IF(LEN(VLOOKUP($B26,Database!$B$1:$IX$10144,4,FALSE))=0,"",VLOOKUP($B26,Database!$B$1:$IX$10144,4,FALSE)))</f>
        <v>Frodl T (A)</v>
      </c>
      <c r="F26" s="22">
        <f>IF($B26="","",IF(LEN(VLOOKUP($B26,Database!$B$1:$IX$10144,5,FALSE))=0,"",VLOOKUP($B26,Database!$B$1:$IX$10144,5,FALSE)))</f>
        <v>2008</v>
      </c>
      <c r="G26" s="1" t="str">
        <f>IF($B26="","",HYPERLINK(IF(LEN(VLOOKUP($B26,Database!$B$1:$IX$10144,6,FALSE))=0,"",VLOOKUP($B26,Database!$B$1:$IX$10144,6,FALSE))))</f>
        <v>http://dx.doi.org/10.1016/j.pscychresns.2007.04.012</v>
      </c>
      <c r="H26" s="22">
        <f>IF($B26="","",IF(LEN(VLOOKUP($B26,Database!$B$1:$IX$10144,7,FALSE))=0,"",VLOOKUP($B26,Database!$B$1:$IX$10144,7,FALSE)))</f>
        <v>78</v>
      </c>
      <c r="I26" s="22">
        <f>IF($B26="","",IF(LEN(VLOOKUP($B26,Database!$B$1:$IX$10144,8,FALSE))=0,"",VLOOKUP($B26,Database!$B$1:$IX$10144,8,FALSE)))</f>
        <v>78</v>
      </c>
      <c r="J26" s="2" t="s">
        <v>1427</v>
      </c>
      <c r="L26">
        <v>6.65</v>
      </c>
      <c r="M26">
        <v>1.42</v>
      </c>
      <c r="N26">
        <v>6.06</v>
      </c>
      <c r="O26">
        <v>1.78</v>
      </c>
      <c r="P26">
        <v>6.57</v>
      </c>
      <c r="Q26">
        <v>1.61</v>
      </c>
      <c r="R26">
        <v>6.81</v>
      </c>
      <c r="S26">
        <v>1.56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44.7</v>
      </c>
      <c r="AC26" s="22">
        <f>IF(OR($B26="",AC$22=""),"",IF(LEN(VLOOKUP($B26,Database!$B$1:$IX$10144,AC$22,FALSE))=0,"",VLOOKUP($B26,Database!$B$1:$IX$10144,AC$22,FALSE)))</f>
        <v>12.2</v>
      </c>
      <c r="AD26" s="22">
        <f>IF(OR($B26="",AD$22=""),"",IF(LEN(VLOOKUP($B26,Database!$B$1:$IX$10144,AD$22,FALSE))=0,"",VLOOKUP($B26,Database!$B$1:$IX$10144,AD$22,FALSE)))</f>
        <v>44.1</v>
      </c>
      <c r="AE26" s="22">
        <f>IF(OR($B26="",AE$22=""),"",IF(LEN(VLOOKUP($B26,Database!$B$1:$IX$10144,AE$22,FALSE))=0,"",VLOOKUP($B26,Database!$B$1:$IX$10144,AE$22,FALSE)))</f>
        <v>11.6</v>
      </c>
      <c r="AF26" s="22">
        <f>IF(OR($B26="",AF$22=""),"",IF(LEN(VLOOKUP($B26,Database!$B$1:$IX$10144,AF$22,FALSE))=0,"",VLOOKUP($B26,Database!$B$1:$IX$10144,AF$22,FALSE)))</f>
        <v>40</v>
      </c>
      <c r="AG26" s="22">
        <f>IF(OR($B26="",AG$22=""),"",IF(LEN(VLOOKUP($B26,Database!$B$1:$IX$10144,AG$22,FALSE))=0,"",VLOOKUP($B26,Database!$B$1:$IX$10144,AG$22,FALSE)))</f>
        <v>40</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39.6</v>
      </c>
      <c r="AL26" s="22">
        <f>IF(OR($B26="",AL$22=""),"",IF(LEN(VLOOKUP($B26,Database!$B$1:$IX$10144,AL$22,FALSE))=0,"",VLOOKUP($B26,Database!$B$1:$IX$10144,AL$22,FALSE)))</f>
        <v>23.5</v>
      </c>
      <c r="AM26" s="22" t="str">
        <f>IF(OR($B26="",AM$22=""),"",IF(LEN(VLOOKUP($B26,Database!$B$1:$IX$10144,AM$22,FALSE))=0,"",VLOOKUP($B26,Database!$B$1:$IX$10144,AM$22,FALSE)))</f>
        <v>ns</v>
      </c>
      <c r="AN26" s="22">
        <f>IF(OR($B26="",AN$22=""),"",IF(LEN(VLOOKUP($B26,Database!$B$1:$IX$10144,AN$22,FALSE))=0,"",VLOOKUP($B26,Database!$B$1:$IX$10144,AN$22,FALSE)))</f>
        <v>11.538461538461538</v>
      </c>
      <c r="AO26" s="22">
        <f>IF(OR($B26="",AO$22=""),"",IF(LEN(VLOOKUP($B26,Database!$B$1:$IX$10144,AO$22,FALSE))=0,"",VLOOKUP($B26,Database!$B$1:$IX$10144,AO$22,FALSE)))</f>
        <v>10.256410256410255</v>
      </c>
      <c r="AP26" s="22">
        <f>IF(OR($B26="",AP$22=""),"",IF(LEN(VLOOKUP($B26,Database!$B$1:$IX$10144,AP$22,FALSE))=0,"",VLOOKUP($B26,Database!$B$1:$IX$10144,AP$22,FALSE)))</f>
        <v>10.256410256410255</v>
      </c>
      <c r="AQ26" s="22" t="str">
        <f>IF(OR($B26="",AQ$22=""),"",IF(LEN(VLOOKUP($B26,Database!$B$1:$IX$10144,AQ$22,FALSE))=0,"",VLOOKUP($B26,Database!$B$1:$IX$10144,AQ$22,FALSE)))</f>
        <v>Frodl T, Jäger M, Born C, Ritter S, Kraft E, Zetzsche T, Bottlender R, Leinsinger G, Reiser M, Möller HJ, Meisenzahl E.</v>
      </c>
      <c r="AR26" s="13"/>
      <c r="AX26" s="13"/>
      <c r="AY26" s="13"/>
      <c r="AZ26" s="13"/>
      <c r="BA26" s="13"/>
      <c r="BC26" s="23"/>
      <c r="BF26" s="136"/>
      <c r="BG26" s="136"/>
      <c r="BH26" s="136"/>
      <c r="BI26" s="136"/>
    </row>
    <row r="27" spans="1:65">
      <c r="B27">
        <v>20018381</v>
      </c>
      <c r="C27" s="1" t="str">
        <f>IF($B27="","",HYPERLINK(IF(LEN(VLOOKUP($B27,Database!$B$1:$IX$10144,2,FALSE))=0,"",VLOOKUP($B27,Database!$B$1:$IX$10144,2,FALSE))))</f>
        <v/>
      </c>
      <c r="D27" s="1" t="str">
        <f>IF($B27="","",HYPERLINK(CONCATENATE("http://www.ncbi.nlm.nih.gov/pubmed/",B27)))</f>
        <v>http://www.ncbi.nlm.nih.gov/pubmed/20018381</v>
      </c>
      <c r="E27" s="22" t="str">
        <f>IF($B27="","",IF(LEN(VLOOKUP($B27,Database!$B$1:$IX$10144,4,FALSE))=0,"",VLOOKUP($B27,Database!$B$1:$IX$10144,4,FALSE)))</f>
        <v>Weber K</v>
      </c>
      <c r="F27" s="22">
        <f>IF($B27="","",IF(LEN(VLOOKUP($B27,Database!$B$1:$IX$10144,5,FALSE))=0,"",VLOOKUP($B27,Database!$B$1:$IX$10144,5,FALSE)))</f>
        <v>2009</v>
      </c>
      <c r="G27" s="1" t="str">
        <f>IF($B27="","",HYPERLINK(IF(LEN(VLOOKUP($B27,Database!$B$1:$IX$10144,6,FALSE))=0,"",VLOOKUP($B27,Database!$B$1:$IX$10144,6,FALSE))))</f>
        <v>http://dx.doi.org/10.1016/j.jad.2009.11.016</v>
      </c>
      <c r="H27" s="22">
        <f>IF($B27="","",IF(LEN(VLOOKUP($B27,Database!$B$1:$IX$10144,7,FALSE))=0,"",VLOOKUP($B27,Database!$B$1:$IX$10144,7,FALSE)))</f>
        <v>38</v>
      </c>
      <c r="I27" s="22">
        <f>IF($B27="","",IF(LEN(VLOOKUP($B27,Database!$B$1:$IX$10144,8,FALSE))=0,"",VLOOKUP($B27,Database!$B$1:$IX$10144,8,FALSE)))</f>
        <v>62</v>
      </c>
      <c r="J27" t="s">
        <v>190</v>
      </c>
      <c r="L27">
        <v>1.37</v>
      </c>
      <c r="M27">
        <v>0.33</v>
      </c>
      <c r="N27">
        <v>1.26</v>
      </c>
      <c r="O27">
        <v>0.37</v>
      </c>
      <c r="P27">
        <v>1.39</v>
      </c>
      <c r="Q27">
        <v>0.39</v>
      </c>
      <c r="R27">
        <v>1.37</v>
      </c>
      <c r="S27">
        <v>0.41</v>
      </c>
      <c r="T27">
        <v>2.72</v>
      </c>
      <c r="U27">
        <v>0.62</v>
      </c>
      <c r="V27">
        <v>2.63</v>
      </c>
      <c r="W27">
        <v>0.63</v>
      </c>
      <c r="X27" s="2"/>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66.11</v>
      </c>
      <c r="AC27" s="22">
        <f>IF(OR($B27="",AC$22=""),"",IF(LEN(VLOOKUP($B27,Database!$B$1:$IX$10144,AC$22,FALSE))=0,"",VLOOKUP($B27,Database!$B$1:$IX$10144,AC$22,FALSE)))</f>
        <v>6.22</v>
      </c>
      <c r="AD27" s="22">
        <f>IF(OR($B27="",AD$22=""),"",IF(LEN(VLOOKUP($B27,Database!$B$1:$IX$10144,AD$22,FALSE))=0,"",VLOOKUP($B27,Database!$B$1:$IX$10144,AD$22,FALSE)))</f>
        <v>71.099999999999994</v>
      </c>
      <c r="AE27" s="22">
        <f>IF(OR($B27="",AE$22=""),"",IF(LEN(VLOOKUP($B27,Database!$B$1:$IX$10144,AE$22,FALSE))=0,"",VLOOKUP($B27,Database!$B$1:$IX$10144,AE$22,FALSE)))</f>
        <v>7.26</v>
      </c>
      <c r="AF27" s="22">
        <f>IF(OR($B27="",AF$22=""),"",IF(LEN(VLOOKUP($B27,Database!$B$1:$IX$10144,AF$22,FALSE))=0,"",VLOOKUP($B27,Database!$B$1:$IX$10144,AF$22,FALSE)))</f>
        <v>31</v>
      </c>
      <c r="AG27" s="22">
        <f>IF(OR($B27="",AG$22=""),"",IF(LEN(VLOOKUP($B27,Database!$B$1:$IX$10144,AG$22,FALSE))=0,"",VLOOKUP($B27,Database!$B$1:$IX$10144,AG$22,FALSE)))</f>
        <v>48</v>
      </c>
      <c r="AH27" s="22">
        <f>IF(OR($B27="",AH$22=""),"",IF(LEN(VLOOKUP($B27,Database!$B$1:$IX$10144,AH$22,FALSE))=0,"",VLOOKUP($B27,Database!$B$1:$IX$10144,AH$22,FALSE)))</f>
        <v>3</v>
      </c>
      <c r="AI27" s="22">
        <f>IF(OR($B27="",AI$22=""),"",IF(LEN(VLOOKUP($B27,Database!$B$1:$IX$10144,AI$22,FALSE))=0,"",VLOOKUP($B27,Database!$B$1:$IX$10144,AI$22,FALSE)))</f>
        <v>0.9</v>
      </c>
      <c r="AJ27" s="22" t="str">
        <f>IF(OR($B27="",AJ$22=""),"",IF(LEN(VLOOKUP($B27,Database!$B$1:$IX$10144,AJ$22,FALSE))=0,"",VLOOKUP($B27,Database!$B$1:$IX$10144,AJ$22,FALSE)))</f>
        <v/>
      </c>
      <c r="AK27" s="22">
        <f>IF(OR($B27="",AK$22=""),"",IF(LEN(VLOOKUP($B27,Database!$B$1:$IX$10144,AK$22,FALSE))=0,"",VLOOKUP($B27,Database!$B$1:$IX$10144,AK$22,FALSE)))</f>
        <v>37.76</v>
      </c>
      <c r="AL27" s="22" t="str">
        <f>IF(OR($B27="",AL$22=""),"",IF(LEN(VLOOKUP($B27,Database!$B$1:$IX$10144,AL$22,FALSE))=0,"",VLOOKUP($B27,Database!$B$1:$IX$10144,AL$22,FALSE)))</f>
        <v>ns</v>
      </c>
      <c r="AM27" s="22">
        <f>IF(OR($B27="",AM$22=""),"",IF(LEN(VLOOKUP($B27,Database!$B$1:$IX$10144,AM$22,FALSE))=0,"",VLOOKUP($B27,Database!$B$1:$IX$10144,AM$22,FALSE)))</f>
        <v>47.368421052631575</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Weber K, Giannakopoulos P, Delaloye C, de Bilbao F, Moy G, Moussa A, Rubio MM, Ebbing K, Meuli R, Lazeyras F, Meiler-Mititelu C, Herrmann FR, Gold G, Canuto A.</v>
      </c>
      <c r="AR27" s="13"/>
      <c r="AX27" s="13"/>
      <c r="AY27" s="13"/>
      <c r="AZ27" s="13"/>
      <c r="BA27" s="13"/>
      <c r="BC27" s="23"/>
      <c r="BF27" s="136"/>
      <c r="BG27" s="136"/>
      <c r="BH27" s="136"/>
      <c r="BI27" s="136"/>
    </row>
    <row r="28" spans="1:65">
      <c r="C28" s="1" t="str">
        <f>IF($B28="","",HYPERLINK(IF(LEN(VLOOKUP($B28,Database!$B$1:$IX$10144,2,FALSE))=0,"",VLOOKUP($B28,Database!$B$1:$IX$10144,2,FALSE))))</f>
        <v/>
      </c>
      <c r="D28" s="1" t="str">
        <f>IF($B28="","",HYPERLINK(CONCATENATE("http://www.ncbi.nlm.nih.gov/pubmed/",B28)))</f>
        <v/>
      </c>
      <c r="E28" s="22" t="str">
        <f>IF($B28="","",IF(LEN(VLOOKUP($B28,Database!$B$1:$IX$10144,4,FALSE))=0,"",VLOOKUP($B28,Database!$B$1:$IX$10144,4,FALSE)))</f>
        <v/>
      </c>
      <c r="F28" s="22" t="str">
        <f>IF($B28="","",IF(LEN(VLOOKUP($B28,Database!$B$1:$IX$10144,5,FALSE))=0,"",VLOOKUP($B28,Database!$B$1:$IX$10144,5,FALSE)))</f>
        <v/>
      </c>
      <c r="G28" s="1" t="str">
        <f>IF($B28="","",HYPERLINK(IF(LEN(VLOOKUP($B28,Database!$B$1:$IX$10144,6,FALSE))=0,"",VLOOKUP($B28,Database!$B$1:$IX$10144,6,FALSE))))</f>
        <v/>
      </c>
      <c r="H28" s="22" t="str">
        <f>IF($B28="","",IF(LEN(VLOOKUP($B28,Database!$B$1:$IX$10144,7,FALSE))=0,"",VLOOKUP($B28,Database!$B$1:$IX$10144,7,FALSE)))</f>
        <v/>
      </c>
      <c r="I28" s="22" t="str">
        <f>IF($B28="","",IF(LEN(VLOOKUP($B28,Database!$B$1:$IX$10144,8,FALSE))=0,"",VLOOKUP($B28,Database!$B$1:$IX$10144,8,FALSE)))</f>
        <v/>
      </c>
      <c r="Y28" s="22" t="str">
        <f>IF(OR($B28="",Y$22=""),"",IF(LEN(VLOOKUP($B28,Database!$B$1:$IX$10144,Y$22,FALSE))=0,"",VLOOKUP($B28,Database!$B$1:$IX$10144,Y$22,FALSE)))</f>
        <v/>
      </c>
      <c r="Z28" s="22" t="str">
        <f>IF(OR($B28="",Z$22=""),"",IF(LEN(VLOOKUP($B28,Database!$B$1:$IX$10144,Z$22,FALSE))=0,"",VLOOKUP($B28,Database!$B$1:$IX$10144,Z$22,FALSE)))</f>
        <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t="str">
        <f>IF(OR($B28="",AF$22=""),"",IF(LEN(VLOOKUP($B28,Database!$B$1:$IX$10144,AF$22,FALSE))=0,"",VLOOKUP($B28,Database!$B$1:$IX$10144,AF$22,FALSE)))</f>
        <v/>
      </c>
      <c r="AG28" s="22" t="str">
        <f>IF(OR($B28="",AG$22=""),"",IF(LEN(VLOOKUP($B28,Database!$B$1:$IX$10144,AG$22,FALSE))=0,"",VLOOKUP($B28,Database!$B$1:$IX$10144,AG$22,FALSE)))</f>
        <v/>
      </c>
      <c r="AH28" s="22" t="str">
        <f>IF(OR($B28="",AH$22=""),"",IF(LEN(VLOOKUP($B28,Database!$B$1:$IX$10144,AH$22,FALSE))=0,"",VLOOKUP($B28,Database!$B$1:$IX$10144,AH$22,FALSE)))</f>
        <v/>
      </c>
      <c r="AI28" s="22" t="str">
        <f>IF(OR($B28="",AI$22=""),"",IF(LEN(VLOOKUP($B28,Database!$B$1:$IX$10144,AI$22,FALSE))=0,"",VLOOKUP($B28,Database!$B$1:$IX$10144,AI$22,FALSE)))</f>
        <v/>
      </c>
      <c r="AJ28" s="22" t="str">
        <f>IF(OR($B28="",AJ$22=""),"",IF(LEN(VLOOKUP($B28,Database!$B$1:$IX$10144,AJ$22,FALSE))=0,"",VLOOKUP($B28,Database!$B$1:$IX$10144,AJ$22,FALSE)))</f>
        <v/>
      </c>
      <c r="AK28" s="22" t="str">
        <f>IF(OR($B28="",AK$22=""),"",IF(LEN(VLOOKUP($B28,Database!$B$1:$IX$10144,AK$22,FALSE))=0,"",VLOOKUP($B28,Database!$B$1:$IX$10144,AK$22,FALSE)))</f>
        <v/>
      </c>
      <c r="AL28" s="22" t="str">
        <f>IF(OR($B28="",AL$22=""),"",IF(LEN(VLOOKUP($B28,Database!$B$1:$IX$10144,AL$22,FALSE))=0,"",VLOOKUP($B28,Database!$B$1:$IX$10144,AL$22,FALSE)))</f>
        <v/>
      </c>
      <c r="AM28" s="22" t="str">
        <f>IF(OR($B28="",AM$22=""),"",IF(LEN(VLOOKUP($B28,Database!$B$1:$IX$10144,AM$22,FALSE))=0,"",VLOOKUP($B28,Database!$B$1:$IX$10144,AM$22,FALSE)))</f>
        <v/>
      </c>
      <c r="AN28" s="22" t="str">
        <f>IF(OR($B28="",AN$22=""),"",IF(LEN(VLOOKUP($B28,Database!$B$1:$IX$10144,AN$22,FALSE))=0,"",VLOOKUP($B28,Database!$B$1:$IX$10144,AN$22,FALSE)))</f>
        <v/>
      </c>
      <c r="AO28" s="22" t="str">
        <f>IF(OR($B28="",AO$22=""),"",IF(LEN(VLOOKUP($B28,Database!$B$1:$IX$10144,AO$22,FALSE))=0,"",VLOOKUP($B28,Database!$B$1:$IX$10144,AO$22,FALSE)))</f>
        <v/>
      </c>
      <c r="AP28" s="22" t="str">
        <f>IF(OR($B28="",AP$22=""),"",IF(LEN(VLOOKUP($B28,Database!$B$1:$IX$10144,AP$22,FALSE))=0,"",VLOOKUP($B28,Database!$B$1:$IX$10144,AP$22,FALSE)))</f>
        <v/>
      </c>
      <c r="AQ28" s="22" t="str">
        <f>IF(OR($B28="",AQ$22=""),"",IF(LEN(VLOOKUP($B28,Database!$B$1:$IX$10144,AQ$22,FALSE))=0,"",VLOOKUP($B28,Database!$B$1:$IX$10144,AQ$22,FALSE)))</f>
        <v/>
      </c>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A30" s="10" t="s">
        <v>260</v>
      </c>
      <c r="B30">
        <v>14702257</v>
      </c>
      <c r="C30" s="1" t="str">
        <f>IF($B30="","",HYPERLINK(IF(LEN(VLOOKUP($B30,Database!$B$1:$IX$10144,2,FALSE))=0,"",VLOOKUP($B30,Database!$B$1:$IX$10144,2,FALSE))))</f>
        <v/>
      </c>
      <c r="D30" s="1" t="str">
        <f>IF($B30="","",HYPERLINK(CONCATENATE("http://www.ncbi.nlm.nih.gov/pubmed/",B30)))</f>
        <v>http://www.ncbi.nlm.nih.gov/pubmed/14702257</v>
      </c>
      <c r="E30" s="22" t="str">
        <f>IF($B30="","",IF(LEN(VLOOKUP($B30,Database!$B$1:$IX$10144,4,FALSE))=0,"",VLOOKUP($B30,Database!$B$1:$IX$10144,4,FALSE)))</f>
        <v>Ballmaier M (A)</v>
      </c>
      <c r="F30" s="22">
        <f>IF($B30="","",IF(LEN(VLOOKUP($B30,Database!$B$1:$IX$10144,5,FALSE))=0,"",VLOOKUP($B30,Database!$B$1:$IX$10144,5,FALSE)))</f>
        <v>2004</v>
      </c>
      <c r="G30" s="1" t="str">
        <f>IF($B30="","",HYPERLINK(IF(LEN(VLOOKUP($B30,Database!$B$1:$IX$10144,6,FALSE))=0,"",VLOOKUP($B30,Database!$B$1:$IX$10144,6,FALSE))))</f>
        <v>http://ajp.psychiatryonline.org/cgi/reprint/161/1/99</v>
      </c>
      <c r="H30" s="22">
        <f>IF($B30="","",IF(LEN(VLOOKUP($B30,Database!$B$1:$IX$10144,7,FALSE))=0,"",VLOOKUP($B30,Database!$B$1:$IX$10144,7,FALSE)))</f>
        <v>24</v>
      </c>
      <c r="I30" s="22">
        <f>IF($B30="","",IF(LEN(VLOOKUP($B30,Database!$B$1:$IX$10144,8,FALSE))=0,"",VLOOKUP($B30,Database!$B$1:$IX$10144,8,FALSE)))</f>
        <v>19</v>
      </c>
      <c r="J30" t="s">
        <v>922</v>
      </c>
      <c r="L30">
        <v>4391</v>
      </c>
      <c r="M30">
        <v>1064</v>
      </c>
      <c r="N30">
        <v>5472</v>
      </c>
      <c r="O30">
        <v>896</v>
      </c>
      <c r="P30">
        <v>4433</v>
      </c>
      <c r="Q30">
        <v>1195</v>
      </c>
      <c r="R30">
        <v>5676</v>
      </c>
      <c r="S30">
        <v>1003</v>
      </c>
      <c r="X30" s="7"/>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65.849999999999994</v>
      </c>
      <c r="AC30" s="22">
        <f>IF(OR($B30="",AC$22=""),"",IF(LEN(VLOOKUP($B30,Database!$B$1:$IX$10144,AC$22,FALSE))=0,"",VLOOKUP($B30,Database!$B$1:$IX$10144,AC$22,FALSE)))</f>
        <v>8.18</v>
      </c>
      <c r="AD30" s="22">
        <f>IF(OR($B30="",AD$22=""),"",IF(LEN(VLOOKUP($B30,Database!$B$1:$IX$10144,AD$22,FALSE))=0,"",VLOOKUP($B30,Database!$B$1:$IX$10144,AD$22,FALSE)))</f>
        <v>66.239999999999995</v>
      </c>
      <c r="AE30" s="22">
        <f>IF(OR($B30="",AE$22=""),"",IF(LEN(VLOOKUP($B30,Database!$B$1:$IX$10144,AE$22,FALSE))=0,"",VLOOKUP($B30,Database!$B$1:$IX$10144,AE$22,FALSE)))</f>
        <v>7.25</v>
      </c>
      <c r="AF30" s="22">
        <f>IF(OR($B30="",AF$22=""),"",IF(LEN(VLOOKUP($B30,Database!$B$1:$IX$10144,AF$22,FALSE))=0,"",VLOOKUP($B30,Database!$B$1:$IX$10144,AF$22,FALSE)))</f>
        <v>18</v>
      </c>
      <c r="AG30" s="22">
        <f>IF(OR($B30="",AG$22=""),"",IF(LEN(VLOOKUP($B30,Database!$B$1:$IX$10144,AG$22,FALSE))=0,"",VLOOKUP($B30,Database!$B$1:$IX$10144,AG$22,FALSE)))</f>
        <v>15</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2">
        <f>IF(OR($B30="",AK$22=""),"",IF(LEN(VLOOKUP($B30,Database!$B$1:$IX$10144,AK$22,FALSE))=0,"",VLOOKUP($B30,Database!$B$1:$IX$10144,AK$22,FALSE)))</f>
        <v>35</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11" t="str">
        <f>IF(OR($B30="",AQ$22=""),"",IF(LEN(VLOOKUP($B30,Database!$B$1:$IX$10144,AQ$22,FALSE))=0,"",VLOOKUP($B30,Database!$B$1:$IX$10144,AQ$22,FALSE)))</f>
        <v>Ballmaier M, Toga AW, Blanton RE, Sowell ER, Lavretsky H, Peterson J, Pham D, Kumar A.</v>
      </c>
    </row>
    <row r="31" spans="1:65">
      <c r="A31" s="10" t="s">
        <v>2338</v>
      </c>
      <c r="B31">
        <v>17389903</v>
      </c>
      <c r="C31" s="1" t="str">
        <f>IF($B31="","",HYPERLINK(IF(LEN(VLOOKUP($B31,Database!$B$1:$IX$10144,2,FALSE))=0,"",VLOOKUP($B31,Database!$B$1:$IX$10144,2,FALSE))))</f>
        <v/>
      </c>
      <c r="D31" s="1" t="str">
        <f>IF($B31="","",HYPERLINK(CONCATENATE("http://www.ncbi.nlm.nih.gov/pubmed/",B31)))</f>
        <v>http://www.ncbi.nlm.nih.gov/pubmed/17389903</v>
      </c>
      <c r="E31" s="22" t="str">
        <f>IF($B31="","",IF(LEN(VLOOKUP($B31,Database!$B$1:$IX$10144,4,FALSE))=0,"",VLOOKUP($B31,Database!$B$1:$IX$10144,4,FALSE)))</f>
        <v>Monkul ES</v>
      </c>
      <c r="F31" s="22">
        <f>IF($B31="","",IF(LEN(VLOOKUP($B31,Database!$B$1:$IX$10144,5,FALSE))=0,"",VLOOKUP($B31,Database!$B$1:$IX$10144,5,FALSE)))</f>
        <v>2007</v>
      </c>
      <c r="G31" s="1" t="str">
        <f>IF($B31="","",HYPERLINK(IF(LEN(VLOOKUP($B31,Database!$B$1:$IX$10144,6,FALSE))=0,"",VLOOKUP($B31,Database!$B$1:$IX$10144,6,FALSE))))</f>
        <v>http://www.nature.com/mp/journal/v12/n4/pdf/4001919a.pdf</v>
      </c>
      <c r="H31" s="83">
        <v>7</v>
      </c>
      <c r="I31" s="83">
        <v>8.5</v>
      </c>
      <c r="J31" t="s">
        <v>1370</v>
      </c>
      <c r="K31" t="s">
        <v>1157</v>
      </c>
      <c r="L31">
        <v>2.73</v>
      </c>
      <c r="M31">
        <v>0.48</v>
      </c>
      <c r="N31">
        <v>3.17</v>
      </c>
      <c r="O31">
        <v>0.52</v>
      </c>
      <c r="P31">
        <v>2.66</v>
      </c>
      <c r="Q31">
        <v>0.26</v>
      </c>
      <c r="R31">
        <v>3</v>
      </c>
      <c r="S31">
        <v>0.56000000000000005</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f>IF(OR($B31="",AD$22=""),"",IF(LEN(VLOOKUP($B31,Database!$B$1:$IX$10144,AD$22,FALSE))=0,"",VLOOKUP($B31,Database!$B$1:$IX$10144,AD$22,FALSE)))</f>
        <v>31.3</v>
      </c>
      <c r="AE31" s="22">
        <f>IF(OR($B31="",AE$22=""),"",IF(LEN(VLOOKUP($B31,Database!$B$1:$IX$10144,AE$22,FALSE))=0,"",VLOOKUP($B31,Database!$B$1:$IX$10144,AE$22,FALSE)))</f>
        <v>8.3000000000000007</v>
      </c>
      <c r="AF31" s="22">
        <f>IF(OR($B31="",AF$22=""),"",IF(LEN(VLOOKUP($B31,Database!$B$1:$IX$10144,AF$22,FALSE))=0,"",VLOOKUP($B31,Database!$B$1:$IX$10144,AF$22,FALSE)))</f>
        <v>17</v>
      </c>
      <c r="AG31" s="22">
        <f>IF(OR($B31="",AG$22=""),"",IF(LEN(VLOOKUP($B31,Database!$B$1:$IX$10144,AG$22,FALSE))=0,"",VLOOKUP($B31,Database!$B$1:$IX$10144,AG$22,FALSE)))</f>
        <v>17</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t="str">
        <f>IF(OR($B31="",AK$22=""),"",IF(LEN(VLOOKUP($B31,Database!$B$1:$IX$10144,AK$22,FALSE))=0,"",VLOOKUP($B31,Database!$B$1:$IX$10144,AK$22,FALSE)))</f>
        <v>split depending on group (suicidal=16, nonsuicidal=26.9)</v>
      </c>
      <c r="AL31" s="22" t="str">
        <f>IF(OR($B31="",AL$22=""),"",IF(LEN(VLOOKUP($B31,Database!$B$1:$IX$10144,AL$22,FALSE))=0,"",VLOOKUP($B31,Database!$B$1:$IX$10144,AL$22,FALSE)))</f>
        <v>split depending on group (suicidal =13.7, non-suicidal = 10.9)</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11" t="str">
        <f>IF(OR($B31="",AQ$22=""),"",IF(LEN(VLOOKUP($B31,Database!$B$1:$IX$10144,AQ$22,FALSE))=0,"",VLOOKUP($B31,Database!$B$1:$IX$10144,AQ$22,FALSE)))</f>
        <v>Monkul ES, Hatch JP, Nicoletti MA, Spence S, Brambilla P, Lacerda AL, Sassi RB, Mallinger AG, Keshavan MS, Soares JC.</v>
      </c>
    </row>
    <row r="32" spans="1:65">
      <c r="A32" s="10" t="s">
        <v>2338</v>
      </c>
      <c r="B32">
        <v>17389903</v>
      </c>
      <c r="C32" s="1" t="str">
        <f>IF($B32="","",HYPERLINK(IF(LEN(VLOOKUP($B32,Database!$B$1:$IX$10144,2,FALSE))=0,"",VLOOKUP($B32,Database!$B$1:$IX$10144,2,FALSE))))</f>
        <v/>
      </c>
      <c r="D32" s="1" t="str">
        <f>IF($B32="","",HYPERLINK(CONCATENATE("http://www.ncbi.nlm.nih.gov/pubmed/",B32)))</f>
        <v>http://www.ncbi.nlm.nih.gov/pubmed/17389903</v>
      </c>
      <c r="E32" s="22" t="str">
        <f>IF($B32="","",IF(LEN(VLOOKUP($B32,Database!$B$1:$IX$10144,4,FALSE))=0,"",VLOOKUP($B32,Database!$B$1:$IX$10144,4,FALSE)))</f>
        <v>Monkul ES</v>
      </c>
      <c r="F32" s="22">
        <f>IF($B32="","",IF(LEN(VLOOKUP($B32,Database!$B$1:$IX$10144,5,FALSE))=0,"",VLOOKUP($B32,Database!$B$1:$IX$10144,5,FALSE)))</f>
        <v>2007</v>
      </c>
      <c r="G32" s="1" t="str">
        <f>IF($B32="","",HYPERLINK(IF(LEN(VLOOKUP($B32,Database!$B$1:$IX$10144,6,FALSE))=0,"",VLOOKUP($B32,Database!$B$1:$IX$10144,6,FALSE))))</f>
        <v>http://www.nature.com/mp/journal/v12/n4/pdf/4001919a.pdf</v>
      </c>
      <c r="H32" s="83">
        <v>10</v>
      </c>
      <c r="I32" s="83">
        <v>8.5</v>
      </c>
      <c r="J32" t="s">
        <v>1370</v>
      </c>
      <c r="K32" t="s">
        <v>1158</v>
      </c>
      <c r="L32">
        <v>2.74</v>
      </c>
      <c r="M32">
        <v>0.62</v>
      </c>
      <c r="N32">
        <v>3.17</v>
      </c>
      <c r="O32">
        <v>0.52</v>
      </c>
      <c r="P32">
        <v>3.1</v>
      </c>
      <c r="Q32">
        <v>0.54</v>
      </c>
      <c r="R32">
        <v>3</v>
      </c>
      <c r="S32">
        <v>0.56000000000000005</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f>IF(OR($B32="",AD$22=""),"",IF(LEN(VLOOKUP($B32,Database!$B$1:$IX$10144,AD$22,FALSE))=0,"",VLOOKUP($B32,Database!$B$1:$IX$10144,AD$22,FALSE)))</f>
        <v>31.3</v>
      </c>
      <c r="AE32" s="22">
        <f>IF(OR($B32="",AE$22=""),"",IF(LEN(VLOOKUP($B32,Database!$B$1:$IX$10144,AE$22,FALSE))=0,"",VLOOKUP($B32,Database!$B$1:$IX$10144,AE$22,FALSE)))</f>
        <v>8.3000000000000007</v>
      </c>
      <c r="AF32" s="22">
        <f>IF(OR($B32="",AF$22=""),"",IF(LEN(VLOOKUP($B32,Database!$B$1:$IX$10144,AF$22,FALSE))=0,"",VLOOKUP($B32,Database!$B$1:$IX$10144,AF$22,FALSE)))</f>
        <v>17</v>
      </c>
      <c r="AG32" s="22">
        <f>IF(OR($B32="",AG$22=""),"",IF(LEN(VLOOKUP($B32,Database!$B$1:$IX$10144,AG$22,FALSE))=0,"",VLOOKUP($B32,Database!$B$1:$IX$10144,AG$22,FALSE)))</f>
        <v>17</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t="str">
        <f>IF(OR($B32="",AK$22=""),"",IF(LEN(VLOOKUP($B32,Database!$B$1:$IX$10144,AK$22,FALSE))=0,"",VLOOKUP($B32,Database!$B$1:$IX$10144,AK$22,FALSE)))</f>
        <v>split depending on group (suicidal=16, nonsuicidal=26.9)</v>
      </c>
      <c r="AL32" s="22" t="str">
        <f>IF(OR($B32="",AL$22=""),"",IF(LEN(VLOOKUP($B32,Database!$B$1:$IX$10144,AL$22,FALSE))=0,"",VLOOKUP($B32,Database!$B$1:$IX$10144,AL$22,FALSE)))</f>
        <v>split depending on group (suicidal =13.7, non-suicidal = 10.9)</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11" t="str">
        <f>IF(OR($B32="",AQ$22=""),"",IF(LEN(VLOOKUP($B32,Database!$B$1:$IX$10144,AQ$22,FALSE))=0,"",VLOOKUP($B32,Database!$B$1:$IX$10144,AQ$22,FALSE)))</f>
        <v>Monkul ES, Hatch JP, Nicoletti MA, Spence S, Brambilla P, Lacerda AL, Sassi RB, Mallinger AG, Keshavan MS, Soares JC.</v>
      </c>
    </row>
    <row r="33" spans="5:51">
      <c r="I33" s="22" t="str">
        <f>IF($B33="","",IF(LEN(VLOOKUP($B33,Database!$B$1:$IX$10144,8,FALSE))=0,"",VLOOKUP($B33,Database!$B$1:$IX$10144,8,FALSE)))</f>
        <v/>
      </c>
      <c r="AF33" t="s">
        <v>602</v>
      </c>
      <c r="AJ33" t="s">
        <v>329</v>
      </c>
      <c r="AN33" t="s">
        <v>330</v>
      </c>
    </row>
    <row r="34" spans="5:51" ht="45" customHeight="1">
      <c r="E34" s="60" t="s">
        <v>617</v>
      </c>
      <c r="F34" s="60" t="s">
        <v>740</v>
      </c>
      <c r="G34" s="60" t="s">
        <v>244</v>
      </c>
      <c r="H34" s="60" t="s">
        <v>245</v>
      </c>
      <c r="I34" s="60" t="s">
        <v>246</v>
      </c>
      <c r="J34" s="60" t="s">
        <v>593</v>
      </c>
      <c r="K34" s="60" t="s">
        <v>1039</v>
      </c>
      <c r="L34" s="60" t="s">
        <v>594</v>
      </c>
      <c r="M34" s="60" t="s">
        <v>1299</v>
      </c>
      <c r="N34" s="61" t="s">
        <v>595</v>
      </c>
      <c r="O34" s="61" t="s">
        <v>596</v>
      </c>
      <c r="P34" s="61" t="s">
        <v>597</v>
      </c>
      <c r="Q34" s="61" t="s">
        <v>598</v>
      </c>
      <c r="R34" s="61" t="s">
        <v>599</v>
      </c>
      <c r="S34" s="61" t="s">
        <v>600</v>
      </c>
      <c r="T34" s="61" t="s">
        <v>601</v>
      </c>
      <c r="U34" s="61" t="s">
        <v>484</v>
      </c>
      <c r="V34" s="61" t="s">
        <v>485</v>
      </c>
      <c r="W34" s="61" t="s">
        <v>486</v>
      </c>
      <c r="AF34" s="61" t="s">
        <v>1517</v>
      </c>
      <c r="AG34" s="62" t="s">
        <v>834</v>
      </c>
      <c r="AH34" s="62" t="s">
        <v>835</v>
      </c>
      <c r="AJ34" s="61" t="s">
        <v>836</v>
      </c>
      <c r="AK34" s="61" t="s">
        <v>837</v>
      </c>
      <c r="AL34" s="61" t="s">
        <v>487</v>
      </c>
      <c r="AN34" t="s">
        <v>488</v>
      </c>
      <c r="AO34" t="s">
        <v>489</v>
      </c>
      <c r="AP34" t="s">
        <v>490</v>
      </c>
      <c r="AQ34" t="s">
        <v>491</v>
      </c>
      <c r="AR34" t="s">
        <v>492</v>
      </c>
      <c r="AS34" t="s">
        <v>493</v>
      </c>
      <c r="AT34" t="s">
        <v>494</v>
      </c>
      <c r="AU34" t="s">
        <v>495</v>
      </c>
      <c r="AV34" t="s">
        <v>496</v>
      </c>
      <c r="AW34" t="s">
        <v>497</v>
      </c>
      <c r="AX34" t="s">
        <v>498</v>
      </c>
      <c r="AY34" t="s">
        <v>499</v>
      </c>
    </row>
    <row r="35" spans="5:51">
      <c r="E35" t="str">
        <f t="shared" ref="E35:F38" si="0">E24</f>
        <v>Caetano SC</v>
      </c>
      <c r="F35">
        <f t="shared" si="0"/>
        <v>2006</v>
      </c>
      <c r="G35">
        <v>4</v>
      </c>
      <c r="H35">
        <f t="shared" ref="H35:I38" si="1">H24</f>
        <v>31</v>
      </c>
      <c r="I35">
        <f t="shared" si="1"/>
        <v>31</v>
      </c>
      <c r="J35">
        <f t="shared" ref="J35:M36" si="2">IF($D$4="Total",T24,IF($D$4="Left",L24,IF($D$4="Right",P24,"error")))</f>
        <v>2.41</v>
      </c>
      <c r="K35">
        <f t="shared" si="2"/>
        <v>0.48</v>
      </c>
      <c r="L35">
        <f t="shared" si="2"/>
        <v>3.02</v>
      </c>
      <c r="M35">
        <f t="shared" si="2"/>
        <v>0.52</v>
      </c>
      <c r="N35">
        <f>IF($D$3=1,SQRT((((I35-1)*(M35)^2)+((H35-1)*(K35)^2))/(H35+I35-2)),M35)</f>
        <v>0.5003998401278722</v>
      </c>
      <c r="O35" s="59">
        <f>IF($D$6=1,LN(J35/L35),IF($D$5=1,(1-3/(4*(H35+I35)-9))*((J35-L35)/N35),(J35-L35)/N35))</f>
        <v>-1.2037235984735462</v>
      </c>
      <c r="P35" s="63">
        <f>IF($D$6=1,(K35^2)/(H35*J35^2)+(M35^2)/(I35*L35^2),(IF($D$5=1,((H35+I35)/(H35*I35))+(O35*O35)/(2*(H35+I35-3.94)),((H35+I35)/(H35*I35))+((O35^2)/(2*(H35+I35-2))))))</f>
        <v>7.6994173309919992E-2</v>
      </c>
      <c r="Q35" s="59">
        <f>$R$55*SQRT(P35)</f>
        <v>0.54385734911591355</v>
      </c>
      <c r="R35" s="59">
        <f>1/P35</f>
        <v>12.987995805536615</v>
      </c>
      <c r="S35" s="59">
        <f>O35*R35</f>
        <v>-15.633957047999857</v>
      </c>
      <c r="T35" s="59">
        <f>R35*(O35^2)</f>
        <v>18.818963036199246</v>
      </c>
      <c r="U35" s="23">
        <f>R35^2</f>
        <v>168.68803504463671</v>
      </c>
      <c r="V35" s="59">
        <f>1/((1/R35)+$I$52)</f>
        <v>2.4385151437881873</v>
      </c>
      <c r="W35" s="59">
        <f>V35*O35</f>
        <v>-2.9352982238129535</v>
      </c>
      <c r="AF35" s="59">
        <f>IF($D$6=1,100*((EXP(O35))-1),O35)</f>
        <v>-1.2037235984735462</v>
      </c>
      <c r="AG35" s="59">
        <f>IF($D$6=1,100*(EXP(O35+Q35)-EXP(O35)),Q35)</f>
        <v>0.54385734911591355</v>
      </c>
      <c r="AH35" s="59">
        <f>IF($D$6=1,100*(EXP(O35)-EXP(O35-Q35)),Q35)</f>
        <v>0.54385734911591355</v>
      </c>
      <c r="AJ35">
        <f>SQRT(P35)</f>
        <v>0.27747823934485383</v>
      </c>
      <c r="AK35">
        <f>1/AJ35</f>
        <v>3.6038862087386465</v>
      </c>
      <c r="AL35">
        <f>O35/AJ35</f>
        <v>-4.3380828756720691</v>
      </c>
      <c r="AN35" t="str">
        <f t="shared" ref="AN35:AO38" si="3">E35</f>
        <v>Caetano SC</v>
      </c>
      <c r="AO35">
        <f t="shared" si="3"/>
        <v>2006</v>
      </c>
      <c r="AP35" t="str">
        <f>CONCATENATE(AN35," ",AO35)</f>
        <v>Caetano SC 2006</v>
      </c>
      <c r="AQ35">
        <f>INT(H35)</f>
        <v>31</v>
      </c>
      <c r="AR35">
        <f t="shared" ref="AR35:AS38" si="4">J35</f>
        <v>2.41</v>
      </c>
      <c r="AS35">
        <f t="shared" si="4"/>
        <v>0.48</v>
      </c>
      <c r="AT35">
        <f>INT(I35)</f>
        <v>31</v>
      </c>
      <c r="AU35">
        <f t="shared" ref="AU35:AV38" si="5">L35</f>
        <v>3.02</v>
      </c>
      <c r="AV35">
        <f t="shared" si="5"/>
        <v>0.52</v>
      </c>
      <c r="AW35" s="65">
        <f>O35</f>
        <v>-1.2037235984735462</v>
      </c>
      <c r="AX35">
        <f>SQRT(P35)</f>
        <v>0.27747823934485383</v>
      </c>
      <c r="AY35" t="str">
        <f>$F$6</f>
        <v>Cohens Effect size</v>
      </c>
    </row>
    <row r="36" spans="5:51">
      <c r="E36" t="str">
        <f t="shared" si="0"/>
        <v>Lavretsky H</v>
      </c>
      <c r="F36">
        <f t="shared" si="0"/>
        <v>2007</v>
      </c>
      <c r="G36">
        <v>3</v>
      </c>
      <c r="H36">
        <f t="shared" si="1"/>
        <v>43</v>
      </c>
      <c r="I36">
        <f t="shared" si="1"/>
        <v>41</v>
      </c>
      <c r="J36">
        <f t="shared" si="2"/>
        <v>4.4000000000000003E-3</v>
      </c>
      <c r="K36">
        <f t="shared" si="2"/>
        <v>1.6000000000000001E-3</v>
      </c>
      <c r="L36">
        <f t="shared" si="2"/>
        <v>4.3E-3</v>
      </c>
      <c r="M36">
        <f t="shared" si="2"/>
        <v>1E-3</v>
      </c>
      <c r="N36">
        <f>IF($D$3=1,SQRT((((I36-1)*(M36)^2)+((H36-1)*(K36)^2))/(H36+I36-2)),M36)</f>
        <v>1.3412771489307877E-3</v>
      </c>
      <c r="O36" s="59">
        <f>IF($D$6=1,LN(J36/L36),IF($D$5=1,(1-3/(4*(H36+I36)-9))*((J36-L36)/N36),(J36-L36)/N36))</f>
        <v>7.387180858655823E-2</v>
      </c>
      <c r="P36" s="63">
        <f>IF($D$6=1,(K36^2)/(H36*J36^2)+(M36^2)/(I36*L36^2),(IF($D$5=1,((H36+I36)/(H36*I36))+(O36*O36)/(2*(H36+I36-3.94)),((H36+I36)/(H36*I36))+((O36^2)/(2*(H36+I36-2))))))</f>
        <v>4.7680138820852758E-2</v>
      </c>
      <c r="Q36" s="59">
        <f>$R$55*SQRT(P36)</f>
        <v>0.4279813328805217</v>
      </c>
      <c r="R36" s="59">
        <f>1/P36</f>
        <v>20.973093299020622</v>
      </c>
      <c r="S36" s="59">
        <f>O36*R36</f>
        <v>1.5493203336532784</v>
      </c>
      <c r="T36" s="59">
        <f>R36*(O36^2)</f>
        <v>0.11445109512689751</v>
      </c>
      <c r="U36" s="23">
        <f>R36^2</f>
        <v>439.87064252942372</v>
      </c>
      <c r="V36" s="59">
        <f>1/((1/R36)+$I$52)</f>
        <v>2.6262463698905756</v>
      </c>
      <c r="W36" s="59">
        <f>V36*O36</f>
        <v>0.19400556913770001</v>
      </c>
      <c r="AF36" s="59">
        <f>IF($D$6=1,100*((EXP(O36))-1),O36)</f>
        <v>7.387180858655823E-2</v>
      </c>
      <c r="AG36" s="59">
        <f>IF($D$6=1,100*(EXP(O36+Q36)-EXP(O36)),Q36)</f>
        <v>0.4279813328805217</v>
      </c>
      <c r="AH36" s="59">
        <f>IF($D$6=1,100*(EXP(O36)-EXP(O36-Q36)),Q36)</f>
        <v>0.4279813328805217</v>
      </c>
      <c r="AJ36">
        <f>SQRT(P36)</f>
        <v>0.21835782289822536</v>
      </c>
      <c r="AK36">
        <f>1/AJ36</f>
        <v>4.5796389922155027</v>
      </c>
      <c r="AL36">
        <f>O36/AJ36</f>
        <v>0.33830621502848207</v>
      </c>
      <c r="AN36" t="str">
        <f t="shared" si="3"/>
        <v>Lavretsky H</v>
      </c>
      <c r="AO36">
        <f t="shared" si="3"/>
        <v>2007</v>
      </c>
      <c r="AP36" t="str">
        <f>CONCATENATE(AN36," ",AO36)</f>
        <v>Lavretsky H 2007</v>
      </c>
      <c r="AQ36">
        <f>INT(H36)</f>
        <v>43</v>
      </c>
      <c r="AR36">
        <f t="shared" si="4"/>
        <v>4.4000000000000003E-3</v>
      </c>
      <c r="AS36">
        <f t="shared" si="4"/>
        <v>1.6000000000000001E-3</v>
      </c>
      <c r="AT36">
        <f>INT(I36)</f>
        <v>41</v>
      </c>
      <c r="AU36">
        <f t="shared" si="5"/>
        <v>4.3E-3</v>
      </c>
      <c r="AV36">
        <f t="shared" si="5"/>
        <v>1E-3</v>
      </c>
      <c r="AW36" s="65">
        <f>O36</f>
        <v>7.387180858655823E-2</v>
      </c>
      <c r="AX36">
        <f>SQRT(P36)</f>
        <v>0.21835782289822536</v>
      </c>
    </row>
    <row r="37" spans="5:51">
      <c r="E37" t="str">
        <f t="shared" si="0"/>
        <v>Frodl T (A)</v>
      </c>
      <c r="F37">
        <f t="shared" si="0"/>
        <v>2008</v>
      </c>
      <c r="G37">
        <v>2</v>
      </c>
      <c r="H37">
        <f t="shared" si="1"/>
        <v>78</v>
      </c>
      <c r="I37">
        <f t="shared" si="1"/>
        <v>78</v>
      </c>
      <c r="J37">
        <f t="shared" ref="J37:M38" si="6">IF($D$4="Total",T26,IF($D$4="Left",L26,IF($D$4="Right",P26,"error")))</f>
        <v>6.65</v>
      </c>
      <c r="K37">
        <f t="shared" si="6"/>
        <v>1.42</v>
      </c>
      <c r="L37">
        <f t="shared" si="6"/>
        <v>6.06</v>
      </c>
      <c r="M37">
        <f t="shared" si="6"/>
        <v>1.78</v>
      </c>
      <c r="N37">
        <f>IF($D$3=1,SQRT((((I37-1)*(M37)^2)+((H37-1)*(K37)^2))/(H37+I37-2)),M37)</f>
        <v>1.6100931650062986</v>
      </c>
      <c r="O37" s="59">
        <f>IF($D$6=1,LN(J37/L37),IF($D$5=1,(1-3/(4*(H37+I37)-9))*((J37-L37)/N37),(J37-L37)/N37))</f>
        <v>0.36465091833193153</v>
      </c>
      <c r="P37" s="63">
        <f>IF($D$6=1,(K37^2)/(H37*J37^2)+(M37^2)/(I37*L37^2),(IF($D$5=1,((H37+I37)/(H37*I37))+(O37*O37)/(2*(H37+I37-3.94)),((H37+I37)/(H37*I37))+((O37^2)/(2*(H37+I37-2))))))</f>
        <v>2.6078255327466261E-2</v>
      </c>
      <c r="Q37" s="59">
        <f>$R$55*SQRT(P37)</f>
        <v>0.31651575895363315</v>
      </c>
      <c r="R37" s="59">
        <f>1/P37</f>
        <v>38.346123521030769</v>
      </c>
      <c r="S37" s="59">
        <f>O37*R37</f>
        <v>13.98294915641355</v>
      </c>
      <c r="T37" s="59">
        <f>R37*(O37^2)</f>
        <v>5.0988952508749081</v>
      </c>
      <c r="U37" s="23">
        <f>R37^2</f>
        <v>1470.4251890901492</v>
      </c>
      <c r="V37" s="59">
        <f>1/((1/R37)+$I$52)</f>
        <v>2.7841991911896109</v>
      </c>
      <c r="W37" s="59">
        <f>V37*O37</f>
        <v>1.0152607918863126</v>
      </c>
      <c r="AF37" s="59">
        <f>IF($D$6=1,100*((EXP(O37))-1),O37)</f>
        <v>0.36465091833193153</v>
      </c>
      <c r="AG37" s="59">
        <f>IF($D$6=1,100*(EXP(O37+Q37)-EXP(O37)),Q37)</f>
        <v>0.31651575895363315</v>
      </c>
      <c r="AH37" s="59">
        <f>IF($D$6=1,100*(EXP(O37)-EXP(O37-Q37)),Q37)</f>
        <v>0.31651575895363315</v>
      </c>
      <c r="AJ37">
        <f>SQRT(P37)</f>
        <v>0.16148763211920059</v>
      </c>
      <c r="AK37">
        <f>1/AJ37</f>
        <v>6.1924246883616405</v>
      </c>
      <c r="AL37">
        <f>O37/AJ37</f>
        <v>2.2580733493123972</v>
      </c>
      <c r="AN37" t="str">
        <f t="shared" si="3"/>
        <v>Frodl T (A)</v>
      </c>
      <c r="AO37">
        <f t="shared" si="3"/>
        <v>2008</v>
      </c>
      <c r="AP37" t="str">
        <f>CONCATENATE(AN37," ",AO37)</f>
        <v>Frodl T (A) 2008</v>
      </c>
      <c r="AQ37">
        <f>INT(H37)</f>
        <v>78</v>
      </c>
      <c r="AR37">
        <f t="shared" si="4"/>
        <v>6.65</v>
      </c>
      <c r="AS37">
        <f t="shared" si="4"/>
        <v>1.42</v>
      </c>
      <c r="AT37">
        <f>INT(I37)</f>
        <v>78</v>
      </c>
      <c r="AU37">
        <f t="shared" si="5"/>
        <v>6.06</v>
      </c>
      <c r="AV37">
        <f t="shared" si="5"/>
        <v>1.78</v>
      </c>
      <c r="AW37" s="65">
        <f>O37</f>
        <v>0.36465091833193153</v>
      </c>
      <c r="AX37">
        <f>SQRT(P37)</f>
        <v>0.16148763211920059</v>
      </c>
    </row>
    <row r="38" spans="5:51">
      <c r="E38" t="str">
        <f t="shared" si="0"/>
        <v>Weber K</v>
      </c>
      <c r="F38">
        <f t="shared" si="0"/>
        <v>2009</v>
      </c>
      <c r="G38">
        <v>1</v>
      </c>
      <c r="H38">
        <f t="shared" si="1"/>
        <v>38</v>
      </c>
      <c r="I38">
        <f t="shared" si="1"/>
        <v>62</v>
      </c>
      <c r="J38">
        <f t="shared" si="6"/>
        <v>1.37</v>
      </c>
      <c r="K38">
        <f t="shared" si="6"/>
        <v>0.33</v>
      </c>
      <c r="L38">
        <f t="shared" si="6"/>
        <v>1.26</v>
      </c>
      <c r="M38">
        <f t="shared" si="6"/>
        <v>0.37</v>
      </c>
      <c r="N38">
        <f>IF($D$3=1,SQRT((((I38-1)*(M38)^2)+((H38-1)*(K38)^2))/(H38+I38-2)),M38)</f>
        <v>0.35542730822007951</v>
      </c>
      <c r="O38" s="59">
        <f>IF($D$6=1,LN(J38/L38),IF($D$5=1,(1-3/(4*(H38+I38)-9))*((J38-L38)/N38),(J38-L38)/N38))</f>
        <v>0.30711205274804054</v>
      </c>
      <c r="P38" s="63">
        <f>IF($D$6=1,(K38^2)/(H38*J38^2)+(M38^2)/(I38*L38^2),(IF($D$5=1,((H38+I38)/(H38*I38))+(O38*O38)/(2*(H38+I38-3.94)),((H38+I38)/(H38*I38))+((O38^2)/(2*(H38+I38-2))))))</f>
        <v>4.2935753508466998E-2</v>
      </c>
      <c r="Q38" s="59">
        <f>$R$55*SQRT(P38)</f>
        <v>0.40613050941554096</v>
      </c>
      <c r="R38" s="59">
        <f>1/P38</f>
        <v>23.290612561458794</v>
      </c>
      <c r="S38" s="59">
        <f>O38*R38</f>
        <v>7.1528278335089084</v>
      </c>
      <c r="T38" s="59">
        <f>R38*(O38^2)</f>
        <v>2.1967196389022408</v>
      </c>
      <c r="U38" s="23">
        <f>R38^2</f>
        <v>542.4526334879821</v>
      </c>
      <c r="V38" s="59">
        <f>1/((1/R38)+$I$52)</f>
        <v>2.6593820702450368</v>
      </c>
      <c r="W38" s="59">
        <f>V38*O38</f>
        <v>0.81672828663428698</v>
      </c>
      <c r="AF38" s="59">
        <f>IF($D$6=1,100*((EXP(O38))-1),O38)</f>
        <v>0.30711205274804054</v>
      </c>
      <c r="AG38" s="59">
        <f>IF($D$6=1,100*(EXP(O38+Q38)-EXP(O38)),Q38)</f>
        <v>0.40613050941554096</v>
      </c>
      <c r="AH38" s="59">
        <f>IF($D$6=1,100*(EXP(O38)-EXP(O38-Q38)),Q38)</f>
        <v>0.40613050941554096</v>
      </c>
      <c r="AJ38">
        <f>SQRT(P38)</f>
        <v>0.20720944357935764</v>
      </c>
      <c r="AK38">
        <f>1/AJ38</f>
        <v>4.8260348694822746</v>
      </c>
      <c r="AL38">
        <f>O38/AJ38</f>
        <v>1.4821334754003233</v>
      </c>
      <c r="AN38" t="str">
        <f t="shared" si="3"/>
        <v>Weber K</v>
      </c>
      <c r="AO38">
        <f t="shared" si="3"/>
        <v>2009</v>
      </c>
      <c r="AP38" t="str">
        <f>CONCATENATE(AN38," ",AO38)</f>
        <v>Weber K 2009</v>
      </c>
      <c r="AQ38">
        <f>INT(H38)</f>
        <v>38</v>
      </c>
      <c r="AR38">
        <f t="shared" si="4"/>
        <v>1.37</v>
      </c>
      <c r="AS38">
        <f t="shared" si="4"/>
        <v>0.33</v>
      </c>
      <c r="AT38">
        <f>INT(I38)</f>
        <v>62</v>
      </c>
      <c r="AU38">
        <f t="shared" si="5"/>
        <v>1.26</v>
      </c>
      <c r="AV38">
        <f t="shared" si="5"/>
        <v>0.37</v>
      </c>
      <c r="AW38" s="65">
        <f>O38</f>
        <v>0.30711205274804054</v>
      </c>
      <c r="AX38">
        <f>SQRT(P38)</f>
        <v>0.20720944357935764</v>
      </c>
    </row>
    <row r="39" spans="5:51">
      <c r="U39" s="23"/>
    </row>
    <row r="40" spans="5:51">
      <c r="L40" t="s">
        <v>500</v>
      </c>
      <c r="N40" s="7"/>
      <c r="O40" s="66">
        <f>COUNT(O35:O38)</f>
        <v>4</v>
      </c>
      <c r="Q40" t="s">
        <v>885</v>
      </c>
      <c r="R40" s="59">
        <f t="shared" ref="R40:W40" si="7">SUM(R35:R38)</f>
        <v>95.597825187046794</v>
      </c>
      <c r="S40" s="59">
        <f t="shared" si="7"/>
        <v>7.0511402755758805</v>
      </c>
      <c r="T40" s="59">
        <f t="shared" si="7"/>
        <v>26.229029021103294</v>
      </c>
      <c r="U40" s="23">
        <f t="shared" si="7"/>
        <v>2621.4365001521915</v>
      </c>
      <c r="V40" s="59">
        <f t="shared" si="7"/>
        <v>10.508342775113411</v>
      </c>
      <c r="W40" s="59">
        <f t="shared" si="7"/>
        <v>-0.90930357615465407</v>
      </c>
    </row>
    <row r="41" spans="5:51">
      <c r="L41" t="s">
        <v>501</v>
      </c>
      <c r="N41" s="7"/>
      <c r="O41" s="2">
        <v>0</v>
      </c>
    </row>
    <row r="42" spans="5:51">
      <c r="N42" s="7"/>
      <c r="O42" s="7"/>
    </row>
    <row r="43" spans="5:51">
      <c r="G43" s="67" t="s">
        <v>502</v>
      </c>
      <c r="H43" s="40"/>
      <c r="I43" s="40">
        <f>S40/R40</f>
        <v>7.3758375379142913E-2</v>
      </c>
      <c r="J43" s="40"/>
      <c r="K43" s="68" t="s">
        <v>879</v>
      </c>
      <c r="L43" s="40"/>
      <c r="M43" s="42"/>
      <c r="N43" s="7"/>
      <c r="O43" s="69" t="s">
        <v>503</v>
      </c>
      <c r="P43" s="70">
        <f>T40-((S40^2)/R40)</f>
        <v>25.708948369806375</v>
      </c>
      <c r="Q43" s="71" t="s">
        <v>824</v>
      </c>
      <c r="R43" s="28"/>
      <c r="S43" s="29"/>
      <c r="T43" s="30"/>
      <c r="U43" s="31"/>
      <c r="AF43" s="2" t="s">
        <v>1518</v>
      </c>
    </row>
    <row r="44" spans="5:51">
      <c r="G44" s="43" t="s">
        <v>504</v>
      </c>
      <c r="H44" s="31"/>
      <c r="I44" s="31">
        <f>1/R40</f>
        <v>1.0460489012625539E-2</v>
      </c>
      <c r="J44" s="31"/>
      <c r="K44" s="31"/>
      <c r="L44" s="31"/>
      <c r="M44" s="44"/>
      <c r="N44" s="7"/>
      <c r="O44" s="30" t="s">
        <v>505</v>
      </c>
      <c r="P44" s="31">
        <f>CHIDIST(P43,I48-1)</f>
        <v>1.0973799566569688E-5</v>
      </c>
      <c r="Q44" s="31"/>
      <c r="R44" s="31"/>
      <c r="S44" s="34"/>
      <c r="T44" s="30"/>
      <c r="U44" s="31"/>
      <c r="AF44" s="2"/>
    </row>
    <row r="45" spans="5:51">
      <c r="G45" s="72" t="s">
        <v>506</v>
      </c>
      <c r="H45" s="31"/>
      <c r="I45" s="31">
        <f>$R$55*SQRT(I44)</f>
        <v>0.20046200286064755</v>
      </c>
      <c r="J45" s="31"/>
      <c r="K45" s="31" t="s">
        <v>507</v>
      </c>
      <c r="L45" s="31"/>
      <c r="M45" s="44">
        <f>ABS(I43/SQRT(I44))</f>
        <v>0.72116617453740783</v>
      </c>
      <c r="N45" s="7"/>
      <c r="O45" s="35" t="s">
        <v>508</v>
      </c>
      <c r="P45" s="37">
        <f>IF(((P43-(I48-1))/P43)&lt;0,0,100*((P43-(I48-1))/P43))</f>
        <v>88.330911257640849</v>
      </c>
      <c r="Q45" s="36"/>
      <c r="R45" s="36"/>
      <c r="S45" s="38"/>
      <c r="T45" s="30"/>
      <c r="U45" s="31"/>
      <c r="AF45" s="2" t="s">
        <v>1535</v>
      </c>
      <c r="AH45">
        <f>IF($D$6=1,100*((EXP(I43))-1),I43)</f>
        <v>7.3758375379142913E-2</v>
      </c>
    </row>
    <row r="46" spans="5:51">
      <c r="G46" s="45" t="s">
        <v>509</v>
      </c>
      <c r="H46" s="46"/>
      <c r="I46" s="46">
        <v>-2</v>
      </c>
      <c r="J46" s="46"/>
      <c r="K46" s="46" t="s">
        <v>825</v>
      </c>
      <c r="L46" s="46"/>
      <c r="M46" s="47">
        <f>2*(1-NORMDIST(M45,0,1,1))</f>
        <v>0.47080728047402287</v>
      </c>
      <c r="N46" s="7"/>
      <c r="O46" s="7"/>
      <c r="AF46" s="79" t="s">
        <v>834</v>
      </c>
      <c r="AH46">
        <f>IF($D$6=1,100*(EXP(I43+I45)-EXP(I43)),I45)</f>
        <v>0.20046200286064755</v>
      </c>
    </row>
    <row r="47" spans="5:51">
      <c r="G47" s="40"/>
      <c r="H47" s="40"/>
      <c r="I47" s="40"/>
      <c r="J47" s="40"/>
      <c r="K47" s="40"/>
      <c r="L47" s="40"/>
      <c r="M47" s="40"/>
      <c r="N47" s="7"/>
      <c r="O47" s="7"/>
      <c r="AF47" s="79" t="s">
        <v>835</v>
      </c>
      <c r="AH47">
        <f>IF($D$6=1,100*(EXP(I43)-EXP(I43-I45)),I45)</f>
        <v>0.20046200286064755</v>
      </c>
    </row>
    <row r="48" spans="5:51">
      <c r="G48" s="73" t="s">
        <v>1110</v>
      </c>
      <c r="H48" s="74"/>
      <c r="I48" s="74">
        <f>O40</f>
        <v>4</v>
      </c>
      <c r="J48" s="74"/>
      <c r="K48" s="75" t="s">
        <v>1167</v>
      </c>
      <c r="L48" s="74"/>
      <c r="M48" s="76"/>
      <c r="N48" s="77"/>
      <c r="O48" s="101" t="s">
        <v>1513</v>
      </c>
      <c r="P48" s="102"/>
      <c r="Q48" s="103"/>
      <c r="AF48" s="7"/>
    </row>
    <row r="49" spans="7:34">
      <c r="G49" s="77" t="s">
        <v>1531</v>
      </c>
      <c r="H49" s="31"/>
      <c r="I49" s="31">
        <f>R40/I48</f>
        <v>23.899456296761699</v>
      </c>
      <c r="J49" s="31"/>
      <c r="K49" s="31"/>
      <c r="L49" s="31"/>
      <c r="M49" s="78"/>
      <c r="N49" s="77"/>
      <c r="O49" s="104" t="s">
        <v>1514</v>
      </c>
      <c r="P49" s="31"/>
      <c r="Q49" s="105">
        <f>INDEX(LINEST(AL35:AL38,AK35:AK38,TRUE,TRUE),1,2)</f>
        <v>-11.715483612473985</v>
      </c>
      <c r="AF49" s="2" t="s">
        <v>1687</v>
      </c>
      <c r="AH49">
        <f>IF($D$6=1,100*((EXP(I54))-1),I54)</f>
        <v>-8.653158691284131E-2</v>
      </c>
    </row>
    <row r="50" spans="7:34">
      <c r="G50" s="77" t="s">
        <v>1532</v>
      </c>
      <c r="H50" s="31"/>
      <c r="I50" s="31">
        <f>(1/(I48-1))*(U40-(I48*I49^2))</f>
        <v>112.23348500963387</v>
      </c>
      <c r="J50" s="31"/>
      <c r="K50" s="31"/>
      <c r="L50" s="31"/>
      <c r="M50" s="78"/>
      <c r="N50" s="77"/>
      <c r="O50" s="104" t="s">
        <v>1516</v>
      </c>
      <c r="P50" s="31"/>
      <c r="Q50" s="105">
        <f>INDEX(LINEST(AL35:AL38,AK35:AK38,TRUE,TRUE),2,2)</f>
        <v>4.6081403805929364</v>
      </c>
      <c r="AF50" s="79" t="s">
        <v>834</v>
      </c>
      <c r="AG50" s="7"/>
      <c r="AH50">
        <f>IF($D$6=1,100*(EXP(I54+I56)-EXP(I54)),I56)</f>
        <v>0.60462897556643946</v>
      </c>
    </row>
    <row r="51" spans="7:34">
      <c r="G51" s="77" t="s">
        <v>1669</v>
      </c>
      <c r="H51" s="31"/>
      <c r="I51" s="31">
        <f>(I48-1)*(I49-(I50/(I48*I49)))</f>
        <v>68.176317479909244</v>
      </c>
      <c r="J51" s="31"/>
      <c r="K51" s="31"/>
      <c r="L51" s="31"/>
      <c r="M51" s="78"/>
      <c r="N51" s="77"/>
      <c r="O51" s="104" t="s">
        <v>1349</v>
      </c>
      <c r="P51" s="31"/>
      <c r="Q51" s="105">
        <f>ABS(Q49/Q50)</f>
        <v>2.5423452075838315</v>
      </c>
      <c r="AF51" s="79" t="s">
        <v>835</v>
      </c>
      <c r="AH51">
        <f>IF($D$6=1,100*(EXP(I54)-EXP(I54-I56)),I56)</f>
        <v>0.60462897556643946</v>
      </c>
    </row>
    <row r="52" spans="7:34">
      <c r="G52" s="77" t="s">
        <v>1685</v>
      </c>
      <c r="H52" s="31"/>
      <c r="I52" s="31">
        <f>IF(P43&gt;(I48-1),(P43-(I48-1))/I51,0)</f>
        <v>0.33309144889643583</v>
      </c>
      <c r="J52" s="31"/>
      <c r="K52" s="31"/>
      <c r="L52" s="31"/>
      <c r="M52" s="78"/>
      <c r="N52" s="77"/>
      <c r="O52" s="106" t="s">
        <v>1515</v>
      </c>
      <c r="P52" s="107"/>
      <c r="Q52" s="108">
        <f>TDIST(Q51,I48-2,2)</f>
        <v>0.12610545301217208</v>
      </c>
    </row>
    <row r="53" spans="7:34">
      <c r="G53" s="77"/>
      <c r="H53" s="31"/>
      <c r="I53" s="31"/>
      <c r="J53" s="31"/>
      <c r="K53" s="31"/>
      <c r="L53" s="31"/>
      <c r="M53" s="78"/>
      <c r="N53" s="77"/>
    </row>
    <row r="54" spans="7:34">
      <c r="G54" s="77" t="s">
        <v>1686</v>
      </c>
      <c r="H54" s="31"/>
      <c r="I54" s="31">
        <f>W40/V40</f>
        <v>-8.653158691284131E-2</v>
      </c>
      <c r="J54" s="31"/>
      <c r="N54" s="77"/>
    </row>
    <row r="55" spans="7:34">
      <c r="G55" s="77" t="s">
        <v>504</v>
      </c>
      <c r="H55" s="31"/>
      <c r="I55" s="31">
        <f>1/V40</f>
        <v>9.5162483885496169E-2</v>
      </c>
      <c r="J55" s="31"/>
      <c r="N55" s="77"/>
      <c r="O55" t="s">
        <v>805</v>
      </c>
      <c r="R55">
        <v>1.96</v>
      </c>
    </row>
    <row r="56" spans="7:34">
      <c r="G56" s="80" t="s">
        <v>506</v>
      </c>
      <c r="H56" s="31"/>
      <c r="I56" s="31">
        <f>$R$55*SQRT(I55)</f>
        <v>0.60462897556643946</v>
      </c>
      <c r="J56" s="31"/>
      <c r="K56" s="31" t="s">
        <v>507</v>
      </c>
      <c r="L56" s="31"/>
      <c r="M56" s="78">
        <f>ABS(I54/(SQRT(I55)))</f>
        <v>0.28050576006596345</v>
      </c>
      <c r="N56" s="77"/>
    </row>
    <row r="57" spans="7:34">
      <c r="G57" s="81" t="s">
        <v>509</v>
      </c>
      <c r="H57" s="82"/>
      <c r="I57" s="82">
        <v>-3</v>
      </c>
      <c r="J57" s="82"/>
      <c r="K57" s="31" t="s">
        <v>825</v>
      </c>
      <c r="L57" s="31"/>
      <c r="M57" s="78">
        <f>2*(1-NORMDIST(M56,0,1,1))</f>
        <v>0.77908950689109369</v>
      </c>
      <c r="N57" s="77"/>
    </row>
    <row r="58" spans="7:34">
      <c r="G58" s="74"/>
      <c r="H58" s="74"/>
      <c r="I58" s="74"/>
      <c r="J58" s="74"/>
      <c r="K58" s="74"/>
      <c r="L58" s="74"/>
      <c r="M58" s="74"/>
      <c r="N58" s="31"/>
      <c r="O58" s="7"/>
    </row>
  </sheetData>
  <phoneticPr fontId="10" type="noConversion"/>
  <conditionalFormatting sqref="D17 D13 F13">
    <cfRule type="cellIs" dxfId="68" priority="0" stopIfTrue="1" operator="lessThan">
      <formula>0.05</formula>
    </cfRule>
  </conditionalFormatting>
  <conditionalFormatting sqref="D21">
    <cfRule type="cellIs" dxfId="6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6.xml><?xml version="1.0" encoding="utf-8"?>
<worksheet xmlns="http://schemas.openxmlformats.org/spreadsheetml/2006/main" xmlns:r="http://schemas.openxmlformats.org/officeDocument/2006/relationships">
  <sheetPr published="0" codeName="Sheet52" enableFormatConditionsCalculation="0"/>
  <dimension ref="A1:BM5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191</v>
      </c>
      <c r="D1" s="10"/>
      <c r="E1" s="91"/>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I49-O42</f>
        <v>4</v>
      </c>
      <c r="AD7" s="89"/>
    </row>
    <row r="8" spans="2:30">
      <c r="B8" t="s">
        <v>822</v>
      </c>
      <c r="D8">
        <f>SUM(H24:H27)</f>
        <v>190</v>
      </c>
      <c r="AD8" s="89"/>
    </row>
    <row r="9" spans="2:30">
      <c r="B9" t="s">
        <v>823</v>
      </c>
      <c r="D9">
        <f>SUM(I24:I27)</f>
        <v>212</v>
      </c>
      <c r="AD9" s="89"/>
    </row>
    <row r="11" spans="2:30">
      <c r="B11" s="27" t="s">
        <v>516</v>
      </c>
      <c r="C11" s="28"/>
      <c r="D11" s="109">
        <f>P44</f>
        <v>5.0140108169719877</v>
      </c>
      <c r="E11" s="110" t="s">
        <v>1513</v>
      </c>
      <c r="F11" s="103"/>
    </row>
    <row r="12" spans="2:30">
      <c r="B12" s="30" t="s">
        <v>826</v>
      </c>
      <c r="C12" s="31"/>
      <c r="D12" s="112">
        <f>P46</f>
        <v>40.167659992968851</v>
      </c>
      <c r="E12" s="31"/>
      <c r="F12" s="105"/>
    </row>
    <row r="13" spans="2:30">
      <c r="B13" s="35" t="s">
        <v>825</v>
      </c>
      <c r="C13" s="36"/>
      <c r="D13" s="113">
        <f>P45</f>
        <v>0.17077405365932966</v>
      </c>
      <c r="E13" s="111" t="s">
        <v>825</v>
      </c>
      <c r="F13" s="115">
        <f>Q53</f>
        <v>0.46589895086001032</v>
      </c>
    </row>
    <row r="15" spans="2:30">
      <c r="B15" s="39" t="s">
        <v>879</v>
      </c>
      <c r="C15" s="40"/>
      <c r="D15" s="41">
        <f>AH46</f>
        <v>-0.16758775489737501</v>
      </c>
      <c r="E15" s="116"/>
    </row>
    <row r="16" spans="2:30">
      <c r="B16" s="43" t="s">
        <v>1165</v>
      </c>
      <c r="C16" s="31"/>
      <c r="D16" s="33">
        <f>AH46-AH48</f>
        <v>-0.36556048360653465</v>
      </c>
      <c r="E16" s="117">
        <f>AH46+AH47</f>
        <v>3.0384973811784621E-2</v>
      </c>
    </row>
    <row r="17" spans="1:65">
      <c r="B17" s="45" t="s">
        <v>1166</v>
      </c>
      <c r="C17" s="46"/>
      <c r="D17" s="123">
        <f>M47</f>
        <v>9.7079925790557686E-2</v>
      </c>
      <c r="E17" s="118"/>
    </row>
    <row r="18" spans="1:65">
      <c r="D18" s="48"/>
      <c r="F18" s="49"/>
    </row>
    <row r="19" spans="1:65">
      <c r="B19" s="50" t="s">
        <v>1167</v>
      </c>
      <c r="C19" s="51"/>
      <c r="D19" s="52">
        <f>AH50</f>
        <v>-0.18255632350922313</v>
      </c>
      <c r="E19" s="120"/>
      <c r="F19" s="33"/>
      <c r="G19" s="31"/>
    </row>
    <row r="20" spans="1:65">
      <c r="B20" s="53" t="s">
        <v>1165</v>
      </c>
      <c r="C20" s="31"/>
      <c r="D20" s="33">
        <f>AH50-AH52</f>
        <v>-0.44483562170195401</v>
      </c>
      <c r="E20" s="121">
        <f>AH50+AH51</f>
        <v>7.9722974683507752E-2</v>
      </c>
      <c r="F20" s="31"/>
      <c r="G20" s="31"/>
    </row>
    <row r="21" spans="1:65">
      <c r="B21" s="54" t="s">
        <v>1440</v>
      </c>
      <c r="C21" s="55"/>
      <c r="D21" s="114">
        <f>M58</f>
        <v>0.1724938609818043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16414029</v>
      </c>
      <c r="C24" s="1" t="str">
        <f>IF($B24="","",HYPERLINK(IF(LEN(VLOOKUP($B24,Database!$B$1:$IX$10144,2,FALSE))=0,"",VLOOKUP($B24,Database!$B$1:$IX$10144,2,FALSE))))</f>
        <v/>
      </c>
      <c r="D24" s="1" t="str">
        <f>IF($B24="","",HYPERLINK(CONCATENATE("http://www.ncbi.nlm.nih.gov/pubmed/",B24)))</f>
        <v>http://www.ncbi.nlm.nih.gov/pubmed/16414029</v>
      </c>
      <c r="E24" s="22" t="str">
        <f>IF($B24="","",IF(LEN(VLOOKUP($B24,Database!$B$1:$IX$10144,4,FALSE))=0,"",VLOOKUP($B24,Database!$B$1:$IX$10144,4,FALSE)))</f>
        <v>Caetano SC</v>
      </c>
      <c r="F24" s="22">
        <f>IF($B24="","",IF(LEN(VLOOKUP($B24,Database!$B$1:$IX$10144,5,FALSE))=0,"",VLOOKUP($B24,Database!$B$1:$IX$10144,5,FALSE)))</f>
        <v>2006</v>
      </c>
      <c r="G24" s="1" t="str">
        <f>IF($B24="","",HYPERLINK(IF(LEN(VLOOKUP($B24,Database!$B$1:$IX$10144,6,FALSE))=0,"",VLOOKUP($B24,Database!$B$1:$IX$10144,6,FALSE))))</f>
        <v>http://dx.doi.org/10.1016/j.biopsych.2005.10.011</v>
      </c>
      <c r="H24" s="22">
        <f>IF($B24="","",IF(LEN(VLOOKUP($B24,Database!$B$1:$IX$10144,7,FALSE))=0,"",VLOOKUP($B24,Database!$B$1:$IX$10144,7,FALSE)))</f>
        <v>31</v>
      </c>
      <c r="I24" s="22">
        <f>IF($B24="","",IF(LEN(VLOOKUP($B24,Database!$B$1:$IX$10144,8,FALSE))=0,"",VLOOKUP($B24,Database!$B$1:$IX$10144,8,FALSE)))</f>
        <v>31</v>
      </c>
      <c r="J24" s="2" t="s">
        <v>1328</v>
      </c>
      <c r="L24">
        <v>2.41</v>
      </c>
      <c r="M24">
        <v>0.48</v>
      </c>
      <c r="N24">
        <v>3.02</v>
      </c>
      <c r="O24">
        <v>0.52</v>
      </c>
      <c r="P24">
        <v>2.52</v>
      </c>
      <c r="Q24">
        <v>0.43</v>
      </c>
      <c r="R24">
        <v>2.85</v>
      </c>
      <c r="S24">
        <v>0.53</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36.700000000000003</v>
      </c>
      <c r="AE24" s="22">
        <f>IF(OR($B24="",AE$22=""),"",IF(LEN(VLOOKUP($B24,Database!$B$1:$IX$10144,AE$22,FALSE))=0,"",VLOOKUP($B24,Database!$B$1:$IX$10144,AE$22,FALSE)))</f>
        <v>10.7</v>
      </c>
      <c r="AF24" s="22">
        <f>IF(OR($B24="",AF$22=""),"",IF(LEN(VLOOKUP($B24,Database!$B$1:$IX$10144,AF$22,FALSE))=0,"",VLOOKUP($B24,Database!$B$1:$IX$10144,AF$22,FALSE)))</f>
        <v>24</v>
      </c>
      <c r="AG24" s="22">
        <f>IF(OR($B24="",AG$22=""),"",IF(LEN(VLOOKUP($B24,Database!$B$1:$IX$10144,AG$22,FALSE))=0,"",VLOOKUP($B24,Database!$B$1:$IX$10144,AG$22,FALSE)))</f>
        <v>24</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27.9</v>
      </c>
      <c r="AL24" s="22">
        <f>IF(OR($B24="",AL$22=""),"",IF(LEN(VLOOKUP($B24,Database!$B$1:$IX$10144,AL$22,FALSE))=0,"",VLOOKUP($B24,Database!$B$1:$IX$10144,AL$22,FALSE)))</f>
        <v>11.8</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Caetano SC, Kaur S, Brambilla P, Nicoletti M, Hatch JP, Sassi RB, Mallinger AG, Keshavan MS, Kupfer DJ, Frank E, Soares JC.</v>
      </c>
      <c r="AR24" s="13"/>
      <c r="AX24" s="13"/>
      <c r="AY24" s="13"/>
      <c r="AZ24" s="13"/>
      <c r="BA24" s="13"/>
      <c r="BC24" s="23"/>
      <c r="BF24" s="136"/>
      <c r="BG24" s="136"/>
      <c r="BH24" s="136"/>
      <c r="BI24" s="136"/>
    </row>
    <row r="25" spans="1:65">
      <c r="B25">
        <v>17463189</v>
      </c>
      <c r="C25" s="1" t="str">
        <f>IF($B25="","",HYPERLINK(IF(LEN(VLOOKUP($B25,Database!$B$1:$IX$10144,2,FALSE))=0,"",VLOOKUP($B25,Database!$B$1:$IX$10144,2,FALSE))))</f>
        <v/>
      </c>
      <c r="D25" s="1" t="str">
        <f>IF($B25="","",HYPERLINK(CONCATENATE("http://www.ncbi.nlm.nih.gov/pubmed/",B25)))</f>
        <v>http://www.ncbi.nlm.nih.gov/pubmed/17463189</v>
      </c>
      <c r="E25" s="22" t="str">
        <f>IF($B25="","",IF(LEN(VLOOKUP($B25,Database!$B$1:$IX$10144,4,FALSE))=0,"",VLOOKUP($B25,Database!$B$1:$IX$10144,4,FALSE)))</f>
        <v>Lavretsky H</v>
      </c>
      <c r="F25" s="22">
        <f>IF($B25="","",IF(LEN(VLOOKUP($B25,Database!$B$1:$IX$10144,5,FALSE))=0,"",VLOOKUP($B25,Database!$B$1:$IX$10144,5,FALSE)))</f>
        <v>2007</v>
      </c>
      <c r="G25" s="1" t="str">
        <f>IF($B25="","",HYPERLINK(IF(LEN(VLOOKUP($B25,Database!$B$1:$IX$10144,6,FALSE))=0,"",VLOOKUP($B25,Database!$B$1:$IX$10144,6,FALSE))))</f>
        <v>http://dx.doi.org/10.1097/JGP.0b013e3180325a16</v>
      </c>
      <c r="H25" s="22">
        <f>IF($B25="","",IF(LEN(VLOOKUP($B25,Database!$B$1:$IX$10144,7,FALSE))=0,"",VLOOKUP($B25,Database!$B$1:$IX$10144,7,FALSE)))</f>
        <v>43</v>
      </c>
      <c r="I25" s="22">
        <f>IF($B25="","",IF(LEN(VLOOKUP($B25,Database!$B$1:$IX$10144,8,FALSE))=0,"",VLOOKUP($B25,Database!$B$1:$IX$10144,8,FALSE)))</f>
        <v>41</v>
      </c>
      <c r="J25" s="2" t="s">
        <v>1541</v>
      </c>
      <c r="L25">
        <v>4.4000000000000003E-3</v>
      </c>
      <c r="M25">
        <v>1.6000000000000001E-3</v>
      </c>
      <c r="N25">
        <v>4.3E-3</v>
      </c>
      <c r="O25">
        <v>1E-3</v>
      </c>
      <c r="P25">
        <v>4.3E-3</v>
      </c>
      <c r="Q25">
        <v>1.4E-3</v>
      </c>
      <c r="R25">
        <v>4.4000000000000003E-3</v>
      </c>
      <c r="S25">
        <v>6.9999999999999999E-4</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70.67</v>
      </c>
      <c r="AC25" s="22">
        <f>IF(OR($B25="",AC$22=""),"",IF(LEN(VLOOKUP($B25,Database!$B$1:$IX$10144,AC$22,FALSE))=0,"",VLOOKUP($B25,Database!$B$1:$IX$10144,AC$22,FALSE)))</f>
        <v>7.76</v>
      </c>
      <c r="AD25" s="22">
        <f>IF(OR($B25="",AD$22=""),"",IF(LEN(VLOOKUP($B25,Database!$B$1:$IX$10144,AD$22,FALSE))=0,"",VLOOKUP($B25,Database!$B$1:$IX$10144,AD$22,FALSE)))</f>
        <v>72.19</v>
      </c>
      <c r="AE25" s="22">
        <f>IF(OR($B25="",AE$22=""),"",IF(LEN(VLOOKUP($B25,Database!$B$1:$IX$10144,AE$22,FALSE))=0,"",VLOOKUP($B25,Database!$B$1:$IX$10144,AE$22,FALSE)))</f>
        <v>7.27</v>
      </c>
      <c r="AF25" s="22">
        <f>IF(OR($B25="",AF$22=""),"",IF(LEN(VLOOKUP($B25,Database!$B$1:$IX$10144,AF$22,FALSE))=0,"",VLOOKUP($B25,Database!$B$1:$IX$10144,AF$22,FALSE)))</f>
        <v>33</v>
      </c>
      <c r="AG25" s="22">
        <f>IF(OR($B25="",AG$22=""),"",IF(LEN(VLOOKUP($B25,Database!$B$1:$IX$10144,AG$22,FALSE))=0,"",VLOOKUP($B25,Database!$B$1:$IX$10144,AG$22,FALSE)))</f>
        <v>20</v>
      </c>
      <c r="AH25" s="22">
        <f>IF(OR($B25="",AH$22=""),"",IF(LEN(VLOOKUP($B25,Database!$B$1:$IX$10144,AH$22,FALSE))=0,"",VLOOKUP($B25,Database!$B$1:$IX$10144,AH$22,FALSE)))</f>
        <v>1.5</v>
      </c>
      <c r="AI25" s="22">
        <f>IF(OR($B25="",AI$22=""),"",IF(LEN(VLOOKUP($B25,Database!$B$1:$IX$10144,AI$22,FALSE))=0,"",VLOOKUP($B25,Database!$B$1:$IX$10144,AI$22,FALSE)))</f>
        <v>1.4</v>
      </c>
      <c r="AJ25" s="22" t="str">
        <f>IF(OR($B25="",AJ$22=""),"",IF(LEN(VLOOKUP($B25,Database!$B$1:$IX$10144,AJ$22,FALSE))=0,"",VLOOKUP($B25,Database!$B$1:$IX$10144,AJ$22,FALSE)))</f>
        <v/>
      </c>
      <c r="AK25" s="22">
        <f>IF(OR($B25="",AK$22=""),"",IF(LEN(VLOOKUP($B25,Database!$B$1:$IX$10144,AK$22,FALSE))=0,"",VLOOKUP($B25,Database!$B$1:$IX$10144,AK$22,FALSE)))</f>
        <v>49.6</v>
      </c>
      <c r="AL25" s="22">
        <f>IF(OR($B25="",AL$22=""),"",IF(LEN(VLOOKUP($B25,Database!$B$1:$IX$10144,AL$22,FALSE))=0,"",VLOOKUP($B25,Database!$B$1:$IX$10144,AL$22,FALSE)))</f>
        <v>17.7</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Lavretsky H, Ballmaier M, Pham D, Toga A, Kumar A.</v>
      </c>
      <c r="AR25" s="13"/>
      <c r="AX25" s="13"/>
      <c r="AY25" s="13"/>
      <c r="AZ25" s="13"/>
      <c r="BA25" s="13"/>
      <c r="BC25" s="23"/>
      <c r="BF25" s="136"/>
      <c r="BG25" s="136"/>
      <c r="BH25" s="136"/>
      <c r="BI25" s="136"/>
    </row>
    <row r="26" spans="1:65">
      <c r="B26">
        <v>18406580</v>
      </c>
      <c r="C26" s="1" t="str">
        <f>IF($B26="","",HYPERLINK(IF(LEN(VLOOKUP($B26,Database!$B$1:$IX$10144,2,FALSE))=0,"",VLOOKUP($B26,Database!$B$1:$IX$10144,2,FALSE))))</f>
        <v/>
      </c>
      <c r="D26" s="1" t="str">
        <f>IF($B26="","",HYPERLINK(CONCATENATE("http://www.ncbi.nlm.nih.gov/pubmed/",B26)))</f>
        <v>http://www.ncbi.nlm.nih.gov/pubmed/18406580</v>
      </c>
      <c r="E26" s="22" t="str">
        <f>IF($B26="","",IF(LEN(VLOOKUP($B26,Database!$B$1:$IX$10144,4,FALSE))=0,"",VLOOKUP($B26,Database!$B$1:$IX$10144,4,FALSE)))</f>
        <v>Frodl T (A)</v>
      </c>
      <c r="F26" s="22">
        <f>IF($B26="","",IF(LEN(VLOOKUP($B26,Database!$B$1:$IX$10144,5,FALSE))=0,"",VLOOKUP($B26,Database!$B$1:$IX$10144,5,FALSE)))</f>
        <v>2008</v>
      </c>
      <c r="G26" s="1" t="str">
        <f>IF($B26="","",HYPERLINK(IF(LEN(VLOOKUP($B26,Database!$B$1:$IX$10144,6,FALSE))=0,"",VLOOKUP($B26,Database!$B$1:$IX$10144,6,FALSE))))</f>
        <v>http://dx.doi.org/10.1016/j.pscychresns.2007.04.012</v>
      </c>
      <c r="H26" s="22">
        <f>IF($B26="","",IF(LEN(VLOOKUP($B26,Database!$B$1:$IX$10144,7,FALSE))=0,"",VLOOKUP($B26,Database!$B$1:$IX$10144,7,FALSE)))</f>
        <v>78</v>
      </c>
      <c r="I26" s="22">
        <f>IF($B26="","",IF(LEN(VLOOKUP($B26,Database!$B$1:$IX$10144,8,FALSE))=0,"",VLOOKUP($B26,Database!$B$1:$IX$10144,8,FALSE)))</f>
        <v>78</v>
      </c>
      <c r="J26" s="2" t="s">
        <v>1427</v>
      </c>
      <c r="L26">
        <v>6.65</v>
      </c>
      <c r="M26">
        <v>1.42</v>
      </c>
      <c r="N26">
        <v>6.06</v>
      </c>
      <c r="O26">
        <v>1.78</v>
      </c>
      <c r="P26">
        <v>6.57</v>
      </c>
      <c r="Q26">
        <v>1.61</v>
      </c>
      <c r="R26">
        <v>6.81</v>
      </c>
      <c r="S26">
        <v>1.56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44.7</v>
      </c>
      <c r="AC26" s="22">
        <f>IF(OR($B26="",AC$22=""),"",IF(LEN(VLOOKUP($B26,Database!$B$1:$IX$10144,AC$22,FALSE))=0,"",VLOOKUP($B26,Database!$B$1:$IX$10144,AC$22,FALSE)))</f>
        <v>12.2</v>
      </c>
      <c r="AD26" s="22">
        <f>IF(OR($B26="",AD$22=""),"",IF(LEN(VLOOKUP($B26,Database!$B$1:$IX$10144,AD$22,FALSE))=0,"",VLOOKUP($B26,Database!$B$1:$IX$10144,AD$22,FALSE)))</f>
        <v>44.1</v>
      </c>
      <c r="AE26" s="22">
        <f>IF(OR($B26="",AE$22=""),"",IF(LEN(VLOOKUP($B26,Database!$B$1:$IX$10144,AE$22,FALSE))=0,"",VLOOKUP($B26,Database!$B$1:$IX$10144,AE$22,FALSE)))</f>
        <v>11.6</v>
      </c>
      <c r="AF26" s="22">
        <f>IF(OR($B26="",AF$22=""),"",IF(LEN(VLOOKUP($B26,Database!$B$1:$IX$10144,AF$22,FALSE))=0,"",VLOOKUP($B26,Database!$B$1:$IX$10144,AF$22,FALSE)))</f>
        <v>40</v>
      </c>
      <c r="AG26" s="22">
        <f>IF(OR($B26="",AG$22=""),"",IF(LEN(VLOOKUP($B26,Database!$B$1:$IX$10144,AG$22,FALSE))=0,"",VLOOKUP($B26,Database!$B$1:$IX$10144,AG$22,FALSE)))</f>
        <v>40</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39.6</v>
      </c>
      <c r="AL26" s="22">
        <f>IF(OR($B26="",AL$22=""),"",IF(LEN(VLOOKUP($B26,Database!$B$1:$IX$10144,AL$22,FALSE))=0,"",VLOOKUP($B26,Database!$B$1:$IX$10144,AL$22,FALSE)))</f>
        <v>23.5</v>
      </c>
      <c r="AM26" s="22" t="str">
        <f>IF(OR($B26="",AM$22=""),"",IF(LEN(VLOOKUP($B26,Database!$B$1:$IX$10144,AM$22,FALSE))=0,"",VLOOKUP($B26,Database!$B$1:$IX$10144,AM$22,FALSE)))</f>
        <v>ns</v>
      </c>
      <c r="AN26" s="22">
        <f>IF(OR($B26="",AN$22=""),"",IF(LEN(VLOOKUP($B26,Database!$B$1:$IX$10144,AN$22,FALSE))=0,"",VLOOKUP($B26,Database!$B$1:$IX$10144,AN$22,FALSE)))</f>
        <v>11.538461538461538</v>
      </c>
      <c r="AO26" s="22">
        <f>IF(OR($B26="",AO$22=""),"",IF(LEN(VLOOKUP($B26,Database!$B$1:$IX$10144,AO$22,FALSE))=0,"",VLOOKUP($B26,Database!$B$1:$IX$10144,AO$22,FALSE)))</f>
        <v>10.256410256410255</v>
      </c>
      <c r="AP26" s="22">
        <f>IF(OR($B26="",AP$22=""),"",IF(LEN(VLOOKUP($B26,Database!$B$1:$IX$10144,AP$22,FALSE))=0,"",VLOOKUP($B26,Database!$B$1:$IX$10144,AP$22,FALSE)))</f>
        <v>10.256410256410255</v>
      </c>
      <c r="AQ26" s="22" t="str">
        <f>IF(OR($B26="",AQ$22=""),"",IF(LEN(VLOOKUP($B26,Database!$B$1:$IX$10144,AQ$22,FALSE))=0,"",VLOOKUP($B26,Database!$B$1:$IX$10144,AQ$22,FALSE)))</f>
        <v>Frodl T, Jäger M, Born C, Ritter S, Kraft E, Zetzsche T, Bottlender R, Leinsinger G, Reiser M, Möller HJ, Meisenzahl E.</v>
      </c>
      <c r="AR26" s="13"/>
      <c r="AX26" s="13"/>
      <c r="AY26" s="13"/>
      <c r="AZ26" s="13"/>
      <c r="BA26" s="13"/>
      <c r="BC26" s="23"/>
      <c r="BF26" s="136"/>
      <c r="BG26" s="136"/>
      <c r="BH26" s="136"/>
      <c r="BI26" s="136"/>
    </row>
    <row r="27" spans="1:65">
      <c r="B27">
        <v>20018381</v>
      </c>
      <c r="C27" s="1" t="str">
        <f>IF($B27="","",HYPERLINK(IF(LEN(VLOOKUP($B27,Database!$B$1:$IX$10144,2,FALSE))=0,"",VLOOKUP($B27,Database!$B$1:$IX$10144,2,FALSE))))</f>
        <v/>
      </c>
      <c r="D27" s="1" t="str">
        <f>IF($B27="","",HYPERLINK(CONCATENATE("http://www.ncbi.nlm.nih.gov/pubmed/",B27)))</f>
        <v>http://www.ncbi.nlm.nih.gov/pubmed/20018381</v>
      </c>
      <c r="E27" s="22" t="str">
        <f>IF($B27="","",IF(LEN(VLOOKUP($B27,Database!$B$1:$IX$10144,4,FALSE))=0,"",VLOOKUP($B27,Database!$B$1:$IX$10144,4,FALSE)))</f>
        <v>Weber K</v>
      </c>
      <c r="F27" s="22">
        <f>IF($B27="","",IF(LEN(VLOOKUP($B27,Database!$B$1:$IX$10144,5,FALSE))=0,"",VLOOKUP($B27,Database!$B$1:$IX$10144,5,FALSE)))</f>
        <v>2009</v>
      </c>
      <c r="G27" s="1" t="str">
        <f>IF($B27="","",HYPERLINK(IF(LEN(VLOOKUP($B27,Database!$B$1:$IX$10144,6,FALSE))=0,"",VLOOKUP($B27,Database!$B$1:$IX$10144,6,FALSE))))</f>
        <v>http://dx.doi.org/10.1016/j.jad.2009.11.016</v>
      </c>
      <c r="H27" s="22">
        <f>IF($B27="","",IF(LEN(VLOOKUP($B27,Database!$B$1:$IX$10144,7,FALSE))=0,"",VLOOKUP($B27,Database!$B$1:$IX$10144,7,FALSE)))</f>
        <v>38</v>
      </c>
      <c r="I27" s="22">
        <f>IF($B27="","",IF(LEN(VLOOKUP($B27,Database!$B$1:$IX$10144,8,FALSE))=0,"",VLOOKUP($B27,Database!$B$1:$IX$10144,8,FALSE)))</f>
        <v>62</v>
      </c>
      <c r="J27" s="2" t="s">
        <v>190</v>
      </c>
      <c r="L27">
        <v>1.37</v>
      </c>
      <c r="M27">
        <v>0.33</v>
      </c>
      <c r="N27">
        <v>1.26</v>
      </c>
      <c r="O27">
        <v>0.37</v>
      </c>
      <c r="P27">
        <v>1.39</v>
      </c>
      <c r="Q27">
        <v>0.39</v>
      </c>
      <c r="R27">
        <v>1.37</v>
      </c>
      <c r="S27">
        <v>0.41</v>
      </c>
      <c r="T27">
        <v>2.72</v>
      </c>
      <c r="U27">
        <v>0.62</v>
      </c>
      <c r="V27">
        <v>2.63</v>
      </c>
      <c r="W27">
        <v>0.63</v>
      </c>
      <c r="X27" s="2"/>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66.11</v>
      </c>
      <c r="AC27" s="22">
        <f>IF(OR($B27="",AC$22=""),"",IF(LEN(VLOOKUP($B27,Database!$B$1:$IX$10144,AC$22,FALSE))=0,"",VLOOKUP($B27,Database!$B$1:$IX$10144,AC$22,FALSE)))</f>
        <v>6.22</v>
      </c>
      <c r="AD27" s="22">
        <f>IF(OR($B27="",AD$22=""),"",IF(LEN(VLOOKUP($B27,Database!$B$1:$IX$10144,AD$22,FALSE))=0,"",VLOOKUP($B27,Database!$B$1:$IX$10144,AD$22,FALSE)))</f>
        <v>71.099999999999994</v>
      </c>
      <c r="AE27" s="22">
        <f>IF(OR($B27="",AE$22=""),"",IF(LEN(VLOOKUP($B27,Database!$B$1:$IX$10144,AE$22,FALSE))=0,"",VLOOKUP($B27,Database!$B$1:$IX$10144,AE$22,FALSE)))</f>
        <v>7.26</v>
      </c>
      <c r="AF27" s="22">
        <f>IF(OR($B27="",AF$22=""),"",IF(LEN(VLOOKUP($B27,Database!$B$1:$IX$10144,AF$22,FALSE))=0,"",VLOOKUP($B27,Database!$B$1:$IX$10144,AF$22,FALSE)))</f>
        <v>31</v>
      </c>
      <c r="AG27" s="22">
        <f>IF(OR($B27="",AG$22=""),"",IF(LEN(VLOOKUP($B27,Database!$B$1:$IX$10144,AG$22,FALSE))=0,"",VLOOKUP($B27,Database!$B$1:$IX$10144,AG$22,FALSE)))</f>
        <v>48</v>
      </c>
      <c r="AH27" s="22">
        <f>IF(OR($B27="",AH$22=""),"",IF(LEN(VLOOKUP($B27,Database!$B$1:$IX$10144,AH$22,FALSE))=0,"",VLOOKUP($B27,Database!$B$1:$IX$10144,AH$22,FALSE)))</f>
        <v>3</v>
      </c>
      <c r="AI27" s="22">
        <f>IF(OR($B27="",AI$22=""),"",IF(LEN(VLOOKUP($B27,Database!$B$1:$IX$10144,AI$22,FALSE))=0,"",VLOOKUP($B27,Database!$B$1:$IX$10144,AI$22,FALSE)))</f>
        <v>0.9</v>
      </c>
      <c r="AJ27" s="22" t="str">
        <f>IF(OR($B27="",AJ$22=""),"",IF(LEN(VLOOKUP($B27,Database!$B$1:$IX$10144,AJ$22,FALSE))=0,"",VLOOKUP($B27,Database!$B$1:$IX$10144,AJ$22,FALSE)))</f>
        <v/>
      </c>
      <c r="AK27" s="22">
        <f>IF(OR($B27="",AK$22=""),"",IF(LEN(VLOOKUP($B27,Database!$B$1:$IX$10144,AK$22,FALSE))=0,"",VLOOKUP($B27,Database!$B$1:$IX$10144,AK$22,FALSE)))</f>
        <v>37.76</v>
      </c>
      <c r="AL27" s="22" t="str">
        <f>IF(OR($B27="",AL$22=""),"",IF(LEN(VLOOKUP($B27,Database!$B$1:$IX$10144,AL$22,FALSE))=0,"",VLOOKUP($B27,Database!$B$1:$IX$10144,AL$22,FALSE)))</f>
        <v>ns</v>
      </c>
      <c r="AM27" s="22">
        <f>IF(OR($B27="",AM$22=""),"",IF(LEN(VLOOKUP($B27,Database!$B$1:$IX$10144,AM$22,FALSE))=0,"",VLOOKUP($B27,Database!$B$1:$IX$10144,AM$22,FALSE)))</f>
        <v>47.368421052631575</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Weber K, Giannakopoulos P, Delaloye C, de Bilbao F, Moy G, Moussa A, Rubio MM, Ebbing K, Meuli R, Lazeyras F, Meiler-Mititelu C, Herrmann FR, Gold G, Canuto A.</v>
      </c>
      <c r="AR27" s="13"/>
      <c r="AX27" s="13"/>
      <c r="AY27" s="13"/>
      <c r="AZ27" s="13"/>
      <c r="BA27" s="13"/>
      <c r="BC27" s="23"/>
      <c r="BF27" s="136"/>
      <c r="BG27" s="136"/>
      <c r="BH27" s="136"/>
      <c r="BI27" s="136"/>
    </row>
    <row r="28" spans="1:65">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A30" s="10" t="s">
        <v>260</v>
      </c>
      <c r="B30">
        <v>14702257</v>
      </c>
      <c r="C30" s="1" t="str">
        <f>IF($B30="","",HYPERLINK(IF(LEN(VLOOKUP($B30,Database!$B$1:$IX$10144,2,FALSE))=0,"",VLOOKUP($B30,Database!$B$1:$IX$10144,2,FALSE))))</f>
        <v/>
      </c>
      <c r="D30" s="1" t="str">
        <f>IF($B30="","",HYPERLINK(CONCATENATE("http://www.ncbi.nlm.nih.gov/pubmed/",B30)))</f>
        <v>http://www.ncbi.nlm.nih.gov/pubmed/14702257</v>
      </c>
      <c r="E30" s="22" t="str">
        <f>IF($B30="","",IF(LEN(VLOOKUP($B30,Database!$B$1:$IX$10144,4,FALSE))=0,"",VLOOKUP($B30,Database!$B$1:$IX$10144,4,FALSE)))</f>
        <v>Ballmaier M (A)</v>
      </c>
      <c r="F30" s="22">
        <f>IF($B30="","",IF(LEN(VLOOKUP($B30,Database!$B$1:$IX$10144,5,FALSE))=0,"",VLOOKUP($B30,Database!$B$1:$IX$10144,5,FALSE)))</f>
        <v>2004</v>
      </c>
      <c r="G30" s="1" t="str">
        <f>IF($B30="","",HYPERLINK(IF(LEN(VLOOKUP($B30,Database!$B$1:$IX$10144,6,FALSE))=0,"",VLOOKUP($B30,Database!$B$1:$IX$10144,6,FALSE))))</f>
        <v>http://ajp.psychiatryonline.org/cgi/reprint/161/1/99</v>
      </c>
      <c r="H30" s="22">
        <f>IF($B30="","",IF(LEN(VLOOKUP($B30,Database!$B$1:$IX$10144,7,FALSE))=0,"",VLOOKUP($B30,Database!$B$1:$IX$10144,7,FALSE)))</f>
        <v>24</v>
      </c>
      <c r="I30" s="22">
        <f>IF($B30="","",IF(LEN(VLOOKUP($B30,Database!$B$1:$IX$10144,8,FALSE))=0,"",VLOOKUP($B30,Database!$B$1:$IX$10144,8,FALSE)))</f>
        <v>19</v>
      </c>
      <c r="J30" t="s">
        <v>922</v>
      </c>
      <c r="L30">
        <v>4391</v>
      </c>
      <c r="M30">
        <v>1064</v>
      </c>
      <c r="N30">
        <v>5472</v>
      </c>
      <c r="O30">
        <v>896</v>
      </c>
      <c r="P30">
        <v>4433</v>
      </c>
      <c r="Q30">
        <v>1195</v>
      </c>
      <c r="R30">
        <v>5676</v>
      </c>
      <c r="S30">
        <v>1003</v>
      </c>
      <c r="X30" s="7"/>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65.849999999999994</v>
      </c>
      <c r="AC30" s="22">
        <f>IF(OR($B30="",AC$22=""),"",IF(LEN(VLOOKUP($B30,Database!$B$1:$IX$10144,AC$22,FALSE))=0,"",VLOOKUP($B30,Database!$B$1:$IX$10144,AC$22,FALSE)))</f>
        <v>8.18</v>
      </c>
      <c r="AD30" s="22">
        <f>IF(OR($B30="",AD$22=""),"",IF(LEN(VLOOKUP($B30,Database!$B$1:$IX$10144,AD$22,FALSE))=0,"",VLOOKUP($B30,Database!$B$1:$IX$10144,AD$22,FALSE)))</f>
        <v>66.239999999999995</v>
      </c>
      <c r="AE30" s="22">
        <f>IF(OR($B30="",AE$22=""),"",IF(LEN(VLOOKUP($B30,Database!$B$1:$IX$10144,AE$22,FALSE))=0,"",VLOOKUP($B30,Database!$B$1:$IX$10144,AE$22,FALSE)))</f>
        <v>7.25</v>
      </c>
      <c r="AF30" s="22">
        <f>IF(OR($B30="",AF$22=""),"",IF(LEN(VLOOKUP($B30,Database!$B$1:$IX$10144,AF$22,FALSE))=0,"",VLOOKUP($B30,Database!$B$1:$IX$10144,AF$22,FALSE)))</f>
        <v>18</v>
      </c>
      <c r="AG30" s="22">
        <f>IF(OR($B30="",AG$22=""),"",IF(LEN(VLOOKUP($B30,Database!$B$1:$IX$10144,AG$22,FALSE))=0,"",VLOOKUP($B30,Database!$B$1:$IX$10144,AG$22,FALSE)))</f>
        <v>15</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2">
        <f>IF(OR($B30="",AK$22=""),"",IF(LEN(VLOOKUP($B30,Database!$B$1:$IX$10144,AK$22,FALSE))=0,"",VLOOKUP($B30,Database!$B$1:$IX$10144,AK$22,FALSE)))</f>
        <v>35</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11" t="str">
        <f>IF(OR($B30="",AQ$22=""),"",IF(LEN(VLOOKUP($B30,Database!$B$1:$IX$10144,AQ$22,FALSE))=0,"",VLOOKUP($B30,Database!$B$1:$IX$10144,AQ$22,FALSE)))</f>
        <v>Ballmaier M, Toga AW, Blanton RE, Sowell ER, Lavretsky H, Peterson J, Pham D, Kumar A.</v>
      </c>
    </row>
    <row r="31" spans="1:65">
      <c r="A31" s="10" t="s">
        <v>2338</v>
      </c>
      <c r="B31">
        <v>17389903</v>
      </c>
      <c r="C31" s="1" t="str">
        <f>IF($B31="","",HYPERLINK(IF(LEN(VLOOKUP($B31,Database!$B$1:$IX$10144,2,FALSE))=0,"",VLOOKUP($B31,Database!$B$1:$IX$10144,2,FALSE))))</f>
        <v/>
      </c>
      <c r="D31" s="1" t="str">
        <f>IF($B31="","",HYPERLINK(CONCATENATE("http://www.ncbi.nlm.nih.gov/pubmed/",B31)))</f>
        <v>http://www.ncbi.nlm.nih.gov/pubmed/17389903</v>
      </c>
      <c r="E31" s="22" t="str">
        <f>IF($B31="","",IF(LEN(VLOOKUP($B31,Database!$B$1:$IX$10144,4,FALSE))=0,"",VLOOKUP($B31,Database!$B$1:$IX$10144,4,FALSE)))</f>
        <v>Monkul ES</v>
      </c>
      <c r="F31" s="22">
        <f>IF($B31="","",IF(LEN(VLOOKUP($B31,Database!$B$1:$IX$10144,5,FALSE))=0,"",VLOOKUP($B31,Database!$B$1:$IX$10144,5,FALSE)))</f>
        <v>2007</v>
      </c>
      <c r="G31" s="1" t="str">
        <f>IF($B31="","",HYPERLINK(IF(LEN(VLOOKUP($B31,Database!$B$1:$IX$10144,6,FALSE))=0,"",VLOOKUP($B31,Database!$B$1:$IX$10144,6,FALSE))))</f>
        <v>http://www.nature.com/mp/journal/v12/n4/pdf/4001919a.pdf</v>
      </c>
      <c r="H31" s="83">
        <v>7</v>
      </c>
      <c r="I31" s="83">
        <v>8.5</v>
      </c>
      <c r="J31" t="s">
        <v>1370</v>
      </c>
      <c r="K31" t="s">
        <v>1157</v>
      </c>
      <c r="L31">
        <v>2.73</v>
      </c>
      <c r="M31">
        <v>0.48</v>
      </c>
      <c r="N31">
        <v>3.17</v>
      </c>
      <c r="O31">
        <v>0.52</v>
      </c>
      <c r="P31">
        <v>2.66</v>
      </c>
      <c r="Q31">
        <v>0.26</v>
      </c>
      <c r="R31">
        <v>3</v>
      </c>
      <c r="S31">
        <v>0.56000000000000005</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f>IF(OR($B31="",AD$22=""),"",IF(LEN(VLOOKUP($B31,Database!$B$1:$IX$10144,AD$22,FALSE))=0,"",VLOOKUP($B31,Database!$B$1:$IX$10144,AD$22,FALSE)))</f>
        <v>31.3</v>
      </c>
      <c r="AE31" s="22">
        <f>IF(OR($B31="",AE$22=""),"",IF(LEN(VLOOKUP($B31,Database!$B$1:$IX$10144,AE$22,FALSE))=0,"",VLOOKUP($B31,Database!$B$1:$IX$10144,AE$22,FALSE)))</f>
        <v>8.3000000000000007</v>
      </c>
      <c r="AF31" s="22">
        <f>IF(OR($B31="",AF$22=""),"",IF(LEN(VLOOKUP($B31,Database!$B$1:$IX$10144,AF$22,FALSE))=0,"",VLOOKUP($B31,Database!$B$1:$IX$10144,AF$22,FALSE)))</f>
        <v>17</v>
      </c>
      <c r="AG31" s="22">
        <f>IF(OR($B31="",AG$22=""),"",IF(LEN(VLOOKUP($B31,Database!$B$1:$IX$10144,AG$22,FALSE))=0,"",VLOOKUP($B31,Database!$B$1:$IX$10144,AG$22,FALSE)))</f>
        <v>17</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t="str">
        <f>IF(OR($B31="",AK$22=""),"",IF(LEN(VLOOKUP($B31,Database!$B$1:$IX$10144,AK$22,FALSE))=0,"",VLOOKUP($B31,Database!$B$1:$IX$10144,AK$22,FALSE)))</f>
        <v>split depending on group (suicidal=16, nonsuicidal=26.9)</v>
      </c>
      <c r="AL31" s="22" t="str">
        <f>IF(OR($B31="",AL$22=""),"",IF(LEN(VLOOKUP($B31,Database!$B$1:$IX$10144,AL$22,FALSE))=0,"",VLOOKUP($B31,Database!$B$1:$IX$10144,AL$22,FALSE)))</f>
        <v>split depending on group (suicidal =13.7, non-suicidal = 10.9)</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f>IF(OR($B31="",AP$22=""),"",IF(LEN(VLOOKUP($B31,Database!$B$1:$IX$10144,AP$22,FALSE))=0,"",VLOOKUP($B31,Database!$B$1:$IX$10144,AP$22,FALSE)))</f>
        <v>100</v>
      </c>
      <c r="AQ31" s="22" t="str">
        <f>IF(OR($B31="",AQ$22=""),"",IF(LEN(VLOOKUP($B31,Database!$B$1:$IX$10144,AQ$22,FALSE))=0,"",VLOOKUP($B31,Database!$B$1:$IX$10144,AQ$22,FALSE)))</f>
        <v>Monkul ES, Hatch JP, Nicoletti MA, Spence S, Brambilla P, Lacerda AL, Sassi RB, Mallinger AG, Keshavan MS, Soares JC.</v>
      </c>
    </row>
    <row r="32" spans="1:65">
      <c r="A32" s="10" t="s">
        <v>2338</v>
      </c>
      <c r="B32">
        <v>17389903</v>
      </c>
      <c r="C32" s="1" t="str">
        <f>IF($B32="","",HYPERLINK(IF(LEN(VLOOKUP($B32,Database!$B$1:$IX$10144,2,FALSE))=0,"",VLOOKUP($B32,Database!$B$1:$IX$10144,2,FALSE))))</f>
        <v/>
      </c>
      <c r="D32" s="1" t="str">
        <f>IF($B32="","",HYPERLINK(CONCATENATE("http://www.ncbi.nlm.nih.gov/pubmed/",B32)))</f>
        <v>http://www.ncbi.nlm.nih.gov/pubmed/17389903</v>
      </c>
      <c r="E32" s="22" t="str">
        <f>IF($B32="","",IF(LEN(VLOOKUP($B32,Database!$B$1:$IX$10144,4,FALSE))=0,"",VLOOKUP($B32,Database!$B$1:$IX$10144,4,FALSE)))</f>
        <v>Monkul ES</v>
      </c>
      <c r="F32" s="22">
        <f>IF($B32="","",IF(LEN(VLOOKUP($B32,Database!$B$1:$IX$10144,5,FALSE))=0,"",VLOOKUP($B32,Database!$B$1:$IX$10144,5,FALSE)))</f>
        <v>2007</v>
      </c>
      <c r="G32" s="1" t="str">
        <f>IF($B32="","",HYPERLINK(IF(LEN(VLOOKUP($B32,Database!$B$1:$IX$10144,6,FALSE))=0,"",VLOOKUP($B32,Database!$B$1:$IX$10144,6,FALSE))))</f>
        <v>http://www.nature.com/mp/journal/v12/n4/pdf/4001919a.pdf</v>
      </c>
      <c r="H32" s="83">
        <v>10</v>
      </c>
      <c r="I32" s="83">
        <v>8.5</v>
      </c>
      <c r="J32" t="s">
        <v>1370</v>
      </c>
      <c r="K32" t="s">
        <v>1158</v>
      </c>
      <c r="L32">
        <v>2.74</v>
      </c>
      <c r="M32">
        <v>0.62</v>
      </c>
      <c r="N32">
        <v>3.17</v>
      </c>
      <c r="O32">
        <v>0.52</v>
      </c>
      <c r="P32">
        <v>3.1</v>
      </c>
      <c r="Q32">
        <v>0.54</v>
      </c>
      <c r="R32">
        <v>3</v>
      </c>
      <c r="S32">
        <v>0.56000000000000005</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f>IF(OR($B32="",AD$22=""),"",IF(LEN(VLOOKUP($B32,Database!$B$1:$IX$10144,AD$22,FALSE))=0,"",VLOOKUP($B32,Database!$B$1:$IX$10144,AD$22,FALSE)))</f>
        <v>31.3</v>
      </c>
      <c r="AE32" s="22">
        <f>IF(OR($B32="",AE$22=""),"",IF(LEN(VLOOKUP($B32,Database!$B$1:$IX$10144,AE$22,FALSE))=0,"",VLOOKUP($B32,Database!$B$1:$IX$10144,AE$22,FALSE)))</f>
        <v>8.3000000000000007</v>
      </c>
      <c r="AF32" s="22">
        <f>IF(OR($B32="",AF$22=""),"",IF(LEN(VLOOKUP($B32,Database!$B$1:$IX$10144,AF$22,FALSE))=0,"",VLOOKUP($B32,Database!$B$1:$IX$10144,AF$22,FALSE)))</f>
        <v>17</v>
      </c>
      <c r="AG32" s="22">
        <f>IF(OR($B32="",AG$22=""),"",IF(LEN(VLOOKUP($B32,Database!$B$1:$IX$10144,AG$22,FALSE))=0,"",VLOOKUP($B32,Database!$B$1:$IX$10144,AG$22,FALSE)))</f>
        <v>17</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t="str">
        <f>IF(OR($B32="",AK$22=""),"",IF(LEN(VLOOKUP($B32,Database!$B$1:$IX$10144,AK$22,FALSE))=0,"",VLOOKUP($B32,Database!$B$1:$IX$10144,AK$22,FALSE)))</f>
        <v>split depending on group (suicidal=16, nonsuicidal=26.9)</v>
      </c>
      <c r="AL32" s="22" t="str">
        <f>IF(OR($B32="",AL$22=""),"",IF(LEN(VLOOKUP($B32,Database!$B$1:$IX$10144,AL$22,FALSE))=0,"",VLOOKUP($B32,Database!$B$1:$IX$10144,AL$22,FALSE)))</f>
        <v>split depending on group (suicidal =13.7, non-suicidal = 10.9)</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2" t="str">
        <f>IF(OR($B32="",AQ$22=""),"",IF(LEN(VLOOKUP($B32,Database!$B$1:$IX$10144,AQ$22,FALSE))=0,"",VLOOKUP($B32,Database!$B$1:$IX$10144,AQ$22,FALSE)))</f>
        <v>Monkul ES, Hatch JP, Nicoletti MA, Spence S, Brambilla P, Lacerda AL, Sassi RB, Mallinger AG, Keshavan MS, Soares JC.</v>
      </c>
    </row>
    <row r="33" spans="3:51">
      <c r="C33" s="1"/>
      <c r="D33" s="1"/>
      <c r="E33" s="22"/>
      <c r="F33" s="22"/>
      <c r="G33" s="1"/>
      <c r="H33" s="83"/>
      <c r="I33" s="83"/>
      <c r="Y33" s="22"/>
      <c r="Z33" s="22"/>
      <c r="AA33" s="22"/>
      <c r="AB33" s="22"/>
      <c r="AC33" s="22"/>
      <c r="AD33" s="22"/>
      <c r="AE33" s="22"/>
      <c r="AF33" s="22"/>
      <c r="AG33" s="22"/>
      <c r="AH33" s="22"/>
      <c r="AI33" s="22"/>
      <c r="AJ33" s="22"/>
      <c r="AK33" s="22"/>
      <c r="AL33" s="22"/>
      <c r="AM33" s="22"/>
      <c r="AN33" s="22"/>
      <c r="AO33" s="22"/>
      <c r="AP33" s="22"/>
      <c r="AQ33" s="22"/>
    </row>
    <row r="34" spans="3:51">
      <c r="I34" s="22" t="str">
        <f>IF($B34="","",IF(LEN(VLOOKUP($B34,Database!$B$1:$IX$10144,8,FALSE))=0,"",VLOOKUP($B34,Database!$B$1:$IX$10144,8,FALSE)))</f>
        <v/>
      </c>
      <c r="AF34" t="s">
        <v>602</v>
      </c>
      <c r="AJ34" t="s">
        <v>329</v>
      </c>
      <c r="AN34" t="s">
        <v>330</v>
      </c>
    </row>
    <row r="35" spans="3:51" ht="45" customHeight="1">
      <c r="E35" s="60" t="s">
        <v>617</v>
      </c>
      <c r="F35" s="60" t="s">
        <v>740</v>
      </c>
      <c r="G35" s="60" t="s">
        <v>244</v>
      </c>
      <c r="H35" s="60" t="s">
        <v>245</v>
      </c>
      <c r="I35" s="60" t="s">
        <v>246</v>
      </c>
      <c r="J35" s="60" t="s">
        <v>593</v>
      </c>
      <c r="K35" s="60" t="s">
        <v>1039</v>
      </c>
      <c r="L35" s="60" t="s">
        <v>594</v>
      </c>
      <c r="M35" s="60" t="s">
        <v>1299</v>
      </c>
      <c r="N35" s="61" t="s">
        <v>595</v>
      </c>
      <c r="O35" s="61" t="s">
        <v>596</v>
      </c>
      <c r="P35" s="61" t="s">
        <v>597</v>
      </c>
      <c r="Q35" s="61" t="s">
        <v>598</v>
      </c>
      <c r="R35" s="61" t="s">
        <v>599</v>
      </c>
      <c r="S35" s="61" t="s">
        <v>600</v>
      </c>
      <c r="T35" s="61" t="s">
        <v>601</v>
      </c>
      <c r="U35" s="61" t="s">
        <v>484</v>
      </c>
      <c r="V35" s="61" t="s">
        <v>485</v>
      </c>
      <c r="W35" s="61" t="s">
        <v>486</v>
      </c>
      <c r="AF35" s="61" t="s">
        <v>1517</v>
      </c>
      <c r="AG35" s="62" t="s">
        <v>834</v>
      </c>
      <c r="AH35" s="62" t="s">
        <v>835</v>
      </c>
      <c r="AJ35" s="61" t="s">
        <v>836</v>
      </c>
      <c r="AK35" s="61" t="s">
        <v>837</v>
      </c>
      <c r="AL35" s="61" t="s">
        <v>487</v>
      </c>
      <c r="AN35" t="s">
        <v>488</v>
      </c>
      <c r="AO35" t="s">
        <v>489</v>
      </c>
      <c r="AP35" t="s">
        <v>490</v>
      </c>
      <c r="AQ35" t="s">
        <v>491</v>
      </c>
      <c r="AR35" t="s">
        <v>492</v>
      </c>
      <c r="AS35" t="s">
        <v>493</v>
      </c>
      <c r="AT35" t="s">
        <v>494</v>
      </c>
      <c r="AU35" t="s">
        <v>495</v>
      </c>
      <c r="AV35" t="s">
        <v>496</v>
      </c>
      <c r="AW35" t="s">
        <v>497</v>
      </c>
      <c r="AX35" t="s">
        <v>498</v>
      </c>
      <c r="AY35" t="s">
        <v>499</v>
      </c>
    </row>
    <row r="36" spans="3:51">
      <c r="E36" t="str">
        <f t="shared" ref="E36:F39" si="0">E24</f>
        <v>Caetano SC</v>
      </c>
      <c r="F36">
        <f t="shared" si="0"/>
        <v>2006</v>
      </c>
      <c r="G36">
        <v>4</v>
      </c>
      <c r="H36">
        <f t="shared" ref="H36:I39" si="1">H24</f>
        <v>31</v>
      </c>
      <c r="I36">
        <f t="shared" si="1"/>
        <v>31</v>
      </c>
      <c r="J36">
        <f t="shared" ref="J36:M37" si="2">IF($D$4="Total",T24,IF($D$4="Left",L24,IF($D$4="Right",P24,"error")))</f>
        <v>2.52</v>
      </c>
      <c r="K36">
        <f t="shared" si="2"/>
        <v>0.43</v>
      </c>
      <c r="L36">
        <f t="shared" si="2"/>
        <v>2.85</v>
      </c>
      <c r="M36">
        <f t="shared" si="2"/>
        <v>0.53</v>
      </c>
      <c r="N36">
        <f>IF($D$3=1,SQRT((((I36-1)*(M36)^2)+((H36-1)*(K36)^2))/(H36+I36-2)),M36)</f>
        <v>0.48259714048054614</v>
      </c>
      <c r="O36" s="59">
        <f>IF($D$6=1,LN(J36/L36),IF($D$5=1,(1-3/(4*(H36+I36)-9))*((J36-L36)/N36),(J36-L36)/N36))</f>
        <v>-0.67521689055451362</v>
      </c>
      <c r="P36" s="63">
        <f>IF($D$6=1,(K36^2)/(H36*J36^2)+(M36^2)/(I36*L36^2),(IF($D$5=1,((H36+I36)/(H36*I36))+(O36*O36)/(2*(H36+I36-3.94)),((H36+I36)/(H36*I36))+((O36^2)/(2*(H36+I36-2))))))</f>
        <v>6.8442393666172163E-2</v>
      </c>
      <c r="Q36" s="59">
        <f>$R$56*SQRT(P36)</f>
        <v>0.51276534546317276</v>
      </c>
      <c r="R36" s="59">
        <f>1/P36</f>
        <v>14.610827389782726</v>
      </c>
      <c r="S36" s="59">
        <f>O36*R36</f>
        <v>-9.8654774385578126</v>
      </c>
      <c r="T36" s="59">
        <f>R36*(O36^2)</f>
        <v>6.6613369998987144</v>
      </c>
      <c r="U36" s="23">
        <f>R36^2</f>
        <v>213.4762770140251</v>
      </c>
      <c r="V36" s="59">
        <f>1/((1/R36)+$I$53)</f>
        <v>10.298158924921394</v>
      </c>
      <c r="W36" s="59">
        <f>V36*O36</f>
        <v>-6.9534908477216364</v>
      </c>
      <c r="AF36" s="59">
        <f>IF($D$6=1,100*((EXP(O36))-1),O36)</f>
        <v>-0.67521689055451362</v>
      </c>
      <c r="AG36" s="59">
        <f>IF($D$6=1,100*(EXP(O36+Q36)-EXP(O36)),Q36)</f>
        <v>0.51276534546317276</v>
      </c>
      <c r="AH36" s="59">
        <f>IF($D$6=1,100*(EXP(O36)-EXP(O36-Q36)),Q36)</f>
        <v>0.51276534546317276</v>
      </c>
      <c r="AJ36">
        <f>SQRT(P36)</f>
        <v>0.26161497217508817</v>
      </c>
      <c r="AK36">
        <f>1/AJ36</f>
        <v>3.8224112010330242</v>
      </c>
      <c r="AL36">
        <f>O36/AJ36</f>
        <v>-2.5809566055822626</v>
      </c>
      <c r="AN36" t="str">
        <f t="shared" ref="AN36:AO39" si="3">E36</f>
        <v>Caetano SC</v>
      </c>
      <c r="AO36">
        <f t="shared" si="3"/>
        <v>2006</v>
      </c>
      <c r="AP36" t="str">
        <f>CONCATENATE(AN36," ",AO36)</f>
        <v>Caetano SC 2006</v>
      </c>
      <c r="AQ36">
        <f>INT(H36)</f>
        <v>31</v>
      </c>
      <c r="AR36">
        <f t="shared" ref="AR36:AS39" si="4">J36</f>
        <v>2.52</v>
      </c>
      <c r="AS36">
        <f t="shared" si="4"/>
        <v>0.43</v>
      </c>
      <c r="AT36">
        <f>INT(I36)</f>
        <v>31</v>
      </c>
      <c r="AU36">
        <f t="shared" ref="AU36:AV39" si="5">L36</f>
        <v>2.85</v>
      </c>
      <c r="AV36">
        <f t="shared" si="5"/>
        <v>0.53</v>
      </c>
      <c r="AW36" s="65">
        <f>O36</f>
        <v>-0.67521689055451362</v>
      </c>
      <c r="AX36">
        <f>SQRT(P36)</f>
        <v>0.26161497217508817</v>
      </c>
      <c r="AY36" t="str">
        <f>$F$6</f>
        <v>Cohens Effect size</v>
      </c>
    </row>
    <row r="37" spans="3:51">
      <c r="E37" t="str">
        <f t="shared" si="0"/>
        <v>Lavretsky H</v>
      </c>
      <c r="F37">
        <f t="shared" si="0"/>
        <v>2007</v>
      </c>
      <c r="G37">
        <v>3</v>
      </c>
      <c r="H37">
        <f t="shared" si="1"/>
        <v>43</v>
      </c>
      <c r="I37">
        <f t="shared" si="1"/>
        <v>41</v>
      </c>
      <c r="J37">
        <f t="shared" si="2"/>
        <v>4.3E-3</v>
      </c>
      <c r="K37">
        <f t="shared" si="2"/>
        <v>1.4E-3</v>
      </c>
      <c r="L37">
        <f t="shared" si="2"/>
        <v>4.4000000000000003E-3</v>
      </c>
      <c r="M37">
        <f t="shared" si="2"/>
        <v>6.9999999999999999E-4</v>
      </c>
      <c r="N37">
        <f>IF($D$3=1,SQRT((((I37-1)*(M37)^2)+((H37-1)*(K37)^2))/(H37+I37-2)),M37)</f>
        <v>1.1148662831336736E-3</v>
      </c>
      <c r="O37" s="59">
        <f>IF($D$6=1,LN(J37/L37),IF($D$5=1,(1-3/(4*(H37+I37)-9))*((J37-L37)/N37),(J37-L37)/N37))</f>
        <v>-8.8873948657625351E-2</v>
      </c>
      <c r="P37" s="63">
        <f>IF($D$6=1,(K37^2)/(H37*J37^2)+(M37^2)/(I37*L37^2),(IF($D$5=1,((H37+I37)/(H37*I37))+(O37*O37)/(2*(H37+I37-3.94)),((H37+I37)/(H37*I37))+((O37^2)/(2*(H37+I37-2))))))</f>
        <v>4.7695386976274623E-2</v>
      </c>
      <c r="Q37" s="59">
        <f>$R$56*SQRT(P37)</f>
        <v>0.42804976183623394</v>
      </c>
      <c r="R37" s="59">
        <f>1/P37</f>
        <v>20.966388227386339</v>
      </c>
      <c r="S37" s="59">
        <f>O37*R37</f>
        <v>-1.8633657108565742</v>
      </c>
      <c r="T37" s="59">
        <f>R37*(O37^2)</f>
        <v>0.16560466851704672</v>
      </c>
      <c r="U37" s="23">
        <f>R37^2</f>
        <v>439.58943530148446</v>
      </c>
      <c r="V37" s="59">
        <f>1/((1/R37)+$I$53)</f>
        <v>13.096251207681991</v>
      </c>
      <c r="W37" s="59">
        <f>V37*O37</f>
        <v>-1.1639155574388933</v>
      </c>
      <c r="AF37" s="59">
        <f>IF($D$6=1,100*((EXP(O37))-1),O37)</f>
        <v>-8.8873948657625351E-2</v>
      </c>
      <c r="AG37" s="59">
        <f>IF($D$6=1,100*(EXP(O37+Q37)-EXP(O37)),Q37)</f>
        <v>0.42804976183623394</v>
      </c>
      <c r="AH37" s="59">
        <f>IF($D$6=1,100*(EXP(O37)-EXP(O37-Q37)),Q37)</f>
        <v>0.42804976183623394</v>
      </c>
      <c r="AJ37">
        <f>SQRT(P37)</f>
        <v>0.21839273563073161</v>
      </c>
      <c r="AK37">
        <f>1/AJ37</f>
        <v>4.5789068812748681</v>
      </c>
      <c r="AL37">
        <f>O37/AJ37</f>
        <v>-0.40694553507447001</v>
      </c>
      <c r="AN37" t="str">
        <f t="shared" si="3"/>
        <v>Lavretsky H</v>
      </c>
      <c r="AO37">
        <f t="shared" si="3"/>
        <v>2007</v>
      </c>
      <c r="AP37" t="str">
        <f>CONCATENATE(AN37," ",AO37)</f>
        <v>Lavretsky H 2007</v>
      </c>
      <c r="AQ37">
        <f>INT(H37)</f>
        <v>43</v>
      </c>
      <c r="AR37">
        <f t="shared" si="4"/>
        <v>4.3E-3</v>
      </c>
      <c r="AS37">
        <f t="shared" si="4"/>
        <v>1.4E-3</v>
      </c>
      <c r="AT37">
        <f>INT(I37)</f>
        <v>41</v>
      </c>
      <c r="AU37">
        <f t="shared" si="5"/>
        <v>4.4000000000000003E-3</v>
      </c>
      <c r="AV37">
        <f t="shared" si="5"/>
        <v>6.9999999999999999E-4</v>
      </c>
      <c r="AW37" s="65">
        <f>O37</f>
        <v>-8.8873948657625351E-2</v>
      </c>
      <c r="AX37">
        <f>SQRT(P37)</f>
        <v>0.21839273563073161</v>
      </c>
    </row>
    <row r="38" spans="3:51">
      <c r="E38" t="str">
        <f t="shared" si="0"/>
        <v>Frodl T (A)</v>
      </c>
      <c r="F38">
        <f t="shared" si="0"/>
        <v>2008</v>
      </c>
      <c r="G38">
        <v>2</v>
      </c>
      <c r="H38">
        <f t="shared" si="1"/>
        <v>78</v>
      </c>
      <c r="I38">
        <f t="shared" si="1"/>
        <v>78</v>
      </c>
      <c r="J38">
        <f t="shared" ref="J38:M39" si="6">IF($D$4="Total",T26,IF($D$4="Left",L26,IF($D$4="Right",P26,"error")))</f>
        <v>6.57</v>
      </c>
      <c r="K38">
        <f t="shared" si="6"/>
        <v>1.61</v>
      </c>
      <c r="L38">
        <f t="shared" si="6"/>
        <v>6.81</v>
      </c>
      <c r="M38">
        <f t="shared" si="6"/>
        <v>1.56</v>
      </c>
      <c r="N38">
        <f>IF($D$3=1,SQRT((((I38-1)*(M38)^2)+((H38-1)*(K38)^2))/(H38+I38-2)),M38)</f>
        <v>1.5851971486222147</v>
      </c>
      <c r="O38" s="59">
        <f>IF($D$6=1,LN(J38/L38),IF($D$5=1,(1-3/(4*(H38+I38)-9))*((J38-L38)/N38),(J38-L38)/N38))</f>
        <v>-0.15066218640391979</v>
      </c>
      <c r="P38" s="63">
        <f>IF($D$6=1,(K38^2)/(H38*J38^2)+(M38^2)/(I38*L38^2),(IF($D$5=1,((H38+I38)/(H38*I38))+(O38*O38)/(2*(H38+I38-3.94)),((H38+I38)/(H38*I38))+((O38^2)/(2*(H38+I38-2))))))</f>
        <v>2.5715664252139704E-2</v>
      </c>
      <c r="Q38" s="59">
        <f>$R$56*SQRT(P38)</f>
        <v>0.31430764513613074</v>
      </c>
      <c r="R38" s="59">
        <f>1/P38</f>
        <v>38.886804174883167</v>
      </c>
      <c r="S38" s="59">
        <f>O38*R38</f>
        <v>-5.8587709392489744</v>
      </c>
      <c r="T38" s="59">
        <f>R38*(O38^2)</f>
        <v>0.88269523934699723</v>
      </c>
      <c r="U38" s="23">
        <f>R38^2</f>
        <v>1512.1835389357109</v>
      </c>
      <c r="V38" s="59">
        <f>1/((1/R38)+$I$53)</f>
        <v>18.38978788252188</v>
      </c>
      <c r="W38" s="59">
        <f>V38*O38</f>
        <v>-2.7706456498850569</v>
      </c>
      <c r="AF38" s="59">
        <f>IF($D$6=1,100*((EXP(O38))-1),O38)</f>
        <v>-0.15066218640391979</v>
      </c>
      <c r="AG38" s="59">
        <f>IF($D$6=1,100*(EXP(O38+Q38)-EXP(O38)),Q38)</f>
        <v>0.31430764513613074</v>
      </c>
      <c r="AH38" s="59">
        <f>IF($D$6=1,100*(EXP(O38)-EXP(O38-Q38)),Q38)</f>
        <v>0.31430764513613074</v>
      </c>
      <c r="AJ38">
        <f>SQRT(P38)</f>
        <v>0.16036104343680141</v>
      </c>
      <c r="AK38">
        <f>1/AJ38</f>
        <v>6.2359284934068286</v>
      </c>
      <c r="AL38">
        <f>O38/AJ38</f>
        <v>-0.93951862107517425</v>
      </c>
      <c r="AN38" t="str">
        <f t="shared" si="3"/>
        <v>Frodl T (A)</v>
      </c>
      <c r="AO38">
        <f t="shared" si="3"/>
        <v>2008</v>
      </c>
      <c r="AP38" t="str">
        <f>CONCATENATE(AN38," ",AO38)</f>
        <v>Frodl T (A) 2008</v>
      </c>
      <c r="AQ38">
        <f>INT(H38)</f>
        <v>78</v>
      </c>
      <c r="AR38">
        <f t="shared" si="4"/>
        <v>6.57</v>
      </c>
      <c r="AS38">
        <f t="shared" si="4"/>
        <v>1.61</v>
      </c>
      <c r="AT38">
        <f>INT(I38)</f>
        <v>78</v>
      </c>
      <c r="AU38">
        <f t="shared" si="5"/>
        <v>6.81</v>
      </c>
      <c r="AV38">
        <f t="shared" si="5"/>
        <v>1.56</v>
      </c>
      <c r="AW38" s="65">
        <f>O38</f>
        <v>-0.15066218640391979</v>
      </c>
      <c r="AX38">
        <f>SQRT(P38)</f>
        <v>0.16036104343680141</v>
      </c>
    </row>
    <row r="39" spans="3:51">
      <c r="E39" t="str">
        <f t="shared" si="0"/>
        <v>Weber K</v>
      </c>
      <c r="F39">
        <f t="shared" si="0"/>
        <v>2009</v>
      </c>
      <c r="G39">
        <v>1</v>
      </c>
      <c r="H39">
        <f t="shared" si="1"/>
        <v>38</v>
      </c>
      <c r="I39">
        <f t="shared" si="1"/>
        <v>62</v>
      </c>
      <c r="J39">
        <f t="shared" si="6"/>
        <v>1.39</v>
      </c>
      <c r="K39">
        <f t="shared" si="6"/>
        <v>0.39</v>
      </c>
      <c r="L39">
        <f t="shared" si="6"/>
        <v>1.37</v>
      </c>
      <c r="M39">
        <f t="shared" si="6"/>
        <v>0.41</v>
      </c>
      <c r="N39">
        <f>IF($D$3=1,SQRT((((I39-1)*(M39)^2)+((H39-1)*(K39)^2))/(H39+I39-2)),M39)</f>
        <v>0.4025657507457252</v>
      </c>
      <c r="O39" s="59">
        <f>IF($D$6=1,LN(J39/L39),IF($D$5=1,(1-3/(4*(H39+I39)-9))*((J39-L39)/N39),(J39-L39)/N39))</f>
        <v>4.9300138617886513E-2</v>
      </c>
      <c r="P39" s="63">
        <f>IF($D$6=1,(K39^2)/(H39*J39^2)+(M39^2)/(I39*L39^2),(IF($D$5=1,((H39+I39)/(H39*I39))+(O39*O39)/(2*(H39+I39-3.94)),((H39+I39)/(H39*I39))+((O39^2)/(2*(H39+I39-2))))))</f>
        <v>4.245747269816421E-2</v>
      </c>
      <c r="Q39" s="59">
        <f>$R$56*SQRT(P39)</f>
        <v>0.40386213875191074</v>
      </c>
      <c r="R39" s="59">
        <f>1/P39</f>
        <v>23.552979874924073</v>
      </c>
      <c r="S39" s="59">
        <f>O39*R39</f>
        <v>1.1611651726980481</v>
      </c>
      <c r="T39" s="59">
        <f>R39*(O39^2)</f>
        <v>5.7245603972275905E-2</v>
      </c>
      <c r="U39" s="23">
        <f>R39^2</f>
        <v>554.7428609885784</v>
      </c>
      <c r="V39" s="59">
        <f>1/((1/R39)+$I$53)</f>
        <v>14.060779047148918</v>
      </c>
      <c r="W39" s="59">
        <f>V39*O39</f>
        <v>0.69319835609991587</v>
      </c>
      <c r="AF39" s="59">
        <f>IF($D$6=1,100*((EXP(O39))-1),O39)</f>
        <v>4.9300138617886513E-2</v>
      </c>
      <c r="AG39" s="59">
        <f>IF($D$6=1,100*(EXP(O39+Q39)-EXP(O39)),Q39)</f>
        <v>0.40386213875191074</v>
      </c>
      <c r="AH39" s="59">
        <f>IF($D$6=1,100*(EXP(O39)-EXP(O39-Q39)),Q39)</f>
        <v>0.40386213875191074</v>
      </c>
      <c r="AJ39">
        <f>SQRT(P39)</f>
        <v>0.20605211160811773</v>
      </c>
      <c r="AK39">
        <f>1/AJ39</f>
        <v>4.8531412378916068</v>
      </c>
      <c r="AL39">
        <f>O39/AJ39</f>
        <v>0.23926053576023756</v>
      </c>
      <c r="AN39" t="str">
        <f t="shared" si="3"/>
        <v>Weber K</v>
      </c>
      <c r="AO39">
        <f t="shared" si="3"/>
        <v>2009</v>
      </c>
      <c r="AP39" t="str">
        <f>CONCATENATE(AN39," ",AO39)</f>
        <v>Weber K 2009</v>
      </c>
      <c r="AQ39">
        <f>INT(H39)</f>
        <v>38</v>
      </c>
      <c r="AR39">
        <f t="shared" si="4"/>
        <v>1.39</v>
      </c>
      <c r="AS39">
        <f t="shared" si="4"/>
        <v>0.39</v>
      </c>
      <c r="AT39">
        <f>INT(I39)</f>
        <v>62</v>
      </c>
      <c r="AU39">
        <f t="shared" si="5"/>
        <v>1.37</v>
      </c>
      <c r="AV39">
        <f t="shared" si="5"/>
        <v>0.41</v>
      </c>
      <c r="AW39" s="65">
        <f>O39</f>
        <v>4.9300138617886513E-2</v>
      </c>
      <c r="AX39">
        <f>SQRT(P39)</f>
        <v>0.20605211160811773</v>
      </c>
    </row>
    <row r="40" spans="3:51">
      <c r="U40" s="23"/>
    </row>
    <row r="41" spans="3:51">
      <c r="L41" t="s">
        <v>500</v>
      </c>
      <c r="N41" s="7"/>
      <c r="O41" s="66">
        <f>COUNT(O36:O39)</f>
        <v>4</v>
      </c>
      <c r="Q41" t="s">
        <v>885</v>
      </c>
      <c r="R41" s="59">
        <f t="shared" ref="R41:W41" si="7">SUM(R36:R39)</f>
        <v>98.016999666976304</v>
      </c>
      <c r="S41" s="59">
        <f t="shared" si="7"/>
        <v>-16.426448915965313</v>
      </c>
      <c r="T41" s="59">
        <f t="shared" si="7"/>
        <v>7.7668825117350346</v>
      </c>
      <c r="U41" s="23">
        <f t="shared" si="7"/>
        <v>2719.9921122397986</v>
      </c>
      <c r="V41" s="59">
        <f t="shared" si="7"/>
        <v>55.844977062274182</v>
      </c>
      <c r="W41" s="59">
        <f t="shared" si="7"/>
        <v>-10.194853698945671</v>
      </c>
    </row>
    <row r="42" spans="3:51">
      <c r="L42" t="s">
        <v>501</v>
      </c>
      <c r="N42" s="7"/>
      <c r="O42" s="2">
        <v>0</v>
      </c>
    </row>
    <row r="43" spans="3:51">
      <c r="N43" s="7"/>
      <c r="O43" s="7"/>
    </row>
    <row r="44" spans="3:51">
      <c r="G44" s="67" t="s">
        <v>502</v>
      </c>
      <c r="H44" s="40"/>
      <c r="I44" s="40">
        <f>S41/R41</f>
        <v>-0.16758775489737501</v>
      </c>
      <c r="J44" s="40"/>
      <c r="K44" s="68" t="s">
        <v>879</v>
      </c>
      <c r="L44" s="40"/>
      <c r="M44" s="42"/>
      <c r="N44" s="7"/>
      <c r="O44" s="69" t="s">
        <v>503</v>
      </c>
      <c r="P44" s="70">
        <f>T41-((S41^2)/R41)</f>
        <v>5.0140108169719877</v>
      </c>
      <c r="Q44" s="71" t="s">
        <v>824</v>
      </c>
      <c r="R44" s="28"/>
      <c r="S44" s="29"/>
      <c r="T44" s="30"/>
      <c r="U44" s="31"/>
      <c r="AF44" s="2" t="s">
        <v>1518</v>
      </c>
    </row>
    <row r="45" spans="3:51">
      <c r="G45" s="43" t="s">
        <v>504</v>
      </c>
      <c r="H45" s="31"/>
      <c r="I45" s="31">
        <f>1/R41</f>
        <v>1.0202311878527312E-2</v>
      </c>
      <c r="J45" s="31"/>
      <c r="K45" s="31"/>
      <c r="L45" s="31"/>
      <c r="M45" s="44"/>
      <c r="N45" s="7"/>
      <c r="O45" s="30" t="s">
        <v>505</v>
      </c>
      <c r="P45" s="31">
        <f>CHIDIST(P44,I49-1)</f>
        <v>0.17077405365932966</v>
      </c>
      <c r="Q45" s="31"/>
      <c r="R45" s="31"/>
      <c r="S45" s="34"/>
      <c r="T45" s="30"/>
      <c r="U45" s="31"/>
      <c r="AF45" s="2"/>
    </row>
    <row r="46" spans="3:51">
      <c r="G46" s="72" t="s">
        <v>506</v>
      </c>
      <c r="H46" s="31"/>
      <c r="I46" s="31">
        <f>$R$56*SQRT(I45)</f>
        <v>0.19797272870915963</v>
      </c>
      <c r="J46" s="31"/>
      <c r="K46" s="31" t="s">
        <v>507</v>
      </c>
      <c r="L46" s="31"/>
      <c r="M46" s="44">
        <f>ABS(I44/SQRT(I45))</f>
        <v>1.6591780178037094</v>
      </c>
      <c r="N46" s="7"/>
      <c r="O46" s="35" t="s">
        <v>508</v>
      </c>
      <c r="P46" s="37">
        <f>IF(((P44-(I49-1))/P44)&lt;0,0,100*((P44-(I49-1))/P44))</f>
        <v>40.167659992968851</v>
      </c>
      <c r="Q46" s="36"/>
      <c r="R46" s="36"/>
      <c r="S46" s="38"/>
      <c r="T46" s="30"/>
      <c r="U46" s="31"/>
      <c r="AF46" s="2" t="s">
        <v>1535</v>
      </c>
      <c r="AH46">
        <f>IF($D$6=1,100*((EXP(I44))-1),I44)</f>
        <v>-0.16758775489737501</v>
      </c>
    </row>
    <row r="47" spans="3:51">
      <c r="G47" s="45" t="s">
        <v>509</v>
      </c>
      <c r="H47" s="46"/>
      <c r="I47" s="46">
        <v>-2</v>
      </c>
      <c r="J47" s="46"/>
      <c r="K47" s="46" t="s">
        <v>825</v>
      </c>
      <c r="L47" s="46"/>
      <c r="M47" s="47">
        <f>2*(1-NORMDIST(M46,0,1,1))</f>
        <v>9.7079925790557686E-2</v>
      </c>
      <c r="N47" s="7"/>
      <c r="O47" s="7"/>
      <c r="AF47" s="79" t="s">
        <v>834</v>
      </c>
      <c r="AH47">
        <f>IF($D$6=1,100*(EXP(I44+I46)-EXP(I44)),I46)</f>
        <v>0.19797272870915963</v>
      </c>
    </row>
    <row r="48" spans="3:51">
      <c r="G48" s="40"/>
      <c r="H48" s="40"/>
      <c r="I48" s="40"/>
      <c r="J48" s="40"/>
      <c r="K48" s="40"/>
      <c r="L48" s="40"/>
      <c r="M48" s="40"/>
      <c r="N48" s="7"/>
      <c r="O48" s="7"/>
      <c r="AF48" s="79" t="s">
        <v>835</v>
      </c>
      <c r="AH48">
        <f>IF($D$6=1,100*(EXP(I44)-EXP(I44-I46)),I46)</f>
        <v>0.19797272870915963</v>
      </c>
    </row>
    <row r="49" spans="7:34">
      <c r="G49" s="73" t="s">
        <v>1110</v>
      </c>
      <c r="H49" s="74"/>
      <c r="I49" s="74">
        <f>O41</f>
        <v>4</v>
      </c>
      <c r="J49" s="74"/>
      <c r="K49" s="75" t="s">
        <v>1167</v>
      </c>
      <c r="L49" s="74"/>
      <c r="M49" s="76"/>
      <c r="N49" s="77"/>
      <c r="O49" s="101" t="s">
        <v>1513</v>
      </c>
      <c r="P49" s="102"/>
      <c r="Q49" s="103"/>
      <c r="AF49" s="7"/>
    </row>
    <row r="50" spans="7:34">
      <c r="G50" s="77" t="s">
        <v>1531</v>
      </c>
      <c r="H50" s="31"/>
      <c r="I50" s="31">
        <f>R41/I49</f>
        <v>24.504249916744076</v>
      </c>
      <c r="J50" s="31"/>
      <c r="K50" s="31"/>
      <c r="L50" s="31"/>
      <c r="M50" s="78"/>
      <c r="N50" s="77"/>
      <c r="O50" s="104" t="s">
        <v>1514</v>
      </c>
      <c r="P50" s="31"/>
      <c r="Q50" s="105">
        <f>INDEX(LINEST(AL36:AL39,AK36:AK39,TRUE,TRUE),1,2)</f>
        <v>-3.3909030291414286</v>
      </c>
      <c r="AF50" s="2" t="s">
        <v>1687</v>
      </c>
      <c r="AH50">
        <f>IF($D$6=1,100*((EXP(I55))-1),I55)</f>
        <v>-0.18255632350922313</v>
      </c>
    </row>
    <row r="51" spans="7:34">
      <c r="G51" s="77" t="s">
        <v>1532</v>
      </c>
      <c r="H51" s="31"/>
      <c r="I51" s="31">
        <f>(1/(I49-1))*(U41-(I49*I50^2))</f>
        <v>106.05301877026341</v>
      </c>
      <c r="J51" s="31"/>
      <c r="K51" s="31"/>
      <c r="L51" s="31"/>
      <c r="M51" s="78"/>
      <c r="N51" s="77"/>
      <c r="O51" s="104" t="s">
        <v>1516</v>
      </c>
      <c r="P51" s="31"/>
      <c r="Q51" s="105">
        <f>INDEX(LINEST(AL36:AL39,AK36:AK39,TRUE,TRUE),2,2)</f>
        <v>3.7953321648361089</v>
      </c>
      <c r="AF51" s="79" t="s">
        <v>834</v>
      </c>
      <c r="AG51" s="7"/>
      <c r="AH51">
        <f>IF($D$6=1,100*(EXP(I55+I57)-EXP(I55)),I57)</f>
        <v>0.26227929819273088</v>
      </c>
    </row>
    <row r="52" spans="7:34">
      <c r="G52" s="77" t="s">
        <v>1669</v>
      </c>
      <c r="H52" s="31"/>
      <c r="I52" s="31">
        <f>(I49-1)*(I50-(I51/(I49*I50)))</f>
        <v>70.266791830771609</v>
      </c>
      <c r="J52" s="31"/>
      <c r="K52" s="31"/>
      <c r="L52" s="31"/>
      <c r="M52" s="78"/>
      <c r="N52" s="77"/>
      <c r="O52" s="104" t="s">
        <v>1349</v>
      </c>
      <c r="P52" s="31"/>
      <c r="Q52" s="105">
        <f>ABS(Q50/Q51)</f>
        <v>0.89344038462779862</v>
      </c>
      <c r="AF52" s="79" t="s">
        <v>835</v>
      </c>
      <c r="AH52">
        <f>IF($D$6=1,100*(EXP(I55)-EXP(I55-I57)),I57)</f>
        <v>0.26227929819273088</v>
      </c>
    </row>
    <row r="53" spans="7:34">
      <c r="G53" s="77" t="s">
        <v>1685</v>
      </c>
      <c r="H53" s="31"/>
      <c r="I53" s="31">
        <f>IF(P44&gt;(I49-1),(P44-(I49-1))/I52,0)</f>
        <v>2.8662341975459329E-2</v>
      </c>
      <c r="J53" s="31"/>
      <c r="K53" s="31"/>
      <c r="L53" s="31"/>
      <c r="M53" s="78"/>
      <c r="N53" s="77"/>
      <c r="O53" s="106" t="s">
        <v>1515</v>
      </c>
      <c r="P53" s="107"/>
      <c r="Q53" s="108">
        <f>TDIST(Q52,I49-2,2)</f>
        <v>0.46589895086001032</v>
      </c>
    </row>
    <row r="54" spans="7:34">
      <c r="G54" s="77"/>
      <c r="H54" s="31"/>
      <c r="I54" s="31"/>
      <c r="J54" s="31"/>
      <c r="K54" s="31"/>
      <c r="L54" s="31"/>
      <c r="M54" s="78"/>
      <c r="N54" s="77"/>
    </row>
    <row r="55" spans="7:34">
      <c r="G55" s="77" t="s">
        <v>1686</v>
      </c>
      <c r="H55" s="31"/>
      <c r="I55" s="31">
        <f>W41/V41</f>
        <v>-0.18255632350922313</v>
      </c>
      <c r="J55" s="31"/>
      <c r="N55" s="77"/>
    </row>
    <row r="56" spans="7:34">
      <c r="G56" s="77" t="s">
        <v>504</v>
      </c>
      <c r="H56" s="31"/>
      <c r="I56" s="31">
        <f>1/V41</f>
        <v>1.7906713416407604E-2</v>
      </c>
      <c r="J56" s="31"/>
      <c r="N56" s="77"/>
      <c r="O56" t="s">
        <v>805</v>
      </c>
      <c r="R56">
        <v>1.96</v>
      </c>
    </row>
    <row r="57" spans="7:34">
      <c r="G57" s="80" t="s">
        <v>506</v>
      </c>
      <c r="H57" s="31"/>
      <c r="I57" s="31">
        <f>$R$56*SQRT(I56)</f>
        <v>0.26227929819273088</v>
      </c>
      <c r="J57" s="31"/>
      <c r="K57" s="31" t="s">
        <v>507</v>
      </c>
      <c r="L57" s="31"/>
      <c r="M57" s="78">
        <f>ABS(I55/(SQRT(I56)))</f>
        <v>1.3642342210903251</v>
      </c>
      <c r="N57" s="77"/>
    </row>
    <row r="58" spans="7:34">
      <c r="G58" s="81" t="s">
        <v>509</v>
      </c>
      <c r="H58" s="82"/>
      <c r="I58" s="82">
        <v>-3</v>
      </c>
      <c r="J58" s="82"/>
      <c r="K58" s="31" t="s">
        <v>825</v>
      </c>
      <c r="L58" s="31"/>
      <c r="M58" s="78">
        <f>2*(1-NORMDIST(M57,0,1,1))</f>
        <v>0.1724938609818043</v>
      </c>
      <c r="N58" s="77"/>
    </row>
    <row r="59" spans="7:34">
      <c r="G59" s="74"/>
      <c r="H59" s="74"/>
      <c r="I59" s="74"/>
      <c r="J59" s="74"/>
      <c r="K59" s="74"/>
      <c r="L59" s="74"/>
      <c r="M59" s="74"/>
      <c r="N59" s="31"/>
      <c r="O59" s="7"/>
    </row>
  </sheetData>
  <phoneticPr fontId="10" type="noConversion"/>
  <conditionalFormatting sqref="D17 D13 F13">
    <cfRule type="cellIs" dxfId="66" priority="0" stopIfTrue="1" operator="lessThan">
      <formula>0.05</formula>
    </cfRule>
  </conditionalFormatting>
  <conditionalFormatting sqref="D21">
    <cfRule type="cellIs" dxfId="6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7.xml><?xml version="1.0" encoding="utf-8"?>
<worksheet xmlns="http://schemas.openxmlformats.org/spreadsheetml/2006/main" xmlns:r="http://schemas.openxmlformats.org/officeDocument/2006/relationships">
  <sheetPr published="0" codeName="Sheet45" enableFormatConditionsCalculation="0"/>
  <dimension ref="A1:BM6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402</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I53-O46</f>
        <v>5</v>
      </c>
      <c r="AD7" s="89"/>
    </row>
    <row r="8" spans="2:30">
      <c r="B8" t="s">
        <v>822</v>
      </c>
      <c r="D8">
        <f>SUM(H24:H30)</f>
        <v>139</v>
      </c>
      <c r="AD8" s="89"/>
    </row>
    <row r="9" spans="2:30">
      <c r="B9" t="s">
        <v>823</v>
      </c>
      <c r="D9">
        <f>SUM(I24:I30)</f>
        <v>145</v>
      </c>
      <c r="AD9" s="89"/>
    </row>
    <row r="11" spans="2:30">
      <c r="B11" s="27" t="s">
        <v>516</v>
      </c>
      <c r="C11" s="28"/>
      <c r="D11" s="109">
        <f>P48</f>
        <v>3.5193304654007562</v>
      </c>
      <c r="E11" s="110" t="s">
        <v>1513</v>
      </c>
      <c r="F11" s="103"/>
    </row>
    <row r="12" spans="2:30">
      <c r="B12" s="30" t="s">
        <v>826</v>
      </c>
      <c r="C12" s="31"/>
      <c r="D12" s="112">
        <f>P50</f>
        <v>0</v>
      </c>
      <c r="E12" s="31"/>
      <c r="F12" s="105"/>
    </row>
    <row r="13" spans="2:30">
      <c r="B13" s="35" t="s">
        <v>825</v>
      </c>
      <c r="C13" s="36"/>
      <c r="D13" s="113">
        <f>P49</f>
        <v>0.74139611639719316</v>
      </c>
      <c r="E13" s="111" t="s">
        <v>825</v>
      </c>
      <c r="F13" s="115">
        <f>Q57</f>
        <v>0.28449959489798993</v>
      </c>
    </row>
    <row r="15" spans="2:30">
      <c r="B15" s="39" t="s">
        <v>879</v>
      </c>
      <c r="C15" s="40"/>
      <c r="D15" s="41">
        <f>AH50</f>
        <v>-0.11418350396787176</v>
      </c>
      <c r="E15" s="116"/>
    </row>
    <row r="16" spans="2:30">
      <c r="B16" s="43" t="s">
        <v>1165</v>
      </c>
      <c r="C16" s="31"/>
      <c r="D16" s="33">
        <f>AH50-AH52</f>
        <v>-0.35523705422645463</v>
      </c>
      <c r="E16" s="117">
        <f>AH50+AH51</f>
        <v>0.12687004629071114</v>
      </c>
    </row>
    <row r="17" spans="1:65">
      <c r="B17" s="45" t="s">
        <v>1166</v>
      </c>
      <c r="C17" s="46"/>
      <c r="D17" s="123">
        <f>M51</f>
        <v>0.35318817633790056</v>
      </c>
      <c r="E17" s="118"/>
    </row>
    <row r="18" spans="1:65">
      <c r="D18" s="48"/>
      <c r="F18" s="49"/>
    </row>
    <row r="19" spans="1:65">
      <c r="B19" s="50" t="s">
        <v>1167</v>
      </c>
      <c r="C19" s="51"/>
      <c r="D19" s="52">
        <f>AH54</f>
        <v>-0.11418350396787176</v>
      </c>
      <c r="E19" s="120"/>
      <c r="F19" s="33"/>
      <c r="G19" s="31"/>
    </row>
    <row r="20" spans="1:65">
      <c r="B20" s="53" t="s">
        <v>1165</v>
      </c>
      <c r="C20" s="31"/>
      <c r="D20" s="33">
        <f>AH54-AH56</f>
        <v>-0.35523705422645463</v>
      </c>
      <c r="E20" s="121">
        <f>AH54+AH55</f>
        <v>0.12687004629071114</v>
      </c>
      <c r="F20" s="31"/>
      <c r="G20" s="31"/>
    </row>
    <row r="21" spans="1:65">
      <c r="B21" s="54" t="s">
        <v>1440</v>
      </c>
      <c r="C21" s="55"/>
      <c r="D21" s="114">
        <f>M62</f>
        <v>0.35318817633790056</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10618023</v>
      </c>
      <c r="C24" s="1" t="str">
        <f>IF($B24="","",HYPERLINK(IF(LEN(VLOOKUP($B24,Database!$B$1:$IX$10144,2,FALSE))=0,"",VLOOKUP($B24,Database!$B$1:$IX$10144,2,FALSE))))</f>
        <v/>
      </c>
      <c r="D24" s="1" t="str">
        <f t="shared" ref="D24:D31" si="0">IF($B24="","",HYPERLINK(CONCATENATE("http://www.ncbi.nlm.nih.gov/pubmed/",B24)))</f>
        <v>http://www.ncbi.nlm.nih.gov/pubmed/10618023</v>
      </c>
      <c r="E24" s="22" t="str">
        <f>IF($B24="","",IF(LEN(VLOOKUP($B24,Database!$B$1:$IX$10144,4,FALSE))=0,"",VLOOKUP($B24,Database!$B$1:$IX$10144,4,FALSE)))</f>
        <v>Bremner JD</v>
      </c>
      <c r="F24" s="22">
        <f>IF($B24="","",IF(LEN(VLOOKUP($B24,Database!$B$1:$IX$10144,5,FALSE))=0,"",VLOOKUP($B24,Database!$B$1:$IX$10144,5,FALSE)))</f>
        <v>2000</v>
      </c>
      <c r="G24" s="1" t="str">
        <f>IF($B24="","",HYPERLINK(IF(LEN(VLOOKUP($B24,Database!$B$1:$IX$10144,6,FALSE))=0,"",VLOOKUP($B24,Database!$B$1:$IX$10144,6,FALSE))))</f>
        <v>http://ajp.psychiatryonline.org/cgi/reprint/157/1/115</v>
      </c>
      <c r="H24" s="22">
        <f>IF($B24="","",IF(LEN(VLOOKUP($B24,Database!$B$1:$IX$10144,7,FALSE))=0,"",VLOOKUP($B24,Database!$B$1:$IX$10144,7,FALSE)))</f>
        <v>16</v>
      </c>
      <c r="I24" s="22">
        <f>IF($B24="","",IF(LEN(VLOOKUP($B24,Database!$B$1:$IX$10144,8,FALSE))=0,"",VLOOKUP($B24,Database!$B$1:$IX$10144,8,FALSE)))</f>
        <v>16</v>
      </c>
      <c r="J24" t="s">
        <v>1074</v>
      </c>
      <c r="K24" t="s">
        <v>1032</v>
      </c>
      <c r="L24">
        <v>140856</v>
      </c>
      <c r="M24">
        <v>41597</v>
      </c>
      <c r="N24">
        <v>154267</v>
      </c>
      <c r="O24">
        <v>24141</v>
      </c>
      <c r="P24">
        <v>143101</v>
      </c>
      <c r="Q24">
        <v>45265</v>
      </c>
      <c r="R24">
        <v>164471</v>
      </c>
      <c r="S24">
        <v>27150</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43</v>
      </c>
      <c r="AC24" s="22">
        <f>IF(OR($B24="",AC$22=""),"",IF(LEN(VLOOKUP($B24,Database!$B$1:$IX$10144,AC$22,FALSE))=0,"",VLOOKUP($B24,Database!$B$1:$IX$10144,AC$22,FALSE)))</f>
        <v>8</v>
      </c>
      <c r="AD24" s="22">
        <f>IF(OR($B24="",AD$22=""),"",IF(LEN(VLOOKUP($B24,Database!$B$1:$IX$10144,AD$22,FALSE))=0,"",VLOOKUP($B24,Database!$B$1:$IX$10144,AD$22,FALSE)))</f>
        <v>45</v>
      </c>
      <c r="AE24" s="22">
        <f>IF(OR($B24="",AE$22=""),"",IF(LEN(VLOOKUP($B24,Database!$B$1:$IX$10144,AE$22,FALSE))=0,"",VLOOKUP($B24,Database!$B$1:$IX$10144,AE$22,FALSE)))</f>
        <v>10</v>
      </c>
      <c r="AF24" s="22">
        <f>IF(OR($B24="",AF$22=""),"",IF(LEN(VLOOKUP($B24,Database!$B$1:$IX$10144,AF$22,FALSE))=0,"",VLOOKUP($B24,Database!$B$1:$IX$10144,AF$22,FALSE)))</f>
        <v>6</v>
      </c>
      <c r="AG24" s="22">
        <f>IF(OR($B24="",AG$22=""),"",IF(LEN(VLOOKUP($B24,Database!$B$1:$IX$10144,AG$22,FALSE))=0,"",VLOOKUP($B24,Database!$B$1:$IX$10144,AG$22,FALSE)))</f>
        <v>6</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100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0</v>
      </c>
      <c r="AQ24" s="22" t="str">
        <f>IF(OR($B24="",AQ$22=""),"",IF(LEN(VLOOKUP($B24,Database!$B$1:$IX$10144,AQ$22,FALSE))=0,"",VLOOKUP($B24,Database!$B$1:$IX$10144,AQ$22,FALSE)))</f>
        <v>Bremner JD, Narayan M, Anderson ER, Staib LH, Miller HL, Charney DS.</v>
      </c>
      <c r="AR24" s="13"/>
      <c r="AX24" s="13"/>
      <c r="AY24" s="13"/>
      <c r="AZ24" s="13"/>
      <c r="BA24" s="13"/>
      <c r="BC24" s="23"/>
      <c r="BF24" s="136"/>
      <c r="BG24" s="136"/>
      <c r="BH24" s="136"/>
      <c r="BI24" s="136"/>
    </row>
    <row r="25" spans="1:65">
      <c r="B25">
        <v>11200955</v>
      </c>
      <c r="C25" s="1" t="str">
        <f>IF($B25="","",HYPERLINK(IF(LEN(VLOOKUP($B25,Database!$B$1:$IX$10144,2,FALSE))=0,"",VLOOKUP($B25,Database!$B$1:$IX$10144,2,FALSE))))</f>
        <v/>
      </c>
      <c r="D25" s="1" t="str">
        <f t="shared" si="0"/>
        <v>http://www.ncbi.nlm.nih.gov/pubmed/11200955</v>
      </c>
      <c r="E25" s="22" t="str">
        <f>IF($B25="","",IF(LEN(VLOOKUP($B25,Database!$B$1:$IX$10144,4,FALSE))=0,"",VLOOKUP($B25,Database!$B$1:$IX$10144,4,FALSE)))</f>
        <v>McIntosh AM</v>
      </c>
      <c r="F25" s="22">
        <f>IF($B25="","",IF(LEN(VLOOKUP($B25,Database!$B$1:$IX$10144,5,FALSE))=0,"",VLOOKUP($B25,Database!$B$1:$IX$10144,5,FALSE)))</f>
        <v>2001</v>
      </c>
      <c r="G25" s="1" t="str">
        <f>IF($B25="","",HYPERLINK(IF(LEN(VLOOKUP($B25,Database!$B$1:$IX$10144,6,FALSE))=0,"",VLOOKUP($B25,Database!$B$1:$IX$10144,6,FALSE))))</f>
        <v>http://dx.doi.org/10.1017/S0033291799003177</v>
      </c>
      <c r="H25" s="22">
        <f>IF($B25="","",IF(LEN(VLOOKUP($B25,Database!$B$1:$IX$10144,7,FALSE))=0,"",VLOOKUP($B25,Database!$B$1:$IX$10144,7,FALSE)))</f>
        <v>9</v>
      </c>
      <c r="I25" s="22">
        <f>IF($B25="","",IF(LEN(VLOOKUP($B25,Database!$B$1:$IX$10144,8,FALSE))=0,"",VLOOKUP($B25,Database!$B$1:$IX$10144,8,FALSE)))</f>
        <v>29</v>
      </c>
      <c r="J25" t="s">
        <v>480</v>
      </c>
      <c r="K25" s="2" t="s">
        <v>13</v>
      </c>
      <c r="L25">
        <v>64773</v>
      </c>
      <c r="M25">
        <v>4063</v>
      </c>
      <c r="N25">
        <v>70119</v>
      </c>
      <c r="O25">
        <v>9715</v>
      </c>
      <c r="P25">
        <v>71458</v>
      </c>
      <c r="Q25">
        <v>4891</v>
      </c>
      <c r="R25">
        <v>74159</v>
      </c>
      <c r="S25">
        <v>10322</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43.56</v>
      </c>
      <c r="AC25" s="22">
        <f>IF(OR($B25="",AC$22=""),"",IF(LEN(VLOOKUP($B25,Database!$B$1:$IX$10144,AC$22,FALSE))=0,"",VLOOKUP($B25,Database!$B$1:$IX$10144,AC$22,FALSE)))</f>
        <v>9.3800000000000008</v>
      </c>
      <c r="AD25" s="22">
        <f>IF(OR($B25="",AD$22=""),"",IF(LEN(VLOOKUP($B25,Database!$B$1:$IX$10144,AD$22,FALSE))=0,"",VLOOKUP($B25,Database!$B$1:$IX$10144,AD$22,FALSE)))</f>
        <v>42.76</v>
      </c>
      <c r="AE25" s="22">
        <f>IF(OR($B25="",AE$22=""),"",IF(LEN(VLOOKUP($B25,Database!$B$1:$IX$10144,AE$22,FALSE))=0,"",VLOOKUP($B25,Database!$B$1:$IX$10144,AE$22,FALSE)))</f>
        <v>9.91</v>
      </c>
      <c r="AF25" s="22">
        <f>IF(OR($B25="",AF$22=""),"",IF(LEN(VLOOKUP($B25,Database!$B$1:$IX$10144,AF$22,FALSE))=0,"",VLOOKUP($B25,Database!$B$1:$IX$10144,AF$22,FALSE)))</f>
        <v>5</v>
      </c>
      <c r="AG25" s="22">
        <f>IF(OR($B25="",AG$22=""),"",IF(LEN(VLOOKUP($B25,Database!$B$1:$IX$10144,AG$22,FALSE))=0,"",VLOOKUP($B25,Database!$B$1:$IX$10144,AG$22,FALSE)))</f>
        <v>16</v>
      </c>
      <c r="AH25" s="22">
        <f>IF(OR($B25="",AH$22=""),"",IF(LEN(VLOOKUP($B25,Database!$B$1:$IX$10144,AH$22,FALSE))=0,"",VLOOKUP($B25,Database!$B$1:$IX$10144,AH$22,FALSE)))</f>
        <v>1</v>
      </c>
      <c r="AI25" s="22">
        <f>IF(OR($B25="",AI$22=""),"",IF(LEN(VLOOKUP($B25,Database!$B$1:$IX$10144,AI$22,FALSE))=0,"",VLOOKUP($B25,Database!$B$1:$IX$10144,AI$22,FALSE)))</f>
        <v>1.88</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A. M. McINTOSH, A. FORRESTER, S.M. LAWRIE, M. BYRNE, A. HARPER, J. N. KESTELMAN, J. J. K. BEST, P. MILLER, E. C. JOHNSTONE and D. G. C. OWENS</v>
      </c>
      <c r="AR25" s="13"/>
      <c r="AX25" s="13"/>
      <c r="AY25" s="13"/>
      <c r="AZ25" s="13"/>
      <c r="BA25" s="13"/>
      <c r="BC25" s="23"/>
      <c r="BF25" s="136"/>
      <c r="BG25" s="136"/>
      <c r="BH25" s="136"/>
      <c r="BI25" s="136"/>
    </row>
    <row r="26" spans="1:65">
      <c r="B26">
        <v>11825139</v>
      </c>
      <c r="C26" s="1" t="str">
        <f>IF($B26="","",HYPERLINK(IF(LEN(VLOOKUP($B26,Database!$B$1:$IX$10144,2,FALSE))=0,"",VLOOKUP($B26,Database!$B$1:$IX$10144,2,FALSE))))</f>
        <v/>
      </c>
      <c r="D26" s="1" t="str">
        <f t="shared" si="0"/>
        <v>http://www.ncbi.nlm.nih.gov/pubmed/11825139</v>
      </c>
      <c r="E26" s="22" t="str">
        <f>IF($B26="","",IF(LEN(VLOOKUP($B26,Database!$B$1:$IX$10144,4,FALSE))=0,"",VLOOKUP($B26,Database!$B$1:$IX$10144,4,FALSE)))</f>
        <v>Nolan CL</v>
      </c>
      <c r="F26" s="22">
        <f>IF($B26="","",IF(LEN(VLOOKUP($B26,Database!$B$1:$IX$10144,5,FALSE))=0,"",VLOOKUP($B26,Database!$B$1:$IX$10144,5,FALSE)))</f>
        <v>2002</v>
      </c>
      <c r="G26" s="1" t="str">
        <f>IF($B26="","",HYPERLINK(IF(LEN(VLOOKUP($B26,Database!$B$1:$IX$10144,6,FALSE))=0,"",VLOOKUP($B26,Database!$B$1:$IX$10144,6,FALSE))))</f>
        <v>http://archpsyc.ama-assn.org/cgi/reprint/59/2/173</v>
      </c>
      <c r="H26" s="22">
        <f>IF($B26="","",IF(LEN(VLOOKUP($B26,Database!$B$1:$IX$10144,7,FALSE))=0,"",VLOOKUP($B26,Database!$B$1:$IX$10144,7,FALSE)))</f>
        <v>22</v>
      </c>
      <c r="I26" s="22">
        <f>IF($B26="","",IF(LEN(VLOOKUP($B26,Database!$B$1:$IX$10144,8,FALSE))=0,"",VLOOKUP($B26,Database!$B$1:$IX$10144,8,FALSE)))</f>
        <v>22</v>
      </c>
      <c r="J26" t="s">
        <v>449</v>
      </c>
      <c r="K26" t="s">
        <v>448</v>
      </c>
      <c r="L26">
        <v>70.02</v>
      </c>
      <c r="M26">
        <v>11.15</v>
      </c>
      <c r="N26">
        <v>68.64</v>
      </c>
      <c r="O26">
        <v>9.7799999999999994</v>
      </c>
      <c r="P26">
        <v>78.3</v>
      </c>
      <c r="Q26">
        <v>11.52</v>
      </c>
      <c r="R26">
        <v>76.680000000000007</v>
      </c>
      <c r="S26">
        <v>11.79</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t="str">
        <f>IF(OR($B26="",AB$22=""),"",IF(LEN(VLOOKUP($B26,Database!$B$1:$IX$10144,AB$22,FALSE))=0,"",VLOOKUP($B26,Database!$B$1:$IX$10144,AB$22,FALSE)))</f>
        <v/>
      </c>
      <c r="AC26" s="22" t="str">
        <f>IF(OR($B26="",AC$22=""),"",IF(LEN(VLOOKUP($B26,Database!$B$1:$IX$10144,AC$22,FALSE))=0,"",VLOOKUP($B26,Database!$B$1:$IX$10144,AC$22,FALSE)))</f>
        <v/>
      </c>
      <c r="AD26" s="22" t="str">
        <f>IF(OR($B26="",AD$22=""),"",IF(LEN(VLOOKUP($B26,Database!$B$1:$IX$10144,AD$22,FALSE))=0,"",VLOOKUP($B26,Database!$B$1:$IX$10144,AD$22,FALSE)))</f>
        <v/>
      </c>
      <c r="AE26" s="22" t="str">
        <f>IF(OR($B26="",AE$22=""),"",IF(LEN(VLOOKUP($B26,Database!$B$1:$IX$10144,AE$22,FALSE))=0,"",VLOOKUP($B26,Database!$B$1:$IX$10144,AE$22,FALSE)))</f>
        <v/>
      </c>
      <c r="AF26" s="22">
        <f>IF(OR($B26="",AF$22=""),"",IF(LEN(VLOOKUP($B26,Database!$B$1:$IX$10144,AF$22,FALSE))=0,"",VLOOKUP($B26,Database!$B$1:$IX$10144,AF$22,FALSE)))</f>
        <v>12</v>
      </c>
      <c r="AG26" s="22">
        <f>IF(OR($B26="",AG$22=""),"",IF(LEN(VLOOKUP($B26,Database!$B$1:$IX$10144,AG$22,FALSE))=0,"",VLOOKUP($B26,Database!$B$1:$IX$10144,AG$22,FALSE)))</f>
        <v>12</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12.18</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Nolan CL, Moore GJ, Madden R, Farchione T, Bartoi M, Lorch E, Stewart CM, Rosenberg DR.</v>
      </c>
      <c r="AR26" s="13"/>
      <c r="AX26" s="13"/>
      <c r="AY26" s="13"/>
      <c r="AZ26" s="13"/>
      <c r="BA26" s="13"/>
      <c r="BC26" s="23"/>
      <c r="BF26" s="136"/>
      <c r="BG26" s="136"/>
      <c r="BH26" s="136"/>
      <c r="BI26" s="136"/>
    </row>
    <row r="27" spans="1:65">
      <c r="B27">
        <v>12785469</v>
      </c>
      <c r="C27" s="1" t="str">
        <f>IF($B27="","",HYPERLINK(IF(LEN(VLOOKUP($B27,Database!$B$1:$IX$10144,2,FALSE))=0,"",VLOOKUP($B27,Database!$B$1:$IX$10144,2,FALSE))))</f>
        <v/>
      </c>
      <c r="D27" s="1" t="str">
        <f t="shared" si="0"/>
        <v>http://www.ncbi.nlm.nih.gov/pubmed/12785469</v>
      </c>
      <c r="E27" s="22" t="str">
        <f>IF($B27="","",IF(LEN(VLOOKUP($B27,Database!$B$1:$IX$10144,4,FALSE))=0,"",VLOOKUP($B27,Database!$B$1:$IX$10144,4,FALSE)))</f>
        <v>Almeida OP</v>
      </c>
      <c r="F27" s="22">
        <f>IF($B27="","",IF(LEN(VLOOKUP($B27,Database!$B$1:$IX$10144,5,FALSE))=0,"",VLOOKUP($B27,Database!$B$1:$IX$10144,5,FALSE)))</f>
        <v>2003</v>
      </c>
      <c r="G27" s="1" t="str">
        <f>IF($B27="","",HYPERLINK(IF(LEN(VLOOKUP($B27,Database!$B$1:$IX$10144,6,FALSE))=0,"",VLOOKUP($B27,Database!$B$1:$IX$10144,6,FALSE))))</f>
        <v>http://dx.doi.org/10.1017/S003329170300758X</v>
      </c>
      <c r="H27" s="83">
        <v>24</v>
      </c>
      <c r="I27" s="83">
        <v>18.5</v>
      </c>
      <c r="J27" t="s">
        <v>680</v>
      </c>
      <c r="K27" t="s">
        <v>399</v>
      </c>
      <c r="L27">
        <v>48131</v>
      </c>
      <c r="M27">
        <v>9899</v>
      </c>
      <c r="N27">
        <v>47749</v>
      </c>
      <c r="O27">
        <v>7031</v>
      </c>
      <c r="P27">
        <v>50904</v>
      </c>
      <c r="Q27">
        <v>9013</v>
      </c>
      <c r="R27">
        <v>49590</v>
      </c>
      <c r="S27">
        <v>6838</v>
      </c>
      <c r="T27">
        <v>99036</v>
      </c>
      <c r="U27">
        <v>18349</v>
      </c>
      <c r="V27">
        <v>97339</v>
      </c>
      <c r="W27">
        <v>13581</v>
      </c>
      <c r="Y27" s="22" t="str">
        <f>IF(OR($B27="",Y$22=""),"",IF(LEN(VLOOKUP($B27,Database!$B$1:$IX$10144,Y$22,FALSE))=0,"",VLOOKUP($B27,Database!$B$1:$IX$10144,Y$22,FALSE)))</f>
        <v>DSM-IV</v>
      </c>
      <c r="Z27" s="22" t="str">
        <f>IF(OR($B27="",Z$22=""),"",IF(LEN(VLOOKUP($B27,Database!$B$1:$IX$10144,Z$22,FALSE))=0,"",VLOOKUP($B27,Database!$B$1:$IX$10144,Z$22,FALSE)))</f>
        <v>MRI</v>
      </c>
      <c r="AA27" s="22" t="s">
        <v>2445</v>
      </c>
      <c r="AB27" s="214">
        <v>72.8</v>
      </c>
      <c r="AC27" s="22" t="str">
        <f>IF(OR($B27="",AC$22=""),"",IF(LEN(VLOOKUP($B27,Database!$B$1:$IX$10144,AC$22,FALSE))=0,"",VLOOKUP($B27,Database!$B$1:$IX$10144,AC$22,FALSE)))</f>
        <v/>
      </c>
      <c r="AD27" s="22">
        <f>IF(OR($B27="",AD$22=""),"",IF(LEN(VLOOKUP($B27,Database!$B$1:$IX$10144,AD$22,FALSE))=0,"",VLOOKUP($B27,Database!$B$1:$IX$10144,AD$22,FALSE)))</f>
        <v>72.900000000000006</v>
      </c>
      <c r="AE27" s="22">
        <f>IF(OR($B27="",AE$22=""),"",IF(LEN(VLOOKUP($B27,Database!$B$1:$IX$10144,AE$22,FALSE))=0,"",VLOOKUP($B27,Database!$B$1:$IX$10144,AE$22,FALSE)))</f>
        <v>6.83</v>
      </c>
      <c r="AF27" s="214">
        <v>23</v>
      </c>
      <c r="AG27" s="22">
        <f>IF(OR($B27="",AG$22=""),"",IF(LEN(VLOOKUP($B27,Database!$B$1:$IX$10144,AG$22,FALSE))=0,"",VLOOKUP($B27,Database!$B$1:$IX$10144,AG$22,FALSE)))</f>
        <v>27</v>
      </c>
      <c r="AH27" s="22">
        <f>IF(OR($B27="",AH$22=""),"",IF(LEN(VLOOKUP($B27,Database!$B$1:$IX$10144,AH$22,FALSE))=0,"",VLOOKUP($B27,Database!$B$1:$IX$10144,AH$22,FALSE)))</f>
        <v>1</v>
      </c>
      <c r="AI27" s="22">
        <f>IF(OR($B27="",AI$22=""),"",IF(LEN(VLOOKUP($B27,Database!$B$1:$IX$10144,AI$22,FALSE))=0,"",VLOOKUP($B27,Database!$B$1:$IX$10144,AI$22,FALSE)))</f>
        <v>1</v>
      </c>
      <c r="AJ27" s="22" t="str">
        <f>IF(OR($B27="",AJ$22=""),"",IF(LEN(VLOOKUP($B27,Database!$B$1:$IX$10144,AJ$22,FALSE))=0,"",VLOOKUP($B27,Database!$B$1:$IX$10144,AJ$22,FALSE)))</f>
        <v/>
      </c>
      <c r="AK27" s="214">
        <v>39.200000000000003</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Almeida OP, Burton EJ, Ferrier N, McKeith IG, O'Brien JT.</v>
      </c>
      <c r="AR27" s="13"/>
      <c r="AU27" s="13"/>
      <c r="AX27" s="13"/>
      <c r="AY27" s="13"/>
      <c r="AZ27" s="13"/>
      <c r="BA27" s="13"/>
      <c r="BC27" s="23"/>
      <c r="BF27" s="136"/>
      <c r="BG27" s="136"/>
      <c r="BH27" s="136"/>
      <c r="BI27" s="136"/>
    </row>
    <row r="28" spans="1:65">
      <c r="B28">
        <v>12785469</v>
      </c>
      <c r="C28" s="1" t="str">
        <f>IF($B28="","",HYPERLINK(IF(LEN(VLOOKUP($B28,Database!$B$1:$IX$10144,2,FALSE))=0,"",VLOOKUP($B28,Database!$B$1:$IX$10144,2,FALSE))))</f>
        <v/>
      </c>
      <c r="D28" s="1" t="str">
        <f t="shared" si="0"/>
        <v>http://www.ncbi.nlm.nih.gov/pubmed/12785469</v>
      </c>
      <c r="E28" s="22" t="str">
        <f>IF($B28="","",IF(LEN(VLOOKUP($B28,Database!$B$1:$IX$10144,4,FALSE))=0,"",VLOOKUP($B28,Database!$B$1:$IX$10144,4,FALSE)))</f>
        <v>Almeida OP</v>
      </c>
      <c r="F28" s="22">
        <f>IF($B28="","",IF(LEN(VLOOKUP($B28,Database!$B$1:$IX$10144,5,FALSE))=0,"",VLOOKUP($B28,Database!$B$1:$IX$10144,5,FALSE)))</f>
        <v>2003</v>
      </c>
      <c r="G28" s="1" t="str">
        <f>IF($B28="","",HYPERLINK(IF(LEN(VLOOKUP($B28,Database!$B$1:$IX$10144,6,FALSE))=0,"",VLOOKUP($B28,Database!$B$1:$IX$10144,6,FALSE))))</f>
        <v>http://dx.doi.org/10.1017/S003329170300758X</v>
      </c>
      <c r="H28" s="83">
        <v>27</v>
      </c>
      <c r="I28" s="83">
        <v>18.5</v>
      </c>
      <c r="J28" t="s">
        <v>680</v>
      </c>
      <c r="K28" t="s">
        <v>400</v>
      </c>
      <c r="L28">
        <v>46461</v>
      </c>
      <c r="M28">
        <v>6284</v>
      </c>
      <c r="N28">
        <v>47749</v>
      </c>
      <c r="O28">
        <v>7031</v>
      </c>
      <c r="P28">
        <v>46829</v>
      </c>
      <c r="Q28">
        <v>7476</v>
      </c>
      <c r="R28">
        <v>49590</v>
      </c>
      <c r="S28">
        <v>6838</v>
      </c>
      <c r="T28">
        <v>93291</v>
      </c>
      <c r="U28">
        <v>13216</v>
      </c>
      <c r="V28">
        <v>97339</v>
      </c>
      <c r="W28">
        <v>13581</v>
      </c>
      <c r="Y28" s="22" t="str">
        <f>IF(OR($B28="",Y$22=""),"",IF(LEN(VLOOKUP($B28,Database!$B$1:$IX$10144,Y$22,FALSE))=0,"",VLOOKUP($B28,Database!$B$1:$IX$10144,Y$22,FALSE)))</f>
        <v>DSM-IV</v>
      </c>
      <c r="Z28" s="22" t="str">
        <f>IF(OR($B28="",Z$22=""),"",IF(LEN(VLOOKUP($B28,Database!$B$1:$IX$10144,Z$22,FALSE))=0,"",VLOOKUP($B28,Database!$B$1:$IX$10144,Z$22,FALSE)))</f>
        <v>MRI</v>
      </c>
      <c r="AA28" s="22" t="s">
        <v>2446</v>
      </c>
      <c r="AB28" s="214">
        <v>75.5</v>
      </c>
      <c r="AC28" s="22" t="str">
        <f>IF(OR($B28="",AC$22=""),"",IF(LEN(VLOOKUP($B28,Database!$B$1:$IX$10144,AC$22,FALSE))=0,"",VLOOKUP($B28,Database!$B$1:$IX$10144,AC$22,FALSE)))</f>
        <v/>
      </c>
      <c r="AD28" s="22">
        <f>IF(OR($B28="",AD$22=""),"",IF(LEN(VLOOKUP($B28,Database!$B$1:$IX$10144,AD$22,FALSE))=0,"",VLOOKUP($B28,Database!$B$1:$IX$10144,AD$22,FALSE)))</f>
        <v>72.900000000000006</v>
      </c>
      <c r="AE28" s="22">
        <f>IF(OR($B28="",AE$22=""),"",IF(LEN(VLOOKUP($B28,Database!$B$1:$IX$10144,AE$22,FALSE))=0,"",VLOOKUP($B28,Database!$B$1:$IX$10144,AE$22,FALSE)))</f>
        <v>6.83</v>
      </c>
      <c r="AF28" s="214">
        <v>18</v>
      </c>
      <c r="AG28" s="22">
        <f>IF(OR($B28="",AG$22=""),"",IF(LEN(VLOOKUP($B28,Database!$B$1:$IX$10144,AG$22,FALSE))=0,"",VLOOKUP($B28,Database!$B$1:$IX$10144,AG$22,FALSE)))</f>
        <v>27</v>
      </c>
      <c r="AH28" s="22">
        <f>IF(OR($B28="",AH$22=""),"",IF(LEN(VLOOKUP($B28,Database!$B$1:$IX$10144,AH$22,FALSE))=0,"",VLOOKUP($B28,Database!$B$1:$IX$10144,AH$22,FALSE)))</f>
        <v>1</v>
      </c>
      <c r="AI28" s="22">
        <f>IF(OR($B28="",AI$22=""),"",IF(LEN(VLOOKUP($B28,Database!$B$1:$IX$10144,AI$22,FALSE))=0,"",VLOOKUP($B28,Database!$B$1:$IX$10144,AI$22,FALSE)))</f>
        <v>1</v>
      </c>
      <c r="AJ28" s="22" t="str">
        <f>IF(OR($B28="",AJ$22=""),"",IF(LEN(VLOOKUP($B28,Database!$B$1:$IX$10144,AJ$22,FALSE))=0,"",VLOOKUP($B28,Database!$B$1:$IX$10144,AJ$22,FALSE)))</f>
        <v/>
      </c>
      <c r="AK28" s="214">
        <v>72.400000000000006</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Almeida OP, Burton EJ, Ferrier N, McKeith IG, O'Brien JT.</v>
      </c>
      <c r="AR28" s="13"/>
      <c r="AU28" s="13"/>
      <c r="AX28" s="13"/>
      <c r="AY28" s="13"/>
      <c r="AZ28" s="13"/>
      <c r="BA28" s="13"/>
      <c r="BC28" s="23"/>
      <c r="BF28" s="136"/>
      <c r="BG28" s="136"/>
      <c r="BH28" s="136"/>
      <c r="BI28" s="136"/>
    </row>
    <row r="29" spans="1:65">
      <c r="B29">
        <v>16086609</v>
      </c>
      <c r="C29" s="1" t="str">
        <f>IF($B29="","",HYPERLINK(IF(LEN(VLOOKUP($B29,Database!$B$1:$IX$10144,2,FALSE))=0,"",VLOOKUP($B29,Database!$B$1:$IX$10144,2,FALSE))))</f>
        <v/>
      </c>
      <c r="D29" s="1" t="str">
        <f t="shared" si="0"/>
        <v>http://www.ncbi.nlm.nih.gov/pubmed/16086609</v>
      </c>
      <c r="E29" s="22" t="str">
        <f>IF($B29="","",IF(LEN(VLOOKUP($B29,Database!$B$1:$IX$10144,4,FALSE))=0,"",VLOOKUP($B29,Database!$B$1:$IX$10144,4,FALSE)))</f>
        <v>Lavretsky H</v>
      </c>
      <c r="F29" s="22">
        <f>IF($B29="","",IF(LEN(VLOOKUP($B29,Database!$B$1:$IX$10144,5,FALSE))=0,"",VLOOKUP($B29,Database!$B$1:$IX$10144,5,FALSE)))</f>
        <v>2005</v>
      </c>
      <c r="G29" s="1" t="str">
        <f>IF($B29="","",HYPERLINK(IF(LEN(VLOOKUP($B29,Database!$B$1:$IX$10144,6,FALSE))=0,"",VLOOKUP($B29,Database!$B$1:$IX$10144,6,FALSE))))</f>
        <v>http://www.psychiatrist.com/privatepdf/2005/v66n08/v66n0801.pdf</v>
      </c>
      <c r="H29" s="83">
        <v>11</v>
      </c>
      <c r="I29" s="83">
        <v>20.5</v>
      </c>
      <c r="J29" t="s">
        <v>1246</v>
      </c>
      <c r="K29" s="13" t="s">
        <v>1245</v>
      </c>
      <c r="L29">
        <v>0.11799999999999999</v>
      </c>
      <c r="M29">
        <v>6.0000000000000001E-3</v>
      </c>
      <c r="N29">
        <v>0.11700000000000001</v>
      </c>
      <c r="O29">
        <v>8.0000000000000002E-3</v>
      </c>
      <c r="P29">
        <v>0.11799999999999999</v>
      </c>
      <c r="Q29">
        <v>8.0000000000000002E-3</v>
      </c>
      <c r="R29">
        <v>0.11799999999999999</v>
      </c>
      <c r="S29">
        <v>6.0000000000000001E-3</v>
      </c>
      <c r="T29">
        <v>0.23599999999999999</v>
      </c>
      <c r="U29">
        <v>1.9E-2</v>
      </c>
      <c r="V29">
        <v>0.23599999999999999</v>
      </c>
      <c r="W29">
        <v>1.6E-2</v>
      </c>
      <c r="Y29" s="22" t="str">
        <f>IF(OR($B29="",Y$22=""),"",IF(LEN(VLOOKUP($B29,Database!$B$1:$IX$10144,Y$22,FALSE))=0,"",VLOOKUP($B29,Database!$B$1:$IX$10144,Y$22,FALSE)))</f>
        <v>DSM-IV</v>
      </c>
      <c r="Z29" s="22" t="str">
        <f>IF(OR($B29="",Z$22=""),"",IF(LEN(VLOOKUP($B29,Database!$B$1:$IX$10144,Z$22,FALSE))=0,"",VLOOKUP($B29,Database!$B$1:$IX$10144,Z$22,FALSE)))</f>
        <v>MRI</v>
      </c>
      <c r="AA29" s="22" t="s">
        <v>2455</v>
      </c>
      <c r="AB29" s="214">
        <v>67.400000000000006</v>
      </c>
      <c r="AC29" s="214">
        <v>6.1</v>
      </c>
      <c r="AD29" s="22">
        <f>IF(OR($B29="",AD$22=""),"",IF(LEN(VLOOKUP($B29,Database!$B$1:$IX$10144,AD$22,FALSE))=0,"",VLOOKUP($B29,Database!$B$1:$IX$10144,AD$22,FALSE)))</f>
        <v>72.2</v>
      </c>
      <c r="AE29" s="22">
        <f>IF(OR($B29="",AE$22=""),"",IF(LEN(VLOOKUP($B29,Database!$B$1:$IX$10144,AE$22,FALSE))=0,"",VLOOKUP($B29,Database!$B$1:$IX$10144,AE$22,FALSE)))</f>
        <v>7.3</v>
      </c>
      <c r="AF29" s="214">
        <v>7</v>
      </c>
      <c r="AG29" s="22">
        <f>IF(OR($B29="",AG$22=""),"",IF(LEN(VLOOKUP($B29,Database!$B$1:$IX$10144,AG$22,FALSE))=0,"",VLOOKUP($B29,Database!$B$1:$IX$10144,AG$22,FALSE)))</f>
        <v>20</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214">
        <v>36.4</v>
      </c>
      <c r="AL29" s="214">
        <v>17.7</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Lavretsky H, Roybal DJ, Ballmaier M, Toga AW, Kumar A.</v>
      </c>
      <c r="AR29" s="13"/>
      <c r="AX29" s="13"/>
      <c r="AY29" s="13"/>
      <c r="AZ29" s="13"/>
      <c r="BA29" s="13"/>
      <c r="BC29" s="23"/>
      <c r="BF29" s="136"/>
      <c r="BG29" s="136"/>
      <c r="BH29" s="136"/>
      <c r="BI29" s="136"/>
    </row>
    <row r="30" spans="1:65">
      <c r="B30">
        <v>16086609</v>
      </c>
      <c r="C30" s="1" t="str">
        <f>IF($B30="","",HYPERLINK(IF(LEN(VLOOKUP($B30,Database!$B$1:$IX$10144,2,FALSE))=0,"",VLOOKUP($B30,Database!$B$1:$IX$10144,2,FALSE))))</f>
        <v/>
      </c>
      <c r="D30" s="1" t="str">
        <f t="shared" si="0"/>
        <v>http://www.ncbi.nlm.nih.gov/pubmed/16086609</v>
      </c>
      <c r="E30" s="22" t="str">
        <f>IF($B30="","",IF(LEN(VLOOKUP($B30,Database!$B$1:$IX$10144,4,FALSE))=0,"",VLOOKUP($B30,Database!$B$1:$IX$10144,4,FALSE)))</f>
        <v>Lavretsky H</v>
      </c>
      <c r="F30" s="22">
        <f>IF($B30="","",IF(LEN(VLOOKUP($B30,Database!$B$1:$IX$10144,5,FALSE))=0,"",VLOOKUP($B30,Database!$B$1:$IX$10144,5,FALSE)))</f>
        <v>2005</v>
      </c>
      <c r="G30" s="1" t="str">
        <f>IF($B30="","",HYPERLINK(IF(LEN(VLOOKUP($B30,Database!$B$1:$IX$10144,6,FALSE))=0,"",VLOOKUP($B30,Database!$B$1:$IX$10144,6,FALSE))))</f>
        <v>http://www.psychiatrist.com/privatepdf/2005/v66n08/v66n0801.pdf</v>
      </c>
      <c r="H30" s="83">
        <v>30</v>
      </c>
      <c r="I30" s="83">
        <v>20.5</v>
      </c>
      <c r="J30" t="s">
        <v>1246</v>
      </c>
      <c r="K30" t="s">
        <v>231</v>
      </c>
      <c r="L30">
        <v>0.11600000000000001</v>
      </c>
      <c r="M30">
        <v>0.01</v>
      </c>
      <c r="N30">
        <v>0.11700000000000001</v>
      </c>
      <c r="O30">
        <v>8.0000000000000002E-3</v>
      </c>
      <c r="P30">
        <v>0.11700000000000001</v>
      </c>
      <c r="Q30">
        <v>8.0000000000000002E-3</v>
      </c>
      <c r="R30">
        <v>0.11799999999999999</v>
      </c>
      <c r="S30">
        <v>6.0000000000000001E-3</v>
      </c>
      <c r="T30">
        <v>0.23300000000000001</v>
      </c>
      <c r="U30">
        <v>1.7000000000000001E-2</v>
      </c>
      <c r="V30">
        <v>0.23599999999999999</v>
      </c>
      <c r="W30">
        <v>1.6E-2</v>
      </c>
      <c r="Y30" s="22" t="str">
        <f>IF(OR($B30="",Y$22=""),"",IF(LEN(VLOOKUP($B30,Database!$B$1:$IX$10144,Y$22,FALSE))=0,"",VLOOKUP($B30,Database!$B$1:$IX$10144,Y$22,FALSE)))</f>
        <v>DSM-IV</v>
      </c>
      <c r="Z30" s="22" t="str">
        <f>IF(OR($B30="",Z$22=""),"",IF(LEN(VLOOKUP($B30,Database!$B$1:$IX$10144,Z$22,FALSE))=0,"",VLOOKUP($B30,Database!$B$1:$IX$10144,Z$22,FALSE)))</f>
        <v>MRI</v>
      </c>
      <c r="AA30" s="22" t="s">
        <v>2456</v>
      </c>
      <c r="AB30" s="214">
        <v>71.7</v>
      </c>
      <c r="AC30" s="214">
        <v>7.8</v>
      </c>
      <c r="AD30" s="22">
        <f>IF(OR($B30="",AD$22=""),"",IF(LEN(VLOOKUP($B30,Database!$B$1:$IX$10144,AD$22,FALSE))=0,"",VLOOKUP($B30,Database!$B$1:$IX$10144,AD$22,FALSE)))</f>
        <v>72.2</v>
      </c>
      <c r="AE30" s="22">
        <f>IF(OR($B30="",AE$22=""),"",IF(LEN(VLOOKUP($B30,Database!$B$1:$IX$10144,AE$22,FALSE))=0,"",VLOOKUP($B30,Database!$B$1:$IX$10144,AE$22,FALSE)))</f>
        <v>7.3</v>
      </c>
      <c r="AF30" s="214">
        <v>25</v>
      </c>
      <c r="AG30" s="22">
        <f>IF(OR($B30="",AG$22=""),"",IF(LEN(VLOOKUP($B30,Database!$B$1:$IX$10144,AG$22,FALSE))=0,"",VLOOKUP($B30,Database!$B$1:$IX$10144,AG$22,FALSE)))</f>
        <v>20</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14">
        <v>52.5</v>
      </c>
      <c r="AL30" s="214">
        <v>17.7</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Lavretsky H, Roybal DJ, Ballmaier M, Toga AW, Kumar A.</v>
      </c>
      <c r="AR30" s="13"/>
      <c r="AU30" s="13"/>
      <c r="AX30" s="13"/>
      <c r="AY30" s="13"/>
      <c r="AZ30" s="13"/>
      <c r="BA30" s="13"/>
      <c r="BC30" s="23"/>
      <c r="BF30" s="136"/>
      <c r="BG30" s="136"/>
      <c r="BH30" s="136"/>
      <c r="BI30" s="136"/>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2:51">
      <c r="C33" s="1" t="str">
        <f>IF($B33="","",HYPERLINK(IF(LEN(VLOOKUP($B33,Database!$B$1:$IX$10144,2,FALSE))=0,"",VLOOKUP($B33,Database!$B$1:$IX$10144,2,FALSE))))</f>
        <v/>
      </c>
      <c r="D33" s="1" t="str">
        <f>IF($B33="","",HYPERLINK(CONCATENATE("http://www.ncbi.nlm.nih.gov/pubmed/",B33)))</f>
        <v/>
      </c>
      <c r="E33" s="22" t="str">
        <f>IF($B33="","",IF(LEN(VLOOKUP($B33,Database!$B$1:$IX$10144,4,FALSE))=0,"",VLOOKUP($B33,Database!$B$1:$IX$10144,4,FALSE)))</f>
        <v/>
      </c>
      <c r="F33" s="22" t="str">
        <f>IF($B33="","",IF(LEN(VLOOKUP($B33,Database!$B$1:$IX$10144,5,FALSE))=0,"",VLOOKUP($B33,Database!$B$1:$IX$10144,5,FALSE)))</f>
        <v/>
      </c>
      <c r="G33" s="1" t="str">
        <f>IF($B33="","",HYPERLINK(IF(LEN(VLOOKUP($B33,Database!$B$1:$IX$10144,6,FALSE))=0,"",VLOOKUP($B33,Database!$B$1:$IX$10144,6,FALSE))))</f>
        <v/>
      </c>
      <c r="H33" s="22" t="str">
        <f>IF($B33="","",IF(LEN(VLOOKUP($B33,Database!$B$1:$IX$10144,7,FALSE))=0,"",VLOOKUP($B33,Database!$B$1:$IX$10144,7,FALSE)))</f>
        <v/>
      </c>
      <c r="I33" s="22" t="str">
        <f>IF($B33="","",IF(LEN(VLOOKUP($B33,Database!$B$1:$IX$10144,8,FALSE))=0,"",VLOOKUP($B33,Database!$B$1:$IX$10144,8,FALSE)))</f>
        <v/>
      </c>
      <c r="K33" s="10"/>
      <c r="Y33" s="22" t="str">
        <f>IF(OR($B33="",Y$22=""),"",IF(LEN(VLOOKUP($B33,Database!$B$1:$IX$10144,Y$22,FALSE))=0,"",VLOOKUP($B33,Database!$B$1:$IX$10144,Y$22,FALSE)))</f>
        <v/>
      </c>
      <c r="Z33" s="22" t="str">
        <f>IF(OR($B33="",Z$22=""),"",IF(LEN(VLOOKUP($B33,Database!$B$1:$IX$10144,Z$22,FALSE))=0,"",VLOOKUP($B33,Database!$B$1:$IX$10144,Z$22,FALSE)))</f>
        <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t="str">
        <f>IF(OR($B33="",AD$22=""),"",IF(LEN(VLOOKUP($B33,Database!$B$1:$IX$10144,AD$22,FALSE))=0,"",VLOOKUP($B33,Database!$B$1:$IX$10144,AD$22,FALSE)))</f>
        <v/>
      </c>
      <c r="AE33" s="22" t="str">
        <f>IF(OR($B33="",AE$22=""),"",IF(LEN(VLOOKUP($B33,Database!$B$1:$IX$10144,AE$22,FALSE))=0,"",VLOOKUP($B33,Database!$B$1:$IX$10144,AE$22,FALSE)))</f>
        <v/>
      </c>
      <c r="AF33" s="22" t="str">
        <f>IF(OR($B33="",AF$22=""),"",IF(LEN(VLOOKUP($B33,Database!$B$1:$IX$10144,AF$22,FALSE))=0,"",VLOOKUP($B33,Database!$B$1:$IX$10144,AF$22,FALSE)))</f>
        <v/>
      </c>
      <c r="AG33" s="22" t="str">
        <f>IF(OR($B33="",AG$22=""),"",IF(LEN(VLOOKUP($B33,Database!$B$1:$IX$10144,AG$22,FALSE))=0,"",VLOOKUP($B33,Database!$B$1:$IX$10144,AG$22,FALSE)))</f>
        <v/>
      </c>
      <c r="AH33" s="22" t="str">
        <f>IF(OR($B33="",AH$22=""),"",IF(LEN(VLOOKUP($B33,Database!$B$1:$IX$10144,AH$22,FALSE))=0,"",VLOOKUP($B33,Database!$B$1:$IX$10144,AH$22,FALSE)))</f>
        <v/>
      </c>
      <c r="AI33" s="22" t="str">
        <f>IF(OR($B33="",AI$22=""),"",IF(LEN(VLOOKUP($B33,Database!$B$1:$IX$10144,AI$22,FALSE))=0,"",VLOOKUP($B33,Database!$B$1:$IX$10144,AI$22,FALSE)))</f>
        <v/>
      </c>
      <c r="AJ33" s="22" t="str">
        <f>IF(OR($B33="",AJ$22=""),"",IF(LEN(VLOOKUP($B33,Database!$B$1:$IX$10144,AJ$22,FALSE))=0,"",VLOOKUP($B33,Database!$B$1:$IX$10144,AJ$22,FALSE)))</f>
        <v/>
      </c>
      <c r="AK33" s="22" t="str">
        <f>IF(OR($B33="",AK$22=""),"",IF(LEN(VLOOKUP($B33,Database!$B$1:$IX$10144,AK$22,FALSE))=0,"",VLOOKUP($B33,Database!$B$1:$IX$10144,AK$22,FALSE)))</f>
        <v/>
      </c>
      <c r="AL33" s="22" t="str">
        <f>IF(OR($B33="",AL$22=""),"",IF(LEN(VLOOKUP($B33,Database!$B$1:$IX$10144,AL$22,FALSE))=0,"",VLOOKUP($B33,Database!$B$1:$IX$10144,AL$22,FALSE)))</f>
        <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
      </c>
    </row>
    <row r="34" spans="2:51">
      <c r="B34" s="13"/>
      <c r="C34" s="1" t="str">
        <f>IF($B34="","",HYPERLINK(IF(LEN(VLOOKUP($B34,Database!$B$1:$IX$10144,2,FALSE))=0,"",VLOOKUP($B34,Database!$B$1:$IX$10144,2,FALSE))))</f>
        <v/>
      </c>
      <c r="D34" s="1" t="str">
        <f>IF($B34="","",HYPERLINK(CONCATENATE("http://www.ncbi.nlm.nih.gov/pubmed/",B34)))</f>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K34" s="10"/>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
      </c>
    </row>
    <row r="35" spans="2:51">
      <c r="I35" s="22" t="str">
        <f>IF($B35="","",IF(LEN(VLOOKUP($B35,Database!$B$1:$IX$10144,8,FALSE))=0,"",VLOOKUP($B35,Database!$B$1:$IX$10144,8,FALSE)))</f>
        <v/>
      </c>
      <c r="AF35" t="s">
        <v>602</v>
      </c>
      <c r="AJ35" t="s">
        <v>329</v>
      </c>
      <c r="AN35" t="s">
        <v>330</v>
      </c>
    </row>
    <row r="36" spans="2: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2:51">
      <c r="E37" t="str">
        <f>E24</f>
        <v>Bremner JD</v>
      </c>
      <c r="F37">
        <f>F24</f>
        <v>2000</v>
      </c>
      <c r="G37">
        <v>7</v>
      </c>
      <c r="H37">
        <f>H24</f>
        <v>16</v>
      </c>
      <c r="I37">
        <f>I24</f>
        <v>16</v>
      </c>
      <c r="J37">
        <f>IF($D$4="Total",T24,IF($D$4="Left",L24,IF($D$4="Right",P24,"error")))</f>
        <v>140856</v>
      </c>
      <c r="K37">
        <f>IF($D$4="Total",U24,IF($D$4="Left",M24,IF($D$4="Right",Q24,"error")))</f>
        <v>41597</v>
      </c>
      <c r="L37">
        <f>IF($D$4="Total",V24,IF($D$4="Left",N24,IF($D$4="Right",R24,"error")))</f>
        <v>154267</v>
      </c>
      <c r="M37">
        <f>IF($D$4="Total",W24,IF($D$4="Left",O24,IF($D$4="Right",S24,"error")))</f>
        <v>24141</v>
      </c>
      <c r="N37">
        <f t="shared" ref="N37:N43" si="1">IF($D$3=1,SQRT((((I37-1)*(M37)^2)+((H37-1)*(K37)^2))/(H37+I37-2)),M37)</f>
        <v>34008.074702929007</v>
      </c>
      <c r="O37" s="59">
        <f t="shared" ref="O37:O43" si="2">IF($D$6=1,LN(J37/L37),IF($D$5=1,(1-3/(4*(H37+I37)-9))*((J37-L37)/N37),(J37-L37)/N37))</f>
        <v>-0.38440598820195143</v>
      </c>
      <c r="P37" s="63">
        <f t="shared" ref="P37:P43" si="3">IF($D$6=1,(K37^2)/(H37*J37^2)+(M37^2)/(I37*L37^2),(IF($D$5=1,((H37+I37)/(H37*I37))+(O37*O37)/(2*(H37+I37-3.94)),((H37+I37)/(H37*I37))+((O37^2)/(2*(H37+I37-2))))))</f>
        <v>0.12763307134293511</v>
      </c>
      <c r="Q37" s="59">
        <f t="shared" ref="Q37:Q43" si="4">$R$60*SQRT(P37)</f>
        <v>0.70022511156842948</v>
      </c>
      <c r="R37" s="59">
        <f t="shared" ref="R37:R43" si="5">1/P37</f>
        <v>7.8349599322350958</v>
      </c>
      <c r="S37" s="59">
        <f t="shared" ref="S37:S43" si="6">O37*R37</f>
        <v>-3.0118055152735264</v>
      </c>
      <c r="T37" s="59">
        <f t="shared" ref="T37:T43" si="7">R37*(O37^2)</f>
        <v>1.1577560753708074</v>
      </c>
      <c r="U37" s="23">
        <f t="shared" ref="U37:U43" si="8">R37^2</f>
        <v>61.386597139729375</v>
      </c>
      <c r="V37" s="59">
        <f t="shared" ref="V37:V43" si="9">1/((1/R37)+$I$57)</f>
        <v>7.8349599322350958</v>
      </c>
      <c r="W37" s="59">
        <f t="shared" ref="W37:W43" si="10">V37*O37</f>
        <v>-3.0118055152735264</v>
      </c>
      <c r="AF37" s="59">
        <f t="shared" ref="AF37:AF43" si="11">IF($D$6=1,100*((EXP(O37))-1),O37)</f>
        <v>-0.38440598820195143</v>
      </c>
      <c r="AG37" s="59">
        <f t="shared" ref="AG37:AG43" si="12">IF($D$6=1,100*(EXP(O37+Q37)-EXP(O37)),Q37)</f>
        <v>0.70022511156842948</v>
      </c>
      <c r="AH37" s="59">
        <f t="shared" ref="AH37:AH43" si="13">IF($D$6=1,100*(EXP(O37)-EXP(O37-Q37)),Q37)</f>
        <v>0.70022511156842948</v>
      </c>
      <c r="AJ37">
        <f t="shared" ref="AJ37:AJ43" si="14">SQRT(P37)</f>
        <v>0.35725770998389261</v>
      </c>
      <c r="AK37">
        <f t="shared" ref="AK37:AK43" si="15">1/AJ37</f>
        <v>2.7990998432058642</v>
      </c>
      <c r="AL37">
        <f t="shared" ref="AL37:AL43" si="16">O37/AJ37</f>
        <v>-1.0759907413034777</v>
      </c>
      <c r="AN37" t="str">
        <f t="shared" ref="AN37:AN43" si="17">E37</f>
        <v>Bremner JD</v>
      </c>
      <c r="AO37">
        <f t="shared" ref="AO37:AO43" si="18">F37</f>
        <v>2000</v>
      </c>
      <c r="AP37" t="str">
        <f t="shared" ref="AP37:AP43" si="19">CONCATENATE(AN37," ",AO37)</f>
        <v>Bremner JD 2000</v>
      </c>
      <c r="AQ37">
        <f t="shared" ref="AQ37:AQ43" si="20">INT(H37)</f>
        <v>16</v>
      </c>
      <c r="AR37">
        <f t="shared" ref="AR37:AR43" si="21">J37</f>
        <v>140856</v>
      </c>
      <c r="AS37">
        <f t="shared" ref="AS37:AS43" si="22">K37</f>
        <v>41597</v>
      </c>
      <c r="AT37">
        <f t="shared" ref="AT37:AT43" si="23">INT(I37)</f>
        <v>16</v>
      </c>
      <c r="AU37">
        <f t="shared" ref="AU37:AU43" si="24">L37</f>
        <v>154267</v>
      </c>
      <c r="AV37">
        <f t="shared" ref="AV37:AV43" si="25">M37</f>
        <v>24141</v>
      </c>
      <c r="AW37" s="65">
        <f t="shared" ref="AW37:AW43" si="26">O37</f>
        <v>-0.38440598820195143</v>
      </c>
      <c r="AX37">
        <f t="shared" ref="AX37:AX43" si="27">SQRT(P37)</f>
        <v>0.35725770998389261</v>
      </c>
    </row>
    <row r="38" spans="2:51">
      <c r="E38" t="str">
        <f t="shared" ref="E38:F43" si="28">E25</f>
        <v>McIntosh AM</v>
      </c>
      <c r="F38">
        <f t="shared" si="28"/>
        <v>2001</v>
      </c>
      <c r="G38">
        <v>6</v>
      </c>
      <c r="H38">
        <f t="shared" ref="H38:I43" si="29">H25</f>
        <v>9</v>
      </c>
      <c r="I38">
        <f t="shared" si="29"/>
        <v>29</v>
      </c>
      <c r="J38">
        <f t="shared" ref="J38:J43" si="30">IF($D$4="Total",T25,IF($D$4="Left",L25,IF($D$4="Right",P25,"error")))</f>
        <v>64773</v>
      </c>
      <c r="K38">
        <f t="shared" ref="K38:K43" si="31">IF($D$4="Total",U25,IF($D$4="Left",M25,IF($D$4="Right",Q25,"error")))</f>
        <v>4063</v>
      </c>
      <c r="L38">
        <f t="shared" ref="L38:L43" si="32">IF($D$4="Total",V25,IF($D$4="Left",N25,IF($D$4="Right",R25,"error")))</f>
        <v>70119</v>
      </c>
      <c r="M38">
        <f t="shared" ref="M38:M43" si="33">IF($D$4="Total",W25,IF($D$4="Left",O25,IF($D$4="Right",S25,"error")))</f>
        <v>9715</v>
      </c>
      <c r="N38">
        <f t="shared" si="1"/>
        <v>8779.297067533369</v>
      </c>
      <c r="O38" s="59">
        <f t="shared" si="2"/>
        <v>-0.59615776907713813</v>
      </c>
      <c r="P38" s="63">
        <f t="shared" si="3"/>
        <v>0.15081119336114648</v>
      </c>
      <c r="Q38" s="59">
        <f t="shared" si="4"/>
        <v>0.76115457064658054</v>
      </c>
      <c r="R38" s="59">
        <f t="shared" si="5"/>
        <v>6.6308075528936845</v>
      </c>
      <c r="S38" s="59">
        <f t="shared" si="6"/>
        <v>-3.9530074379129365</v>
      </c>
      <c r="T38" s="59">
        <f t="shared" si="7"/>
        <v>2.3566160953315101</v>
      </c>
      <c r="U38" s="23">
        <f t="shared" si="8"/>
        <v>43.967608803511929</v>
      </c>
      <c r="V38" s="59">
        <f t="shared" si="9"/>
        <v>6.6308075528936845</v>
      </c>
      <c r="W38" s="59">
        <f t="shared" si="10"/>
        <v>-3.9530074379129365</v>
      </c>
      <c r="AF38" s="59">
        <f t="shared" si="11"/>
        <v>-0.59615776907713813</v>
      </c>
      <c r="AG38" s="59">
        <f t="shared" si="12"/>
        <v>0.76115457064658054</v>
      </c>
      <c r="AH38" s="59">
        <f t="shared" si="13"/>
        <v>0.76115457064658054</v>
      </c>
      <c r="AJ38">
        <f t="shared" si="14"/>
        <v>0.38834416869723498</v>
      </c>
      <c r="AK38">
        <f t="shared" si="15"/>
        <v>2.5750354469198444</v>
      </c>
      <c r="AL38">
        <f t="shared" si="16"/>
        <v>-1.535127387330286</v>
      </c>
      <c r="AN38" t="str">
        <f t="shared" si="17"/>
        <v>McIntosh AM</v>
      </c>
      <c r="AO38">
        <f t="shared" si="18"/>
        <v>2001</v>
      </c>
      <c r="AP38" t="str">
        <f t="shared" si="19"/>
        <v>McIntosh AM 2001</v>
      </c>
      <c r="AQ38">
        <f t="shared" si="20"/>
        <v>9</v>
      </c>
      <c r="AR38">
        <f t="shared" si="21"/>
        <v>64773</v>
      </c>
      <c r="AS38">
        <f t="shared" si="22"/>
        <v>4063</v>
      </c>
      <c r="AT38">
        <f t="shared" si="23"/>
        <v>29</v>
      </c>
      <c r="AU38">
        <f t="shared" si="24"/>
        <v>70119</v>
      </c>
      <c r="AV38">
        <f t="shared" si="25"/>
        <v>9715</v>
      </c>
      <c r="AW38" s="65">
        <f t="shared" si="26"/>
        <v>-0.59615776907713813</v>
      </c>
      <c r="AX38">
        <f t="shared" si="27"/>
        <v>0.38834416869723498</v>
      </c>
    </row>
    <row r="39" spans="2:51">
      <c r="E39" t="str">
        <f t="shared" si="28"/>
        <v>Nolan CL</v>
      </c>
      <c r="F39">
        <f t="shared" si="28"/>
        <v>2002</v>
      </c>
      <c r="G39">
        <v>5</v>
      </c>
      <c r="H39">
        <f t="shared" si="29"/>
        <v>22</v>
      </c>
      <c r="I39">
        <f t="shared" si="29"/>
        <v>22</v>
      </c>
      <c r="J39">
        <f t="shared" si="30"/>
        <v>70.02</v>
      </c>
      <c r="K39">
        <f t="shared" si="31"/>
        <v>11.15</v>
      </c>
      <c r="L39">
        <f t="shared" si="32"/>
        <v>68.64</v>
      </c>
      <c r="M39">
        <f t="shared" si="33"/>
        <v>9.7799999999999994</v>
      </c>
      <c r="N39">
        <f t="shared" si="1"/>
        <v>10.487394814728775</v>
      </c>
      <c r="O39" s="59">
        <f t="shared" si="2"/>
        <v>0.12922271019443518</v>
      </c>
      <c r="P39" s="63">
        <f t="shared" si="3"/>
        <v>9.1117509641367431E-2</v>
      </c>
      <c r="Q39" s="59">
        <f t="shared" si="4"/>
        <v>0.5916392693510778</v>
      </c>
      <c r="R39" s="59">
        <f t="shared" si="5"/>
        <v>10.974839017615107</v>
      </c>
      <c r="S39" s="59">
        <f t="shared" si="6"/>
        <v>1.4181984418038567</v>
      </c>
      <c r="T39" s="59">
        <f t="shared" si="7"/>
        <v>0.18326344624341934</v>
      </c>
      <c r="U39" s="23">
        <f t="shared" si="8"/>
        <v>120.44709146256693</v>
      </c>
      <c r="V39" s="59">
        <f t="shared" si="9"/>
        <v>10.974839017615107</v>
      </c>
      <c r="W39" s="59">
        <f t="shared" si="10"/>
        <v>1.4181984418038567</v>
      </c>
      <c r="AF39" s="59">
        <f t="shared" si="11"/>
        <v>0.12922271019443518</v>
      </c>
      <c r="AG39" s="59">
        <f t="shared" si="12"/>
        <v>0.5916392693510778</v>
      </c>
      <c r="AH39" s="59">
        <f t="shared" si="13"/>
        <v>0.5916392693510778</v>
      </c>
      <c r="AJ39">
        <f t="shared" si="14"/>
        <v>0.30185677007708051</v>
      </c>
      <c r="AK39">
        <f t="shared" si="15"/>
        <v>3.3128294579732152</v>
      </c>
      <c r="AL39">
        <f t="shared" si="16"/>
        <v>0.42809280097126057</v>
      </c>
      <c r="AN39" t="str">
        <f t="shared" si="17"/>
        <v>Nolan CL</v>
      </c>
      <c r="AO39">
        <f t="shared" si="18"/>
        <v>2002</v>
      </c>
      <c r="AP39" t="str">
        <f t="shared" si="19"/>
        <v>Nolan CL 2002</v>
      </c>
      <c r="AQ39">
        <f t="shared" si="20"/>
        <v>22</v>
      </c>
      <c r="AR39">
        <f t="shared" si="21"/>
        <v>70.02</v>
      </c>
      <c r="AS39">
        <f t="shared" si="22"/>
        <v>11.15</v>
      </c>
      <c r="AT39">
        <f t="shared" si="23"/>
        <v>22</v>
      </c>
      <c r="AU39">
        <f t="shared" si="24"/>
        <v>68.64</v>
      </c>
      <c r="AV39">
        <f t="shared" si="25"/>
        <v>9.7799999999999994</v>
      </c>
      <c r="AW39" s="65">
        <f t="shared" si="26"/>
        <v>0.12922271019443518</v>
      </c>
      <c r="AX39">
        <f t="shared" si="27"/>
        <v>0.30185677007708051</v>
      </c>
    </row>
    <row r="40" spans="2:51">
      <c r="E40" t="str">
        <f t="shared" si="28"/>
        <v>Almeida OP</v>
      </c>
      <c r="F40">
        <f t="shared" si="28"/>
        <v>2003</v>
      </c>
      <c r="G40">
        <v>4</v>
      </c>
      <c r="H40">
        <f t="shared" si="29"/>
        <v>24</v>
      </c>
      <c r="I40">
        <f t="shared" si="29"/>
        <v>18.5</v>
      </c>
      <c r="J40">
        <f t="shared" si="30"/>
        <v>48131</v>
      </c>
      <c r="K40">
        <f t="shared" si="31"/>
        <v>9899</v>
      </c>
      <c r="L40">
        <f t="shared" si="32"/>
        <v>47749</v>
      </c>
      <c r="M40">
        <f t="shared" si="33"/>
        <v>7031</v>
      </c>
      <c r="N40">
        <f t="shared" si="1"/>
        <v>8775.5080616874111</v>
      </c>
      <c r="O40" s="59">
        <f t="shared" si="2"/>
        <v>4.271912064149537E-2</v>
      </c>
      <c r="P40" s="63">
        <f t="shared" si="3"/>
        <v>9.574438414484393E-2</v>
      </c>
      <c r="Q40" s="59">
        <f t="shared" si="4"/>
        <v>0.60647475308608889</v>
      </c>
      <c r="R40" s="59">
        <f t="shared" si="5"/>
        <v>10.444476811163995</v>
      </c>
      <c r="S40" s="59">
        <f t="shared" si="6"/>
        <v>0.44617886493341552</v>
      </c>
      <c r="T40" s="59">
        <f t="shared" si="7"/>
        <v>1.9060368758776047E-2</v>
      </c>
      <c r="U40" s="23">
        <f t="shared" si="8"/>
        <v>109.0870958589424</v>
      </c>
      <c r="V40" s="59">
        <f t="shared" si="9"/>
        <v>10.444476811163995</v>
      </c>
      <c r="W40" s="59">
        <f t="shared" si="10"/>
        <v>0.44617886493341552</v>
      </c>
      <c r="AF40" s="59">
        <f t="shared" si="11"/>
        <v>4.271912064149537E-2</v>
      </c>
      <c r="AG40" s="59">
        <f t="shared" si="12"/>
        <v>0.60647475308608889</v>
      </c>
      <c r="AH40" s="59">
        <f t="shared" si="13"/>
        <v>0.60647475308608889</v>
      </c>
      <c r="AJ40">
        <f t="shared" si="14"/>
        <v>0.30942589443167801</v>
      </c>
      <c r="AK40">
        <f t="shared" si="15"/>
        <v>3.2317915791653387</v>
      </c>
      <c r="AL40">
        <f t="shared" si="16"/>
        <v>0.13805929435853292</v>
      </c>
      <c r="AN40" t="str">
        <f t="shared" si="17"/>
        <v>Almeida OP</v>
      </c>
      <c r="AO40">
        <f t="shared" si="18"/>
        <v>2003</v>
      </c>
      <c r="AP40" t="str">
        <f t="shared" si="19"/>
        <v>Almeida OP 2003</v>
      </c>
      <c r="AQ40">
        <f t="shared" si="20"/>
        <v>24</v>
      </c>
      <c r="AR40">
        <f t="shared" si="21"/>
        <v>48131</v>
      </c>
      <c r="AS40">
        <f t="shared" si="22"/>
        <v>9899</v>
      </c>
      <c r="AT40">
        <f t="shared" si="23"/>
        <v>18</v>
      </c>
      <c r="AU40">
        <f t="shared" si="24"/>
        <v>47749</v>
      </c>
      <c r="AV40">
        <f t="shared" si="25"/>
        <v>7031</v>
      </c>
      <c r="AW40" s="65">
        <f t="shared" si="26"/>
        <v>4.271912064149537E-2</v>
      </c>
      <c r="AX40">
        <f t="shared" si="27"/>
        <v>0.30942589443167801</v>
      </c>
    </row>
    <row r="41" spans="2:51">
      <c r="E41" t="str">
        <f t="shared" si="28"/>
        <v>Almeida OP</v>
      </c>
      <c r="F41">
        <f t="shared" si="28"/>
        <v>2003</v>
      </c>
      <c r="G41">
        <v>3</v>
      </c>
      <c r="H41">
        <f t="shared" si="29"/>
        <v>27</v>
      </c>
      <c r="I41">
        <f t="shared" si="29"/>
        <v>18.5</v>
      </c>
      <c r="J41">
        <f t="shared" si="30"/>
        <v>46461</v>
      </c>
      <c r="K41">
        <f t="shared" si="31"/>
        <v>6284</v>
      </c>
      <c r="L41">
        <f t="shared" si="32"/>
        <v>47749</v>
      </c>
      <c r="M41">
        <f t="shared" si="33"/>
        <v>7031</v>
      </c>
      <c r="N41">
        <f t="shared" si="1"/>
        <v>6594.6981029434182</v>
      </c>
      <c r="O41" s="59">
        <f t="shared" si="2"/>
        <v>-0.19192155882306236</v>
      </c>
      <c r="P41" s="63">
        <f t="shared" si="3"/>
        <v>9.1534232149092468E-2</v>
      </c>
      <c r="Q41" s="59">
        <f t="shared" si="4"/>
        <v>0.59299064598352103</v>
      </c>
      <c r="R41" s="59">
        <f t="shared" si="5"/>
        <v>10.924874514391332</v>
      </c>
      <c r="S41" s="59">
        <f t="shared" si="6"/>
        <v>-2.0967189467483309</v>
      </c>
      <c r="T41" s="59">
        <f t="shared" si="7"/>
        <v>0.40240556867378913</v>
      </c>
      <c r="U41" s="23">
        <f t="shared" si="8"/>
        <v>119.35288315519725</v>
      </c>
      <c r="V41" s="59">
        <f t="shared" si="9"/>
        <v>10.924874514391332</v>
      </c>
      <c r="W41" s="59">
        <f t="shared" si="10"/>
        <v>-2.0967189467483309</v>
      </c>
      <c r="AF41" s="59">
        <f t="shared" si="11"/>
        <v>-0.19192155882306236</v>
      </c>
      <c r="AG41" s="59">
        <f t="shared" si="12"/>
        <v>0.59299064598352103</v>
      </c>
      <c r="AH41" s="59">
        <f t="shared" si="13"/>
        <v>0.59299064598352103</v>
      </c>
      <c r="AJ41">
        <f t="shared" si="14"/>
        <v>0.30254624795077606</v>
      </c>
      <c r="AK41">
        <f t="shared" si="15"/>
        <v>3.3052797936621543</v>
      </c>
      <c r="AL41">
        <f t="shared" si="16"/>
        <v>-0.63435445034601057</v>
      </c>
      <c r="AN41" t="str">
        <f t="shared" si="17"/>
        <v>Almeida OP</v>
      </c>
      <c r="AO41">
        <f t="shared" si="18"/>
        <v>2003</v>
      </c>
      <c r="AP41" t="str">
        <f t="shared" si="19"/>
        <v>Almeida OP 2003</v>
      </c>
      <c r="AQ41">
        <f t="shared" si="20"/>
        <v>27</v>
      </c>
      <c r="AR41">
        <f t="shared" si="21"/>
        <v>46461</v>
      </c>
      <c r="AS41">
        <f t="shared" si="22"/>
        <v>6284</v>
      </c>
      <c r="AT41">
        <f t="shared" si="23"/>
        <v>18</v>
      </c>
      <c r="AU41">
        <f t="shared" si="24"/>
        <v>47749</v>
      </c>
      <c r="AV41">
        <f t="shared" si="25"/>
        <v>7031</v>
      </c>
      <c r="AW41" s="65">
        <f t="shared" si="26"/>
        <v>-0.19192155882306236</v>
      </c>
      <c r="AX41">
        <f t="shared" si="27"/>
        <v>0.30254624795077606</v>
      </c>
    </row>
    <row r="42" spans="2:51">
      <c r="E42" t="str">
        <f t="shared" si="28"/>
        <v>Lavretsky H</v>
      </c>
      <c r="F42">
        <f t="shared" si="28"/>
        <v>2005</v>
      </c>
      <c r="G42">
        <v>2</v>
      </c>
      <c r="H42">
        <f t="shared" si="29"/>
        <v>11</v>
      </c>
      <c r="I42">
        <f t="shared" si="29"/>
        <v>20.5</v>
      </c>
      <c r="J42">
        <f t="shared" si="30"/>
        <v>0.11799999999999999</v>
      </c>
      <c r="K42">
        <f t="shared" si="31"/>
        <v>6.0000000000000001E-3</v>
      </c>
      <c r="L42">
        <f t="shared" si="32"/>
        <v>0.11700000000000001</v>
      </c>
      <c r="M42">
        <f t="shared" si="33"/>
        <v>8.0000000000000002E-3</v>
      </c>
      <c r="N42">
        <f t="shared" si="1"/>
        <v>7.3829854785358471E-3</v>
      </c>
      <c r="O42" s="59">
        <f t="shared" si="2"/>
        <v>0.13197357318278125</v>
      </c>
      <c r="P42" s="63">
        <f t="shared" si="3"/>
        <v>0.14000556245886428</v>
      </c>
      <c r="Q42" s="59">
        <f t="shared" si="4"/>
        <v>0.73337941663369099</v>
      </c>
      <c r="R42" s="59">
        <f t="shared" si="5"/>
        <v>7.1425733552109039</v>
      </c>
      <c r="S42" s="59">
        <f t="shared" si="6"/>
        <v>0.94263092740730958</v>
      </c>
      <c r="T42" s="59">
        <f t="shared" si="7"/>
        <v>0.12440237168254152</v>
      </c>
      <c r="U42" s="23">
        <f t="shared" si="8"/>
        <v>51.016354134568751</v>
      </c>
      <c r="V42" s="59">
        <f t="shared" si="9"/>
        <v>7.1425733552109039</v>
      </c>
      <c r="W42" s="59">
        <f t="shared" si="10"/>
        <v>0.94263092740730958</v>
      </c>
      <c r="AF42" s="59">
        <f t="shared" si="11"/>
        <v>0.13197357318278125</v>
      </c>
      <c r="AG42" s="59">
        <f t="shared" si="12"/>
        <v>0.73337941663369099</v>
      </c>
      <c r="AH42" s="59">
        <f t="shared" si="13"/>
        <v>0.73337941663369099</v>
      </c>
      <c r="AJ42">
        <f t="shared" si="14"/>
        <v>0.37417317175188319</v>
      </c>
      <c r="AK42">
        <f t="shared" si="15"/>
        <v>2.6725593267897541</v>
      </c>
      <c r="AL42">
        <f t="shared" si="16"/>
        <v>0.35270720389941218</v>
      </c>
      <c r="AN42" t="str">
        <f t="shared" si="17"/>
        <v>Lavretsky H</v>
      </c>
      <c r="AO42">
        <f t="shared" si="18"/>
        <v>2005</v>
      </c>
      <c r="AP42" t="str">
        <f t="shared" si="19"/>
        <v>Lavretsky H 2005</v>
      </c>
      <c r="AQ42">
        <f t="shared" si="20"/>
        <v>11</v>
      </c>
      <c r="AR42">
        <f t="shared" si="21"/>
        <v>0.11799999999999999</v>
      </c>
      <c r="AS42">
        <f t="shared" si="22"/>
        <v>6.0000000000000001E-3</v>
      </c>
      <c r="AT42">
        <f t="shared" si="23"/>
        <v>20</v>
      </c>
      <c r="AU42">
        <f t="shared" si="24"/>
        <v>0.11700000000000001</v>
      </c>
      <c r="AV42">
        <f t="shared" si="25"/>
        <v>8.0000000000000002E-3</v>
      </c>
      <c r="AW42" s="65">
        <f t="shared" si="26"/>
        <v>0.13197357318278125</v>
      </c>
      <c r="AX42">
        <f t="shared" si="27"/>
        <v>0.37417317175188319</v>
      </c>
    </row>
    <row r="43" spans="2:51">
      <c r="E43" t="str">
        <f t="shared" si="28"/>
        <v>Lavretsky H</v>
      </c>
      <c r="F43">
        <f t="shared" si="28"/>
        <v>2005</v>
      </c>
      <c r="G43">
        <v>1</v>
      </c>
      <c r="H43">
        <f t="shared" si="29"/>
        <v>30</v>
      </c>
      <c r="I43">
        <f t="shared" si="29"/>
        <v>20.5</v>
      </c>
      <c r="J43">
        <f t="shared" si="30"/>
        <v>0.11600000000000001</v>
      </c>
      <c r="K43">
        <f t="shared" si="31"/>
        <v>0.01</v>
      </c>
      <c r="L43">
        <f t="shared" si="32"/>
        <v>0.11700000000000001</v>
      </c>
      <c r="M43">
        <f t="shared" si="33"/>
        <v>8.0000000000000002E-3</v>
      </c>
      <c r="N43">
        <f t="shared" si="1"/>
        <v>9.2480145542638663E-3</v>
      </c>
      <c r="O43" s="59">
        <f t="shared" si="2"/>
        <v>-0.10645052003030563</v>
      </c>
      <c r="P43" s="63">
        <f t="shared" si="3"/>
        <v>8.2235510498335121E-2</v>
      </c>
      <c r="Q43" s="59">
        <f t="shared" si="4"/>
        <v>0.56206399736186996</v>
      </c>
      <c r="R43" s="59">
        <f t="shared" si="5"/>
        <v>12.160196902045683</v>
      </c>
      <c r="S43" s="59">
        <f t="shared" si="6"/>
        <v>-1.2944592838936744</v>
      </c>
      <c r="T43" s="59">
        <f t="shared" si="7"/>
        <v>0.13779586392853865</v>
      </c>
      <c r="U43" s="23">
        <f t="shared" si="8"/>
        <v>147.87038869652145</v>
      </c>
      <c r="V43" s="59">
        <f t="shared" si="9"/>
        <v>12.160196902045683</v>
      </c>
      <c r="W43" s="59">
        <f t="shared" si="10"/>
        <v>-1.2944592838936744</v>
      </c>
      <c r="AF43" s="59">
        <f t="shared" si="11"/>
        <v>-0.10645052003030563</v>
      </c>
      <c r="AG43" s="59">
        <f t="shared" si="12"/>
        <v>0.56206399736186996</v>
      </c>
      <c r="AH43" s="59">
        <f t="shared" si="13"/>
        <v>0.56206399736186996</v>
      </c>
      <c r="AJ43">
        <f t="shared" si="14"/>
        <v>0.28676734559279082</v>
      </c>
      <c r="AK43">
        <f t="shared" si="15"/>
        <v>3.4871473874853187</v>
      </c>
      <c r="AL43">
        <f t="shared" si="16"/>
        <v>-0.37120865282013382</v>
      </c>
      <c r="AN43" t="str">
        <f t="shared" si="17"/>
        <v>Lavretsky H</v>
      </c>
      <c r="AO43">
        <f t="shared" si="18"/>
        <v>2005</v>
      </c>
      <c r="AP43" t="str">
        <f t="shared" si="19"/>
        <v>Lavretsky H 2005</v>
      </c>
      <c r="AQ43">
        <f t="shared" si="20"/>
        <v>30</v>
      </c>
      <c r="AR43">
        <f t="shared" si="21"/>
        <v>0.11600000000000001</v>
      </c>
      <c r="AS43">
        <f t="shared" si="22"/>
        <v>0.01</v>
      </c>
      <c r="AT43">
        <f t="shared" si="23"/>
        <v>20</v>
      </c>
      <c r="AU43">
        <f t="shared" si="24"/>
        <v>0.11700000000000001</v>
      </c>
      <c r="AV43">
        <f t="shared" si="25"/>
        <v>8.0000000000000002E-3</v>
      </c>
      <c r="AW43" s="65">
        <f t="shared" si="26"/>
        <v>-0.10645052003030563</v>
      </c>
      <c r="AX43">
        <f t="shared" si="27"/>
        <v>0.28676734559279082</v>
      </c>
    </row>
    <row r="44" spans="2:51">
      <c r="U44" s="23"/>
    </row>
    <row r="45" spans="2:51">
      <c r="L45" t="s">
        <v>500</v>
      </c>
      <c r="N45" s="7"/>
      <c r="O45" s="66">
        <f>COUNT(O37:O43)</f>
        <v>7</v>
      </c>
      <c r="Q45" t="s">
        <v>885</v>
      </c>
      <c r="R45" s="59">
        <f t="shared" ref="R45:W45" si="34">SUM(R37:R43)</f>
        <v>66.112728085555801</v>
      </c>
      <c r="S45" s="59">
        <f t="shared" si="34"/>
        <v>-7.5489829496838876</v>
      </c>
      <c r="T45" s="59">
        <f t="shared" si="34"/>
        <v>4.3812997899893826</v>
      </c>
      <c r="U45" s="23">
        <f t="shared" si="34"/>
        <v>653.12801925103804</v>
      </c>
      <c r="V45" s="59">
        <f t="shared" si="34"/>
        <v>66.112728085555801</v>
      </c>
      <c r="W45" s="59">
        <f t="shared" si="34"/>
        <v>-7.5489829496838876</v>
      </c>
    </row>
    <row r="46" spans="2:51">
      <c r="L46" t="s">
        <v>501</v>
      </c>
      <c r="N46" s="7"/>
      <c r="O46" s="2">
        <v>2</v>
      </c>
    </row>
    <row r="47" spans="2:51">
      <c r="N47" s="7"/>
      <c r="O47" s="7"/>
    </row>
    <row r="48" spans="2:51">
      <c r="G48" s="67" t="s">
        <v>502</v>
      </c>
      <c r="H48" s="40"/>
      <c r="I48" s="40">
        <f>S45/R45</f>
        <v>-0.11418350396787176</v>
      </c>
      <c r="J48" s="40"/>
      <c r="K48" s="68" t="s">
        <v>879</v>
      </c>
      <c r="L48" s="40"/>
      <c r="M48" s="42"/>
      <c r="N48" s="7"/>
      <c r="O48" s="69" t="s">
        <v>503</v>
      </c>
      <c r="P48" s="70">
        <f>T45-((S45^2)/R45)</f>
        <v>3.5193304654007562</v>
      </c>
      <c r="Q48" s="71" t="s">
        <v>824</v>
      </c>
      <c r="R48" s="28"/>
      <c r="S48" s="29"/>
      <c r="T48" s="30"/>
      <c r="U48" s="31"/>
      <c r="AF48" s="2" t="s">
        <v>1518</v>
      </c>
    </row>
    <row r="49" spans="7:34">
      <c r="G49" s="43" t="s">
        <v>504</v>
      </c>
      <c r="H49" s="31"/>
      <c r="I49" s="31">
        <f>1/R45</f>
        <v>1.5125680469665543E-2</v>
      </c>
      <c r="J49" s="31"/>
      <c r="K49" s="31"/>
      <c r="L49" s="31"/>
      <c r="M49" s="44"/>
      <c r="N49" s="7"/>
      <c r="O49" s="30" t="s">
        <v>505</v>
      </c>
      <c r="P49" s="31">
        <f>CHIDIST(P48,I53-1)</f>
        <v>0.74139611639719316</v>
      </c>
      <c r="Q49" s="31"/>
      <c r="R49" s="31"/>
      <c r="S49" s="34"/>
      <c r="T49" s="30"/>
      <c r="U49" s="31"/>
      <c r="AF49" s="2"/>
    </row>
    <row r="50" spans="7:34">
      <c r="G50" s="72" t="s">
        <v>506</v>
      </c>
      <c r="H50" s="31"/>
      <c r="I50" s="31">
        <f>$R$60*SQRT(I49)</f>
        <v>0.24105355025858288</v>
      </c>
      <c r="J50" s="31"/>
      <c r="K50" s="31" t="s">
        <v>507</v>
      </c>
      <c r="L50" s="31"/>
      <c r="M50" s="44">
        <f>ABS(I48/SQRT(I49))</f>
        <v>0.92842303105245427</v>
      </c>
      <c r="N50" s="7"/>
      <c r="O50" s="35" t="s">
        <v>508</v>
      </c>
      <c r="P50" s="37">
        <f>IF(((P48-(I53-1))/P48)&lt;0,0,100*((P48-(I53-1))/P48))</f>
        <v>0</v>
      </c>
      <c r="Q50" s="36"/>
      <c r="R50" s="36"/>
      <c r="S50" s="38"/>
      <c r="T50" s="30"/>
      <c r="U50" s="31"/>
      <c r="AF50" s="2" t="s">
        <v>1535</v>
      </c>
      <c r="AH50">
        <f>IF($D$6=1,100*((EXP(I48))-1),I48)</f>
        <v>-0.11418350396787176</v>
      </c>
    </row>
    <row r="51" spans="7:34">
      <c r="G51" s="45" t="s">
        <v>509</v>
      </c>
      <c r="H51" s="46"/>
      <c r="I51" s="46">
        <v>-2</v>
      </c>
      <c r="J51" s="46"/>
      <c r="K51" s="46" t="s">
        <v>825</v>
      </c>
      <c r="L51" s="46"/>
      <c r="M51" s="47">
        <f>2*(1-NORMDIST(M50,0,1,1))</f>
        <v>0.35318817633790056</v>
      </c>
      <c r="N51" s="7"/>
      <c r="O51" s="7"/>
      <c r="AF51" s="79" t="s">
        <v>834</v>
      </c>
      <c r="AH51">
        <f>IF($D$6=1,100*(EXP(I48+I50)-EXP(I48)),I50)</f>
        <v>0.24105355025858288</v>
      </c>
    </row>
    <row r="52" spans="7:34">
      <c r="G52" s="40"/>
      <c r="H52" s="40"/>
      <c r="I52" s="40"/>
      <c r="J52" s="40"/>
      <c r="K52" s="40"/>
      <c r="L52" s="40"/>
      <c r="M52" s="40"/>
      <c r="N52" s="7"/>
      <c r="O52" s="7"/>
      <c r="AF52" s="79" t="s">
        <v>835</v>
      </c>
      <c r="AH52">
        <f>IF($D$6=1,100*(EXP(I48)-EXP(I48-I50)),I50)</f>
        <v>0.24105355025858288</v>
      </c>
    </row>
    <row r="53" spans="7:34">
      <c r="G53" s="73" t="s">
        <v>1110</v>
      </c>
      <c r="H53" s="74"/>
      <c r="I53" s="74">
        <f>O45</f>
        <v>7</v>
      </c>
      <c r="J53" s="74"/>
      <c r="K53" s="75" t="s">
        <v>1167</v>
      </c>
      <c r="L53" s="74"/>
      <c r="M53" s="76"/>
      <c r="N53" s="77"/>
      <c r="O53" s="101" t="s">
        <v>1513</v>
      </c>
      <c r="P53" s="102"/>
      <c r="Q53" s="103"/>
      <c r="AF53" s="7"/>
    </row>
    <row r="54" spans="7:34">
      <c r="G54" s="77" t="s">
        <v>1531</v>
      </c>
      <c r="H54" s="31"/>
      <c r="I54" s="31">
        <f>R45/I53</f>
        <v>9.4446754407936861</v>
      </c>
      <c r="J54" s="31"/>
      <c r="K54" s="31"/>
      <c r="L54" s="31"/>
      <c r="M54" s="78"/>
      <c r="N54" s="77"/>
      <c r="O54" s="104" t="s">
        <v>1514</v>
      </c>
      <c r="P54" s="31"/>
      <c r="Q54" s="105">
        <f>INDEX(LINEST(AL37:AL43,AK37:AK43,TRUE,TRUE),1,2)</f>
        <v>-3.0653329421477791</v>
      </c>
      <c r="AF54" s="2" t="s">
        <v>1687</v>
      </c>
      <c r="AH54">
        <f>IF($D$6=1,100*((EXP(I59))-1),I59)</f>
        <v>-0.11418350396787176</v>
      </c>
    </row>
    <row r="55" spans="7:34">
      <c r="G55" s="77" t="s">
        <v>1532</v>
      </c>
      <c r="H55" s="31"/>
      <c r="I55" s="31">
        <f>(1/(I53-1))*(U45-(I53*I54^2))</f>
        <v>4.7857933295863591</v>
      </c>
      <c r="J55" s="31"/>
      <c r="K55" s="31"/>
      <c r="L55" s="31"/>
      <c r="M55" s="78"/>
      <c r="N55" s="77"/>
      <c r="O55" s="104" t="s">
        <v>1516</v>
      </c>
      <c r="P55" s="31"/>
      <c r="Q55" s="105">
        <f>INDEX(LINEST(AL37:AL43,AK37:AK43,TRUE,TRUE),2,2)</f>
        <v>2.5580915799734689</v>
      </c>
      <c r="AF55" s="79" t="s">
        <v>834</v>
      </c>
      <c r="AG55" s="7"/>
      <c r="AH55">
        <f>IF($D$6=1,100*(EXP(I59+I61)-EXP(I59)),I61)</f>
        <v>0.24105355025858288</v>
      </c>
    </row>
    <row r="56" spans="7:34">
      <c r="G56" s="77" t="s">
        <v>1669</v>
      </c>
      <c r="H56" s="31"/>
      <c r="I56" s="31">
        <f>(I53-1)*(I54-(I55/(I53*I54)))</f>
        <v>56.233722360579037</v>
      </c>
      <c r="J56" s="31"/>
      <c r="K56" s="31"/>
      <c r="L56" s="31"/>
      <c r="M56" s="78"/>
      <c r="N56" s="77"/>
      <c r="O56" s="104" t="s">
        <v>1349</v>
      </c>
      <c r="P56" s="31"/>
      <c r="Q56" s="105">
        <f>ABS(Q54/Q55)</f>
        <v>1.1982889768862657</v>
      </c>
      <c r="AF56" s="79" t="s">
        <v>835</v>
      </c>
      <c r="AH56">
        <f>IF($D$6=1,100*(EXP(I59)-EXP(I59-I61)),I61)</f>
        <v>0.24105355025858288</v>
      </c>
    </row>
    <row r="57" spans="7:34">
      <c r="G57" s="77" t="s">
        <v>1685</v>
      </c>
      <c r="H57" s="31"/>
      <c r="I57" s="31">
        <f>IF(P48&gt;(I53-1),(P48-(I53-1))/I56,0)</f>
        <v>0</v>
      </c>
      <c r="J57" s="31"/>
      <c r="K57" s="31"/>
      <c r="L57" s="31"/>
      <c r="M57" s="78"/>
      <c r="N57" s="77"/>
      <c r="O57" s="106" t="s">
        <v>1515</v>
      </c>
      <c r="P57" s="107"/>
      <c r="Q57" s="108">
        <f>TDIST(Q56,I53-2,2)</f>
        <v>0.28449959489798993</v>
      </c>
    </row>
    <row r="58" spans="7:34">
      <c r="G58" s="77"/>
      <c r="H58" s="31"/>
      <c r="I58" s="31"/>
      <c r="J58" s="31"/>
      <c r="K58" s="31"/>
      <c r="L58" s="31"/>
      <c r="M58" s="78"/>
      <c r="N58" s="77"/>
    </row>
    <row r="59" spans="7:34">
      <c r="G59" s="77" t="s">
        <v>1686</v>
      </c>
      <c r="H59" s="31"/>
      <c r="I59" s="31">
        <f>W45/V45</f>
        <v>-0.11418350396787176</v>
      </c>
      <c r="J59" s="31"/>
      <c r="N59" s="77"/>
    </row>
    <row r="60" spans="7:34">
      <c r="G60" s="77" t="s">
        <v>504</v>
      </c>
      <c r="H60" s="31"/>
      <c r="I60" s="31">
        <f>1/V45</f>
        <v>1.5125680469665543E-2</v>
      </c>
      <c r="J60" s="31"/>
      <c r="N60" s="77"/>
      <c r="O60" t="s">
        <v>805</v>
      </c>
      <c r="R60">
        <v>1.96</v>
      </c>
    </row>
    <row r="61" spans="7:34">
      <c r="G61" s="80" t="s">
        <v>506</v>
      </c>
      <c r="H61" s="31"/>
      <c r="I61" s="31">
        <f>$R$60*SQRT(I60)</f>
        <v>0.24105355025858288</v>
      </c>
      <c r="J61" s="31"/>
      <c r="K61" s="31" t="s">
        <v>507</v>
      </c>
      <c r="L61" s="31"/>
      <c r="M61" s="78">
        <f>ABS(I59/(SQRT(I60)))</f>
        <v>0.92842303105245427</v>
      </c>
      <c r="N61" s="77"/>
    </row>
    <row r="62" spans="7:34">
      <c r="G62" s="81" t="s">
        <v>509</v>
      </c>
      <c r="H62" s="82"/>
      <c r="I62" s="82">
        <v>-3</v>
      </c>
      <c r="J62" s="82"/>
      <c r="K62" s="31" t="s">
        <v>825</v>
      </c>
      <c r="L62" s="31"/>
      <c r="M62" s="78">
        <f>2*(1-NORMDIST(M61,0,1,1))</f>
        <v>0.35318817633790056</v>
      </c>
      <c r="N62" s="77"/>
    </row>
    <row r="63" spans="7:34">
      <c r="G63" s="74"/>
      <c r="H63" s="74"/>
      <c r="I63" s="74"/>
      <c r="J63" s="74"/>
      <c r="K63" s="74"/>
      <c r="L63" s="74"/>
      <c r="M63" s="74"/>
      <c r="N63" s="31"/>
      <c r="O63" s="7"/>
    </row>
  </sheetData>
  <phoneticPr fontId="10" type="noConversion"/>
  <conditionalFormatting sqref="D17 D13 F13">
    <cfRule type="cellIs" dxfId="64" priority="0" stopIfTrue="1" operator="lessThan">
      <formula>0.05</formula>
    </cfRule>
  </conditionalFormatting>
  <conditionalFormatting sqref="D21">
    <cfRule type="cellIs" dxfId="6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8.xml><?xml version="1.0" encoding="utf-8"?>
<worksheet xmlns="http://schemas.openxmlformats.org/spreadsheetml/2006/main" xmlns:r="http://schemas.openxmlformats.org/officeDocument/2006/relationships">
  <sheetPr published="0" codeName="Sheet46" enableFormatConditionsCalculation="0"/>
  <dimension ref="A1:BM6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402</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I53-O46</f>
        <v>5</v>
      </c>
      <c r="AD7" s="89"/>
    </row>
    <row r="8" spans="2:30">
      <c r="B8" t="s">
        <v>822</v>
      </c>
      <c r="D8">
        <f>SUM(H24:H30)</f>
        <v>139</v>
      </c>
      <c r="AD8" s="89"/>
    </row>
    <row r="9" spans="2:30">
      <c r="B9" t="s">
        <v>823</v>
      </c>
      <c r="D9">
        <f>SUM(I24:I30)</f>
        <v>145</v>
      </c>
      <c r="AD9" s="89"/>
    </row>
    <row r="11" spans="2:30">
      <c r="B11" s="27" t="s">
        <v>516</v>
      </c>
      <c r="C11" s="28"/>
      <c r="D11" s="109">
        <f>P48</f>
        <v>3.9756174048525397</v>
      </c>
      <c r="E11" s="110" t="s">
        <v>1513</v>
      </c>
      <c r="F11" s="103"/>
    </row>
    <row r="12" spans="2:30">
      <c r="B12" s="30" t="s">
        <v>826</v>
      </c>
      <c r="C12" s="31"/>
      <c r="D12" s="112">
        <f>P50</f>
        <v>0</v>
      </c>
      <c r="E12" s="31"/>
      <c r="F12" s="105"/>
    </row>
    <row r="13" spans="2:30">
      <c r="B13" s="35" t="s">
        <v>825</v>
      </c>
      <c r="C13" s="36"/>
      <c r="D13" s="113">
        <f>P49</f>
        <v>0.67997620414216375</v>
      </c>
      <c r="E13" s="111" t="s">
        <v>825</v>
      </c>
      <c r="F13" s="115">
        <f>Q57</f>
        <v>0.46045600615968429</v>
      </c>
    </row>
    <row r="15" spans="2:30">
      <c r="B15" s="39" t="s">
        <v>879</v>
      </c>
      <c r="C15" s="40"/>
      <c r="D15" s="41">
        <f>AH50</f>
        <v>-0.13255975083968533</v>
      </c>
      <c r="E15" s="116"/>
    </row>
    <row r="16" spans="2:30">
      <c r="B16" s="43" t="s">
        <v>1165</v>
      </c>
      <c r="C16" s="31"/>
      <c r="D16" s="33">
        <f>AH50-AH52</f>
        <v>-0.37392414187784417</v>
      </c>
      <c r="E16" s="117">
        <f>AH50+AH51</f>
        <v>0.10880464019847352</v>
      </c>
    </row>
    <row r="17" spans="1:65">
      <c r="B17" s="45" t="s">
        <v>1166</v>
      </c>
      <c r="C17" s="46"/>
      <c r="D17" s="123">
        <f>M51</f>
        <v>0.28172528630806948</v>
      </c>
      <c r="E17" s="118"/>
    </row>
    <row r="18" spans="1:65">
      <c r="D18" s="48"/>
      <c r="F18" s="49"/>
    </row>
    <row r="19" spans="1:65">
      <c r="B19" s="50" t="s">
        <v>1167</v>
      </c>
      <c r="C19" s="51"/>
      <c r="D19" s="52">
        <f>AH54</f>
        <v>-0.13255975083968533</v>
      </c>
      <c r="E19" s="120"/>
      <c r="F19" s="33"/>
      <c r="G19" s="31"/>
    </row>
    <row r="20" spans="1:65">
      <c r="B20" s="53" t="s">
        <v>1165</v>
      </c>
      <c r="C20" s="31"/>
      <c r="D20" s="33">
        <f>AH54-AH56</f>
        <v>-0.37392414187784417</v>
      </c>
      <c r="E20" s="121">
        <f>AH54+AH55</f>
        <v>0.10880464019847352</v>
      </c>
      <c r="F20" s="31"/>
      <c r="G20" s="31"/>
    </row>
    <row r="21" spans="1:65">
      <c r="B21" s="54" t="s">
        <v>1440</v>
      </c>
      <c r="C21" s="55"/>
      <c r="D21" s="114">
        <f>M62</f>
        <v>0.28172528630806948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10618023</v>
      </c>
      <c r="C24" s="1" t="str">
        <f>IF($B24="","",HYPERLINK(IF(LEN(VLOOKUP($B24,Database!$B$1:$IX$10144,2,FALSE))=0,"",VLOOKUP($B24,Database!$B$1:$IX$10144,2,FALSE))))</f>
        <v/>
      </c>
      <c r="D24" s="1" t="str">
        <f t="shared" ref="D24:D31" si="0">IF($B24="","",HYPERLINK(CONCATENATE("http://www.ncbi.nlm.nih.gov/pubmed/",B24)))</f>
        <v>http://www.ncbi.nlm.nih.gov/pubmed/10618023</v>
      </c>
      <c r="E24" s="22" t="str">
        <f>IF($B24="","",IF(LEN(VLOOKUP($B24,Database!$B$1:$IX$10144,4,FALSE))=0,"",VLOOKUP($B24,Database!$B$1:$IX$10144,4,FALSE)))</f>
        <v>Bremner JD</v>
      </c>
      <c r="F24" s="22">
        <f>IF($B24="","",IF(LEN(VLOOKUP($B24,Database!$B$1:$IX$10144,5,FALSE))=0,"",VLOOKUP($B24,Database!$B$1:$IX$10144,5,FALSE)))</f>
        <v>2000</v>
      </c>
      <c r="G24" s="1" t="str">
        <f>IF($B24="","",HYPERLINK(IF(LEN(VLOOKUP($B24,Database!$B$1:$IX$10144,6,FALSE))=0,"",VLOOKUP($B24,Database!$B$1:$IX$10144,6,FALSE))))</f>
        <v>http://ajp.psychiatryonline.org/cgi/reprint/157/1/115</v>
      </c>
      <c r="H24" s="22">
        <f>IF($B24="","",IF(LEN(VLOOKUP($B24,Database!$B$1:$IX$10144,7,FALSE))=0,"",VLOOKUP($B24,Database!$B$1:$IX$10144,7,FALSE)))</f>
        <v>16</v>
      </c>
      <c r="I24" s="22">
        <f>IF($B24="","",IF(LEN(VLOOKUP($B24,Database!$B$1:$IX$10144,8,FALSE))=0,"",VLOOKUP($B24,Database!$B$1:$IX$10144,8,FALSE)))</f>
        <v>16</v>
      </c>
      <c r="J24" t="s">
        <v>1074</v>
      </c>
      <c r="K24" t="s">
        <v>1032</v>
      </c>
      <c r="L24">
        <v>140856</v>
      </c>
      <c r="M24">
        <v>41597</v>
      </c>
      <c r="N24">
        <v>154267</v>
      </c>
      <c r="O24">
        <v>24141</v>
      </c>
      <c r="P24">
        <v>143101</v>
      </c>
      <c r="Q24">
        <v>45265</v>
      </c>
      <c r="R24">
        <v>164471</v>
      </c>
      <c r="S24">
        <v>27150</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43</v>
      </c>
      <c r="AC24" s="22">
        <f>IF(OR($B24="",AC$22=""),"",IF(LEN(VLOOKUP($B24,Database!$B$1:$IX$10144,AC$22,FALSE))=0,"",VLOOKUP($B24,Database!$B$1:$IX$10144,AC$22,FALSE)))</f>
        <v>8</v>
      </c>
      <c r="AD24" s="22">
        <f>IF(OR($B24="",AD$22=""),"",IF(LEN(VLOOKUP($B24,Database!$B$1:$IX$10144,AD$22,FALSE))=0,"",VLOOKUP($B24,Database!$B$1:$IX$10144,AD$22,FALSE)))</f>
        <v>45</v>
      </c>
      <c r="AE24" s="22">
        <f>IF(OR($B24="",AE$22=""),"",IF(LEN(VLOOKUP($B24,Database!$B$1:$IX$10144,AE$22,FALSE))=0,"",VLOOKUP($B24,Database!$B$1:$IX$10144,AE$22,FALSE)))</f>
        <v>10</v>
      </c>
      <c r="AF24" s="22">
        <f>IF(OR($B24="",AF$22=""),"",IF(LEN(VLOOKUP($B24,Database!$B$1:$IX$10144,AF$22,FALSE))=0,"",VLOOKUP($B24,Database!$B$1:$IX$10144,AF$22,FALSE)))</f>
        <v>6</v>
      </c>
      <c r="AG24" s="22">
        <f>IF(OR($B24="",AG$22=""),"",IF(LEN(VLOOKUP($B24,Database!$B$1:$IX$10144,AG$22,FALSE))=0,"",VLOOKUP($B24,Database!$B$1:$IX$10144,AG$22,FALSE)))</f>
        <v>6</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100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0</v>
      </c>
      <c r="AQ24" s="22" t="str">
        <f>IF(OR($B24="",AQ$22=""),"",IF(LEN(VLOOKUP($B24,Database!$B$1:$IX$10144,AQ$22,FALSE))=0,"",VLOOKUP($B24,Database!$B$1:$IX$10144,AQ$22,FALSE)))</f>
        <v>Bremner JD, Narayan M, Anderson ER, Staib LH, Miller HL, Charney DS.</v>
      </c>
      <c r="AR24" s="13"/>
      <c r="AX24" s="13"/>
      <c r="AY24" s="13"/>
      <c r="AZ24" s="13"/>
      <c r="BA24" s="13"/>
      <c r="BC24" s="23"/>
      <c r="BF24" s="136"/>
      <c r="BG24" s="136"/>
      <c r="BH24" s="136"/>
      <c r="BI24" s="136"/>
    </row>
    <row r="25" spans="1:65">
      <c r="B25">
        <v>11200955</v>
      </c>
      <c r="C25" s="1" t="str">
        <f>IF($B25="","",HYPERLINK(IF(LEN(VLOOKUP($B25,Database!$B$1:$IX$10144,2,FALSE))=0,"",VLOOKUP($B25,Database!$B$1:$IX$10144,2,FALSE))))</f>
        <v/>
      </c>
      <c r="D25" s="1" t="str">
        <f t="shared" si="0"/>
        <v>http://www.ncbi.nlm.nih.gov/pubmed/11200955</v>
      </c>
      <c r="E25" s="22" t="str">
        <f>IF($B25="","",IF(LEN(VLOOKUP($B25,Database!$B$1:$IX$10144,4,FALSE))=0,"",VLOOKUP($B25,Database!$B$1:$IX$10144,4,FALSE)))</f>
        <v>McIntosh AM</v>
      </c>
      <c r="F25" s="22">
        <f>IF($B25="","",IF(LEN(VLOOKUP($B25,Database!$B$1:$IX$10144,5,FALSE))=0,"",VLOOKUP($B25,Database!$B$1:$IX$10144,5,FALSE)))</f>
        <v>2001</v>
      </c>
      <c r="G25" s="1" t="str">
        <f>IF($B25="","",HYPERLINK(IF(LEN(VLOOKUP($B25,Database!$B$1:$IX$10144,6,FALSE))=0,"",VLOOKUP($B25,Database!$B$1:$IX$10144,6,FALSE))))</f>
        <v>http://dx.doi.org/10.1017/S0033291799003177</v>
      </c>
      <c r="H25" s="22">
        <f>IF($B25="","",IF(LEN(VLOOKUP($B25,Database!$B$1:$IX$10144,7,FALSE))=0,"",VLOOKUP($B25,Database!$B$1:$IX$10144,7,FALSE)))</f>
        <v>9</v>
      </c>
      <c r="I25" s="22">
        <f>IF($B25="","",IF(LEN(VLOOKUP($B25,Database!$B$1:$IX$10144,8,FALSE))=0,"",VLOOKUP($B25,Database!$B$1:$IX$10144,8,FALSE)))</f>
        <v>29</v>
      </c>
      <c r="J25" t="s">
        <v>480</v>
      </c>
      <c r="K25" s="2" t="s">
        <v>14</v>
      </c>
      <c r="L25">
        <v>64773</v>
      </c>
      <c r="M25">
        <v>4063</v>
      </c>
      <c r="N25">
        <v>70119</v>
      </c>
      <c r="O25">
        <v>9715</v>
      </c>
      <c r="P25">
        <v>71458</v>
      </c>
      <c r="Q25">
        <v>4891</v>
      </c>
      <c r="R25">
        <v>74159</v>
      </c>
      <c r="S25">
        <v>10322</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43.56</v>
      </c>
      <c r="AC25" s="22">
        <f>IF(OR($B25="",AC$22=""),"",IF(LEN(VLOOKUP($B25,Database!$B$1:$IX$10144,AC$22,FALSE))=0,"",VLOOKUP($B25,Database!$B$1:$IX$10144,AC$22,FALSE)))</f>
        <v>9.3800000000000008</v>
      </c>
      <c r="AD25" s="22">
        <f>IF(OR($B25="",AD$22=""),"",IF(LEN(VLOOKUP($B25,Database!$B$1:$IX$10144,AD$22,FALSE))=0,"",VLOOKUP($B25,Database!$B$1:$IX$10144,AD$22,FALSE)))</f>
        <v>42.76</v>
      </c>
      <c r="AE25" s="22">
        <f>IF(OR($B25="",AE$22=""),"",IF(LEN(VLOOKUP($B25,Database!$B$1:$IX$10144,AE$22,FALSE))=0,"",VLOOKUP($B25,Database!$B$1:$IX$10144,AE$22,FALSE)))</f>
        <v>9.91</v>
      </c>
      <c r="AF25" s="22">
        <f>IF(OR($B25="",AF$22=""),"",IF(LEN(VLOOKUP($B25,Database!$B$1:$IX$10144,AF$22,FALSE))=0,"",VLOOKUP($B25,Database!$B$1:$IX$10144,AF$22,FALSE)))</f>
        <v>5</v>
      </c>
      <c r="AG25" s="22">
        <f>IF(OR($B25="",AG$22=""),"",IF(LEN(VLOOKUP($B25,Database!$B$1:$IX$10144,AG$22,FALSE))=0,"",VLOOKUP($B25,Database!$B$1:$IX$10144,AG$22,FALSE)))</f>
        <v>16</v>
      </c>
      <c r="AH25" s="22">
        <f>IF(OR($B25="",AH$22=""),"",IF(LEN(VLOOKUP($B25,Database!$B$1:$IX$10144,AH$22,FALSE))=0,"",VLOOKUP($B25,Database!$B$1:$IX$10144,AH$22,FALSE)))</f>
        <v>1</v>
      </c>
      <c r="AI25" s="22">
        <f>IF(OR($B25="",AI$22=""),"",IF(LEN(VLOOKUP($B25,Database!$B$1:$IX$10144,AI$22,FALSE))=0,"",VLOOKUP($B25,Database!$B$1:$IX$10144,AI$22,FALSE)))</f>
        <v>1.88</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A. M. McINTOSH, A. FORRESTER, S.M. LAWRIE, M. BYRNE, A. HARPER, J. N. KESTELMAN, J. J. K. BEST, P. MILLER, E. C. JOHNSTONE and D. G. C. OWENS</v>
      </c>
      <c r="AR25" s="13"/>
      <c r="AX25" s="13"/>
      <c r="AY25" s="13"/>
      <c r="AZ25" s="13"/>
      <c r="BA25" s="13"/>
      <c r="BC25" s="23"/>
      <c r="BF25" s="136"/>
      <c r="BG25" s="136"/>
      <c r="BH25" s="136"/>
      <c r="BI25" s="136"/>
    </row>
    <row r="26" spans="1:65">
      <c r="B26">
        <v>11825139</v>
      </c>
      <c r="C26" s="1" t="str">
        <f>IF($B26="","",HYPERLINK(IF(LEN(VLOOKUP($B26,Database!$B$1:$IX$10144,2,FALSE))=0,"",VLOOKUP($B26,Database!$B$1:$IX$10144,2,FALSE))))</f>
        <v/>
      </c>
      <c r="D26" s="1" t="str">
        <f t="shared" si="0"/>
        <v>http://www.ncbi.nlm.nih.gov/pubmed/11825139</v>
      </c>
      <c r="E26" s="22" t="str">
        <f>IF($B26="","",IF(LEN(VLOOKUP($B26,Database!$B$1:$IX$10144,4,FALSE))=0,"",VLOOKUP($B26,Database!$B$1:$IX$10144,4,FALSE)))</f>
        <v>Nolan CL</v>
      </c>
      <c r="F26" s="22">
        <f>IF($B26="","",IF(LEN(VLOOKUP($B26,Database!$B$1:$IX$10144,5,FALSE))=0,"",VLOOKUP($B26,Database!$B$1:$IX$10144,5,FALSE)))</f>
        <v>2002</v>
      </c>
      <c r="G26" s="1" t="str">
        <f>IF($B26="","",HYPERLINK(IF(LEN(VLOOKUP($B26,Database!$B$1:$IX$10144,6,FALSE))=0,"",VLOOKUP($B26,Database!$B$1:$IX$10144,6,FALSE))))</f>
        <v>http://archpsyc.ama-assn.org/cgi/reprint/59/2/173</v>
      </c>
      <c r="H26" s="22">
        <f>IF($B26="","",IF(LEN(VLOOKUP($B26,Database!$B$1:$IX$10144,7,FALSE))=0,"",VLOOKUP($B26,Database!$B$1:$IX$10144,7,FALSE)))</f>
        <v>22</v>
      </c>
      <c r="I26" s="22">
        <f>IF($B26="","",IF(LEN(VLOOKUP($B26,Database!$B$1:$IX$10144,8,FALSE))=0,"",VLOOKUP($B26,Database!$B$1:$IX$10144,8,FALSE)))</f>
        <v>22</v>
      </c>
      <c r="J26" t="s">
        <v>449</v>
      </c>
      <c r="K26" t="s">
        <v>448</v>
      </c>
      <c r="L26">
        <v>70.02</v>
      </c>
      <c r="M26">
        <v>11.15</v>
      </c>
      <c r="N26">
        <v>68.64</v>
      </c>
      <c r="O26">
        <v>9.7799999999999994</v>
      </c>
      <c r="P26">
        <v>78.3</v>
      </c>
      <c r="Q26">
        <v>11.52</v>
      </c>
      <c r="R26">
        <v>76.680000000000007</v>
      </c>
      <c r="S26">
        <v>11.79</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t="str">
        <f>IF(OR($B26="",AB$22=""),"",IF(LEN(VLOOKUP($B26,Database!$B$1:$IX$10144,AB$22,FALSE))=0,"",VLOOKUP($B26,Database!$B$1:$IX$10144,AB$22,FALSE)))</f>
        <v/>
      </c>
      <c r="AC26" s="22" t="str">
        <f>IF(OR($B26="",AC$22=""),"",IF(LEN(VLOOKUP($B26,Database!$B$1:$IX$10144,AC$22,FALSE))=0,"",VLOOKUP($B26,Database!$B$1:$IX$10144,AC$22,FALSE)))</f>
        <v/>
      </c>
      <c r="AD26" s="22" t="str">
        <f>IF(OR($B26="",AD$22=""),"",IF(LEN(VLOOKUP($B26,Database!$B$1:$IX$10144,AD$22,FALSE))=0,"",VLOOKUP($B26,Database!$B$1:$IX$10144,AD$22,FALSE)))</f>
        <v/>
      </c>
      <c r="AE26" s="22" t="str">
        <f>IF(OR($B26="",AE$22=""),"",IF(LEN(VLOOKUP($B26,Database!$B$1:$IX$10144,AE$22,FALSE))=0,"",VLOOKUP($B26,Database!$B$1:$IX$10144,AE$22,FALSE)))</f>
        <v/>
      </c>
      <c r="AF26" s="22">
        <f>IF(OR($B26="",AF$22=""),"",IF(LEN(VLOOKUP($B26,Database!$B$1:$IX$10144,AF$22,FALSE))=0,"",VLOOKUP($B26,Database!$B$1:$IX$10144,AF$22,FALSE)))</f>
        <v>12</v>
      </c>
      <c r="AG26" s="22">
        <f>IF(OR($B26="",AG$22=""),"",IF(LEN(VLOOKUP($B26,Database!$B$1:$IX$10144,AG$22,FALSE))=0,"",VLOOKUP($B26,Database!$B$1:$IX$10144,AG$22,FALSE)))</f>
        <v>12</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12.18</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Nolan CL, Moore GJ, Madden R, Farchione T, Bartoi M, Lorch E, Stewart CM, Rosenberg DR.</v>
      </c>
      <c r="AR26" s="13"/>
      <c r="AX26" s="13"/>
      <c r="AY26" s="13"/>
      <c r="AZ26" s="13"/>
      <c r="BA26" s="13"/>
      <c r="BC26" s="23"/>
      <c r="BF26" s="136"/>
      <c r="BG26" s="136"/>
      <c r="BH26" s="136"/>
      <c r="BI26" s="136"/>
    </row>
    <row r="27" spans="1:65">
      <c r="B27">
        <v>12785469</v>
      </c>
      <c r="C27" s="1" t="str">
        <f>IF($B27="","",HYPERLINK(IF(LEN(VLOOKUP($B27,Database!$B$1:$IX$10144,2,FALSE))=0,"",VLOOKUP($B27,Database!$B$1:$IX$10144,2,FALSE))))</f>
        <v/>
      </c>
      <c r="D27" s="1" t="str">
        <f t="shared" si="0"/>
        <v>http://www.ncbi.nlm.nih.gov/pubmed/12785469</v>
      </c>
      <c r="E27" s="22" t="str">
        <f>IF($B27="","",IF(LEN(VLOOKUP($B27,Database!$B$1:$IX$10144,4,FALSE))=0,"",VLOOKUP($B27,Database!$B$1:$IX$10144,4,FALSE)))</f>
        <v>Almeida OP</v>
      </c>
      <c r="F27" s="22">
        <f>IF($B27="","",IF(LEN(VLOOKUP($B27,Database!$B$1:$IX$10144,5,FALSE))=0,"",VLOOKUP($B27,Database!$B$1:$IX$10144,5,FALSE)))</f>
        <v>2003</v>
      </c>
      <c r="G27" s="1" t="str">
        <f>IF($B27="","",HYPERLINK(IF(LEN(VLOOKUP($B27,Database!$B$1:$IX$10144,6,FALSE))=0,"",VLOOKUP($B27,Database!$B$1:$IX$10144,6,FALSE))))</f>
        <v>http://dx.doi.org/10.1017/S003329170300758X</v>
      </c>
      <c r="H27" s="83">
        <v>24</v>
      </c>
      <c r="I27" s="83">
        <v>18.5</v>
      </c>
      <c r="J27" t="s">
        <v>680</v>
      </c>
      <c r="K27" t="s">
        <v>399</v>
      </c>
      <c r="L27">
        <v>48131</v>
      </c>
      <c r="M27">
        <v>9899</v>
      </c>
      <c r="N27">
        <v>47749</v>
      </c>
      <c r="O27">
        <v>7031</v>
      </c>
      <c r="P27">
        <v>50904</v>
      </c>
      <c r="Q27">
        <v>9013</v>
      </c>
      <c r="R27">
        <v>49590</v>
      </c>
      <c r="S27">
        <v>6838</v>
      </c>
      <c r="T27">
        <v>99036</v>
      </c>
      <c r="U27">
        <v>18349</v>
      </c>
      <c r="V27">
        <v>97339</v>
      </c>
      <c r="W27">
        <v>13581</v>
      </c>
      <c r="Y27" s="22" t="str">
        <f>IF(OR($B27="",Y$22=""),"",IF(LEN(VLOOKUP($B27,Database!$B$1:$IX$10144,Y$22,FALSE))=0,"",VLOOKUP($B27,Database!$B$1:$IX$10144,Y$22,FALSE)))</f>
        <v>DSM-IV</v>
      </c>
      <c r="Z27" s="22" t="str">
        <f>IF(OR($B27="",Z$22=""),"",IF(LEN(VLOOKUP($B27,Database!$B$1:$IX$10144,Z$22,FALSE))=0,"",VLOOKUP($B27,Database!$B$1:$IX$10144,Z$22,FALSE)))</f>
        <v>MRI</v>
      </c>
      <c r="AA27" s="22" t="s">
        <v>2445</v>
      </c>
      <c r="AB27" s="214">
        <v>72.8</v>
      </c>
      <c r="AC27" s="22" t="str">
        <f>IF(OR($B27="",AC$22=""),"",IF(LEN(VLOOKUP($B27,Database!$B$1:$IX$10144,AC$22,FALSE))=0,"",VLOOKUP($B27,Database!$B$1:$IX$10144,AC$22,FALSE)))</f>
        <v/>
      </c>
      <c r="AD27" s="22">
        <f>IF(OR($B27="",AD$22=""),"",IF(LEN(VLOOKUP($B27,Database!$B$1:$IX$10144,AD$22,FALSE))=0,"",VLOOKUP($B27,Database!$B$1:$IX$10144,AD$22,FALSE)))</f>
        <v>72.900000000000006</v>
      </c>
      <c r="AE27" s="22">
        <f>IF(OR($B27="",AE$22=""),"",IF(LEN(VLOOKUP($B27,Database!$B$1:$IX$10144,AE$22,FALSE))=0,"",VLOOKUP($B27,Database!$B$1:$IX$10144,AE$22,FALSE)))</f>
        <v>6.83</v>
      </c>
      <c r="AF27" s="214">
        <v>23</v>
      </c>
      <c r="AG27" s="22">
        <f>IF(OR($B27="",AG$22=""),"",IF(LEN(VLOOKUP($B27,Database!$B$1:$IX$10144,AG$22,FALSE))=0,"",VLOOKUP($B27,Database!$B$1:$IX$10144,AG$22,FALSE)))</f>
        <v>27</v>
      </c>
      <c r="AH27" s="22">
        <f>IF(OR($B27="",AH$22=""),"",IF(LEN(VLOOKUP($B27,Database!$B$1:$IX$10144,AH$22,FALSE))=0,"",VLOOKUP($B27,Database!$B$1:$IX$10144,AH$22,FALSE)))</f>
        <v>1</v>
      </c>
      <c r="AI27" s="22">
        <f>IF(OR($B27="",AI$22=""),"",IF(LEN(VLOOKUP($B27,Database!$B$1:$IX$10144,AI$22,FALSE))=0,"",VLOOKUP($B27,Database!$B$1:$IX$10144,AI$22,FALSE)))</f>
        <v>1</v>
      </c>
      <c r="AJ27" s="22" t="str">
        <f>IF(OR($B27="",AJ$22=""),"",IF(LEN(VLOOKUP($B27,Database!$B$1:$IX$10144,AJ$22,FALSE))=0,"",VLOOKUP($B27,Database!$B$1:$IX$10144,AJ$22,FALSE)))</f>
        <v/>
      </c>
      <c r="AK27" s="214">
        <v>39.200000000000003</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Almeida OP, Burton EJ, Ferrier N, McKeith IG, O'Brien JT.</v>
      </c>
      <c r="AR27" s="13"/>
      <c r="AU27" s="22"/>
      <c r="AX27" s="13"/>
      <c r="AY27" s="13"/>
      <c r="AZ27" s="13"/>
      <c r="BA27" s="13"/>
      <c r="BC27" s="23"/>
      <c r="BF27" s="136"/>
      <c r="BG27" s="136"/>
      <c r="BH27" s="136"/>
      <c r="BI27" s="136"/>
    </row>
    <row r="28" spans="1:65">
      <c r="B28">
        <v>12785469</v>
      </c>
      <c r="C28" s="1" t="str">
        <f>IF($B28="","",HYPERLINK(IF(LEN(VLOOKUP($B28,Database!$B$1:$IX$10144,2,FALSE))=0,"",VLOOKUP($B28,Database!$B$1:$IX$10144,2,FALSE))))</f>
        <v/>
      </c>
      <c r="D28" s="1" t="str">
        <f t="shared" si="0"/>
        <v>http://www.ncbi.nlm.nih.gov/pubmed/12785469</v>
      </c>
      <c r="E28" s="22" t="str">
        <f>IF($B28="","",IF(LEN(VLOOKUP($B28,Database!$B$1:$IX$10144,4,FALSE))=0,"",VLOOKUP($B28,Database!$B$1:$IX$10144,4,FALSE)))</f>
        <v>Almeida OP</v>
      </c>
      <c r="F28" s="22">
        <f>IF($B28="","",IF(LEN(VLOOKUP($B28,Database!$B$1:$IX$10144,5,FALSE))=0,"",VLOOKUP($B28,Database!$B$1:$IX$10144,5,FALSE)))</f>
        <v>2003</v>
      </c>
      <c r="G28" s="1" t="str">
        <f>IF($B28="","",HYPERLINK(IF(LEN(VLOOKUP($B28,Database!$B$1:$IX$10144,6,FALSE))=0,"",VLOOKUP($B28,Database!$B$1:$IX$10144,6,FALSE))))</f>
        <v>http://dx.doi.org/10.1017/S003329170300758X</v>
      </c>
      <c r="H28" s="83">
        <v>27</v>
      </c>
      <c r="I28" s="83">
        <v>18.5</v>
      </c>
      <c r="J28" t="s">
        <v>680</v>
      </c>
      <c r="K28" t="s">
        <v>400</v>
      </c>
      <c r="L28">
        <v>46461</v>
      </c>
      <c r="M28">
        <v>6284</v>
      </c>
      <c r="N28">
        <v>47749</v>
      </c>
      <c r="O28">
        <v>7031</v>
      </c>
      <c r="P28">
        <v>46829</v>
      </c>
      <c r="Q28">
        <v>7476</v>
      </c>
      <c r="R28">
        <v>49590</v>
      </c>
      <c r="S28">
        <v>6838</v>
      </c>
      <c r="T28">
        <v>93291</v>
      </c>
      <c r="U28">
        <v>13216</v>
      </c>
      <c r="V28">
        <v>97339</v>
      </c>
      <c r="W28">
        <v>13581</v>
      </c>
      <c r="Y28" s="22" t="str">
        <f>IF(OR($B28="",Y$22=""),"",IF(LEN(VLOOKUP($B28,Database!$B$1:$IX$10144,Y$22,FALSE))=0,"",VLOOKUP($B28,Database!$B$1:$IX$10144,Y$22,FALSE)))</f>
        <v>DSM-IV</v>
      </c>
      <c r="Z28" s="22" t="str">
        <f>IF(OR($B28="",Z$22=""),"",IF(LEN(VLOOKUP($B28,Database!$B$1:$IX$10144,Z$22,FALSE))=0,"",VLOOKUP($B28,Database!$B$1:$IX$10144,Z$22,FALSE)))</f>
        <v>MRI</v>
      </c>
      <c r="AA28" s="22" t="s">
        <v>2446</v>
      </c>
      <c r="AB28" s="214">
        <v>75.5</v>
      </c>
      <c r="AC28" s="22" t="str">
        <f>IF(OR($B28="",AC$22=""),"",IF(LEN(VLOOKUP($B28,Database!$B$1:$IX$10144,AC$22,FALSE))=0,"",VLOOKUP($B28,Database!$B$1:$IX$10144,AC$22,FALSE)))</f>
        <v/>
      </c>
      <c r="AD28" s="22">
        <f>IF(OR($B28="",AD$22=""),"",IF(LEN(VLOOKUP($B28,Database!$B$1:$IX$10144,AD$22,FALSE))=0,"",VLOOKUP($B28,Database!$B$1:$IX$10144,AD$22,FALSE)))</f>
        <v>72.900000000000006</v>
      </c>
      <c r="AE28" s="22">
        <f>IF(OR($B28="",AE$22=""),"",IF(LEN(VLOOKUP($B28,Database!$B$1:$IX$10144,AE$22,FALSE))=0,"",VLOOKUP($B28,Database!$B$1:$IX$10144,AE$22,FALSE)))</f>
        <v>6.83</v>
      </c>
      <c r="AF28" s="214">
        <v>18</v>
      </c>
      <c r="AG28" s="22">
        <f>IF(OR($B28="",AG$22=""),"",IF(LEN(VLOOKUP($B28,Database!$B$1:$IX$10144,AG$22,FALSE))=0,"",VLOOKUP($B28,Database!$B$1:$IX$10144,AG$22,FALSE)))</f>
        <v>27</v>
      </c>
      <c r="AH28" s="22">
        <f>IF(OR($B28="",AH$22=""),"",IF(LEN(VLOOKUP($B28,Database!$B$1:$IX$10144,AH$22,FALSE))=0,"",VLOOKUP($B28,Database!$B$1:$IX$10144,AH$22,FALSE)))</f>
        <v>1</v>
      </c>
      <c r="AI28" s="22">
        <f>IF(OR($B28="",AI$22=""),"",IF(LEN(VLOOKUP($B28,Database!$B$1:$IX$10144,AI$22,FALSE))=0,"",VLOOKUP($B28,Database!$B$1:$IX$10144,AI$22,FALSE)))</f>
        <v>1</v>
      </c>
      <c r="AJ28" s="22" t="str">
        <f>IF(OR($B28="",AJ$22=""),"",IF(LEN(VLOOKUP($B28,Database!$B$1:$IX$10144,AJ$22,FALSE))=0,"",VLOOKUP($B28,Database!$B$1:$IX$10144,AJ$22,FALSE)))</f>
        <v/>
      </c>
      <c r="AK28" s="214">
        <v>72.400000000000006</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Almeida OP, Burton EJ, Ferrier N, McKeith IG, O'Brien JT.</v>
      </c>
      <c r="AR28" s="13"/>
      <c r="AU28" s="22"/>
      <c r="AX28" s="13"/>
      <c r="AY28" s="13"/>
      <c r="AZ28" s="13"/>
      <c r="BA28" s="13"/>
      <c r="BC28" s="23"/>
      <c r="BF28" s="136"/>
      <c r="BG28" s="136"/>
      <c r="BH28" s="136"/>
      <c r="BI28" s="136"/>
    </row>
    <row r="29" spans="1:65">
      <c r="B29">
        <v>16086609</v>
      </c>
      <c r="C29" s="1" t="str">
        <f>IF($B29="","",HYPERLINK(IF(LEN(VLOOKUP($B29,Database!$B$1:$IX$10144,2,FALSE))=0,"",VLOOKUP($B29,Database!$B$1:$IX$10144,2,FALSE))))</f>
        <v/>
      </c>
      <c r="D29" s="1" t="str">
        <f t="shared" si="0"/>
        <v>http://www.ncbi.nlm.nih.gov/pubmed/16086609</v>
      </c>
      <c r="E29" s="22" t="str">
        <f>IF($B29="","",IF(LEN(VLOOKUP($B29,Database!$B$1:$IX$10144,4,FALSE))=0,"",VLOOKUP($B29,Database!$B$1:$IX$10144,4,FALSE)))</f>
        <v>Lavretsky H</v>
      </c>
      <c r="F29" s="22">
        <f>IF($B29="","",IF(LEN(VLOOKUP($B29,Database!$B$1:$IX$10144,5,FALSE))=0,"",VLOOKUP($B29,Database!$B$1:$IX$10144,5,FALSE)))</f>
        <v>2005</v>
      </c>
      <c r="G29" s="1" t="str">
        <f>IF($B29="","",HYPERLINK(IF(LEN(VLOOKUP($B29,Database!$B$1:$IX$10144,6,FALSE))=0,"",VLOOKUP($B29,Database!$B$1:$IX$10144,6,FALSE))))</f>
        <v>http://www.psychiatrist.com/privatepdf/2005/v66n08/v66n0801.pdf</v>
      </c>
      <c r="H29" s="83">
        <v>11</v>
      </c>
      <c r="I29" s="83">
        <v>20.5</v>
      </c>
      <c r="J29" t="s">
        <v>1246</v>
      </c>
      <c r="K29" t="s">
        <v>1245</v>
      </c>
      <c r="L29">
        <v>0.11799999999999999</v>
      </c>
      <c r="M29">
        <v>6.0000000000000001E-3</v>
      </c>
      <c r="N29">
        <v>0.11700000000000001</v>
      </c>
      <c r="O29">
        <v>8.0000000000000002E-3</v>
      </c>
      <c r="P29">
        <v>0.11799999999999999</v>
      </c>
      <c r="Q29">
        <v>8.0000000000000002E-3</v>
      </c>
      <c r="R29">
        <v>0.11799999999999999</v>
      </c>
      <c r="S29">
        <v>6.0000000000000001E-3</v>
      </c>
      <c r="T29">
        <v>0.23599999999999999</v>
      </c>
      <c r="U29">
        <v>1.9E-2</v>
      </c>
      <c r="V29">
        <v>0.23599999999999999</v>
      </c>
      <c r="W29">
        <v>1.6E-2</v>
      </c>
      <c r="Y29" s="22" t="str">
        <f>IF(OR($B29="",Y$22=""),"",IF(LEN(VLOOKUP($B29,Database!$B$1:$IX$10144,Y$22,FALSE))=0,"",VLOOKUP($B29,Database!$B$1:$IX$10144,Y$22,FALSE)))</f>
        <v>DSM-IV</v>
      </c>
      <c r="Z29" s="22" t="str">
        <f>IF(OR($B29="",Z$22=""),"",IF(LEN(VLOOKUP($B29,Database!$B$1:$IX$10144,Z$22,FALSE))=0,"",VLOOKUP($B29,Database!$B$1:$IX$10144,Z$22,FALSE)))</f>
        <v>MRI</v>
      </c>
      <c r="AA29" s="22" t="s">
        <v>2455</v>
      </c>
      <c r="AB29" s="214">
        <v>67.400000000000006</v>
      </c>
      <c r="AC29" s="214">
        <v>6.1</v>
      </c>
      <c r="AD29" s="22">
        <f>IF(OR($B29="",AD$22=""),"",IF(LEN(VLOOKUP($B29,Database!$B$1:$IX$10144,AD$22,FALSE))=0,"",VLOOKUP($B29,Database!$B$1:$IX$10144,AD$22,FALSE)))</f>
        <v>72.2</v>
      </c>
      <c r="AE29" s="22">
        <f>IF(OR($B29="",AE$22=""),"",IF(LEN(VLOOKUP($B29,Database!$B$1:$IX$10144,AE$22,FALSE))=0,"",VLOOKUP($B29,Database!$B$1:$IX$10144,AE$22,FALSE)))</f>
        <v>7.3</v>
      </c>
      <c r="AF29" s="214">
        <v>7</v>
      </c>
      <c r="AG29" s="22">
        <f>IF(OR($B29="",AG$22=""),"",IF(LEN(VLOOKUP($B29,Database!$B$1:$IX$10144,AG$22,FALSE))=0,"",VLOOKUP($B29,Database!$B$1:$IX$10144,AG$22,FALSE)))</f>
        <v>20</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214">
        <v>36.4</v>
      </c>
      <c r="AL29" s="214">
        <v>17.7</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Lavretsky H, Roybal DJ, Ballmaier M, Toga AW, Kumar A.</v>
      </c>
      <c r="AR29" s="13"/>
      <c r="AU29" s="22"/>
      <c r="AX29" s="13"/>
      <c r="AY29" s="13"/>
      <c r="AZ29" s="13"/>
      <c r="BA29" s="13"/>
      <c r="BC29" s="23"/>
      <c r="BF29" s="136"/>
      <c r="BG29" s="136"/>
      <c r="BH29" s="136"/>
      <c r="BI29" s="136"/>
    </row>
    <row r="30" spans="1:65">
      <c r="B30">
        <v>16086609</v>
      </c>
      <c r="C30" s="1" t="str">
        <f>IF($B30="","",HYPERLINK(IF(LEN(VLOOKUP($B30,Database!$B$1:$IX$10144,2,FALSE))=0,"",VLOOKUP($B30,Database!$B$1:$IX$10144,2,FALSE))))</f>
        <v/>
      </c>
      <c r="D30" s="1" t="str">
        <f t="shared" si="0"/>
        <v>http://www.ncbi.nlm.nih.gov/pubmed/16086609</v>
      </c>
      <c r="E30" s="22" t="str">
        <f>IF($B30="","",IF(LEN(VLOOKUP($B30,Database!$B$1:$IX$10144,4,FALSE))=0,"",VLOOKUP($B30,Database!$B$1:$IX$10144,4,FALSE)))</f>
        <v>Lavretsky H</v>
      </c>
      <c r="F30" s="22">
        <f>IF($B30="","",IF(LEN(VLOOKUP($B30,Database!$B$1:$IX$10144,5,FALSE))=0,"",VLOOKUP($B30,Database!$B$1:$IX$10144,5,FALSE)))</f>
        <v>2005</v>
      </c>
      <c r="G30" s="1" t="str">
        <f>IF($B30="","",HYPERLINK(IF(LEN(VLOOKUP($B30,Database!$B$1:$IX$10144,6,FALSE))=0,"",VLOOKUP($B30,Database!$B$1:$IX$10144,6,FALSE))))</f>
        <v>http://www.psychiatrist.com/privatepdf/2005/v66n08/v66n0801.pdf</v>
      </c>
      <c r="H30" s="83">
        <v>30</v>
      </c>
      <c r="I30" s="83">
        <v>20.5</v>
      </c>
      <c r="J30" t="s">
        <v>1246</v>
      </c>
      <c r="K30" t="s">
        <v>231</v>
      </c>
      <c r="L30">
        <v>0.11600000000000001</v>
      </c>
      <c r="M30">
        <v>0.01</v>
      </c>
      <c r="N30">
        <v>0.11700000000000001</v>
      </c>
      <c r="O30">
        <v>8.0000000000000002E-3</v>
      </c>
      <c r="P30">
        <v>0.11700000000000001</v>
      </c>
      <c r="Q30">
        <v>8.0000000000000002E-3</v>
      </c>
      <c r="R30">
        <v>0.11799999999999999</v>
      </c>
      <c r="S30">
        <v>6.0000000000000001E-3</v>
      </c>
      <c r="T30">
        <v>0.23300000000000001</v>
      </c>
      <c r="U30">
        <v>1.7000000000000001E-2</v>
      </c>
      <c r="V30">
        <v>0.23599999999999999</v>
      </c>
      <c r="W30">
        <v>1.6E-2</v>
      </c>
      <c r="Y30" s="22" t="str">
        <f>IF(OR($B30="",Y$22=""),"",IF(LEN(VLOOKUP($B30,Database!$B$1:$IX$10144,Y$22,FALSE))=0,"",VLOOKUP($B30,Database!$B$1:$IX$10144,Y$22,FALSE)))</f>
        <v>DSM-IV</v>
      </c>
      <c r="Z30" s="22" t="str">
        <f>IF(OR($B30="",Z$22=""),"",IF(LEN(VLOOKUP($B30,Database!$B$1:$IX$10144,Z$22,FALSE))=0,"",VLOOKUP($B30,Database!$B$1:$IX$10144,Z$22,FALSE)))</f>
        <v>MRI</v>
      </c>
      <c r="AA30" s="22" t="s">
        <v>2456</v>
      </c>
      <c r="AB30" s="214">
        <v>71.7</v>
      </c>
      <c r="AC30" s="214">
        <v>7.8</v>
      </c>
      <c r="AD30" s="22">
        <f>IF(OR($B30="",AD$22=""),"",IF(LEN(VLOOKUP($B30,Database!$B$1:$IX$10144,AD$22,FALSE))=0,"",VLOOKUP($B30,Database!$B$1:$IX$10144,AD$22,FALSE)))</f>
        <v>72.2</v>
      </c>
      <c r="AE30" s="22">
        <f>IF(OR($B30="",AE$22=""),"",IF(LEN(VLOOKUP($B30,Database!$B$1:$IX$10144,AE$22,FALSE))=0,"",VLOOKUP($B30,Database!$B$1:$IX$10144,AE$22,FALSE)))</f>
        <v>7.3</v>
      </c>
      <c r="AF30" s="214">
        <v>25</v>
      </c>
      <c r="AG30" s="22">
        <f>IF(OR($B30="",AG$22=""),"",IF(LEN(VLOOKUP($B30,Database!$B$1:$IX$10144,AG$22,FALSE))=0,"",VLOOKUP($B30,Database!$B$1:$IX$10144,AG$22,FALSE)))</f>
        <v>20</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14">
        <v>52.5</v>
      </c>
      <c r="AL30" s="214">
        <v>17.7</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Lavretsky H, Roybal DJ, Ballmaier M, Toga AW, Kumar A.</v>
      </c>
      <c r="AR30" s="13"/>
      <c r="AU30" s="22"/>
      <c r="AX30" s="13"/>
      <c r="AY30" s="13"/>
      <c r="AZ30" s="13"/>
      <c r="BA30" s="13"/>
      <c r="BC30" s="23"/>
      <c r="BF30" s="136"/>
      <c r="BG30" s="136"/>
      <c r="BH30" s="136"/>
      <c r="BI30" s="136"/>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2:51">
      <c r="C33" s="1" t="str">
        <f>IF($B33="","",HYPERLINK(IF(LEN(VLOOKUP($B33,Database!$B$1:$IX$10144,2,FALSE))=0,"",VLOOKUP($B33,Database!$B$1:$IX$10144,2,FALSE))))</f>
        <v/>
      </c>
      <c r="D33" s="1" t="str">
        <f>IF($B33="","",HYPERLINK(CONCATENATE("http://www.ncbi.nlm.nih.gov/pubmed/",B33)))</f>
        <v/>
      </c>
      <c r="E33" s="22" t="str">
        <f>IF($B33="","",IF(LEN(VLOOKUP($B33,Database!$B$1:$IX$10144,4,FALSE))=0,"",VLOOKUP($B33,Database!$B$1:$IX$10144,4,FALSE)))</f>
        <v/>
      </c>
      <c r="F33" s="22" t="str">
        <f>IF($B33="","",IF(LEN(VLOOKUP($B33,Database!$B$1:$IX$10144,5,FALSE))=0,"",VLOOKUP($B33,Database!$B$1:$IX$10144,5,FALSE)))</f>
        <v/>
      </c>
      <c r="G33" s="1" t="str">
        <f>IF($B33="","",HYPERLINK(IF(LEN(VLOOKUP($B33,Database!$B$1:$IX$10144,6,FALSE))=0,"",VLOOKUP($B33,Database!$B$1:$IX$10144,6,FALSE))))</f>
        <v/>
      </c>
      <c r="H33" s="22" t="str">
        <f>IF($B33="","",IF(LEN(VLOOKUP($B33,Database!$B$1:$IX$10144,7,FALSE))=0,"",VLOOKUP($B33,Database!$B$1:$IX$10144,7,FALSE)))</f>
        <v/>
      </c>
      <c r="I33" s="22" t="str">
        <f>IF($B33="","",IF(LEN(VLOOKUP($B33,Database!$B$1:$IX$10144,8,FALSE))=0,"",VLOOKUP($B33,Database!$B$1:$IX$10144,8,FALSE)))</f>
        <v/>
      </c>
      <c r="K33" s="10"/>
      <c r="Y33" s="22" t="str">
        <f>IF(OR($B33="",Y$22=""),"",IF(LEN(VLOOKUP($B33,Database!$B$1:$IX$10144,Y$22,FALSE))=0,"",VLOOKUP($B33,Database!$B$1:$IX$10144,Y$22,FALSE)))</f>
        <v/>
      </c>
      <c r="Z33" s="22" t="str">
        <f>IF(OR($B33="",Z$22=""),"",IF(LEN(VLOOKUP($B33,Database!$B$1:$IX$10144,Z$22,FALSE))=0,"",VLOOKUP($B33,Database!$B$1:$IX$10144,Z$22,FALSE)))</f>
        <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t="str">
        <f>IF(OR($B33="",AD$22=""),"",IF(LEN(VLOOKUP($B33,Database!$B$1:$IX$10144,AD$22,FALSE))=0,"",VLOOKUP($B33,Database!$B$1:$IX$10144,AD$22,FALSE)))</f>
        <v/>
      </c>
      <c r="AE33" s="22" t="str">
        <f>IF(OR($B33="",AE$22=""),"",IF(LEN(VLOOKUP($B33,Database!$B$1:$IX$10144,AE$22,FALSE))=0,"",VLOOKUP($B33,Database!$B$1:$IX$10144,AE$22,FALSE)))</f>
        <v/>
      </c>
      <c r="AF33" s="22" t="str">
        <f>IF(OR($B33="",AF$22=""),"",IF(LEN(VLOOKUP($B33,Database!$B$1:$IX$10144,AF$22,FALSE))=0,"",VLOOKUP($B33,Database!$B$1:$IX$10144,AF$22,FALSE)))</f>
        <v/>
      </c>
      <c r="AG33" s="22" t="str">
        <f>IF(OR($B33="",AG$22=""),"",IF(LEN(VLOOKUP($B33,Database!$B$1:$IX$10144,AG$22,FALSE))=0,"",VLOOKUP($B33,Database!$B$1:$IX$10144,AG$22,FALSE)))</f>
        <v/>
      </c>
      <c r="AH33" s="22" t="str">
        <f>IF(OR($B33="",AH$22=""),"",IF(LEN(VLOOKUP($B33,Database!$B$1:$IX$10144,AH$22,FALSE))=0,"",VLOOKUP($B33,Database!$B$1:$IX$10144,AH$22,FALSE)))</f>
        <v/>
      </c>
      <c r="AI33" s="22" t="str">
        <f>IF(OR($B33="",AI$22=""),"",IF(LEN(VLOOKUP($B33,Database!$B$1:$IX$10144,AI$22,FALSE))=0,"",VLOOKUP($B33,Database!$B$1:$IX$10144,AI$22,FALSE)))</f>
        <v/>
      </c>
      <c r="AJ33" s="22" t="str">
        <f>IF(OR($B33="",AJ$22=""),"",IF(LEN(VLOOKUP($B33,Database!$B$1:$IX$10144,AJ$22,FALSE))=0,"",VLOOKUP($B33,Database!$B$1:$IX$10144,AJ$22,FALSE)))</f>
        <v/>
      </c>
      <c r="AK33" s="22" t="str">
        <f>IF(OR($B33="",AK$22=""),"",IF(LEN(VLOOKUP($B33,Database!$B$1:$IX$10144,AK$22,FALSE))=0,"",VLOOKUP($B33,Database!$B$1:$IX$10144,AK$22,FALSE)))</f>
        <v/>
      </c>
      <c r="AL33" s="22" t="str">
        <f>IF(OR($B33="",AL$22=""),"",IF(LEN(VLOOKUP($B33,Database!$B$1:$IX$10144,AL$22,FALSE))=0,"",VLOOKUP($B33,Database!$B$1:$IX$10144,AL$22,FALSE)))</f>
        <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
      </c>
    </row>
    <row r="34" spans="2:51">
      <c r="B34" s="13"/>
      <c r="C34" s="1" t="str">
        <f>IF($B34="","",HYPERLINK(IF(LEN(VLOOKUP($B34,Database!$B$1:$IX$10144,2,FALSE))=0,"",VLOOKUP($B34,Database!$B$1:$IX$10144,2,FALSE))))</f>
        <v/>
      </c>
      <c r="D34" s="1" t="str">
        <f>IF($B34="","",HYPERLINK(CONCATENATE("http://www.ncbi.nlm.nih.gov/pubmed/",B34)))</f>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K34" s="10"/>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
      </c>
    </row>
    <row r="35" spans="2:51">
      <c r="I35" s="22" t="str">
        <f>IF($B35="","",IF(LEN(VLOOKUP($B35,Database!$B$1:$IX$10144,8,FALSE))=0,"",VLOOKUP($B35,Database!$B$1:$IX$10144,8,FALSE)))</f>
        <v/>
      </c>
      <c r="AF35" t="s">
        <v>602</v>
      </c>
      <c r="AJ35" t="s">
        <v>329</v>
      </c>
      <c r="AN35" t="s">
        <v>330</v>
      </c>
    </row>
    <row r="36" spans="2: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2:51">
      <c r="E37" t="str">
        <f t="shared" ref="E37:F43" si="1">E24</f>
        <v>Bremner JD</v>
      </c>
      <c r="F37">
        <f t="shared" si="1"/>
        <v>2000</v>
      </c>
      <c r="G37">
        <v>7</v>
      </c>
      <c r="H37">
        <f t="shared" ref="H37:I43" si="2">H24</f>
        <v>16</v>
      </c>
      <c r="I37">
        <f t="shared" si="2"/>
        <v>16</v>
      </c>
      <c r="J37">
        <f t="shared" ref="J37:M43" si="3">IF($D$4="Total",T24,IF($D$4="Left",L24,IF($D$4="Right",P24,"error")))</f>
        <v>143101</v>
      </c>
      <c r="K37">
        <f t="shared" si="3"/>
        <v>45265</v>
      </c>
      <c r="L37">
        <f t="shared" si="3"/>
        <v>164471</v>
      </c>
      <c r="M37">
        <f t="shared" si="3"/>
        <v>27150</v>
      </c>
      <c r="N37">
        <f t="shared" ref="N37:N43" si="4">IF($D$3=1,SQRT((((I37-1)*(M37)^2)+((H37-1)*(K37)^2))/(H37+I37-2)),M37)</f>
        <v>37323.201396718367</v>
      </c>
      <c r="O37" s="59">
        <f t="shared" ref="O37:O43" si="5">IF($D$6=1,LN(J37/L37),IF($D$5=1,(1-3/(4*(H37+I37)-9))*((J37-L37)/N37),(J37-L37)/N37))</f>
        <v>-0.55813166407620285</v>
      </c>
      <c r="P37" s="63">
        <f t="shared" ref="P37:P43" si="6">IF($D$6=1,(K37^2)/(H37*J37^2)+(M37^2)/(I37*L37^2),(IF($D$5=1,((H37+I37)/(H37*I37))+(O37*O37)/(2*(H37+I37-3.94)),((H37+I37)/(H37*I37))+((O37^2)/(2*(H37+I37-2))))))</f>
        <v>0.13055080104141967</v>
      </c>
      <c r="Q37" s="59">
        <f t="shared" ref="Q37:Q43" si="7">$R$60*SQRT(P37)</f>
        <v>0.70818356185435272</v>
      </c>
      <c r="R37" s="59">
        <f t="shared" ref="R37:R43" si="8">1/P37</f>
        <v>7.6598534212190046</v>
      </c>
      <c r="S37" s="59">
        <f t="shared" ref="S37:S43" si="9">O37*R37</f>
        <v>-4.2752067365647584</v>
      </c>
      <c r="T37" s="59">
        <f t="shared" ref="T37:T43" si="10">R37*(O37^2)</f>
        <v>2.3861282501486816</v>
      </c>
      <c r="U37" s="23">
        <f t="shared" ref="U37:U43" si="11">R37^2</f>
        <v>58.673354434560487</v>
      </c>
      <c r="V37" s="59">
        <f t="shared" ref="V37:V43" si="12">1/((1/R37)+$I$57)</f>
        <v>7.6598534212190046</v>
      </c>
      <c r="W37" s="59">
        <f t="shared" ref="W37:W43" si="13">V37*O37</f>
        <v>-4.2752067365647584</v>
      </c>
      <c r="AF37" s="59">
        <f t="shared" ref="AF37:AF43" si="14">IF($D$6=1,100*((EXP(O37))-1),O37)</f>
        <v>-0.55813166407620285</v>
      </c>
      <c r="AG37" s="59">
        <f t="shared" ref="AG37:AG43" si="15">IF($D$6=1,100*(EXP(O37+Q37)-EXP(O37)),Q37)</f>
        <v>0.70818356185435272</v>
      </c>
      <c r="AH37" s="59">
        <f t="shared" ref="AH37:AH43" si="16">IF($D$6=1,100*(EXP(O37)-EXP(O37-Q37)),Q37)</f>
        <v>0.70818356185435272</v>
      </c>
      <c r="AJ37">
        <f t="shared" ref="AJ37:AJ43" si="17">SQRT(P37)</f>
        <v>0.36131814380324118</v>
      </c>
      <c r="AK37">
        <f t="shared" ref="AK37:AK43" si="18">1/AJ37</f>
        <v>2.7676440199597572</v>
      </c>
      <c r="AL37">
        <f t="shared" ref="AL37:AL43" si="19">O37/AJ37</f>
        <v>-1.5447097624306907</v>
      </c>
      <c r="AN37" t="str">
        <f t="shared" ref="AN37:AO43" si="20">E37</f>
        <v>Bremner JD</v>
      </c>
      <c r="AO37">
        <f t="shared" si="20"/>
        <v>2000</v>
      </c>
      <c r="AP37" t="str">
        <f t="shared" ref="AP37:AP43" si="21">CONCATENATE(AN37," ",AO37)</f>
        <v>Bremner JD 2000</v>
      </c>
      <c r="AQ37">
        <f t="shared" ref="AQ37:AQ43" si="22">INT(H37)</f>
        <v>16</v>
      </c>
      <c r="AR37">
        <f t="shared" ref="AR37:AS43" si="23">J37</f>
        <v>143101</v>
      </c>
      <c r="AS37">
        <f t="shared" si="23"/>
        <v>45265</v>
      </c>
      <c r="AT37">
        <f t="shared" ref="AT37:AT43" si="24">INT(I37)</f>
        <v>16</v>
      </c>
      <c r="AU37">
        <f t="shared" ref="AU37:AV43" si="25">L37</f>
        <v>164471</v>
      </c>
      <c r="AV37">
        <f t="shared" si="25"/>
        <v>27150</v>
      </c>
      <c r="AW37" s="65">
        <f t="shared" ref="AW37:AW43" si="26">O37</f>
        <v>-0.55813166407620285</v>
      </c>
      <c r="AX37">
        <f t="shared" ref="AX37:AX43" si="27">SQRT(P37)</f>
        <v>0.36131814380324118</v>
      </c>
    </row>
    <row r="38" spans="2:51">
      <c r="E38" t="str">
        <f t="shared" si="1"/>
        <v>McIntosh AM</v>
      </c>
      <c r="F38">
        <f t="shared" si="1"/>
        <v>2001</v>
      </c>
      <c r="G38">
        <v>6</v>
      </c>
      <c r="H38">
        <f t="shared" si="2"/>
        <v>9</v>
      </c>
      <c r="I38">
        <f t="shared" si="2"/>
        <v>29</v>
      </c>
      <c r="J38">
        <f t="shared" si="3"/>
        <v>71458</v>
      </c>
      <c r="K38">
        <f t="shared" si="3"/>
        <v>4891</v>
      </c>
      <c r="L38">
        <f t="shared" si="3"/>
        <v>74159</v>
      </c>
      <c r="M38">
        <f t="shared" si="3"/>
        <v>10322</v>
      </c>
      <c r="N38">
        <f t="shared" si="4"/>
        <v>9390.5954727766511</v>
      </c>
      <c r="O38" s="59">
        <f t="shared" si="5"/>
        <v>-0.28159403437211167</v>
      </c>
      <c r="P38" s="63">
        <f t="shared" si="6"/>
        <v>0.14675792140816546</v>
      </c>
      <c r="Q38" s="59">
        <f t="shared" si="7"/>
        <v>0.75085633171839772</v>
      </c>
      <c r="R38" s="59">
        <f t="shared" si="8"/>
        <v>6.8139422417873048</v>
      </c>
      <c r="S38" s="59">
        <f t="shared" si="9"/>
        <v>-1.918765485843438</v>
      </c>
      <c r="T38" s="59">
        <f t="shared" si="10"/>
        <v>0.54031291417261862</v>
      </c>
      <c r="U38" s="23">
        <f t="shared" si="11"/>
        <v>46.429808874413403</v>
      </c>
      <c r="V38" s="59">
        <f t="shared" si="12"/>
        <v>6.8139422417873048</v>
      </c>
      <c r="W38" s="59">
        <f t="shared" si="13"/>
        <v>-1.918765485843438</v>
      </c>
      <c r="AF38" s="59">
        <f t="shared" si="14"/>
        <v>-0.28159403437211167</v>
      </c>
      <c r="AG38" s="59">
        <f t="shared" si="15"/>
        <v>0.75085633171839772</v>
      </c>
      <c r="AH38" s="59">
        <f t="shared" si="16"/>
        <v>0.75085633171839772</v>
      </c>
      <c r="AJ38">
        <f t="shared" si="17"/>
        <v>0.38308996516244781</v>
      </c>
      <c r="AK38">
        <f t="shared" si="18"/>
        <v>2.6103528960252298</v>
      </c>
      <c r="AL38">
        <f t="shared" si="19"/>
        <v>-0.73505980312666974</v>
      </c>
      <c r="AN38" t="str">
        <f t="shared" si="20"/>
        <v>McIntosh AM</v>
      </c>
      <c r="AO38">
        <f t="shared" si="20"/>
        <v>2001</v>
      </c>
      <c r="AP38" t="str">
        <f t="shared" si="21"/>
        <v>McIntosh AM 2001</v>
      </c>
      <c r="AQ38">
        <f t="shared" si="22"/>
        <v>9</v>
      </c>
      <c r="AR38">
        <f t="shared" si="23"/>
        <v>71458</v>
      </c>
      <c r="AS38">
        <f t="shared" si="23"/>
        <v>4891</v>
      </c>
      <c r="AT38">
        <f t="shared" si="24"/>
        <v>29</v>
      </c>
      <c r="AU38">
        <f t="shared" si="25"/>
        <v>74159</v>
      </c>
      <c r="AV38">
        <f t="shared" si="25"/>
        <v>10322</v>
      </c>
      <c r="AW38" s="65">
        <f t="shared" si="26"/>
        <v>-0.28159403437211167</v>
      </c>
      <c r="AX38">
        <f t="shared" si="27"/>
        <v>0.38308996516244781</v>
      </c>
    </row>
    <row r="39" spans="2:51">
      <c r="E39" t="str">
        <f t="shared" si="1"/>
        <v>Nolan CL</v>
      </c>
      <c r="F39">
        <f t="shared" si="1"/>
        <v>2002</v>
      </c>
      <c r="G39">
        <v>5</v>
      </c>
      <c r="H39">
        <f t="shared" si="2"/>
        <v>22</v>
      </c>
      <c r="I39">
        <f t="shared" si="2"/>
        <v>22</v>
      </c>
      <c r="J39">
        <f t="shared" si="3"/>
        <v>78.3</v>
      </c>
      <c r="K39">
        <f t="shared" si="3"/>
        <v>11.52</v>
      </c>
      <c r="L39">
        <f t="shared" si="3"/>
        <v>76.680000000000007</v>
      </c>
      <c r="M39">
        <f t="shared" si="3"/>
        <v>11.79</v>
      </c>
      <c r="N39">
        <f t="shared" si="4"/>
        <v>11.65578182705905</v>
      </c>
      <c r="O39" s="59">
        <f t="shared" si="5"/>
        <v>0.13649004650202989</v>
      </c>
      <c r="P39" s="63">
        <f t="shared" si="6"/>
        <v>9.1141611288448457E-2</v>
      </c>
      <c r="Q39" s="59">
        <f t="shared" si="7"/>
        <v>0.59171751193090749</v>
      </c>
      <c r="R39" s="59">
        <f t="shared" si="8"/>
        <v>10.971936811992075</v>
      </c>
      <c r="S39" s="59">
        <f t="shared" si="9"/>
        <v>1.4975601656861319</v>
      </c>
      <c r="T39" s="59">
        <f t="shared" si="10"/>
        <v>0.20440205665408773</v>
      </c>
      <c r="U39" s="23">
        <f t="shared" si="11"/>
        <v>120.38339740634682</v>
      </c>
      <c r="V39" s="59">
        <f t="shared" si="12"/>
        <v>10.971936811992075</v>
      </c>
      <c r="W39" s="59">
        <f t="shared" si="13"/>
        <v>1.4975601656861319</v>
      </c>
      <c r="AF39" s="59">
        <f t="shared" si="14"/>
        <v>0.13649004650202989</v>
      </c>
      <c r="AG39" s="59">
        <f t="shared" si="15"/>
        <v>0.59171751193090749</v>
      </c>
      <c r="AH39" s="59">
        <f t="shared" si="16"/>
        <v>0.59171751193090749</v>
      </c>
      <c r="AJ39">
        <f t="shared" si="17"/>
        <v>0.30189668976066708</v>
      </c>
      <c r="AK39">
        <f t="shared" si="18"/>
        <v>3.3123914038036135</v>
      </c>
      <c r="AL39">
        <f t="shared" si="19"/>
        <v>0.45210845673807926</v>
      </c>
      <c r="AN39" t="str">
        <f t="shared" si="20"/>
        <v>Nolan CL</v>
      </c>
      <c r="AO39">
        <f t="shared" si="20"/>
        <v>2002</v>
      </c>
      <c r="AP39" t="str">
        <f t="shared" si="21"/>
        <v>Nolan CL 2002</v>
      </c>
      <c r="AQ39">
        <f t="shared" si="22"/>
        <v>22</v>
      </c>
      <c r="AR39">
        <f t="shared" si="23"/>
        <v>78.3</v>
      </c>
      <c r="AS39">
        <f t="shared" si="23"/>
        <v>11.52</v>
      </c>
      <c r="AT39">
        <f t="shared" si="24"/>
        <v>22</v>
      </c>
      <c r="AU39">
        <f t="shared" si="25"/>
        <v>76.680000000000007</v>
      </c>
      <c r="AV39">
        <f t="shared" si="25"/>
        <v>11.79</v>
      </c>
      <c r="AW39" s="65">
        <f t="shared" si="26"/>
        <v>0.13649004650202989</v>
      </c>
      <c r="AX39">
        <f t="shared" si="27"/>
        <v>0.30189668976066708</v>
      </c>
    </row>
    <row r="40" spans="2:51">
      <c r="E40" t="str">
        <f t="shared" si="1"/>
        <v>Almeida OP</v>
      </c>
      <c r="F40">
        <f t="shared" si="1"/>
        <v>2003</v>
      </c>
      <c r="G40">
        <v>4</v>
      </c>
      <c r="H40">
        <f t="shared" si="2"/>
        <v>24</v>
      </c>
      <c r="I40">
        <f t="shared" si="2"/>
        <v>18.5</v>
      </c>
      <c r="J40">
        <f t="shared" si="3"/>
        <v>50904</v>
      </c>
      <c r="K40">
        <f t="shared" si="3"/>
        <v>9013</v>
      </c>
      <c r="L40">
        <f t="shared" si="3"/>
        <v>49590</v>
      </c>
      <c r="M40">
        <f t="shared" si="3"/>
        <v>6838</v>
      </c>
      <c r="N40">
        <f t="shared" si="4"/>
        <v>8144.7630027134846</v>
      </c>
      <c r="O40" s="59">
        <f t="shared" si="5"/>
        <v>0.15832449974550511</v>
      </c>
      <c r="P40" s="63">
        <f t="shared" si="6"/>
        <v>9.6045755046701847E-2</v>
      </c>
      <c r="Q40" s="59">
        <f t="shared" si="7"/>
        <v>0.60742849174813152</v>
      </c>
      <c r="R40" s="59">
        <f t="shared" si="8"/>
        <v>10.411704291498923</v>
      </c>
      <c r="S40" s="59">
        <f t="shared" si="9"/>
        <v>1.6484278734496958</v>
      </c>
      <c r="T40" s="59">
        <f t="shared" si="10"/>
        <v>0.26098651843046988</v>
      </c>
      <c r="U40" s="23">
        <f t="shared" si="11"/>
        <v>108.40358625361709</v>
      </c>
      <c r="V40" s="59">
        <f t="shared" si="12"/>
        <v>10.411704291498923</v>
      </c>
      <c r="W40" s="59">
        <f t="shared" si="13"/>
        <v>1.6484278734496958</v>
      </c>
      <c r="AF40" s="59">
        <f t="shared" si="14"/>
        <v>0.15832449974550511</v>
      </c>
      <c r="AG40" s="59">
        <f t="shared" si="15"/>
        <v>0.60742849174813152</v>
      </c>
      <c r="AH40" s="59">
        <f t="shared" si="16"/>
        <v>0.60742849174813152</v>
      </c>
      <c r="AJ40">
        <f t="shared" si="17"/>
        <v>0.30991249578986302</v>
      </c>
      <c r="AK40">
        <f t="shared" si="18"/>
        <v>3.2267172624044584</v>
      </c>
      <c r="AL40">
        <f t="shared" si="19"/>
        <v>0.51086839639037163</v>
      </c>
      <c r="AN40" t="str">
        <f t="shared" si="20"/>
        <v>Almeida OP</v>
      </c>
      <c r="AO40">
        <f t="shared" si="20"/>
        <v>2003</v>
      </c>
      <c r="AP40" t="str">
        <f t="shared" si="21"/>
        <v>Almeida OP 2003</v>
      </c>
      <c r="AQ40">
        <f t="shared" si="22"/>
        <v>24</v>
      </c>
      <c r="AR40">
        <f t="shared" si="23"/>
        <v>50904</v>
      </c>
      <c r="AS40">
        <f t="shared" si="23"/>
        <v>9013</v>
      </c>
      <c r="AT40">
        <f t="shared" si="24"/>
        <v>18</v>
      </c>
      <c r="AU40">
        <f t="shared" si="25"/>
        <v>49590</v>
      </c>
      <c r="AV40">
        <f t="shared" si="25"/>
        <v>6838</v>
      </c>
      <c r="AW40" s="65">
        <f t="shared" si="26"/>
        <v>0.15832449974550511</v>
      </c>
      <c r="AX40">
        <f t="shared" si="27"/>
        <v>0.30991249578986302</v>
      </c>
    </row>
    <row r="41" spans="2:51">
      <c r="E41" t="str">
        <f t="shared" si="1"/>
        <v>Almeida OP</v>
      </c>
      <c r="F41">
        <f t="shared" si="1"/>
        <v>2003</v>
      </c>
      <c r="G41">
        <v>3</v>
      </c>
      <c r="H41">
        <f t="shared" si="2"/>
        <v>27</v>
      </c>
      <c r="I41">
        <f t="shared" si="2"/>
        <v>18.5</v>
      </c>
      <c r="J41">
        <f t="shared" si="3"/>
        <v>46829</v>
      </c>
      <c r="K41">
        <f t="shared" si="3"/>
        <v>7476</v>
      </c>
      <c r="L41">
        <f t="shared" si="3"/>
        <v>49590</v>
      </c>
      <c r="M41">
        <f t="shared" si="3"/>
        <v>6838</v>
      </c>
      <c r="N41">
        <f t="shared" si="4"/>
        <v>7226.1088653114921</v>
      </c>
      <c r="O41" s="59">
        <f t="shared" si="5"/>
        <v>-0.37546090681077554</v>
      </c>
      <c r="P41" s="63">
        <f t="shared" si="6"/>
        <v>9.2787083542284182E-2</v>
      </c>
      <c r="Q41" s="59">
        <f t="shared" si="7"/>
        <v>0.5970350577110517</v>
      </c>
      <c r="R41" s="59">
        <f t="shared" si="8"/>
        <v>10.777362126532278</v>
      </c>
      <c r="S41" s="59">
        <f t="shared" si="9"/>
        <v>-4.0464781570559172</v>
      </c>
      <c r="T41" s="59">
        <f t="shared" si="10"/>
        <v>1.5192943582382106</v>
      </c>
      <c r="U41" s="23">
        <f t="shared" si="11"/>
        <v>116.15153440641235</v>
      </c>
      <c r="V41" s="59">
        <f t="shared" si="12"/>
        <v>10.777362126532278</v>
      </c>
      <c r="W41" s="59">
        <f t="shared" si="13"/>
        <v>-4.0464781570559172</v>
      </c>
      <c r="AF41" s="59">
        <f t="shared" si="14"/>
        <v>-0.37546090681077554</v>
      </c>
      <c r="AG41" s="59">
        <f t="shared" si="15"/>
        <v>0.5970350577110517</v>
      </c>
      <c r="AH41" s="59">
        <f t="shared" si="16"/>
        <v>0.5970350577110517</v>
      </c>
      <c r="AJ41">
        <f t="shared" si="17"/>
        <v>0.30460972332196518</v>
      </c>
      <c r="AK41">
        <f t="shared" si="18"/>
        <v>3.2828892955036237</v>
      </c>
      <c r="AL41">
        <f t="shared" si="19"/>
        <v>-1.2325965918491786</v>
      </c>
      <c r="AN41" t="str">
        <f t="shared" si="20"/>
        <v>Almeida OP</v>
      </c>
      <c r="AO41">
        <f t="shared" si="20"/>
        <v>2003</v>
      </c>
      <c r="AP41" t="str">
        <f t="shared" si="21"/>
        <v>Almeida OP 2003</v>
      </c>
      <c r="AQ41">
        <f t="shared" si="22"/>
        <v>27</v>
      </c>
      <c r="AR41">
        <f t="shared" si="23"/>
        <v>46829</v>
      </c>
      <c r="AS41">
        <f t="shared" si="23"/>
        <v>7476</v>
      </c>
      <c r="AT41">
        <f t="shared" si="24"/>
        <v>18</v>
      </c>
      <c r="AU41">
        <f t="shared" si="25"/>
        <v>49590</v>
      </c>
      <c r="AV41">
        <f t="shared" si="25"/>
        <v>6838</v>
      </c>
      <c r="AW41" s="65">
        <f t="shared" si="26"/>
        <v>-0.37546090681077554</v>
      </c>
      <c r="AX41">
        <f t="shared" si="27"/>
        <v>0.30460972332196518</v>
      </c>
    </row>
    <row r="42" spans="2:51">
      <c r="E42" t="str">
        <f t="shared" si="1"/>
        <v>Lavretsky H</v>
      </c>
      <c r="F42">
        <f t="shared" si="1"/>
        <v>2005</v>
      </c>
      <c r="G42">
        <v>2</v>
      </c>
      <c r="H42">
        <f t="shared" si="2"/>
        <v>11</v>
      </c>
      <c r="I42">
        <f t="shared" si="2"/>
        <v>20.5</v>
      </c>
      <c r="J42">
        <f t="shared" si="3"/>
        <v>0.11799999999999999</v>
      </c>
      <c r="K42">
        <f t="shared" si="3"/>
        <v>8.0000000000000002E-3</v>
      </c>
      <c r="L42">
        <f t="shared" si="3"/>
        <v>0.11799999999999999</v>
      </c>
      <c r="M42">
        <f t="shared" si="3"/>
        <v>6.0000000000000001E-3</v>
      </c>
      <c r="N42">
        <f t="shared" si="4"/>
        <v>6.744740574976091E-3</v>
      </c>
      <c r="O42" s="59">
        <f t="shared" si="5"/>
        <v>0</v>
      </c>
      <c r="P42" s="63">
        <f t="shared" si="6"/>
        <v>0.13968957871396895</v>
      </c>
      <c r="Q42" s="59">
        <f t="shared" si="7"/>
        <v>0.73255135354975842</v>
      </c>
      <c r="R42" s="59">
        <f t="shared" si="8"/>
        <v>7.1587301587301591</v>
      </c>
      <c r="S42" s="59">
        <f t="shared" si="9"/>
        <v>0</v>
      </c>
      <c r="T42" s="59">
        <f t="shared" si="10"/>
        <v>0</v>
      </c>
      <c r="U42" s="23">
        <f t="shared" si="11"/>
        <v>51.247417485512727</v>
      </c>
      <c r="V42" s="59">
        <f t="shared" si="12"/>
        <v>7.1587301587301591</v>
      </c>
      <c r="W42" s="59">
        <f t="shared" si="13"/>
        <v>0</v>
      </c>
      <c r="AF42" s="59">
        <f t="shared" si="14"/>
        <v>0</v>
      </c>
      <c r="AG42" s="59">
        <f t="shared" si="15"/>
        <v>0.73255135354975842</v>
      </c>
      <c r="AH42" s="59">
        <f t="shared" si="16"/>
        <v>0.73255135354975842</v>
      </c>
      <c r="AJ42">
        <f t="shared" si="17"/>
        <v>0.37375069058661142</v>
      </c>
      <c r="AK42">
        <f t="shared" si="18"/>
        <v>2.6755803405485996</v>
      </c>
      <c r="AL42">
        <f t="shared" si="19"/>
        <v>0</v>
      </c>
      <c r="AN42" t="str">
        <f t="shared" si="20"/>
        <v>Lavretsky H</v>
      </c>
      <c r="AO42">
        <f t="shared" si="20"/>
        <v>2005</v>
      </c>
      <c r="AP42" t="str">
        <f t="shared" si="21"/>
        <v>Lavretsky H 2005</v>
      </c>
      <c r="AQ42">
        <f t="shared" si="22"/>
        <v>11</v>
      </c>
      <c r="AR42">
        <f t="shared" si="23"/>
        <v>0.11799999999999999</v>
      </c>
      <c r="AS42">
        <f t="shared" si="23"/>
        <v>8.0000000000000002E-3</v>
      </c>
      <c r="AT42">
        <f t="shared" si="24"/>
        <v>20</v>
      </c>
      <c r="AU42">
        <f t="shared" si="25"/>
        <v>0.11799999999999999</v>
      </c>
      <c r="AV42">
        <f t="shared" si="25"/>
        <v>6.0000000000000001E-3</v>
      </c>
      <c r="AW42" s="65">
        <f t="shared" si="26"/>
        <v>0</v>
      </c>
      <c r="AX42">
        <f t="shared" si="27"/>
        <v>0.37375069058661142</v>
      </c>
    </row>
    <row r="43" spans="2:51">
      <c r="E43" t="str">
        <f t="shared" si="1"/>
        <v>Lavretsky H</v>
      </c>
      <c r="F43">
        <f t="shared" si="1"/>
        <v>2005</v>
      </c>
      <c r="G43">
        <v>1</v>
      </c>
      <c r="H43">
        <f t="shared" si="2"/>
        <v>30</v>
      </c>
      <c r="I43">
        <f t="shared" si="2"/>
        <v>20.5</v>
      </c>
      <c r="J43">
        <f t="shared" si="3"/>
        <v>0.11700000000000001</v>
      </c>
      <c r="K43">
        <f t="shared" si="3"/>
        <v>8.0000000000000002E-3</v>
      </c>
      <c r="L43">
        <f t="shared" si="3"/>
        <v>0.11799999999999999</v>
      </c>
      <c r="M43">
        <f t="shared" si="3"/>
        <v>6.0000000000000001E-3</v>
      </c>
      <c r="N43">
        <f t="shared" si="4"/>
        <v>7.2623872136672188E-3</v>
      </c>
      <c r="O43" s="59">
        <f t="shared" si="5"/>
        <v>-0.13555542132159304</v>
      </c>
      <c r="P43" s="63">
        <f t="shared" si="6"/>
        <v>8.2311150092782628E-2</v>
      </c>
      <c r="Q43" s="59">
        <f t="shared" si="7"/>
        <v>0.56232242903554341</v>
      </c>
      <c r="R43" s="59">
        <f t="shared" si="8"/>
        <v>12.149022324105323</v>
      </c>
      <c r="S43" s="59">
        <f t="shared" si="9"/>
        <v>-1.6468658397895364</v>
      </c>
      <c r="T43" s="59">
        <f t="shared" si="10"/>
        <v>0.22324159277280978</v>
      </c>
      <c r="U43" s="23">
        <f t="shared" si="11"/>
        <v>147.59874343160951</v>
      </c>
      <c r="V43" s="59">
        <f t="shared" si="12"/>
        <v>12.149022324105323</v>
      </c>
      <c r="W43" s="59">
        <f t="shared" si="13"/>
        <v>-1.6468658397895364</v>
      </c>
      <c r="AF43" s="59">
        <f t="shared" si="14"/>
        <v>-0.13555542132159304</v>
      </c>
      <c r="AG43" s="59">
        <f t="shared" si="15"/>
        <v>0.56232242903554341</v>
      </c>
      <c r="AH43" s="59">
        <f t="shared" si="16"/>
        <v>0.56232242903554341</v>
      </c>
      <c r="AJ43">
        <f t="shared" si="17"/>
        <v>0.28689919848752216</v>
      </c>
      <c r="AK43">
        <f t="shared" si="18"/>
        <v>3.4855447671928301</v>
      </c>
      <c r="AL43">
        <f t="shared" si="19"/>
        <v>-0.47248448945209803</v>
      </c>
      <c r="AN43" t="str">
        <f t="shared" si="20"/>
        <v>Lavretsky H</v>
      </c>
      <c r="AO43">
        <f t="shared" si="20"/>
        <v>2005</v>
      </c>
      <c r="AP43" t="str">
        <f t="shared" si="21"/>
        <v>Lavretsky H 2005</v>
      </c>
      <c r="AQ43">
        <f t="shared" si="22"/>
        <v>30</v>
      </c>
      <c r="AR43">
        <f t="shared" si="23"/>
        <v>0.11700000000000001</v>
      </c>
      <c r="AS43">
        <f t="shared" si="23"/>
        <v>8.0000000000000002E-3</v>
      </c>
      <c r="AT43">
        <f t="shared" si="24"/>
        <v>20</v>
      </c>
      <c r="AU43">
        <f t="shared" si="25"/>
        <v>0.11799999999999999</v>
      </c>
      <c r="AV43">
        <f t="shared" si="25"/>
        <v>6.0000000000000001E-3</v>
      </c>
      <c r="AW43" s="65">
        <f t="shared" si="26"/>
        <v>-0.13555542132159304</v>
      </c>
      <c r="AX43">
        <f t="shared" si="27"/>
        <v>0.28689919848752216</v>
      </c>
    </row>
    <row r="44" spans="2:51">
      <c r="U44" s="23"/>
    </row>
    <row r="45" spans="2:51">
      <c r="L45" t="s">
        <v>500</v>
      </c>
      <c r="N45" s="7"/>
      <c r="O45" s="66">
        <f>COUNT(O37:O43)</f>
        <v>7</v>
      </c>
      <c r="Q45" t="s">
        <v>885</v>
      </c>
      <c r="R45" s="59">
        <f t="shared" ref="R45:W45" si="28">SUM(R37:R43)</f>
        <v>65.942551375865065</v>
      </c>
      <c r="S45" s="59">
        <f t="shared" si="28"/>
        <v>-8.7413281801178222</v>
      </c>
      <c r="T45" s="59">
        <f t="shared" si="28"/>
        <v>5.1343656904168782</v>
      </c>
      <c r="U45" s="23">
        <f t="shared" si="28"/>
        <v>648.88784229247233</v>
      </c>
      <c r="V45" s="59">
        <f t="shared" si="28"/>
        <v>65.942551375865065</v>
      </c>
      <c r="W45" s="59">
        <f t="shared" si="28"/>
        <v>-8.7413281801178222</v>
      </c>
    </row>
    <row r="46" spans="2:51">
      <c r="L46" t="s">
        <v>501</v>
      </c>
      <c r="N46" s="7"/>
      <c r="O46" s="2">
        <v>2</v>
      </c>
    </row>
    <row r="47" spans="2:51">
      <c r="N47" s="7"/>
      <c r="O47" s="7"/>
    </row>
    <row r="48" spans="2:51">
      <c r="G48" s="67" t="s">
        <v>502</v>
      </c>
      <c r="H48" s="40"/>
      <c r="I48" s="40">
        <f>S45/R45</f>
        <v>-0.13255975083968533</v>
      </c>
      <c r="J48" s="40"/>
      <c r="K48" s="68" t="s">
        <v>879</v>
      </c>
      <c r="L48" s="40"/>
      <c r="M48" s="42"/>
      <c r="N48" s="7"/>
      <c r="O48" s="69" t="s">
        <v>503</v>
      </c>
      <c r="P48" s="70">
        <f>T45-((S45^2)/R45)</f>
        <v>3.9756174048525397</v>
      </c>
      <c r="Q48" s="71" t="s">
        <v>824</v>
      </c>
      <c r="R48" s="28"/>
      <c r="S48" s="29"/>
      <c r="T48" s="30"/>
      <c r="U48" s="31"/>
      <c r="AF48" s="2" t="s">
        <v>1518</v>
      </c>
    </row>
    <row r="49" spans="7:34">
      <c r="G49" s="43" t="s">
        <v>504</v>
      </c>
      <c r="H49" s="31"/>
      <c r="I49" s="31">
        <f>1/R45</f>
        <v>1.5164715030513658E-2</v>
      </c>
      <c r="J49" s="31"/>
      <c r="K49" s="31"/>
      <c r="L49" s="31"/>
      <c r="M49" s="44"/>
      <c r="N49" s="7"/>
      <c r="O49" s="30" t="s">
        <v>505</v>
      </c>
      <c r="P49" s="31">
        <f>CHIDIST(P48,I53-1)</f>
        <v>0.67997620414216375</v>
      </c>
      <c r="Q49" s="31"/>
      <c r="R49" s="31"/>
      <c r="S49" s="34"/>
      <c r="T49" s="30"/>
      <c r="U49" s="31"/>
      <c r="AF49" s="2"/>
    </row>
    <row r="50" spans="7:34">
      <c r="G50" s="72" t="s">
        <v>506</v>
      </c>
      <c r="H50" s="31"/>
      <c r="I50" s="31">
        <f>$R$60*SQRT(I49)</f>
        <v>0.24136439103815885</v>
      </c>
      <c r="J50" s="31"/>
      <c r="K50" s="31" t="s">
        <v>507</v>
      </c>
      <c r="L50" s="31"/>
      <c r="M50" s="44">
        <f>ABS(I48/SQRT(I49))</f>
        <v>1.0764517107443039</v>
      </c>
      <c r="N50" s="7"/>
      <c r="O50" s="35" t="s">
        <v>508</v>
      </c>
      <c r="P50" s="37">
        <f>IF(((P48-(I53-1))/P48)&lt;0,0,100*((P48-(I53-1))/P48))</f>
        <v>0</v>
      </c>
      <c r="Q50" s="36"/>
      <c r="R50" s="36"/>
      <c r="S50" s="38"/>
      <c r="T50" s="30"/>
      <c r="U50" s="31"/>
      <c r="AF50" s="2" t="s">
        <v>1535</v>
      </c>
      <c r="AH50">
        <f>IF($D$6=1,100*((EXP(I48))-1),I48)</f>
        <v>-0.13255975083968533</v>
      </c>
    </row>
    <row r="51" spans="7:34">
      <c r="G51" s="45" t="s">
        <v>509</v>
      </c>
      <c r="H51" s="46"/>
      <c r="I51" s="46">
        <v>-2</v>
      </c>
      <c r="J51" s="46"/>
      <c r="K51" s="46" t="s">
        <v>825</v>
      </c>
      <c r="L51" s="46"/>
      <c r="M51" s="47">
        <f>2*(1-NORMDIST(M50,0,1,1))</f>
        <v>0.28172528630806948</v>
      </c>
      <c r="N51" s="7"/>
      <c r="O51" s="7"/>
      <c r="AF51" s="79" t="s">
        <v>834</v>
      </c>
      <c r="AH51">
        <f>IF($D$6=1,100*(EXP(I48+I50)-EXP(I48)),I50)</f>
        <v>0.24136439103815885</v>
      </c>
    </row>
    <row r="52" spans="7:34">
      <c r="G52" s="40"/>
      <c r="H52" s="40"/>
      <c r="I52" s="40"/>
      <c r="J52" s="40"/>
      <c r="K52" s="40"/>
      <c r="L52" s="40"/>
      <c r="M52" s="40"/>
      <c r="N52" s="7"/>
      <c r="O52" s="7"/>
      <c r="AF52" s="79" t="s">
        <v>835</v>
      </c>
      <c r="AH52">
        <f>IF($D$6=1,100*(EXP(I48)-EXP(I48-I50)),I50)</f>
        <v>0.24136439103815885</v>
      </c>
    </row>
    <row r="53" spans="7:34">
      <c r="G53" s="73" t="s">
        <v>1110</v>
      </c>
      <c r="H53" s="74"/>
      <c r="I53" s="74">
        <f>O45</f>
        <v>7</v>
      </c>
      <c r="J53" s="74"/>
      <c r="K53" s="75" t="s">
        <v>1167</v>
      </c>
      <c r="L53" s="74"/>
      <c r="M53" s="76"/>
      <c r="N53" s="77"/>
      <c r="O53" s="101" t="s">
        <v>1513</v>
      </c>
      <c r="P53" s="102"/>
      <c r="Q53" s="103"/>
      <c r="AF53" s="7"/>
    </row>
    <row r="54" spans="7:34">
      <c r="G54" s="77" t="s">
        <v>1531</v>
      </c>
      <c r="H54" s="31"/>
      <c r="I54" s="31">
        <f>R45/I53</f>
        <v>9.4203644822664376</v>
      </c>
      <c r="J54" s="31"/>
      <c r="K54" s="31"/>
      <c r="L54" s="31"/>
      <c r="M54" s="78"/>
      <c r="N54" s="77"/>
      <c r="O54" s="104" t="s">
        <v>1514</v>
      </c>
      <c r="P54" s="31"/>
      <c r="Q54" s="105">
        <f>INDEX(LINEST(AL37:AL43,AK37:AK43,TRUE,TRUE),1,2)</f>
        <v>-2.366892684873561</v>
      </c>
      <c r="AF54" s="2" t="s">
        <v>1687</v>
      </c>
      <c r="AH54">
        <f>IF($D$6=1,100*((EXP(I59))-1),I59)</f>
        <v>-0.13255975083968533</v>
      </c>
    </row>
    <row r="55" spans="7:34">
      <c r="G55" s="77" t="s">
        <v>1532</v>
      </c>
      <c r="H55" s="31"/>
      <c r="I55" s="31">
        <f>(1/(I53-1))*(U45-(I53*I54^2))</f>
        <v>4.6141622402072162</v>
      </c>
      <c r="J55" s="31"/>
      <c r="K55" s="31"/>
      <c r="L55" s="31"/>
      <c r="M55" s="78"/>
      <c r="N55" s="77"/>
      <c r="O55" s="104" t="s">
        <v>1516</v>
      </c>
      <c r="P55" s="31"/>
      <c r="Q55" s="105">
        <f>INDEX(LINEST(AL37:AL43,AK37:AK43,TRUE,TRUE),2,2)</f>
        <v>2.9617077450295377</v>
      </c>
      <c r="AF55" s="79" t="s">
        <v>834</v>
      </c>
      <c r="AG55" s="7"/>
      <c r="AH55">
        <f>IF($D$6=1,100*(EXP(I59+I61)-EXP(I59)),I61)</f>
        <v>0.24136439103815885</v>
      </c>
    </row>
    <row r="56" spans="7:34">
      <c r="G56" s="77" t="s">
        <v>1669</v>
      </c>
      <c r="H56" s="31"/>
      <c r="I56" s="31">
        <f>(I53-1)*(I54-(I55/(I53*I54)))</f>
        <v>56.102352160734839</v>
      </c>
      <c r="J56" s="31"/>
      <c r="K56" s="31"/>
      <c r="L56" s="31"/>
      <c r="M56" s="78"/>
      <c r="N56" s="77"/>
      <c r="O56" s="104" t="s">
        <v>1349</v>
      </c>
      <c r="P56" s="31"/>
      <c r="Q56" s="105">
        <f>ABS(Q54/Q55)</f>
        <v>0.79916483618134826</v>
      </c>
      <c r="AF56" s="79" t="s">
        <v>835</v>
      </c>
      <c r="AH56">
        <f>IF($D$6=1,100*(EXP(I59)-EXP(I59-I61)),I61)</f>
        <v>0.24136439103815885</v>
      </c>
    </row>
    <row r="57" spans="7:34">
      <c r="G57" s="77" t="s">
        <v>1685</v>
      </c>
      <c r="H57" s="31"/>
      <c r="I57" s="31">
        <f>IF(P48&gt;(I53-1),(P48-(I53-1))/I56,0)</f>
        <v>0</v>
      </c>
      <c r="J57" s="31"/>
      <c r="K57" s="31"/>
      <c r="L57" s="31"/>
      <c r="M57" s="78"/>
      <c r="N57" s="77"/>
      <c r="O57" s="106" t="s">
        <v>1515</v>
      </c>
      <c r="P57" s="107"/>
      <c r="Q57" s="108">
        <f>TDIST(Q56,I53-2,2)</f>
        <v>0.46045600615968429</v>
      </c>
    </row>
    <row r="58" spans="7:34">
      <c r="G58" s="77"/>
      <c r="H58" s="31"/>
      <c r="I58" s="31"/>
      <c r="J58" s="31"/>
      <c r="K58" s="31"/>
      <c r="L58" s="31"/>
      <c r="M58" s="78"/>
      <c r="N58" s="77"/>
    </row>
    <row r="59" spans="7:34">
      <c r="G59" s="77" t="s">
        <v>1686</v>
      </c>
      <c r="H59" s="31"/>
      <c r="I59" s="31">
        <f>W45/V45</f>
        <v>-0.13255975083968533</v>
      </c>
      <c r="J59" s="31"/>
      <c r="N59" s="77"/>
    </row>
    <row r="60" spans="7:34">
      <c r="G60" s="77" t="s">
        <v>504</v>
      </c>
      <c r="H60" s="31"/>
      <c r="I60" s="31">
        <f>1/V45</f>
        <v>1.5164715030513658E-2</v>
      </c>
      <c r="J60" s="31"/>
      <c r="N60" s="77"/>
      <c r="O60" t="s">
        <v>805</v>
      </c>
      <c r="R60">
        <v>1.96</v>
      </c>
    </row>
    <row r="61" spans="7:34">
      <c r="G61" s="80" t="s">
        <v>506</v>
      </c>
      <c r="H61" s="31"/>
      <c r="I61" s="31">
        <f>$R$60*SQRT(I60)</f>
        <v>0.24136439103815885</v>
      </c>
      <c r="J61" s="31"/>
      <c r="K61" s="31" t="s">
        <v>507</v>
      </c>
      <c r="L61" s="31"/>
      <c r="M61" s="78">
        <f>ABS(I59/(SQRT(I60)))</f>
        <v>1.0764517107443039</v>
      </c>
      <c r="N61" s="77"/>
    </row>
    <row r="62" spans="7:34">
      <c r="G62" s="81" t="s">
        <v>509</v>
      </c>
      <c r="H62" s="82"/>
      <c r="I62" s="82">
        <v>-3</v>
      </c>
      <c r="J62" s="82"/>
      <c r="K62" s="31" t="s">
        <v>825</v>
      </c>
      <c r="L62" s="31"/>
      <c r="M62" s="78">
        <f>2*(1-NORMDIST(M61,0,1,1))</f>
        <v>0.28172528630806948</v>
      </c>
      <c r="N62" s="77"/>
    </row>
    <row r="63" spans="7:34">
      <c r="G63" s="74"/>
      <c r="H63" s="74"/>
      <c r="I63" s="74"/>
      <c r="J63" s="74"/>
      <c r="K63" s="74"/>
      <c r="L63" s="74"/>
      <c r="M63" s="74"/>
      <c r="N63" s="31"/>
      <c r="O63" s="7"/>
    </row>
  </sheetData>
  <phoneticPr fontId="10" type="noConversion"/>
  <conditionalFormatting sqref="D17 D13 F13">
    <cfRule type="cellIs" dxfId="62" priority="0" stopIfTrue="1" operator="lessThan">
      <formula>0.05</formula>
    </cfRule>
  </conditionalFormatting>
  <conditionalFormatting sqref="D21">
    <cfRule type="cellIs" dxfId="6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49.xml><?xml version="1.0" encoding="utf-8"?>
<worksheet xmlns="http://schemas.openxmlformats.org/spreadsheetml/2006/main" xmlns:r="http://schemas.openxmlformats.org/officeDocument/2006/relationships">
  <sheetPr published="0" codeName="Sheet102" enableFormatConditionsCalculation="0"/>
  <dimension ref="A1:BM7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2414</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I64-O57</f>
        <v>7</v>
      </c>
      <c r="AD7" s="89"/>
    </row>
    <row r="8" spans="2:30">
      <c r="B8" t="s">
        <v>822</v>
      </c>
      <c r="D8">
        <f>SUM(H24:H34)</f>
        <v>262</v>
      </c>
      <c r="E8" t="s">
        <v>298</v>
      </c>
      <c r="F8">
        <f>Summary!C78</f>
        <v>0.8</v>
      </c>
      <c r="AD8" s="89"/>
    </row>
    <row r="9" spans="2:30">
      <c r="B9" t="s">
        <v>823</v>
      </c>
      <c r="D9">
        <f>SUM(I24:I34)</f>
        <v>213</v>
      </c>
      <c r="AD9" s="89"/>
    </row>
    <row r="11" spans="2:30">
      <c r="B11" s="27" t="s">
        <v>516</v>
      </c>
      <c r="C11" s="28"/>
      <c r="D11" s="109">
        <f>P59</f>
        <v>12.182740296826347</v>
      </c>
      <c r="E11" s="110" t="s">
        <v>1513</v>
      </c>
      <c r="F11" s="103"/>
    </row>
    <row r="12" spans="2:30">
      <c r="B12" s="30" t="s">
        <v>826</v>
      </c>
      <c r="C12" s="31"/>
      <c r="D12" s="112">
        <f>P61</f>
        <v>34.333328913823827</v>
      </c>
      <c r="E12" s="31"/>
      <c r="F12" s="105"/>
    </row>
    <row r="13" spans="2:30">
      <c r="B13" s="35" t="s">
        <v>825</v>
      </c>
      <c r="C13" s="36"/>
      <c r="D13" s="113">
        <f>P60</f>
        <v>0.14323480781432932</v>
      </c>
      <c r="E13" s="111" t="s">
        <v>825</v>
      </c>
      <c r="F13" s="115">
        <f>Q68</f>
        <v>0.46151783301642435</v>
      </c>
    </row>
    <row r="15" spans="2:30">
      <c r="B15" s="39" t="s">
        <v>879</v>
      </c>
      <c r="C15" s="40"/>
      <c r="D15" s="41">
        <f>AH61</f>
        <v>-0.30704997384016269</v>
      </c>
      <c r="E15" s="116"/>
    </row>
    <row r="16" spans="2:30">
      <c r="B16" s="43" t="s">
        <v>1165</v>
      </c>
      <c r="C16" s="31"/>
      <c r="D16" s="33">
        <f>AH61-AH63</f>
        <v>-0.4959650024821029</v>
      </c>
      <c r="E16" s="117">
        <f>AH61+AH62</f>
        <v>-0.11813494519822249</v>
      </c>
    </row>
    <row r="17" spans="1:65">
      <c r="B17" s="45" t="s">
        <v>1166</v>
      </c>
      <c r="C17" s="46"/>
      <c r="D17" s="123">
        <f>M62</f>
        <v>1.444271287431631E-3</v>
      </c>
      <c r="E17" s="118"/>
    </row>
    <row r="18" spans="1:65">
      <c r="D18" s="48"/>
      <c r="F18" s="49"/>
    </row>
    <row r="19" spans="1:65">
      <c r="B19" s="50" t="s">
        <v>1167</v>
      </c>
      <c r="C19" s="51"/>
      <c r="D19" s="52">
        <f>AH65</f>
        <v>-0.29142957982658096</v>
      </c>
      <c r="E19" s="120"/>
      <c r="F19" s="33"/>
      <c r="G19" s="31"/>
    </row>
    <row r="20" spans="1:65">
      <c r="B20" s="53" t="s">
        <v>1165</v>
      </c>
      <c r="C20" s="31"/>
      <c r="D20" s="33">
        <f>AH65-AH67</f>
        <v>-0.53035420978976333</v>
      </c>
      <c r="E20" s="121">
        <f>AH65+AH66</f>
        <v>-5.250494986339857E-2</v>
      </c>
      <c r="F20" s="31"/>
      <c r="G20" s="31"/>
    </row>
    <row r="21" spans="1:65">
      <c r="B21" s="54" t="s">
        <v>1440</v>
      </c>
      <c r="C21" s="55"/>
      <c r="D21" s="114">
        <f>M73</f>
        <v>1.6815355100511464E-2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9870413</v>
      </c>
      <c r="C24" s="1" t="str">
        <f>IF($B24="","",HYPERLINK(IF(LEN(VLOOKUP($B24,Database!$B$1:$IX$10144,2,FALSE))=0,"",VLOOKUP($B24,Database!$B$1:$IX$10144,2,FALSE))))</f>
        <v/>
      </c>
      <c r="D24" s="1" t="str">
        <f t="shared" ref="D24:D34" si="0">IF($B24="","",HYPERLINK(CONCATENATE("http://www.ncbi.nlm.nih.gov/pubmed/",B24)))</f>
        <v>http://www.ncbi.nlm.nih.gov/pubmed/9870413</v>
      </c>
      <c r="E24" s="22" t="str">
        <f>IF($B24="","",IF(LEN(VLOOKUP($B24,Database!$B$1:$IX$10144,4,FALSE))=0,"",VLOOKUP($B24,Database!$B$1:$IX$10144,4,FALSE)))</f>
        <v>Parashos IA</v>
      </c>
      <c r="F24" s="22">
        <f>IF($B24="","",IF(LEN(VLOOKUP($B24,Database!$B$1:$IX$10144,5,FALSE))=0,"",VLOOKUP($B24,Database!$B$1:$IX$10144,5,FALSE)))</f>
        <v>1998</v>
      </c>
      <c r="G24" s="1" t="str">
        <f>IF($B24="","",HYPERLINK(IF(LEN(VLOOKUP($B24,Database!$B$1:$IX$10144,6,FALSE))=0,"",VLOOKUP($B24,Database!$B$1:$IX$10144,6,FALSE))))</f>
        <v>http://dx.doi.org/10.1016/S0925-4927(98)00042-0</v>
      </c>
      <c r="H24" s="22">
        <f>IF($B24="","",IF(LEN(VLOOKUP($B24,Database!$B$1:$IX$10144,7,FALSE))=0,"",VLOOKUP($B24,Database!$B$1:$IX$10144,7,FALSE)))</f>
        <v>72</v>
      </c>
      <c r="I24" s="22">
        <f>IF($B24="","",IF(LEN(VLOOKUP($B24,Database!$B$1:$IX$10144,8,FALSE))=0,"",VLOOKUP($B24,Database!$B$1:$IX$10144,8,FALSE)))</f>
        <v>38</v>
      </c>
      <c r="J24" t="s">
        <v>774</v>
      </c>
      <c r="K24" t="s">
        <v>773</v>
      </c>
      <c r="T24">
        <v>235.6</v>
      </c>
      <c r="U24">
        <v>32.08</v>
      </c>
      <c r="V24">
        <v>246.17</v>
      </c>
      <c r="W24">
        <v>41.9</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55.4</v>
      </c>
      <c r="AC24" s="22">
        <f>IF(OR($B24="",AC$22=""),"",IF(LEN(VLOOKUP($B24,Database!$B$1:$IX$10144,AC$22,FALSE))=0,"",VLOOKUP($B24,Database!$B$1:$IX$10144,AC$22,FALSE)))</f>
        <v>16.8</v>
      </c>
      <c r="AD24" s="22">
        <f>IF(OR($B24="",AD$22=""),"",IF(LEN(VLOOKUP($B24,Database!$B$1:$IX$10144,AD$22,FALSE))=0,"",VLOOKUP($B24,Database!$B$1:$IX$10144,AD$22,FALSE)))</f>
        <v>55.1</v>
      </c>
      <c r="AE24" s="22">
        <f>IF(OR($B24="",AE$22=""),"",IF(LEN(VLOOKUP($B24,Database!$B$1:$IX$10144,AE$22,FALSE))=0,"",VLOOKUP($B24,Database!$B$1:$IX$10144,AE$22,FALSE)))</f>
        <v>17.100000000000001</v>
      </c>
      <c r="AF24" s="22">
        <f>IF(OR($B24="",AF$22=""),"",IF(LEN(VLOOKUP($B24,Database!$B$1:$IX$10144,AF$22,FALSE))=0,"",VLOOKUP($B24,Database!$B$1:$IX$10144,AF$22,FALSE)))</f>
        <v>45</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38.5</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Parashos IA, Tupler LA, Blitchington T, Krishnan KR.</v>
      </c>
      <c r="AR24" s="13"/>
      <c r="AX24" s="13"/>
      <c r="AY24" s="13"/>
      <c r="AZ24" s="13"/>
      <c r="BA24" s="13"/>
      <c r="BC24" s="23"/>
      <c r="BF24" s="136"/>
      <c r="BG24" s="136"/>
      <c r="BH24" s="136"/>
      <c r="BI24" s="136"/>
    </row>
    <row r="25" spans="1:65">
      <c r="A25" s="10"/>
      <c r="B25">
        <v>10693154</v>
      </c>
      <c r="C25" s="1" t="str">
        <f>IF($B25="","",HYPERLINK(IF(LEN(VLOOKUP($B25,Database!$B$1:$IX$10144,2,FALSE))=0,"",VLOOKUP($B25,Database!$B$1:$IX$10144,2,FALSE))))</f>
        <v/>
      </c>
      <c r="D25" s="1" t="str">
        <f t="shared" si="0"/>
        <v>http://www.ncbi.nlm.nih.gov/pubmed/10693154</v>
      </c>
      <c r="E25" s="22" t="str">
        <f>IF($B25="","",IF(LEN(VLOOKUP($B25,Database!$B$1:$IX$10144,4,FALSE))=0,"",VLOOKUP($B25,Database!$B$1:$IX$10144,4,FALSE)))</f>
        <v>Kumar A (A)</v>
      </c>
      <c r="F25" s="22">
        <f>IF($B25="","",IF(LEN(VLOOKUP($B25,Database!$B$1:$IX$10144,5,FALSE))=0,"",VLOOKUP($B25,Database!$B$1:$IX$10144,5,FALSE)))</f>
        <v>2000</v>
      </c>
      <c r="G25" s="1" t="str">
        <f>IF($B25="","",HYPERLINK(IF(LEN(VLOOKUP($B25,Database!$B$1:$IX$10144,6,FALSE))=0,"",VLOOKUP($B25,Database!$B$1:$IX$10144,6,FALSE))))</f>
        <v>http://www.nature.com/npp/journal/v22/n3/pdf/1395448a.pdf</v>
      </c>
      <c r="H25" s="22">
        <f>IF($B25="","",IF(LEN(VLOOKUP($B25,Database!$B$1:$IX$10144,7,FALSE))=0,"",VLOOKUP($B25,Database!$B$1:$IX$10144,7,FALSE)))</f>
        <v>51</v>
      </c>
      <c r="I25" s="22">
        <f>IF($B25="","",IF(LEN(VLOOKUP($B25,Database!$B$1:$IX$10144,8,FALSE))=0,"",VLOOKUP($B25,Database!$B$1:$IX$10144,8,FALSE)))</f>
        <v>30</v>
      </c>
      <c r="J25" t="s">
        <v>1059</v>
      </c>
      <c r="K25" t="s">
        <v>712</v>
      </c>
      <c r="T25">
        <v>168.03</v>
      </c>
      <c r="U25">
        <v>30.8</v>
      </c>
      <c r="V25">
        <v>197.51</v>
      </c>
      <c r="W25">
        <v>31.09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74.3</v>
      </c>
      <c r="AC25" s="22">
        <f>IF(OR($B25="",AC$22=""),"",IF(LEN(VLOOKUP($B25,Database!$B$1:$IX$10144,AC$22,FALSE))=0,"",VLOOKUP($B25,Database!$B$1:$IX$10144,AC$22,FALSE)))</f>
        <v>6.56</v>
      </c>
      <c r="AD25" s="22">
        <f>IF(OR($B25="",AD$22=""),"",IF(LEN(VLOOKUP($B25,Database!$B$1:$IX$10144,AD$22,FALSE))=0,"",VLOOKUP($B25,Database!$B$1:$IX$10144,AD$22,FALSE)))</f>
        <v>69.430000000000007</v>
      </c>
      <c r="AE25" s="22">
        <f>IF(OR($B25="",AE$22=""),"",IF(LEN(VLOOKUP($B25,Database!$B$1:$IX$10144,AE$22,FALSE))=0,"",VLOOKUP($B25,Database!$B$1:$IX$10144,AE$22,FALSE)))</f>
        <v>6.09</v>
      </c>
      <c r="AF25" s="22">
        <f>IF(OR($B25="",AF$22=""),"",IF(LEN(VLOOKUP($B25,Database!$B$1:$IX$10144,AF$22,FALSE))=0,"",VLOOKUP($B25,Database!$B$1:$IX$10144,AF$22,FALSE)))</f>
        <v>36</v>
      </c>
      <c r="AG25" s="22">
        <f>IF(OR($B25="",AG$22=""),"",IF(LEN(VLOOKUP($B25,Database!$B$1:$IX$10144,AG$22,FALSE))=0,"",VLOOKUP($B25,Database!$B$1:$IX$10144,AG$22,FALSE)))</f>
        <v>23</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19.8</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Kumar A, Bilker W, Jin Z, Udupa J.</v>
      </c>
      <c r="AR25" s="13"/>
      <c r="AX25" s="13"/>
      <c r="AY25" s="13"/>
      <c r="AZ25" s="13"/>
      <c r="BA25" s="13"/>
      <c r="BC25" s="23"/>
      <c r="BF25" s="136"/>
      <c r="BG25" s="136"/>
      <c r="BH25" s="136"/>
      <c r="BI25" s="136"/>
    </row>
    <row r="26" spans="1:65">
      <c r="B26">
        <v>12785469</v>
      </c>
      <c r="C26" s="1" t="str">
        <f>IF($B26="","",HYPERLINK(IF(LEN(VLOOKUP($B26,Database!$B$1:$IX$10144,2,FALSE))=0,"",VLOOKUP($B26,Database!$B$1:$IX$10144,2,FALSE))))</f>
        <v/>
      </c>
      <c r="D26" s="1" t="str">
        <f t="shared" si="0"/>
        <v>http://www.ncbi.nlm.nih.gov/pubmed/12785469</v>
      </c>
      <c r="E26" s="22" t="str">
        <f>IF($B26="","",IF(LEN(VLOOKUP($B26,Database!$B$1:$IX$10144,4,FALSE))=0,"",VLOOKUP($B26,Database!$B$1:$IX$10144,4,FALSE)))</f>
        <v>Almeida OP</v>
      </c>
      <c r="F26" s="22">
        <f>IF($B26="","",IF(LEN(VLOOKUP($B26,Database!$B$1:$IX$10144,5,FALSE))=0,"",VLOOKUP($B26,Database!$B$1:$IX$10144,5,FALSE)))</f>
        <v>2003</v>
      </c>
      <c r="G26" s="1" t="str">
        <f>IF($B26="","",HYPERLINK(IF(LEN(VLOOKUP($B26,Database!$B$1:$IX$10144,6,FALSE))=0,"",VLOOKUP($B26,Database!$B$1:$IX$10144,6,FALSE))))</f>
        <v>http://dx.doi.org/10.1017/S003329170300758X</v>
      </c>
      <c r="H26" s="83">
        <v>24</v>
      </c>
      <c r="I26" s="83">
        <v>18.5</v>
      </c>
      <c r="J26" t="s">
        <v>680</v>
      </c>
      <c r="K26" t="s">
        <v>399</v>
      </c>
      <c r="L26">
        <v>48131</v>
      </c>
      <c r="M26">
        <v>9899</v>
      </c>
      <c r="N26">
        <v>47749</v>
      </c>
      <c r="O26">
        <v>7031</v>
      </c>
      <c r="P26">
        <v>50904</v>
      </c>
      <c r="Q26">
        <v>9013</v>
      </c>
      <c r="R26">
        <v>49590</v>
      </c>
      <c r="S26">
        <v>6838</v>
      </c>
      <c r="T26">
        <v>99036</v>
      </c>
      <c r="U26">
        <v>18349</v>
      </c>
      <c r="V26">
        <v>97339</v>
      </c>
      <c r="W26">
        <v>13581</v>
      </c>
      <c r="Y26" s="22" t="str">
        <f>IF(OR($B26="",Y$22=""),"",IF(LEN(VLOOKUP($B26,Database!$B$1:$IX$10144,Y$22,FALSE))=0,"",VLOOKUP($B26,Database!$B$1:$IX$10144,Y$22,FALSE)))</f>
        <v>DSM-IV</v>
      </c>
      <c r="Z26" s="22" t="str">
        <f>IF(OR($B26="",Z$22=""),"",IF(LEN(VLOOKUP($B26,Database!$B$1:$IX$10144,Z$22,FALSE))=0,"",VLOOKUP($B26,Database!$B$1:$IX$10144,Z$22,FALSE)))</f>
        <v>MRI</v>
      </c>
      <c r="AA26" s="22" t="s">
        <v>2445</v>
      </c>
      <c r="AB26" s="83">
        <v>72.8</v>
      </c>
      <c r="AC26" s="22" t="str">
        <f>IF(OR($B26="",AC$22=""),"",IF(LEN(VLOOKUP($B26,Database!$B$1:$IX$10144,AC$22,FALSE))=0,"",VLOOKUP($B26,Database!$B$1:$IX$10144,AC$22,FALSE)))</f>
        <v/>
      </c>
      <c r="AD26" s="22">
        <f>IF(OR($B26="",AD$22=""),"",IF(LEN(VLOOKUP($B26,Database!$B$1:$IX$10144,AD$22,FALSE))=0,"",VLOOKUP($B26,Database!$B$1:$IX$10144,AD$22,FALSE)))</f>
        <v>72.900000000000006</v>
      </c>
      <c r="AE26" s="22">
        <f>IF(OR($B26="",AE$22=""),"",IF(LEN(VLOOKUP($B26,Database!$B$1:$IX$10144,AE$22,FALSE))=0,"",VLOOKUP($B26,Database!$B$1:$IX$10144,AE$22,FALSE)))</f>
        <v>6.83</v>
      </c>
      <c r="AF26" s="83">
        <v>23</v>
      </c>
      <c r="AG26" s="22">
        <f>IF(OR($B26="",AG$22=""),"",IF(LEN(VLOOKUP($B26,Database!$B$1:$IX$10144,AG$22,FALSE))=0,"",VLOOKUP($B26,Database!$B$1:$IX$10144,AG$22,FALSE)))</f>
        <v>27</v>
      </c>
      <c r="AH26" s="22">
        <f>IF(OR($B26="",AH$22=""),"",IF(LEN(VLOOKUP($B26,Database!$B$1:$IX$10144,AH$22,FALSE))=0,"",VLOOKUP($B26,Database!$B$1:$IX$10144,AH$22,FALSE)))</f>
        <v>1</v>
      </c>
      <c r="AI26" s="22">
        <f>IF(OR($B26="",AI$22=""),"",IF(LEN(VLOOKUP($B26,Database!$B$1:$IX$10144,AI$22,FALSE))=0,"",VLOOKUP($B26,Database!$B$1:$IX$10144,AI$22,FALSE)))</f>
        <v>1</v>
      </c>
      <c r="AJ26" s="22" t="str">
        <f>IF(OR($B26="",AJ$22=""),"",IF(LEN(VLOOKUP($B26,Database!$B$1:$IX$10144,AJ$22,FALSE))=0,"",VLOOKUP($B26,Database!$B$1:$IX$10144,AJ$22,FALSE)))</f>
        <v/>
      </c>
      <c r="AK26" s="83">
        <v>39.200000000000003</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Almeida OP, Burton EJ, Ferrier N, McKeith IG, O'Brien JT.</v>
      </c>
      <c r="AR26" s="13"/>
      <c r="AU26" s="22"/>
      <c r="AX26" s="13"/>
      <c r="AY26" s="13"/>
      <c r="AZ26" s="13"/>
      <c r="BA26" s="13"/>
      <c r="BC26" s="23"/>
      <c r="BF26" s="136"/>
      <c r="BG26" s="136"/>
      <c r="BH26" s="136"/>
      <c r="BI26" s="136"/>
    </row>
    <row r="27" spans="1:65">
      <c r="B27">
        <v>12785469</v>
      </c>
      <c r="C27" s="1" t="str">
        <f>IF($B27="","",HYPERLINK(IF(LEN(VLOOKUP($B27,Database!$B$1:$IX$10144,2,FALSE))=0,"",VLOOKUP($B27,Database!$B$1:$IX$10144,2,FALSE))))</f>
        <v/>
      </c>
      <c r="D27" s="1" t="str">
        <f t="shared" si="0"/>
        <v>http://www.ncbi.nlm.nih.gov/pubmed/12785469</v>
      </c>
      <c r="E27" s="22" t="str">
        <f>IF($B27="","",IF(LEN(VLOOKUP($B27,Database!$B$1:$IX$10144,4,FALSE))=0,"",VLOOKUP($B27,Database!$B$1:$IX$10144,4,FALSE)))</f>
        <v>Almeida OP</v>
      </c>
      <c r="F27" s="22">
        <f>IF($B27="","",IF(LEN(VLOOKUP($B27,Database!$B$1:$IX$10144,5,FALSE))=0,"",VLOOKUP($B27,Database!$B$1:$IX$10144,5,FALSE)))</f>
        <v>2003</v>
      </c>
      <c r="G27" s="1" t="str">
        <f>IF($B27="","",HYPERLINK(IF(LEN(VLOOKUP($B27,Database!$B$1:$IX$10144,6,FALSE))=0,"",VLOOKUP($B27,Database!$B$1:$IX$10144,6,FALSE))))</f>
        <v>http://dx.doi.org/10.1017/S003329170300758X</v>
      </c>
      <c r="H27" s="83">
        <v>27</v>
      </c>
      <c r="I27" s="83">
        <v>18.5</v>
      </c>
      <c r="J27" t="s">
        <v>680</v>
      </c>
      <c r="K27" t="s">
        <v>400</v>
      </c>
      <c r="L27">
        <v>46461</v>
      </c>
      <c r="M27">
        <v>6284</v>
      </c>
      <c r="N27">
        <v>47749</v>
      </c>
      <c r="O27">
        <v>7031</v>
      </c>
      <c r="P27">
        <v>46829</v>
      </c>
      <c r="Q27">
        <v>7476</v>
      </c>
      <c r="R27">
        <v>49590</v>
      </c>
      <c r="S27">
        <v>6838</v>
      </c>
      <c r="T27">
        <v>93291</v>
      </c>
      <c r="U27">
        <v>13216</v>
      </c>
      <c r="V27">
        <v>97339</v>
      </c>
      <c r="W27">
        <v>13581</v>
      </c>
      <c r="Y27" s="22" t="str">
        <f>IF(OR($B27="",Y$22=""),"",IF(LEN(VLOOKUP($B27,Database!$B$1:$IX$10144,Y$22,FALSE))=0,"",VLOOKUP($B27,Database!$B$1:$IX$10144,Y$22,FALSE)))</f>
        <v>DSM-IV</v>
      </c>
      <c r="Z27" s="22" t="str">
        <f>IF(OR($B27="",Z$22=""),"",IF(LEN(VLOOKUP($B27,Database!$B$1:$IX$10144,Z$22,FALSE))=0,"",VLOOKUP($B27,Database!$B$1:$IX$10144,Z$22,FALSE)))</f>
        <v>MRI</v>
      </c>
      <c r="AA27" s="22" t="s">
        <v>2446</v>
      </c>
      <c r="AB27" s="83">
        <v>75.5</v>
      </c>
      <c r="AC27" s="22" t="str">
        <f>IF(OR($B27="",AC$22=""),"",IF(LEN(VLOOKUP($B27,Database!$B$1:$IX$10144,AC$22,FALSE))=0,"",VLOOKUP($B27,Database!$B$1:$IX$10144,AC$22,FALSE)))</f>
        <v/>
      </c>
      <c r="AD27" s="22">
        <f>IF(OR($B27="",AD$22=""),"",IF(LEN(VLOOKUP($B27,Database!$B$1:$IX$10144,AD$22,FALSE))=0,"",VLOOKUP($B27,Database!$B$1:$IX$10144,AD$22,FALSE)))</f>
        <v>72.900000000000006</v>
      </c>
      <c r="AE27" s="22">
        <f>IF(OR($B27="",AE$22=""),"",IF(LEN(VLOOKUP($B27,Database!$B$1:$IX$10144,AE$22,FALSE))=0,"",VLOOKUP($B27,Database!$B$1:$IX$10144,AE$22,FALSE)))</f>
        <v>6.83</v>
      </c>
      <c r="AF27" s="83">
        <v>18</v>
      </c>
      <c r="AG27" s="22">
        <f>IF(OR($B27="",AG$22=""),"",IF(LEN(VLOOKUP($B27,Database!$B$1:$IX$10144,AG$22,FALSE))=0,"",VLOOKUP($B27,Database!$B$1:$IX$10144,AG$22,FALSE)))</f>
        <v>27</v>
      </c>
      <c r="AH27" s="22">
        <f>IF(OR($B27="",AH$22=""),"",IF(LEN(VLOOKUP($B27,Database!$B$1:$IX$10144,AH$22,FALSE))=0,"",VLOOKUP($B27,Database!$B$1:$IX$10144,AH$22,FALSE)))</f>
        <v>1</v>
      </c>
      <c r="AI27" s="22">
        <f>IF(OR($B27="",AI$22=""),"",IF(LEN(VLOOKUP($B27,Database!$B$1:$IX$10144,AI$22,FALSE))=0,"",VLOOKUP($B27,Database!$B$1:$IX$10144,AI$22,FALSE)))</f>
        <v>1</v>
      </c>
      <c r="AJ27" s="22" t="str">
        <f>IF(OR($B27="",AJ$22=""),"",IF(LEN(VLOOKUP($B27,Database!$B$1:$IX$10144,AJ$22,FALSE))=0,"",VLOOKUP($B27,Database!$B$1:$IX$10144,AJ$22,FALSE)))</f>
        <v/>
      </c>
      <c r="AK27" s="83">
        <v>72.400000000000006</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Almeida OP, Burton EJ, Ferrier N, McKeith IG, O'Brien JT.</v>
      </c>
      <c r="AR27" s="13"/>
      <c r="AU27" s="22"/>
      <c r="AX27" s="13"/>
      <c r="AY27" s="13"/>
      <c r="AZ27" s="13"/>
      <c r="BA27" s="13"/>
      <c r="BC27" s="23"/>
      <c r="BF27" s="136"/>
      <c r="BG27" s="136"/>
      <c r="BH27" s="136"/>
      <c r="BI27" s="136"/>
    </row>
    <row r="28" spans="1:65">
      <c r="A28" t="s">
        <v>262</v>
      </c>
      <c r="B28">
        <v>16086609</v>
      </c>
      <c r="C28" s="1" t="str">
        <f>IF($B28="","",HYPERLINK(IF(LEN(VLOOKUP($B28,Database!$B$1:$IX$10144,2,FALSE))=0,"",VLOOKUP($B28,Database!$B$1:$IX$10144,2,FALSE))))</f>
        <v/>
      </c>
      <c r="D28" s="1" t="str">
        <f t="shared" si="0"/>
        <v>http://www.ncbi.nlm.nih.gov/pubmed/16086609</v>
      </c>
      <c r="E28" s="22" t="str">
        <f>IF($B28="","",IF(LEN(VLOOKUP($B28,Database!$B$1:$IX$10144,4,FALSE))=0,"",VLOOKUP($B28,Database!$B$1:$IX$10144,4,FALSE)))</f>
        <v>Lavretsky H</v>
      </c>
      <c r="F28" s="22">
        <f>IF($B28="","",IF(LEN(VLOOKUP($B28,Database!$B$1:$IX$10144,5,FALSE))=0,"",VLOOKUP($B28,Database!$B$1:$IX$10144,5,FALSE)))</f>
        <v>2005</v>
      </c>
      <c r="G28" s="1" t="str">
        <f>IF($B28="","",HYPERLINK(IF(LEN(VLOOKUP($B28,Database!$B$1:$IX$10144,6,FALSE))=0,"",VLOOKUP($B28,Database!$B$1:$IX$10144,6,FALSE))))</f>
        <v>http://www.psychiatrist.com/privatepdf/2005/v66n08/v66n0801.pdf</v>
      </c>
      <c r="H28" s="83">
        <v>11</v>
      </c>
      <c r="I28" s="83">
        <v>20.5</v>
      </c>
      <c r="J28" t="s">
        <v>1246</v>
      </c>
      <c r="K28" t="s">
        <v>1245</v>
      </c>
      <c r="L28">
        <v>0.11799999999999999</v>
      </c>
      <c r="M28">
        <v>6.0000000000000001E-3</v>
      </c>
      <c r="N28">
        <v>0.11700000000000001</v>
      </c>
      <c r="O28">
        <v>8.0000000000000002E-3</v>
      </c>
      <c r="P28">
        <v>0.11799999999999999</v>
      </c>
      <c r="Q28">
        <v>8.0000000000000002E-3</v>
      </c>
      <c r="R28">
        <v>0.11799999999999999</v>
      </c>
      <c r="S28">
        <v>6.0000000000000001E-3</v>
      </c>
      <c r="T28">
        <v>0.23599999999999999</v>
      </c>
      <c r="U28">
        <v>1.9E-2</v>
      </c>
      <c r="V28">
        <v>0.23599999999999999</v>
      </c>
      <c r="W28">
        <v>1.6E-2</v>
      </c>
      <c r="Y28" s="22" t="str">
        <f>IF(OR($B28="",Y$22=""),"",IF(LEN(VLOOKUP($B28,Database!$B$1:$IX$10144,Y$22,FALSE))=0,"",VLOOKUP($B28,Database!$B$1:$IX$10144,Y$22,FALSE)))</f>
        <v>DSM-IV</v>
      </c>
      <c r="Z28" s="22" t="str">
        <f>IF(OR($B28="",Z$22=""),"",IF(LEN(VLOOKUP($B28,Database!$B$1:$IX$10144,Z$22,FALSE))=0,"",VLOOKUP($B28,Database!$B$1:$IX$10144,Z$22,FALSE)))</f>
        <v>MRI</v>
      </c>
      <c r="AA28" s="22" t="s">
        <v>2455</v>
      </c>
      <c r="AB28" s="83">
        <v>67.400000000000006</v>
      </c>
      <c r="AC28" s="83">
        <v>6.1</v>
      </c>
      <c r="AD28" s="22">
        <f>IF(OR($B28="",AD$22=""),"",IF(LEN(VLOOKUP($B28,Database!$B$1:$IX$10144,AD$22,FALSE))=0,"",VLOOKUP($B28,Database!$B$1:$IX$10144,AD$22,FALSE)))</f>
        <v>72.2</v>
      </c>
      <c r="AE28" s="22">
        <f>IF(OR($B28="",AE$22=""),"",IF(LEN(VLOOKUP($B28,Database!$B$1:$IX$10144,AE$22,FALSE))=0,"",VLOOKUP($B28,Database!$B$1:$IX$10144,AE$22,FALSE)))</f>
        <v>7.3</v>
      </c>
      <c r="AF28" s="83">
        <v>7</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83">
        <v>36.4</v>
      </c>
      <c r="AL28" s="83">
        <v>17.7</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Roybal DJ, Ballmaier M, Toga AW, Kumar A.</v>
      </c>
      <c r="AR28" s="13"/>
      <c r="AU28" s="22"/>
      <c r="AX28" s="13"/>
      <c r="AY28" s="13"/>
      <c r="AZ28" s="13"/>
      <c r="BA28" s="13"/>
      <c r="BC28" s="23"/>
      <c r="BF28" s="136"/>
      <c r="BG28" s="136"/>
      <c r="BH28" s="136"/>
      <c r="BI28" s="136"/>
    </row>
    <row r="29" spans="1:65">
      <c r="A29" t="s">
        <v>262</v>
      </c>
      <c r="B29">
        <v>16086609</v>
      </c>
      <c r="C29" s="1" t="str">
        <f>IF($B29="","",HYPERLINK(IF(LEN(VLOOKUP($B29,Database!$B$1:$IX$10144,2,FALSE))=0,"",VLOOKUP($B29,Database!$B$1:$IX$10144,2,FALSE))))</f>
        <v/>
      </c>
      <c r="D29" s="1" t="str">
        <f t="shared" si="0"/>
        <v>http://www.ncbi.nlm.nih.gov/pubmed/16086609</v>
      </c>
      <c r="E29" s="22" t="str">
        <f>IF($B29="","",IF(LEN(VLOOKUP($B29,Database!$B$1:$IX$10144,4,FALSE))=0,"",VLOOKUP($B29,Database!$B$1:$IX$10144,4,FALSE)))</f>
        <v>Lavretsky H</v>
      </c>
      <c r="F29" s="22">
        <f>IF($B29="","",IF(LEN(VLOOKUP($B29,Database!$B$1:$IX$10144,5,FALSE))=0,"",VLOOKUP($B29,Database!$B$1:$IX$10144,5,FALSE)))</f>
        <v>2005</v>
      </c>
      <c r="G29" s="1" t="str">
        <f>IF($B29="","",HYPERLINK(IF(LEN(VLOOKUP($B29,Database!$B$1:$IX$10144,6,FALSE))=0,"",VLOOKUP($B29,Database!$B$1:$IX$10144,6,FALSE))))</f>
        <v>http://www.psychiatrist.com/privatepdf/2005/v66n08/v66n0801.pdf</v>
      </c>
      <c r="H29" s="83">
        <v>30</v>
      </c>
      <c r="I29" s="83">
        <v>20.5</v>
      </c>
      <c r="J29" t="s">
        <v>1246</v>
      </c>
      <c r="K29" t="s">
        <v>231</v>
      </c>
      <c r="L29">
        <v>0.11600000000000001</v>
      </c>
      <c r="M29">
        <v>0.01</v>
      </c>
      <c r="N29">
        <v>0.11700000000000001</v>
      </c>
      <c r="O29">
        <v>8.0000000000000002E-3</v>
      </c>
      <c r="P29">
        <v>0.11700000000000001</v>
      </c>
      <c r="Q29">
        <v>8.0000000000000002E-3</v>
      </c>
      <c r="R29">
        <v>0.11799999999999999</v>
      </c>
      <c r="S29">
        <v>6.0000000000000001E-3</v>
      </c>
      <c r="T29">
        <v>0.23300000000000001</v>
      </c>
      <c r="U29">
        <v>1.7000000000000001E-2</v>
      </c>
      <c r="V29">
        <v>0.23599999999999999</v>
      </c>
      <c r="W29">
        <v>1.6E-2</v>
      </c>
      <c r="Y29" s="22" t="str">
        <f>IF(OR($B29="",Y$22=""),"",IF(LEN(VLOOKUP($B29,Database!$B$1:$IX$10144,Y$22,FALSE))=0,"",VLOOKUP($B29,Database!$B$1:$IX$10144,Y$22,FALSE)))</f>
        <v>DSM-IV</v>
      </c>
      <c r="Z29" s="22" t="str">
        <f>IF(OR($B29="",Z$22=""),"",IF(LEN(VLOOKUP($B29,Database!$B$1:$IX$10144,Z$22,FALSE))=0,"",VLOOKUP($B29,Database!$B$1:$IX$10144,Z$22,FALSE)))</f>
        <v>MRI</v>
      </c>
      <c r="AA29" s="22" t="s">
        <v>2456</v>
      </c>
      <c r="AB29" s="83">
        <v>71.7</v>
      </c>
      <c r="AC29" s="83">
        <v>7.8</v>
      </c>
      <c r="AD29" s="22">
        <f>IF(OR($B29="",AD$22=""),"",IF(LEN(VLOOKUP($B29,Database!$B$1:$IX$10144,AD$22,FALSE))=0,"",VLOOKUP($B29,Database!$B$1:$IX$10144,AD$22,FALSE)))</f>
        <v>72.2</v>
      </c>
      <c r="AE29" s="22">
        <f>IF(OR($B29="",AE$22=""),"",IF(LEN(VLOOKUP($B29,Database!$B$1:$IX$10144,AE$22,FALSE))=0,"",VLOOKUP($B29,Database!$B$1:$IX$10144,AE$22,FALSE)))</f>
        <v>7.3</v>
      </c>
      <c r="AF29" s="83">
        <v>25</v>
      </c>
      <c r="AG29" s="22">
        <f>IF(OR($B29="",AG$22=""),"",IF(LEN(VLOOKUP($B29,Database!$B$1:$IX$10144,AG$22,FALSE))=0,"",VLOOKUP($B29,Database!$B$1:$IX$10144,AG$22,FALSE)))</f>
        <v>20</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83">
        <v>52.5</v>
      </c>
      <c r="AL29" s="83">
        <v>17.7</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Lavretsky H, Roybal DJ, Ballmaier M, Toga AW, Kumar A.</v>
      </c>
      <c r="AR29" s="13"/>
      <c r="AU29" s="22"/>
      <c r="AX29" s="13"/>
      <c r="AY29" s="13"/>
      <c r="AZ29" s="13"/>
      <c r="BA29" s="13"/>
      <c r="BC29" s="23"/>
      <c r="BF29" s="136"/>
      <c r="BG29" s="136"/>
      <c r="BH29" s="136"/>
      <c r="BI29" s="136"/>
    </row>
    <row r="30" spans="1:65">
      <c r="C30" s="1"/>
      <c r="D30" s="1"/>
      <c r="E30" s="22"/>
      <c r="F30" s="22"/>
      <c r="G30" s="1"/>
      <c r="H30" s="83"/>
      <c r="I30" s="83"/>
      <c r="Y30" s="22"/>
      <c r="Z30" s="22"/>
      <c r="AA30" s="22"/>
      <c r="AB30" s="22"/>
      <c r="AC30" s="22"/>
      <c r="AD30" s="22"/>
      <c r="AE30" s="22"/>
      <c r="AF30" s="22"/>
      <c r="AG30" s="22"/>
      <c r="AH30" s="22"/>
      <c r="AI30" s="22"/>
      <c r="AJ30" s="22"/>
      <c r="AK30" s="22"/>
      <c r="AL30" s="22"/>
      <c r="AM30" s="22"/>
      <c r="AN30" s="22"/>
      <c r="AO30" s="22"/>
      <c r="AP30" s="22"/>
      <c r="AQ30" s="22"/>
      <c r="AR30" s="13"/>
      <c r="AX30" s="13"/>
      <c r="AY30" s="13"/>
      <c r="AZ30" s="13"/>
      <c r="BA30" s="13"/>
      <c r="BC30" s="23"/>
      <c r="BF30" s="136"/>
      <c r="BG30" s="136"/>
      <c r="BH30" s="136"/>
      <c r="BI30" s="136"/>
    </row>
    <row r="31" spans="1:65">
      <c r="A31" s="4" t="s">
        <v>397</v>
      </c>
      <c r="C31" s="1"/>
      <c r="D31" s="1"/>
      <c r="E31" s="22"/>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c r="AR31" s="13"/>
      <c r="AX31" s="13"/>
      <c r="AY31" s="13"/>
      <c r="AZ31" s="13"/>
      <c r="BA31" s="13"/>
      <c r="BC31" s="23"/>
      <c r="BF31" s="136"/>
      <c r="BG31" s="136"/>
      <c r="BH31" s="136"/>
      <c r="BI31" s="136"/>
    </row>
    <row r="32" spans="1:65">
      <c r="A32" s="4"/>
      <c r="B32">
        <v>10618023</v>
      </c>
      <c r="C32" s="1" t="str">
        <f>IF($B32="","",HYPERLINK(IF(LEN(VLOOKUP($B32,Database!$B$1:$IX$10144,2,FALSE))=0,"",VLOOKUP($B32,Database!$B$1:$IX$10144,2,FALSE))))</f>
        <v/>
      </c>
      <c r="D32" s="1" t="str">
        <f t="shared" si="0"/>
        <v>http://www.ncbi.nlm.nih.gov/pubmed/10618023</v>
      </c>
      <c r="E32" s="22" t="str">
        <f>IF($B32="","",IF(LEN(VLOOKUP($B32,Database!$B$1:$IX$10144,4,FALSE))=0,"",VLOOKUP($B32,Database!$B$1:$IX$10144,4,FALSE)))</f>
        <v>Bremner JD</v>
      </c>
      <c r="F32" s="22">
        <f>IF($B32="","",IF(LEN(VLOOKUP($B32,Database!$B$1:$IX$10144,5,FALSE))=0,"",VLOOKUP($B32,Database!$B$1:$IX$10144,5,FALSE)))</f>
        <v>2000</v>
      </c>
      <c r="G32" s="1" t="str">
        <f>IF($B32="","",HYPERLINK(IF(LEN(VLOOKUP($B32,Database!$B$1:$IX$10144,6,FALSE))=0,"",VLOOKUP($B32,Database!$B$1:$IX$10144,6,FALSE))))</f>
        <v>http://ajp.psychiatryonline.org/cgi/reprint/157/1/115</v>
      </c>
      <c r="H32" s="22">
        <f>IF($B32="","",IF(LEN(VLOOKUP($B32,Database!$B$1:$IX$10144,7,FALSE))=0,"",VLOOKUP($B32,Database!$B$1:$IX$10144,7,FALSE)))</f>
        <v>16</v>
      </c>
      <c r="I32" s="22">
        <f>IF($B32="","",IF(LEN(VLOOKUP($B32,Database!$B$1:$IX$10144,8,FALSE))=0,"",VLOOKUP($B32,Database!$B$1:$IX$10144,8,FALSE)))</f>
        <v>16</v>
      </c>
      <c r="J32" t="s">
        <v>1074</v>
      </c>
      <c r="K32" t="s">
        <v>1032</v>
      </c>
      <c r="L32">
        <v>140856</v>
      </c>
      <c r="M32">
        <v>41597</v>
      </c>
      <c r="N32">
        <v>154267</v>
      </c>
      <c r="O32">
        <v>24141</v>
      </c>
      <c r="P32">
        <v>143101</v>
      </c>
      <c r="Q32">
        <v>45265</v>
      </c>
      <c r="R32">
        <v>164471</v>
      </c>
      <c r="S32">
        <v>27150</v>
      </c>
      <c r="T32">
        <f>L32+P32</f>
        <v>283957</v>
      </c>
      <c r="U32">
        <f>2*SQRT(0.25*(M32^2+Q32^2+2*$F$8*M32*Q32))</f>
        <v>82412.69175315171</v>
      </c>
      <c r="V32">
        <f>N32+R32</f>
        <v>318738</v>
      </c>
      <c r="W32">
        <f>2*SQRT(0.25*(O32^2+S32^2+2*$F$8*O32*S32))</f>
        <v>48668.217770943702</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43</v>
      </c>
      <c r="AC32" s="22">
        <f>IF(OR($B32="",AC$22=""),"",IF(LEN(VLOOKUP($B32,Database!$B$1:$IX$10144,AC$22,FALSE))=0,"",VLOOKUP($B32,Database!$B$1:$IX$10144,AC$22,FALSE)))</f>
        <v>8</v>
      </c>
      <c r="AD32" s="22">
        <f>IF(OR($B32="",AD$22=""),"",IF(LEN(VLOOKUP($B32,Database!$B$1:$IX$10144,AD$22,FALSE))=0,"",VLOOKUP($B32,Database!$B$1:$IX$10144,AD$22,FALSE)))</f>
        <v>45</v>
      </c>
      <c r="AE32" s="22">
        <f>IF(OR($B32="",AE$22=""),"",IF(LEN(VLOOKUP($B32,Database!$B$1:$IX$10144,AE$22,FALSE))=0,"",VLOOKUP($B32,Database!$B$1:$IX$10144,AE$22,FALSE)))</f>
        <v>10</v>
      </c>
      <c r="AF32" s="22">
        <f>IF(OR($B32="",AF$22=""),"",IF(LEN(VLOOKUP($B32,Database!$B$1:$IX$10144,AF$22,FALSE))=0,"",VLOOKUP($B32,Database!$B$1:$IX$10144,AF$22,FALSE)))</f>
        <v>6</v>
      </c>
      <c r="AG32" s="22">
        <f>IF(OR($B32="",AG$22=""),"",IF(LEN(VLOOKUP($B32,Database!$B$1:$IX$10144,AG$22,FALSE))=0,"",VLOOKUP($B32,Database!$B$1:$IX$10144,AG$22,FALSE)))</f>
        <v>6</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f>IF(OR($B32="",AM$22=""),"",IF(LEN(VLOOKUP($B32,Database!$B$1:$IX$10144,AM$22,FALSE))=0,"",VLOOKUP($B32,Database!$B$1:$IX$10144,AM$22,FALSE)))</f>
        <v>100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0</v>
      </c>
      <c r="AQ32" s="22" t="str">
        <f>IF(OR($B32="",AQ$22=""),"",IF(LEN(VLOOKUP($B32,Database!$B$1:$IX$10144,AQ$22,FALSE))=0,"",VLOOKUP($B32,Database!$B$1:$IX$10144,AQ$22,FALSE)))</f>
        <v>Bremner JD, Narayan M, Anderson ER, Staib LH, Miller HL, Charney DS.</v>
      </c>
      <c r="AR32" s="13"/>
      <c r="AX32" s="13"/>
      <c r="AY32" s="13"/>
      <c r="AZ32" s="13"/>
      <c r="BA32" s="13"/>
      <c r="BC32" s="23"/>
      <c r="BF32" s="136"/>
      <c r="BG32" s="136"/>
      <c r="BH32" s="136"/>
      <c r="BI32" s="136"/>
    </row>
    <row r="33" spans="1:61">
      <c r="A33" s="4"/>
      <c r="B33">
        <v>11200955</v>
      </c>
      <c r="C33" s="1" t="str">
        <f>IF($B33="","",HYPERLINK(IF(LEN(VLOOKUP($B33,Database!$B$1:$IX$10144,2,FALSE))=0,"",VLOOKUP($B33,Database!$B$1:$IX$10144,2,FALSE))))</f>
        <v/>
      </c>
      <c r="D33" s="1" t="str">
        <f t="shared" si="0"/>
        <v>http://www.ncbi.nlm.nih.gov/pubmed/11200955</v>
      </c>
      <c r="E33" s="22" t="str">
        <f>IF($B33="","",IF(LEN(VLOOKUP($B33,Database!$B$1:$IX$10144,4,FALSE))=0,"",VLOOKUP($B33,Database!$B$1:$IX$10144,4,FALSE)))</f>
        <v>McIntosh AM</v>
      </c>
      <c r="F33" s="22">
        <f>IF($B33="","",IF(LEN(VLOOKUP($B33,Database!$B$1:$IX$10144,5,FALSE))=0,"",VLOOKUP($B33,Database!$B$1:$IX$10144,5,FALSE)))</f>
        <v>2001</v>
      </c>
      <c r="G33" s="1" t="str">
        <f>IF($B33="","",HYPERLINK(IF(LEN(VLOOKUP($B33,Database!$B$1:$IX$10144,6,FALSE))=0,"",VLOOKUP($B33,Database!$B$1:$IX$10144,6,FALSE))))</f>
        <v>http://dx.doi.org/10.1017/S0033291799003177</v>
      </c>
      <c r="H33" s="22">
        <f>IF($B33="","",IF(LEN(VLOOKUP($B33,Database!$B$1:$IX$10144,7,FALSE))=0,"",VLOOKUP($B33,Database!$B$1:$IX$10144,7,FALSE)))</f>
        <v>9</v>
      </c>
      <c r="I33" s="22">
        <f>IF($B33="","",IF(LEN(VLOOKUP($B33,Database!$B$1:$IX$10144,8,FALSE))=0,"",VLOOKUP($B33,Database!$B$1:$IX$10144,8,FALSE)))</f>
        <v>29</v>
      </c>
      <c r="J33" t="s">
        <v>480</v>
      </c>
      <c r="K33" s="10"/>
      <c r="L33">
        <v>64773</v>
      </c>
      <c r="M33">
        <v>4063</v>
      </c>
      <c r="N33">
        <v>70119</v>
      </c>
      <c r="O33">
        <v>9715</v>
      </c>
      <c r="P33">
        <v>71458</v>
      </c>
      <c r="Q33">
        <v>4891</v>
      </c>
      <c r="R33">
        <v>74159</v>
      </c>
      <c r="S33">
        <v>10322</v>
      </c>
      <c r="T33">
        <f>L33+P33</f>
        <v>136231</v>
      </c>
      <c r="U33">
        <f>2*SQRT(0.25*(M33^2+Q33^2+2*$F$8*M33*Q33))</f>
        <v>8498.544746013873</v>
      </c>
      <c r="V33">
        <f>N33+R33</f>
        <v>144278</v>
      </c>
      <c r="W33">
        <f>2*SQRT(0.25*(O33^2+S33^2+2*$F$8*O33*S33))</f>
        <v>19009.736373763841</v>
      </c>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43.56</v>
      </c>
      <c r="AC33" s="22">
        <f>IF(OR($B33="",AC$22=""),"",IF(LEN(VLOOKUP($B33,Database!$B$1:$IX$10144,AC$22,FALSE))=0,"",VLOOKUP($B33,Database!$B$1:$IX$10144,AC$22,FALSE)))</f>
        <v>9.3800000000000008</v>
      </c>
      <c r="AD33" s="22">
        <f>IF(OR($B33="",AD$22=""),"",IF(LEN(VLOOKUP($B33,Database!$B$1:$IX$10144,AD$22,FALSE))=0,"",VLOOKUP($B33,Database!$B$1:$IX$10144,AD$22,FALSE)))</f>
        <v>42.76</v>
      </c>
      <c r="AE33" s="22">
        <f>IF(OR($B33="",AE$22=""),"",IF(LEN(VLOOKUP($B33,Database!$B$1:$IX$10144,AE$22,FALSE))=0,"",VLOOKUP($B33,Database!$B$1:$IX$10144,AE$22,FALSE)))</f>
        <v>9.91</v>
      </c>
      <c r="AF33" s="22">
        <f>IF(OR($B33="",AF$22=""),"",IF(LEN(VLOOKUP($B33,Database!$B$1:$IX$10144,AF$22,FALSE))=0,"",VLOOKUP($B33,Database!$B$1:$IX$10144,AF$22,FALSE)))</f>
        <v>5</v>
      </c>
      <c r="AG33" s="22">
        <f>IF(OR($B33="",AG$22=""),"",IF(LEN(VLOOKUP($B33,Database!$B$1:$IX$10144,AG$22,FALSE))=0,"",VLOOKUP($B33,Database!$B$1:$IX$10144,AG$22,FALSE)))</f>
        <v>16</v>
      </c>
      <c r="AH33" s="22">
        <f>IF(OR($B33="",AH$22=""),"",IF(LEN(VLOOKUP($B33,Database!$B$1:$IX$10144,AH$22,FALSE))=0,"",VLOOKUP($B33,Database!$B$1:$IX$10144,AH$22,FALSE)))</f>
        <v>1</v>
      </c>
      <c r="AI33" s="22">
        <f>IF(OR($B33="",AI$22=""),"",IF(LEN(VLOOKUP($B33,Database!$B$1:$IX$10144,AI$22,FALSE))=0,"",VLOOKUP($B33,Database!$B$1:$IX$10144,AI$22,FALSE)))</f>
        <v>1.88</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A. M. McINTOSH, A. FORRESTER, S.M. LAWRIE, M. BYRNE, A. HARPER, J. N. KESTELMAN, J. J. K. BEST, P. MILLER, E. C. JOHNSTONE and D. G. C. OWENS</v>
      </c>
      <c r="AR33" s="13"/>
      <c r="AX33" s="13"/>
      <c r="AY33" s="13"/>
      <c r="AZ33" s="13"/>
      <c r="BA33" s="13"/>
      <c r="BC33" s="23"/>
      <c r="BF33" s="136"/>
      <c r="BG33" s="136"/>
      <c r="BH33" s="136"/>
      <c r="BI33" s="136"/>
    </row>
    <row r="34" spans="1:61">
      <c r="A34" s="4"/>
      <c r="B34">
        <v>11825139</v>
      </c>
      <c r="C34" s="1" t="str">
        <f>IF($B34="","",HYPERLINK(IF(LEN(VLOOKUP($B34,Database!$B$1:$IX$10144,2,FALSE))=0,"",VLOOKUP($B34,Database!$B$1:$IX$10144,2,FALSE))))</f>
        <v/>
      </c>
      <c r="D34" s="1" t="str">
        <f t="shared" si="0"/>
        <v>http://www.ncbi.nlm.nih.gov/pubmed/11825139</v>
      </c>
      <c r="E34" s="22" t="str">
        <f>IF($B34="","",IF(LEN(VLOOKUP($B34,Database!$B$1:$IX$10144,4,FALSE))=0,"",VLOOKUP($B34,Database!$B$1:$IX$10144,4,FALSE)))</f>
        <v>Nolan CL</v>
      </c>
      <c r="F34" s="22">
        <f>IF($B34="","",IF(LEN(VLOOKUP($B34,Database!$B$1:$IX$10144,5,FALSE))=0,"",VLOOKUP($B34,Database!$B$1:$IX$10144,5,FALSE)))</f>
        <v>2002</v>
      </c>
      <c r="G34" s="1" t="str">
        <f>IF($B34="","",HYPERLINK(IF(LEN(VLOOKUP($B34,Database!$B$1:$IX$10144,6,FALSE))=0,"",VLOOKUP($B34,Database!$B$1:$IX$10144,6,FALSE))))</f>
        <v>http://archpsyc.ama-assn.org/cgi/reprint/59/2/173</v>
      </c>
      <c r="H34" s="22">
        <f>IF($B34="","",IF(LEN(VLOOKUP($B34,Database!$B$1:$IX$10144,7,FALSE))=0,"",VLOOKUP($B34,Database!$B$1:$IX$10144,7,FALSE)))</f>
        <v>22</v>
      </c>
      <c r="I34" s="22">
        <f>IF($B34="","",IF(LEN(VLOOKUP($B34,Database!$B$1:$IX$10144,8,FALSE))=0,"",VLOOKUP($B34,Database!$B$1:$IX$10144,8,FALSE)))</f>
        <v>22</v>
      </c>
      <c r="J34" t="s">
        <v>449</v>
      </c>
      <c r="K34" t="s">
        <v>448</v>
      </c>
      <c r="L34">
        <v>70.02</v>
      </c>
      <c r="M34">
        <v>11.15</v>
      </c>
      <c r="N34">
        <v>68.64</v>
      </c>
      <c r="O34">
        <v>9.7799999999999994</v>
      </c>
      <c r="P34">
        <v>78.3</v>
      </c>
      <c r="Q34">
        <v>11.52</v>
      </c>
      <c r="R34">
        <v>76.680000000000007</v>
      </c>
      <c r="S34">
        <v>11.79</v>
      </c>
      <c r="T34">
        <f>L34+P34</f>
        <v>148.32</v>
      </c>
      <c r="U34">
        <f>2*SQRT(0.25*(M34^2+Q34^2+2*$F$8*M34*Q34))</f>
        <v>21.506968638094957</v>
      </c>
      <c r="V34">
        <f>N34+R34</f>
        <v>145.32</v>
      </c>
      <c r="W34">
        <f>2*SQRT(0.25*(O34^2+S34^2+2*$F$8*O34*S34))</f>
        <v>20.472968031040345</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83">
        <v>13.7</v>
      </c>
      <c r="AC34" s="22" t="str">
        <f>IF(OR($B34="",AC$22=""),"",IF(LEN(VLOOKUP($B34,Database!$B$1:$IX$10144,AC$22,FALSE))=0,"",VLOOKUP($B34,Database!$B$1:$IX$10144,AC$22,FALSE)))</f>
        <v/>
      </c>
      <c r="AD34" s="22" t="str">
        <f>IF(OR($B34="",AD$22=""),"",IF(LEN(VLOOKUP($B34,Database!$B$1:$IX$10144,AD$22,FALSE))=0,"",VLOOKUP($B34,Database!$B$1:$IX$10144,AD$22,FALSE)))</f>
        <v/>
      </c>
      <c r="AE34" s="22" t="str">
        <f>IF(OR($B34="",AE$22=""),"",IF(LEN(VLOOKUP($B34,Database!$B$1:$IX$10144,AE$22,FALSE))=0,"",VLOOKUP($B34,Database!$B$1:$IX$10144,AE$22,FALSE)))</f>
        <v/>
      </c>
      <c r="AF34" s="22">
        <f>IF(OR($B34="",AF$22=""),"",IF(LEN(VLOOKUP($B34,Database!$B$1:$IX$10144,AF$22,FALSE))=0,"",VLOOKUP($B34,Database!$B$1:$IX$10144,AF$22,FALSE)))</f>
        <v>12</v>
      </c>
      <c r="AG34" s="22">
        <f>IF(OR($B34="",AG$22=""),"",IF(LEN(VLOOKUP($B34,Database!$B$1:$IX$10144,AG$22,FALSE))=0,"",VLOOKUP($B34,Database!$B$1:$IX$10144,AG$22,FALSE)))</f>
        <v>12</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12.18</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Nolan CL, Moore GJ, Madden R, Farchione T, Bartoi M, Lorch E, Stewart CM, Rosenberg DR.</v>
      </c>
      <c r="AR34" s="13"/>
      <c r="AX34" s="13"/>
      <c r="AY34" s="13"/>
      <c r="AZ34" s="13"/>
      <c r="BA34" s="13"/>
      <c r="BC34" s="23"/>
      <c r="BF34" s="136"/>
      <c r="BG34" s="136"/>
      <c r="BH34" s="136"/>
      <c r="BI34" s="136"/>
    </row>
    <row r="35" spans="1:61">
      <c r="A35" s="4"/>
      <c r="C35" s="1"/>
      <c r="D35" s="1"/>
      <c r="E35" s="22"/>
      <c r="F35" s="22"/>
      <c r="G35" s="1"/>
      <c r="H35" s="22"/>
      <c r="I35" s="22"/>
      <c r="Y35" s="22"/>
      <c r="Z35" s="22"/>
      <c r="AA35" s="22"/>
      <c r="AB35" s="22"/>
      <c r="AC35" s="22"/>
      <c r="AD35" s="22"/>
      <c r="AE35" s="22"/>
      <c r="AF35" s="22"/>
      <c r="AG35" s="22"/>
      <c r="AH35" s="22"/>
      <c r="AI35" s="22"/>
      <c r="AJ35" s="22"/>
      <c r="AK35" s="22"/>
      <c r="AL35" s="22"/>
      <c r="AM35" s="22"/>
      <c r="AN35" s="22"/>
      <c r="AO35" s="22"/>
      <c r="AP35" s="22"/>
      <c r="AQ35" s="22"/>
    </row>
    <row r="36" spans="1:61">
      <c r="A36" s="4" t="s">
        <v>346</v>
      </c>
      <c r="C36" s="1"/>
      <c r="D36" s="1"/>
      <c r="E36" s="22"/>
      <c r="F36" s="22"/>
      <c r="G36" s="1"/>
      <c r="H36" s="22"/>
      <c r="I36" s="22"/>
      <c r="Y36" s="22"/>
      <c r="Z36" s="22"/>
      <c r="AA36" s="22"/>
      <c r="AB36" s="22"/>
      <c r="AC36" s="22"/>
      <c r="AD36" s="22"/>
      <c r="AE36" s="22"/>
      <c r="AF36" s="22"/>
      <c r="AG36" s="22"/>
      <c r="AH36" s="22"/>
      <c r="AI36" s="22"/>
      <c r="AJ36" s="22"/>
      <c r="AK36" s="22"/>
      <c r="AL36" s="22"/>
      <c r="AM36" s="22"/>
      <c r="AN36" s="22"/>
      <c r="AO36" s="22"/>
      <c r="AP36" s="22"/>
      <c r="AQ36" s="22"/>
    </row>
    <row r="37" spans="1:61">
      <c r="A37" s="7" t="s">
        <v>2443</v>
      </c>
      <c r="B37">
        <v>20118461</v>
      </c>
      <c r="C37" s="1" t="str">
        <f>IF($B37="","",HYPERLINK(IF(LEN(VLOOKUP($B37,Database!$B$1:$IX$10144,2,FALSE))=0,"",VLOOKUP($B37,Database!$B$1:$IX$10144,2,FALSE))))</f>
        <v/>
      </c>
      <c r="D37" s="1" t="str">
        <f>IF($B37="","",HYPERLINK(CONCATENATE("http://www.ncbi.nlm.nih.gov/pubmed/",B37)))</f>
        <v>http://www.ncbi.nlm.nih.gov/pubmed/20118461</v>
      </c>
      <c r="E37" s="22" t="str">
        <f>IF($B37="","",IF(LEN(VLOOKUP($B37,Database!$B$1:$IX$10144,4,FALSE))=0,"",VLOOKUP($B37,Database!$B$1:$IX$10144,4,FALSE)))</f>
        <v>Köhler S</v>
      </c>
      <c r="F37" s="22">
        <f>IF($B37="","",IF(LEN(VLOOKUP($B37,Database!$B$1:$IX$10144,5,FALSE))=0,"",VLOOKUP($B37,Database!$B$1:$IX$10144,5,FALSE)))</f>
        <v>2010</v>
      </c>
      <c r="G37" s="1" t="str">
        <f>IF($B37="","",HYPERLINK(IF(LEN(VLOOKUP($B37,Database!$B$1:$IX$10144,6,FALSE))=0,"",VLOOKUP($B37,Database!$B$1:$IX$10144,6,FALSE))))</f>
        <v>http://bjp.rcpsych.org/cgi/reprint/196/2/143</v>
      </c>
      <c r="H37" s="22">
        <f>IF($B37="","",IF(LEN(VLOOKUP($B37,Database!$B$1:$IX$10144,7,FALSE))=0,"",VLOOKUP($B37,Database!$B$1:$IX$10144,7,FALSE)))</f>
        <v>35</v>
      </c>
      <c r="I37" s="22">
        <f>IF($B37="","",IF(LEN(VLOOKUP($B37,Database!$B$1:$IX$10144,8,FALSE))=0,"",VLOOKUP($B37,Database!$B$1:$IX$10144,8,FALSE)))</f>
        <v>29</v>
      </c>
      <c r="J37" t="s">
        <v>239</v>
      </c>
      <c r="T37">
        <v>96</v>
      </c>
      <c r="U37">
        <v>16</v>
      </c>
      <c r="V37">
        <v>98</v>
      </c>
      <c r="W37">
        <v>14</v>
      </c>
      <c r="X37" s="2"/>
      <c r="Y37" s="22"/>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74.099999999999994</v>
      </c>
      <c r="AC37" s="22">
        <f>IF(OR($B37="",AC$22=""),"",IF(LEN(VLOOKUP($B37,Database!$B$1:$IX$10144,AC$22,FALSE))=0,"",VLOOKUP($B37,Database!$B$1:$IX$10144,AC$22,FALSE)))</f>
        <v>6.5</v>
      </c>
      <c r="AD37" s="22">
        <f>IF(OR($B37="",AD$22=""),"",IF(LEN(VLOOKUP($B37,Database!$B$1:$IX$10144,AD$22,FALSE))=0,"",VLOOKUP($B37,Database!$B$1:$IX$10144,AD$22,FALSE)))</f>
        <v>72.8</v>
      </c>
      <c r="AE37" s="22">
        <f>IF(OR($B37="",AE$22=""),"",IF(LEN(VLOOKUP($B37,Database!$B$1:$IX$10144,AE$22,FALSE))=0,"",VLOOKUP($B37,Database!$B$1:$IX$10144,AE$22,FALSE)))</f>
        <v>6.9</v>
      </c>
      <c r="AF37" s="22">
        <f>IF(OR($B37="",AF$22=""),"",IF(LEN(VLOOKUP($B37,Database!$B$1:$IX$10144,AF$22,FALSE))=0,"",VLOOKUP($B37,Database!$B$1:$IX$10144,AF$22,FALSE)))</f>
        <v>28</v>
      </c>
      <c r="AG37" s="22">
        <f>IF(OR($B37="",AG$22=""),"",IF(LEN(VLOOKUP($B37,Database!$B$1:$IX$10144,AG$22,FALSE))=0,"",VLOOKUP($B37,Database!$B$1:$IX$10144,AG$22,FALSE)))</f>
        <v>22</v>
      </c>
      <c r="AH37" s="22">
        <f>IF(OR($B37="",AH$22=""),"",IF(LEN(VLOOKUP($B37,Database!$B$1:$IX$10144,AH$22,FALSE))=0,"",VLOOKUP($B37,Database!$B$1:$IX$10144,AH$22,FALSE)))</f>
        <v>1</v>
      </c>
      <c r="AI37" s="22">
        <f>IF(OR($B37="",AI$22=""),"",IF(LEN(VLOOKUP($B37,Database!$B$1:$IX$10144,AI$22,FALSE))=0,"",VLOOKUP($B37,Database!$B$1:$IX$10144,AI$22,FALSE)))</f>
        <v>1</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f>IF(OR($B37="",AM$22=""),"",IF(LEN(VLOOKUP($B37,Database!$B$1:$IX$10144,AM$22,FALSE))=0,"",VLOOKUP($B37,Database!$B$1:$IX$10144,AM$22,FALSE)))</f>
        <v>80</v>
      </c>
      <c r="AN37" s="22" t="str">
        <f>IF(OR($B37="",AN$22=""),"",IF(LEN(VLOOKUP($B37,Database!$B$1:$IX$10144,AN$22,FALSE))=0,"",VLOOKUP($B37,Database!$B$1:$IX$10144,AN$22,FALSE)))</f>
        <v>ns</v>
      </c>
      <c r="AO37" s="22">
        <f>IF(OR($B37="",AO$22=""),"",IF(LEN(VLOOKUP($B37,Database!$B$1:$IX$10144,AO$22,FALSE))=0,"",VLOOKUP($B37,Database!$B$1:$IX$10144,AO$22,FALSE)))</f>
        <v>0</v>
      </c>
      <c r="AP37" s="22" t="str">
        <f>IF(OR($B37="",AP$22=""),"",IF(LEN(VLOOKUP($B37,Database!$B$1:$IX$10144,AP$22,FALSE))=0,"",VLOOKUP($B37,Database!$B$1:$IX$10144,AP$22,FALSE)))</f>
        <v>ns</v>
      </c>
      <c r="AQ37" s="22" t="str">
        <f>IF(OR($B37="",AQ$22=""),"",IF(LEN(VLOOKUP($B37,Database!$B$1:$IX$10144,AQ$22,FALSE))=0,"",VLOOKUP($B37,Database!$B$1:$IX$10144,AQ$22,FALSE)))</f>
        <v>Köhler S, Thomas AJ, Lloyd A, Barber R, Almeida OP, O'Brien JT.</v>
      </c>
    </row>
    <row r="38" spans="1:61">
      <c r="A38" s="10" t="s">
        <v>261</v>
      </c>
      <c r="B38">
        <v>9636205</v>
      </c>
      <c r="C38" s="1" t="str">
        <f>IF($B38="","",HYPERLINK(IF(LEN(VLOOKUP($B38,Database!$B$1:$IX$10144,2,FALSE))=0,"",VLOOKUP($B38,Database!$B$1:$IX$10144,2,FALSE))))</f>
        <v/>
      </c>
      <c r="D38" s="1" t="str">
        <f>IF($B38="","",HYPERLINK(CONCATENATE("http://www.ncbi.nlm.nih.gov/pubmed/",B38)))</f>
        <v>http://www.ncbi.nlm.nih.gov/pubmed/9636205</v>
      </c>
      <c r="E38" s="22" t="str">
        <f>IF($B38="","",IF(LEN(VLOOKUP($B38,Database!$B$1:$IX$10144,4,FALSE))=0,"",VLOOKUP($B38,Database!$B$1:$IX$10144,4,FALSE)))</f>
        <v>Kumar A</v>
      </c>
      <c r="F38" s="22">
        <f>IF($B38="","",IF(LEN(VLOOKUP($B38,Database!$B$1:$IX$10144,5,FALSE))=0,"",VLOOKUP($B38,Database!$B$1:$IX$10144,5,FALSE)))</f>
        <v>1998</v>
      </c>
      <c r="G38" s="1" t="str">
        <f>IF($B38="","",HYPERLINK(IF(LEN(VLOOKUP($B38,Database!$B$1:$IX$10144,6,FALSE))=0,"",VLOOKUP($B38,Database!$B$1:$IX$10144,6,FALSE))))</f>
        <v>http://www.pnas.org/content/95/13/7654</v>
      </c>
      <c r="H38" s="22">
        <f>IF($B38="","",IF(LEN(VLOOKUP($B38,Database!$B$1:$IX$10144,7,FALSE))=0,"",VLOOKUP($B38,Database!$B$1:$IX$10144,7,FALSE)))</f>
        <v>35</v>
      </c>
      <c r="I38" s="22">
        <f>IF($B38="","",IF(LEN(VLOOKUP($B38,Database!$B$1:$IX$10144,8,FALSE))=0,"",VLOOKUP($B38,Database!$B$1:$IX$10144,8,FALSE)))</f>
        <v>30</v>
      </c>
      <c r="J38" t="s">
        <v>1059</v>
      </c>
      <c r="K38" t="s">
        <v>534</v>
      </c>
      <c r="T38">
        <v>171.5</v>
      </c>
      <c r="U38">
        <v>31.83</v>
      </c>
      <c r="V38">
        <v>197.51</v>
      </c>
      <c r="W38">
        <v>31.09</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74.569999999999993</v>
      </c>
      <c r="AC38" s="22">
        <f>IF(OR($B38="",AC$22=""),"",IF(LEN(VLOOKUP($B38,Database!$B$1:$IX$10144,AC$22,FALSE))=0,"",VLOOKUP($B38,Database!$B$1:$IX$10144,AC$22,FALSE)))</f>
        <v>6.91</v>
      </c>
      <c r="AD38" s="22">
        <f>IF(OR($B38="",AD$22=""),"",IF(LEN(VLOOKUP($B38,Database!$B$1:$IX$10144,AD$22,FALSE))=0,"",VLOOKUP($B38,Database!$B$1:$IX$10144,AD$22,FALSE)))</f>
        <v>69.430000000000007</v>
      </c>
      <c r="AE38" s="22">
        <f>IF(OR($B38="",AE$22=""),"",IF(LEN(VLOOKUP($B38,Database!$B$1:$IX$10144,AE$22,FALSE))=0,"",VLOOKUP($B38,Database!$B$1:$IX$10144,AE$22,FALSE)))</f>
        <v>6.09</v>
      </c>
      <c r="AF38" s="22">
        <f>IF(OR($B38="",AF$22=""),"",IF(LEN(VLOOKUP($B38,Database!$B$1:$IX$10144,AF$22,FALSE))=0,"",VLOOKUP($B38,Database!$B$1:$IX$10144,AF$22,FALSE)))</f>
        <v>25</v>
      </c>
      <c r="AG38" s="22">
        <f>IF(OR($B38="",AG$22=""),"",IF(LEN(VLOOKUP($B38,Database!$B$1:$IX$10144,AG$22,FALSE))=0,"",VLOOKUP($B38,Database!$B$1:$IX$10144,AG$22,FALSE)))</f>
        <v>23</v>
      </c>
      <c r="AH38" s="22">
        <f>IF(OR($B38="",AH$22=""),"",IF(LEN(VLOOKUP($B38,Database!$B$1:$IX$10144,AH$22,FALSE))=0,"",VLOOKUP($B38,Database!$B$1:$IX$10144,AH$22,FALSE)))</f>
        <v>1.5</v>
      </c>
      <c r="AI38" s="22">
        <f>IF(OR($B38="",AI$22=""),"",IF(LEN(VLOOKUP($B38,Database!$B$1:$IX$10144,AI$22,FALSE))=0,"",VLOOKUP($B38,Database!$B$1:$IX$10144,AI$22,FALSE)))</f>
        <v>5</v>
      </c>
      <c r="AJ38" s="22" t="str">
        <f>IF(OR($B38="",AJ$22=""),"",IF(LEN(VLOOKUP($B38,Database!$B$1:$IX$10144,AJ$22,FALSE))=0,"",VLOOKUP($B38,Database!$B$1:$IX$10144,AJ$22,FALSE)))</f>
        <v/>
      </c>
      <c r="AK38" s="22">
        <f>IF(OR($B38="",AK$22=""),"",IF(LEN(VLOOKUP($B38,Database!$B$1:$IX$10144,AK$22,FALSE))=0,"",VLOOKUP($B38,Database!$B$1:$IX$10144,AK$22,FALSE)))</f>
        <v>71.260000000000005</v>
      </c>
      <c r="AL38" s="22">
        <f>IF(OR($B38="",AL$22=""),"",IF(LEN(VLOOKUP($B38,Database!$B$1:$IX$10144,AL$22,FALSE))=0,"",VLOOKUP($B38,Database!$B$1:$IX$10144,AL$22,FALSE)))</f>
        <v>19.739999999999998</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Kumar A, Jin Z, Bilker W, Udupa J, Gottlieb G.</v>
      </c>
    </row>
    <row r="39" spans="1:61">
      <c r="A39" s="7" t="s">
        <v>35</v>
      </c>
      <c r="B39">
        <v>9859118</v>
      </c>
      <c r="C39" s="1" t="str">
        <f>IF($B39="","",HYPERLINK(IF(LEN(VLOOKUP($B39,Database!$B$1:$IX$10144,2,FALSE))=0,"",VLOOKUP($B39,Database!$B$1:$IX$10144,2,FALSE))))</f>
        <v/>
      </c>
      <c r="D39" s="1" t="str">
        <f>IF($B39="","",HYPERLINK(CONCATENATE("http://www.ncbi.nlm.nih.gov/pubmed/",B39)))</f>
        <v>http://www.ncbi.nlm.nih.gov/pubmed/9859118</v>
      </c>
      <c r="E39" s="22" t="str">
        <f>IF($B39="","",IF(LEN(VLOOKUP($B39,Database!$B$1:$IX$10144,4,FALSE))=0,"",VLOOKUP($B39,Database!$B$1:$IX$10144,4,FALSE)))</f>
        <v>Pantel J</v>
      </c>
      <c r="F39" s="22">
        <f>IF($B39="","",IF(LEN(VLOOKUP($B39,Database!$B$1:$IX$10144,5,FALSE))=0,"",VLOOKUP($B39,Database!$B$1:$IX$10144,5,FALSE)))</f>
        <v>1998</v>
      </c>
      <c r="G39" s="1" t="str">
        <f>IF($B39="","",HYPERLINK(IF(LEN(VLOOKUP($B39,Database!$B$1:$IX$10144,6,FALSE))=0,"",VLOOKUP($B39,Database!$B$1:$IX$10144,6,FALSE))))</f>
        <v>http://dx.doi.org/10.1007/s001150050371</v>
      </c>
      <c r="H39" s="22">
        <f>IF($B39="","",IF(LEN(VLOOKUP($B39,Database!$B$1:$IX$10144,7,FALSE))=0,"",VLOOKUP($B39,Database!$B$1:$IX$10144,7,FALSE)))</f>
        <v>19</v>
      </c>
      <c r="I39" s="22">
        <f>IF($B39="","",IF(LEN(VLOOKUP($B39,Database!$B$1:$IX$10144,8,FALSE))=0,"",VLOOKUP($B39,Database!$B$1:$IX$10144,8,FALSE)))</f>
        <v>13</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72.400000000000006</v>
      </c>
      <c r="AC39" s="22">
        <f>IF(OR($B39="",AC$22=""),"",IF(LEN(VLOOKUP($B39,Database!$B$1:$IX$10144,AC$22,FALSE))=0,"",VLOOKUP($B39,Database!$B$1:$IX$10144,AC$22,FALSE)))</f>
        <v>8.8000000000000007</v>
      </c>
      <c r="AD39" s="22">
        <f>IF(OR($B39="",AD$22=""),"",IF(LEN(VLOOKUP($B39,Database!$B$1:$IX$10144,AD$22,FALSE))=0,"",VLOOKUP($B39,Database!$B$1:$IX$10144,AD$22,FALSE)))</f>
        <v>68.2</v>
      </c>
      <c r="AE39" s="22">
        <f>IF(OR($B39="",AE$22=""),"",IF(LEN(VLOOKUP($B39,Database!$B$1:$IX$10144,AE$22,FALSE))=0,"",VLOOKUP($B39,Database!$B$1:$IX$10144,AE$22,FALSE)))</f>
        <v>5.3</v>
      </c>
      <c r="AF39" s="22">
        <f>IF(OR($B39="",AF$22=""),"",IF(LEN(VLOOKUP($B39,Database!$B$1:$IX$10144,AF$22,FALSE))=0,"",VLOOKUP($B39,Database!$B$1:$IX$10144,AF$22,FALSE)))</f>
        <v>15</v>
      </c>
      <c r="AG39" s="22">
        <f>IF(OR($B39="",AG$22=""),"",IF(LEN(VLOOKUP($B39,Database!$B$1:$IX$10144,AG$22,FALSE))=0,"",VLOOKUP($B39,Database!$B$1:$IX$10144,AG$22,FALSE)))</f>
        <v>10</v>
      </c>
      <c r="AH39" s="22">
        <f>IF(OR($B39="",AH$22=""),"",IF(LEN(VLOOKUP($B39,Database!$B$1:$IX$10144,AH$22,FALSE))=0,"",VLOOKUP($B39,Database!$B$1:$IX$10144,AH$22,FALSE)))</f>
        <v>1.5</v>
      </c>
      <c r="AI39" s="22">
        <f>IF(OR($B39="",AI$22=""),"",IF(LEN(VLOOKUP($B39,Database!$B$1:$IX$10144,AI$22,FALSE))=0,"",VLOOKUP($B39,Database!$B$1:$IX$10144,AI$22,FALSE)))</f>
        <v>1.2</v>
      </c>
      <c r="AJ39" s="22" t="str">
        <f>IF(OR($B39="",AJ$22=""),"",IF(LEN(VLOOKUP($B39,Database!$B$1:$IX$10144,AJ$22,FALSE))=0,"",VLOOKUP($B39,Database!$B$1:$IX$10144,AJ$22,FALSE)))</f>
        <v/>
      </c>
      <c r="AK39" s="22" t="str">
        <f>IF(OR($B39="",AK$22=""),"",IF(LEN(VLOOKUP($B39,Database!$B$1:$IX$10144,AK$22,FALSE))=0,"",VLOOKUP($B39,Database!$B$1:$IX$10144,AK$22,FALSE)))</f>
        <v>ns</v>
      </c>
      <c r="AL39" s="22">
        <f>IF(OR($B39="",AL$22=""),"",IF(LEN(VLOOKUP($B39,Database!$B$1:$IX$10144,AL$22,FALSE))=0,"",VLOOKUP($B39,Database!$B$1:$IX$10144,AL$22,FALSE)))</f>
        <v>26.7</v>
      </c>
      <c r="AM39" s="22" t="str">
        <f>IF(OR($B39="",AM$22=""),"",IF(LEN(VLOOKUP($B39,Database!$B$1:$IX$10144,AM$22,FALSE))=0,"",VLOOKUP($B39,Database!$B$1:$IX$10144,AM$22,FALSE)))</f>
        <v/>
      </c>
      <c r="AN39" s="22" t="str">
        <f>IF(OR($B39="",AN$22=""),"",IF(LEN(VLOOKUP($B39,Database!$B$1:$IX$10144,AN$22,FALSE))=0,"",VLOOKUP($B39,Database!$B$1:$IX$10144,AN$22,FALSE)))</f>
        <v/>
      </c>
      <c r="AO39" s="22" t="str">
        <f>IF(OR($B39="",AO$22=""),"",IF(LEN(VLOOKUP($B39,Database!$B$1:$IX$10144,AO$22,FALSE))=0,"",VLOOKUP($B39,Database!$B$1:$IX$10144,AO$22,FALSE)))</f>
        <v/>
      </c>
      <c r="AP39" s="22" t="str">
        <f>IF(OR($B39="",AP$22=""),"",IF(LEN(VLOOKUP($B39,Database!$B$1:$IX$10144,AP$22,FALSE))=0,"",VLOOKUP($B39,Database!$B$1:$IX$10144,AP$22,FALSE)))</f>
        <v/>
      </c>
      <c r="AQ39" s="22" t="str">
        <f>IF(OR($B39="",AQ$22=""),"",IF(LEN(VLOOKUP($B39,Database!$B$1:$IX$10144,AQ$22,FALSE))=0,"",VLOOKUP($B39,Database!$B$1:$IX$10144,AQ$22,FALSE)))</f>
        <v>Pantel J, Schroder J, Essig M, Schad LR, Popp D, Eysenbach K, Jauss M, Knopp MV.</v>
      </c>
    </row>
    <row r="40" spans="1:61">
      <c r="A40" s="10" t="s">
        <v>2309</v>
      </c>
      <c r="B40" s="13">
        <v>10618023</v>
      </c>
      <c r="C40" s="1" t="str">
        <f>IF($B40="","",HYPERLINK(IF(LEN(VLOOKUP($B40,Database!$B$1:$IX$10144,2,FALSE))=0,"",VLOOKUP($B40,Database!$B$1:$IX$10144,2,FALSE))))</f>
        <v/>
      </c>
      <c r="D40" s="1" t="str">
        <f>IF($B40="","",HYPERLINK(CONCATENATE("http://www.ncbi.nlm.nih.gov/pubmed/",B40)))</f>
        <v>http://www.ncbi.nlm.nih.gov/pubmed/10618023</v>
      </c>
      <c r="E40" s="22" t="str">
        <f>IF($B40="","",IF(LEN(VLOOKUP($B40,Database!$B$1:$IX$10144,4,FALSE))=0,"",VLOOKUP($B40,Database!$B$1:$IX$10144,4,FALSE)))</f>
        <v>Bremner JD</v>
      </c>
      <c r="F40" s="22">
        <f>IF($B40="","",IF(LEN(VLOOKUP($B40,Database!$B$1:$IX$10144,5,FALSE))=0,"",VLOOKUP($B40,Database!$B$1:$IX$10144,5,FALSE)))</f>
        <v>2000</v>
      </c>
      <c r="G40" s="1" t="str">
        <f>IF($B40="","",HYPERLINK(IF(LEN(VLOOKUP($B40,Database!$B$1:$IX$10144,6,FALSE))=0,"",VLOOKUP($B40,Database!$B$1:$IX$10144,6,FALSE))))</f>
        <v>http://ajp.psychiatryonline.org/cgi/reprint/157/1/115</v>
      </c>
      <c r="H40" s="22">
        <f>IF($B40="","",IF(LEN(VLOOKUP($B40,Database!$B$1:$IX$10144,7,FALSE))=0,"",VLOOKUP($B40,Database!$B$1:$IX$10144,7,FALSE)))</f>
        <v>16</v>
      </c>
      <c r="I40" s="22">
        <f>IF($B40="","",IF(LEN(VLOOKUP($B40,Database!$B$1:$IX$10144,8,FALSE))=0,"",VLOOKUP($B40,Database!$B$1:$IX$10144,8,FALSE)))</f>
        <v>16</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43</v>
      </c>
      <c r="AC40" s="22">
        <f>IF(OR($B40="",AC$22=""),"",IF(LEN(VLOOKUP($B40,Database!$B$1:$IX$10144,AC$22,FALSE))=0,"",VLOOKUP($B40,Database!$B$1:$IX$10144,AC$22,FALSE)))</f>
        <v>8</v>
      </c>
      <c r="AD40" s="22">
        <f>IF(OR($B40="",AD$22=""),"",IF(LEN(VLOOKUP($B40,Database!$B$1:$IX$10144,AD$22,FALSE))=0,"",VLOOKUP($B40,Database!$B$1:$IX$10144,AD$22,FALSE)))</f>
        <v>45</v>
      </c>
      <c r="AE40" s="22">
        <f>IF(OR($B40="",AE$22=""),"",IF(LEN(VLOOKUP($B40,Database!$B$1:$IX$10144,AE$22,FALSE))=0,"",VLOOKUP($B40,Database!$B$1:$IX$10144,AE$22,FALSE)))</f>
        <v>10</v>
      </c>
      <c r="AF40" s="22">
        <f>IF(OR($B40="",AF$22=""),"",IF(LEN(VLOOKUP($B40,Database!$B$1:$IX$10144,AF$22,FALSE))=0,"",VLOOKUP($B40,Database!$B$1:$IX$10144,AF$22,FALSE)))</f>
        <v>6</v>
      </c>
      <c r="AG40" s="22">
        <f>IF(OR($B40="",AG$22=""),"",IF(LEN(VLOOKUP($B40,Database!$B$1:$IX$10144,AG$22,FALSE))=0,"",VLOOKUP($B40,Database!$B$1:$IX$10144,AG$22,FALSE)))</f>
        <v>6</v>
      </c>
      <c r="AH40" s="22">
        <f>IF(OR($B40="",AH$22=""),"",IF(LEN(VLOOKUP($B40,Database!$B$1:$IX$10144,AH$22,FALSE))=0,"",VLOOKUP($B40,Database!$B$1:$IX$10144,AH$22,FALSE)))</f>
        <v>1.5</v>
      </c>
      <c r="AI40" s="22">
        <f>IF(OR($B40="",AI$22=""),"",IF(LEN(VLOOKUP($B40,Database!$B$1:$IX$10144,AI$22,FALSE))=0,"",VLOOKUP($B40,Database!$B$1:$IX$10144,AI$22,FALSE)))</f>
        <v>3</v>
      </c>
      <c r="AJ40" s="22" t="str">
        <f>IF(OR($B40="",AJ$22=""),"",IF(LEN(VLOOKUP($B40,Database!$B$1:$IX$10144,AJ$22,FALSE))=0,"",VLOOKUP($B40,Database!$B$1:$IX$10144,AJ$22,FALSE)))</f>
        <v/>
      </c>
      <c r="AK40" s="22" t="str">
        <f>IF(OR($B40="",AK$22=""),"",IF(LEN(VLOOKUP($B40,Database!$B$1:$IX$10144,AK$22,FALSE))=0,"",VLOOKUP($B40,Database!$B$1:$IX$10144,AK$22,FALSE)))</f>
        <v>ns</v>
      </c>
      <c r="AL40" s="22" t="str">
        <f>IF(OR($B40="",AL$22=""),"",IF(LEN(VLOOKUP($B40,Database!$B$1:$IX$10144,AL$22,FALSE))=0,"",VLOOKUP($B40,Database!$B$1:$IX$10144,AL$22,FALSE)))</f>
        <v>ns</v>
      </c>
      <c r="AM40" s="22">
        <f>IF(OR($B40="",AM$22=""),"",IF(LEN(VLOOKUP($B40,Database!$B$1:$IX$10144,AM$22,FALSE))=0,"",VLOOKUP($B40,Database!$B$1:$IX$10144,AM$22,FALSE)))</f>
        <v>100</v>
      </c>
      <c r="AN40" s="22">
        <f>IF(OR($B40="",AN$22=""),"",IF(LEN(VLOOKUP($B40,Database!$B$1:$IX$10144,AN$22,FALSE))=0,"",VLOOKUP($B40,Database!$B$1:$IX$10144,AN$22,FALSE)))</f>
        <v>0</v>
      </c>
      <c r="AO40" s="22">
        <f>IF(OR($B40="",AO$22=""),"",IF(LEN(VLOOKUP($B40,Database!$B$1:$IX$10144,AO$22,FALSE))=0,"",VLOOKUP($B40,Database!$B$1:$IX$10144,AO$22,FALSE)))</f>
        <v>0</v>
      </c>
      <c r="AP40" s="22">
        <f>IF(OR($B40="",AP$22=""),"",IF(LEN(VLOOKUP($B40,Database!$B$1:$IX$10144,AP$22,FALSE))=0,"",VLOOKUP($B40,Database!$B$1:$IX$10144,AP$22,FALSE)))</f>
        <v>0</v>
      </c>
      <c r="AQ40" s="22" t="str">
        <f>IF(OR($B40="",AQ$22=""),"",IF(LEN(VLOOKUP($B40,Database!$B$1:$IX$10144,AQ$22,FALSE))=0,"",VLOOKUP($B40,Database!$B$1:$IX$10144,AQ$22,FALSE)))</f>
        <v>Bremner JD, Narayan M, Anderson ER, Staib LH, Miller HL, Charney DS.</v>
      </c>
    </row>
    <row r="41" spans="1:61">
      <c r="A41" s="10" t="s">
        <v>261</v>
      </c>
      <c r="B41">
        <v>11790518</v>
      </c>
      <c r="C41" s="1" t="str">
        <f>IF($B41="","",HYPERLINK(IF(LEN(VLOOKUP($B41,Database!$B$1:$IX$10144,2,FALSE))=0,"",VLOOKUP($B41,Database!$B$1:$IX$10144,2,FALSE))))</f>
        <v/>
      </c>
      <c r="D41" s="1" t="str">
        <f>IF($B41="","",HYPERLINK(CONCATENATE("http://www.ncbi.nlm.nih.gov/pubmed/",B41)))</f>
        <v>http://www.ncbi.nlm.nih.gov/pubmed/11790518</v>
      </c>
      <c r="E41" s="22" t="str">
        <f>IF($B41="","",IF(LEN(VLOOKUP($B41,Database!$B$1:$IX$10144,4,FALSE))=0,"",VLOOKUP($B41,Database!$B$1:$IX$10144,4,FALSE)))</f>
        <v>Kumar A</v>
      </c>
      <c r="F41" s="22">
        <f>IF($B41="","",IF(LEN(VLOOKUP($B41,Database!$B$1:$IX$10144,5,FALSE))=0,"",VLOOKUP($B41,Database!$B$1:$IX$10144,5,FALSE)))</f>
        <v>2002</v>
      </c>
      <c r="G41" s="1" t="str">
        <f>IF($B41="","",HYPERLINK(IF(LEN(VLOOKUP($B41,Database!$B$1:$IX$10144,6,FALSE))=0,"",VLOOKUP($B41,Database!$B$1:$IX$10144,6,FALSE))))</f>
        <v>http://www.nature.com/npp/journal/v26/n2/pdf/1395774a.pdf</v>
      </c>
      <c r="H41" s="22">
        <f>IF($B41="","",IF(LEN(VLOOKUP($B41,Database!$B$1:$IX$10144,7,FALSE))=0,"",VLOOKUP($B41,Database!$B$1:$IX$10144,7,FALSE)))</f>
        <v>51</v>
      </c>
      <c r="I41" s="22">
        <f>IF($B41="","",IF(LEN(VLOOKUP($B41,Database!$B$1:$IX$10144,8,FALSE))=0,"",VLOOKUP($B41,Database!$B$1:$IX$10144,8,FALSE)))</f>
        <v>30</v>
      </c>
      <c r="K41" s="10"/>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74.3</v>
      </c>
      <c r="AC41" s="22">
        <f>IF(OR($B41="",AC$22=""),"",IF(LEN(VLOOKUP($B41,Database!$B$1:$IX$10144,AC$22,FALSE))=0,"",VLOOKUP($B41,Database!$B$1:$IX$10144,AC$22,FALSE)))</f>
        <v>6.56</v>
      </c>
      <c r="AD41" s="22">
        <f>IF(OR($B41="",AD$22=""),"",IF(LEN(VLOOKUP($B41,Database!$B$1:$IX$10144,AD$22,FALSE))=0,"",VLOOKUP($B41,Database!$B$1:$IX$10144,AD$22,FALSE)))</f>
        <v>69.430000000000007</v>
      </c>
      <c r="AE41" s="22">
        <f>IF(OR($B41="",AE$22=""),"",IF(LEN(VLOOKUP($B41,Database!$B$1:$IX$10144,AE$22,FALSE))=0,"",VLOOKUP($B41,Database!$B$1:$IX$10144,AE$22,FALSE)))</f>
        <v>6.09</v>
      </c>
      <c r="AF41" s="22">
        <f>IF(OR($B41="",AF$22=""),"",IF(LEN(VLOOKUP($B41,Database!$B$1:$IX$10144,AF$22,FALSE))=0,"",VLOOKUP($B41,Database!$B$1:$IX$10144,AF$22,FALSE)))</f>
        <v>36</v>
      </c>
      <c r="AG41" s="22">
        <f>IF(OR($B41="",AG$22=""),"",IF(LEN(VLOOKUP($B41,Database!$B$1:$IX$10144,AG$22,FALSE))=0,"",VLOOKUP($B41,Database!$B$1:$IX$10144,AG$22,FALSE)))</f>
        <v>23</v>
      </c>
      <c r="AH41" s="22">
        <f>IF(OR($B41="",AH$22=""),"",IF(LEN(VLOOKUP($B41,Database!$B$1:$IX$10144,AH$22,FALSE))=0,"",VLOOKUP($B41,Database!$B$1:$IX$10144,AH$22,FALSE)))</f>
        <v>1.5</v>
      </c>
      <c r="AI41" s="22">
        <f>IF(OR($B41="",AI$22=""),"",IF(LEN(VLOOKUP($B41,Database!$B$1:$IX$10144,AI$22,FALSE))=0,"",VLOOKUP($B41,Database!$B$1:$IX$10144,AI$22,FALSE)))</f>
        <v>5</v>
      </c>
      <c r="AJ41" s="22" t="str">
        <f>IF(OR($B41="",AJ$22=""),"",IF(LEN(VLOOKUP($B41,Database!$B$1:$IX$10144,AJ$22,FALSE))=0,"",VLOOKUP($B41,Database!$B$1:$IX$10144,AJ$22,FALSE)))</f>
        <v/>
      </c>
      <c r="AK41" s="22" t="str">
        <f>IF(OR($B41="",AK$22=""),"",IF(LEN(VLOOKUP($B41,Database!$B$1:$IX$10144,AK$22,FALSE))=0,"",VLOOKUP($B41,Database!$B$1:$IX$10144,AK$22,FALSE)))</f>
        <v>ns</v>
      </c>
      <c r="AL41" s="22">
        <f>IF(OR($B41="",AL$22=""),"",IF(LEN(VLOOKUP($B41,Database!$B$1:$IX$10144,AL$22,FALSE))=0,"",VLOOKUP($B41,Database!$B$1:$IX$10144,AL$22,FALSE)))</f>
        <v>19.8</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Kumar A, Mintz J, Bilker W, Gottlieb G.</v>
      </c>
    </row>
    <row r="42" spans="1:61">
      <c r="A42" s="4" t="s">
        <v>347</v>
      </c>
      <c r="C42" s="1"/>
      <c r="D42" s="1"/>
      <c r="E42" s="22"/>
      <c r="F42" s="22"/>
      <c r="G42" s="1"/>
      <c r="H42" s="22"/>
      <c r="I42" s="22"/>
      <c r="Y42" s="22"/>
      <c r="Z42" s="22"/>
      <c r="AA42" s="22"/>
      <c r="AB42" s="22"/>
      <c r="AC42" s="22"/>
      <c r="AD42" s="22"/>
      <c r="AE42" s="22"/>
      <c r="AF42" s="22"/>
      <c r="AG42" s="22"/>
      <c r="AH42" s="22"/>
      <c r="AI42" s="22"/>
      <c r="AJ42" s="22"/>
      <c r="AK42" s="22"/>
      <c r="AL42" s="22"/>
      <c r="AM42" s="22"/>
      <c r="AN42" s="22"/>
      <c r="AO42" s="22"/>
      <c r="AP42" s="22"/>
      <c r="AQ42" s="22"/>
    </row>
    <row r="43" spans="1:61">
      <c r="A43" s="10"/>
      <c r="C43" s="1"/>
      <c r="D43" s="1"/>
      <c r="E43" s="22"/>
      <c r="F43" s="22"/>
      <c r="G43" s="1"/>
      <c r="H43" s="22"/>
      <c r="I43" s="22"/>
      <c r="Y43" s="22"/>
      <c r="Z43" s="22"/>
      <c r="AA43" s="22"/>
      <c r="AB43" s="22"/>
      <c r="AC43" s="22"/>
      <c r="AD43" s="22"/>
      <c r="AE43" s="22"/>
      <c r="AF43" s="22"/>
      <c r="AG43" s="22"/>
      <c r="AH43" s="22"/>
      <c r="AI43" s="22"/>
      <c r="AJ43" s="22"/>
      <c r="AK43" s="22"/>
      <c r="AL43" s="22"/>
      <c r="AM43" s="22"/>
      <c r="AN43" s="22"/>
      <c r="AO43" s="22"/>
      <c r="AP43" s="22"/>
      <c r="AQ43" s="22"/>
    </row>
    <row r="44" spans="1:61">
      <c r="I44" s="22" t="str">
        <f>IF($B44="","",IF(LEN(VLOOKUP($B44,Database!$B$1:$IX$10144,8,FALSE))=0,"",VLOOKUP($B44,Database!$B$1:$IX$10144,8,FALSE)))</f>
        <v/>
      </c>
      <c r="AF44" t="s">
        <v>602</v>
      </c>
      <c r="AJ44" t="s">
        <v>329</v>
      </c>
      <c r="AN44" t="s">
        <v>330</v>
      </c>
    </row>
    <row r="45" spans="1:61" ht="45" customHeight="1">
      <c r="E45" s="60" t="s">
        <v>617</v>
      </c>
      <c r="F45" s="60" t="s">
        <v>740</v>
      </c>
      <c r="G45" s="60" t="s">
        <v>244</v>
      </c>
      <c r="H45" s="60" t="s">
        <v>245</v>
      </c>
      <c r="I45" s="60" t="s">
        <v>246</v>
      </c>
      <c r="J45" s="60" t="s">
        <v>593</v>
      </c>
      <c r="K45" s="60" t="s">
        <v>1039</v>
      </c>
      <c r="L45" s="60" t="s">
        <v>594</v>
      </c>
      <c r="M45" s="60" t="s">
        <v>1299</v>
      </c>
      <c r="N45" s="61" t="s">
        <v>595</v>
      </c>
      <c r="O45" s="61" t="s">
        <v>596</v>
      </c>
      <c r="P45" s="61" t="s">
        <v>597</v>
      </c>
      <c r="Q45" s="61" t="s">
        <v>598</v>
      </c>
      <c r="R45" s="61" t="s">
        <v>599</v>
      </c>
      <c r="S45" s="61" t="s">
        <v>600</v>
      </c>
      <c r="T45" s="61" t="s">
        <v>601</v>
      </c>
      <c r="U45" s="61" t="s">
        <v>484</v>
      </c>
      <c r="V45" s="61" t="s">
        <v>485</v>
      </c>
      <c r="W45" s="61" t="s">
        <v>486</v>
      </c>
      <c r="AF45" s="61" t="s">
        <v>1517</v>
      </c>
      <c r="AG45" s="62" t="s">
        <v>834</v>
      </c>
      <c r="AH45" s="62" t="s">
        <v>835</v>
      </c>
      <c r="AJ45" s="61" t="s">
        <v>836</v>
      </c>
      <c r="AK45" s="61" t="s">
        <v>837</v>
      </c>
      <c r="AL45" s="61" t="s">
        <v>487</v>
      </c>
      <c r="AN45" t="s">
        <v>488</v>
      </c>
      <c r="AO45" t="s">
        <v>489</v>
      </c>
      <c r="AP45" t="s">
        <v>490</v>
      </c>
      <c r="AQ45" t="s">
        <v>491</v>
      </c>
      <c r="AR45" t="s">
        <v>492</v>
      </c>
      <c r="AS45" t="s">
        <v>493</v>
      </c>
      <c r="AT45" t="s">
        <v>494</v>
      </c>
      <c r="AU45" t="s">
        <v>495</v>
      </c>
      <c r="AV45" t="s">
        <v>496</v>
      </c>
      <c r="AW45" t="s">
        <v>497</v>
      </c>
      <c r="AX45" t="s">
        <v>498</v>
      </c>
      <c r="AY45" t="s">
        <v>499</v>
      </c>
    </row>
    <row r="46" spans="1:61">
      <c r="E46" t="str">
        <f t="shared" ref="E46:F50" si="1">E24</f>
        <v>Parashos IA</v>
      </c>
      <c r="F46">
        <f t="shared" si="1"/>
        <v>1998</v>
      </c>
      <c r="G46">
        <v>9</v>
      </c>
      <c r="H46">
        <f t="shared" ref="H46:I50" si="2">H24</f>
        <v>72</v>
      </c>
      <c r="I46">
        <f t="shared" si="2"/>
        <v>38</v>
      </c>
      <c r="J46">
        <f t="shared" ref="J46:M50" si="3">IF($D$4="Total",T24,IF($D$4="Left",L24,IF($D$4="Right",P24,"error")))</f>
        <v>235.6</v>
      </c>
      <c r="K46">
        <f t="shared" si="3"/>
        <v>32.08</v>
      </c>
      <c r="L46">
        <f t="shared" si="3"/>
        <v>246.17</v>
      </c>
      <c r="M46">
        <f t="shared" si="3"/>
        <v>41.9</v>
      </c>
      <c r="N46">
        <f t="shared" ref="N46:N54" si="4">IF($D$3=1,SQRT((((I46-1)*(M46)^2)+((H46-1)*(K46)^2))/(H46+I46-2)),M46)</f>
        <v>35.749325867769869</v>
      </c>
      <c r="O46" s="59">
        <f t="shared" ref="O46:O54" si="5">IF($D$6=1,LN(J46/L46),IF($D$5=1,(1-3/(4*(H46+I46)-9))*((J46-L46)/N46),(J46-L46)/N46))</f>
        <v>-0.29361188384299786</v>
      </c>
      <c r="P46" s="63">
        <f t="shared" ref="P46:P54" si="6">IF($D$6=1,(K46^2)/(H46*J46^2)+(M46^2)/(I46*L46^2),(IF($D$5=1,((H46+I46)/(H46*I46))+(O46*O46)/(2*(H46+I46-3.94)),((H46+I46)/(H46*I46))+((O46^2)/(2*(H46+I46-2))))))</f>
        <v>4.0611089537067886E-2</v>
      </c>
      <c r="Q46" s="59">
        <f t="shared" ref="Q46:Q54" si="7">$R$71*SQRT(P46)</f>
        <v>0.3949829889572461</v>
      </c>
      <c r="R46" s="59">
        <f t="shared" ref="R46:R54" si="8">1/P46</f>
        <v>24.623816090608631</v>
      </c>
      <c r="S46" s="59">
        <f t="shared" ref="S46:S54" si="9">O46*R46</f>
        <v>-7.2298450297671231</v>
      </c>
      <c r="T46" s="59">
        <f t="shared" ref="T46:T54" si="10">R46*(O46^2)</f>
        <v>2.1227684190828602</v>
      </c>
      <c r="U46" s="23">
        <f t="shared" ref="U46:U54" si="11">R46^2</f>
        <v>606.33231886411659</v>
      </c>
      <c r="V46" s="59">
        <f t="shared" ref="V46:V54" si="12">1/((1/R46)+$I$68)</f>
        <v>11.702182407685054</v>
      </c>
      <c r="W46" s="59">
        <f t="shared" ref="W46:W54" si="13">V46*O46</f>
        <v>-3.4358998217947971</v>
      </c>
      <c r="AF46" s="59">
        <f t="shared" ref="AF46:AF54" si="14">IF($D$6=1,100*((EXP(O46))-1),O46)</f>
        <v>-0.29361188384299786</v>
      </c>
      <c r="AG46" s="59">
        <f t="shared" ref="AG46:AG54" si="15">IF($D$6=1,100*(EXP(O46+Q46)-EXP(O46)),Q46)</f>
        <v>0.3949829889572461</v>
      </c>
      <c r="AH46" s="59">
        <f t="shared" ref="AH46:AH54" si="16">IF($D$6=1,100*(EXP(O46)-EXP(O46-Q46)),Q46)</f>
        <v>0.3949829889572461</v>
      </c>
      <c r="AJ46">
        <f t="shared" ref="AJ46:AJ54" si="17">SQRT(P46)</f>
        <v>0.20152193314145209</v>
      </c>
      <c r="AK46">
        <f t="shared" ref="AK46:AK54" si="18">1/AJ46</f>
        <v>4.9622390198990445</v>
      </c>
      <c r="AL46">
        <f t="shared" ref="AL46:AL54" si="19">O46/AJ46</f>
        <v>-1.4569723467117899</v>
      </c>
      <c r="AN46" t="str">
        <f t="shared" ref="AN46:AO50" si="20">E46</f>
        <v>Parashos IA</v>
      </c>
      <c r="AO46">
        <f t="shared" si="20"/>
        <v>1998</v>
      </c>
      <c r="AP46" t="str">
        <f t="shared" ref="AP46:AP54" si="21">CONCATENATE(AN46," ",AO46)</f>
        <v>Parashos IA 1998</v>
      </c>
      <c r="AQ46">
        <f t="shared" ref="AQ46:AQ54" si="22">INT(H46)</f>
        <v>72</v>
      </c>
      <c r="AR46">
        <f t="shared" ref="AR46:AS50" si="23">J46</f>
        <v>235.6</v>
      </c>
      <c r="AS46">
        <f t="shared" si="23"/>
        <v>32.08</v>
      </c>
      <c r="AT46">
        <f t="shared" ref="AT46:AT54" si="24">INT(I46)</f>
        <v>38</v>
      </c>
      <c r="AU46">
        <f t="shared" ref="AU46:AV50" si="25">L46</f>
        <v>246.17</v>
      </c>
      <c r="AV46">
        <f t="shared" si="25"/>
        <v>41.9</v>
      </c>
      <c r="AW46" s="65">
        <f t="shared" ref="AW46:AW54" si="26">O46</f>
        <v>-0.29361188384299786</v>
      </c>
      <c r="AX46">
        <f t="shared" ref="AX46:AX54" si="27">SQRT(P46)</f>
        <v>0.20152193314145209</v>
      </c>
      <c r="AY46" t="str">
        <f>$F$5</f>
        <v>H Correction</v>
      </c>
    </row>
    <row r="47" spans="1:61">
      <c r="E47" t="str">
        <f t="shared" si="1"/>
        <v>Kumar A (A)</v>
      </c>
      <c r="F47">
        <f t="shared" si="1"/>
        <v>2000</v>
      </c>
      <c r="G47">
        <v>8</v>
      </c>
      <c r="H47">
        <f t="shared" si="2"/>
        <v>51</v>
      </c>
      <c r="I47">
        <f t="shared" si="2"/>
        <v>30</v>
      </c>
      <c r="J47">
        <f t="shared" si="3"/>
        <v>168.03</v>
      </c>
      <c r="K47">
        <f t="shared" si="3"/>
        <v>30.8</v>
      </c>
      <c r="L47">
        <f t="shared" si="3"/>
        <v>197.51</v>
      </c>
      <c r="M47">
        <f t="shared" si="3"/>
        <v>31.09</v>
      </c>
      <c r="N47">
        <f t="shared" si="4"/>
        <v>30.906771799040655</v>
      </c>
      <c r="O47" s="59">
        <f t="shared" si="5"/>
        <v>-0.9447521172736788</v>
      </c>
      <c r="P47" s="63">
        <f t="shared" si="6"/>
        <v>5.8732485600442239E-2</v>
      </c>
      <c r="Q47" s="59">
        <f t="shared" si="7"/>
        <v>0.47500180703094058</v>
      </c>
      <c r="R47" s="59">
        <f t="shared" si="8"/>
        <v>17.026352448336876</v>
      </c>
      <c r="S47" s="59">
        <f t="shared" si="9"/>
        <v>-16.08568252501415</v>
      </c>
      <c r="T47" s="59">
        <f t="shared" si="10"/>
        <v>15.196982623299332</v>
      </c>
      <c r="U47" s="23">
        <f t="shared" si="11"/>
        <v>289.89667769498715</v>
      </c>
      <c r="V47" s="59">
        <f t="shared" si="12"/>
        <v>9.6547889913613414</v>
      </c>
      <c r="W47" s="59">
        <f t="shared" si="13"/>
        <v>-9.121382341419233</v>
      </c>
      <c r="AF47" s="59">
        <f t="shared" si="14"/>
        <v>-0.9447521172736788</v>
      </c>
      <c r="AG47" s="59">
        <f t="shared" si="15"/>
        <v>0.47500180703094058</v>
      </c>
      <c r="AH47" s="59">
        <f t="shared" si="16"/>
        <v>0.47500180703094058</v>
      </c>
      <c r="AJ47">
        <f t="shared" si="17"/>
        <v>0.24234786073007172</v>
      </c>
      <c r="AK47">
        <f t="shared" si="18"/>
        <v>4.1263000918906609</v>
      </c>
      <c r="AL47">
        <f t="shared" si="19"/>
        <v>-3.8983307483202769</v>
      </c>
      <c r="AN47" t="str">
        <f t="shared" si="20"/>
        <v>Kumar A (A)</v>
      </c>
      <c r="AO47">
        <f t="shared" si="20"/>
        <v>2000</v>
      </c>
      <c r="AP47" t="str">
        <f t="shared" si="21"/>
        <v>Kumar A (A) 2000</v>
      </c>
      <c r="AQ47">
        <f t="shared" si="22"/>
        <v>51</v>
      </c>
      <c r="AR47">
        <f t="shared" si="23"/>
        <v>168.03</v>
      </c>
      <c r="AS47">
        <f t="shared" si="23"/>
        <v>30.8</v>
      </c>
      <c r="AT47">
        <f t="shared" si="24"/>
        <v>30</v>
      </c>
      <c r="AU47">
        <f t="shared" si="25"/>
        <v>197.51</v>
      </c>
      <c r="AV47">
        <f t="shared" si="25"/>
        <v>31.09</v>
      </c>
      <c r="AW47" s="65">
        <f t="shared" si="26"/>
        <v>-0.9447521172736788</v>
      </c>
      <c r="AX47">
        <f t="shared" si="27"/>
        <v>0.24234786073007172</v>
      </c>
    </row>
    <row r="48" spans="1:61">
      <c r="E48" t="str">
        <f t="shared" si="1"/>
        <v>Almeida OP</v>
      </c>
      <c r="F48">
        <f t="shared" si="1"/>
        <v>2003</v>
      </c>
      <c r="G48">
        <v>7</v>
      </c>
      <c r="H48">
        <f t="shared" si="2"/>
        <v>24</v>
      </c>
      <c r="I48">
        <f t="shared" si="2"/>
        <v>18.5</v>
      </c>
      <c r="J48">
        <f t="shared" si="3"/>
        <v>99036</v>
      </c>
      <c r="K48">
        <f t="shared" si="3"/>
        <v>18349</v>
      </c>
      <c r="L48">
        <f t="shared" si="3"/>
        <v>97339</v>
      </c>
      <c r="M48">
        <f t="shared" si="3"/>
        <v>13581</v>
      </c>
      <c r="N48">
        <f t="shared" si="4"/>
        <v>16459.104381751233</v>
      </c>
      <c r="O48" s="59">
        <f t="shared" si="5"/>
        <v>0.10118283737443452</v>
      </c>
      <c r="P48" s="63">
        <f t="shared" si="6"/>
        <v>9.5853474436736544E-2</v>
      </c>
      <c r="Q48" s="59">
        <f t="shared" si="7"/>
        <v>0.60682016067049649</v>
      </c>
      <c r="R48" s="59">
        <f t="shared" si="8"/>
        <v>10.432590011747584</v>
      </c>
      <c r="S48" s="59">
        <f t="shared" si="9"/>
        <v>1.0555990585528057</v>
      </c>
      <c r="T48" s="59">
        <f t="shared" si="10"/>
        <v>0.10680850787415473</v>
      </c>
      <c r="U48" s="23">
        <f t="shared" si="11"/>
        <v>108.83893435321545</v>
      </c>
      <c r="V48" s="59">
        <f t="shared" si="12"/>
        <v>7.1074957998319359</v>
      </c>
      <c r="W48" s="59">
        <f t="shared" si="13"/>
        <v>0.71915659165387125</v>
      </c>
      <c r="AF48" s="59">
        <f t="shared" si="14"/>
        <v>0.10118283737443452</v>
      </c>
      <c r="AG48" s="59">
        <f t="shared" si="15"/>
        <v>0.60682016067049649</v>
      </c>
      <c r="AH48" s="59">
        <f t="shared" si="16"/>
        <v>0.60682016067049649</v>
      </c>
      <c r="AJ48">
        <f t="shared" si="17"/>
        <v>0.30960212279106963</v>
      </c>
      <c r="AK48">
        <f t="shared" si="18"/>
        <v>3.2299520138459616</v>
      </c>
      <c r="AL48">
        <f t="shared" si="19"/>
        <v>0.32681570934420318</v>
      </c>
      <c r="AN48" t="str">
        <f t="shared" si="20"/>
        <v>Almeida OP</v>
      </c>
      <c r="AO48">
        <f t="shared" si="20"/>
        <v>2003</v>
      </c>
      <c r="AP48" t="str">
        <f t="shared" si="21"/>
        <v>Almeida OP 2003</v>
      </c>
      <c r="AQ48">
        <f t="shared" si="22"/>
        <v>24</v>
      </c>
      <c r="AR48">
        <f t="shared" si="23"/>
        <v>99036</v>
      </c>
      <c r="AS48">
        <f t="shared" si="23"/>
        <v>18349</v>
      </c>
      <c r="AT48">
        <f t="shared" si="24"/>
        <v>18</v>
      </c>
      <c r="AU48">
        <f t="shared" si="25"/>
        <v>97339</v>
      </c>
      <c r="AV48">
        <f t="shared" si="25"/>
        <v>13581</v>
      </c>
      <c r="AW48" s="65">
        <f t="shared" si="26"/>
        <v>0.10118283737443452</v>
      </c>
      <c r="AX48">
        <f t="shared" si="27"/>
        <v>0.30960212279106963</v>
      </c>
    </row>
    <row r="49" spans="5:50">
      <c r="E49" t="str">
        <f t="shared" si="1"/>
        <v>Almeida OP</v>
      </c>
      <c r="F49">
        <f t="shared" si="1"/>
        <v>2003</v>
      </c>
      <c r="G49">
        <v>6</v>
      </c>
      <c r="H49">
        <f t="shared" si="2"/>
        <v>27</v>
      </c>
      <c r="I49">
        <f t="shared" si="2"/>
        <v>18.5</v>
      </c>
      <c r="J49">
        <f t="shared" si="3"/>
        <v>93291</v>
      </c>
      <c r="K49">
        <f t="shared" si="3"/>
        <v>13216</v>
      </c>
      <c r="L49">
        <f t="shared" si="3"/>
        <v>97339</v>
      </c>
      <c r="M49">
        <f t="shared" si="3"/>
        <v>13581</v>
      </c>
      <c r="N49">
        <f t="shared" si="4"/>
        <v>13364.037669771829</v>
      </c>
      <c r="O49" s="59">
        <f t="shared" si="5"/>
        <v>-0.29764982458897898</v>
      </c>
      <c r="P49" s="63">
        <f t="shared" si="6"/>
        <v>9.2156964744578213E-2</v>
      </c>
      <c r="Q49" s="59">
        <f t="shared" si="7"/>
        <v>0.59500436617118335</v>
      </c>
      <c r="R49" s="59">
        <f t="shared" si="8"/>
        <v>10.851051819811937</v>
      </c>
      <c r="S49" s="59">
        <f t="shared" si="9"/>
        <v>-3.2298136707729443</v>
      </c>
      <c r="T49" s="59">
        <f t="shared" si="10"/>
        <v>0.96135347256065318</v>
      </c>
      <c r="U49" s="23">
        <f t="shared" si="11"/>
        <v>117.74532559624396</v>
      </c>
      <c r="V49" s="59">
        <f t="shared" si="12"/>
        <v>7.2992689612138824</v>
      </c>
      <c r="W49" s="59">
        <f t="shared" si="13"/>
        <v>-2.1726261259330908</v>
      </c>
      <c r="AF49" s="59">
        <f t="shared" si="14"/>
        <v>-0.29764982458897898</v>
      </c>
      <c r="AG49" s="59">
        <f t="shared" si="15"/>
        <v>0.59500436617118335</v>
      </c>
      <c r="AH49" s="59">
        <f t="shared" si="16"/>
        <v>0.59500436617118335</v>
      </c>
      <c r="AJ49">
        <f t="shared" si="17"/>
        <v>0.30357365620978743</v>
      </c>
      <c r="AK49">
        <f t="shared" si="18"/>
        <v>3.2940934746621773</v>
      </c>
      <c r="AL49">
        <f t="shared" si="19"/>
        <v>-0.98048634491289743</v>
      </c>
      <c r="AN49" t="str">
        <f t="shared" si="20"/>
        <v>Almeida OP</v>
      </c>
      <c r="AO49">
        <f t="shared" si="20"/>
        <v>2003</v>
      </c>
      <c r="AP49" t="str">
        <f t="shared" si="21"/>
        <v>Almeida OP 2003</v>
      </c>
      <c r="AQ49">
        <f t="shared" si="22"/>
        <v>27</v>
      </c>
      <c r="AR49">
        <f t="shared" si="23"/>
        <v>93291</v>
      </c>
      <c r="AS49">
        <f t="shared" si="23"/>
        <v>13216</v>
      </c>
      <c r="AT49">
        <f t="shared" si="24"/>
        <v>18</v>
      </c>
      <c r="AU49">
        <f t="shared" si="25"/>
        <v>97339</v>
      </c>
      <c r="AV49">
        <f t="shared" si="25"/>
        <v>13581</v>
      </c>
      <c r="AW49" s="65">
        <f t="shared" si="26"/>
        <v>-0.29764982458897898</v>
      </c>
      <c r="AX49">
        <f t="shared" si="27"/>
        <v>0.30357365620978743</v>
      </c>
    </row>
    <row r="50" spans="5:50">
      <c r="E50" t="str">
        <f t="shared" si="1"/>
        <v>Lavretsky H</v>
      </c>
      <c r="F50">
        <f t="shared" si="1"/>
        <v>2005</v>
      </c>
      <c r="G50">
        <v>5</v>
      </c>
      <c r="H50">
        <f t="shared" si="2"/>
        <v>11</v>
      </c>
      <c r="I50">
        <f t="shared" si="2"/>
        <v>20.5</v>
      </c>
      <c r="J50">
        <f t="shared" si="3"/>
        <v>0.23599999999999999</v>
      </c>
      <c r="K50">
        <f t="shared" si="3"/>
        <v>1.9E-2</v>
      </c>
      <c r="L50">
        <f t="shared" si="3"/>
        <v>0.23599999999999999</v>
      </c>
      <c r="M50">
        <f t="shared" si="3"/>
        <v>1.6E-2</v>
      </c>
      <c r="N50">
        <f t="shared" si="4"/>
        <v>1.7076100852916717E-2</v>
      </c>
      <c r="O50" s="59">
        <f t="shared" si="5"/>
        <v>0</v>
      </c>
      <c r="P50" s="63">
        <f t="shared" si="6"/>
        <v>0.13968957871396895</v>
      </c>
      <c r="Q50" s="59">
        <f t="shared" si="7"/>
        <v>0.73255135354975842</v>
      </c>
      <c r="R50" s="59">
        <f t="shared" si="8"/>
        <v>7.1587301587301591</v>
      </c>
      <c r="S50" s="59">
        <f t="shared" si="9"/>
        <v>0</v>
      </c>
      <c r="T50" s="59">
        <f t="shared" si="10"/>
        <v>0</v>
      </c>
      <c r="U50" s="23">
        <f t="shared" si="11"/>
        <v>51.247417485512727</v>
      </c>
      <c r="V50" s="59">
        <f t="shared" si="12"/>
        <v>5.4190956569103541</v>
      </c>
      <c r="W50" s="59">
        <f t="shared" si="13"/>
        <v>0</v>
      </c>
      <c r="AF50" s="59">
        <f t="shared" si="14"/>
        <v>0</v>
      </c>
      <c r="AG50" s="59">
        <f t="shared" si="15"/>
        <v>0.73255135354975842</v>
      </c>
      <c r="AH50" s="59">
        <f t="shared" si="16"/>
        <v>0.73255135354975842</v>
      </c>
      <c r="AJ50">
        <f t="shared" si="17"/>
        <v>0.37375069058661142</v>
      </c>
      <c r="AK50">
        <f t="shared" si="18"/>
        <v>2.6755803405485996</v>
      </c>
      <c r="AL50">
        <f t="shared" si="19"/>
        <v>0</v>
      </c>
      <c r="AN50" t="str">
        <f t="shared" si="20"/>
        <v>Lavretsky H</v>
      </c>
      <c r="AO50">
        <f t="shared" si="20"/>
        <v>2005</v>
      </c>
      <c r="AP50" t="str">
        <f t="shared" si="21"/>
        <v>Lavretsky H 2005</v>
      </c>
      <c r="AQ50">
        <f t="shared" si="22"/>
        <v>11</v>
      </c>
      <c r="AR50">
        <f t="shared" si="23"/>
        <v>0.23599999999999999</v>
      </c>
      <c r="AS50">
        <f t="shared" si="23"/>
        <v>1.9E-2</v>
      </c>
      <c r="AT50">
        <f t="shared" si="24"/>
        <v>20</v>
      </c>
      <c r="AU50">
        <f t="shared" si="25"/>
        <v>0.23599999999999999</v>
      </c>
      <c r="AV50">
        <f t="shared" si="25"/>
        <v>1.6E-2</v>
      </c>
      <c r="AW50" s="65">
        <f t="shared" si="26"/>
        <v>0</v>
      </c>
      <c r="AX50">
        <f t="shared" si="27"/>
        <v>0.37375069058661142</v>
      </c>
    </row>
    <row r="51" spans="5:50">
      <c r="E51" t="str">
        <f>E29</f>
        <v>Lavretsky H</v>
      </c>
      <c r="F51">
        <f>F29</f>
        <v>2005</v>
      </c>
      <c r="G51">
        <v>4</v>
      </c>
      <c r="H51">
        <f>H29</f>
        <v>30</v>
      </c>
      <c r="I51">
        <f>I29</f>
        <v>20.5</v>
      </c>
      <c r="J51">
        <f>IF($D$4="Total",T29,IF($D$4="Left",L29,IF($D$4="Right",P29,"error")))</f>
        <v>0.23300000000000001</v>
      </c>
      <c r="K51">
        <f>IF($D$4="Total",U29,IF($D$4="Left",M29,IF($D$4="Right",Q29,"error")))</f>
        <v>1.7000000000000001E-2</v>
      </c>
      <c r="L51">
        <f>IF($D$4="Total",V29,IF($D$4="Left",N29,IF($D$4="Right",R29,"error")))</f>
        <v>0.23599999999999999</v>
      </c>
      <c r="M51">
        <f>IF($D$4="Total",W29,IF($D$4="Left",O29,IF($D$4="Right",S29,"error")))</f>
        <v>1.6E-2</v>
      </c>
      <c r="N51">
        <f t="shared" si="4"/>
        <v>1.6605178673019048E-2</v>
      </c>
      <c r="O51" s="59">
        <f t="shared" si="5"/>
        <v>-0.1778582413236196</v>
      </c>
      <c r="P51" s="63">
        <f t="shared" si="6"/>
        <v>8.245352854807747E-2</v>
      </c>
      <c r="Q51" s="59">
        <f t="shared" si="7"/>
        <v>0.56280856005421087</v>
      </c>
      <c r="R51" s="59">
        <f t="shared" si="8"/>
        <v>12.128043730923102</v>
      </c>
      <c r="S51" s="59">
        <f t="shared" si="9"/>
        <v>-2.1570725286779329</v>
      </c>
      <c r="T51" s="59">
        <f t="shared" si="10"/>
        <v>0.38365312635815013</v>
      </c>
      <c r="U51" s="23">
        <f t="shared" si="11"/>
        <v>147.08944473918314</v>
      </c>
      <c r="V51" s="59">
        <f t="shared" si="12"/>
        <v>7.8556703040274627</v>
      </c>
      <c r="W51" s="59">
        <f t="shared" si="13"/>
        <v>-1.3971957046925085</v>
      </c>
      <c r="AF51" s="59">
        <f t="shared" si="14"/>
        <v>-0.1778582413236196</v>
      </c>
      <c r="AG51" s="59">
        <f t="shared" si="15"/>
        <v>0.56280856005421087</v>
      </c>
      <c r="AH51" s="59">
        <f t="shared" si="16"/>
        <v>0.56280856005421087</v>
      </c>
      <c r="AJ51">
        <f t="shared" si="17"/>
        <v>0.28714722451745456</v>
      </c>
      <c r="AK51">
        <f t="shared" si="18"/>
        <v>3.4825340961608839</v>
      </c>
      <c r="AL51">
        <f t="shared" si="19"/>
        <v>-0.61939738969271596</v>
      </c>
      <c r="AN51" t="str">
        <f t="shared" ref="AN51:AO54" si="28">E51</f>
        <v>Lavretsky H</v>
      </c>
      <c r="AO51">
        <f t="shared" si="28"/>
        <v>2005</v>
      </c>
      <c r="AP51" t="str">
        <f t="shared" si="21"/>
        <v>Lavretsky H 2005</v>
      </c>
      <c r="AQ51">
        <f t="shared" si="22"/>
        <v>30</v>
      </c>
      <c r="AR51">
        <f t="shared" ref="AR51:AS54" si="29">J51</f>
        <v>0.23300000000000001</v>
      </c>
      <c r="AS51">
        <f t="shared" si="29"/>
        <v>1.7000000000000001E-2</v>
      </c>
      <c r="AT51">
        <f t="shared" si="24"/>
        <v>20</v>
      </c>
      <c r="AU51">
        <f t="shared" ref="AU51:AV54" si="30">L51</f>
        <v>0.23599999999999999</v>
      </c>
      <c r="AV51">
        <f t="shared" si="30"/>
        <v>1.6E-2</v>
      </c>
      <c r="AW51" s="65">
        <f t="shared" si="26"/>
        <v>-0.1778582413236196</v>
      </c>
      <c r="AX51">
        <f t="shared" si="27"/>
        <v>0.28714722451745456</v>
      </c>
    </row>
    <row r="52" spans="5:50">
      <c r="E52" t="str">
        <f t="shared" ref="E52:F54" si="31">E32</f>
        <v>Bremner JD</v>
      </c>
      <c r="F52">
        <f t="shared" si="31"/>
        <v>2000</v>
      </c>
      <c r="G52">
        <v>3</v>
      </c>
      <c r="H52">
        <f t="shared" ref="H52:I54" si="32">H32</f>
        <v>16</v>
      </c>
      <c r="I52">
        <f t="shared" si="32"/>
        <v>16</v>
      </c>
      <c r="J52">
        <f t="shared" ref="J52:M53" si="33">IF($D$4="Total",T32,IF($D$4="Left",L32,IF($D$4="Right",P32,"error")))</f>
        <v>283957</v>
      </c>
      <c r="K52">
        <f t="shared" si="33"/>
        <v>82412.69175315171</v>
      </c>
      <c r="L52">
        <f t="shared" si="33"/>
        <v>318738</v>
      </c>
      <c r="M52">
        <f t="shared" si="33"/>
        <v>48668.217770943702</v>
      </c>
      <c r="N52">
        <f t="shared" si="4"/>
        <v>67677.349176072195</v>
      </c>
      <c r="O52" s="59">
        <f t="shared" si="5"/>
        <v>-0.5009677311536006</v>
      </c>
      <c r="P52" s="63">
        <f t="shared" si="6"/>
        <v>0.12947200049282229</v>
      </c>
      <c r="Q52" s="59">
        <f t="shared" si="7"/>
        <v>0.70525147081961204</v>
      </c>
      <c r="R52" s="59">
        <f t="shared" si="8"/>
        <v>7.7236776769772577</v>
      </c>
      <c r="S52" s="59">
        <f t="shared" si="9"/>
        <v>-3.8693132819970093</v>
      </c>
      <c r="T52" s="59">
        <f t="shared" si="10"/>
        <v>1.9384010960045335</v>
      </c>
      <c r="U52" s="23">
        <f t="shared" si="11"/>
        <v>59.655196857836806</v>
      </c>
      <c r="V52" s="59">
        <f t="shared" si="12"/>
        <v>5.73673909424451</v>
      </c>
      <c r="W52" s="59">
        <f t="shared" si="13"/>
        <v>-2.8739211682638341</v>
      </c>
      <c r="AF52" s="59">
        <f t="shared" si="14"/>
        <v>-0.5009677311536006</v>
      </c>
      <c r="AG52" s="59">
        <f t="shared" si="15"/>
        <v>0.70525147081961204</v>
      </c>
      <c r="AH52" s="59">
        <f t="shared" si="16"/>
        <v>0.70525147081961204</v>
      </c>
      <c r="AJ52">
        <f t="shared" si="17"/>
        <v>0.35982217898959801</v>
      </c>
      <c r="AK52">
        <f t="shared" si="18"/>
        <v>2.779150531543273</v>
      </c>
      <c r="AL52">
        <f t="shared" si="19"/>
        <v>-1.3922647363215566</v>
      </c>
      <c r="AN52" t="str">
        <f t="shared" si="28"/>
        <v>Bremner JD</v>
      </c>
      <c r="AO52">
        <f t="shared" si="28"/>
        <v>2000</v>
      </c>
      <c r="AP52" t="str">
        <f t="shared" si="21"/>
        <v>Bremner JD 2000</v>
      </c>
      <c r="AQ52">
        <f t="shared" si="22"/>
        <v>16</v>
      </c>
      <c r="AR52">
        <f t="shared" si="29"/>
        <v>283957</v>
      </c>
      <c r="AS52">
        <f t="shared" si="29"/>
        <v>82412.69175315171</v>
      </c>
      <c r="AT52">
        <f t="shared" si="24"/>
        <v>16</v>
      </c>
      <c r="AU52">
        <f t="shared" si="30"/>
        <v>318738</v>
      </c>
      <c r="AV52">
        <f t="shared" si="30"/>
        <v>48668.217770943702</v>
      </c>
      <c r="AW52" s="65">
        <f t="shared" si="26"/>
        <v>-0.5009677311536006</v>
      </c>
      <c r="AX52">
        <f t="shared" si="27"/>
        <v>0.35982217898959801</v>
      </c>
    </row>
    <row r="53" spans="5:50">
      <c r="E53" t="str">
        <f t="shared" si="31"/>
        <v>McIntosh AM</v>
      </c>
      <c r="F53">
        <f t="shared" si="31"/>
        <v>2001</v>
      </c>
      <c r="G53">
        <v>2</v>
      </c>
      <c r="H53">
        <f t="shared" si="32"/>
        <v>9</v>
      </c>
      <c r="I53">
        <f t="shared" si="32"/>
        <v>29</v>
      </c>
      <c r="J53">
        <f t="shared" si="33"/>
        <v>136231</v>
      </c>
      <c r="K53">
        <f t="shared" si="33"/>
        <v>8498.544746013873</v>
      </c>
      <c r="L53">
        <f t="shared" si="33"/>
        <v>144278</v>
      </c>
      <c r="M53">
        <f t="shared" si="33"/>
        <v>19009.736373763841</v>
      </c>
      <c r="N53">
        <f t="shared" si="4"/>
        <v>17237.043651521119</v>
      </c>
      <c r="O53" s="59">
        <f t="shared" si="5"/>
        <v>-0.45704947886968955</v>
      </c>
      <c r="P53" s="63">
        <f t="shared" si="6"/>
        <v>0.14866043206496365</v>
      </c>
      <c r="Q53" s="59">
        <f t="shared" si="7"/>
        <v>0.75570755972185721</v>
      </c>
      <c r="R53" s="59">
        <f t="shared" si="8"/>
        <v>6.7267394969160756</v>
      </c>
      <c r="S53" s="59">
        <f t="shared" si="9"/>
        <v>-3.0744527815576501</v>
      </c>
      <c r="T53" s="59">
        <f t="shared" si="10"/>
        <v>1.4051770416203915</v>
      </c>
      <c r="U53" s="23">
        <f t="shared" si="11"/>
        <v>45.249024259370735</v>
      </c>
      <c r="V53" s="59">
        <f t="shared" si="12"/>
        <v>5.1678654962112187</v>
      </c>
      <c r="W53" s="59">
        <f t="shared" si="13"/>
        <v>-2.3619702319119873</v>
      </c>
      <c r="AF53" s="59">
        <f t="shared" si="14"/>
        <v>-0.45704947886968955</v>
      </c>
      <c r="AG53" s="59">
        <f t="shared" si="15"/>
        <v>0.75570755972185721</v>
      </c>
      <c r="AH53" s="59">
        <f t="shared" si="16"/>
        <v>0.75570755972185721</v>
      </c>
      <c r="AJ53">
        <f t="shared" si="17"/>
        <v>0.38556508149074348</v>
      </c>
      <c r="AK53">
        <f t="shared" si="18"/>
        <v>2.5935958622954494</v>
      </c>
      <c r="AL53">
        <f t="shared" si="19"/>
        <v>-1.1854016372607181</v>
      </c>
      <c r="AN53" t="str">
        <f t="shared" si="28"/>
        <v>McIntosh AM</v>
      </c>
      <c r="AO53">
        <f t="shared" si="28"/>
        <v>2001</v>
      </c>
      <c r="AP53" t="str">
        <f t="shared" si="21"/>
        <v>McIntosh AM 2001</v>
      </c>
      <c r="AQ53">
        <f t="shared" si="22"/>
        <v>9</v>
      </c>
      <c r="AR53">
        <f t="shared" si="29"/>
        <v>136231</v>
      </c>
      <c r="AS53">
        <f t="shared" si="29"/>
        <v>8498.544746013873</v>
      </c>
      <c r="AT53">
        <f t="shared" si="24"/>
        <v>29</v>
      </c>
      <c r="AU53">
        <f t="shared" si="30"/>
        <v>144278</v>
      </c>
      <c r="AV53">
        <f t="shared" si="30"/>
        <v>19009.736373763841</v>
      </c>
      <c r="AW53" s="65">
        <f t="shared" si="26"/>
        <v>-0.45704947886968955</v>
      </c>
      <c r="AX53">
        <f t="shared" si="27"/>
        <v>0.38556508149074348</v>
      </c>
    </row>
    <row r="54" spans="5:50">
      <c r="E54" t="str">
        <f t="shared" si="31"/>
        <v>Nolan CL</v>
      </c>
      <c r="F54">
        <f t="shared" si="31"/>
        <v>2002</v>
      </c>
      <c r="G54">
        <v>1</v>
      </c>
      <c r="H54">
        <f t="shared" si="32"/>
        <v>22</v>
      </c>
      <c r="I54">
        <f t="shared" si="32"/>
        <v>22</v>
      </c>
      <c r="J54">
        <f>IF($D$4="Total",T34,IF($D$4="Left",L34,IF($D$4="Right",P34,"error")))</f>
        <v>148.32</v>
      </c>
      <c r="K54">
        <f>IF($D$4="Total",U34,IF($D$4="Left",M34,IF($D$4="Right",Q34,"error")))</f>
        <v>21.506968638094957</v>
      </c>
      <c r="L54">
        <f>IF($D$4="Total",V34,IF($D$4="Left",N34,IF($D$4="Right",R34,"error")))</f>
        <v>145.32</v>
      </c>
      <c r="M54">
        <f>IF($D$4="Total",W34,IF($D$4="Left",O34,IF($D$4="Right",S34,"error")))</f>
        <v>20.472968031040345</v>
      </c>
      <c r="N54">
        <f t="shared" si="4"/>
        <v>20.996334441992488</v>
      </c>
      <c r="O54" s="59">
        <f t="shared" si="5"/>
        <v>0.14031533897359472</v>
      </c>
      <c r="P54" s="63">
        <f t="shared" si="6"/>
        <v>9.1154827233994484E-2</v>
      </c>
      <c r="Q54" s="59">
        <f t="shared" si="7"/>
        <v>0.59176041123254708</v>
      </c>
      <c r="R54" s="59">
        <f t="shared" si="8"/>
        <v>10.97034606223321</v>
      </c>
      <c r="S54" s="59">
        <f t="shared" si="9"/>
        <v>1.5393078263798929</v>
      </c>
      <c r="T54" s="59">
        <f t="shared" si="10"/>
        <v>0.21598849944320195</v>
      </c>
      <c r="U54" s="23">
        <f t="shared" si="11"/>
        <v>120.34849272515569</v>
      </c>
      <c r="V54" s="59">
        <f t="shared" si="12"/>
        <v>7.3530556161627878</v>
      </c>
      <c r="W54" s="59">
        <f t="shared" si="13"/>
        <v>1.0317464912735759</v>
      </c>
      <c r="AF54" s="59">
        <f t="shared" si="14"/>
        <v>0.14031533897359472</v>
      </c>
      <c r="AG54" s="59">
        <f t="shared" si="15"/>
        <v>0.59176041123254708</v>
      </c>
      <c r="AH54" s="59">
        <f t="shared" si="16"/>
        <v>0.59176041123254708</v>
      </c>
      <c r="AJ54">
        <f t="shared" si="17"/>
        <v>0.3019185771594628</v>
      </c>
      <c r="AK54">
        <f t="shared" si="18"/>
        <v>3.3121512740563661</v>
      </c>
      <c r="AL54">
        <f t="shared" si="19"/>
        <v>0.46474562875104264</v>
      </c>
      <c r="AN54" t="str">
        <f t="shared" si="28"/>
        <v>Nolan CL</v>
      </c>
      <c r="AO54">
        <f t="shared" si="28"/>
        <v>2002</v>
      </c>
      <c r="AP54" t="str">
        <f t="shared" si="21"/>
        <v>Nolan CL 2002</v>
      </c>
      <c r="AQ54">
        <f t="shared" si="22"/>
        <v>22</v>
      </c>
      <c r="AR54">
        <f t="shared" si="29"/>
        <v>148.32</v>
      </c>
      <c r="AS54">
        <f t="shared" si="29"/>
        <v>21.506968638094957</v>
      </c>
      <c r="AT54">
        <f t="shared" si="24"/>
        <v>22</v>
      </c>
      <c r="AU54">
        <f t="shared" si="30"/>
        <v>145.32</v>
      </c>
      <c r="AV54">
        <f t="shared" si="30"/>
        <v>20.472968031040345</v>
      </c>
      <c r="AW54" s="65">
        <f t="shared" si="26"/>
        <v>0.14031533897359472</v>
      </c>
      <c r="AX54">
        <f t="shared" si="27"/>
        <v>0.3019185771594628</v>
      </c>
    </row>
    <row r="55" spans="5:50">
      <c r="U55" s="23"/>
    </row>
    <row r="56" spans="5:50">
      <c r="L56" t="s">
        <v>500</v>
      </c>
      <c r="N56" s="7"/>
      <c r="O56" s="66">
        <f>COUNT(O46:O54)</f>
        <v>9</v>
      </c>
      <c r="Q56" t="s">
        <v>885</v>
      </c>
      <c r="R56" s="59">
        <f t="shared" ref="R56:W56" si="34">SUM(R46:R54)</f>
        <v>107.64134749628484</v>
      </c>
      <c r="S56" s="59">
        <f t="shared" si="34"/>
        <v>-33.051272932854118</v>
      </c>
      <c r="T56" s="59">
        <f t="shared" si="34"/>
        <v>22.33113278624328</v>
      </c>
      <c r="U56" s="23">
        <f t="shared" si="34"/>
        <v>1546.4028325756221</v>
      </c>
      <c r="V56" s="59">
        <f t="shared" si="34"/>
        <v>67.296162327648545</v>
      </c>
      <c r="W56" s="59">
        <f t="shared" si="34"/>
        <v>-19.612092311088002</v>
      </c>
    </row>
    <row r="57" spans="5:50">
      <c r="L57" t="s">
        <v>501</v>
      </c>
      <c r="N57" s="7"/>
      <c r="O57" s="2">
        <v>2</v>
      </c>
    </row>
    <row r="58" spans="5:50">
      <c r="N58" s="7"/>
      <c r="O58" s="7"/>
    </row>
    <row r="59" spans="5:50">
      <c r="G59" s="67" t="s">
        <v>502</v>
      </c>
      <c r="H59" s="40"/>
      <c r="I59" s="40">
        <f>S56/R56</f>
        <v>-0.30704997384016269</v>
      </c>
      <c r="J59" s="40"/>
      <c r="K59" s="68" t="s">
        <v>879</v>
      </c>
      <c r="L59" s="40"/>
      <c r="M59" s="42"/>
      <c r="N59" s="7"/>
      <c r="O59" s="69" t="s">
        <v>503</v>
      </c>
      <c r="P59" s="70">
        <f>T56-((S56^2)/R56)</f>
        <v>12.182740296826347</v>
      </c>
      <c r="Q59" s="71" t="s">
        <v>824</v>
      </c>
      <c r="R59" s="28"/>
      <c r="S59" s="29"/>
      <c r="T59" s="30"/>
      <c r="U59" s="31"/>
      <c r="AF59" s="2" t="s">
        <v>1518</v>
      </c>
    </row>
    <row r="60" spans="5:50">
      <c r="G60" s="43" t="s">
        <v>504</v>
      </c>
      <c r="H60" s="31"/>
      <c r="I60" s="31">
        <f>1/R56</f>
        <v>9.290110382857427E-3</v>
      </c>
      <c r="J60" s="31"/>
      <c r="K60" s="31"/>
      <c r="L60" s="31"/>
      <c r="M60" s="44"/>
      <c r="N60" s="7"/>
      <c r="O60" s="30" t="s">
        <v>505</v>
      </c>
      <c r="P60" s="31">
        <f>CHIDIST(P59,I64-1)</f>
        <v>0.14323480781432932</v>
      </c>
      <c r="Q60" s="31"/>
      <c r="R60" s="31"/>
      <c r="S60" s="34"/>
      <c r="T60" s="30"/>
      <c r="U60" s="31"/>
      <c r="AF60" s="2"/>
    </row>
    <row r="61" spans="5:50">
      <c r="G61" s="72" t="s">
        <v>506</v>
      </c>
      <c r="H61" s="31"/>
      <c r="I61" s="31">
        <f>$R$71*SQRT(I60)</f>
        <v>0.18891502864194021</v>
      </c>
      <c r="J61" s="31"/>
      <c r="K61" s="31" t="s">
        <v>507</v>
      </c>
      <c r="L61" s="31"/>
      <c r="M61" s="44">
        <f>ABS(I59/SQRT(I60))</f>
        <v>3.1856541697768979</v>
      </c>
      <c r="N61" s="7"/>
      <c r="O61" s="35" t="s">
        <v>508</v>
      </c>
      <c r="P61" s="37">
        <f>IF(((P59-(I64-1))/P59)&lt;0,0,100*((P59-(I64-1))/P59))</f>
        <v>34.333328913823827</v>
      </c>
      <c r="Q61" s="36"/>
      <c r="R61" s="36"/>
      <c r="S61" s="38"/>
      <c r="T61" s="30"/>
      <c r="U61" s="31"/>
      <c r="AF61" s="2" t="s">
        <v>1535</v>
      </c>
      <c r="AH61">
        <f>IF($D$6=1,100*((EXP(I59))-1),I59)</f>
        <v>-0.30704997384016269</v>
      </c>
    </row>
    <row r="62" spans="5:50">
      <c r="G62" s="45" t="s">
        <v>509</v>
      </c>
      <c r="H62" s="46"/>
      <c r="I62" s="46">
        <v>-2</v>
      </c>
      <c r="J62" s="46"/>
      <c r="K62" s="46" t="s">
        <v>825</v>
      </c>
      <c r="L62" s="46"/>
      <c r="M62" s="47">
        <f>2*(1-NORMDIST(M61,0,1,1))</f>
        <v>1.444271287431631E-3</v>
      </c>
      <c r="N62" s="7"/>
      <c r="O62" s="7"/>
      <c r="AF62" s="79" t="s">
        <v>834</v>
      </c>
      <c r="AH62">
        <f>IF($D$6=1,100*(EXP(I59+I61)-EXP(I59)),I61)</f>
        <v>0.18891502864194021</v>
      </c>
    </row>
    <row r="63" spans="5:50">
      <c r="G63" s="40"/>
      <c r="H63" s="40"/>
      <c r="I63" s="40"/>
      <c r="J63" s="40"/>
      <c r="K63" s="40"/>
      <c r="L63" s="40"/>
      <c r="M63" s="40"/>
      <c r="N63" s="7"/>
      <c r="O63" s="7"/>
      <c r="AF63" s="79" t="s">
        <v>835</v>
      </c>
      <c r="AH63">
        <f>IF($D$6=1,100*(EXP(I59)-EXP(I59-I61)),I61)</f>
        <v>0.18891502864194021</v>
      </c>
    </row>
    <row r="64" spans="5:50">
      <c r="G64" s="73" t="s">
        <v>1110</v>
      </c>
      <c r="H64" s="74"/>
      <c r="I64" s="74">
        <f>O56</f>
        <v>9</v>
      </c>
      <c r="J64" s="74"/>
      <c r="K64" s="75" t="s">
        <v>1167</v>
      </c>
      <c r="L64" s="74"/>
      <c r="M64" s="76"/>
      <c r="N64" s="77"/>
      <c r="O64" s="101" t="s">
        <v>1513</v>
      </c>
      <c r="P64" s="102"/>
      <c r="Q64" s="103"/>
      <c r="AF64" s="7"/>
    </row>
    <row r="65" spans="7:34">
      <c r="G65" s="77" t="s">
        <v>1531</v>
      </c>
      <c r="H65" s="31"/>
      <c r="I65" s="31">
        <f>R56/I64</f>
        <v>11.960149721809426</v>
      </c>
      <c r="J65" s="31"/>
      <c r="K65" s="31"/>
      <c r="L65" s="31"/>
      <c r="M65" s="78"/>
      <c r="N65" s="77"/>
      <c r="O65" s="104" t="s">
        <v>1514</v>
      </c>
      <c r="P65" s="31"/>
      <c r="Q65" s="105">
        <f>INDEX(LINEST(AL46:AL54,AK46:AK54,TRUE,TRUE),1,2)</f>
        <v>1.5928640318010008</v>
      </c>
      <c r="AF65" s="2" t="s">
        <v>1687</v>
      </c>
      <c r="AH65">
        <f>IF($D$6=1,100*((EXP(I70))-1),I70)</f>
        <v>-0.29142957982658096</v>
      </c>
    </row>
    <row r="66" spans="7:34">
      <c r="G66" s="77" t="s">
        <v>1532</v>
      </c>
      <c r="H66" s="31"/>
      <c r="I66" s="31">
        <f>(1/(I64-1))*(U56-(I64*I65^2))</f>
        <v>32.374525032842399</v>
      </c>
      <c r="J66" s="31"/>
      <c r="K66" s="31"/>
      <c r="L66" s="31"/>
      <c r="M66" s="78"/>
      <c r="N66" s="77"/>
      <c r="O66" s="104" t="s">
        <v>1516</v>
      </c>
      <c r="P66" s="31"/>
      <c r="Q66" s="105">
        <f>INDEX(LINEST(AL46:AL54,AK46:AK54,TRUE,TRUE),2,2)</f>
        <v>2.0448496068194149</v>
      </c>
      <c r="AF66" s="79" t="s">
        <v>834</v>
      </c>
      <c r="AG66" s="7"/>
      <c r="AH66">
        <f>IF($D$6=1,100*(EXP(I70+I72)-EXP(I70)),I72)</f>
        <v>0.23892462996318239</v>
      </c>
    </row>
    <row r="67" spans="7:34">
      <c r="G67" s="77" t="s">
        <v>1669</v>
      </c>
      <c r="H67" s="31"/>
      <c r="I67" s="31">
        <f>(I64-1)*(I65-(I66/(I64*I65)))</f>
        <v>93.27509448529392</v>
      </c>
      <c r="J67" s="31"/>
      <c r="K67" s="31"/>
      <c r="L67" s="31"/>
      <c r="M67" s="78"/>
      <c r="N67" s="77"/>
      <c r="O67" s="104" t="s">
        <v>1349</v>
      </c>
      <c r="P67" s="31"/>
      <c r="Q67" s="105">
        <f>ABS(Q65/Q66)</f>
        <v>0.77896390350122702</v>
      </c>
      <c r="AF67" s="79" t="s">
        <v>835</v>
      </c>
      <c r="AH67">
        <f>IF($D$6=1,100*(EXP(I70)-EXP(I70-I72)),I72)</f>
        <v>0.23892462996318239</v>
      </c>
    </row>
    <row r="68" spans="7:34">
      <c r="G68" s="77" t="s">
        <v>1685</v>
      </c>
      <c r="H68" s="31"/>
      <c r="I68" s="31">
        <f>IF(P59&gt;(I64-1),(P59-(I64-1))/I67,0)</f>
        <v>4.4843056122401602E-2</v>
      </c>
      <c r="J68" s="31"/>
      <c r="K68" s="31"/>
      <c r="L68" s="31"/>
      <c r="M68" s="78"/>
      <c r="N68" s="77"/>
      <c r="O68" s="106" t="s">
        <v>1515</v>
      </c>
      <c r="P68" s="107"/>
      <c r="Q68" s="108">
        <f>TDIST(Q67,I64-2,2)</f>
        <v>0.46151783301642435</v>
      </c>
    </row>
    <row r="69" spans="7:34">
      <c r="G69" s="77"/>
      <c r="H69" s="31"/>
      <c r="I69" s="31"/>
      <c r="J69" s="31"/>
      <c r="K69" s="31"/>
      <c r="L69" s="31"/>
      <c r="M69" s="78"/>
      <c r="N69" s="77"/>
    </row>
    <row r="70" spans="7:34">
      <c r="G70" s="77" t="s">
        <v>1686</v>
      </c>
      <c r="H70" s="31"/>
      <c r="I70" s="31">
        <f>W56/V56</f>
        <v>-0.29142957982658096</v>
      </c>
      <c r="J70" s="31"/>
      <c r="N70" s="77"/>
    </row>
    <row r="71" spans="7:34">
      <c r="G71" s="77" t="s">
        <v>504</v>
      </c>
      <c r="H71" s="31"/>
      <c r="I71" s="31">
        <f>1/V56</f>
        <v>1.4859688359809357E-2</v>
      </c>
      <c r="J71" s="31"/>
      <c r="N71" s="77"/>
      <c r="O71" t="s">
        <v>805</v>
      </c>
      <c r="R71">
        <v>1.96</v>
      </c>
    </row>
    <row r="72" spans="7:34">
      <c r="G72" s="80" t="s">
        <v>506</v>
      </c>
      <c r="H72" s="31"/>
      <c r="I72" s="31">
        <f>$R$71*SQRT(I71)</f>
        <v>0.23892462996318239</v>
      </c>
      <c r="J72" s="31"/>
      <c r="K72" s="31" t="s">
        <v>507</v>
      </c>
      <c r="L72" s="31"/>
      <c r="M72" s="78">
        <f>ABS(I70/(SQRT(I71)))</f>
        <v>2.3907203562400383</v>
      </c>
      <c r="N72" s="77"/>
    </row>
    <row r="73" spans="7:34">
      <c r="G73" s="81" t="s">
        <v>509</v>
      </c>
      <c r="H73" s="82"/>
      <c r="I73" s="82">
        <v>-3</v>
      </c>
      <c r="J73" s="82"/>
      <c r="K73" s="31" t="s">
        <v>825</v>
      </c>
      <c r="L73" s="31"/>
      <c r="M73" s="78">
        <f>2*(1-NORMDIST(M72,0,1,1))</f>
        <v>1.6815355100511464E-2</v>
      </c>
      <c r="N73" s="77"/>
    </row>
    <row r="74" spans="7:34">
      <c r="G74" s="74"/>
      <c r="H74" s="74"/>
      <c r="I74" s="74"/>
      <c r="J74" s="74"/>
      <c r="K74" s="74"/>
      <c r="L74" s="74"/>
      <c r="M74" s="74"/>
      <c r="N74" s="31"/>
      <c r="O74" s="7"/>
    </row>
  </sheetData>
  <phoneticPr fontId="10" type="noConversion"/>
  <conditionalFormatting sqref="D17 D13 F13">
    <cfRule type="cellIs" dxfId="60" priority="0" stopIfTrue="1" operator="lessThan">
      <formula>0.05</formula>
    </cfRule>
  </conditionalFormatting>
  <conditionalFormatting sqref="D21">
    <cfRule type="cellIs" dxfId="5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sheetPr published="0" codeName="Sheet71" enableFormatConditionsCalculation="0"/>
  <dimension ref="A1:BP6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1004</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I52-O45</f>
        <v>6</v>
      </c>
      <c r="AD7" s="89"/>
    </row>
    <row r="8" spans="2:30">
      <c r="B8" t="s">
        <v>822</v>
      </c>
      <c r="D8">
        <f>SUM(H24:H29)</f>
        <v>220</v>
      </c>
      <c r="AD8" s="89"/>
    </row>
    <row r="9" spans="2:30">
      <c r="B9" t="s">
        <v>823</v>
      </c>
      <c r="D9">
        <f>SUM(I24:I29)</f>
        <v>224</v>
      </c>
      <c r="AD9" s="89"/>
    </row>
    <row r="11" spans="2:30">
      <c r="B11" s="27" t="s">
        <v>516</v>
      </c>
      <c r="C11" s="28"/>
      <c r="D11" s="109">
        <f>P47</f>
        <v>8.3225100929894715</v>
      </c>
      <c r="E11" s="110" t="s">
        <v>1513</v>
      </c>
      <c r="F11" s="103"/>
    </row>
    <row r="12" spans="2:30">
      <c r="B12" s="30" t="s">
        <v>826</v>
      </c>
      <c r="C12" s="31"/>
      <c r="D12" s="112">
        <f>P49</f>
        <v>39.921971326754083</v>
      </c>
      <c r="E12" s="31"/>
      <c r="F12" s="105"/>
    </row>
    <row r="13" spans="2:30">
      <c r="B13" s="35" t="s">
        <v>825</v>
      </c>
      <c r="C13" s="36"/>
      <c r="D13" s="113">
        <f>P48</f>
        <v>0.13933436428284748</v>
      </c>
      <c r="E13" s="111" t="s">
        <v>825</v>
      </c>
      <c r="F13" s="115">
        <f>Q56</f>
        <v>0.58551028956276796</v>
      </c>
    </row>
    <row r="15" spans="2:30">
      <c r="B15" s="39" t="s">
        <v>879</v>
      </c>
      <c r="C15" s="40"/>
      <c r="D15" s="41">
        <f>AH49</f>
        <v>0.39090516481125698</v>
      </c>
      <c r="E15" s="116"/>
    </row>
    <row r="16" spans="2:30">
      <c r="B16" s="43" t="s">
        <v>1165</v>
      </c>
      <c r="C16" s="31"/>
      <c r="D16" s="33">
        <f>AH49-AH51</f>
        <v>0.18588064181031672</v>
      </c>
      <c r="E16" s="117">
        <f>AH49+AH50</f>
        <v>0.59592968781219724</v>
      </c>
    </row>
    <row r="17" spans="1:68">
      <c r="B17" s="45" t="s">
        <v>1166</v>
      </c>
      <c r="C17" s="46"/>
      <c r="D17" s="123">
        <f>M50</f>
        <v>1.8623802172723636E-4</v>
      </c>
      <c r="E17" s="118"/>
    </row>
    <row r="18" spans="1:68">
      <c r="D18" s="48"/>
      <c r="F18" s="49"/>
    </row>
    <row r="19" spans="1:68">
      <c r="B19" s="50" t="s">
        <v>1167</v>
      </c>
      <c r="C19" s="51"/>
      <c r="D19" s="52">
        <f>AH53</f>
        <v>0.40717511984122656</v>
      </c>
      <c r="E19" s="120"/>
      <c r="F19" s="33"/>
      <c r="G19" s="31"/>
    </row>
    <row r="20" spans="1:68">
      <c r="B20" s="53" t="s">
        <v>1165</v>
      </c>
      <c r="C20" s="31"/>
      <c r="D20" s="33">
        <f>AH53-AH55</f>
        <v>0.13151984297443076</v>
      </c>
      <c r="E20" s="121">
        <f>AH53+AH54</f>
        <v>0.68283039670802237</v>
      </c>
      <c r="F20" s="31"/>
      <c r="G20" s="31"/>
    </row>
    <row r="21" spans="1:68">
      <c r="B21" s="54" t="s">
        <v>1440</v>
      </c>
      <c r="C21" s="55"/>
      <c r="D21" s="114">
        <f>M61</f>
        <v>3.7897800293444917E-3</v>
      </c>
      <c r="E21" s="56"/>
      <c r="F21" s="119"/>
      <c r="G21" s="31"/>
      <c r="L21" s="4" t="s">
        <v>1511</v>
      </c>
      <c r="N21" s="4"/>
      <c r="O21" s="4"/>
      <c r="Q21" s="4" t="str">
        <f>IF(D6=1,F6,CONCATENATE(F6," with ",F5))</f>
        <v>Cohens Effect size with H Correction</v>
      </c>
    </row>
    <row r="22" spans="1:68">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8"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row>
    <row r="24" spans="1:68">
      <c r="B24">
        <v>1715677</v>
      </c>
      <c r="C24" s="1" t="str">
        <f>IF($B24="","",HYPERLINK(IF(LEN(VLOOKUP($B24,Database!$B$1:$IX$10144,2,FALSE))=0,"",VLOOKUP($B24,Database!$B$1:$IX$10144,2,FALSE))))</f>
        <v/>
      </c>
      <c r="D24" s="1" t="str">
        <f t="shared" ref="D24:D34" si="0">IF($B24="","",HYPERLINK(CONCATENATE("http://www.ncbi.nlm.nih.gov/pubmed/",B24)))</f>
        <v>http://www.ncbi.nlm.nih.gov/pubmed/1715677</v>
      </c>
      <c r="E24" s="22" t="str">
        <f>IF($B24="","",IF(LEN(VLOOKUP($B24,Database!$B$1:$IX$10144,4,FALSE))=0,"",VLOOKUP($B24,Database!$B$1:$IX$10144,4,FALSE)))</f>
        <v>Lewine RR</v>
      </c>
      <c r="F24" s="22">
        <f>IF($B24="","",IF(LEN(VLOOKUP($B24,Database!$B$1:$IX$10144,5,FALSE))=0,"",VLOOKUP($B24,Database!$B$1:$IX$10144,5,FALSE)))</f>
        <v>1991</v>
      </c>
      <c r="G24" s="1" t="str">
        <f>IF($B24="","",HYPERLINK(IF(LEN(VLOOKUP($B24,Database!$B$1:$IX$10144,6,FALSE))=0,"",VLOOKUP($B24,Database!$B$1:$IX$10144,6,FALSE))))</f>
        <v>http://neuro.psychiatryonline.org/cgi/reprint/3/1/33</v>
      </c>
      <c r="H24" s="22">
        <f>IF($B24="","",IF(LEN(VLOOKUP($B24,Database!$B$1:$IX$10144,7,FALSE))=0,"",VLOOKUP($B24,Database!$B$1:$IX$10144,7,FALSE)))</f>
        <v>12</v>
      </c>
      <c r="I24" s="22">
        <f>IF($B24="","",IF(LEN(VLOOKUP($B24,Database!$B$1:$IX$10144,8,FALSE))=0,"",VLOOKUP($B24,Database!$B$1:$IX$10144,8,FALSE)))</f>
        <v>68</v>
      </c>
      <c r="J24" t="s">
        <v>1828</v>
      </c>
      <c r="T24">
        <v>8.9</v>
      </c>
      <c r="U24">
        <v>2.9</v>
      </c>
      <c r="V24">
        <v>8.8000000000000007</v>
      </c>
      <c r="W24">
        <v>1.9</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t="str">
        <f>IF(OR($B24="",AB$22=""),"",IF(LEN(VLOOKUP($B24,Database!$B$1:$IX$10144,AB$22,FALSE))=0,"",VLOOKUP($B24,Database!$B$1:$IX$10144,AB$22,FALSE)))</f>
        <v>ns</v>
      </c>
      <c r="AC24" s="22" t="str">
        <f>IF(OR($B24="",AC$22=""),"",IF(LEN(VLOOKUP($B24,Database!$B$1:$IX$10144,AC$22,FALSE))=0,"",VLOOKUP($B24,Database!$B$1:$IX$10144,AC$22,FALSE)))</f>
        <v>ns</v>
      </c>
      <c r="AD24" s="22" t="str">
        <f>IF(OR($B24="",AD$22=""),"",IF(LEN(VLOOKUP($B24,Database!$B$1:$IX$10144,AD$22,FALSE))=0,"",VLOOKUP($B24,Database!$B$1:$IX$10144,AD$22,FALSE)))</f>
        <v>ns</v>
      </c>
      <c r="AE24" s="22" t="str">
        <f>IF(OR($B24="",AE$22=""),"",IF(LEN(VLOOKUP($B24,Database!$B$1:$IX$10144,AE$22,FALSE))=0,"",VLOOKUP($B24,Database!$B$1:$IX$10144,AE$22,FALSE)))</f>
        <v>ns</v>
      </c>
      <c r="AF24" s="22" t="str">
        <f>IF(OR($B24="",AF$22=""),"",IF(LEN(VLOOKUP($B24,Database!$B$1:$IX$10144,AF$22,FALSE))=0,"",VLOOKUP($B24,Database!$B$1:$IX$10144,AF$22,FALSE)))</f>
        <v>ns</v>
      </c>
      <c r="AG24" s="22" t="str">
        <f>IF(OR($B24="",AG$22=""),"",IF(LEN(VLOOKUP($B24,Database!$B$1:$IX$10144,AG$22,FALSE))=0,"",VLOOKUP($B24,Database!$B$1:$IX$10144,AG$22,FALSE)))</f>
        <v>ns</v>
      </c>
      <c r="AH24" s="22">
        <f>IF(OR($B24="",AH$22=""),"",IF(LEN(VLOOKUP($B24,Database!$B$1:$IX$10144,AH$22,FALSE))=0,"",VLOOKUP($B24,Database!$B$1:$IX$10144,AH$22,FALSE)))</f>
        <v>1</v>
      </c>
      <c r="AI24" s="22">
        <f>IF(OR($B24="",AI$22=""),"",IF(LEN(VLOOKUP($B24,Database!$B$1:$IX$10144,AI$22,FALSE))=0,"",VLOOKUP($B24,Database!$B$1:$IX$10144,AI$22,FALSE)))</f>
        <v>8</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Lewine RR, Risch SC, Risby E, Stipetic M, Jewart RD, Eccard M, Caudle J, Pollard W.</v>
      </c>
      <c r="AR24" s="13"/>
      <c r="BC24" s="23"/>
      <c r="BF24" s="136"/>
      <c r="BG24" s="136"/>
      <c r="BH24" s="136"/>
      <c r="BI24" s="136"/>
    </row>
    <row r="25" spans="1:68">
      <c r="B25">
        <v>9089060</v>
      </c>
      <c r="C25" s="1" t="str">
        <f>IF($B25="","",HYPERLINK(IF(LEN(VLOOKUP($B25,Database!$B$1:$IX$10144,2,FALSE))=0,"",VLOOKUP($B25,Database!$B$1:$IX$10144,2,FALSE))))</f>
        <v/>
      </c>
      <c r="D25" s="1" t="str">
        <f t="shared" si="0"/>
        <v>http://www.ncbi.nlm.nih.gov/pubmed/9089060</v>
      </c>
      <c r="E25" s="22" t="str">
        <f>IF($B25="","",IF(LEN(VLOOKUP($B25,Database!$B$1:$IX$10144,4,FALSE))=0,"",VLOOKUP($B25,Database!$B$1:$IX$10144,4,FALSE)))</f>
        <v>Pantel J</v>
      </c>
      <c r="F25" s="22">
        <f>IF($B25="","",IF(LEN(VLOOKUP($B25,Database!$B$1:$IX$10144,5,FALSE))=0,"",VLOOKUP($B25,Database!$B$1:$IX$10144,5,FALSE)))</f>
        <v>1997</v>
      </c>
      <c r="G25" s="1" t="str">
        <f>IF($B25="","",HYPERLINK(IF(LEN(VLOOKUP($B25,Database!$B$1:$IX$10144,6,FALSE))=0,"",VLOOKUP($B25,Database!$B$1:$IX$10144,6,FALSE))))</f>
        <v>http://dx.doi.org/10.1016/S0165-0327(96)00105-X</v>
      </c>
      <c r="H25" s="22">
        <f>IF($B25="","",IF(LEN(VLOOKUP($B25,Database!$B$1:$IX$10144,7,FALSE))=0,"",VLOOKUP($B25,Database!$B$1:$IX$10144,7,FALSE)))</f>
        <v>19</v>
      </c>
      <c r="I25" s="22">
        <f>IF($B25="","",IF(LEN(VLOOKUP($B25,Database!$B$1:$IX$10144,8,FALSE))=0,"",VLOOKUP($B25,Database!$B$1:$IX$10144,8,FALSE)))</f>
        <v>13</v>
      </c>
      <c r="J25" t="s">
        <v>1828</v>
      </c>
      <c r="T25">
        <v>10.15</v>
      </c>
      <c r="U25">
        <v>3.8</v>
      </c>
      <c r="V25">
        <v>7.27</v>
      </c>
      <c r="W25">
        <v>2.2999999999999998</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72.400000000000006</v>
      </c>
      <c r="AC25" s="22">
        <f>IF(OR($B25="",AC$22=""),"",IF(LEN(VLOOKUP($B25,Database!$B$1:$IX$10144,AC$22,FALSE))=0,"",VLOOKUP($B25,Database!$B$1:$IX$10144,AC$22,FALSE)))</f>
        <v>8.8000000000000007</v>
      </c>
      <c r="AD25" s="22">
        <f>IF(OR($B25="",AD$22=""),"",IF(LEN(VLOOKUP($B25,Database!$B$1:$IX$10144,AD$22,FALSE))=0,"",VLOOKUP($B25,Database!$B$1:$IX$10144,AD$22,FALSE)))</f>
        <v>68.2</v>
      </c>
      <c r="AE25" s="22">
        <f>IF(OR($B25="",AE$22=""),"",IF(LEN(VLOOKUP($B25,Database!$B$1:$IX$10144,AE$22,FALSE))=0,"",VLOOKUP($B25,Database!$B$1:$IX$10144,AE$22,FALSE)))</f>
        <v>5.3</v>
      </c>
      <c r="AF25" s="22">
        <f>IF(OR($B25="",AF$22=""),"",IF(LEN(VLOOKUP($B25,Database!$B$1:$IX$10144,AF$22,FALSE))=0,"",VLOOKUP($B25,Database!$B$1:$IX$10144,AF$22,FALSE)))</f>
        <v>15</v>
      </c>
      <c r="AG25" s="22">
        <f>IF(OR($B25="",AG$22=""),"",IF(LEN(VLOOKUP($B25,Database!$B$1:$IX$10144,AG$22,FALSE))=0,"",VLOOKUP($B25,Database!$B$1:$IX$10144,AG$22,FALSE)))</f>
        <v>10</v>
      </c>
      <c r="AH25" s="22">
        <f>IF(OR($B25="",AH$22=""),"",IF(LEN(VLOOKUP($B25,Database!$B$1:$IX$10144,AH$22,FALSE))=0,"",VLOOKUP($B25,Database!$B$1:$IX$10144,AH$22,FALSE)))</f>
        <v>1.5</v>
      </c>
      <c r="AI25" s="22">
        <f>IF(OR($B25="",AI$22=""),"",IF(LEN(VLOOKUP($B25,Database!$B$1:$IX$10144,AI$22,FALSE))=0,"",VLOOKUP($B25,Database!$B$1:$IX$10144,AI$22,FALSE)))</f>
        <v>1.25</v>
      </c>
      <c r="AJ25" s="22" t="str">
        <f>IF(OR($B25="",AJ$22=""),"",IF(LEN(VLOOKUP($B25,Database!$B$1:$IX$10144,AJ$22,FALSE))=0,"",VLOOKUP($B25,Database!$B$1:$IX$10144,AJ$22,FALSE)))</f>
        <v/>
      </c>
      <c r="AK25" s="22">
        <f>IF(OR($B25="",AK$22=""),"",IF(LEN(VLOOKUP($B25,Database!$B$1:$IX$10144,AK$22,FALSE))=0,"",VLOOKUP($B25,Database!$B$1:$IX$10144,AK$22,FALSE)))</f>
        <v>64.2</v>
      </c>
      <c r="AL25" s="22">
        <f>IF(OR($B25="",AL$22=""),"",IF(LEN(VLOOKUP($B25,Database!$B$1:$IX$10144,AL$22,FALSE))=0,"",VLOOKUP($B25,Database!$B$1:$IX$10144,AL$22,FALSE)))</f>
        <v>26.7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Pantel J, Schroder J, Essig M, Popp D, Dech H, Knopp MV, Schad LR, Eysenbach K, Backenstrass M, Friedlinger M.</v>
      </c>
      <c r="AR25" s="13"/>
      <c r="BC25" s="23"/>
      <c r="BF25" s="136"/>
      <c r="BG25" s="136"/>
      <c r="BH25" s="136"/>
      <c r="BI25" s="136"/>
    </row>
    <row r="26" spans="1:68">
      <c r="B26">
        <v>9870413</v>
      </c>
      <c r="C26" s="1" t="str">
        <f>IF($B26="","",HYPERLINK(IF(LEN(VLOOKUP($B26,Database!$B$1:$IX$10144,2,FALSE))=0,"",VLOOKUP($B26,Database!$B$1:$IX$10144,2,FALSE))))</f>
        <v/>
      </c>
      <c r="D26" s="1" t="str">
        <f t="shared" si="0"/>
        <v>http://www.ncbi.nlm.nih.gov/pubmed/9870413</v>
      </c>
      <c r="E26" s="22" t="str">
        <f>IF($B26="","",IF(LEN(VLOOKUP($B26,Database!$B$1:$IX$10144,4,FALSE))=0,"",VLOOKUP($B26,Database!$B$1:$IX$10144,4,FALSE)))</f>
        <v>Parashos IA</v>
      </c>
      <c r="F26" s="22">
        <f>IF($B26="","",IF(LEN(VLOOKUP($B26,Database!$B$1:$IX$10144,5,FALSE))=0,"",VLOOKUP($B26,Database!$B$1:$IX$10144,5,FALSE)))</f>
        <v>1998</v>
      </c>
      <c r="G26" s="1" t="str">
        <f>IF($B26="","",HYPERLINK(IF(LEN(VLOOKUP($B26,Database!$B$1:$IX$10144,6,FALSE))=0,"",VLOOKUP($B26,Database!$B$1:$IX$10144,6,FALSE))))</f>
        <v>http://dx.doi.org/10.1016/S0925-4927(98)00042-0</v>
      </c>
      <c r="H26" s="22">
        <f>IF($B26="","",IF(LEN(VLOOKUP($B26,Database!$B$1:$IX$10144,7,FALSE))=0,"",VLOOKUP($B26,Database!$B$1:$IX$10144,7,FALSE)))</f>
        <v>72</v>
      </c>
      <c r="I26" s="22">
        <f>IF($B26="","",IF(LEN(VLOOKUP($B26,Database!$B$1:$IX$10144,8,FALSE))=0,"",VLOOKUP($B26,Database!$B$1:$IX$10144,8,FALSE)))</f>
        <v>38</v>
      </c>
      <c r="J26" t="s">
        <v>1068</v>
      </c>
      <c r="T26">
        <v>27.24</v>
      </c>
      <c r="U26">
        <v>15.25</v>
      </c>
      <c r="V26">
        <v>26.29</v>
      </c>
      <c r="W26">
        <v>16.91</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55.4</v>
      </c>
      <c r="AC26" s="22">
        <f>IF(OR($B26="",AC$22=""),"",IF(LEN(VLOOKUP($B26,Database!$B$1:$IX$10144,AC$22,FALSE))=0,"",VLOOKUP($B26,Database!$B$1:$IX$10144,AC$22,FALSE)))</f>
        <v>16.8</v>
      </c>
      <c r="AD26" s="22">
        <f>IF(OR($B26="",AD$22=""),"",IF(LEN(VLOOKUP($B26,Database!$B$1:$IX$10144,AD$22,FALSE))=0,"",VLOOKUP($B26,Database!$B$1:$IX$10144,AD$22,FALSE)))</f>
        <v>55.1</v>
      </c>
      <c r="AE26" s="22">
        <f>IF(OR($B26="",AE$22=""),"",IF(LEN(VLOOKUP($B26,Database!$B$1:$IX$10144,AE$22,FALSE))=0,"",VLOOKUP($B26,Database!$B$1:$IX$10144,AE$22,FALSE)))</f>
        <v>17.100000000000001</v>
      </c>
      <c r="AF26" s="22">
        <f>IF(OR($B26="",AF$22=""),"",IF(LEN(VLOOKUP($B26,Database!$B$1:$IX$10144,AF$22,FALSE))=0,"",VLOOKUP($B26,Database!$B$1:$IX$10144,AF$22,FALSE)))</f>
        <v>45</v>
      </c>
      <c r="AG26" s="22">
        <f>IF(OR($B26="",AG$22=""),"",IF(LEN(VLOOKUP($B26,Database!$B$1:$IX$10144,AG$22,FALSE))=0,"",VLOOKUP($B26,Database!$B$1:$IX$10144,AG$22,FALSE)))</f>
        <v>22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f>IF(OR($B26="",AK$22=""),"",IF(LEN(VLOOKUP($B26,Database!$B$1:$IX$10144,AK$22,FALSE))=0,"",VLOOKUP($B26,Database!$B$1:$IX$10144,AK$22,FALSE)))</f>
        <v>38.5</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Parashos IA, Tupler LA, Blitchington T, Krishnan KR.</v>
      </c>
      <c r="AR26" s="13"/>
      <c r="BC26" s="23"/>
      <c r="BF26" s="136"/>
      <c r="BG26" s="136"/>
      <c r="BH26" s="136"/>
      <c r="BI26" s="136"/>
    </row>
    <row r="27" spans="1:68">
      <c r="B27">
        <v>11200955</v>
      </c>
      <c r="C27" s="1" t="str">
        <f>IF($B27="","",HYPERLINK(IF(LEN(VLOOKUP($B27,Database!$B$1:$IX$10144,2,FALSE))=0,"",VLOOKUP($B27,Database!$B$1:$IX$10144,2,FALSE))))</f>
        <v/>
      </c>
      <c r="D27" s="1" t="str">
        <f t="shared" si="0"/>
        <v>http://www.ncbi.nlm.nih.gov/pubmed/11200955</v>
      </c>
      <c r="E27" s="22" t="str">
        <f>IF($B27="","",IF(LEN(VLOOKUP($B27,Database!$B$1:$IX$10144,4,FALSE))=0,"",VLOOKUP($B27,Database!$B$1:$IX$10144,4,FALSE)))</f>
        <v>McIntosh AM</v>
      </c>
      <c r="F27" s="22">
        <f>IF($B27="","",IF(LEN(VLOOKUP($B27,Database!$B$1:$IX$10144,5,FALSE))=0,"",VLOOKUP($B27,Database!$B$1:$IX$10144,5,FALSE)))</f>
        <v>2001</v>
      </c>
      <c r="G27" s="1" t="str">
        <f>IF($B27="","",HYPERLINK(IF(LEN(VLOOKUP($B27,Database!$B$1:$IX$10144,6,FALSE))=0,"",VLOOKUP($B27,Database!$B$1:$IX$10144,6,FALSE))))</f>
        <v>http://dx.doi.org/10.1017/S0033291799003177</v>
      </c>
      <c r="H27" s="22">
        <f>IF($B27="","",IF(LEN(VLOOKUP($B27,Database!$B$1:$IX$10144,7,FALSE))=0,"",VLOOKUP($B27,Database!$B$1:$IX$10144,7,FALSE)))</f>
        <v>9</v>
      </c>
      <c r="I27" s="22">
        <f>IF($B27="","",IF(LEN(VLOOKUP($B27,Database!$B$1:$IX$10144,8,FALSE))=0,"",VLOOKUP($B27,Database!$B$1:$IX$10144,8,FALSE)))</f>
        <v>29</v>
      </c>
      <c r="J27" t="s">
        <v>2410</v>
      </c>
      <c r="L27">
        <v>7482</v>
      </c>
      <c r="M27">
        <v>4920</v>
      </c>
      <c r="N27">
        <v>5147</v>
      </c>
      <c r="O27">
        <v>3692</v>
      </c>
      <c r="P27">
        <v>5580</v>
      </c>
      <c r="Q27">
        <v>3883</v>
      </c>
      <c r="R27">
        <v>4894</v>
      </c>
      <c r="S27">
        <v>3556</v>
      </c>
      <c r="T27">
        <f>L27+P27</f>
        <v>13062</v>
      </c>
      <c r="U27">
        <f>2*SQRT(0.25*(M27^2+Q27^2+2*$F$8*M27*Q27))</f>
        <v>6267.7020509912563</v>
      </c>
      <c r="V27">
        <f>N27+R27</f>
        <v>10041</v>
      </c>
      <c r="W27">
        <f>2*SQRT(0.25*(O27^2+S27^2+2*$F$8*O27*S27))</f>
        <v>5126.0120951866666</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43.56</v>
      </c>
      <c r="AC27" s="22">
        <f>IF(OR($B27="",AC$22=""),"",IF(LEN(VLOOKUP($B27,Database!$B$1:$IX$10144,AC$22,FALSE))=0,"",VLOOKUP($B27,Database!$B$1:$IX$10144,AC$22,FALSE)))</f>
        <v>9.3800000000000008</v>
      </c>
      <c r="AD27" s="22">
        <f>IF(OR($B27="",AD$22=""),"",IF(LEN(VLOOKUP($B27,Database!$B$1:$IX$10144,AD$22,FALSE))=0,"",VLOOKUP($B27,Database!$B$1:$IX$10144,AD$22,FALSE)))</f>
        <v>42.76</v>
      </c>
      <c r="AE27" s="22">
        <f>IF(OR($B27="",AE$22=""),"",IF(LEN(VLOOKUP($B27,Database!$B$1:$IX$10144,AE$22,FALSE))=0,"",VLOOKUP($B27,Database!$B$1:$IX$10144,AE$22,FALSE)))</f>
        <v>9.91</v>
      </c>
      <c r="AF27" s="22">
        <f>IF(OR($B27="",AF$22=""),"",IF(LEN(VLOOKUP($B27,Database!$B$1:$IX$10144,AF$22,FALSE))=0,"",VLOOKUP($B27,Database!$B$1:$IX$10144,AF$22,FALSE)))</f>
        <v>5</v>
      </c>
      <c r="AG27" s="22">
        <f>IF(OR($B27="",AG$22=""),"",IF(LEN(VLOOKUP($B27,Database!$B$1:$IX$10144,AG$22,FALSE))=0,"",VLOOKUP($B27,Database!$B$1:$IX$10144,AG$22,FALSE)))</f>
        <v>16</v>
      </c>
      <c r="AH27" s="22">
        <f>IF(OR($B27="",AH$22=""),"",IF(LEN(VLOOKUP($B27,Database!$B$1:$IX$10144,AH$22,FALSE))=0,"",VLOOKUP($B27,Database!$B$1:$IX$10144,AH$22,FALSE)))</f>
        <v>1</v>
      </c>
      <c r="AI27" s="22">
        <f>IF(OR($B27="",AI$22=""),"",IF(LEN(VLOOKUP($B27,Database!$B$1:$IX$10144,AI$22,FALSE))=0,"",VLOOKUP($B27,Database!$B$1:$IX$10144,AI$22,FALSE)))</f>
        <v>1.88</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A. M. McINTOSH, A. FORRESTER, S.M. LAWRIE, M. BYRNE, A. HARPER, J. N. KESTELMAN, J. J. K. BEST, P. MILLER, E. C. JOHNSTONE and D. G. C. OWENS</v>
      </c>
      <c r="AR27" s="22"/>
      <c r="BC27" s="23"/>
      <c r="BF27" s="136"/>
      <c r="BG27" s="136"/>
      <c r="BH27" s="136"/>
      <c r="BI27" s="136"/>
    </row>
    <row r="28" spans="1:68">
      <c r="B28">
        <v>11771978</v>
      </c>
      <c r="C28" s="1" t="str">
        <f>IF($B28="","",HYPERLINK(IF(LEN(VLOOKUP($B28,Database!$B$1:$IX$10144,2,FALSE))=0,"",VLOOKUP($B28,Database!$B$1:$IX$10144,2,FALSE))))</f>
        <v/>
      </c>
      <c r="D28" s="1" t="str">
        <f t="shared" si="0"/>
        <v>http://www.ncbi.nlm.nih.gov/pubmed/11771978</v>
      </c>
      <c r="E28" s="22" t="str">
        <f>IF($B28="","",IF(LEN(VLOOKUP($B28,Database!$B$1:$IX$10144,4,FALSE))=0,"",VLOOKUP($B28,Database!$B$1:$IX$10144,4,FALSE)))</f>
        <v>Pujol J</v>
      </c>
      <c r="F28" s="22">
        <f>IF($B28="","",IF(LEN(VLOOKUP($B28,Database!$B$1:$IX$10144,5,FALSE))=0,"",VLOOKUP($B28,Database!$B$1:$IX$10144,5,FALSE)))</f>
        <v>2002</v>
      </c>
      <c r="G28" s="1" t="str">
        <f>IF($B28="","",HYPERLINK(IF(LEN(VLOOKUP($B28,Database!$B$1:$IX$10144,6,FALSE))=0,"",VLOOKUP($B28,Database!$B$1:$IX$10144,6,FALSE))))</f>
        <v>http://dx.doi.org/10.1006/nimg.2001.0928</v>
      </c>
      <c r="H28" s="22">
        <f>IF($B28="","",IF(LEN(VLOOKUP($B28,Database!$B$1:$IX$10144,7,FALSE))=0,"",VLOOKUP($B28,Database!$B$1:$IX$10144,7,FALSE)))</f>
        <v>57</v>
      </c>
      <c r="I28" s="22">
        <f>IF($B28="","",IF(LEN(VLOOKUP($B28,Database!$B$1:$IX$10144,8,FALSE))=0,"",VLOOKUP($B28,Database!$B$1:$IX$10144,8,FALSE)))</f>
        <v>37</v>
      </c>
      <c r="J28" t="s">
        <v>1069</v>
      </c>
      <c r="T28">
        <v>23.1</v>
      </c>
      <c r="U28">
        <v>13.8</v>
      </c>
      <c r="V28">
        <v>14.3</v>
      </c>
      <c r="W28">
        <v>7</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60.8</v>
      </c>
      <c r="AC28" s="22">
        <f>IF(OR($B28="",AC$22=""),"",IF(LEN(VLOOKUP($B28,Database!$B$1:$IX$10144,AC$22,FALSE))=0,"",VLOOKUP($B28,Database!$B$1:$IX$10144,AC$22,FALSE)))</f>
        <v>9.3000000000000007</v>
      </c>
      <c r="AD28" s="22">
        <f>IF(OR($B28="",AD$22=""),"",IF(LEN(VLOOKUP($B28,Database!$B$1:$IX$10144,AD$22,FALSE))=0,"",VLOOKUP($B28,Database!$B$1:$IX$10144,AD$22,FALSE)))</f>
        <v>58.6</v>
      </c>
      <c r="AE28" s="22">
        <f>IF(OR($B28="",AE$22=""),"",IF(LEN(VLOOKUP($B28,Database!$B$1:$IX$10144,AE$22,FALSE))=0,"",VLOOKUP($B28,Database!$B$1:$IX$10144,AE$22,FALSE)))</f>
        <v>7.3</v>
      </c>
      <c r="AF28" s="22">
        <f>IF(OR($B28="",AF$22=""),"",IF(LEN(VLOOKUP($B28,Database!$B$1:$IX$10144,AF$22,FALSE))=0,"",VLOOKUP($B28,Database!$B$1:$IX$10144,AF$22,FALSE)))</f>
        <v>34</v>
      </c>
      <c r="AG28" s="22">
        <f>IF(OR($B28="",AG$22=""),"",IF(LEN(VLOOKUP($B28,Database!$B$1:$IX$10144,AG$22,FALSE))=0,"",VLOOKUP($B28,Database!$B$1:$IX$10144,AG$22,FALSE)))</f>
        <v>22</v>
      </c>
      <c r="AH28" s="22">
        <f>IF(OR($B28="",AH$22=""),"",IF(LEN(VLOOKUP($B28,Database!$B$1:$IX$10144,AH$22,FALSE))=0,"",VLOOKUP($B28,Database!$B$1:$IX$10144,AH$22,FALSE)))</f>
        <v>1.5</v>
      </c>
      <c r="AI28" s="22">
        <f>IF(OR($B28="",AI$22=""),"",IF(LEN(VLOOKUP($B28,Database!$B$1:$IX$10144,AI$22,FALSE))=0,"",VLOOKUP($B28,Database!$B$1:$IX$10144,AI$22,FALSE)))</f>
        <v>2.2999999999999998</v>
      </c>
      <c r="AJ28" s="22" t="str">
        <f>IF(OR($B28="",AJ$22=""),"",IF(LEN(VLOOKUP($B28,Database!$B$1:$IX$10144,AJ$22,FALSE))=0,"",VLOOKUP($B28,Database!$B$1:$IX$10144,AJ$22,FALSE)))</f>
        <v/>
      </c>
      <c r="AK28" s="22">
        <f>IF(OR($B28="",AK$22=""),"",IF(LEN(VLOOKUP($B28,Database!$B$1:$IX$10144,AK$22,FALSE))=0,"",VLOOKUP($B28,Database!$B$1:$IX$10144,AK$22,FALSE)))</f>
        <v>50</v>
      </c>
      <c r="AL28" s="22">
        <f>IF(OR($B28="",AL$22=""),"",IF(LEN(VLOOKUP($B28,Database!$B$1:$IX$10144,AL$22,FALSE))=0,"",VLOOKUP($B28,Database!$B$1:$IX$10144,AL$22,FALSE)))</f>
        <v>28.8</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Pujol J, Cardoner N, Benlloch L, Urretavizcaya M, Deus J, Losilla JM, Capdevila A, Vallejo J.</v>
      </c>
      <c r="AR28" s="138"/>
      <c r="BC28" s="23"/>
      <c r="BF28" s="136"/>
      <c r="BG28" s="136"/>
      <c r="BH28" s="136"/>
      <c r="BI28" s="136"/>
    </row>
    <row r="29" spans="1:68">
      <c r="B29">
        <v>15172942</v>
      </c>
      <c r="C29" s="1" t="str">
        <f>IF($B29="","",HYPERLINK(IF(LEN(VLOOKUP($B29,Database!$B$1:$IX$10144,2,FALSE))=0,"",VLOOKUP($B29,Database!$B$1:$IX$10144,2,FALSE))))</f>
        <v/>
      </c>
      <c r="D29" s="1" t="str">
        <f t="shared" si="0"/>
        <v>http://www.ncbi.nlm.nih.gov/pubmed/15172942</v>
      </c>
      <c r="E29" s="22" t="str">
        <f>IF($B29="","",IF(LEN(VLOOKUP($B29,Database!$B$1:$IX$10144,4,FALSE))=0,"",VLOOKUP($B29,Database!$B$1:$IX$10144,4,FALSE)))</f>
        <v>Lloyd AJ</v>
      </c>
      <c r="F29" s="22">
        <f>IF($B29="","",IF(LEN(VLOOKUP($B29,Database!$B$1:$IX$10144,5,FALSE))=0,"",VLOOKUP($B29,Database!$B$1:$IX$10144,5,FALSE)))</f>
        <v>2004</v>
      </c>
      <c r="G29" s="1" t="str">
        <f>IF($B29="","",HYPERLINK(IF(LEN(VLOOKUP($B29,Database!$B$1:$IX$10144,6,FALSE))=0,"",VLOOKUP($B29,Database!$B$1:$IX$10144,6,FALSE))))</f>
        <v>http://bjp.rcpsych.org/cgi/reprint/184/6/488</v>
      </c>
      <c r="H29" s="22">
        <f>IF($B29="","",IF(LEN(VLOOKUP($B29,Database!$B$1:$IX$10144,7,FALSE))=0,"",VLOOKUP($B29,Database!$B$1:$IX$10144,7,FALSE)))</f>
        <v>51</v>
      </c>
      <c r="I29" s="22">
        <f>IF($B29="","",IF(LEN(VLOOKUP($B29,Database!$B$1:$IX$10144,8,FALSE))=0,"",VLOOKUP($B29,Database!$B$1:$IX$10144,8,FALSE)))</f>
        <v>39</v>
      </c>
      <c r="J29" t="s">
        <v>2412</v>
      </c>
      <c r="K29" t="s">
        <v>2411</v>
      </c>
      <c r="L29">
        <v>13.2</v>
      </c>
      <c r="M29">
        <v>8.5</v>
      </c>
      <c r="N29">
        <v>11</v>
      </c>
      <c r="O29">
        <v>9.1999999999999993</v>
      </c>
      <c r="P29">
        <v>12.2</v>
      </c>
      <c r="Q29">
        <v>8.3000000000000007</v>
      </c>
      <c r="R29">
        <v>9.8000000000000007</v>
      </c>
      <c r="S29">
        <v>7.3</v>
      </c>
      <c r="T29">
        <f>L29+P29</f>
        <v>25.4</v>
      </c>
      <c r="U29">
        <f>2*SQRT(0.25*(M29^2+Q29^2+2*$F$8*M29*Q29))</f>
        <v>11.880235687897779</v>
      </c>
      <c r="V29">
        <f>N29+R29</f>
        <v>20.8</v>
      </c>
      <c r="W29">
        <f>2*SQRT(0.25*(O29^2+S29^2+2*$F$8*O29*S29))</f>
        <v>11.744360348695027</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74</v>
      </c>
      <c r="AC29" s="22">
        <f>IF(OR($B29="",AC$22=""),"",IF(LEN(VLOOKUP($B29,Database!$B$1:$IX$10144,AC$22,FALSE))=0,"",VLOOKUP($B29,Database!$B$1:$IX$10144,AC$22,FALSE)))</f>
        <v>6.3</v>
      </c>
      <c r="AD29" s="22">
        <f>IF(OR($B29="",AD$22=""),"",IF(LEN(VLOOKUP($B29,Database!$B$1:$IX$10144,AD$22,FALSE))=0,"",VLOOKUP($B29,Database!$B$1:$IX$10144,AD$22,FALSE)))</f>
        <v>73.099999999999994</v>
      </c>
      <c r="AE29" s="22">
        <f>IF(OR($B29="",AE$22=""),"",IF(LEN(VLOOKUP($B29,Database!$B$1:$IX$10144,AE$22,FALSE))=0,"",VLOOKUP($B29,Database!$B$1:$IX$10144,AE$22,FALSE)))</f>
        <v>6.7</v>
      </c>
      <c r="AF29" s="22">
        <f>IF(OR($B29="",AF$22=""),"",IF(LEN(VLOOKUP($B29,Database!$B$1:$IX$10144,AF$22,FALSE))=0,"",VLOOKUP($B29,Database!$B$1:$IX$10144,AF$22,FALSE)))</f>
        <v>41</v>
      </c>
      <c r="AG29" s="22">
        <f>IF(OR($B29="",AG$22=""),"",IF(LEN(VLOOKUP($B29,Database!$B$1:$IX$10144,AG$22,FALSE))=0,"",VLOOKUP($B29,Database!$B$1:$IX$10144,AG$22,FALSE)))</f>
        <v>29</v>
      </c>
      <c r="AH29" s="22">
        <f>IF(OR($B29="",AH$22=""),"",IF(LEN(VLOOKUP($B29,Database!$B$1:$IX$10144,AH$22,FALSE))=0,"",VLOOKUP($B29,Database!$B$1:$IX$10144,AH$22,FALSE)))</f>
        <v>1</v>
      </c>
      <c r="AI29" s="22">
        <f>IF(OR($B29="",AI$22=""),"",IF(LEN(VLOOKUP($B29,Database!$B$1:$IX$10144,AI$22,FALSE))=0,"",VLOOKUP($B29,Database!$B$1:$IX$10144,AI$22,FALSE)))</f>
        <v>1</v>
      </c>
      <c r="AJ29" s="22" t="str">
        <f>IF(OR($B29="",AJ$22=""),"",IF(LEN(VLOOKUP($B29,Database!$B$1:$IX$10144,AJ$22,FALSE))=0,"",VLOOKUP($B29,Database!$B$1:$IX$10144,AJ$22,FALSE)))</f>
        <v/>
      </c>
      <c r="AK29" s="214">
        <v>57</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Lloyd AJ, Ferrier IN, Barber R, Gholkar A, Young AH, O'Brien JT.</v>
      </c>
      <c r="AR29" s="22"/>
      <c r="BC29" s="23"/>
      <c r="BF29" s="136"/>
      <c r="BG29" s="136"/>
      <c r="BH29" s="136"/>
      <c r="BI29" s="136"/>
    </row>
    <row r="30" spans="1:68">
      <c r="A30" s="4" t="s">
        <v>1510</v>
      </c>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8">
      <c r="A31" s="10" t="s">
        <v>1675</v>
      </c>
      <c r="B31">
        <v>1827478</v>
      </c>
      <c r="C31" s="1" t="str">
        <f>IF($B31="","",HYPERLINK(IF(LEN(VLOOKUP($B31,Database!$B$1:$IX$10144,2,FALSE))=0,"",VLOOKUP($B31,Database!$B$1:$IX$10144,2,FALSE))))</f>
        <v/>
      </c>
      <c r="D31" s="1" t="str">
        <f t="shared" si="0"/>
        <v>http://www.ncbi.nlm.nih.gov/pubmed/1827478</v>
      </c>
      <c r="E31" s="22" t="str">
        <f>IF($B31="","",IF(LEN(VLOOKUP($B31,Database!$B$1:$IX$10144,4,FALSE))=0,"",VLOOKUP($B31,Database!$B$1:$IX$10144,4,FALSE)))</f>
        <v>Van den Bossche B</v>
      </c>
      <c r="F31" s="22">
        <f>IF($B31="","",IF(LEN(VLOOKUP($B31,Database!$B$1:$IX$10144,5,FALSE))=0,"",VLOOKUP($B31,Database!$B$1:$IX$10144,5,FALSE)))</f>
        <v>1991</v>
      </c>
      <c r="G31" s="1" t="str">
        <f>IF($B31="","",HYPERLINK(IF(LEN(VLOOKUP($B31,Database!$B$1:$IX$10144,6,FALSE))=0,"",VLOOKUP($B31,Database!$B$1:$IX$10144,6,FALSE))))</f>
        <v>http://dx.doi.org/10.1016/0165-0327(91)90020-S</v>
      </c>
      <c r="H31" s="22">
        <f>IF($B31="","",IF(LEN(VLOOKUP($B31,Database!$B$1:$IX$10144,7,FALSE))=0,"",VLOOKUP($B31,Database!$B$1:$IX$10144,7,FALSE)))</f>
        <v>22</v>
      </c>
      <c r="I31" s="22">
        <f>IF($B31="","",IF(LEN(VLOOKUP($B31,Database!$B$1:$IX$10144,8,FALSE))=0,"",VLOOKUP($B31,Database!$B$1:$IX$10144,8,FALSE)))</f>
        <v>10</v>
      </c>
      <c r="Y31" s="22" t="str">
        <f>IF(OR($B31="",Y$22=""),"",IF(LEN(VLOOKUP($B31,Database!$B$1:$IX$10144,Y$22,FALSE))=0,"",VLOOKUP($B31,Database!$B$1:$IX$10144,Y$22,FALSE)))</f>
        <v>DSM-III-R</v>
      </c>
      <c r="Z31" s="22" t="str">
        <f>IF(OR($B31="",Z$22=""),"",IF(LEN(VLOOKUP($B31,Database!$B$1:$IX$10144,Z$22,FALSE))=0,"",VLOOKUP($B31,Database!$B$1:$IX$10144,Z$22,FALSE)))</f>
        <v>CT</v>
      </c>
      <c r="AA31" s="22" t="str">
        <f>IF(OR($B31="",AA$22=""),"",IF(LEN(VLOOKUP($B31,Database!$B$1:$IX$10144,AA$22,FALSE))=0,"",VLOOKUP($B31,Database!$B$1:$IX$10144,AA$22,FALSE)))</f>
        <v/>
      </c>
      <c r="AB31" s="22">
        <f>IF(OR($B31="",AB$22=""),"",IF(LEN(VLOOKUP($B31,Database!$B$1:$IX$10144,AB$22,FALSE))=0,"",VLOOKUP($B31,Database!$B$1:$IX$10144,AB$22,FALSE)))</f>
        <v>51.2</v>
      </c>
      <c r="AC31" s="22">
        <f>IF(OR($B31="",AC$22=""),"",IF(LEN(VLOOKUP($B31,Database!$B$1:$IX$10144,AC$22,FALSE))=0,"",VLOOKUP($B31,Database!$B$1:$IX$10144,AC$22,FALSE)))</f>
        <v>13.9</v>
      </c>
      <c r="AD31" s="22">
        <f>IF(OR($B31="",AD$22=""),"",IF(LEN(VLOOKUP($B31,Database!$B$1:$IX$10144,AD$22,FALSE))=0,"",VLOOKUP($B31,Database!$B$1:$IX$10144,AD$22,FALSE)))</f>
        <v>49.1</v>
      </c>
      <c r="AE31" s="22">
        <f>IF(OR($B31="",AE$22=""),"",IF(LEN(VLOOKUP($B31,Database!$B$1:$IX$10144,AE$22,FALSE))=0,"",VLOOKUP($B31,Database!$B$1:$IX$10144,AE$22,FALSE)))</f>
        <v>15.7</v>
      </c>
      <c r="AF31" s="22">
        <f>IF(OR($B31="",AF$22=""),"",IF(LEN(VLOOKUP($B31,Database!$B$1:$IX$10144,AF$22,FALSE))=0,"",VLOOKUP($B31,Database!$B$1:$IX$10144,AF$22,FALSE)))</f>
        <v>16</v>
      </c>
      <c r="AG31" s="22">
        <f>IF(OR($B31="",AG$22=""),"",IF(LEN(VLOOKUP($B31,Database!$B$1:$IX$10144,AG$22,FALSE))=0,"",VLOOKUP($B31,Database!$B$1:$IX$10144,AG$22,FALSE)))</f>
        <v>6</v>
      </c>
      <c r="AH31" s="22" t="str">
        <f>IF(OR($B31="",AH$22=""),"",IF(LEN(VLOOKUP($B31,Database!$B$1:$IX$10144,AH$22,FALSE))=0,"",VLOOKUP($B31,Database!$B$1:$IX$10144,AH$22,FALSE)))</f>
        <v/>
      </c>
      <c r="AI31" s="22">
        <f>IF(OR($B31="",AI$22=""),"",IF(LEN(VLOOKUP($B31,Database!$B$1:$IX$10144,AI$22,FALSE))=0,"",VLOOKUP($B31,Database!$B$1:$IX$10144,AI$22,FALSE)))</f>
        <v>10</v>
      </c>
      <c r="AJ31" s="22" t="str">
        <f>IF(OR($B31="",AJ$22=""),"",IF(LEN(VLOOKUP($B31,Database!$B$1:$IX$10144,AJ$22,FALSE))=0,"",VLOOKUP($B31,Database!$B$1:$IX$10144,AJ$22,FALSE)))</f>
        <v/>
      </c>
      <c r="AK31" s="22" t="str">
        <f>IF(OR($B31="",AK$22=""),"",IF(LEN(VLOOKUP($B31,Database!$B$1:$IX$10144,AK$22,FALSE))=0,"",VLOOKUP($B31,Database!$B$1:$IX$10144,AK$22,FALSE)))</f>
        <v>ns</v>
      </c>
      <c r="AL31" s="22">
        <f>IF(OR($B31="",AL$22=""),"",IF(LEN(VLOOKUP($B31,Database!$B$1:$IX$10144,AL$22,FALSE))=0,"",VLOOKUP($B31,Database!$B$1:$IX$10144,AL$22,FALSE)))</f>
        <v>24.4</v>
      </c>
      <c r="AM31" s="22">
        <f>IF(OR($B31="",AM$22=""),"",IF(LEN(VLOOKUP($B31,Database!$B$1:$IX$10144,AM$22,FALSE))=0,"",VLOOKUP($B31,Database!$B$1:$IX$10144,AM$22,FALSE)))</f>
        <v>0</v>
      </c>
      <c r="AN31" s="22">
        <f>IF(OR($B31="",AN$22=""),"",IF(LEN(VLOOKUP($B31,Database!$B$1:$IX$10144,AN$22,FALSE))=0,"",VLOOKUP($B31,Database!$B$1:$IX$10144,AN$22,FALSE)))</f>
        <v>0</v>
      </c>
      <c r="AO31" s="22">
        <f>IF(OR($B31="",AO$22=""),"",IF(LEN(VLOOKUP($B31,Database!$B$1:$IX$10144,AO$22,FALSE))=0,"",VLOOKUP($B31,Database!$B$1:$IX$10144,AO$22,FALSE)))</f>
        <v>0</v>
      </c>
      <c r="AP31" s="22" t="str">
        <f>IF(OR($B31="",AP$22=""),"",IF(LEN(VLOOKUP($B31,Database!$B$1:$IX$10144,AP$22,FALSE))=0,"",VLOOKUP($B31,Database!$B$1:$IX$10144,AP$22,FALSE)))</f>
        <v>ns</v>
      </c>
      <c r="AQ31" s="22" t="str">
        <f>IF(OR($B31="",AQ$22=""),"",IF(LEN(VLOOKUP($B31,Database!$B$1:$IX$10144,AQ$22,FALSE))=0,"",VLOOKUP($B31,Database!$B$1:$IX$10144,AQ$22,FALSE)))</f>
        <v>Van den Bossche B, Maes M, Brussaard C, Schotte C, Cosyns P, De Moor J, De Schepper A.</v>
      </c>
    </row>
    <row r="32" spans="1:68">
      <c r="A32" s="10" t="s">
        <v>726</v>
      </c>
      <c r="B32">
        <v>1319168</v>
      </c>
      <c r="C32" s="1" t="str">
        <f>IF($B32="","",HYPERLINK(IF(LEN(VLOOKUP($B32,Database!$B$1:$IX$10144,2,FALSE))=0,"",VLOOKUP($B32,Database!$B$1:$IX$10144,2,FALSE))))</f>
        <v/>
      </c>
      <c r="D32" s="1" t="str">
        <f t="shared" si="0"/>
        <v>http://www.ncbi.nlm.nih.gov/pubmed/1319168</v>
      </c>
      <c r="E32" s="22" t="str">
        <f>IF($B32="","",IF(LEN(VLOOKUP($B32,Database!$B$1:$IX$10144,4,FALSE))=0,"",VLOOKUP($B32,Database!$B$1:$IX$10144,4,FALSE)))</f>
        <v>Risch SC</v>
      </c>
      <c r="F32" s="22">
        <f>IF($B32="","",IF(LEN(VLOOKUP($B32,Database!$B$1:$IX$10144,5,FALSE))=0,"",VLOOKUP($B32,Database!$B$1:$IX$10144,5,FALSE)))</f>
        <v>1992</v>
      </c>
      <c r="G32" s="1" t="str">
        <f>IF($B32="","",HYPERLINK(IF(LEN(VLOOKUP($B32,Database!$B$1:$IX$10144,6,FALSE))=0,"",VLOOKUP($B32,Database!$B$1:$IX$10144,6,FALSE))))</f>
        <v>Not available on internet</v>
      </c>
      <c r="H32" s="22">
        <f>IF($B32="","",IF(LEN(VLOOKUP($B32,Database!$B$1:$IX$10144,7,FALSE))=0,"",VLOOKUP($B32,Database!$B$1:$IX$10144,7,FALSE)))</f>
        <v>12</v>
      </c>
      <c r="I32" s="22">
        <f>IF($B32="","",IF(LEN(VLOOKUP($B32,Database!$B$1:$IX$10144,8,FALSE))=0,"",VLOOKUP($B32,Database!$B$1:$IX$10144,8,FALSE)))</f>
        <v>68</v>
      </c>
      <c r="Y32" s="22" t="str">
        <f>IF(OR($B32="",Y$22=""),"",IF(LEN(VLOOKUP($B32,Database!$B$1:$IX$10144,Y$22,FALSE))=0,"",VLOOKUP($B32,Database!$B$1:$IX$10144,Y$22,FALSE)))</f>
        <v>RDC</v>
      </c>
      <c r="Z32" s="22" t="str">
        <f>IF(OR($B32="",Z$22=""),"",IF(LEN(VLOOKUP($B32,Database!$B$1:$IX$10144,Z$22,FALSE))=0,"",VLOOKUP($B32,Database!$B$1:$IX$10144,Z$22,FALSE)))</f>
        <v>MRI</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f>IF(OR($B32="",AH$22=""),"",IF(LEN(VLOOKUP($B32,Database!$B$1:$IX$10144,AH$22,FALSE))=0,"",VLOOKUP($B32,Database!$B$1:$IX$10144,AH$22,FALSE)))</f>
        <v>1.5</v>
      </c>
      <c r="AI32" s="22">
        <f>IF(OR($B32="",AI$22=""),"",IF(LEN(VLOOKUP($B32,Database!$B$1:$IX$10144,AI$22,FALSE))=0,"",VLOOKUP($B32,Database!$B$1:$IX$10144,AI$22,FALSE)))</f>
        <v>8</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Risch SC, Lewine RJ, Kalin NH, Jewart RD, Risby ED, Caudle JM, Stipetic M, Turner J, Eccard MB, Pollard WE.</v>
      </c>
    </row>
    <row r="33" spans="1:51">
      <c r="A33" s="10" t="s">
        <v>1372</v>
      </c>
      <c r="B33">
        <v>8080344</v>
      </c>
      <c r="C33" s="1" t="str">
        <f>IF($B33="","",HYPERLINK(IF(LEN(VLOOKUP($B33,Database!$B$1:$IX$10144,2,FALSE))=0,"",VLOOKUP($B33,Database!$B$1:$IX$10144,2,FALSE))))</f>
        <v/>
      </c>
      <c r="D33" s="1" t="str">
        <f t="shared" si="0"/>
        <v>http://www.ncbi.nlm.nih.gov/pubmed/8080344</v>
      </c>
      <c r="E33" s="22" t="str">
        <f>IF($B33="","",IF(LEN(VLOOKUP($B33,Database!$B$1:$IX$10144,4,FALSE))=0,"",VLOOKUP($B33,Database!$B$1:$IX$10144,4,FALSE)))</f>
        <v>Lesser IM</v>
      </c>
      <c r="F33" s="22">
        <f>IF($B33="","",IF(LEN(VLOOKUP($B33,Database!$B$1:$IX$10144,5,FALSE))=0,"",VLOOKUP($B33,Database!$B$1:$IX$10144,5,FALSE)))</f>
        <v>1994</v>
      </c>
      <c r="G33" s="1" t="str">
        <f>IF($B33="","",HYPERLINK(IF(LEN(VLOOKUP($B33,Database!$B$1:$IX$10144,6,FALSE))=0,"",VLOOKUP($B33,Database!$B$1:$IX$10144,6,FALSE))))</f>
        <v>http://archpsyc.ama-assn.org/cgi/reprint/51/9/677</v>
      </c>
      <c r="H33" s="22">
        <f>IF($B33="","",IF(LEN(VLOOKUP($B33,Database!$B$1:$IX$10144,7,FALSE))=0,"",VLOOKUP($B33,Database!$B$1:$IX$10144,7,FALSE)))</f>
        <v>39</v>
      </c>
      <c r="I33" s="22">
        <f>IF($B33="","",IF(LEN(VLOOKUP($B33,Database!$B$1:$IX$10144,8,FALSE))=0,"",VLOOKUP($B33,Database!$B$1:$IX$10144,8,FALSE)))</f>
        <v>20</v>
      </c>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60.9</v>
      </c>
      <c r="AC33" s="22">
        <f>IF(OR($B33="",AC$22=""),"",IF(LEN(VLOOKUP($B33,Database!$B$1:$IX$10144,AC$22,FALSE))=0,"",VLOOKUP($B33,Database!$B$1:$IX$10144,AC$22,FALSE)))</f>
        <v>8.1</v>
      </c>
      <c r="AD33" s="22">
        <f>IF(OR($B33="",AD$22=""),"",IF(LEN(VLOOKUP($B33,Database!$B$1:$IX$10144,AD$22,FALSE))=0,"",VLOOKUP($B33,Database!$B$1:$IX$10144,AD$22,FALSE)))</f>
        <v>69.099999999999994</v>
      </c>
      <c r="AE33" s="22">
        <f>IF(OR($B33="",AE$22=""),"",IF(LEN(VLOOKUP($B33,Database!$B$1:$IX$10144,AE$22,FALSE))=0,"",VLOOKUP($B33,Database!$B$1:$IX$10144,AE$22,FALSE)))</f>
        <v>6.5</v>
      </c>
      <c r="AF33" s="22">
        <f>IF(OR($B33="",AF$22=""),"",IF(LEN(VLOOKUP($B33,Database!$B$1:$IX$10144,AF$22,FALSE))=0,"",VLOOKUP($B33,Database!$B$1:$IX$10144,AF$22,FALSE)))</f>
        <v>17</v>
      </c>
      <c r="AG33" s="22">
        <f>IF(OR($B33="",AG$22=""),"",IF(LEN(VLOOKUP($B33,Database!$B$1:$IX$10144,AG$22,FALSE))=0,"",VLOOKUP($B33,Database!$B$1:$IX$10144,AG$22,FALSE)))</f>
        <v>12</v>
      </c>
      <c r="AH33" s="22">
        <f>IF(OR($B33="",AH$22=""),"",IF(LEN(VLOOKUP($B33,Database!$B$1:$IX$10144,AH$22,FALSE))=0,"",VLOOKUP($B33,Database!$B$1:$IX$10144,AH$22,FALSE)))</f>
        <v>1.5</v>
      </c>
      <c r="AI33" s="22">
        <f>IF(OR($B33="",AI$22=""),"",IF(LEN(VLOOKUP($B33,Database!$B$1:$IX$10144,AI$22,FALSE))=0,"",VLOOKUP($B33,Database!$B$1:$IX$10144,AI$22,FALSE)))</f>
        <v>10</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split into male and female</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Lesser IM, Mena I, Boone KB, Miller BL, Mehringer CM, Wohl M.</v>
      </c>
    </row>
    <row r="34" spans="1:51">
      <c r="A34" s="10" t="s">
        <v>1070</v>
      </c>
      <c r="B34">
        <v>12823084</v>
      </c>
      <c r="C34" s="1" t="str">
        <f>IF($B34="","",HYPERLINK(IF(LEN(VLOOKUP($B34,Database!$B$1:$IX$10144,2,FALSE))=0,"",VLOOKUP($B34,Database!$B$1:$IX$10144,2,FALSE))))</f>
        <v/>
      </c>
      <c r="D34" s="1" t="str">
        <f t="shared" si="0"/>
        <v>http://www.ncbi.nlm.nih.gov/pubmed/12823084</v>
      </c>
      <c r="E34" s="22" t="str">
        <f>IF($B34="","",IF(LEN(VLOOKUP($B34,Database!$B$1:$IX$10144,4,FALSE))=0,"",VLOOKUP($B34,Database!$B$1:$IX$10144,4,FALSE)))</f>
        <v>Cardoner N</v>
      </c>
      <c r="F34" s="22">
        <f>IF($B34="","",IF(LEN(VLOOKUP($B34,Database!$B$1:$IX$10144,5,FALSE))=0,"",VLOOKUP($B34,Database!$B$1:$IX$10144,5,FALSE)))</f>
        <v>2003</v>
      </c>
      <c r="G34" s="1" t="str">
        <f>IF($B34="","",HYPERLINK(IF(LEN(VLOOKUP($B34,Database!$B$1:$IX$10144,6,FALSE))=0,"",VLOOKUP($B34,Database!$B$1:$IX$10144,6,FALSE))))</f>
        <v>http://www.psychiatrist.com/abstracts/abstracts.asp?abstract=200306/060310.htm</v>
      </c>
      <c r="H34" s="22">
        <f>IF($B34="","",IF(LEN(VLOOKUP($B34,Database!$B$1:$IX$10144,7,FALSE))=0,"",VLOOKUP($B34,Database!$B$1:$IX$10144,7,FALSE)))</f>
        <v>55</v>
      </c>
      <c r="I34" s="22">
        <f>IF($B34="","",IF(LEN(VLOOKUP($B34,Database!$B$1:$IX$10144,8,FALSE))=0,"",VLOOKUP($B34,Database!$B$1:$IX$10144,8,FALSE)))</f>
        <v>37</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60.6</v>
      </c>
      <c r="AC34" s="22">
        <f>IF(OR($B34="",AC$22=""),"",IF(LEN(VLOOKUP($B34,Database!$B$1:$IX$10144,AC$22,FALSE))=0,"",VLOOKUP($B34,Database!$B$1:$IX$10144,AC$22,FALSE)))</f>
        <v>9.4</v>
      </c>
      <c r="AD34" s="22">
        <f>IF(OR($B34="",AD$22=""),"",IF(LEN(VLOOKUP($B34,Database!$B$1:$IX$10144,AD$22,FALSE))=0,"",VLOOKUP($B34,Database!$B$1:$IX$10144,AD$22,FALSE)))</f>
        <v>58.6</v>
      </c>
      <c r="AE34" s="22">
        <f>IF(OR($B34="",AE$22=""),"",IF(LEN(VLOOKUP($B34,Database!$B$1:$IX$10144,AE$22,FALSE))=0,"",VLOOKUP($B34,Database!$B$1:$IX$10144,AE$22,FALSE)))</f>
        <v>7.3</v>
      </c>
      <c r="AF34" s="22">
        <f>IF(OR($B34="",AF$22=""),"",IF(LEN(VLOOKUP($B34,Database!$B$1:$IX$10144,AF$22,FALSE))=0,"",VLOOKUP($B34,Database!$B$1:$IX$10144,AF$22,FALSE)))</f>
        <v>33</v>
      </c>
      <c r="AG34" s="22">
        <f>IF(OR($B34="",AG$22=""),"",IF(LEN(VLOOKUP($B34,Database!$B$1:$IX$10144,AG$22,FALSE))=0,"",VLOOKUP($B34,Database!$B$1:$IX$10144,AG$22,FALSE)))</f>
        <v>22</v>
      </c>
      <c r="AH34" s="22">
        <f>IF(OR($B34="",AH$22=""),"",IF(LEN(VLOOKUP($B34,Database!$B$1:$IX$10144,AH$22,FALSE))=0,"",VLOOKUP($B34,Database!$B$1:$IX$10144,AH$22,FALSE)))</f>
        <v>1.5</v>
      </c>
      <c r="AI34" s="22">
        <f>IF(OR($B34="",AI$22=""),"",IF(LEN(VLOOKUP($B34,Database!$B$1:$IX$10144,AI$22,FALSE))=0,"",VLOOKUP($B34,Database!$B$1:$IX$10144,AI$22,FALSE)))</f>
        <v>2.2999999999999998</v>
      </c>
      <c r="AJ34" s="22" t="str">
        <f>IF(OR($B34="",AJ$22=""),"",IF(LEN(VLOOKUP($B34,Database!$B$1:$IX$10144,AJ$22,FALSE))=0,"",VLOOKUP($B34,Database!$B$1:$IX$10144,AJ$22,FALSE)))</f>
        <v/>
      </c>
      <c r="AK34" s="22">
        <f>IF(OR($B34="",AK$22=""),"",IF(LEN(VLOOKUP($B34,Database!$B$1:$IX$10144,AK$22,FALSE))=0,"",VLOOKUP($B34,Database!$B$1:$IX$10144,AK$22,FALSE)))</f>
        <v>50.5</v>
      </c>
      <c r="AL34" s="22">
        <f>IF(OR($B34="",AL$22=""),"",IF(LEN(VLOOKUP($B34,Database!$B$1:$IX$10144,AL$22,FALSE))=0,"",VLOOKUP($B34,Database!$B$1:$IX$10144,AL$22,FALSE)))</f>
        <v>28.9</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Cardoner N, Pujol J, Vallejo J, Urretavizcaya M, Deus J, Lopez-Sala A, Benlloch L, Menchon JM.</v>
      </c>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42" si="1">E24</f>
        <v>Lewine RR</v>
      </c>
      <c r="F37">
        <f t="shared" si="1"/>
        <v>1991</v>
      </c>
      <c r="G37">
        <v>6</v>
      </c>
      <c r="H37">
        <f t="shared" ref="H37:I42" si="2">H24</f>
        <v>12</v>
      </c>
      <c r="I37">
        <f t="shared" si="2"/>
        <v>68</v>
      </c>
      <c r="J37">
        <f t="shared" ref="J37:M42" si="3">IF($D$4="Total",T24,IF($D$4="Left",L24,IF($D$4="Right",P24,"error")))</f>
        <v>8.9</v>
      </c>
      <c r="K37">
        <f t="shared" si="3"/>
        <v>2.9</v>
      </c>
      <c r="L37">
        <f t="shared" si="3"/>
        <v>8.8000000000000007</v>
      </c>
      <c r="M37">
        <f t="shared" si="3"/>
        <v>1.9</v>
      </c>
      <c r="N37">
        <f t="shared" ref="N37:N42" si="4">IF($D$3=1,SQRT((((I37-1)*(M37)^2)+((H37-1)*(K37)^2))/(H37+I37-2)),M37)</f>
        <v>2.070488608257258</v>
      </c>
      <c r="O37" s="59">
        <f t="shared" ref="O37:O42" si="5">IF($D$6=1,LN(J37/L37),IF($D$5=1,(1-3/(4*(H37+I37)-9))*((J37-L37)/N37),(J37-L37)/N37))</f>
        <v>4.7831883440439642E-2</v>
      </c>
      <c r="P37" s="63">
        <f t="shared" ref="P37:P42" si="6">IF($D$6=1,(K37^2)/(H37*J37^2)+(M37^2)/(I37*L37^2),(IF($D$5=1,((H37+I37)/(H37*I37))+(O37*O37)/(2*(H37+I37-3.94)),((H37+I37)/(H37*I37))+((O37^2)/(2*(H37+I37-2))))))</f>
        <v>9.8054255714367197E-2</v>
      </c>
      <c r="Q37" s="59">
        <f t="shared" ref="Q37:Q42" si="7">$R$59*SQRT(P37)</f>
        <v>0.61374687677601503</v>
      </c>
      <c r="R37" s="59">
        <f t="shared" ref="R37:R42" si="8">1/P37</f>
        <v>10.198435475488262</v>
      </c>
      <c r="S37" s="59">
        <f t="shared" ref="S37:S42" si="9">O37*R37</f>
        <v>0.48781037693839918</v>
      </c>
      <c r="T37" s="59">
        <f t="shared" ref="T37:T42" si="10">R37*(O37^2)</f>
        <v>2.3332889090754438E-2</v>
      </c>
      <c r="U37" s="23">
        <f t="shared" ref="U37:U42" si="11">R37^2</f>
        <v>104.0080861476975</v>
      </c>
      <c r="V37" s="59">
        <f t="shared" ref="V37:V42" si="12">1/((1/R37)+$I$56)</f>
        <v>6.9504338383036561</v>
      </c>
      <c r="W37" s="59">
        <f t="shared" ref="W37:W42" si="13">V37*O37</f>
        <v>0.33245234121422801</v>
      </c>
      <c r="AF37" s="59">
        <f t="shared" ref="AF37:AF42" si="14">IF($D$6=1,100*((EXP(O37))-1),O37)</f>
        <v>4.7831883440439642E-2</v>
      </c>
      <c r="AG37" s="59">
        <f t="shared" ref="AG37:AG42" si="15">IF($D$6=1,100*(EXP(O37+Q37)-EXP(O37)),Q37)</f>
        <v>0.61374687677601503</v>
      </c>
      <c r="AH37" s="59">
        <f t="shared" ref="AH37:AH42" si="16">IF($D$6=1,100*(EXP(O37)-EXP(O37-Q37)),Q37)</f>
        <v>0.61374687677601503</v>
      </c>
      <c r="AJ37">
        <f t="shared" ref="AJ37:AJ42" si="17">SQRT(P37)</f>
        <v>0.31313616162041585</v>
      </c>
      <c r="AK37">
        <f t="shared" ref="AK37:AK42" si="18">1/AJ37</f>
        <v>3.193498939327875</v>
      </c>
      <c r="AL37">
        <f t="shared" ref="AL37:AL42" si="19">O37/AJ37</f>
        <v>0.15275106903309854</v>
      </c>
      <c r="AN37" t="str">
        <f t="shared" ref="AN37:AO39" si="20">E37</f>
        <v>Lewine RR</v>
      </c>
      <c r="AO37">
        <f t="shared" si="20"/>
        <v>1991</v>
      </c>
      <c r="AP37" t="str">
        <f t="shared" ref="AP37:AP42" si="21">CONCATENATE(AN37," ",AO37)</f>
        <v>Lewine RR 1991</v>
      </c>
      <c r="AQ37">
        <f t="shared" ref="AQ37:AQ42" si="22">INT(H37)</f>
        <v>12</v>
      </c>
      <c r="AR37">
        <f t="shared" ref="AR37:AS39" si="23">J37</f>
        <v>8.9</v>
      </c>
      <c r="AS37">
        <f t="shared" si="23"/>
        <v>2.9</v>
      </c>
      <c r="AT37">
        <f t="shared" ref="AT37:AT42" si="24">INT(I37)</f>
        <v>68</v>
      </c>
      <c r="AU37">
        <f t="shared" ref="AU37:AV39" si="25">L37</f>
        <v>8.8000000000000007</v>
      </c>
      <c r="AV37">
        <f t="shared" si="25"/>
        <v>1.9</v>
      </c>
      <c r="AW37" s="65">
        <f t="shared" ref="AW37:AW42" si="26">O37</f>
        <v>4.7831883440439642E-2</v>
      </c>
      <c r="AX37">
        <f t="shared" ref="AX37:AX42" si="27">SQRT(P37)</f>
        <v>0.31313616162041585</v>
      </c>
      <c r="AY37" t="str">
        <f>$F$5</f>
        <v>H Correction</v>
      </c>
    </row>
    <row r="38" spans="1:51">
      <c r="E38" t="str">
        <f t="shared" si="1"/>
        <v>Pantel J</v>
      </c>
      <c r="F38">
        <f t="shared" si="1"/>
        <v>1997</v>
      </c>
      <c r="G38">
        <v>5</v>
      </c>
      <c r="H38">
        <f t="shared" si="2"/>
        <v>19</v>
      </c>
      <c r="I38">
        <f t="shared" si="2"/>
        <v>13</v>
      </c>
      <c r="J38">
        <f t="shared" si="3"/>
        <v>10.15</v>
      </c>
      <c r="K38">
        <f t="shared" si="3"/>
        <v>3.8</v>
      </c>
      <c r="L38">
        <f t="shared" si="3"/>
        <v>7.27</v>
      </c>
      <c r="M38">
        <f t="shared" si="3"/>
        <v>2.2999999999999998</v>
      </c>
      <c r="N38">
        <f t="shared" si="4"/>
        <v>3.2832910318764008</v>
      </c>
      <c r="O38" s="59">
        <f t="shared" si="5"/>
        <v>0.85505516590735109</v>
      </c>
      <c r="P38" s="63">
        <f t="shared" si="6"/>
        <v>0.14258244162855027</v>
      </c>
      <c r="Q38" s="59">
        <f t="shared" si="7"/>
        <v>0.7400977690550341</v>
      </c>
      <c r="R38" s="59">
        <f t="shared" si="8"/>
        <v>7.0134862931100423</v>
      </c>
      <c r="S38" s="59">
        <f t="shared" si="9"/>
        <v>5.9969176859441404</v>
      </c>
      <c r="T38" s="59">
        <f t="shared" si="10"/>
        <v>5.127695446887695</v>
      </c>
      <c r="U38" s="23">
        <f t="shared" si="11"/>
        <v>49.188989983642443</v>
      </c>
      <c r="V38" s="59">
        <f t="shared" si="12"/>
        <v>5.3077402064584094</v>
      </c>
      <c r="W38" s="59">
        <f t="shared" si="13"/>
        <v>4.538410682826413</v>
      </c>
      <c r="AF38" s="59">
        <f t="shared" si="14"/>
        <v>0.85505516590735109</v>
      </c>
      <c r="AG38" s="59">
        <f t="shared" si="15"/>
        <v>0.7400977690550341</v>
      </c>
      <c r="AH38" s="59">
        <f t="shared" si="16"/>
        <v>0.7400977690550341</v>
      </c>
      <c r="AJ38">
        <f t="shared" si="17"/>
        <v>0.37760090257909906</v>
      </c>
      <c r="AK38">
        <f t="shared" si="18"/>
        <v>2.6482987545044918</v>
      </c>
      <c r="AL38">
        <f t="shared" si="19"/>
        <v>2.2644415309050694</v>
      </c>
      <c r="AN38" t="str">
        <f t="shared" si="20"/>
        <v>Pantel J</v>
      </c>
      <c r="AO38">
        <f t="shared" si="20"/>
        <v>1997</v>
      </c>
      <c r="AP38" t="str">
        <f t="shared" si="21"/>
        <v>Pantel J 1997</v>
      </c>
      <c r="AQ38">
        <f t="shared" si="22"/>
        <v>19</v>
      </c>
      <c r="AR38">
        <f t="shared" si="23"/>
        <v>10.15</v>
      </c>
      <c r="AS38">
        <f t="shared" si="23"/>
        <v>3.8</v>
      </c>
      <c r="AT38">
        <f t="shared" si="24"/>
        <v>13</v>
      </c>
      <c r="AU38">
        <f t="shared" si="25"/>
        <v>7.27</v>
      </c>
      <c r="AV38">
        <f t="shared" si="25"/>
        <v>2.2999999999999998</v>
      </c>
      <c r="AW38" s="65">
        <f t="shared" si="26"/>
        <v>0.85505516590735109</v>
      </c>
      <c r="AX38">
        <f t="shared" si="27"/>
        <v>0.37760090257909906</v>
      </c>
    </row>
    <row r="39" spans="1:51">
      <c r="E39" t="str">
        <f t="shared" si="1"/>
        <v>Parashos IA</v>
      </c>
      <c r="F39">
        <f t="shared" si="1"/>
        <v>1998</v>
      </c>
      <c r="G39">
        <v>4</v>
      </c>
      <c r="H39">
        <f t="shared" si="2"/>
        <v>72</v>
      </c>
      <c r="I39">
        <f t="shared" si="2"/>
        <v>38</v>
      </c>
      <c r="J39">
        <f t="shared" si="3"/>
        <v>27.24</v>
      </c>
      <c r="K39">
        <f t="shared" si="3"/>
        <v>15.25</v>
      </c>
      <c r="L39">
        <f t="shared" si="3"/>
        <v>26.29</v>
      </c>
      <c r="M39">
        <f t="shared" si="3"/>
        <v>16.91</v>
      </c>
      <c r="N39">
        <f t="shared" si="4"/>
        <v>15.83830834120586</v>
      </c>
      <c r="O39" s="59">
        <f t="shared" si="5"/>
        <v>5.956365103357078E-2</v>
      </c>
      <c r="P39" s="63">
        <f t="shared" si="6"/>
        <v>4.0221403935477344E-2</v>
      </c>
      <c r="Q39" s="59">
        <f t="shared" si="7"/>
        <v>0.39308338219585137</v>
      </c>
      <c r="R39" s="59">
        <f t="shared" si="8"/>
        <v>24.862384257003736</v>
      </c>
      <c r="S39" s="59">
        <f t="shared" si="9"/>
        <v>1.4808943797467145</v>
      </c>
      <c r="T39" s="59">
        <f t="shared" si="10"/>
        <v>8.8207476052809555E-2</v>
      </c>
      <c r="U39" s="23">
        <f t="shared" si="11"/>
        <v>618.13815094290726</v>
      </c>
      <c r="V39" s="59">
        <f t="shared" si="12"/>
        <v>11.622087936041329</v>
      </c>
      <c r="W39" s="59">
        <f t="shared" si="13"/>
        <v>0.69225399010383859</v>
      </c>
      <c r="AF39" s="59">
        <f t="shared" si="14"/>
        <v>5.956365103357078E-2</v>
      </c>
      <c r="AG39" s="59">
        <f t="shared" si="15"/>
        <v>0.39308338219585137</v>
      </c>
      <c r="AH39" s="59">
        <f t="shared" si="16"/>
        <v>0.39308338219585137</v>
      </c>
      <c r="AJ39">
        <f t="shared" si="17"/>
        <v>0.20055274601829151</v>
      </c>
      <c r="AK39">
        <f t="shared" si="18"/>
        <v>4.9862194353040401</v>
      </c>
      <c r="AL39">
        <f t="shared" si="19"/>
        <v>0.2969974344212582</v>
      </c>
      <c r="AN39" t="str">
        <f t="shared" si="20"/>
        <v>Parashos IA</v>
      </c>
      <c r="AO39">
        <f t="shared" si="20"/>
        <v>1998</v>
      </c>
      <c r="AP39" t="str">
        <f t="shared" si="21"/>
        <v>Parashos IA 1998</v>
      </c>
      <c r="AQ39">
        <f t="shared" si="22"/>
        <v>72</v>
      </c>
      <c r="AR39">
        <f t="shared" si="23"/>
        <v>27.24</v>
      </c>
      <c r="AS39">
        <f t="shared" si="23"/>
        <v>15.25</v>
      </c>
      <c r="AT39">
        <f t="shared" si="24"/>
        <v>38</v>
      </c>
      <c r="AU39">
        <f t="shared" si="25"/>
        <v>26.29</v>
      </c>
      <c r="AV39">
        <f t="shared" si="25"/>
        <v>16.91</v>
      </c>
      <c r="AW39" s="65">
        <f t="shared" si="26"/>
        <v>5.956365103357078E-2</v>
      </c>
      <c r="AX39">
        <f t="shared" si="27"/>
        <v>0.20055274601829151</v>
      </c>
    </row>
    <row r="40" spans="1:51">
      <c r="E40" t="str">
        <f t="shared" si="1"/>
        <v>McIntosh AM</v>
      </c>
      <c r="F40">
        <f t="shared" si="1"/>
        <v>2001</v>
      </c>
      <c r="G40">
        <v>3</v>
      </c>
      <c r="H40">
        <f t="shared" si="2"/>
        <v>9</v>
      </c>
      <c r="I40">
        <f t="shared" si="2"/>
        <v>29</v>
      </c>
      <c r="J40">
        <f t="shared" si="3"/>
        <v>13062</v>
      </c>
      <c r="K40">
        <f t="shared" si="3"/>
        <v>6267.7020509912563</v>
      </c>
      <c r="L40">
        <f t="shared" si="3"/>
        <v>10041</v>
      </c>
      <c r="M40">
        <f t="shared" si="3"/>
        <v>5126.0120951866666</v>
      </c>
      <c r="N40">
        <f t="shared" si="4"/>
        <v>5400.6190797393256</v>
      </c>
      <c r="O40" s="59">
        <f t="shared" si="5"/>
        <v>0.54764506327025286</v>
      </c>
      <c r="P40" s="63">
        <f t="shared" si="6"/>
        <v>0.14999661658036623</v>
      </c>
      <c r="Q40" s="59">
        <f t="shared" si="7"/>
        <v>0.75909617457548484</v>
      </c>
      <c r="R40" s="59">
        <f t="shared" si="8"/>
        <v>6.6668170442645494</v>
      </c>
      <c r="S40" s="59">
        <f t="shared" si="9"/>
        <v>3.6510494420174595</v>
      </c>
      <c r="T40" s="59">
        <f t="shared" si="10"/>
        <v>1.9994792026764729</v>
      </c>
      <c r="U40" s="23">
        <f t="shared" si="11"/>
        <v>44.4464495016963</v>
      </c>
      <c r="V40" s="59">
        <f t="shared" si="12"/>
        <v>5.1067757401496925</v>
      </c>
      <c r="W40" s="59">
        <f t="shared" si="13"/>
        <v>2.7967005233212707</v>
      </c>
      <c r="AF40" s="59">
        <f t="shared" si="14"/>
        <v>0.54764506327025286</v>
      </c>
      <c r="AG40" s="59">
        <f t="shared" si="15"/>
        <v>0.75909617457548484</v>
      </c>
      <c r="AH40" s="59">
        <f t="shared" si="16"/>
        <v>0.75909617457548484</v>
      </c>
      <c r="AJ40">
        <f t="shared" si="17"/>
        <v>0.38729396662014531</v>
      </c>
      <c r="AK40">
        <f t="shared" si="18"/>
        <v>2.58201801780401</v>
      </c>
      <c r="AL40">
        <f t="shared" si="19"/>
        <v>1.41402942072521</v>
      </c>
      <c r="AN40" t="str">
        <f t="shared" ref="AN40:AO42" si="28">E40</f>
        <v>McIntosh AM</v>
      </c>
      <c r="AO40">
        <f t="shared" si="28"/>
        <v>2001</v>
      </c>
      <c r="AP40" t="str">
        <f t="shared" si="21"/>
        <v>McIntosh AM 2001</v>
      </c>
      <c r="AQ40">
        <f t="shared" si="22"/>
        <v>9</v>
      </c>
      <c r="AR40">
        <f t="shared" ref="AR40:AS42" si="29">J40</f>
        <v>13062</v>
      </c>
      <c r="AS40">
        <f t="shared" si="29"/>
        <v>6267.7020509912563</v>
      </c>
      <c r="AT40">
        <f t="shared" si="24"/>
        <v>29</v>
      </c>
      <c r="AU40">
        <f t="shared" ref="AU40:AV42" si="30">L40</f>
        <v>10041</v>
      </c>
      <c r="AV40">
        <f t="shared" si="30"/>
        <v>5126.0120951866666</v>
      </c>
      <c r="AW40" s="65">
        <f t="shared" si="26"/>
        <v>0.54764506327025286</v>
      </c>
      <c r="AX40">
        <f t="shared" si="27"/>
        <v>0.38729396662014531</v>
      </c>
    </row>
    <row r="41" spans="1:51">
      <c r="E41" t="str">
        <f t="shared" si="1"/>
        <v>Pujol J</v>
      </c>
      <c r="F41">
        <f t="shared" si="1"/>
        <v>2002</v>
      </c>
      <c r="G41">
        <v>2</v>
      </c>
      <c r="H41">
        <f t="shared" si="2"/>
        <v>57</v>
      </c>
      <c r="I41">
        <f t="shared" si="2"/>
        <v>37</v>
      </c>
      <c r="J41">
        <f t="shared" si="3"/>
        <v>23.1</v>
      </c>
      <c r="K41">
        <f t="shared" si="3"/>
        <v>13.8</v>
      </c>
      <c r="L41">
        <f t="shared" si="3"/>
        <v>14.3</v>
      </c>
      <c r="M41">
        <f t="shared" si="3"/>
        <v>7</v>
      </c>
      <c r="N41">
        <f t="shared" si="4"/>
        <v>11.622990709945451</v>
      </c>
      <c r="O41" s="59">
        <f t="shared" si="5"/>
        <v>0.75093111686194658</v>
      </c>
      <c r="P41" s="63">
        <f t="shared" si="6"/>
        <v>4.7701563681876738E-2</v>
      </c>
      <c r="Q41" s="59">
        <f t="shared" si="7"/>
        <v>0.42807747784752431</v>
      </c>
      <c r="R41" s="59">
        <f t="shared" si="8"/>
        <v>20.96367336444214</v>
      </c>
      <c r="S41" s="59">
        <f t="shared" si="9"/>
        <v>15.742274653089577</v>
      </c>
      <c r="T41" s="59">
        <f t="shared" si="10"/>
        <v>11.821363887192069</v>
      </c>
      <c r="U41" s="23">
        <f t="shared" si="11"/>
        <v>439.47560093102084</v>
      </c>
      <c r="V41" s="59">
        <f t="shared" si="12"/>
        <v>10.692531881915537</v>
      </c>
      <c r="W41" s="59">
        <f t="shared" si="13"/>
        <v>8.0293549081688056</v>
      </c>
      <c r="AF41" s="59">
        <f t="shared" si="14"/>
        <v>0.75093111686194658</v>
      </c>
      <c r="AG41" s="59">
        <f t="shared" si="15"/>
        <v>0.42807747784752431</v>
      </c>
      <c r="AH41" s="59">
        <f t="shared" si="16"/>
        <v>0.42807747784752431</v>
      </c>
      <c r="AJ41">
        <f t="shared" si="17"/>
        <v>0.21840687645281853</v>
      </c>
      <c r="AK41">
        <f t="shared" si="18"/>
        <v>4.5786104185049572</v>
      </c>
      <c r="AL41">
        <f t="shared" si="19"/>
        <v>3.4382210352436724</v>
      </c>
      <c r="AN41" t="str">
        <f t="shared" si="28"/>
        <v>Pujol J</v>
      </c>
      <c r="AO41">
        <f t="shared" si="28"/>
        <v>2002</v>
      </c>
      <c r="AP41" t="str">
        <f t="shared" si="21"/>
        <v>Pujol J 2002</v>
      </c>
      <c r="AQ41">
        <f t="shared" si="22"/>
        <v>57</v>
      </c>
      <c r="AR41">
        <f t="shared" si="29"/>
        <v>23.1</v>
      </c>
      <c r="AS41">
        <f t="shared" si="29"/>
        <v>13.8</v>
      </c>
      <c r="AT41">
        <f t="shared" si="24"/>
        <v>37</v>
      </c>
      <c r="AU41">
        <f t="shared" si="30"/>
        <v>14.3</v>
      </c>
      <c r="AV41">
        <f t="shared" si="30"/>
        <v>7</v>
      </c>
      <c r="AW41" s="65">
        <f t="shared" si="26"/>
        <v>0.75093111686194658</v>
      </c>
      <c r="AX41">
        <f t="shared" si="27"/>
        <v>0.21840687645281853</v>
      </c>
    </row>
    <row r="42" spans="1:51">
      <c r="E42" t="str">
        <f t="shared" si="1"/>
        <v>Lloyd AJ</v>
      </c>
      <c r="F42">
        <f t="shared" si="1"/>
        <v>2004</v>
      </c>
      <c r="G42">
        <v>1</v>
      </c>
      <c r="H42">
        <f t="shared" si="2"/>
        <v>51</v>
      </c>
      <c r="I42">
        <f t="shared" si="2"/>
        <v>39</v>
      </c>
      <c r="J42">
        <f t="shared" si="3"/>
        <v>25.4</v>
      </c>
      <c r="K42">
        <f t="shared" si="3"/>
        <v>11.880235687897779</v>
      </c>
      <c r="L42">
        <f t="shared" si="3"/>
        <v>20.8</v>
      </c>
      <c r="M42">
        <f t="shared" si="3"/>
        <v>11.744360348695027</v>
      </c>
      <c r="N42">
        <f t="shared" si="4"/>
        <v>11.821753830813922</v>
      </c>
      <c r="O42" s="59">
        <f t="shared" si="5"/>
        <v>0.38578740734696537</v>
      </c>
      <c r="P42" s="63">
        <f t="shared" si="6"/>
        <v>4.6113567381972698E-2</v>
      </c>
      <c r="Q42" s="59">
        <f t="shared" si="7"/>
        <v>0.42089176810028761</v>
      </c>
      <c r="R42" s="59">
        <f t="shared" si="8"/>
        <v>21.685591828467661</v>
      </c>
      <c r="S42" s="59">
        <f t="shared" si="9"/>
        <v>8.3660282482890764</v>
      </c>
      <c r="T42" s="59">
        <f t="shared" si="10"/>
        <v>3.2275083476989175</v>
      </c>
      <c r="U42" s="23">
        <f t="shared" si="11"/>
        <v>470.2648929509034</v>
      </c>
      <c r="V42" s="59">
        <f t="shared" si="12"/>
        <v>10.877223892020069</v>
      </c>
      <c r="W42" s="59">
        <f t="shared" si="13"/>
        <v>4.1962960044348909</v>
      </c>
      <c r="AF42" s="59">
        <f t="shared" si="14"/>
        <v>0.38578740734696537</v>
      </c>
      <c r="AG42" s="59">
        <f t="shared" si="15"/>
        <v>0.42089176810028761</v>
      </c>
      <c r="AH42" s="59">
        <f t="shared" si="16"/>
        <v>0.42089176810028761</v>
      </c>
      <c r="AJ42">
        <f t="shared" si="17"/>
        <v>0.21474069801035084</v>
      </c>
      <c r="AK42">
        <f t="shared" si="18"/>
        <v>4.6567791260127063</v>
      </c>
      <c r="AL42">
        <f t="shared" si="19"/>
        <v>1.7965267456119092</v>
      </c>
      <c r="AN42" t="str">
        <f t="shared" si="28"/>
        <v>Lloyd AJ</v>
      </c>
      <c r="AO42">
        <f t="shared" si="28"/>
        <v>2004</v>
      </c>
      <c r="AP42" t="str">
        <f t="shared" si="21"/>
        <v>Lloyd AJ 2004</v>
      </c>
      <c r="AQ42">
        <f t="shared" si="22"/>
        <v>51</v>
      </c>
      <c r="AR42">
        <f t="shared" si="29"/>
        <v>25.4</v>
      </c>
      <c r="AS42">
        <f t="shared" si="29"/>
        <v>11.880235687897779</v>
      </c>
      <c r="AT42">
        <f t="shared" si="24"/>
        <v>39</v>
      </c>
      <c r="AU42">
        <f t="shared" si="30"/>
        <v>20.8</v>
      </c>
      <c r="AV42">
        <f t="shared" si="30"/>
        <v>11.744360348695027</v>
      </c>
      <c r="AW42" s="65">
        <f t="shared" si="26"/>
        <v>0.38578740734696537</v>
      </c>
      <c r="AX42">
        <f t="shared" si="27"/>
        <v>0.21474069801035084</v>
      </c>
    </row>
    <row r="43" spans="1:51">
      <c r="U43" s="23"/>
    </row>
    <row r="44" spans="1:51">
      <c r="L44" t="s">
        <v>500</v>
      </c>
      <c r="N44" s="7"/>
      <c r="O44" s="66">
        <f>COUNT(O37:O42)</f>
        <v>6</v>
      </c>
      <c r="Q44" t="s">
        <v>885</v>
      </c>
      <c r="R44" s="59">
        <f t="shared" ref="R44:W44" si="31">SUM(R37:R42)</f>
        <v>91.390388262776398</v>
      </c>
      <c r="S44" s="59">
        <f t="shared" si="31"/>
        <v>35.724974786025371</v>
      </c>
      <c r="T44" s="59">
        <f t="shared" si="31"/>
        <v>22.287587249598719</v>
      </c>
      <c r="U44" s="23">
        <f t="shared" si="31"/>
        <v>1725.5221704578678</v>
      </c>
      <c r="V44" s="59">
        <f t="shared" si="31"/>
        <v>50.556793494888694</v>
      </c>
      <c r="W44" s="59">
        <f t="shared" si="31"/>
        <v>20.585468450069449</v>
      </c>
    </row>
    <row r="45" spans="1:51">
      <c r="L45" t="s">
        <v>501</v>
      </c>
      <c r="N45" s="7"/>
      <c r="O45" s="2">
        <v>0</v>
      </c>
    </row>
    <row r="46" spans="1:51">
      <c r="N46" s="7"/>
      <c r="O46" s="7"/>
    </row>
    <row r="47" spans="1:51">
      <c r="G47" s="67" t="s">
        <v>502</v>
      </c>
      <c r="H47" s="40"/>
      <c r="I47" s="40">
        <f>S44/R44</f>
        <v>0.39090516481125698</v>
      </c>
      <c r="J47" s="40"/>
      <c r="K47" s="68" t="s">
        <v>879</v>
      </c>
      <c r="L47" s="40"/>
      <c r="M47" s="42"/>
      <c r="N47" s="7"/>
      <c r="O47" s="69" t="s">
        <v>503</v>
      </c>
      <c r="P47" s="70">
        <f>T44-((S44^2)/R44)</f>
        <v>8.3225100929894715</v>
      </c>
      <c r="Q47" s="71" t="s">
        <v>824</v>
      </c>
      <c r="R47" s="28"/>
      <c r="S47" s="29"/>
      <c r="T47" s="30"/>
      <c r="U47" s="31"/>
      <c r="AF47" s="2" t="s">
        <v>1518</v>
      </c>
    </row>
    <row r="48" spans="1:51">
      <c r="G48" s="43" t="s">
        <v>504</v>
      </c>
      <c r="H48" s="31"/>
      <c r="I48" s="31">
        <f>1/R44</f>
        <v>1.0942069718805465E-2</v>
      </c>
      <c r="J48" s="31"/>
      <c r="K48" s="31"/>
      <c r="L48" s="31"/>
      <c r="M48" s="44"/>
      <c r="N48" s="7"/>
      <c r="O48" s="30" t="s">
        <v>505</v>
      </c>
      <c r="P48" s="31">
        <f>CHIDIST(P47,I52-1)</f>
        <v>0.13933436428284748</v>
      </c>
      <c r="Q48" s="31"/>
      <c r="R48" s="31"/>
      <c r="S48" s="34"/>
      <c r="T48" s="30"/>
      <c r="U48" s="31"/>
      <c r="AF48" s="2"/>
    </row>
    <row r="49" spans="7:34">
      <c r="G49" s="72" t="s">
        <v>506</v>
      </c>
      <c r="H49" s="31"/>
      <c r="I49" s="31">
        <f>$R$59*SQRT(I48)</f>
        <v>0.20502452300094026</v>
      </c>
      <c r="J49" s="31"/>
      <c r="K49" s="31" t="s">
        <v>507</v>
      </c>
      <c r="L49" s="31"/>
      <c r="M49" s="44">
        <f>ABS(I47/SQRT(I48))</f>
        <v>3.7369877115946268</v>
      </c>
      <c r="N49" s="7"/>
      <c r="O49" s="35" t="s">
        <v>508</v>
      </c>
      <c r="P49" s="37">
        <f>IF(((P47-(I52-1))/P47)&lt;0,0,100*((P47-(I52-1))/P47))</f>
        <v>39.921971326754083</v>
      </c>
      <c r="Q49" s="36"/>
      <c r="R49" s="36"/>
      <c r="S49" s="38"/>
      <c r="T49" s="30"/>
      <c r="U49" s="31"/>
      <c r="AF49" s="2" t="s">
        <v>1535</v>
      </c>
      <c r="AH49">
        <f>IF($D$6=1,100*((EXP(I47))-1),I47)</f>
        <v>0.39090516481125698</v>
      </c>
    </row>
    <row r="50" spans="7:34">
      <c r="G50" s="45" t="s">
        <v>509</v>
      </c>
      <c r="H50" s="46"/>
      <c r="I50" s="46">
        <v>-2</v>
      </c>
      <c r="J50" s="46"/>
      <c r="K50" s="46" t="s">
        <v>825</v>
      </c>
      <c r="L50" s="46"/>
      <c r="M50" s="47">
        <f>2*(1-NORMDIST(M49,0,1,1))</f>
        <v>1.8623802172723636E-4</v>
      </c>
      <c r="N50" s="7"/>
      <c r="O50" s="7"/>
      <c r="AF50" s="79" t="s">
        <v>834</v>
      </c>
      <c r="AH50">
        <f>IF($D$6=1,100*(EXP(I47+I49)-EXP(I47)),I49)</f>
        <v>0.20502452300094026</v>
      </c>
    </row>
    <row r="51" spans="7:34">
      <c r="G51" s="40"/>
      <c r="H51" s="40"/>
      <c r="I51" s="40"/>
      <c r="J51" s="40"/>
      <c r="K51" s="40"/>
      <c r="L51" s="40"/>
      <c r="M51" s="40"/>
      <c r="N51" s="7"/>
      <c r="O51" s="7"/>
      <c r="AF51" s="79" t="s">
        <v>835</v>
      </c>
      <c r="AH51">
        <f>IF($D$6=1,100*(EXP(I47)-EXP(I47-I49)),I49)</f>
        <v>0.20502452300094026</v>
      </c>
    </row>
    <row r="52" spans="7:34">
      <c r="G52" s="73" t="s">
        <v>1110</v>
      </c>
      <c r="H52" s="74"/>
      <c r="I52" s="74">
        <f>O44</f>
        <v>6</v>
      </c>
      <c r="J52" s="74"/>
      <c r="K52" s="75" t="s">
        <v>1167</v>
      </c>
      <c r="L52" s="74"/>
      <c r="M52" s="76"/>
      <c r="N52" s="77"/>
      <c r="O52" s="101" t="s">
        <v>1513</v>
      </c>
      <c r="P52" s="102"/>
      <c r="Q52" s="103"/>
      <c r="AF52" s="7"/>
    </row>
    <row r="53" spans="7:34">
      <c r="G53" s="77" t="s">
        <v>1531</v>
      </c>
      <c r="H53" s="31"/>
      <c r="I53" s="31">
        <f>R44/I52</f>
        <v>15.2317313771294</v>
      </c>
      <c r="J53" s="31"/>
      <c r="K53" s="31"/>
      <c r="L53" s="31"/>
      <c r="M53" s="78"/>
      <c r="N53" s="77"/>
      <c r="O53" s="104" t="s">
        <v>1514</v>
      </c>
      <c r="P53" s="31"/>
      <c r="Q53" s="105">
        <f>INDEX(LINEST(AL37:AL42,AK37:AK42,TRUE,TRUE),1,2)</f>
        <v>1.3138709357450828</v>
      </c>
      <c r="AF53" s="2" t="s">
        <v>1687</v>
      </c>
      <c r="AH53">
        <f>IF($D$6=1,100*((EXP(I58))-1),I58)</f>
        <v>0.40717511984122656</v>
      </c>
    </row>
    <row r="54" spans="7:34">
      <c r="G54" s="77" t="s">
        <v>1532</v>
      </c>
      <c r="H54" s="31"/>
      <c r="I54" s="31">
        <f>(1/(I52-1))*(U44-(I52*I53^2))</f>
        <v>66.697665197539621</v>
      </c>
      <c r="J54" s="31"/>
      <c r="K54" s="31"/>
      <c r="L54" s="31"/>
      <c r="M54" s="78"/>
      <c r="N54" s="77"/>
      <c r="O54" s="104" t="s">
        <v>1516</v>
      </c>
      <c r="P54" s="31"/>
      <c r="Q54" s="105">
        <f>INDEX(LINEST(AL37:AL42,AK37:AK42,TRUE,TRUE),2,2)</f>
        <v>2.218259322774645</v>
      </c>
      <c r="AF54" s="79" t="s">
        <v>834</v>
      </c>
      <c r="AG54" s="7"/>
      <c r="AH54">
        <f>IF($D$6=1,100*(EXP(I58+I60)-EXP(I58)),I60)</f>
        <v>0.27565527686679581</v>
      </c>
    </row>
    <row r="55" spans="7:34">
      <c r="G55" s="77" t="s">
        <v>1669</v>
      </c>
      <c r="H55" s="31"/>
      <c r="I55" s="31">
        <f>(I52-1)*(I53-(I54/(I52*I53)))</f>
        <v>72.509604372281885</v>
      </c>
      <c r="J55" s="31"/>
      <c r="K55" s="31"/>
      <c r="L55" s="31"/>
      <c r="M55" s="78"/>
      <c r="N55" s="77"/>
      <c r="O55" s="104" t="s">
        <v>1349</v>
      </c>
      <c r="P55" s="31"/>
      <c r="Q55" s="105">
        <f>ABS(Q53/Q54)</f>
        <v>0.59229816922471701</v>
      </c>
      <c r="AF55" s="79" t="s">
        <v>835</v>
      </c>
      <c r="AH55">
        <f>IF($D$6=1,100*(EXP(I58)-EXP(I58-I60)),I60)</f>
        <v>0.27565527686679581</v>
      </c>
    </row>
    <row r="56" spans="7:34">
      <c r="G56" s="77" t="s">
        <v>1685</v>
      </c>
      <c r="H56" s="31"/>
      <c r="I56" s="31">
        <f>IF(P47&gt;(I52-1),(P47-(I52-1))/I55,0)</f>
        <v>4.582165523798612E-2</v>
      </c>
      <c r="J56" s="31"/>
      <c r="K56" s="31"/>
      <c r="L56" s="31"/>
      <c r="M56" s="78"/>
      <c r="N56" s="77"/>
      <c r="O56" s="106" t="s">
        <v>1515</v>
      </c>
      <c r="P56" s="107"/>
      <c r="Q56" s="108">
        <f>TDIST(Q55,I52-2,2)</f>
        <v>0.58551028956276796</v>
      </c>
    </row>
    <row r="57" spans="7:34">
      <c r="G57" s="77"/>
      <c r="H57" s="31"/>
      <c r="I57" s="31"/>
      <c r="J57" s="31"/>
      <c r="K57" s="31"/>
      <c r="L57" s="31"/>
      <c r="M57" s="78"/>
      <c r="N57" s="77"/>
    </row>
    <row r="58" spans="7:34">
      <c r="G58" s="77" t="s">
        <v>1686</v>
      </c>
      <c r="H58" s="31"/>
      <c r="I58" s="31">
        <f>W44/V44</f>
        <v>0.40717511984122656</v>
      </c>
      <c r="J58" s="31"/>
      <c r="N58" s="77"/>
    </row>
    <row r="59" spans="7:34">
      <c r="G59" s="77" t="s">
        <v>504</v>
      </c>
      <c r="H59" s="31"/>
      <c r="I59" s="31">
        <f>1/V44</f>
        <v>1.9779735439532972E-2</v>
      </c>
      <c r="J59" s="31"/>
      <c r="N59" s="77"/>
      <c r="O59" t="s">
        <v>805</v>
      </c>
      <c r="R59">
        <v>1.96</v>
      </c>
    </row>
    <row r="60" spans="7:34">
      <c r="G60" s="80" t="s">
        <v>506</v>
      </c>
      <c r="H60" s="31"/>
      <c r="I60" s="31">
        <f>$R$59*SQRT(I59)</f>
        <v>0.27565527686679581</v>
      </c>
      <c r="J60" s="31"/>
      <c r="K60" s="31" t="s">
        <v>507</v>
      </c>
      <c r="L60" s="31"/>
      <c r="M60" s="78">
        <f>ABS(I58/(SQRT(I59)))</f>
        <v>2.8951494923656043</v>
      </c>
      <c r="N60" s="77"/>
    </row>
    <row r="61" spans="7:34">
      <c r="G61" s="81" t="s">
        <v>509</v>
      </c>
      <c r="H61" s="82"/>
      <c r="I61" s="82">
        <v>-3</v>
      </c>
      <c r="J61" s="82"/>
      <c r="K61" s="31" t="s">
        <v>825</v>
      </c>
      <c r="L61" s="31"/>
      <c r="M61" s="78">
        <f>2*(1-NORMDIST(M60,0,1,1))</f>
        <v>3.7897800293444917E-3</v>
      </c>
      <c r="N61" s="77"/>
    </row>
    <row r="62" spans="7:34">
      <c r="G62" s="74"/>
      <c r="H62" s="74"/>
      <c r="I62" s="74"/>
      <c r="J62" s="74"/>
      <c r="K62" s="74"/>
      <c r="L62" s="74"/>
      <c r="M62" s="74"/>
      <c r="N62" s="31"/>
      <c r="O62" s="7"/>
    </row>
  </sheetData>
  <phoneticPr fontId="10" type="noConversion"/>
  <conditionalFormatting sqref="D17 D13 F13">
    <cfRule type="cellIs" dxfId="146" priority="0" stopIfTrue="1" operator="lessThan">
      <formula>0.05</formula>
    </cfRule>
  </conditionalFormatting>
  <conditionalFormatting sqref="D21">
    <cfRule type="cellIs" dxfId="14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0.xml><?xml version="1.0" encoding="utf-8"?>
<worksheet xmlns="http://schemas.openxmlformats.org/spreadsheetml/2006/main" xmlns:r="http://schemas.openxmlformats.org/officeDocument/2006/relationships">
  <sheetPr published="0" codeName="Sheet47" enableFormatConditionsCalculation="0"/>
  <dimension ref="A1:BM6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676</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I53-O46</f>
        <v>5</v>
      </c>
      <c r="AD7" s="89"/>
    </row>
    <row r="8" spans="2:30">
      <c r="B8" t="s">
        <v>822</v>
      </c>
      <c r="D8">
        <f>SUM(H24:H30)</f>
        <v>153</v>
      </c>
      <c r="AD8" s="89"/>
    </row>
    <row r="9" spans="2:30">
      <c r="B9" t="s">
        <v>823</v>
      </c>
      <c r="D9">
        <f>SUM(I24:I30)</f>
        <v>129</v>
      </c>
      <c r="AD9" s="89"/>
    </row>
    <row r="11" spans="2:30">
      <c r="B11" s="27" t="s">
        <v>516</v>
      </c>
      <c r="C11" s="28"/>
      <c r="D11" s="109">
        <f>P48</f>
        <v>3.9282757571394371</v>
      </c>
      <c r="E11" s="110" t="s">
        <v>1513</v>
      </c>
      <c r="F11" s="103"/>
    </row>
    <row r="12" spans="2:30">
      <c r="B12" s="30" t="s">
        <v>826</v>
      </c>
      <c r="C12" s="31"/>
      <c r="D12" s="112">
        <f>P50</f>
        <v>0</v>
      </c>
      <c r="E12" s="31"/>
      <c r="F12" s="105"/>
    </row>
    <row r="13" spans="2:30">
      <c r="B13" s="35" t="s">
        <v>825</v>
      </c>
      <c r="C13" s="36"/>
      <c r="D13" s="113">
        <f>P49</f>
        <v>0.68638219027093228</v>
      </c>
      <c r="E13" s="111" t="s">
        <v>825</v>
      </c>
      <c r="F13" s="115">
        <f>Q57</f>
        <v>0.52170911990257662</v>
      </c>
    </row>
    <row r="15" spans="2:30">
      <c r="B15" s="39" t="s">
        <v>879</v>
      </c>
      <c r="C15" s="40"/>
      <c r="D15" s="41">
        <f>AH50</f>
        <v>-0.18969212836877866</v>
      </c>
      <c r="E15" s="116"/>
    </row>
    <row r="16" spans="2:30">
      <c r="B16" s="43" t="s">
        <v>1165</v>
      </c>
      <c r="C16" s="31"/>
      <c r="D16" s="33">
        <f>AH50-AH52</f>
        <v>-0.42957339860637578</v>
      </c>
      <c r="E16" s="117">
        <f>AH50+AH51</f>
        <v>5.0189141868818482E-2</v>
      </c>
    </row>
    <row r="17" spans="1:65">
      <c r="B17" s="45" t="s">
        <v>1166</v>
      </c>
      <c r="C17" s="46"/>
      <c r="D17" s="123">
        <f>M51</f>
        <v>0.12116092554224478</v>
      </c>
      <c r="E17" s="118"/>
    </row>
    <row r="18" spans="1:65">
      <c r="D18" s="48"/>
      <c r="F18" s="49"/>
    </row>
    <row r="19" spans="1:65">
      <c r="B19" s="50" t="s">
        <v>1167</v>
      </c>
      <c r="C19" s="51"/>
      <c r="D19" s="52">
        <f>AH54</f>
        <v>-0.18969212836877866</v>
      </c>
      <c r="E19" s="120"/>
      <c r="F19" s="33"/>
      <c r="G19" s="31"/>
    </row>
    <row r="20" spans="1:65">
      <c r="B20" s="53" t="s">
        <v>1165</v>
      </c>
      <c r="C20" s="31"/>
      <c r="D20" s="33">
        <f>AH54-AH56</f>
        <v>-0.42957339860637578</v>
      </c>
      <c r="E20" s="121">
        <f>AH54+AH55</f>
        <v>5.0189141868818482E-2</v>
      </c>
      <c r="F20" s="31"/>
      <c r="G20" s="31"/>
    </row>
    <row r="21" spans="1:65">
      <c r="B21" s="54" t="s">
        <v>1440</v>
      </c>
      <c r="C21" s="55"/>
      <c r="D21" s="114">
        <f>M62</f>
        <v>0.12116092554224478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 t="shared" ref="D24:D31" si="0">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1058</v>
      </c>
      <c r="K24" s="10"/>
      <c r="L24">
        <v>51.52</v>
      </c>
      <c r="M24">
        <v>9.93</v>
      </c>
      <c r="N24">
        <v>53.68</v>
      </c>
      <c r="O24">
        <v>8.17</v>
      </c>
      <c r="P24">
        <v>51.16</v>
      </c>
      <c r="Q24">
        <v>9.4700000000000006</v>
      </c>
      <c r="R24">
        <v>52.39</v>
      </c>
      <c r="S24">
        <v>6.32</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AX24" s="13"/>
      <c r="AY24" s="13"/>
      <c r="AZ24" s="13"/>
      <c r="BA24" s="13"/>
      <c r="BC24" s="23"/>
      <c r="BF24" s="136"/>
      <c r="BG24" s="136"/>
      <c r="BH24" s="136"/>
      <c r="BI24" s="136"/>
    </row>
    <row r="25" spans="1:65">
      <c r="B25">
        <v>11825139</v>
      </c>
      <c r="C25" s="1" t="str">
        <f>IF($B25="","",HYPERLINK(IF(LEN(VLOOKUP($B25,Database!$B$1:$IX$10144,2,FALSE))=0,"",VLOOKUP($B25,Database!$B$1:$IX$10144,2,FALSE))))</f>
        <v/>
      </c>
      <c r="D25" s="1" t="str">
        <f t="shared" si="0"/>
        <v>http://www.ncbi.nlm.nih.gov/pubmed/11825139</v>
      </c>
      <c r="E25" s="22" t="str">
        <f>IF($B25="","",IF(LEN(VLOOKUP($B25,Database!$B$1:$IX$10144,4,FALSE))=0,"",VLOOKUP($B25,Database!$B$1:$IX$10144,4,FALSE)))</f>
        <v>Nolan CL</v>
      </c>
      <c r="F25" s="22">
        <f>IF($B25="","",IF(LEN(VLOOKUP($B25,Database!$B$1:$IX$10144,5,FALSE))=0,"",VLOOKUP($B25,Database!$B$1:$IX$10144,5,FALSE)))</f>
        <v>2002</v>
      </c>
      <c r="G25" s="1" t="str">
        <f>IF($B25="","",HYPERLINK(IF(LEN(VLOOKUP($B25,Database!$B$1:$IX$10144,6,FALSE))=0,"",VLOOKUP($B25,Database!$B$1:$IX$10144,6,FALSE))))</f>
        <v>http://archpsyc.ama-assn.org/cgi/reprint/59/2/173</v>
      </c>
      <c r="H25" s="22">
        <f>IF($B25="","",IF(LEN(VLOOKUP($B25,Database!$B$1:$IX$10144,7,FALSE))=0,"",VLOOKUP($B25,Database!$B$1:$IX$10144,7,FALSE)))</f>
        <v>22</v>
      </c>
      <c r="I25" s="22">
        <f>IF($B25="","",IF(LEN(VLOOKUP($B25,Database!$B$1:$IX$10144,8,FALSE))=0,"",VLOOKUP($B25,Database!$B$1:$IX$10144,8,FALSE)))</f>
        <v>22</v>
      </c>
      <c r="J25" t="s">
        <v>450</v>
      </c>
      <c r="K25" t="s">
        <v>448</v>
      </c>
      <c r="L25">
        <v>50.4</v>
      </c>
      <c r="M25">
        <v>6.95</v>
      </c>
      <c r="N25">
        <v>50.35</v>
      </c>
      <c r="O25">
        <v>7.28</v>
      </c>
      <c r="P25">
        <v>52.36</v>
      </c>
      <c r="Q25">
        <v>6.38</v>
      </c>
      <c r="R25">
        <v>51.66</v>
      </c>
      <c r="S25">
        <v>8.06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t="str">
        <f>IF(OR($B25="",AB$22=""),"",IF(LEN(VLOOKUP($B25,Database!$B$1:$IX$10144,AB$22,FALSE))=0,"",VLOOKUP($B25,Database!$B$1:$IX$10144,AB$22,FALSE)))</f>
        <v/>
      </c>
      <c r="AC25" s="22" t="str">
        <f>IF(OR($B25="",AC$22=""),"",IF(LEN(VLOOKUP($B25,Database!$B$1:$IX$10144,AC$22,FALSE))=0,"",VLOOKUP($B25,Database!$B$1:$IX$10144,AC$22,FALSE)))</f>
        <v/>
      </c>
      <c r="AD25" s="22" t="str">
        <f>IF(OR($B25="",AD$22=""),"",IF(LEN(VLOOKUP($B25,Database!$B$1:$IX$10144,AD$22,FALSE))=0,"",VLOOKUP($B25,Database!$B$1:$IX$10144,AD$22,FALSE)))</f>
        <v/>
      </c>
      <c r="AE25" s="22" t="str">
        <f>IF(OR($B25="",AE$22=""),"",IF(LEN(VLOOKUP($B25,Database!$B$1:$IX$10144,AE$22,FALSE))=0,"",VLOOKUP($B25,Database!$B$1:$IX$10144,AE$22,FALSE)))</f>
        <v/>
      </c>
      <c r="AF25" s="22">
        <f>IF(OR($B25="",AF$22=""),"",IF(LEN(VLOOKUP($B25,Database!$B$1:$IX$10144,AF$22,FALSE))=0,"",VLOOKUP($B25,Database!$B$1:$IX$10144,AF$22,FALSE)))</f>
        <v>12</v>
      </c>
      <c r="AG25" s="22">
        <f>IF(OR($B25="",AG$22=""),"",IF(LEN(VLOOKUP($B25,Database!$B$1:$IX$10144,AG$22,FALSE))=0,"",VLOOKUP($B25,Database!$B$1:$IX$10144,AG$22,FALSE)))</f>
        <v>12</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12.18</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Nolan CL, Moore GJ, Madden R, Farchione T, Bartoi M, Lorch E, Stewart CM, Rosenberg DR.</v>
      </c>
      <c r="AR25" s="13"/>
      <c r="AX25" s="13"/>
      <c r="AY25" s="13"/>
      <c r="AZ25" s="13"/>
      <c r="BA25" s="13"/>
      <c r="BC25" s="23"/>
      <c r="BF25" s="136"/>
      <c r="BG25" s="136"/>
      <c r="BH25" s="136"/>
      <c r="BI25" s="136"/>
    </row>
    <row r="26" spans="1:65">
      <c r="B26">
        <v>12271802</v>
      </c>
      <c r="C26" s="1" t="str">
        <f>IF($B26="","",HYPERLINK(IF(LEN(VLOOKUP($B26,Database!$B$1:$IX$10144,2,FALSE))=0,"",VLOOKUP($B26,Database!$B$1:$IX$10144,2,FALSE))))</f>
        <v/>
      </c>
      <c r="D26" s="1" t="str">
        <f t="shared" si="0"/>
        <v>http://www.ncbi.nlm.nih.gov/pubmed/12271802</v>
      </c>
      <c r="E26" s="22" t="str">
        <f>IF($B26="","",IF(LEN(VLOOKUP($B26,Database!$B$1:$IX$10144,4,FALSE))=0,"",VLOOKUP($B26,Database!$B$1:$IX$10144,4,FALSE)))</f>
        <v>Salokangas RK</v>
      </c>
      <c r="F26" s="22">
        <f>IF($B26="","",IF(LEN(VLOOKUP($B26,Database!$B$1:$IX$10144,5,FALSE))=0,"",VLOOKUP($B26,Database!$B$1:$IX$10144,5,FALSE)))</f>
        <v>2002</v>
      </c>
      <c r="G26" s="1" t="str">
        <f>IF($B26="","",HYPERLINK(IF(LEN(VLOOKUP($B26,Database!$B$1:$IX$10144,6,FALSE))=0,"",VLOOKUP($B26,Database!$B$1:$IX$10144,6,FALSE))))</f>
        <v>http://bjp.rcpsych.org/cgi/reprint/181/43/s58</v>
      </c>
      <c r="H26" s="83">
        <v>20</v>
      </c>
      <c r="I26" s="83">
        <v>9.5</v>
      </c>
      <c r="J26" t="s">
        <v>1201</v>
      </c>
      <c r="K26" t="s">
        <v>716</v>
      </c>
      <c r="L26">
        <v>57.69</v>
      </c>
      <c r="M26">
        <v>7.75</v>
      </c>
      <c r="N26">
        <v>61.55</v>
      </c>
      <c r="O26">
        <v>8.59</v>
      </c>
      <c r="P26">
        <v>57.91</v>
      </c>
      <c r="Q26">
        <v>6.96</v>
      </c>
      <c r="R26">
        <v>61.49</v>
      </c>
      <c r="S26">
        <v>9.25</v>
      </c>
      <c r="T26">
        <v>115.6</v>
      </c>
      <c r="U26">
        <v>14.26</v>
      </c>
      <c r="V26">
        <v>123.04</v>
      </c>
      <c r="W26">
        <v>17.670000000000002</v>
      </c>
      <c r="Y26" s="22" t="str">
        <f>IF(OR($B26="",Y$22=""),"",IF(LEN(VLOOKUP($B26,Database!$B$1:$IX$10144,Y$22,FALSE))=0,"",VLOOKUP($B26,Database!$B$1:$IX$10144,Y$22,FALSE)))</f>
        <v>DSM-IV</v>
      </c>
      <c r="Z26" s="22" t="str">
        <f>IF(OR($B26="",Z$22=""),"",IF(LEN(VLOOKUP($B26,Database!$B$1:$IX$10144,Z$22,FALSE))=0,"",VLOOKUP($B26,Database!$B$1:$IX$10144,Z$22,FALSE)))</f>
        <v>MRI</v>
      </c>
      <c r="AA26" s="214" t="s">
        <v>754</v>
      </c>
      <c r="AB26" s="214">
        <v>34</v>
      </c>
      <c r="AC26" s="214">
        <v>9.8000000000000007</v>
      </c>
      <c r="AD26" s="22">
        <f>IF(OR($B26="",AD$22=""),"",IF(LEN(VLOOKUP($B26,Database!$B$1:$IX$10144,AD$22,FALSE))=0,"",VLOOKUP($B26,Database!$B$1:$IX$10144,AD$22,FALSE)))</f>
        <v>30.5</v>
      </c>
      <c r="AE26" s="22">
        <f>IF(OR($B26="",AE$22=""),"",IF(LEN(VLOOKUP($B26,Database!$B$1:$IX$10144,AE$22,FALSE))=0,"",VLOOKUP($B26,Database!$B$1:$IX$10144,AE$22,FALSE)))</f>
        <v>8.4</v>
      </c>
      <c r="AF26" s="214">
        <v>12</v>
      </c>
      <c r="AG26" s="22">
        <f>IF(OR($B26="",AG$22=""),"",IF(LEN(VLOOKUP($B26,Database!$B$1:$IX$10144,AG$22,FALSE))=0,"",VLOOKUP($B26,Database!$B$1:$IX$10144,AG$22,FALSE)))</f>
        <v>7</v>
      </c>
      <c r="AH26" s="22">
        <f>IF(OR($B26="",AH$22=""),"",IF(LEN(VLOOKUP($B26,Database!$B$1:$IX$10144,AH$22,FALSE))=0,"",VLOOKUP($B26,Database!$B$1:$IX$10144,AH$22,FALSE)))</f>
        <v>1.5</v>
      </c>
      <c r="AI26" s="22">
        <f>IF(OR($B26="",AI$22=""),"",IF(LEN(VLOOKUP($B26,Database!$B$1:$IX$10144,AI$22,FALSE))=0,"",VLOOKUP($B26,Database!$B$1:$IX$10144,AI$22,FALSE)))</f>
        <v>5.4</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Salokangas RK, Cannon T, Van Erp T, Ilonen T, Taiminen T, Karlsson H, Lauerma H, Leinonen KM, Wallenius E, Kaljonen A, Syvalahti E, Vilkman H, Alanen A, Hietala J.</v>
      </c>
      <c r="AR26" s="13"/>
      <c r="AU26" s="22"/>
      <c r="AX26" s="13"/>
      <c r="AY26" s="13"/>
      <c r="AZ26" s="13"/>
      <c r="BA26" s="13"/>
      <c r="BC26" s="23"/>
      <c r="BF26" s="136"/>
      <c r="BG26" s="136"/>
      <c r="BH26" s="136"/>
      <c r="BI26" s="136"/>
    </row>
    <row r="27" spans="1:65">
      <c r="B27">
        <v>12271802</v>
      </c>
      <c r="C27" s="1" t="str">
        <f>IF($B27="","",HYPERLINK(IF(LEN(VLOOKUP($B27,Database!$B$1:$IX$10144,2,FALSE))=0,"",VLOOKUP($B27,Database!$B$1:$IX$10144,2,FALSE))))</f>
        <v/>
      </c>
      <c r="D27" s="1" t="str">
        <f t="shared" si="0"/>
        <v>http://www.ncbi.nlm.nih.gov/pubmed/12271802</v>
      </c>
      <c r="E27" s="22" t="str">
        <f>IF($B27="","",IF(LEN(VLOOKUP($B27,Database!$B$1:$IX$10144,4,FALSE))=0,"",VLOOKUP($B27,Database!$B$1:$IX$10144,4,FALSE)))</f>
        <v>Salokangas RK</v>
      </c>
      <c r="F27" s="22">
        <f>IF($B27="","",IF(LEN(VLOOKUP($B27,Database!$B$1:$IX$10144,5,FALSE))=0,"",VLOOKUP($B27,Database!$B$1:$IX$10144,5,FALSE)))</f>
        <v>2002</v>
      </c>
      <c r="G27" s="1" t="str">
        <f>IF($B27="","",HYPERLINK(IF(LEN(VLOOKUP($B27,Database!$B$1:$IX$10144,6,FALSE))=0,"",VLOOKUP($B27,Database!$B$1:$IX$10144,6,FALSE))))</f>
        <v>http://bjp.rcpsych.org/cgi/reprint/181/43/s58</v>
      </c>
      <c r="H27" s="83">
        <v>17</v>
      </c>
      <c r="I27" s="83">
        <v>9.5</v>
      </c>
      <c r="J27" t="s">
        <v>1201</v>
      </c>
      <c r="K27" t="s">
        <v>717</v>
      </c>
      <c r="L27">
        <v>59.18</v>
      </c>
      <c r="M27">
        <v>9.81</v>
      </c>
      <c r="N27">
        <v>61.55</v>
      </c>
      <c r="O27">
        <v>8.59</v>
      </c>
      <c r="P27">
        <v>60.75</v>
      </c>
      <c r="Q27">
        <v>10.34</v>
      </c>
      <c r="R27">
        <v>61.49</v>
      </c>
      <c r="S27">
        <v>9.25</v>
      </c>
      <c r="T27">
        <v>119.93</v>
      </c>
      <c r="U27">
        <v>20.03</v>
      </c>
      <c r="V27">
        <v>123.04</v>
      </c>
      <c r="W27">
        <v>17.670000000000002</v>
      </c>
      <c r="Y27" s="22" t="str">
        <f>IF(OR($B27="",Y$22=""),"",IF(LEN(VLOOKUP($B27,Database!$B$1:$IX$10144,Y$22,FALSE))=0,"",VLOOKUP($B27,Database!$B$1:$IX$10144,Y$22,FALSE)))</f>
        <v>DSM-IV</v>
      </c>
      <c r="Z27" s="22" t="str">
        <f>IF(OR($B27="",Z$22=""),"",IF(LEN(VLOOKUP($B27,Database!$B$1:$IX$10144,Z$22,FALSE))=0,"",VLOOKUP($B27,Database!$B$1:$IX$10144,Z$22,FALSE)))</f>
        <v>MRI</v>
      </c>
      <c r="AA27" s="214" t="s">
        <v>755</v>
      </c>
      <c r="AB27" s="214">
        <v>38.4</v>
      </c>
      <c r="AC27" s="214">
        <v>12</v>
      </c>
      <c r="AD27" s="22">
        <f>IF(OR($B27="",AD$22=""),"",IF(LEN(VLOOKUP($B27,Database!$B$1:$IX$10144,AD$22,FALSE))=0,"",VLOOKUP($B27,Database!$B$1:$IX$10144,AD$22,FALSE)))</f>
        <v>30.5</v>
      </c>
      <c r="AE27" s="22">
        <f>IF(OR($B27="",AE$22=""),"",IF(LEN(VLOOKUP($B27,Database!$B$1:$IX$10144,AE$22,FALSE))=0,"",VLOOKUP($B27,Database!$B$1:$IX$10144,AE$22,FALSE)))</f>
        <v>8.4</v>
      </c>
      <c r="AF27" s="214">
        <v>9</v>
      </c>
      <c r="AG27" s="22">
        <f>IF(OR($B27="",AG$22=""),"",IF(LEN(VLOOKUP($B27,Database!$B$1:$IX$10144,AG$22,FALSE))=0,"",VLOOKUP($B27,Database!$B$1:$IX$10144,AG$22,FALSE)))</f>
        <v>7</v>
      </c>
      <c r="AH27" s="22">
        <f>IF(OR($B27="",AH$22=""),"",IF(LEN(VLOOKUP($B27,Database!$B$1:$IX$10144,AH$22,FALSE))=0,"",VLOOKUP($B27,Database!$B$1:$IX$10144,AH$22,FALSE)))</f>
        <v>1.5</v>
      </c>
      <c r="AI27" s="22">
        <f>IF(OR($B27="",AI$22=""),"",IF(LEN(VLOOKUP($B27,Database!$B$1:$IX$10144,AI$22,FALSE))=0,"",VLOOKUP($B27,Database!$B$1:$IX$10144,AI$22,FALSE)))</f>
        <v>5.4</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Salokangas RK, Cannon T, Van Erp T, Ilonen T, Taiminen T, Karlsson H, Lauerma H, Leinonen KM, Wallenius E, Kaljonen A, Syvalahti E, Vilkman H, Alanen A, Hietala J.</v>
      </c>
      <c r="AR27" s="13"/>
      <c r="AU27" s="22"/>
      <c r="AX27" s="13"/>
      <c r="AY27" s="13"/>
      <c r="AZ27" s="13"/>
      <c r="BA27" s="13"/>
      <c r="BC27" s="23"/>
      <c r="BF27" s="136"/>
      <c r="BG27" s="136"/>
      <c r="BH27" s="136"/>
      <c r="BI27" s="136"/>
    </row>
    <row r="28" spans="1:65">
      <c r="B28">
        <v>16086609</v>
      </c>
      <c r="C28" s="1" t="str">
        <f>IF($B28="","",HYPERLINK(IF(LEN(VLOOKUP($B28,Database!$B$1:$IX$10144,2,FALSE))=0,"",VLOOKUP($B28,Database!$B$1:$IX$10144,2,FALSE))))</f>
        <v/>
      </c>
      <c r="D28" s="1" t="str">
        <f t="shared" si="0"/>
        <v>http://www.ncbi.nlm.nih.gov/pubmed/16086609</v>
      </c>
      <c r="E28" s="22" t="str">
        <f>IF($B28="","",IF(LEN(VLOOKUP($B28,Database!$B$1:$IX$10144,4,FALSE))=0,"",VLOOKUP($B28,Database!$B$1:$IX$10144,4,FALSE)))</f>
        <v>Lavretsky H</v>
      </c>
      <c r="F28" s="22">
        <f>IF($B28="","",IF(LEN(VLOOKUP($B28,Database!$B$1:$IX$10144,5,FALSE))=0,"",VLOOKUP($B28,Database!$B$1:$IX$10144,5,FALSE)))</f>
        <v>2005</v>
      </c>
      <c r="G28" s="1" t="str">
        <f>IF($B28="","",HYPERLINK(IF(LEN(VLOOKUP($B28,Database!$B$1:$IX$10144,6,FALSE))=0,"",VLOOKUP($B28,Database!$B$1:$IX$10144,6,FALSE))))</f>
        <v>http://www.psychiatrist.com/privatepdf/2005/v66n08/v66n0801.pdf</v>
      </c>
      <c r="H28" s="83">
        <v>11</v>
      </c>
      <c r="I28" s="83">
        <v>20.5</v>
      </c>
      <c r="J28" t="s">
        <v>1247</v>
      </c>
      <c r="K28" t="s">
        <v>1245</v>
      </c>
      <c r="L28">
        <v>6.8000000000000005E-2</v>
      </c>
      <c r="M28">
        <v>4.0000000000000001E-3</v>
      </c>
      <c r="N28">
        <v>6.6000000000000003E-2</v>
      </c>
      <c r="O28">
        <v>6.0000000000000001E-3</v>
      </c>
      <c r="P28">
        <v>6.7000000000000004E-2</v>
      </c>
      <c r="Q28">
        <v>4.0000000000000001E-3</v>
      </c>
      <c r="R28">
        <v>6.5000000000000002E-2</v>
      </c>
      <c r="S28">
        <v>6.0000000000000001E-3</v>
      </c>
      <c r="T28">
        <v>0.13500000000000001</v>
      </c>
      <c r="U28">
        <v>1.2999999999999999E-2</v>
      </c>
      <c r="V28">
        <v>0.13100000000000001</v>
      </c>
      <c r="W28">
        <v>7.1999999999999998E-3</v>
      </c>
      <c r="Y28" s="22" t="str">
        <f>IF(OR($B28="",Y$22=""),"",IF(LEN(VLOOKUP($B28,Database!$B$1:$IX$10144,Y$22,FALSE))=0,"",VLOOKUP($B28,Database!$B$1:$IX$10144,Y$22,FALSE)))</f>
        <v>DSM-IV</v>
      </c>
      <c r="Z28" s="22" t="str">
        <f>IF(OR($B28="",Z$22=""),"",IF(LEN(VLOOKUP($B28,Database!$B$1:$IX$10144,Z$22,FALSE))=0,"",VLOOKUP($B28,Database!$B$1:$IX$10144,Z$22,FALSE)))</f>
        <v>MRI</v>
      </c>
      <c r="AA28" s="214" t="s">
        <v>2455</v>
      </c>
      <c r="AB28" s="214">
        <v>67.400000000000006</v>
      </c>
      <c r="AC28" s="214">
        <v>6.1</v>
      </c>
      <c r="AD28" s="22">
        <f>IF(OR($B28="",AD$22=""),"",IF(LEN(VLOOKUP($B28,Database!$B$1:$IX$10144,AD$22,FALSE))=0,"",VLOOKUP($B28,Database!$B$1:$IX$10144,AD$22,FALSE)))</f>
        <v>72.2</v>
      </c>
      <c r="AE28" s="22">
        <f>IF(OR($B28="",AE$22=""),"",IF(LEN(VLOOKUP($B28,Database!$B$1:$IX$10144,AE$22,FALSE))=0,"",VLOOKUP($B28,Database!$B$1:$IX$10144,AE$22,FALSE)))</f>
        <v>7.3</v>
      </c>
      <c r="AF28" s="214">
        <v>7</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14">
        <v>36.4</v>
      </c>
      <c r="AL28" s="214">
        <v>17.7</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Roybal DJ, Ballmaier M, Toga AW, Kumar A.</v>
      </c>
      <c r="AR28" s="13"/>
      <c r="AU28" s="22"/>
      <c r="AX28" s="13"/>
      <c r="AY28" s="13"/>
      <c r="AZ28" s="13"/>
      <c r="BA28" s="13"/>
      <c r="BC28" s="23"/>
      <c r="BF28" s="136"/>
      <c r="BG28" s="136"/>
      <c r="BH28" s="136"/>
      <c r="BI28" s="136"/>
    </row>
    <row r="29" spans="1:65">
      <c r="B29">
        <v>16086609</v>
      </c>
      <c r="C29" s="1" t="str">
        <f>IF($B29="","",HYPERLINK(IF(LEN(VLOOKUP($B29,Database!$B$1:$IX$10144,2,FALSE))=0,"",VLOOKUP($B29,Database!$B$1:$IX$10144,2,FALSE))))</f>
        <v/>
      </c>
      <c r="D29" s="1" t="str">
        <f t="shared" si="0"/>
        <v>http://www.ncbi.nlm.nih.gov/pubmed/16086609</v>
      </c>
      <c r="E29" s="22" t="str">
        <f>IF($B29="","",IF(LEN(VLOOKUP($B29,Database!$B$1:$IX$10144,4,FALSE))=0,"",VLOOKUP($B29,Database!$B$1:$IX$10144,4,FALSE)))</f>
        <v>Lavretsky H</v>
      </c>
      <c r="F29" s="22">
        <f>IF($B29="","",IF(LEN(VLOOKUP($B29,Database!$B$1:$IX$10144,5,FALSE))=0,"",VLOOKUP($B29,Database!$B$1:$IX$10144,5,FALSE)))</f>
        <v>2005</v>
      </c>
      <c r="G29" s="1" t="str">
        <f>IF($B29="","",HYPERLINK(IF(LEN(VLOOKUP($B29,Database!$B$1:$IX$10144,6,FALSE))=0,"",VLOOKUP($B29,Database!$B$1:$IX$10144,6,FALSE))))</f>
        <v>http://www.psychiatrist.com/privatepdf/2005/v66n08/v66n0801.pdf</v>
      </c>
      <c r="H29" s="83">
        <v>30</v>
      </c>
      <c r="I29" s="83">
        <v>20.5</v>
      </c>
      <c r="J29" t="s">
        <v>1247</v>
      </c>
      <c r="K29" t="s">
        <v>231</v>
      </c>
      <c r="L29">
        <v>6.5000000000000002E-2</v>
      </c>
      <c r="M29">
        <v>5.0000000000000001E-3</v>
      </c>
      <c r="N29">
        <v>6.6000000000000003E-2</v>
      </c>
      <c r="O29">
        <v>6.0000000000000001E-3</v>
      </c>
      <c r="P29">
        <v>6.5000000000000002E-2</v>
      </c>
      <c r="Q29">
        <v>5.0000000000000001E-3</v>
      </c>
      <c r="R29">
        <v>6.5000000000000002E-2</v>
      </c>
      <c r="S29">
        <v>6.0000000000000001E-3</v>
      </c>
      <c r="T29">
        <v>0.13</v>
      </c>
      <c r="U29">
        <v>0.01</v>
      </c>
      <c r="V29">
        <v>0.13100000000000001</v>
      </c>
      <c r="W29">
        <v>7.1999999999999998E-3</v>
      </c>
      <c r="Y29" s="22" t="str">
        <f>IF(OR($B29="",Y$22=""),"",IF(LEN(VLOOKUP($B29,Database!$B$1:$IX$10144,Y$22,FALSE))=0,"",VLOOKUP($B29,Database!$B$1:$IX$10144,Y$22,FALSE)))</f>
        <v>DSM-IV</v>
      </c>
      <c r="Z29" s="22" t="str">
        <f>IF(OR($B29="",Z$22=""),"",IF(LEN(VLOOKUP($B29,Database!$B$1:$IX$10144,Z$22,FALSE))=0,"",VLOOKUP($B29,Database!$B$1:$IX$10144,Z$22,FALSE)))</f>
        <v>MRI</v>
      </c>
      <c r="AA29" s="214" t="s">
        <v>2456</v>
      </c>
      <c r="AB29" s="214">
        <v>71.7</v>
      </c>
      <c r="AC29" s="214">
        <v>7.8</v>
      </c>
      <c r="AD29" s="22">
        <f>IF(OR($B29="",AD$22=""),"",IF(LEN(VLOOKUP($B29,Database!$B$1:$IX$10144,AD$22,FALSE))=0,"",VLOOKUP($B29,Database!$B$1:$IX$10144,AD$22,FALSE)))</f>
        <v>72.2</v>
      </c>
      <c r="AE29" s="22">
        <f>IF(OR($B29="",AE$22=""),"",IF(LEN(VLOOKUP($B29,Database!$B$1:$IX$10144,AE$22,FALSE))=0,"",VLOOKUP($B29,Database!$B$1:$IX$10144,AE$22,FALSE)))</f>
        <v>7.3</v>
      </c>
      <c r="AF29" s="214">
        <v>25</v>
      </c>
      <c r="AG29" s="22">
        <f>IF(OR($B29="",AG$22=""),"",IF(LEN(VLOOKUP($B29,Database!$B$1:$IX$10144,AG$22,FALSE))=0,"",VLOOKUP($B29,Database!$B$1:$IX$10144,AG$22,FALSE)))</f>
        <v>20</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214">
        <v>52.5</v>
      </c>
      <c r="AL29" s="214">
        <v>17.7</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Lavretsky H, Roybal DJ, Ballmaier M, Toga AW, Kumar A.</v>
      </c>
      <c r="AR29" s="13"/>
      <c r="AU29" s="22"/>
      <c r="AX29" s="13"/>
      <c r="AY29" s="13"/>
      <c r="AZ29" s="13"/>
      <c r="BA29" s="13"/>
      <c r="BC29" s="23"/>
      <c r="BF29" s="136"/>
      <c r="BG29" s="136"/>
      <c r="BH29" s="136"/>
      <c r="BI29" s="136"/>
    </row>
    <row r="30" spans="1:65">
      <c r="B30">
        <v>16951734</v>
      </c>
      <c r="C30" s="1" t="str">
        <f>IF($B30="","",HYPERLINK(IF(LEN(VLOOKUP($B30,Database!$B$1:$IX$10144,2,FALSE))=0,"",VLOOKUP($B30,Database!$B$1:$IX$10144,2,FALSE))))</f>
        <v/>
      </c>
      <c r="D30" s="1" t="str">
        <f t="shared" si="0"/>
        <v>http://www.ncbi.nlm.nih.gov/pubmed/16951734</v>
      </c>
      <c r="E30" s="22" t="str">
        <f>IF($B30="","",IF(LEN(VLOOKUP($B30,Database!$B$1:$IX$10144,4,FALSE))=0,"",VLOOKUP($B30,Database!$B$1:$IX$10144,4,FALSE)))</f>
        <v>Frodl T</v>
      </c>
      <c r="F30" s="22">
        <f>IF($B30="","",IF(LEN(VLOOKUP($B30,Database!$B$1:$IX$10144,5,FALSE))=0,"",VLOOKUP($B30,Database!$B$1:$IX$10144,5,FALSE)))</f>
        <v>2006</v>
      </c>
      <c r="G30" s="1" t="str">
        <f>IF($B30="","",HYPERLINK(IF(LEN(VLOOKUP($B30,Database!$B$1:$IX$10144,6,FALSE))=0,"",VLOOKUP($B30,Database!$B$1:$IX$10144,6,FALSE))))</f>
        <v>http://www.cma.ca/multimedia/staticContent/HTML/N0/l2/jpn/vol-31/issue-5/pdf/pg316.pdf</v>
      </c>
      <c r="H30" s="22">
        <f>IF($B30="","",IF(LEN(VLOOKUP($B30,Database!$B$1:$IX$10144,7,FALSE))=0,"",VLOOKUP($B30,Database!$B$1:$IX$10144,7,FALSE)))</f>
        <v>34</v>
      </c>
      <c r="I30" s="22">
        <f>IF($B30="","",IF(LEN(VLOOKUP($B30,Database!$B$1:$IX$10144,8,FALSE))=0,"",VLOOKUP($B30,Database!$B$1:$IX$10144,8,FALSE)))</f>
        <v>34</v>
      </c>
      <c r="J30" t="s">
        <v>637</v>
      </c>
      <c r="K30" t="s">
        <v>683</v>
      </c>
      <c r="L30">
        <v>94.3</v>
      </c>
      <c r="M30">
        <v>5.3</v>
      </c>
      <c r="N30">
        <v>96.8</v>
      </c>
      <c r="O30">
        <v>6.5</v>
      </c>
      <c r="P30">
        <v>99.1</v>
      </c>
      <c r="Q30">
        <v>5.6</v>
      </c>
      <c r="R30">
        <v>101.3</v>
      </c>
      <c r="S30">
        <v>6.1</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45.5</v>
      </c>
      <c r="AC30" s="22">
        <f>IF(OR($B30="",AC$22=""),"",IF(LEN(VLOOKUP($B30,Database!$B$1:$IX$10144,AC$22,FALSE))=0,"",VLOOKUP($B30,Database!$B$1:$IX$10144,AC$22,FALSE)))</f>
        <v>11.9</v>
      </c>
      <c r="AD30" s="22">
        <f>IF(OR($B30="",AD$22=""),"",IF(LEN(VLOOKUP($B30,Database!$B$1:$IX$10144,AD$22,FALSE))=0,"",VLOOKUP($B30,Database!$B$1:$IX$10144,AD$22,FALSE)))</f>
        <v>43.6</v>
      </c>
      <c r="AE30" s="22">
        <f>IF(OR($B30="",AE$22=""),"",IF(LEN(VLOOKUP($B30,Database!$B$1:$IX$10144,AE$22,FALSE))=0,"",VLOOKUP($B30,Database!$B$1:$IX$10144,AE$22,FALSE)))</f>
        <v>13.2</v>
      </c>
      <c r="AF30" s="22">
        <f>IF(OR($B30="",AF$22=""),"",IF(LEN(VLOOKUP($B30,Database!$B$1:$IX$10144,AF$22,FALSE))=0,"",VLOOKUP($B30,Database!$B$1:$IX$10144,AF$22,FALSE)))</f>
        <v>15</v>
      </c>
      <c r="AG30" s="22">
        <f>IF(OR($B30="",AG$22=""),"",IF(LEN(VLOOKUP($B30,Database!$B$1:$IX$10144,AG$22,FALSE))=0,"",VLOOKUP($B30,Database!$B$1:$IX$10144,AG$22,FALSE)))</f>
        <v>15</v>
      </c>
      <c r="AH30" s="22" t="str">
        <f>IF(OR($B30="",AH$22=""),"",IF(LEN(VLOOKUP($B30,Database!$B$1:$IX$10144,AH$22,FALSE))=0,"",VLOOKUP($B30,Database!$B$1:$IX$10144,AH$22,FALSE)))</f>
        <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38.799999999999997</v>
      </c>
      <c r="AL30" s="22">
        <f>IF(OR($B30="",AL$22=""),"",IF(LEN(VLOOKUP($B30,Database!$B$1:$IX$10144,AL$22,FALSE))=0,"",VLOOKUP($B30,Database!$B$1:$IX$10144,AL$22,FALSE)))</f>
        <v>24.8</v>
      </c>
      <c r="AM30" s="22">
        <f>IF(OR($B30="",AM$22=""),"",IF(LEN(VLOOKUP($B30,Database!$B$1:$IX$10144,AM$22,FALSE))=0,"",VLOOKUP($B30,Database!$B$1:$IX$10144,AM$22,FALSE)))</f>
        <v>91.17647058823529</v>
      </c>
      <c r="AN30" s="22" t="str">
        <f>IF(OR($B30="",AN$22=""),"",IF(LEN(VLOOKUP($B30,Database!$B$1:$IX$10144,AN$22,FALSE))=0,"",VLOOKUP($B30,Database!$B$1:$IX$10144,AN$22,FALSE)))</f>
        <v>ns</v>
      </c>
      <c r="AO30" s="22">
        <f>IF(OR($B30="",AO$22=""),"",IF(LEN(VLOOKUP($B30,Database!$B$1:$IX$10144,AO$22,FALSE))=0,"",VLOOKUP($B30,Database!$B$1:$IX$10144,AO$22,FALSE)))</f>
        <v>11.76470588235294</v>
      </c>
      <c r="AP30" s="22">
        <f>IF(OR($B30="",AP$22=""),"",IF(LEN(VLOOKUP($B30,Database!$B$1:$IX$10144,AP$22,FALSE))=0,"",VLOOKUP($B30,Database!$B$1:$IX$10144,AP$22,FALSE)))</f>
        <v>8.8235294117647065</v>
      </c>
      <c r="AQ30" s="22" t="str">
        <f>IF(OR($B30="",AQ$22=""),"",IF(LEN(VLOOKUP($B30,Database!$B$1:$IX$10144,AQ$22,FALSE))=0,"",VLOOKUP($B30,Database!$B$1:$IX$10144,AQ$22,FALSE)))</f>
        <v>Frodl T, Schaub A, Banac S, Charypar M, Jager M, Kummler P, Bottlender R, Zetzsche T, Born C, Leinsinger G, Reiser M, Moller HJ, Meisenzahl EM.</v>
      </c>
      <c r="AR30" s="13"/>
      <c r="AX30" s="13"/>
      <c r="AY30" s="13"/>
      <c r="AZ30" s="13"/>
      <c r="BA30" s="13"/>
      <c r="BC30" s="23"/>
      <c r="BF30" s="136"/>
      <c r="BG30" s="136"/>
      <c r="BH30" s="136"/>
      <c r="BI30" s="136"/>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7" t="s">
        <v>36</v>
      </c>
      <c r="B33">
        <v>9859118</v>
      </c>
      <c r="C33" s="1" t="str">
        <f>IF($B33="","",HYPERLINK(IF(LEN(VLOOKUP($B33,Database!$B$1:$IX$10144,2,FALSE))=0,"",VLOOKUP($B33,Database!$B$1:$IX$10144,2,FALSE))))</f>
        <v/>
      </c>
      <c r="D33" s="1" t="str">
        <f>IF($B33="","",HYPERLINK(CONCATENATE("http://www.ncbi.nlm.nih.gov/pubmed/",B33)))</f>
        <v>http://www.ncbi.nlm.nih.gov/pubmed/9859118</v>
      </c>
      <c r="E33" s="22" t="str">
        <f>IF($B33="","",IF(LEN(VLOOKUP($B33,Database!$B$1:$IX$10144,4,FALSE))=0,"",VLOOKUP($B33,Database!$B$1:$IX$10144,4,FALSE)))</f>
        <v>Pantel J</v>
      </c>
      <c r="F33" s="22">
        <f>IF($B33="","",IF(LEN(VLOOKUP($B33,Database!$B$1:$IX$10144,5,FALSE))=0,"",VLOOKUP($B33,Database!$B$1:$IX$10144,5,FALSE)))</f>
        <v>1998</v>
      </c>
      <c r="G33" s="1" t="str">
        <f>IF($B33="","",HYPERLINK(IF(LEN(VLOOKUP($B33,Database!$B$1:$IX$10144,6,FALSE))=0,"",VLOOKUP($B33,Database!$B$1:$IX$10144,6,FALSE))))</f>
        <v>http://dx.doi.org/10.1007/s001150050371</v>
      </c>
      <c r="H33" s="22">
        <f>IF($B33="","",IF(LEN(VLOOKUP($B33,Database!$B$1:$IX$10144,7,FALSE))=0,"",VLOOKUP($B33,Database!$B$1:$IX$10144,7,FALSE)))</f>
        <v>19</v>
      </c>
      <c r="I33" s="22">
        <f>IF($B33="","",IF(LEN(VLOOKUP($B33,Database!$B$1:$IX$10144,8,FALSE))=0,"",VLOOKUP($B33,Database!$B$1:$IX$10144,8,FALSE)))</f>
        <v>13</v>
      </c>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72.400000000000006</v>
      </c>
      <c r="AC33" s="22">
        <f>IF(OR($B33="",AC$22=""),"",IF(LEN(VLOOKUP($B33,Database!$B$1:$IX$10144,AC$22,FALSE))=0,"",VLOOKUP($B33,Database!$B$1:$IX$10144,AC$22,FALSE)))</f>
        <v>8.8000000000000007</v>
      </c>
      <c r="AD33" s="22">
        <f>IF(OR($B33="",AD$22=""),"",IF(LEN(VLOOKUP($B33,Database!$B$1:$IX$10144,AD$22,FALSE))=0,"",VLOOKUP($B33,Database!$B$1:$IX$10144,AD$22,FALSE)))</f>
        <v>68.2</v>
      </c>
      <c r="AE33" s="22">
        <f>IF(OR($B33="",AE$22=""),"",IF(LEN(VLOOKUP($B33,Database!$B$1:$IX$10144,AE$22,FALSE))=0,"",VLOOKUP($B33,Database!$B$1:$IX$10144,AE$22,FALSE)))</f>
        <v>5.3</v>
      </c>
      <c r="AF33" s="22">
        <f>IF(OR($B33="",AF$22=""),"",IF(LEN(VLOOKUP($B33,Database!$B$1:$IX$10144,AF$22,FALSE))=0,"",VLOOKUP($B33,Database!$B$1:$IX$10144,AF$22,FALSE)))</f>
        <v>15</v>
      </c>
      <c r="AG33" s="22">
        <f>IF(OR($B33="",AG$22=""),"",IF(LEN(VLOOKUP($B33,Database!$B$1:$IX$10144,AG$22,FALSE))=0,"",VLOOKUP($B33,Database!$B$1:$IX$10144,AG$22,FALSE)))</f>
        <v>10</v>
      </c>
      <c r="AH33" s="22">
        <f>IF(OR($B33="",AH$22=""),"",IF(LEN(VLOOKUP($B33,Database!$B$1:$IX$10144,AH$22,FALSE))=0,"",VLOOKUP($B33,Database!$B$1:$IX$10144,AH$22,FALSE)))</f>
        <v>1.5</v>
      </c>
      <c r="AI33" s="22">
        <f>IF(OR($B33="",AI$22=""),"",IF(LEN(VLOOKUP($B33,Database!$B$1:$IX$10144,AI$22,FALSE))=0,"",VLOOKUP($B33,Database!$B$1:$IX$10144,AI$22,FALSE)))</f>
        <v>1.2</v>
      </c>
      <c r="AJ33" s="22" t="str">
        <f>IF(OR($B33="",AJ$22=""),"",IF(LEN(VLOOKUP($B33,Database!$B$1:$IX$10144,AJ$22,FALSE))=0,"",VLOOKUP($B33,Database!$B$1:$IX$10144,AJ$22,FALSE)))</f>
        <v/>
      </c>
      <c r="AK33" s="22" t="str">
        <f>IF(OR($B33="",AK$22=""),"",IF(LEN(VLOOKUP($B33,Database!$B$1:$IX$10144,AK$22,FALSE))=0,"",VLOOKUP($B33,Database!$B$1:$IX$10144,AK$22,FALSE)))</f>
        <v>ns</v>
      </c>
      <c r="AL33" s="22">
        <f>IF(OR($B33="",AL$22=""),"",IF(LEN(VLOOKUP($B33,Database!$B$1:$IX$10144,AL$22,FALSE))=0,"",VLOOKUP($B33,Database!$B$1:$IX$10144,AL$22,FALSE)))</f>
        <v>26.7</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Pantel J, Schroder J, Essig M, Schad LR, Popp D, Eysenbach K, Jauss M, Knopp MV.</v>
      </c>
    </row>
    <row r="34" spans="1:51">
      <c r="A34" s="7" t="s">
        <v>37</v>
      </c>
      <c r="B34">
        <v>15545334</v>
      </c>
      <c r="C34" s="1" t="str">
        <f>IF($B34="","",HYPERLINK(IF(LEN(VLOOKUP($B34,Database!$B$1:$IX$10144,2,FALSE))=0,"",VLOOKUP($B34,Database!$B$1:$IX$10144,2,FALSE))))</f>
        <v/>
      </c>
      <c r="D34" s="1" t="str">
        <f>IF($B34="","",HYPERLINK(CONCATENATE("http://www.ncbi.nlm.nih.gov/pubmed/",B34)))</f>
        <v>http://www.ncbi.nlm.nih.gov/pubmed/15545334</v>
      </c>
      <c r="E34" s="22" t="str">
        <f>IF($B34="","",IF(LEN(VLOOKUP($B34,Database!$B$1:$IX$10144,4,FALSE))=0,"",VLOOKUP($B34,Database!$B$1:$IX$10144,4,FALSE)))</f>
        <v>Lavretsky H</v>
      </c>
      <c r="F34" s="22">
        <f>IF($B34="","",IF(LEN(VLOOKUP($B34,Database!$B$1:$IX$10144,5,FALSE))=0,"",VLOOKUP($B34,Database!$B$1:$IX$10144,5,FALSE)))</f>
        <v>2004</v>
      </c>
      <c r="G34" s="1" t="str">
        <f>IF($B34="","",HYPERLINK(IF(LEN(VLOOKUP($B34,Database!$B$1:$IX$10144,6,FALSE))=0,"",VLOOKUP($B34,Database!$B$1:$IX$10144,6,FALSE))))</f>
        <v>http://journals.lww.com/ajgponline/Abstract/2004/11000/Sex_Differences_in_Brain_Structure_in_Geriatric.12.aspx</v>
      </c>
      <c r="H34" s="22">
        <f>IF($B34="","",IF(LEN(VLOOKUP($B34,Database!$B$1:$IX$10144,7,FALSE))=0,"",VLOOKUP($B34,Database!$B$1:$IX$10144,7,FALSE)))</f>
        <v>41</v>
      </c>
      <c r="I34" s="22">
        <f>IF($B34="","",IF(LEN(VLOOKUP($B34,Database!$B$1:$IX$10144,8,FALSE))=0,"",VLOOKUP($B34,Database!$B$1:$IX$10144,8,FALSE)))</f>
        <v>41</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70.5</v>
      </c>
      <c r="AC34" s="22">
        <f>IF(OR($B34="",AC$22=""),"",IF(LEN(VLOOKUP($B34,Database!$B$1:$IX$10144,AC$22,FALSE))=0,"",VLOOKUP($B34,Database!$B$1:$IX$10144,AC$22,FALSE)))</f>
        <v>7.6</v>
      </c>
      <c r="AD34" s="22">
        <f>IF(OR($B34="",AD$22=""),"",IF(LEN(VLOOKUP($B34,Database!$B$1:$IX$10144,AD$22,FALSE))=0,"",VLOOKUP($B34,Database!$B$1:$IX$10144,AD$22,FALSE)))</f>
        <v>72.2</v>
      </c>
      <c r="AE34" s="22">
        <f>IF(OR($B34="",AE$22=""),"",IF(LEN(VLOOKUP($B34,Database!$B$1:$IX$10144,AE$22,FALSE))=0,"",VLOOKUP($B34,Database!$B$1:$IX$10144,AE$22,FALSE)))</f>
        <v>7.3</v>
      </c>
      <c r="AF34" s="22">
        <f>IF(OR($B34="",AF$22=""),"",IF(LEN(VLOOKUP($B34,Database!$B$1:$IX$10144,AF$22,FALSE))=0,"",VLOOKUP($B34,Database!$B$1:$IX$10144,AF$22,FALSE)))</f>
        <v>32</v>
      </c>
      <c r="AG34" s="22">
        <f>IF(OR($B34="",AG$22=""),"",IF(LEN(VLOOKUP($B34,Database!$B$1:$IX$10144,AG$22,FALSE))=0,"",VLOOKUP($B34,Database!$B$1:$IX$10144,AG$22,FALSE)))</f>
        <v>20</v>
      </c>
      <c r="AH34" s="22">
        <f>IF(OR($B34="",AH$22=""),"",IF(LEN(VLOOKUP($B34,Database!$B$1:$IX$10144,AH$22,FALSE))=0,"",VLOOKUP($B34,Database!$B$1:$IX$10144,AH$22,FALSE)))</f>
        <v>1.5</v>
      </c>
      <c r="AI34" s="22">
        <f>IF(OR($B34="",AI$22=""),"",IF(LEN(VLOOKUP($B34,Database!$B$1:$IX$10144,AI$22,FALSE))=0,"",VLOOKUP($B34,Database!$B$1:$IX$10144,AI$22,FALSE)))</f>
        <v>1.4</v>
      </c>
      <c r="AJ34" s="22" t="str">
        <f>IF(OR($B34="",AJ$22=""),"",IF(LEN(VLOOKUP($B34,Database!$B$1:$IX$10144,AJ$22,FALSE))=0,"",VLOOKUP($B34,Database!$B$1:$IX$10144,AJ$22,FALSE)))</f>
        <v/>
      </c>
      <c r="AK34" s="22">
        <f>IF(OR($B34="",AK$22=""),"",IF(LEN(VLOOKUP($B34,Database!$B$1:$IX$10144,AK$22,FALSE))=0,"",VLOOKUP($B34,Database!$B$1:$IX$10144,AK$22,FALSE)))</f>
        <v>48.5</v>
      </c>
      <c r="AL34" s="22" t="str">
        <f>IF(OR($B34="",AL$22=""),"",IF(LEN(VLOOKUP($B34,Database!$B$1:$IX$10144,AL$22,FALSE))=0,"",VLOOKUP($B34,Database!$B$1:$IX$10144,AL$22,FALSE)))</f>
        <v>ns</v>
      </c>
      <c r="AM34" s="22">
        <f>IF(OR($B34="",AM$22=""),"",IF(LEN(VLOOKUP($B34,Database!$B$1:$IX$10144,AM$22,FALSE))=0,"",VLOOKUP($B34,Database!$B$1:$IX$10144,AM$22,FALSE)))</f>
        <v>0</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100</v>
      </c>
      <c r="AQ34" s="22" t="str">
        <f>IF(OR($B34="",AQ$22=""),"",IF(LEN(VLOOKUP($B34,Database!$B$1:$IX$10144,AQ$22,FALSE))=0,"",VLOOKUP($B34,Database!$B$1:$IX$10144,AQ$22,FALSE)))</f>
        <v>Lavretsky H, Kurbanyan K, Ballmaier M, Mintz J, Toga A, Kumar A.</v>
      </c>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40" si="1">E24</f>
        <v>Pantel J</v>
      </c>
      <c r="F37">
        <f t="shared" si="1"/>
        <v>1997</v>
      </c>
      <c r="G37">
        <v>7</v>
      </c>
      <c r="H37">
        <f t="shared" ref="H37:I40" si="2">H24</f>
        <v>19</v>
      </c>
      <c r="I37">
        <f t="shared" si="2"/>
        <v>13</v>
      </c>
      <c r="J37">
        <f t="shared" ref="J37:M40" si="3">IF($D$4="Total",T24,IF($D$4="Left",L24,IF($D$4="Right",P24,"error")))</f>
        <v>51.52</v>
      </c>
      <c r="K37">
        <f t="shared" si="3"/>
        <v>9.93</v>
      </c>
      <c r="L37">
        <f t="shared" si="3"/>
        <v>53.68</v>
      </c>
      <c r="M37">
        <f t="shared" si="3"/>
        <v>8.17</v>
      </c>
      <c r="N37">
        <f t="shared" ref="N37:N43" si="4">IF($D$3=1,SQRT((((I37-1)*(M37)^2)+((H37-1)*(K37)^2))/(H37+I37-2)),M37)</f>
        <v>9.2662020267205492</v>
      </c>
      <c r="O37" s="59">
        <f t="shared" ref="O37:O43" si="5">IF($D$6=1,LN(J37/L37),IF($D$5=1,(1-3/(4*(H37+I37)-9))*((J37-L37)/N37),(J37-L37)/N37))</f>
        <v>-0.22722861129249267</v>
      </c>
      <c r="P37" s="63">
        <f t="shared" ref="P37:P43" si="6">IF($D$6=1,(K37^2)/(H37*J37^2)+(M37^2)/(I37*L37^2),(IF($D$5=1,((H37+I37)/(H37*I37))+(O37*O37)/(2*(H37+I37-3.94)),((H37+I37)/(H37*I37))+((O37^2)/(2*(H37+I37-2))))))</f>
        <v>0.13047469938060063</v>
      </c>
      <c r="Q37" s="59">
        <f t="shared" ref="Q37:Q43" si="7">$R$60*SQRT(P37)</f>
        <v>0.70797712190473738</v>
      </c>
      <c r="R37" s="59">
        <f t="shared" ref="R37:R43" si="8">1/P37</f>
        <v>7.6643211653084906</v>
      </c>
      <c r="S37" s="59">
        <f t="shared" ref="S37:S43" si="9">O37*R37</f>
        <v>-1.7415530548927074</v>
      </c>
      <c r="T37" s="59">
        <f t="shared" ref="T37:T43" si="10">R37*(O37^2)</f>
        <v>0.39573068215546814</v>
      </c>
      <c r="U37" s="23">
        <f t="shared" ref="U37:U43" si="11">R37^2</f>
        <v>58.741818924995698</v>
      </c>
      <c r="V37" s="59">
        <f t="shared" ref="V37:V43" si="12">1/((1/R37)+$I$57)</f>
        <v>7.6643211653084906</v>
      </c>
      <c r="W37" s="59">
        <f t="shared" ref="W37:W43" si="13">V37*O37</f>
        <v>-1.7415530548927074</v>
      </c>
      <c r="AF37" s="59">
        <f t="shared" ref="AF37:AF43" si="14">IF($D$6=1,100*((EXP(O37))-1),O37)</f>
        <v>-0.22722861129249267</v>
      </c>
      <c r="AG37" s="59">
        <f t="shared" ref="AG37:AG43" si="15">IF($D$6=1,100*(EXP(O37+Q37)-EXP(O37)),Q37)</f>
        <v>0.70797712190473738</v>
      </c>
      <c r="AH37" s="59">
        <f t="shared" ref="AH37:AH43" si="16">IF($D$6=1,100*(EXP(O37)-EXP(O37-Q37)),Q37)</f>
        <v>0.70797712190473738</v>
      </c>
      <c r="AJ37">
        <f t="shared" ref="AJ37:AJ43" si="17">SQRT(P37)</f>
        <v>0.36121281729833543</v>
      </c>
      <c r="AK37">
        <f t="shared" ref="AK37:AK43" si="18">1/AJ37</f>
        <v>2.7684510408003407</v>
      </c>
      <c r="AL37">
        <f t="shared" ref="AL37:AL43" si="19">O37/AJ37</f>
        <v>-0.62907128543231738</v>
      </c>
      <c r="AN37" t="str">
        <f t="shared" ref="AN37:AO43" si="20">E37</f>
        <v>Pantel J</v>
      </c>
      <c r="AO37">
        <f t="shared" si="20"/>
        <v>1997</v>
      </c>
      <c r="AP37" t="str">
        <f t="shared" ref="AP37:AP43" si="21">CONCATENATE(AN37," ",AO37)</f>
        <v>Pantel J 1997</v>
      </c>
      <c r="AQ37">
        <f t="shared" ref="AQ37:AQ43" si="22">INT(H37)</f>
        <v>19</v>
      </c>
      <c r="AR37">
        <f t="shared" ref="AR37:AS43" si="23">J37</f>
        <v>51.52</v>
      </c>
      <c r="AS37">
        <f t="shared" si="23"/>
        <v>9.93</v>
      </c>
      <c r="AT37">
        <f t="shared" ref="AT37:AT43" si="24">INT(I37)</f>
        <v>13</v>
      </c>
      <c r="AU37">
        <f t="shared" ref="AU37:AV43" si="25">L37</f>
        <v>53.68</v>
      </c>
      <c r="AV37">
        <f t="shared" si="25"/>
        <v>8.17</v>
      </c>
      <c r="AW37" s="65">
        <f t="shared" ref="AW37:AW43" si="26">O37</f>
        <v>-0.22722861129249267</v>
      </c>
      <c r="AX37">
        <f t="shared" ref="AX37:AX43" si="27">SQRT(P37)</f>
        <v>0.36121281729833543</v>
      </c>
      <c r="AY37" t="str">
        <f>$F$3</f>
        <v>Pooled SD</v>
      </c>
    </row>
    <row r="38" spans="1:51">
      <c r="E38" t="str">
        <f t="shared" si="1"/>
        <v>Nolan CL</v>
      </c>
      <c r="F38">
        <f t="shared" si="1"/>
        <v>2002</v>
      </c>
      <c r="G38">
        <v>6</v>
      </c>
      <c r="H38">
        <f t="shared" si="2"/>
        <v>22</v>
      </c>
      <c r="I38">
        <f t="shared" si="2"/>
        <v>22</v>
      </c>
      <c r="J38">
        <f t="shared" si="3"/>
        <v>50.4</v>
      </c>
      <c r="K38">
        <f t="shared" si="3"/>
        <v>6.95</v>
      </c>
      <c r="L38">
        <f t="shared" si="3"/>
        <v>50.35</v>
      </c>
      <c r="M38">
        <f t="shared" si="3"/>
        <v>7.28</v>
      </c>
      <c r="N38">
        <f t="shared" si="4"/>
        <v>7.1169129543644134</v>
      </c>
      <c r="O38" s="59">
        <f t="shared" si="5"/>
        <v>6.8993110808066565E-3</v>
      </c>
      <c r="P38" s="63">
        <f t="shared" si="6"/>
        <v>9.0909685024085793E-2</v>
      </c>
      <c r="Q38" s="59">
        <f t="shared" si="7"/>
        <v>0.59096416641665162</v>
      </c>
      <c r="R38" s="59">
        <f t="shared" si="8"/>
        <v>10.999928112555423</v>
      </c>
      <c r="S38" s="59">
        <f t="shared" si="9"/>
        <v>7.5891925915030287E-2</v>
      </c>
      <c r="T38" s="59">
        <f t="shared" si="10"/>
        <v>5.2360200540932627E-4</v>
      </c>
      <c r="U38" s="23">
        <f t="shared" si="11"/>
        <v>120.99841848138712</v>
      </c>
      <c r="V38" s="59">
        <f t="shared" si="12"/>
        <v>10.999928112555423</v>
      </c>
      <c r="W38" s="59">
        <f t="shared" si="13"/>
        <v>7.5891925915030287E-2</v>
      </c>
      <c r="AF38" s="59">
        <f t="shared" si="14"/>
        <v>6.8993110808066565E-3</v>
      </c>
      <c r="AG38" s="59">
        <f t="shared" si="15"/>
        <v>0.59096416641665162</v>
      </c>
      <c r="AH38" s="59">
        <f t="shared" si="16"/>
        <v>0.59096416641665162</v>
      </c>
      <c r="AJ38">
        <f t="shared" si="17"/>
        <v>0.30151232980441411</v>
      </c>
      <c r="AK38">
        <f t="shared" si="18"/>
        <v>3.316613952897657</v>
      </c>
      <c r="AL38">
        <f t="shared" si="19"/>
        <v>2.2882351395984771E-2</v>
      </c>
      <c r="AN38" t="str">
        <f t="shared" si="20"/>
        <v>Nolan CL</v>
      </c>
      <c r="AO38">
        <f t="shared" si="20"/>
        <v>2002</v>
      </c>
      <c r="AP38" t="str">
        <f t="shared" si="21"/>
        <v>Nolan CL 2002</v>
      </c>
      <c r="AQ38">
        <f t="shared" si="22"/>
        <v>22</v>
      </c>
      <c r="AR38">
        <f t="shared" si="23"/>
        <v>50.4</v>
      </c>
      <c r="AS38">
        <f t="shared" si="23"/>
        <v>6.95</v>
      </c>
      <c r="AT38">
        <f t="shared" si="24"/>
        <v>22</v>
      </c>
      <c r="AU38">
        <f t="shared" si="25"/>
        <v>50.35</v>
      </c>
      <c r="AV38">
        <f t="shared" si="25"/>
        <v>7.28</v>
      </c>
      <c r="AW38" s="65">
        <f t="shared" si="26"/>
        <v>6.8993110808066565E-3</v>
      </c>
      <c r="AX38">
        <f t="shared" si="27"/>
        <v>0.30151232980441411</v>
      </c>
      <c r="AY38" t="str">
        <f>$F$4</f>
        <v>Left</v>
      </c>
    </row>
    <row r="39" spans="1:51">
      <c r="E39" t="str">
        <f t="shared" si="1"/>
        <v>Salokangas RK</v>
      </c>
      <c r="F39">
        <f t="shared" si="1"/>
        <v>2002</v>
      </c>
      <c r="G39">
        <v>5</v>
      </c>
      <c r="H39">
        <f t="shared" si="2"/>
        <v>20</v>
      </c>
      <c r="I39">
        <f t="shared" si="2"/>
        <v>9.5</v>
      </c>
      <c r="J39">
        <f t="shared" si="3"/>
        <v>57.69</v>
      </c>
      <c r="K39">
        <f t="shared" si="3"/>
        <v>7.75</v>
      </c>
      <c r="L39">
        <f t="shared" si="3"/>
        <v>61.55</v>
      </c>
      <c r="M39">
        <f t="shared" si="3"/>
        <v>8.59</v>
      </c>
      <c r="N39">
        <f t="shared" si="4"/>
        <v>8.0190372353430419</v>
      </c>
      <c r="O39" s="59">
        <f t="shared" si="5"/>
        <v>-0.46810625237473752</v>
      </c>
      <c r="P39" s="63">
        <f t="shared" si="6"/>
        <v>0.15954961062385112</v>
      </c>
      <c r="Q39" s="59">
        <f t="shared" si="7"/>
        <v>0.7828957683961425</v>
      </c>
      <c r="R39" s="59">
        <f t="shared" si="8"/>
        <v>6.2676429988761733</v>
      </c>
      <c r="S39" s="59">
        <f t="shared" si="9"/>
        <v>-2.9339228754266866</v>
      </c>
      <c r="T39" s="59">
        <f t="shared" si="10"/>
        <v>1.3733876419725002</v>
      </c>
      <c r="U39" s="23">
        <f t="shared" si="11"/>
        <v>39.283348761361509</v>
      </c>
      <c r="V39" s="59">
        <f t="shared" si="12"/>
        <v>6.2676429988761733</v>
      </c>
      <c r="W39" s="59">
        <f t="shared" si="13"/>
        <v>-2.9339228754266866</v>
      </c>
      <c r="AF39" s="59">
        <f t="shared" si="14"/>
        <v>-0.46810625237473752</v>
      </c>
      <c r="AG39" s="59">
        <f t="shared" si="15"/>
        <v>0.7828957683961425</v>
      </c>
      <c r="AH39" s="59">
        <f t="shared" si="16"/>
        <v>0.7828957683961425</v>
      </c>
      <c r="AJ39">
        <f t="shared" si="17"/>
        <v>0.39943661652864415</v>
      </c>
      <c r="AK39">
        <f t="shared" si="18"/>
        <v>2.5035261130805435</v>
      </c>
      <c r="AL39">
        <f t="shared" si="19"/>
        <v>-1.1719162265164265</v>
      </c>
      <c r="AN39" t="str">
        <f t="shared" si="20"/>
        <v>Salokangas RK</v>
      </c>
      <c r="AO39">
        <f t="shared" si="20"/>
        <v>2002</v>
      </c>
      <c r="AP39" t="str">
        <f t="shared" si="21"/>
        <v>Salokangas RK 2002</v>
      </c>
      <c r="AQ39">
        <f t="shared" si="22"/>
        <v>20</v>
      </c>
      <c r="AR39">
        <f t="shared" si="23"/>
        <v>57.69</v>
      </c>
      <c r="AS39">
        <f t="shared" si="23"/>
        <v>7.75</v>
      </c>
      <c r="AT39">
        <f t="shared" si="24"/>
        <v>9</v>
      </c>
      <c r="AU39">
        <f t="shared" si="25"/>
        <v>61.55</v>
      </c>
      <c r="AV39">
        <f t="shared" si="25"/>
        <v>8.59</v>
      </c>
      <c r="AW39" s="65">
        <f t="shared" si="26"/>
        <v>-0.46810625237473752</v>
      </c>
      <c r="AX39">
        <f t="shared" si="27"/>
        <v>0.39943661652864415</v>
      </c>
      <c r="AY39" t="str">
        <f>$F$5</f>
        <v>H Correction</v>
      </c>
    </row>
    <row r="40" spans="1:51">
      <c r="E40" t="str">
        <f t="shared" si="1"/>
        <v>Salokangas RK</v>
      </c>
      <c r="F40">
        <f t="shared" si="1"/>
        <v>2002</v>
      </c>
      <c r="G40">
        <v>4</v>
      </c>
      <c r="H40">
        <f t="shared" si="2"/>
        <v>17</v>
      </c>
      <c r="I40">
        <f t="shared" si="2"/>
        <v>9.5</v>
      </c>
      <c r="J40">
        <f t="shared" si="3"/>
        <v>59.18</v>
      </c>
      <c r="K40">
        <f t="shared" si="3"/>
        <v>9.81</v>
      </c>
      <c r="L40">
        <f t="shared" si="3"/>
        <v>61.55</v>
      </c>
      <c r="M40">
        <f t="shared" si="3"/>
        <v>8.59</v>
      </c>
      <c r="N40">
        <f t="shared" si="4"/>
        <v>9.4046806626991302</v>
      </c>
      <c r="O40" s="59">
        <f t="shared" si="5"/>
        <v>-0.24420829513510378</v>
      </c>
      <c r="P40" s="63">
        <f t="shared" si="6"/>
        <v>0.16540844465164325</v>
      </c>
      <c r="Q40" s="59">
        <f t="shared" si="7"/>
        <v>0.79714056537962774</v>
      </c>
      <c r="R40" s="59">
        <f t="shared" si="8"/>
        <v>6.0456405481959505</v>
      </c>
      <c r="S40" s="59">
        <f t="shared" si="9"/>
        <v>-1.4763955712745873</v>
      </c>
      <c r="T40" s="59">
        <f t="shared" si="10"/>
        <v>0.36054804540598456</v>
      </c>
      <c r="U40" s="23">
        <f t="shared" si="11"/>
        <v>36.549769637991034</v>
      </c>
      <c r="V40" s="59">
        <f t="shared" si="12"/>
        <v>6.0456405481959505</v>
      </c>
      <c r="W40" s="59">
        <f t="shared" si="13"/>
        <v>-1.4763955712745873</v>
      </c>
      <c r="AF40" s="59">
        <f t="shared" si="14"/>
        <v>-0.24420829513510378</v>
      </c>
      <c r="AG40" s="59">
        <f t="shared" si="15"/>
        <v>0.79714056537962774</v>
      </c>
      <c r="AH40" s="59">
        <f t="shared" si="16"/>
        <v>0.79714056537962774</v>
      </c>
      <c r="AJ40">
        <f t="shared" si="17"/>
        <v>0.40670437009164684</v>
      </c>
      <c r="AK40">
        <f t="shared" si="18"/>
        <v>2.4587884309545527</v>
      </c>
      <c r="AL40">
        <f t="shared" si="19"/>
        <v>-0.6004565308213281</v>
      </c>
      <c r="AN40" t="str">
        <f t="shared" si="20"/>
        <v>Salokangas RK</v>
      </c>
      <c r="AO40">
        <f t="shared" si="20"/>
        <v>2002</v>
      </c>
      <c r="AP40" t="str">
        <f t="shared" si="21"/>
        <v>Salokangas RK 2002</v>
      </c>
      <c r="AQ40">
        <f t="shared" si="22"/>
        <v>17</v>
      </c>
      <c r="AR40">
        <f t="shared" si="23"/>
        <v>59.18</v>
      </c>
      <c r="AS40">
        <f t="shared" si="23"/>
        <v>9.81</v>
      </c>
      <c r="AT40">
        <f t="shared" si="24"/>
        <v>9</v>
      </c>
      <c r="AU40">
        <f t="shared" si="25"/>
        <v>61.55</v>
      </c>
      <c r="AV40">
        <f t="shared" si="25"/>
        <v>8.59</v>
      </c>
      <c r="AW40" s="65">
        <f t="shared" si="26"/>
        <v>-0.24420829513510378</v>
      </c>
      <c r="AX40">
        <f t="shared" si="27"/>
        <v>0.40670437009164684</v>
      </c>
    </row>
    <row r="41" spans="1:51">
      <c r="E41" t="str">
        <f t="shared" ref="E41:F43" si="28">E28</f>
        <v>Lavretsky H</v>
      </c>
      <c r="F41">
        <f t="shared" si="28"/>
        <v>2005</v>
      </c>
      <c r="G41">
        <v>3</v>
      </c>
      <c r="H41">
        <f t="shared" ref="H41:I43" si="29">H28</f>
        <v>11</v>
      </c>
      <c r="I41">
        <f t="shared" si="29"/>
        <v>20.5</v>
      </c>
      <c r="J41">
        <f t="shared" ref="J41:M43" si="30">IF($D$4="Total",T28,IF($D$4="Left",L28,IF($D$4="Right",P28,"error")))</f>
        <v>6.8000000000000005E-2</v>
      </c>
      <c r="K41">
        <f t="shared" si="30"/>
        <v>4.0000000000000001E-3</v>
      </c>
      <c r="L41">
        <f t="shared" si="30"/>
        <v>6.6000000000000003E-2</v>
      </c>
      <c r="M41">
        <f t="shared" si="30"/>
        <v>6.0000000000000001E-3</v>
      </c>
      <c r="N41">
        <f t="shared" si="4"/>
        <v>5.4055840556826839E-3</v>
      </c>
      <c r="O41" s="59">
        <f t="shared" si="5"/>
        <v>0.36050090584926486</v>
      </c>
      <c r="P41" s="63">
        <f t="shared" si="6"/>
        <v>0.14204735997518339</v>
      </c>
      <c r="Q41" s="59">
        <f t="shared" si="7"/>
        <v>0.73870774876175793</v>
      </c>
      <c r="R41" s="59">
        <f t="shared" si="8"/>
        <v>7.0399055651207219</v>
      </c>
      <c r="S41" s="59">
        <f t="shared" si="9"/>
        <v>2.5378923333193013</v>
      </c>
      <c r="T41" s="59">
        <f t="shared" si="10"/>
        <v>0.91491248510951262</v>
      </c>
      <c r="U41" s="23">
        <f t="shared" si="11"/>
        <v>49.560270365817708</v>
      </c>
      <c r="V41" s="59">
        <f t="shared" si="12"/>
        <v>7.0399055651207219</v>
      </c>
      <c r="W41" s="59">
        <f t="shared" si="13"/>
        <v>2.5378923333193013</v>
      </c>
      <c r="AF41" s="59">
        <f t="shared" si="14"/>
        <v>0.36050090584926486</v>
      </c>
      <c r="AG41" s="59">
        <f t="shared" si="15"/>
        <v>0.73870774876175793</v>
      </c>
      <c r="AH41" s="59">
        <f t="shared" si="16"/>
        <v>0.73870774876175793</v>
      </c>
      <c r="AJ41">
        <f t="shared" si="17"/>
        <v>0.37689170855191734</v>
      </c>
      <c r="AK41">
        <f t="shared" si="18"/>
        <v>2.6532820364824996</v>
      </c>
      <c r="AL41">
        <f t="shared" si="19"/>
        <v>0.95651057762552338</v>
      </c>
      <c r="AN41" t="str">
        <f t="shared" si="20"/>
        <v>Lavretsky H</v>
      </c>
      <c r="AO41">
        <f t="shared" si="20"/>
        <v>2005</v>
      </c>
      <c r="AP41" t="str">
        <f t="shared" si="21"/>
        <v>Lavretsky H 2005</v>
      </c>
      <c r="AQ41">
        <f t="shared" si="22"/>
        <v>11</v>
      </c>
      <c r="AR41">
        <f t="shared" si="23"/>
        <v>6.8000000000000005E-2</v>
      </c>
      <c r="AS41">
        <f t="shared" si="23"/>
        <v>4.0000000000000001E-3</v>
      </c>
      <c r="AT41">
        <f t="shared" si="24"/>
        <v>20</v>
      </c>
      <c r="AU41">
        <f t="shared" si="25"/>
        <v>6.6000000000000003E-2</v>
      </c>
      <c r="AV41">
        <f t="shared" si="25"/>
        <v>6.0000000000000001E-3</v>
      </c>
      <c r="AW41" s="65">
        <f t="shared" si="26"/>
        <v>0.36050090584926486</v>
      </c>
      <c r="AX41">
        <f t="shared" si="27"/>
        <v>0.37689170855191734</v>
      </c>
    </row>
    <row r="42" spans="1:51">
      <c r="E42" t="str">
        <f t="shared" si="28"/>
        <v>Lavretsky H</v>
      </c>
      <c r="F42">
        <f t="shared" si="28"/>
        <v>2005</v>
      </c>
      <c r="G42">
        <v>2</v>
      </c>
      <c r="H42">
        <f t="shared" si="29"/>
        <v>30</v>
      </c>
      <c r="I42">
        <f t="shared" si="29"/>
        <v>20.5</v>
      </c>
      <c r="J42">
        <f t="shared" si="30"/>
        <v>6.5000000000000002E-2</v>
      </c>
      <c r="K42">
        <f t="shared" si="30"/>
        <v>5.0000000000000001E-3</v>
      </c>
      <c r="L42">
        <f t="shared" si="30"/>
        <v>6.6000000000000003E-2</v>
      </c>
      <c r="M42">
        <f t="shared" si="30"/>
        <v>6.0000000000000001E-3</v>
      </c>
      <c r="N42">
        <f t="shared" si="4"/>
        <v>5.4242677305209718E-3</v>
      </c>
      <c r="O42" s="59">
        <f t="shared" si="5"/>
        <v>-0.18149103389752333</v>
      </c>
      <c r="P42" s="63">
        <f t="shared" si="6"/>
        <v>8.2467547463224183E-2</v>
      </c>
      <c r="Q42" s="59">
        <f t="shared" si="7"/>
        <v>0.5628564029437011</v>
      </c>
      <c r="R42" s="59">
        <f t="shared" si="8"/>
        <v>12.125982047009982</v>
      </c>
      <c r="S42" s="59">
        <f t="shared" si="9"/>
        <v>-2.2007570187346479</v>
      </c>
      <c r="T42" s="59">
        <f t="shared" si="10"/>
        <v>0.39941766668738238</v>
      </c>
      <c r="U42" s="23">
        <f t="shared" si="11"/>
        <v>147.03944060440838</v>
      </c>
      <c r="V42" s="59">
        <f t="shared" si="12"/>
        <v>12.125982047009982</v>
      </c>
      <c r="W42" s="59">
        <f t="shared" si="13"/>
        <v>-2.2007570187346479</v>
      </c>
      <c r="AF42" s="59">
        <f t="shared" si="14"/>
        <v>-0.18149103389752333</v>
      </c>
      <c r="AG42" s="59">
        <f t="shared" si="15"/>
        <v>0.5628564029437011</v>
      </c>
      <c r="AH42" s="59">
        <f t="shared" si="16"/>
        <v>0.5628564029437011</v>
      </c>
      <c r="AJ42">
        <f t="shared" si="17"/>
        <v>0.28717163415494956</v>
      </c>
      <c r="AK42">
        <f t="shared" si="18"/>
        <v>3.4822380801734365</v>
      </c>
      <c r="AL42">
        <f t="shared" si="19"/>
        <v>-0.6319949894480037</v>
      </c>
      <c r="AN42" t="str">
        <f t="shared" si="20"/>
        <v>Lavretsky H</v>
      </c>
      <c r="AO42">
        <f t="shared" si="20"/>
        <v>2005</v>
      </c>
      <c r="AP42" t="str">
        <f t="shared" si="21"/>
        <v>Lavretsky H 2005</v>
      </c>
      <c r="AQ42">
        <f t="shared" si="22"/>
        <v>30</v>
      </c>
      <c r="AR42">
        <f t="shared" si="23"/>
        <v>6.5000000000000002E-2</v>
      </c>
      <c r="AS42">
        <f t="shared" si="23"/>
        <v>5.0000000000000001E-3</v>
      </c>
      <c r="AT42">
        <f t="shared" si="24"/>
        <v>20</v>
      </c>
      <c r="AU42">
        <f t="shared" si="25"/>
        <v>6.6000000000000003E-2</v>
      </c>
      <c r="AV42">
        <f t="shared" si="25"/>
        <v>6.0000000000000001E-3</v>
      </c>
      <c r="AW42" s="65">
        <f t="shared" si="26"/>
        <v>-0.18149103389752333</v>
      </c>
      <c r="AX42">
        <f t="shared" si="27"/>
        <v>0.28717163415494956</v>
      </c>
    </row>
    <row r="43" spans="1:51">
      <c r="E43" t="str">
        <f t="shared" si="28"/>
        <v>Frodl T</v>
      </c>
      <c r="F43">
        <f t="shared" si="28"/>
        <v>2006</v>
      </c>
      <c r="G43">
        <v>1</v>
      </c>
      <c r="H43">
        <f t="shared" si="29"/>
        <v>34</v>
      </c>
      <c r="I43">
        <f t="shared" si="29"/>
        <v>34</v>
      </c>
      <c r="J43">
        <f t="shared" si="30"/>
        <v>94.3</v>
      </c>
      <c r="K43">
        <f t="shared" si="30"/>
        <v>5.3</v>
      </c>
      <c r="L43">
        <f t="shared" si="30"/>
        <v>96.8</v>
      </c>
      <c r="M43">
        <f t="shared" si="30"/>
        <v>6.5</v>
      </c>
      <c r="N43">
        <f t="shared" si="4"/>
        <v>5.9304300012730948</v>
      </c>
      <c r="O43" s="59">
        <f t="shared" si="5"/>
        <v>-0.41674598455816575</v>
      </c>
      <c r="P43" s="63">
        <f t="shared" si="6"/>
        <v>6.0179111800504594E-2</v>
      </c>
      <c r="Q43" s="59">
        <f t="shared" si="7"/>
        <v>0.48081605203322658</v>
      </c>
      <c r="R43" s="59">
        <f t="shared" si="8"/>
        <v>16.617061470016829</v>
      </c>
      <c r="S43" s="59">
        <f t="shared" si="9"/>
        <v>-6.9250936427857246</v>
      </c>
      <c r="T43" s="59">
        <f t="shared" si="10"/>
        <v>2.8860049683202313</v>
      </c>
      <c r="U43" s="23">
        <f t="shared" si="11"/>
        <v>276.12673189831787</v>
      </c>
      <c r="V43" s="59">
        <f t="shared" si="12"/>
        <v>16.617061470016829</v>
      </c>
      <c r="W43" s="59">
        <f t="shared" si="13"/>
        <v>-6.9250936427857246</v>
      </c>
      <c r="AF43" s="59">
        <f t="shared" si="14"/>
        <v>-0.41674598455816575</v>
      </c>
      <c r="AG43" s="59">
        <f t="shared" si="15"/>
        <v>0.48081605203322658</v>
      </c>
      <c r="AH43" s="59">
        <f t="shared" si="16"/>
        <v>0.48081605203322658</v>
      </c>
      <c r="AJ43">
        <f t="shared" si="17"/>
        <v>0.2453143122618503</v>
      </c>
      <c r="AK43">
        <f t="shared" si="18"/>
        <v>4.0764030063300698</v>
      </c>
      <c r="AL43">
        <f t="shared" si="19"/>
        <v>-1.6988245843288916</v>
      </c>
      <c r="AN43" t="str">
        <f t="shared" si="20"/>
        <v>Frodl T</v>
      </c>
      <c r="AO43">
        <f t="shared" si="20"/>
        <v>2006</v>
      </c>
      <c r="AP43" t="str">
        <f t="shared" si="21"/>
        <v>Frodl T 2006</v>
      </c>
      <c r="AQ43">
        <f t="shared" si="22"/>
        <v>34</v>
      </c>
      <c r="AR43">
        <f t="shared" si="23"/>
        <v>94.3</v>
      </c>
      <c r="AS43">
        <f t="shared" si="23"/>
        <v>5.3</v>
      </c>
      <c r="AT43">
        <f t="shared" si="24"/>
        <v>34</v>
      </c>
      <c r="AU43">
        <f t="shared" si="25"/>
        <v>96.8</v>
      </c>
      <c r="AV43">
        <f t="shared" si="25"/>
        <v>6.5</v>
      </c>
      <c r="AW43" s="65">
        <f t="shared" si="26"/>
        <v>-0.41674598455816575</v>
      </c>
      <c r="AX43">
        <f t="shared" si="27"/>
        <v>0.2453143122618503</v>
      </c>
    </row>
    <row r="44" spans="1:51">
      <c r="U44" s="23"/>
    </row>
    <row r="45" spans="1:51">
      <c r="L45" t="s">
        <v>500</v>
      </c>
      <c r="N45" s="7"/>
      <c r="O45" s="66">
        <f>COUNT(O37:O43)</f>
        <v>7</v>
      </c>
      <c r="Q45" t="s">
        <v>885</v>
      </c>
      <c r="R45" s="59">
        <f t="shared" ref="R45:W45" si="31">SUM(R37:R43)</f>
        <v>66.760481907083573</v>
      </c>
      <c r="S45" s="59">
        <f t="shared" si="31"/>
        <v>-12.663937903880022</v>
      </c>
      <c r="T45" s="59">
        <f t="shared" si="31"/>
        <v>6.3305250916564884</v>
      </c>
      <c r="U45" s="23">
        <f t="shared" si="31"/>
        <v>728.29979867427937</v>
      </c>
      <c r="V45" s="59">
        <f t="shared" si="31"/>
        <v>66.760481907083573</v>
      </c>
      <c r="W45" s="59">
        <f t="shared" si="31"/>
        <v>-12.663937903880022</v>
      </c>
    </row>
    <row r="46" spans="1:51">
      <c r="L46" t="s">
        <v>501</v>
      </c>
      <c r="N46" s="7"/>
      <c r="O46" s="2">
        <v>2</v>
      </c>
    </row>
    <row r="47" spans="1:51">
      <c r="N47" s="7"/>
      <c r="O47" s="7"/>
    </row>
    <row r="48" spans="1:51">
      <c r="G48" s="67" t="s">
        <v>502</v>
      </c>
      <c r="H48" s="40"/>
      <c r="I48" s="40">
        <f>S45/R45</f>
        <v>-0.18969212836877866</v>
      </c>
      <c r="J48" s="40"/>
      <c r="K48" s="68" t="s">
        <v>879</v>
      </c>
      <c r="L48" s="40"/>
      <c r="M48" s="42"/>
      <c r="N48" s="7"/>
      <c r="O48" s="69" t="s">
        <v>503</v>
      </c>
      <c r="P48" s="70">
        <f>T45-((S45^2)/R45)</f>
        <v>3.9282757571394371</v>
      </c>
      <c r="Q48" s="71" t="s">
        <v>824</v>
      </c>
      <c r="R48" s="28"/>
      <c r="S48" s="29"/>
      <c r="T48" s="30"/>
      <c r="U48" s="31"/>
      <c r="AF48" s="2" t="s">
        <v>1518</v>
      </c>
    </row>
    <row r="49" spans="7:34">
      <c r="G49" s="43" t="s">
        <v>504</v>
      </c>
      <c r="H49" s="31"/>
      <c r="I49" s="31">
        <f>1/R45</f>
        <v>1.497892123354933E-2</v>
      </c>
      <c r="J49" s="31"/>
      <c r="K49" s="31"/>
      <c r="L49" s="31"/>
      <c r="M49" s="44"/>
      <c r="N49" s="7"/>
      <c r="O49" s="30" t="s">
        <v>505</v>
      </c>
      <c r="P49" s="31">
        <f>CHIDIST(P48,I53-1)</f>
        <v>0.68638219027093228</v>
      </c>
      <c r="Q49" s="31"/>
      <c r="R49" s="31"/>
      <c r="S49" s="34"/>
      <c r="T49" s="30"/>
      <c r="U49" s="31"/>
      <c r="AF49" s="2"/>
    </row>
    <row r="50" spans="7:34">
      <c r="G50" s="72" t="s">
        <v>506</v>
      </c>
      <c r="H50" s="31"/>
      <c r="I50" s="31">
        <f>$R$60*SQRT(I49)</f>
        <v>0.23988127023759714</v>
      </c>
      <c r="J50" s="31"/>
      <c r="K50" s="31" t="s">
        <v>507</v>
      </c>
      <c r="L50" s="31"/>
      <c r="M50" s="44">
        <f>ABS(I48/SQRT(I49))</f>
        <v>1.5499191380575474</v>
      </c>
      <c r="N50" s="7"/>
      <c r="O50" s="35" t="s">
        <v>508</v>
      </c>
      <c r="P50" s="37">
        <f>IF(((P48-(I53-1))/P48)&lt;0,0,100*((P48-(I53-1))/P48))</f>
        <v>0</v>
      </c>
      <c r="Q50" s="36"/>
      <c r="R50" s="36"/>
      <c r="S50" s="38"/>
      <c r="T50" s="30"/>
      <c r="U50" s="31"/>
      <c r="AF50" s="2" t="s">
        <v>1535</v>
      </c>
      <c r="AH50">
        <f>IF($D$6=1,100*((EXP(I48))-1),I48)</f>
        <v>-0.18969212836877866</v>
      </c>
    </row>
    <row r="51" spans="7:34">
      <c r="G51" s="45" t="s">
        <v>509</v>
      </c>
      <c r="H51" s="46"/>
      <c r="I51" s="46">
        <v>-2</v>
      </c>
      <c r="J51" s="46"/>
      <c r="K51" s="46" t="s">
        <v>825</v>
      </c>
      <c r="L51" s="46"/>
      <c r="M51" s="47">
        <f>2*(1-NORMDIST(M50,0,1,1))</f>
        <v>0.12116092554224478</v>
      </c>
      <c r="N51" s="7"/>
      <c r="O51" s="7"/>
      <c r="AF51" s="79" t="s">
        <v>834</v>
      </c>
      <c r="AH51">
        <f>IF($D$6=1,100*(EXP(I48+I50)-EXP(I48)),I50)</f>
        <v>0.23988127023759714</v>
      </c>
    </row>
    <row r="52" spans="7:34">
      <c r="G52" s="40"/>
      <c r="H52" s="40"/>
      <c r="I52" s="40"/>
      <c r="J52" s="40"/>
      <c r="K52" s="40"/>
      <c r="L52" s="40"/>
      <c r="M52" s="40"/>
      <c r="N52" s="7"/>
      <c r="O52" s="7"/>
      <c r="AF52" s="79" t="s">
        <v>835</v>
      </c>
      <c r="AH52">
        <f>IF($D$6=1,100*(EXP(I48)-EXP(I48-I50)),I50)</f>
        <v>0.23988127023759714</v>
      </c>
    </row>
    <row r="53" spans="7:34">
      <c r="G53" s="73" t="s">
        <v>1110</v>
      </c>
      <c r="H53" s="74"/>
      <c r="I53" s="74">
        <f>O45</f>
        <v>7</v>
      </c>
      <c r="J53" s="74"/>
      <c r="K53" s="75" t="s">
        <v>1167</v>
      </c>
      <c r="L53" s="74"/>
      <c r="M53" s="76"/>
      <c r="N53" s="77"/>
      <c r="O53" s="101" t="s">
        <v>1513</v>
      </c>
      <c r="P53" s="102"/>
      <c r="Q53" s="103"/>
      <c r="AF53" s="7"/>
    </row>
    <row r="54" spans="7:34">
      <c r="G54" s="77" t="s">
        <v>1531</v>
      </c>
      <c r="H54" s="31"/>
      <c r="I54" s="31">
        <f>R45/I53</f>
        <v>9.5372117010119393</v>
      </c>
      <c r="J54" s="31"/>
      <c r="K54" s="31"/>
      <c r="L54" s="31"/>
      <c r="M54" s="78"/>
      <c r="N54" s="77"/>
      <c r="O54" s="104" t="s">
        <v>1514</v>
      </c>
      <c r="P54" s="31"/>
      <c r="Q54" s="105">
        <f>INDEX(LINEST(AL37:AL43,AK37:AK43,TRUE,TRUE),1,2)</f>
        <v>1.2159139552440927</v>
      </c>
      <c r="AF54" s="2" t="s">
        <v>1687</v>
      </c>
      <c r="AH54">
        <f>IF($D$6=1,100*((EXP(I59))-1),I59)</f>
        <v>-0.18969212836877866</v>
      </c>
    </row>
    <row r="55" spans="7:34">
      <c r="G55" s="77" t="s">
        <v>1532</v>
      </c>
      <c r="H55" s="31"/>
      <c r="I55" s="31">
        <f>(1/(I53-1))*(U45-(I53*I54^2))</f>
        <v>15.265158244141009</v>
      </c>
      <c r="J55" s="31"/>
      <c r="K55" s="31"/>
      <c r="L55" s="31"/>
      <c r="M55" s="78"/>
      <c r="N55" s="77"/>
      <c r="O55" s="104" t="s">
        <v>1516</v>
      </c>
      <c r="P55" s="31"/>
      <c r="Q55" s="105">
        <f>INDEX(LINEST(AL37:AL43,AK37:AK43,TRUE,TRUE),2,2)</f>
        <v>1.765747855580343</v>
      </c>
      <c r="AF55" s="79" t="s">
        <v>834</v>
      </c>
      <c r="AG55" s="7"/>
      <c r="AH55">
        <f>IF($D$6=1,100*(EXP(I59+I61)-EXP(I59)),I61)</f>
        <v>0.23988127023759714</v>
      </c>
    </row>
    <row r="56" spans="7:34">
      <c r="G56" s="77" t="s">
        <v>1669</v>
      </c>
      <c r="H56" s="31"/>
      <c r="I56" s="31">
        <f>(I53-1)*(I54-(I55/(I53*I54)))</f>
        <v>55.851336588331705</v>
      </c>
      <c r="J56" s="31"/>
      <c r="K56" s="31"/>
      <c r="L56" s="31"/>
      <c r="M56" s="78"/>
      <c r="N56" s="77"/>
      <c r="O56" s="104" t="s">
        <v>1349</v>
      </c>
      <c r="P56" s="31"/>
      <c r="Q56" s="105">
        <f>ABS(Q54/Q55)</f>
        <v>0.6886113163900528</v>
      </c>
      <c r="AF56" s="79" t="s">
        <v>835</v>
      </c>
      <c r="AH56">
        <f>IF($D$6=1,100*(EXP(I59)-EXP(I59-I61)),I61)</f>
        <v>0.23988127023759714</v>
      </c>
    </row>
    <row r="57" spans="7:34">
      <c r="G57" s="77" t="s">
        <v>1685</v>
      </c>
      <c r="H57" s="31"/>
      <c r="I57" s="31">
        <f>IF(P48&gt;(I53-1),(P48-(I53-1))/I56,0)</f>
        <v>0</v>
      </c>
      <c r="J57" s="31"/>
      <c r="K57" s="31"/>
      <c r="L57" s="31"/>
      <c r="M57" s="78"/>
      <c r="N57" s="77"/>
      <c r="O57" s="106" t="s">
        <v>1515</v>
      </c>
      <c r="P57" s="107"/>
      <c r="Q57" s="108">
        <f>TDIST(Q56,I53-2,2)</f>
        <v>0.52170911990257662</v>
      </c>
    </row>
    <row r="58" spans="7:34">
      <c r="G58" s="77"/>
      <c r="H58" s="31"/>
      <c r="I58" s="31"/>
      <c r="J58" s="31"/>
      <c r="K58" s="31"/>
      <c r="L58" s="31"/>
      <c r="M58" s="78"/>
      <c r="N58" s="77"/>
    </row>
    <row r="59" spans="7:34">
      <c r="G59" s="77" t="s">
        <v>1686</v>
      </c>
      <c r="H59" s="31"/>
      <c r="I59" s="31">
        <f>W45/V45</f>
        <v>-0.18969212836877866</v>
      </c>
      <c r="J59" s="31"/>
      <c r="N59" s="77"/>
    </row>
    <row r="60" spans="7:34">
      <c r="G60" s="77" t="s">
        <v>504</v>
      </c>
      <c r="H60" s="31"/>
      <c r="I60" s="31">
        <f>1/V45</f>
        <v>1.497892123354933E-2</v>
      </c>
      <c r="J60" s="31"/>
      <c r="N60" s="77"/>
      <c r="O60" t="s">
        <v>805</v>
      </c>
      <c r="R60">
        <v>1.96</v>
      </c>
    </row>
    <row r="61" spans="7:34">
      <c r="G61" s="80" t="s">
        <v>506</v>
      </c>
      <c r="H61" s="31"/>
      <c r="I61" s="31">
        <f>$R$60*SQRT(I60)</f>
        <v>0.23988127023759714</v>
      </c>
      <c r="J61" s="31"/>
      <c r="K61" s="31" t="s">
        <v>507</v>
      </c>
      <c r="L61" s="31"/>
      <c r="M61" s="78">
        <f>ABS(I59/(SQRT(I60)))</f>
        <v>1.5499191380575474</v>
      </c>
      <c r="N61" s="77"/>
    </row>
    <row r="62" spans="7:34">
      <c r="G62" s="81" t="s">
        <v>509</v>
      </c>
      <c r="H62" s="82"/>
      <c r="I62" s="82">
        <v>-3</v>
      </c>
      <c r="J62" s="82"/>
      <c r="K62" s="31" t="s">
        <v>825</v>
      </c>
      <c r="L62" s="31"/>
      <c r="M62" s="78">
        <f>2*(1-NORMDIST(M61,0,1,1))</f>
        <v>0.12116092554224478</v>
      </c>
      <c r="N62" s="77"/>
    </row>
    <row r="63" spans="7:34">
      <c r="G63" s="74"/>
      <c r="H63" s="74"/>
      <c r="I63" s="74"/>
      <c r="J63" s="74"/>
      <c r="K63" s="74"/>
      <c r="L63" s="74"/>
      <c r="M63" s="74"/>
      <c r="N63" s="31"/>
      <c r="O63" s="7"/>
    </row>
  </sheetData>
  <phoneticPr fontId="10" type="noConversion"/>
  <conditionalFormatting sqref="D17 D13 F13">
    <cfRule type="cellIs" dxfId="58" priority="0" stopIfTrue="1" operator="lessThan">
      <formula>0.05</formula>
    </cfRule>
  </conditionalFormatting>
  <conditionalFormatting sqref="D21">
    <cfRule type="cellIs" dxfId="5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1.xml><?xml version="1.0" encoding="utf-8"?>
<worksheet xmlns="http://schemas.openxmlformats.org/spreadsheetml/2006/main" xmlns:r="http://schemas.openxmlformats.org/officeDocument/2006/relationships">
  <sheetPr published="0" codeName="Sheet48" enableFormatConditionsCalculation="0"/>
  <dimension ref="A1:BM63"/>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677</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I53-O46</f>
        <v>5</v>
      </c>
      <c r="AD7" s="89"/>
    </row>
    <row r="8" spans="2:30">
      <c r="B8" t="s">
        <v>822</v>
      </c>
      <c r="D8">
        <f>SUM(H24:H30)</f>
        <v>153</v>
      </c>
      <c r="AD8" s="89"/>
    </row>
    <row r="9" spans="2:30">
      <c r="B9" t="s">
        <v>823</v>
      </c>
      <c r="D9">
        <f>SUM(I24:I30)</f>
        <v>129</v>
      </c>
      <c r="AD9" s="89"/>
    </row>
    <row r="11" spans="2:30">
      <c r="B11" s="27" t="s">
        <v>516</v>
      </c>
      <c r="C11" s="28"/>
      <c r="D11" s="109">
        <f>P48</f>
        <v>4.0471151576612616</v>
      </c>
      <c r="E11" s="110" t="s">
        <v>1513</v>
      </c>
      <c r="F11" s="103"/>
    </row>
    <row r="12" spans="2:30">
      <c r="B12" s="30" t="s">
        <v>826</v>
      </c>
      <c r="C12" s="31"/>
      <c r="D12" s="112">
        <f>P50</f>
        <v>0</v>
      </c>
      <c r="E12" s="31"/>
      <c r="F12" s="105"/>
    </row>
    <row r="13" spans="2:30">
      <c r="B13" s="35" t="s">
        <v>825</v>
      </c>
      <c r="C13" s="36"/>
      <c r="D13" s="113">
        <f>P49</f>
        <v>0.67030037059897651</v>
      </c>
      <c r="E13" s="111" t="s">
        <v>825</v>
      </c>
      <c r="F13" s="115">
        <f>Q57</f>
        <v>0.5398726720069057</v>
      </c>
    </row>
    <row r="15" spans="2:30">
      <c r="B15" s="39" t="s">
        <v>879</v>
      </c>
      <c r="C15" s="40"/>
      <c r="D15" s="41">
        <f>AH50</f>
        <v>-0.10440127854955372</v>
      </c>
      <c r="E15" s="116"/>
    </row>
    <row r="16" spans="2:30">
      <c r="B16" s="43" t="s">
        <v>1165</v>
      </c>
      <c r="C16" s="31"/>
      <c r="D16" s="33">
        <f>AH50-AH52</f>
        <v>-0.34391301391243184</v>
      </c>
      <c r="E16" s="117">
        <f>AH50+AH51</f>
        <v>0.1351104568133244</v>
      </c>
    </row>
    <row r="17" spans="1:65">
      <c r="B17" s="45" t="s">
        <v>1166</v>
      </c>
      <c r="C17" s="46"/>
      <c r="D17" s="123">
        <f>M51</f>
        <v>0.39291188920057452</v>
      </c>
      <c r="E17" s="118"/>
    </row>
    <row r="18" spans="1:65">
      <c r="D18" s="48"/>
      <c r="F18" s="49"/>
    </row>
    <row r="19" spans="1:65">
      <c r="B19" s="50" t="s">
        <v>1167</v>
      </c>
      <c r="C19" s="51"/>
      <c r="D19" s="52">
        <f>AH54</f>
        <v>-0.10440127854955372</v>
      </c>
      <c r="E19" s="120"/>
      <c r="F19" s="33"/>
      <c r="G19" s="31"/>
    </row>
    <row r="20" spans="1:65">
      <c r="B20" s="53" t="s">
        <v>1165</v>
      </c>
      <c r="C20" s="31"/>
      <c r="D20" s="33">
        <f>AH54-AH56</f>
        <v>-0.34391301391243184</v>
      </c>
      <c r="E20" s="121">
        <f>AH54+AH55</f>
        <v>0.1351104568133244</v>
      </c>
      <c r="F20" s="31"/>
      <c r="G20" s="31"/>
    </row>
    <row r="21" spans="1:65">
      <c r="B21" s="54" t="s">
        <v>1440</v>
      </c>
      <c r="C21" s="55"/>
      <c r="D21" s="114">
        <f>M62</f>
        <v>0.39291188920057452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 t="shared" ref="D24:D31" si="0">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1058</v>
      </c>
      <c r="K24" s="10"/>
      <c r="L24">
        <v>51.52</v>
      </c>
      <c r="M24">
        <v>9.93</v>
      </c>
      <c r="N24">
        <v>53.68</v>
      </c>
      <c r="O24">
        <v>8.17</v>
      </c>
      <c r="P24">
        <v>51.16</v>
      </c>
      <c r="Q24">
        <v>9.4700000000000006</v>
      </c>
      <c r="R24">
        <v>52.39</v>
      </c>
      <c r="S24">
        <v>6.32</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AX24" s="13"/>
      <c r="AY24" s="13"/>
      <c r="AZ24" s="13"/>
      <c r="BA24" s="13"/>
      <c r="BC24" s="23"/>
      <c r="BF24" s="136"/>
      <c r="BG24" s="136"/>
      <c r="BH24" s="136"/>
      <c r="BI24" s="136"/>
    </row>
    <row r="25" spans="1:65">
      <c r="B25">
        <v>11825139</v>
      </c>
      <c r="C25" s="1" t="str">
        <f>IF($B25="","",HYPERLINK(IF(LEN(VLOOKUP($B25,Database!$B$1:$IX$10144,2,FALSE))=0,"",VLOOKUP($B25,Database!$B$1:$IX$10144,2,FALSE))))</f>
        <v/>
      </c>
      <c r="D25" s="1" t="str">
        <f t="shared" si="0"/>
        <v>http://www.ncbi.nlm.nih.gov/pubmed/11825139</v>
      </c>
      <c r="E25" s="22" t="str">
        <f>IF($B25="","",IF(LEN(VLOOKUP($B25,Database!$B$1:$IX$10144,4,FALSE))=0,"",VLOOKUP($B25,Database!$B$1:$IX$10144,4,FALSE)))</f>
        <v>Nolan CL</v>
      </c>
      <c r="F25" s="22">
        <f>IF($B25="","",IF(LEN(VLOOKUP($B25,Database!$B$1:$IX$10144,5,FALSE))=0,"",VLOOKUP($B25,Database!$B$1:$IX$10144,5,FALSE)))</f>
        <v>2002</v>
      </c>
      <c r="G25" s="1" t="str">
        <f>IF($B25="","",HYPERLINK(IF(LEN(VLOOKUP($B25,Database!$B$1:$IX$10144,6,FALSE))=0,"",VLOOKUP($B25,Database!$B$1:$IX$10144,6,FALSE))))</f>
        <v>http://archpsyc.ama-assn.org/cgi/reprint/59/2/173</v>
      </c>
      <c r="H25" s="22">
        <f>IF($B25="","",IF(LEN(VLOOKUP($B25,Database!$B$1:$IX$10144,7,FALSE))=0,"",VLOOKUP($B25,Database!$B$1:$IX$10144,7,FALSE)))</f>
        <v>22</v>
      </c>
      <c r="I25" s="22">
        <f>IF($B25="","",IF(LEN(VLOOKUP($B25,Database!$B$1:$IX$10144,8,FALSE))=0,"",VLOOKUP($B25,Database!$B$1:$IX$10144,8,FALSE)))</f>
        <v>22</v>
      </c>
      <c r="J25" t="s">
        <v>450</v>
      </c>
      <c r="K25" t="s">
        <v>448</v>
      </c>
      <c r="L25">
        <v>50.4</v>
      </c>
      <c r="M25">
        <v>6.95</v>
      </c>
      <c r="N25">
        <v>50.35</v>
      </c>
      <c r="O25">
        <v>7.28</v>
      </c>
      <c r="P25">
        <v>52.36</v>
      </c>
      <c r="Q25">
        <v>6.38</v>
      </c>
      <c r="R25">
        <v>51.66</v>
      </c>
      <c r="S25">
        <v>8.06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t="str">
        <f>IF(OR($B25="",AB$22=""),"",IF(LEN(VLOOKUP($B25,Database!$B$1:$IX$10144,AB$22,FALSE))=0,"",VLOOKUP($B25,Database!$B$1:$IX$10144,AB$22,FALSE)))</f>
        <v/>
      </c>
      <c r="AC25" s="22" t="str">
        <f>IF(OR($B25="",AC$22=""),"",IF(LEN(VLOOKUP($B25,Database!$B$1:$IX$10144,AC$22,FALSE))=0,"",VLOOKUP($B25,Database!$B$1:$IX$10144,AC$22,FALSE)))</f>
        <v/>
      </c>
      <c r="AD25" s="22" t="str">
        <f>IF(OR($B25="",AD$22=""),"",IF(LEN(VLOOKUP($B25,Database!$B$1:$IX$10144,AD$22,FALSE))=0,"",VLOOKUP($B25,Database!$B$1:$IX$10144,AD$22,FALSE)))</f>
        <v/>
      </c>
      <c r="AE25" s="22" t="str">
        <f>IF(OR($B25="",AE$22=""),"",IF(LEN(VLOOKUP($B25,Database!$B$1:$IX$10144,AE$22,FALSE))=0,"",VLOOKUP($B25,Database!$B$1:$IX$10144,AE$22,FALSE)))</f>
        <v/>
      </c>
      <c r="AF25" s="22">
        <f>IF(OR($B25="",AF$22=""),"",IF(LEN(VLOOKUP($B25,Database!$B$1:$IX$10144,AF$22,FALSE))=0,"",VLOOKUP($B25,Database!$B$1:$IX$10144,AF$22,FALSE)))</f>
        <v>12</v>
      </c>
      <c r="AG25" s="22">
        <f>IF(OR($B25="",AG$22=""),"",IF(LEN(VLOOKUP($B25,Database!$B$1:$IX$10144,AG$22,FALSE))=0,"",VLOOKUP($B25,Database!$B$1:$IX$10144,AG$22,FALSE)))</f>
        <v>12</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12.18</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Nolan CL, Moore GJ, Madden R, Farchione T, Bartoi M, Lorch E, Stewart CM, Rosenberg DR.</v>
      </c>
      <c r="AR25" s="13"/>
      <c r="AX25" s="13"/>
      <c r="AY25" s="13"/>
      <c r="AZ25" s="13"/>
      <c r="BA25" s="13"/>
      <c r="BC25" s="23"/>
      <c r="BF25" s="136"/>
      <c r="BG25" s="136"/>
      <c r="BH25" s="136"/>
      <c r="BI25" s="136"/>
    </row>
    <row r="26" spans="1:65">
      <c r="B26">
        <v>12271802</v>
      </c>
      <c r="C26" s="1" t="str">
        <f>IF($B26="","",HYPERLINK(IF(LEN(VLOOKUP($B26,Database!$B$1:$IX$10144,2,FALSE))=0,"",VLOOKUP($B26,Database!$B$1:$IX$10144,2,FALSE))))</f>
        <v/>
      </c>
      <c r="D26" s="1" t="str">
        <f t="shared" si="0"/>
        <v>http://www.ncbi.nlm.nih.gov/pubmed/12271802</v>
      </c>
      <c r="E26" s="22" t="str">
        <f>IF($B26="","",IF(LEN(VLOOKUP($B26,Database!$B$1:$IX$10144,4,FALSE))=0,"",VLOOKUP($B26,Database!$B$1:$IX$10144,4,FALSE)))</f>
        <v>Salokangas RK</v>
      </c>
      <c r="F26" s="22">
        <f>IF($B26="","",IF(LEN(VLOOKUP($B26,Database!$B$1:$IX$10144,5,FALSE))=0,"",VLOOKUP($B26,Database!$B$1:$IX$10144,5,FALSE)))</f>
        <v>2002</v>
      </c>
      <c r="G26" s="1" t="str">
        <f>IF($B26="","",HYPERLINK(IF(LEN(VLOOKUP($B26,Database!$B$1:$IX$10144,6,FALSE))=0,"",VLOOKUP($B26,Database!$B$1:$IX$10144,6,FALSE))))</f>
        <v>http://bjp.rcpsych.org/cgi/reprint/181/43/s58</v>
      </c>
      <c r="H26" s="83">
        <v>20</v>
      </c>
      <c r="I26" s="83">
        <v>9.5</v>
      </c>
      <c r="J26" t="s">
        <v>1201</v>
      </c>
      <c r="K26" t="s">
        <v>716</v>
      </c>
      <c r="L26">
        <v>57.69</v>
      </c>
      <c r="M26">
        <v>7.75</v>
      </c>
      <c r="N26">
        <v>61.55</v>
      </c>
      <c r="O26">
        <v>8.59</v>
      </c>
      <c r="P26">
        <v>57.91</v>
      </c>
      <c r="Q26">
        <v>6.96</v>
      </c>
      <c r="R26">
        <v>61.49</v>
      </c>
      <c r="S26">
        <v>9.25</v>
      </c>
      <c r="T26">
        <v>115.6</v>
      </c>
      <c r="U26">
        <v>14.26</v>
      </c>
      <c r="V26">
        <v>123.04</v>
      </c>
      <c r="W26">
        <v>17.670000000000002</v>
      </c>
      <c r="Y26" s="22" t="str">
        <f>IF(OR($B26="",Y$22=""),"",IF(LEN(VLOOKUP($B26,Database!$B$1:$IX$10144,Y$22,FALSE))=0,"",VLOOKUP($B26,Database!$B$1:$IX$10144,Y$22,FALSE)))</f>
        <v>DSM-IV</v>
      </c>
      <c r="Z26" s="22" t="str">
        <f>IF(OR($B26="",Z$22=""),"",IF(LEN(VLOOKUP($B26,Database!$B$1:$IX$10144,Z$22,FALSE))=0,"",VLOOKUP($B26,Database!$B$1:$IX$10144,Z$22,FALSE)))</f>
        <v>MRI</v>
      </c>
      <c r="AA26" s="214" t="s">
        <v>754</v>
      </c>
      <c r="AB26" s="214">
        <v>34</v>
      </c>
      <c r="AC26" s="214">
        <v>9.8000000000000007</v>
      </c>
      <c r="AD26" s="22">
        <f>IF(OR($B26="",AD$22=""),"",IF(LEN(VLOOKUP($B26,Database!$B$1:$IX$10144,AD$22,FALSE))=0,"",VLOOKUP($B26,Database!$B$1:$IX$10144,AD$22,FALSE)))</f>
        <v>30.5</v>
      </c>
      <c r="AE26" s="22">
        <f>IF(OR($B26="",AE$22=""),"",IF(LEN(VLOOKUP($B26,Database!$B$1:$IX$10144,AE$22,FALSE))=0,"",VLOOKUP($B26,Database!$B$1:$IX$10144,AE$22,FALSE)))</f>
        <v>8.4</v>
      </c>
      <c r="AF26" s="214">
        <v>12</v>
      </c>
      <c r="AG26" s="22">
        <f>IF(OR($B26="",AG$22=""),"",IF(LEN(VLOOKUP($B26,Database!$B$1:$IX$10144,AG$22,FALSE))=0,"",VLOOKUP($B26,Database!$B$1:$IX$10144,AG$22,FALSE)))</f>
        <v>7</v>
      </c>
      <c r="AH26" s="22">
        <f>IF(OR($B26="",AH$22=""),"",IF(LEN(VLOOKUP($B26,Database!$B$1:$IX$10144,AH$22,FALSE))=0,"",VLOOKUP($B26,Database!$B$1:$IX$10144,AH$22,FALSE)))</f>
        <v>1.5</v>
      </c>
      <c r="AI26" s="22">
        <f>IF(OR($B26="",AI$22=""),"",IF(LEN(VLOOKUP($B26,Database!$B$1:$IX$10144,AI$22,FALSE))=0,"",VLOOKUP($B26,Database!$B$1:$IX$10144,AI$22,FALSE)))</f>
        <v>5.4</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Salokangas RK, Cannon T, Van Erp T, Ilonen T, Taiminen T, Karlsson H, Lauerma H, Leinonen KM, Wallenius E, Kaljonen A, Syvalahti E, Vilkman H, Alanen A, Hietala J.</v>
      </c>
      <c r="AR26" s="13"/>
      <c r="AU26" s="22"/>
      <c r="AX26" s="13"/>
      <c r="AY26" s="13"/>
      <c r="AZ26" s="13"/>
      <c r="BA26" s="13"/>
      <c r="BC26" s="23"/>
      <c r="BF26" s="136"/>
      <c r="BG26" s="136"/>
      <c r="BH26" s="136"/>
      <c r="BI26" s="136"/>
    </row>
    <row r="27" spans="1:65">
      <c r="B27">
        <v>12271802</v>
      </c>
      <c r="C27" s="1" t="str">
        <f>IF($B27="","",HYPERLINK(IF(LEN(VLOOKUP($B27,Database!$B$1:$IX$10144,2,FALSE))=0,"",VLOOKUP($B27,Database!$B$1:$IX$10144,2,FALSE))))</f>
        <v/>
      </c>
      <c r="D27" s="1" t="str">
        <f t="shared" si="0"/>
        <v>http://www.ncbi.nlm.nih.gov/pubmed/12271802</v>
      </c>
      <c r="E27" s="22" t="str">
        <f>IF($B27="","",IF(LEN(VLOOKUP($B27,Database!$B$1:$IX$10144,4,FALSE))=0,"",VLOOKUP($B27,Database!$B$1:$IX$10144,4,FALSE)))</f>
        <v>Salokangas RK</v>
      </c>
      <c r="F27" s="22">
        <f>IF($B27="","",IF(LEN(VLOOKUP($B27,Database!$B$1:$IX$10144,5,FALSE))=0,"",VLOOKUP($B27,Database!$B$1:$IX$10144,5,FALSE)))</f>
        <v>2002</v>
      </c>
      <c r="G27" s="1" t="str">
        <f>IF($B27="","",HYPERLINK(IF(LEN(VLOOKUP($B27,Database!$B$1:$IX$10144,6,FALSE))=0,"",VLOOKUP($B27,Database!$B$1:$IX$10144,6,FALSE))))</f>
        <v>http://bjp.rcpsych.org/cgi/reprint/181/43/s58</v>
      </c>
      <c r="H27" s="83">
        <v>17</v>
      </c>
      <c r="I27" s="83">
        <v>9.5</v>
      </c>
      <c r="J27" t="s">
        <v>1201</v>
      </c>
      <c r="K27" t="s">
        <v>717</v>
      </c>
      <c r="L27">
        <v>59.18</v>
      </c>
      <c r="M27">
        <v>9.81</v>
      </c>
      <c r="N27">
        <v>61.55</v>
      </c>
      <c r="O27">
        <v>8.59</v>
      </c>
      <c r="P27">
        <v>60.75</v>
      </c>
      <c r="Q27">
        <v>10.34</v>
      </c>
      <c r="R27">
        <v>61.49</v>
      </c>
      <c r="S27">
        <v>9.25</v>
      </c>
      <c r="T27">
        <v>119.93</v>
      </c>
      <c r="U27">
        <v>20.03</v>
      </c>
      <c r="V27">
        <v>123.04</v>
      </c>
      <c r="W27">
        <v>17.670000000000002</v>
      </c>
      <c r="Y27" s="22" t="str">
        <f>IF(OR($B27="",Y$22=""),"",IF(LEN(VLOOKUP($B27,Database!$B$1:$IX$10144,Y$22,FALSE))=0,"",VLOOKUP($B27,Database!$B$1:$IX$10144,Y$22,FALSE)))</f>
        <v>DSM-IV</v>
      </c>
      <c r="Z27" s="22" t="str">
        <f>IF(OR($B27="",Z$22=""),"",IF(LEN(VLOOKUP($B27,Database!$B$1:$IX$10144,Z$22,FALSE))=0,"",VLOOKUP($B27,Database!$B$1:$IX$10144,Z$22,FALSE)))</f>
        <v>MRI</v>
      </c>
      <c r="AA27" s="214" t="s">
        <v>755</v>
      </c>
      <c r="AB27" s="214">
        <v>38.4</v>
      </c>
      <c r="AC27" s="214">
        <v>12</v>
      </c>
      <c r="AD27" s="22">
        <f>IF(OR($B27="",AD$22=""),"",IF(LEN(VLOOKUP($B27,Database!$B$1:$IX$10144,AD$22,FALSE))=0,"",VLOOKUP($B27,Database!$B$1:$IX$10144,AD$22,FALSE)))</f>
        <v>30.5</v>
      </c>
      <c r="AE27" s="22">
        <f>IF(OR($B27="",AE$22=""),"",IF(LEN(VLOOKUP($B27,Database!$B$1:$IX$10144,AE$22,FALSE))=0,"",VLOOKUP($B27,Database!$B$1:$IX$10144,AE$22,FALSE)))</f>
        <v>8.4</v>
      </c>
      <c r="AF27" s="214">
        <v>9</v>
      </c>
      <c r="AG27" s="22">
        <f>IF(OR($B27="",AG$22=""),"",IF(LEN(VLOOKUP($B27,Database!$B$1:$IX$10144,AG$22,FALSE))=0,"",VLOOKUP($B27,Database!$B$1:$IX$10144,AG$22,FALSE)))</f>
        <v>7</v>
      </c>
      <c r="AH27" s="22">
        <f>IF(OR($B27="",AH$22=""),"",IF(LEN(VLOOKUP($B27,Database!$B$1:$IX$10144,AH$22,FALSE))=0,"",VLOOKUP($B27,Database!$B$1:$IX$10144,AH$22,FALSE)))</f>
        <v>1.5</v>
      </c>
      <c r="AI27" s="22">
        <f>IF(OR($B27="",AI$22=""),"",IF(LEN(VLOOKUP($B27,Database!$B$1:$IX$10144,AI$22,FALSE))=0,"",VLOOKUP($B27,Database!$B$1:$IX$10144,AI$22,FALSE)))</f>
        <v>5.4</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Salokangas RK, Cannon T, Van Erp T, Ilonen T, Taiminen T, Karlsson H, Lauerma H, Leinonen KM, Wallenius E, Kaljonen A, Syvalahti E, Vilkman H, Alanen A, Hietala J.</v>
      </c>
      <c r="AR27" s="13"/>
      <c r="AU27" s="22"/>
      <c r="AX27" s="13"/>
      <c r="AY27" s="13"/>
      <c r="AZ27" s="13"/>
      <c r="BA27" s="13"/>
      <c r="BC27" s="23"/>
      <c r="BF27" s="136"/>
      <c r="BG27" s="136"/>
      <c r="BH27" s="136"/>
      <c r="BI27" s="136"/>
    </row>
    <row r="28" spans="1:65">
      <c r="B28">
        <v>16086609</v>
      </c>
      <c r="C28" s="1" t="str">
        <f>IF($B28="","",HYPERLINK(IF(LEN(VLOOKUP($B28,Database!$B$1:$IX$10144,2,FALSE))=0,"",VLOOKUP($B28,Database!$B$1:$IX$10144,2,FALSE))))</f>
        <v/>
      </c>
      <c r="D28" s="1" t="str">
        <f t="shared" si="0"/>
        <v>http://www.ncbi.nlm.nih.gov/pubmed/16086609</v>
      </c>
      <c r="E28" s="22" t="str">
        <f>IF($B28="","",IF(LEN(VLOOKUP($B28,Database!$B$1:$IX$10144,4,FALSE))=0,"",VLOOKUP($B28,Database!$B$1:$IX$10144,4,FALSE)))</f>
        <v>Lavretsky H</v>
      </c>
      <c r="F28" s="22">
        <f>IF($B28="","",IF(LEN(VLOOKUP($B28,Database!$B$1:$IX$10144,5,FALSE))=0,"",VLOOKUP($B28,Database!$B$1:$IX$10144,5,FALSE)))</f>
        <v>2005</v>
      </c>
      <c r="G28" s="1" t="str">
        <f>IF($B28="","",HYPERLINK(IF(LEN(VLOOKUP($B28,Database!$B$1:$IX$10144,6,FALSE))=0,"",VLOOKUP($B28,Database!$B$1:$IX$10144,6,FALSE))))</f>
        <v>http://www.psychiatrist.com/privatepdf/2005/v66n08/v66n0801.pdf</v>
      </c>
      <c r="H28" s="83">
        <v>11</v>
      </c>
      <c r="I28" s="83">
        <v>20.5</v>
      </c>
      <c r="J28" t="s">
        <v>1247</v>
      </c>
      <c r="K28" t="s">
        <v>1245</v>
      </c>
      <c r="L28">
        <v>6.8000000000000005E-2</v>
      </c>
      <c r="M28">
        <v>4.0000000000000001E-3</v>
      </c>
      <c r="N28">
        <v>6.6000000000000003E-2</v>
      </c>
      <c r="O28">
        <v>6.0000000000000001E-3</v>
      </c>
      <c r="P28">
        <v>6.7000000000000004E-2</v>
      </c>
      <c r="Q28">
        <v>4.0000000000000001E-3</v>
      </c>
      <c r="R28">
        <v>6.5000000000000002E-2</v>
      </c>
      <c r="S28">
        <v>6.0000000000000001E-3</v>
      </c>
      <c r="T28">
        <v>0.13500000000000001</v>
      </c>
      <c r="U28">
        <v>1.2999999999999999E-2</v>
      </c>
      <c r="V28">
        <v>0.13100000000000001</v>
      </c>
      <c r="W28">
        <v>7.1999999999999998E-3</v>
      </c>
      <c r="Y28" s="22" t="str">
        <f>IF(OR($B28="",Y$22=""),"",IF(LEN(VLOOKUP($B28,Database!$B$1:$IX$10144,Y$22,FALSE))=0,"",VLOOKUP($B28,Database!$B$1:$IX$10144,Y$22,FALSE)))</f>
        <v>DSM-IV</v>
      </c>
      <c r="Z28" s="22" t="str">
        <f>IF(OR($B28="",Z$22=""),"",IF(LEN(VLOOKUP($B28,Database!$B$1:$IX$10144,Z$22,FALSE))=0,"",VLOOKUP($B28,Database!$B$1:$IX$10144,Z$22,FALSE)))</f>
        <v>MRI</v>
      </c>
      <c r="AA28" s="214" t="s">
        <v>2455</v>
      </c>
      <c r="AB28" s="214">
        <v>67.400000000000006</v>
      </c>
      <c r="AC28" s="214">
        <v>6.1</v>
      </c>
      <c r="AD28" s="22">
        <f>IF(OR($B28="",AD$22=""),"",IF(LEN(VLOOKUP($B28,Database!$B$1:$IX$10144,AD$22,FALSE))=0,"",VLOOKUP($B28,Database!$B$1:$IX$10144,AD$22,FALSE)))</f>
        <v>72.2</v>
      </c>
      <c r="AE28" s="22">
        <f>IF(OR($B28="",AE$22=""),"",IF(LEN(VLOOKUP($B28,Database!$B$1:$IX$10144,AE$22,FALSE))=0,"",VLOOKUP($B28,Database!$B$1:$IX$10144,AE$22,FALSE)))</f>
        <v>7.3</v>
      </c>
      <c r="AF28" s="214">
        <v>7</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14">
        <v>36.4</v>
      </c>
      <c r="AL28" s="214">
        <v>17.7</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Roybal DJ, Ballmaier M, Toga AW, Kumar A.</v>
      </c>
      <c r="AR28" s="13"/>
      <c r="AU28" s="22"/>
      <c r="AX28" s="13"/>
      <c r="AY28" s="13"/>
      <c r="AZ28" s="13"/>
      <c r="BA28" s="13"/>
      <c r="BC28" s="23"/>
      <c r="BF28" s="136"/>
      <c r="BG28" s="136"/>
      <c r="BH28" s="136"/>
      <c r="BI28" s="136"/>
    </row>
    <row r="29" spans="1:65">
      <c r="B29">
        <v>16086609</v>
      </c>
      <c r="C29" s="1" t="str">
        <f>IF($B29="","",HYPERLINK(IF(LEN(VLOOKUP($B29,Database!$B$1:$IX$10144,2,FALSE))=0,"",VLOOKUP($B29,Database!$B$1:$IX$10144,2,FALSE))))</f>
        <v/>
      </c>
      <c r="D29" s="1" t="str">
        <f t="shared" si="0"/>
        <v>http://www.ncbi.nlm.nih.gov/pubmed/16086609</v>
      </c>
      <c r="E29" s="22" t="str">
        <f>IF($B29="","",IF(LEN(VLOOKUP($B29,Database!$B$1:$IX$10144,4,FALSE))=0,"",VLOOKUP($B29,Database!$B$1:$IX$10144,4,FALSE)))</f>
        <v>Lavretsky H</v>
      </c>
      <c r="F29" s="22">
        <f>IF($B29="","",IF(LEN(VLOOKUP($B29,Database!$B$1:$IX$10144,5,FALSE))=0,"",VLOOKUP($B29,Database!$B$1:$IX$10144,5,FALSE)))</f>
        <v>2005</v>
      </c>
      <c r="G29" s="1" t="str">
        <f>IF($B29="","",HYPERLINK(IF(LEN(VLOOKUP($B29,Database!$B$1:$IX$10144,6,FALSE))=0,"",VLOOKUP($B29,Database!$B$1:$IX$10144,6,FALSE))))</f>
        <v>http://www.psychiatrist.com/privatepdf/2005/v66n08/v66n0801.pdf</v>
      </c>
      <c r="H29" s="83">
        <v>30</v>
      </c>
      <c r="I29" s="83">
        <v>20.5</v>
      </c>
      <c r="J29" t="s">
        <v>1247</v>
      </c>
      <c r="K29" t="s">
        <v>231</v>
      </c>
      <c r="L29">
        <v>6.5000000000000002E-2</v>
      </c>
      <c r="M29">
        <v>5.0000000000000001E-3</v>
      </c>
      <c r="N29">
        <v>6.6000000000000003E-2</v>
      </c>
      <c r="O29">
        <v>6.0000000000000001E-3</v>
      </c>
      <c r="P29">
        <v>6.5000000000000002E-2</v>
      </c>
      <c r="Q29">
        <v>5.0000000000000001E-3</v>
      </c>
      <c r="R29">
        <v>6.5000000000000002E-2</v>
      </c>
      <c r="S29">
        <v>6.0000000000000001E-3</v>
      </c>
      <c r="T29">
        <v>0.13</v>
      </c>
      <c r="U29">
        <v>0.01</v>
      </c>
      <c r="V29">
        <v>0.13100000000000001</v>
      </c>
      <c r="W29">
        <v>7.1999999999999998E-3</v>
      </c>
      <c r="Y29" s="22" t="str">
        <f>IF(OR($B29="",Y$22=""),"",IF(LEN(VLOOKUP($B29,Database!$B$1:$IX$10144,Y$22,FALSE))=0,"",VLOOKUP($B29,Database!$B$1:$IX$10144,Y$22,FALSE)))</f>
        <v>DSM-IV</v>
      </c>
      <c r="Z29" s="22" t="str">
        <f>IF(OR($B29="",Z$22=""),"",IF(LEN(VLOOKUP($B29,Database!$B$1:$IX$10144,Z$22,FALSE))=0,"",VLOOKUP($B29,Database!$B$1:$IX$10144,Z$22,FALSE)))</f>
        <v>MRI</v>
      </c>
      <c r="AA29" s="214" t="s">
        <v>2456</v>
      </c>
      <c r="AB29" s="214">
        <v>71.7</v>
      </c>
      <c r="AC29" s="214">
        <v>7.8</v>
      </c>
      <c r="AD29" s="22">
        <f>IF(OR($B29="",AD$22=""),"",IF(LEN(VLOOKUP($B29,Database!$B$1:$IX$10144,AD$22,FALSE))=0,"",VLOOKUP($B29,Database!$B$1:$IX$10144,AD$22,FALSE)))</f>
        <v>72.2</v>
      </c>
      <c r="AE29" s="22">
        <f>IF(OR($B29="",AE$22=""),"",IF(LEN(VLOOKUP($B29,Database!$B$1:$IX$10144,AE$22,FALSE))=0,"",VLOOKUP($B29,Database!$B$1:$IX$10144,AE$22,FALSE)))</f>
        <v>7.3</v>
      </c>
      <c r="AF29" s="214">
        <v>25</v>
      </c>
      <c r="AG29" s="22">
        <f>IF(OR($B29="",AG$22=""),"",IF(LEN(VLOOKUP($B29,Database!$B$1:$IX$10144,AG$22,FALSE))=0,"",VLOOKUP($B29,Database!$B$1:$IX$10144,AG$22,FALSE)))</f>
        <v>20</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214">
        <v>52.5</v>
      </c>
      <c r="AL29" s="214">
        <v>17.7</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Lavretsky H, Roybal DJ, Ballmaier M, Toga AW, Kumar A.</v>
      </c>
      <c r="AR29" s="13"/>
      <c r="AU29" s="22"/>
      <c r="AX29" s="13"/>
      <c r="AY29" s="13"/>
      <c r="AZ29" s="13"/>
      <c r="BA29" s="13"/>
      <c r="BC29" s="23"/>
      <c r="BF29" s="136"/>
      <c r="BG29" s="136"/>
      <c r="BH29" s="136"/>
      <c r="BI29" s="136"/>
    </row>
    <row r="30" spans="1:65">
      <c r="B30">
        <v>16951734</v>
      </c>
      <c r="C30" s="1" t="str">
        <f>IF($B30="","",HYPERLINK(IF(LEN(VLOOKUP($B30,Database!$B$1:$IX$10144,2,FALSE))=0,"",VLOOKUP($B30,Database!$B$1:$IX$10144,2,FALSE))))</f>
        <v/>
      </c>
      <c r="D30" s="1" t="str">
        <f t="shared" si="0"/>
        <v>http://www.ncbi.nlm.nih.gov/pubmed/16951734</v>
      </c>
      <c r="E30" s="22" t="str">
        <f>IF($B30="","",IF(LEN(VLOOKUP($B30,Database!$B$1:$IX$10144,4,FALSE))=0,"",VLOOKUP($B30,Database!$B$1:$IX$10144,4,FALSE)))</f>
        <v>Frodl T</v>
      </c>
      <c r="F30" s="22">
        <f>IF($B30="","",IF(LEN(VLOOKUP($B30,Database!$B$1:$IX$10144,5,FALSE))=0,"",VLOOKUP($B30,Database!$B$1:$IX$10144,5,FALSE)))</f>
        <v>2006</v>
      </c>
      <c r="G30" s="1" t="str">
        <f>IF($B30="","",HYPERLINK(IF(LEN(VLOOKUP($B30,Database!$B$1:$IX$10144,6,FALSE))=0,"",VLOOKUP($B30,Database!$B$1:$IX$10144,6,FALSE))))</f>
        <v>http://www.cma.ca/multimedia/staticContent/HTML/N0/l2/jpn/vol-31/issue-5/pdf/pg316.pdf</v>
      </c>
      <c r="H30" s="22">
        <f>IF($B30="","",IF(LEN(VLOOKUP($B30,Database!$B$1:$IX$10144,7,FALSE))=0,"",VLOOKUP($B30,Database!$B$1:$IX$10144,7,FALSE)))</f>
        <v>34</v>
      </c>
      <c r="I30" s="22">
        <f>IF($B30="","",IF(LEN(VLOOKUP($B30,Database!$B$1:$IX$10144,8,FALSE))=0,"",VLOOKUP($B30,Database!$B$1:$IX$10144,8,FALSE)))</f>
        <v>34</v>
      </c>
      <c r="J30" t="s">
        <v>637</v>
      </c>
      <c r="K30" t="s">
        <v>683</v>
      </c>
      <c r="L30">
        <v>94.3</v>
      </c>
      <c r="M30">
        <v>5.3</v>
      </c>
      <c r="N30">
        <v>96.8</v>
      </c>
      <c r="O30">
        <v>6.5</v>
      </c>
      <c r="P30">
        <v>99.1</v>
      </c>
      <c r="Q30">
        <v>5.6</v>
      </c>
      <c r="R30">
        <v>101.3</v>
      </c>
      <c r="S30">
        <v>6.1</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45.5</v>
      </c>
      <c r="AC30" s="22">
        <f>IF(OR($B30="",AC$22=""),"",IF(LEN(VLOOKUP($B30,Database!$B$1:$IX$10144,AC$22,FALSE))=0,"",VLOOKUP($B30,Database!$B$1:$IX$10144,AC$22,FALSE)))</f>
        <v>11.9</v>
      </c>
      <c r="AD30" s="22">
        <f>IF(OR($B30="",AD$22=""),"",IF(LEN(VLOOKUP($B30,Database!$B$1:$IX$10144,AD$22,FALSE))=0,"",VLOOKUP($B30,Database!$B$1:$IX$10144,AD$22,FALSE)))</f>
        <v>43.6</v>
      </c>
      <c r="AE30" s="22">
        <f>IF(OR($B30="",AE$22=""),"",IF(LEN(VLOOKUP($B30,Database!$B$1:$IX$10144,AE$22,FALSE))=0,"",VLOOKUP($B30,Database!$B$1:$IX$10144,AE$22,FALSE)))</f>
        <v>13.2</v>
      </c>
      <c r="AF30" s="22">
        <f>IF(OR($B30="",AF$22=""),"",IF(LEN(VLOOKUP($B30,Database!$B$1:$IX$10144,AF$22,FALSE))=0,"",VLOOKUP($B30,Database!$B$1:$IX$10144,AF$22,FALSE)))</f>
        <v>15</v>
      </c>
      <c r="AG30" s="22">
        <f>IF(OR($B30="",AG$22=""),"",IF(LEN(VLOOKUP($B30,Database!$B$1:$IX$10144,AG$22,FALSE))=0,"",VLOOKUP($B30,Database!$B$1:$IX$10144,AG$22,FALSE)))</f>
        <v>15</v>
      </c>
      <c r="AH30" s="22" t="str">
        <f>IF(OR($B30="",AH$22=""),"",IF(LEN(VLOOKUP($B30,Database!$B$1:$IX$10144,AH$22,FALSE))=0,"",VLOOKUP($B30,Database!$B$1:$IX$10144,AH$22,FALSE)))</f>
        <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38.799999999999997</v>
      </c>
      <c r="AL30" s="22">
        <f>IF(OR($B30="",AL$22=""),"",IF(LEN(VLOOKUP($B30,Database!$B$1:$IX$10144,AL$22,FALSE))=0,"",VLOOKUP($B30,Database!$B$1:$IX$10144,AL$22,FALSE)))</f>
        <v>24.8</v>
      </c>
      <c r="AM30" s="22">
        <f>IF(OR($B30="",AM$22=""),"",IF(LEN(VLOOKUP($B30,Database!$B$1:$IX$10144,AM$22,FALSE))=0,"",VLOOKUP($B30,Database!$B$1:$IX$10144,AM$22,FALSE)))</f>
        <v>91.17647058823529</v>
      </c>
      <c r="AN30" s="22" t="str">
        <f>IF(OR($B30="",AN$22=""),"",IF(LEN(VLOOKUP($B30,Database!$B$1:$IX$10144,AN$22,FALSE))=0,"",VLOOKUP($B30,Database!$B$1:$IX$10144,AN$22,FALSE)))</f>
        <v>ns</v>
      </c>
      <c r="AO30" s="22">
        <f>IF(OR($B30="",AO$22=""),"",IF(LEN(VLOOKUP($B30,Database!$B$1:$IX$10144,AO$22,FALSE))=0,"",VLOOKUP($B30,Database!$B$1:$IX$10144,AO$22,FALSE)))</f>
        <v>11.76470588235294</v>
      </c>
      <c r="AP30" s="22">
        <f>IF(OR($B30="",AP$22=""),"",IF(LEN(VLOOKUP($B30,Database!$B$1:$IX$10144,AP$22,FALSE))=0,"",VLOOKUP($B30,Database!$B$1:$IX$10144,AP$22,FALSE)))</f>
        <v>8.8235294117647065</v>
      </c>
      <c r="AQ30" s="22" t="str">
        <f>IF(OR($B30="",AQ$22=""),"",IF(LEN(VLOOKUP($B30,Database!$B$1:$IX$10144,AQ$22,FALSE))=0,"",VLOOKUP($B30,Database!$B$1:$IX$10144,AQ$22,FALSE)))</f>
        <v>Frodl T, Schaub A, Banac S, Charypar M, Jager M, Kummler P, Bottlender R, Zetzsche T, Born C, Leinsinger G, Reiser M, Moller HJ, Meisenzahl EM.</v>
      </c>
      <c r="AR30" s="13"/>
      <c r="AX30" s="13"/>
      <c r="AY30" s="13"/>
      <c r="AZ30" s="13"/>
      <c r="BA30" s="13"/>
      <c r="BC30" s="23"/>
      <c r="BF30" s="136"/>
      <c r="BG30" s="136"/>
      <c r="BH30" s="136"/>
      <c r="BI30" s="136"/>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7" t="s">
        <v>36</v>
      </c>
      <c r="B33">
        <v>9859118</v>
      </c>
      <c r="C33" s="1" t="str">
        <f>IF($B33="","",HYPERLINK(IF(LEN(VLOOKUP($B33,Database!$B$1:$IX$10144,2,FALSE))=0,"",VLOOKUP($B33,Database!$B$1:$IX$10144,2,FALSE))))</f>
        <v/>
      </c>
      <c r="D33" s="1" t="str">
        <f>IF($B33="","",HYPERLINK(CONCATENATE("http://www.ncbi.nlm.nih.gov/pubmed/",B33)))</f>
        <v>http://www.ncbi.nlm.nih.gov/pubmed/9859118</v>
      </c>
      <c r="E33" s="22" t="str">
        <f>IF($B33="","",IF(LEN(VLOOKUP($B33,Database!$B$1:$IX$10144,4,FALSE))=0,"",VLOOKUP($B33,Database!$B$1:$IX$10144,4,FALSE)))</f>
        <v>Pantel J</v>
      </c>
      <c r="F33" s="22">
        <f>IF($B33="","",IF(LEN(VLOOKUP($B33,Database!$B$1:$IX$10144,5,FALSE))=0,"",VLOOKUP($B33,Database!$B$1:$IX$10144,5,FALSE)))</f>
        <v>1998</v>
      </c>
      <c r="G33" s="1" t="str">
        <f>IF($B33="","",HYPERLINK(IF(LEN(VLOOKUP($B33,Database!$B$1:$IX$10144,6,FALSE))=0,"",VLOOKUP($B33,Database!$B$1:$IX$10144,6,FALSE))))</f>
        <v>http://dx.doi.org/10.1007/s001150050371</v>
      </c>
      <c r="H33" s="22">
        <f>IF($B33="","",IF(LEN(VLOOKUP($B33,Database!$B$1:$IX$10144,7,FALSE))=0,"",VLOOKUP($B33,Database!$B$1:$IX$10144,7,FALSE)))</f>
        <v>19</v>
      </c>
      <c r="I33" s="22">
        <f>IF($B33="","",IF(LEN(VLOOKUP($B33,Database!$B$1:$IX$10144,8,FALSE))=0,"",VLOOKUP($B33,Database!$B$1:$IX$10144,8,FALSE)))</f>
        <v>13</v>
      </c>
      <c r="K33" s="10"/>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72.400000000000006</v>
      </c>
      <c r="AC33" s="22">
        <f>IF(OR($B33="",AC$22=""),"",IF(LEN(VLOOKUP($B33,Database!$B$1:$IX$10144,AC$22,FALSE))=0,"",VLOOKUP($B33,Database!$B$1:$IX$10144,AC$22,FALSE)))</f>
        <v>8.8000000000000007</v>
      </c>
      <c r="AD33" s="22">
        <f>IF(OR($B33="",AD$22=""),"",IF(LEN(VLOOKUP($B33,Database!$B$1:$IX$10144,AD$22,FALSE))=0,"",VLOOKUP($B33,Database!$B$1:$IX$10144,AD$22,FALSE)))</f>
        <v>68.2</v>
      </c>
      <c r="AE33" s="22">
        <f>IF(OR($B33="",AE$22=""),"",IF(LEN(VLOOKUP($B33,Database!$B$1:$IX$10144,AE$22,FALSE))=0,"",VLOOKUP($B33,Database!$B$1:$IX$10144,AE$22,FALSE)))</f>
        <v>5.3</v>
      </c>
      <c r="AF33" s="22">
        <f>IF(OR($B33="",AF$22=""),"",IF(LEN(VLOOKUP($B33,Database!$B$1:$IX$10144,AF$22,FALSE))=0,"",VLOOKUP($B33,Database!$B$1:$IX$10144,AF$22,FALSE)))</f>
        <v>15</v>
      </c>
      <c r="AG33" s="22">
        <f>IF(OR($B33="",AG$22=""),"",IF(LEN(VLOOKUP($B33,Database!$B$1:$IX$10144,AG$22,FALSE))=0,"",VLOOKUP($B33,Database!$B$1:$IX$10144,AG$22,FALSE)))</f>
        <v>10</v>
      </c>
      <c r="AH33" s="22">
        <f>IF(OR($B33="",AH$22=""),"",IF(LEN(VLOOKUP($B33,Database!$B$1:$IX$10144,AH$22,FALSE))=0,"",VLOOKUP($B33,Database!$B$1:$IX$10144,AH$22,FALSE)))</f>
        <v>1.5</v>
      </c>
      <c r="AI33" s="22">
        <f>IF(OR($B33="",AI$22=""),"",IF(LEN(VLOOKUP($B33,Database!$B$1:$IX$10144,AI$22,FALSE))=0,"",VLOOKUP($B33,Database!$B$1:$IX$10144,AI$22,FALSE)))</f>
        <v>1.2</v>
      </c>
      <c r="AJ33" s="22" t="str">
        <f>IF(OR($B33="",AJ$22=""),"",IF(LEN(VLOOKUP($B33,Database!$B$1:$IX$10144,AJ$22,FALSE))=0,"",VLOOKUP($B33,Database!$B$1:$IX$10144,AJ$22,FALSE)))</f>
        <v/>
      </c>
      <c r="AK33" s="22" t="str">
        <f>IF(OR($B33="",AK$22=""),"",IF(LEN(VLOOKUP($B33,Database!$B$1:$IX$10144,AK$22,FALSE))=0,"",VLOOKUP($B33,Database!$B$1:$IX$10144,AK$22,FALSE)))</f>
        <v>ns</v>
      </c>
      <c r="AL33" s="22">
        <f>IF(OR($B33="",AL$22=""),"",IF(LEN(VLOOKUP($B33,Database!$B$1:$IX$10144,AL$22,FALSE))=0,"",VLOOKUP($B33,Database!$B$1:$IX$10144,AL$22,FALSE)))</f>
        <v>26.7</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Pantel J, Schroder J, Essig M, Schad LR, Popp D, Eysenbach K, Jauss M, Knopp MV.</v>
      </c>
    </row>
    <row r="34" spans="1:51">
      <c r="A34" s="7" t="s">
        <v>37</v>
      </c>
      <c r="B34">
        <v>15545334</v>
      </c>
      <c r="C34" s="1" t="str">
        <f>IF($B34="","",HYPERLINK(IF(LEN(VLOOKUP($B34,Database!$B$1:$IX$10144,2,FALSE))=0,"",VLOOKUP($B34,Database!$B$1:$IX$10144,2,FALSE))))</f>
        <v/>
      </c>
      <c r="D34" s="1" t="str">
        <f>IF($B34="","",HYPERLINK(CONCATENATE("http://www.ncbi.nlm.nih.gov/pubmed/",B34)))</f>
        <v>http://www.ncbi.nlm.nih.gov/pubmed/15545334</v>
      </c>
      <c r="E34" s="22" t="str">
        <f>IF($B34="","",IF(LEN(VLOOKUP($B34,Database!$B$1:$IX$10144,4,FALSE))=0,"",VLOOKUP($B34,Database!$B$1:$IX$10144,4,FALSE)))</f>
        <v>Lavretsky H</v>
      </c>
      <c r="F34" s="22">
        <f>IF($B34="","",IF(LEN(VLOOKUP($B34,Database!$B$1:$IX$10144,5,FALSE))=0,"",VLOOKUP($B34,Database!$B$1:$IX$10144,5,FALSE)))</f>
        <v>2004</v>
      </c>
      <c r="G34" s="1" t="str">
        <f>IF($B34="","",HYPERLINK(IF(LEN(VLOOKUP($B34,Database!$B$1:$IX$10144,6,FALSE))=0,"",VLOOKUP($B34,Database!$B$1:$IX$10144,6,FALSE))))</f>
        <v>http://journals.lww.com/ajgponline/Abstract/2004/11000/Sex_Differences_in_Brain_Structure_in_Geriatric.12.aspx</v>
      </c>
      <c r="H34" s="22">
        <f>IF($B34="","",IF(LEN(VLOOKUP($B34,Database!$B$1:$IX$10144,7,FALSE))=0,"",VLOOKUP($B34,Database!$B$1:$IX$10144,7,FALSE)))</f>
        <v>41</v>
      </c>
      <c r="I34" s="22">
        <f>IF($B34="","",IF(LEN(VLOOKUP($B34,Database!$B$1:$IX$10144,8,FALSE))=0,"",VLOOKUP($B34,Database!$B$1:$IX$10144,8,FALSE)))</f>
        <v>41</v>
      </c>
      <c r="K34" s="10"/>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70.5</v>
      </c>
      <c r="AC34" s="22">
        <f>IF(OR($B34="",AC$22=""),"",IF(LEN(VLOOKUP($B34,Database!$B$1:$IX$10144,AC$22,FALSE))=0,"",VLOOKUP($B34,Database!$B$1:$IX$10144,AC$22,FALSE)))</f>
        <v>7.6</v>
      </c>
      <c r="AD34" s="22">
        <f>IF(OR($B34="",AD$22=""),"",IF(LEN(VLOOKUP($B34,Database!$B$1:$IX$10144,AD$22,FALSE))=0,"",VLOOKUP($B34,Database!$B$1:$IX$10144,AD$22,FALSE)))</f>
        <v>72.2</v>
      </c>
      <c r="AE34" s="22">
        <f>IF(OR($B34="",AE$22=""),"",IF(LEN(VLOOKUP($B34,Database!$B$1:$IX$10144,AE$22,FALSE))=0,"",VLOOKUP($B34,Database!$B$1:$IX$10144,AE$22,FALSE)))</f>
        <v>7.3</v>
      </c>
      <c r="AF34" s="22">
        <f>IF(OR($B34="",AF$22=""),"",IF(LEN(VLOOKUP($B34,Database!$B$1:$IX$10144,AF$22,FALSE))=0,"",VLOOKUP($B34,Database!$B$1:$IX$10144,AF$22,FALSE)))</f>
        <v>32</v>
      </c>
      <c r="AG34" s="22">
        <f>IF(OR($B34="",AG$22=""),"",IF(LEN(VLOOKUP($B34,Database!$B$1:$IX$10144,AG$22,FALSE))=0,"",VLOOKUP($B34,Database!$B$1:$IX$10144,AG$22,FALSE)))</f>
        <v>20</v>
      </c>
      <c r="AH34" s="22">
        <f>IF(OR($B34="",AH$22=""),"",IF(LEN(VLOOKUP($B34,Database!$B$1:$IX$10144,AH$22,FALSE))=0,"",VLOOKUP($B34,Database!$B$1:$IX$10144,AH$22,FALSE)))</f>
        <v>1.5</v>
      </c>
      <c r="AI34" s="22">
        <f>IF(OR($B34="",AI$22=""),"",IF(LEN(VLOOKUP($B34,Database!$B$1:$IX$10144,AI$22,FALSE))=0,"",VLOOKUP($B34,Database!$B$1:$IX$10144,AI$22,FALSE)))</f>
        <v>1.4</v>
      </c>
      <c r="AJ34" s="22" t="str">
        <f>IF(OR($B34="",AJ$22=""),"",IF(LEN(VLOOKUP($B34,Database!$B$1:$IX$10144,AJ$22,FALSE))=0,"",VLOOKUP($B34,Database!$B$1:$IX$10144,AJ$22,FALSE)))</f>
        <v/>
      </c>
      <c r="AK34" s="22">
        <f>IF(OR($B34="",AK$22=""),"",IF(LEN(VLOOKUP($B34,Database!$B$1:$IX$10144,AK$22,FALSE))=0,"",VLOOKUP($B34,Database!$B$1:$IX$10144,AK$22,FALSE)))</f>
        <v>48.5</v>
      </c>
      <c r="AL34" s="22" t="str">
        <f>IF(OR($B34="",AL$22=""),"",IF(LEN(VLOOKUP($B34,Database!$B$1:$IX$10144,AL$22,FALSE))=0,"",VLOOKUP($B34,Database!$B$1:$IX$10144,AL$22,FALSE)))</f>
        <v>ns</v>
      </c>
      <c r="AM34" s="22">
        <f>IF(OR($B34="",AM$22=""),"",IF(LEN(VLOOKUP($B34,Database!$B$1:$IX$10144,AM$22,FALSE))=0,"",VLOOKUP($B34,Database!$B$1:$IX$10144,AM$22,FALSE)))</f>
        <v>0</v>
      </c>
      <c r="AN34" s="22">
        <f>IF(OR($B34="",AN$22=""),"",IF(LEN(VLOOKUP($B34,Database!$B$1:$IX$10144,AN$22,FALSE))=0,"",VLOOKUP($B34,Database!$B$1:$IX$10144,AN$22,FALSE)))</f>
        <v>0</v>
      </c>
      <c r="AO34" s="22">
        <f>IF(OR($B34="",AO$22=""),"",IF(LEN(VLOOKUP($B34,Database!$B$1:$IX$10144,AO$22,FALSE))=0,"",VLOOKUP($B34,Database!$B$1:$IX$10144,AO$22,FALSE)))</f>
        <v>0</v>
      </c>
      <c r="AP34" s="22">
        <f>IF(OR($B34="",AP$22=""),"",IF(LEN(VLOOKUP($B34,Database!$B$1:$IX$10144,AP$22,FALSE))=0,"",VLOOKUP($B34,Database!$B$1:$IX$10144,AP$22,FALSE)))</f>
        <v>100</v>
      </c>
      <c r="AQ34" s="22" t="str">
        <f>IF(OR($B34="",AQ$22=""),"",IF(LEN(VLOOKUP($B34,Database!$B$1:$IX$10144,AQ$22,FALSE))=0,"",VLOOKUP($B34,Database!$B$1:$IX$10144,AQ$22,FALSE)))</f>
        <v>Lavretsky H, Kurbanyan K, Ballmaier M, Mintz J, Toga A, Kumar A.</v>
      </c>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43" si="1">E24</f>
        <v>Pantel J</v>
      </c>
      <c r="F37">
        <f t="shared" si="1"/>
        <v>1997</v>
      </c>
      <c r="G37">
        <v>7</v>
      </c>
      <c r="H37">
        <f t="shared" ref="H37:I43" si="2">H24</f>
        <v>19</v>
      </c>
      <c r="I37">
        <f t="shared" si="2"/>
        <v>13</v>
      </c>
      <c r="J37">
        <f t="shared" ref="J37:M43" si="3">IF($D$4="Total",T24,IF($D$4="Left",L24,IF($D$4="Right",P24,"error")))</f>
        <v>51.16</v>
      </c>
      <c r="K37">
        <f t="shared" si="3"/>
        <v>9.4700000000000006</v>
      </c>
      <c r="L37">
        <f t="shared" si="3"/>
        <v>52.39</v>
      </c>
      <c r="M37">
        <f t="shared" si="3"/>
        <v>6.32</v>
      </c>
      <c r="N37">
        <f t="shared" ref="N37:N43" si="4">IF($D$3=1,SQRT((((I37-1)*(M37)^2)+((H37-1)*(K37)^2))/(H37+I37-2)),M37)</f>
        <v>8.3537716032939286</v>
      </c>
      <c r="O37" s="59">
        <f t="shared" ref="O37:O43" si="5">IF($D$6=1,LN(J37/L37),IF($D$5=1,(1-3/(4*(H37+I37)-9))*((J37-L37)/N37),(J37-L37)/N37))</f>
        <v>-0.14352697842084786</v>
      </c>
      <c r="P37" s="63">
        <f t="shared" ref="P37:P43" si="6">IF($D$6=1,(K37^2)/(H37*J37^2)+(M37^2)/(I37*L37^2),(IF($D$5=1,((H37+I37)/(H37*I37))+(O37*O37)/(2*(H37+I37-3.94)),((H37+I37)/(H37*I37))+((O37^2)/(2*(H37+I37-2))))))</f>
        <v>0.12992172631831808</v>
      </c>
      <c r="Q37" s="59">
        <f t="shared" ref="Q37:Q43" si="7">$R$60*SQRT(P37)</f>
        <v>0.70647526766649849</v>
      </c>
      <c r="R37" s="59">
        <f t="shared" ref="R37:R43" si="8">1/P37</f>
        <v>7.696942061483421</v>
      </c>
      <c r="S37" s="59">
        <f t="shared" ref="S37:S43" si="9">O37*R37</f>
        <v>-1.1047188371650472</v>
      </c>
      <c r="T37" s="59">
        <f t="shared" ref="T37:T43" si="10">R37*(O37^2)</f>
        <v>0.15855695670289188</v>
      </c>
      <c r="U37" s="23">
        <f t="shared" ref="U37:U43" si="11">R37^2</f>
        <v>59.242917097832652</v>
      </c>
      <c r="V37" s="59">
        <f t="shared" ref="V37:V43" si="12">1/((1/R37)+$I$57)</f>
        <v>7.696942061483421</v>
      </c>
      <c r="W37" s="59">
        <f t="shared" ref="W37:W43" si="13">V37*O37</f>
        <v>-1.1047188371650472</v>
      </c>
      <c r="AF37" s="59">
        <f t="shared" ref="AF37:AF43" si="14">IF($D$6=1,100*((EXP(O37))-1),O37)</f>
        <v>-0.14352697842084786</v>
      </c>
      <c r="AG37" s="59">
        <f t="shared" ref="AG37:AG43" si="15">IF($D$6=1,100*(EXP(O37+Q37)-EXP(O37)),Q37)</f>
        <v>0.70647526766649849</v>
      </c>
      <c r="AH37" s="59">
        <f t="shared" ref="AH37:AH43" si="16">IF($D$6=1,100*(EXP(O37)-EXP(O37-Q37)),Q37)</f>
        <v>0.70647526766649849</v>
      </c>
      <c r="AJ37">
        <f t="shared" ref="AJ37:AJ43" si="17">SQRT(P37)</f>
        <v>0.36044656513596862</v>
      </c>
      <c r="AK37">
        <f t="shared" ref="AK37:AK43" si="18">1/AJ37</f>
        <v>2.7743363281122608</v>
      </c>
      <c r="AL37">
        <f t="shared" ref="AL37:AL43" si="19">O37/AJ37</f>
        <v>-0.39819211029714274</v>
      </c>
      <c r="AN37" t="str">
        <f t="shared" ref="AN37:AO43" si="20">E37</f>
        <v>Pantel J</v>
      </c>
      <c r="AO37">
        <f t="shared" si="20"/>
        <v>1997</v>
      </c>
      <c r="AP37" t="str">
        <f t="shared" ref="AP37:AP43" si="21">CONCATENATE(AN37," ",AO37)</f>
        <v>Pantel J 1997</v>
      </c>
      <c r="AQ37">
        <f t="shared" ref="AQ37:AQ43" si="22">INT(H37)</f>
        <v>19</v>
      </c>
      <c r="AR37">
        <f t="shared" ref="AR37:AS43" si="23">J37</f>
        <v>51.16</v>
      </c>
      <c r="AS37">
        <f t="shared" si="23"/>
        <v>9.4700000000000006</v>
      </c>
      <c r="AT37">
        <f t="shared" ref="AT37:AT43" si="24">INT(I37)</f>
        <v>13</v>
      </c>
      <c r="AU37">
        <f t="shared" ref="AU37:AV43" si="25">L37</f>
        <v>52.39</v>
      </c>
      <c r="AV37">
        <f t="shared" si="25"/>
        <v>6.32</v>
      </c>
      <c r="AW37" s="65">
        <f t="shared" ref="AW37:AW43" si="26">O37</f>
        <v>-0.14352697842084786</v>
      </c>
      <c r="AX37">
        <f t="shared" ref="AX37:AX43" si="27">SQRT(P37)</f>
        <v>0.36044656513596862</v>
      </c>
      <c r="AY37" t="str">
        <f>$F$3</f>
        <v>Pooled SD</v>
      </c>
    </row>
    <row r="38" spans="1:51">
      <c r="E38" t="str">
        <f t="shared" si="1"/>
        <v>Nolan CL</v>
      </c>
      <c r="F38">
        <f t="shared" si="1"/>
        <v>2002</v>
      </c>
      <c r="G38">
        <v>6</v>
      </c>
      <c r="H38">
        <f t="shared" si="2"/>
        <v>22</v>
      </c>
      <c r="I38">
        <f t="shared" si="2"/>
        <v>22</v>
      </c>
      <c r="J38">
        <f t="shared" si="3"/>
        <v>52.36</v>
      </c>
      <c r="K38">
        <f t="shared" si="3"/>
        <v>6.38</v>
      </c>
      <c r="L38">
        <f t="shared" si="3"/>
        <v>51.66</v>
      </c>
      <c r="M38">
        <f t="shared" si="3"/>
        <v>8.06</v>
      </c>
      <c r="N38">
        <f t="shared" si="4"/>
        <v>7.2687000213243085</v>
      </c>
      <c r="O38" s="59">
        <f t="shared" si="5"/>
        <v>9.4573327786796918E-2</v>
      </c>
      <c r="P38" s="63">
        <f t="shared" si="6"/>
        <v>9.1020724887232063E-2</v>
      </c>
      <c r="Q38" s="59">
        <f t="shared" si="7"/>
        <v>0.59132496710927962</v>
      </c>
      <c r="R38" s="59">
        <f t="shared" si="8"/>
        <v>10.986508855416455</v>
      </c>
      <c r="S38" s="59">
        <f t="shared" si="9"/>
        <v>1.0390307032158475</v>
      </c>
      <c r="T38" s="59">
        <f t="shared" si="10"/>
        <v>9.826459127577844E-2</v>
      </c>
      <c r="U38" s="23">
        <f t="shared" si="11"/>
        <v>120.70337683014418</v>
      </c>
      <c r="V38" s="59">
        <f t="shared" si="12"/>
        <v>10.986508855416455</v>
      </c>
      <c r="W38" s="59">
        <f t="shared" si="13"/>
        <v>1.0390307032158475</v>
      </c>
      <c r="AF38" s="59">
        <f t="shared" si="14"/>
        <v>9.4573327786796918E-2</v>
      </c>
      <c r="AG38" s="59">
        <f t="shared" si="15"/>
        <v>0.59132496710927962</v>
      </c>
      <c r="AH38" s="59">
        <f t="shared" si="16"/>
        <v>0.59132496710927962</v>
      </c>
      <c r="AJ38">
        <f t="shared" si="17"/>
        <v>0.30169641179044882</v>
      </c>
      <c r="AK38">
        <f t="shared" si="18"/>
        <v>3.3145902997831356</v>
      </c>
      <c r="AL38">
        <f t="shared" si="19"/>
        <v>0.31347183490032793</v>
      </c>
      <c r="AN38" t="str">
        <f t="shared" si="20"/>
        <v>Nolan CL</v>
      </c>
      <c r="AO38">
        <f t="shared" si="20"/>
        <v>2002</v>
      </c>
      <c r="AP38" t="str">
        <f t="shared" si="21"/>
        <v>Nolan CL 2002</v>
      </c>
      <c r="AQ38">
        <f t="shared" si="22"/>
        <v>22</v>
      </c>
      <c r="AR38">
        <f t="shared" si="23"/>
        <v>52.36</v>
      </c>
      <c r="AS38">
        <f t="shared" si="23"/>
        <v>6.38</v>
      </c>
      <c r="AT38">
        <f t="shared" si="24"/>
        <v>22</v>
      </c>
      <c r="AU38">
        <f t="shared" si="25"/>
        <v>51.66</v>
      </c>
      <c r="AV38">
        <f t="shared" si="25"/>
        <v>8.06</v>
      </c>
      <c r="AW38" s="65">
        <f t="shared" si="26"/>
        <v>9.4573327786796918E-2</v>
      </c>
      <c r="AX38">
        <f t="shared" si="27"/>
        <v>0.30169641179044882</v>
      </c>
      <c r="AY38" t="str">
        <f>$F$4</f>
        <v>Right</v>
      </c>
    </row>
    <row r="39" spans="1:51">
      <c r="E39" t="str">
        <f t="shared" si="1"/>
        <v>Salokangas RK</v>
      </c>
      <c r="F39">
        <f t="shared" si="1"/>
        <v>2002</v>
      </c>
      <c r="G39">
        <v>5</v>
      </c>
      <c r="H39">
        <f t="shared" si="2"/>
        <v>20</v>
      </c>
      <c r="I39">
        <f t="shared" si="2"/>
        <v>9.5</v>
      </c>
      <c r="J39">
        <f t="shared" si="3"/>
        <v>57.91</v>
      </c>
      <c r="K39">
        <f t="shared" si="3"/>
        <v>6.96</v>
      </c>
      <c r="L39">
        <f t="shared" si="3"/>
        <v>61.49</v>
      </c>
      <c r="M39">
        <f t="shared" si="3"/>
        <v>9.25</v>
      </c>
      <c r="N39">
        <f t="shared" si="4"/>
        <v>7.740499514067082</v>
      </c>
      <c r="O39" s="59">
        <f t="shared" si="5"/>
        <v>-0.44977302609234299</v>
      </c>
      <c r="P39" s="63">
        <f t="shared" si="6"/>
        <v>0.15922043048863871</v>
      </c>
      <c r="Q39" s="59">
        <f t="shared" si="7"/>
        <v>0.78208772255109238</v>
      </c>
      <c r="R39" s="59">
        <f t="shared" si="8"/>
        <v>6.2806010317335232</v>
      </c>
      <c r="S39" s="59">
        <f t="shared" si="9"/>
        <v>-2.8248449317214783</v>
      </c>
      <c r="T39" s="59">
        <f t="shared" si="10"/>
        <v>1.2705390531819873</v>
      </c>
      <c r="U39" s="23">
        <f t="shared" si="11"/>
        <v>39.445949319812193</v>
      </c>
      <c r="V39" s="59">
        <f t="shared" si="12"/>
        <v>6.2806010317335232</v>
      </c>
      <c r="W39" s="59">
        <f t="shared" si="13"/>
        <v>-2.8248449317214783</v>
      </c>
      <c r="AF39" s="59">
        <f t="shared" si="14"/>
        <v>-0.44977302609234299</v>
      </c>
      <c r="AG39" s="59">
        <f t="shared" si="15"/>
        <v>0.78208772255109238</v>
      </c>
      <c r="AH39" s="59">
        <f t="shared" si="16"/>
        <v>0.78208772255109238</v>
      </c>
      <c r="AJ39">
        <f t="shared" si="17"/>
        <v>0.39902434824035327</v>
      </c>
      <c r="AK39">
        <f t="shared" si="18"/>
        <v>2.5061127332451592</v>
      </c>
      <c r="AL39">
        <f t="shared" si="19"/>
        <v>-1.1271819077602281</v>
      </c>
      <c r="AN39" t="str">
        <f t="shared" si="20"/>
        <v>Salokangas RK</v>
      </c>
      <c r="AO39">
        <f t="shared" si="20"/>
        <v>2002</v>
      </c>
      <c r="AP39" t="str">
        <f t="shared" si="21"/>
        <v>Salokangas RK 2002</v>
      </c>
      <c r="AQ39">
        <f t="shared" si="22"/>
        <v>20</v>
      </c>
      <c r="AR39">
        <f t="shared" si="23"/>
        <v>57.91</v>
      </c>
      <c r="AS39">
        <f t="shared" si="23"/>
        <v>6.96</v>
      </c>
      <c r="AT39">
        <f t="shared" si="24"/>
        <v>9</v>
      </c>
      <c r="AU39">
        <f t="shared" si="25"/>
        <v>61.49</v>
      </c>
      <c r="AV39">
        <f t="shared" si="25"/>
        <v>9.25</v>
      </c>
      <c r="AW39" s="65">
        <f t="shared" si="26"/>
        <v>-0.44977302609234299</v>
      </c>
      <c r="AX39">
        <f t="shared" si="27"/>
        <v>0.39902434824035327</v>
      </c>
      <c r="AY39" t="str">
        <f>$F$5</f>
        <v>H Correction</v>
      </c>
    </row>
    <row r="40" spans="1:51">
      <c r="E40" t="str">
        <f t="shared" si="1"/>
        <v>Salokangas RK</v>
      </c>
      <c r="F40">
        <f t="shared" si="1"/>
        <v>2002</v>
      </c>
      <c r="G40">
        <v>4</v>
      </c>
      <c r="H40">
        <f t="shared" si="2"/>
        <v>17</v>
      </c>
      <c r="I40">
        <f t="shared" si="2"/>
        <v>9.5</v>
      </c>
      <c r="J40">
        <f t="shared" si="3"/>
        <v>60.75</v>
      </c>
      <c r="K40">
        <f t="shared" si="3"/>
        <v>10.34</v>
      </c>
      <c r="L40">
        <f t="shared" si="3"/>
        <v>61.49</v>
      </c>
      <c r="M40">
        <f t="shared" si="3"/>
        <v>9.25</v>
      </c>
      <c r="N40">
        <f t="shared" si="4"/>
        <v>9.9753386725791451</v>
      </c>
      <c r="O40" s="59">
        <f t="shared" si="5"/>
        <v>-7.188862710326871E-2</v>
      </c>
      <c r="P40" s="63">
        <f t="shared" si="6"/>
        <v>0.16420122575301735</v>
      </c>
      <c r="Q40" s="59">
        <f t="shared" si="7"/>
        <v>0.79422630833584917</v>
      </c>
      <c r="R40" s="59">
        <f t="shared" si="8"/>
        <v>6.0900885204361765</v>
      </c>
      <c r="S40" s="59">
        <f t="shared" si="9"/>
        <v>-0.43780810267153375</v>
      </c>
      <c r="T40" s="59">
        <f t="shared" si="10"/>
        <v>3.1473423435743469E-2</v>
      </c>
      <c r="U40" s="23">
        <f t="shared" si="11"/>
        <v>37.089178186748498</v>
      </c>
      <c r="V40" s="59">
        <f t="shared" si="12"/>
        <v>6.0900885204361765</v>
      </c>
      <c r="W40" s="59">
        <f t="shared" si="13"/>
        <v>-0.43780810267153375</v>
      </c>
      <c r="AF40" s="59">
        <f t="shared" si="14"/>
        <v>-7.188862710326871E-2</v>
      </c>
      <c r="AG40" s="59">
        <f t="shared" si="15"/>
        <v>0.79422630833584917</v>
      </c>
      <c r="AH40" s="59">
        <f t="shared" si="16"/>
        <v>0.79422630833584917</v>
      </c>
      <c r="AJ40">
        <f t="shared" si="17"/>
        <v>0.40521750425298431</v>
      </c>
      <c r="AK40">
        <f t="shared" si="18"/>
        <v>2.467810470930897</v>
      </c>
      <c r="AL40">
        <f t="shared" si="19"/>
        <v>-0.17740750670629321</v>
      </c>
      <c r="AN40" t="str">
        <f t="shared" si="20"/>
        <v>Salokangas RK</v>
      </c>
      <c r="AO40">
        <f t="shared" si="20"/>
        <v>2002</v>
      </c>
      <c r="AP40" t="str">
        <f t="shared" si="21"/>
        <v>Salokangas RK 2002</v>
      </c>
      <c r="AQ40">
        <f t="shared" si="22"/>
        <v>17</v>
      </c>
      <c r="AR40">
        <f t="shared" si="23"/>
        <v>60.75</v>
      </c>
      <c r="AS40">
        <f t="shared" si="23"/>
        <v>10.34</v>
      </c>
      <c r="AT40">
        <f t="shared" si="24"/>
        <v>9</v>
      </c>
      <c r="AU40">
        <f t="shared" si="25"/>
        <v>61.49</v>
      </c>
      <c r="AV40">
        <f t="shared" si="25"/>
        <v>9.25</v>
      </c>
      <c r="AW40" s="65">
        <f t="shared" si="26"/>
        <v>-7.188862710326871E-2</v>
      </c>
      <c r="AX40">
        <f t="shared" si="27"/>
        <v>0.40521750425298431</v>
      </c>
    </row>
    <row r="41" spans="1:51">
      <c r="E41" t="str">
        <f t="shared" si="1"/>
        <v>Lavretsky H</v>
      </c>
      <c r="F41">
        <f t="shared" si="1"/>
        <v>2005</v>
      </c>
      <c r="G41">
        <v>3</v>
      </c>
      <c r="H41">
        <f t="shared" si="2"/>
        <v>11</v>
      </c>
      <c r="I41">
        <f t="shared" si="2"/>
        <v>20.5</v>
      </c>
      <c r="J41">
        <f t="shared" si="3"/>
        <v>6.7000000000000004E-2</v>
      </c>
      <c r="K41">
        <f t="shared" si="3"/>
        <v>4.0000000000000001E-3</v>
      </c>
      <c r="L41">
        <f t="shared" si="3"/>
        <v>6.5000000000000002E-2</v>
      </c>
      <c r="M41">
        <f t="shared" si="3"/>
        <v>6.0000000000000001E-3</v>
      </c>
      <c r="N41">
        <f t="shared" si="4"/>
        <v>5.4055840556826839E-3</v>
      </c>
      <c r="O41" s="59">
        <f t="shared" si="5"/>
        <v>0.36050090584926486</v>
      </c>
      <c r="P41" s="63">
        <f t="shared" si="6"/>
        <v>0.14204735997518339</v>
      </c>
      <c r="Q41" s="59">
        <f t="shared" si="7"/>
        <v>0.73870774876175793</v>
      </c>
      <c r="R41" s="59">
        <f t="shared" si="8"/>
        <v>7.0399055651207219</v>
      </c>
      <c r="S41" s="59">
        <f t="shared" si="9"/>
        <v>2.5378923333193013</v>
      </c>
      <c r="T41" s="59">
        <f t="shared" si="10"/>
        <v>0.91491248510951262</v>
      </c>
      <c r="U41" s="23">
        <f t="shared" si="11"/>
        <v>49.560270365817708</v>
      </c>
      <c r="V41" s="59">
        <f t="shared" si="12"/>
        <v>7.0399055651207219</v>
      </c>
      <c r="W41" s="59">
        <f t="shared" si="13"/>
        <v>2.5378923333193013</v>
      </c>
      <c r="AF41" s="59">
        <f t="shared" si="14"/>
        <v>0.36050090584926486</v>
      </c>
      <c r="AG41" s="59">
        <f t="shared" si="15"/>
        <v>0.73870774876175793</v>
      </c>
      <c r="AH41" s="59">
        <f t="shared" si="16"/>
        <v>0.73870774876175793</v>
      </c>
      <c r="AJ41">
        <f t="shared" si="17"/>
        <v>0.37689170855191734</v>
      </c>
      <c r="AK41">
        <f t="shared" si="18"/>
        <v>2.6532820364824996</v>
      </c>
      <c r="AL41">
        <f t="shared" si="19"/>
        <v>0.95651057762552338</v>
      </c>
      <c r="AN41" t="str">
        <f t="shared" si="20"/>
        <v>Lavretsky H</v>
      </c>
      <c r="AO41">
        <f t="shared" si="20"/>
        <v>2005</v>
      </c>
      <c r="AP41" t="str">
        <f t="shared" si="21"/>
        <v>Lavretsky H 2005</v>
      </c>
      <c r="AQ41">
        <f t="shared" si="22"/>
        <v>11</v>
      </c>
      <c r="AR41">
        <f t="shared" si="23"/>
        <v>6.7000000000000004E-2</v>
      </c>
      <c r="AS41">
        <f t="shared" si="23"/>
        <v>4.0000000000000001E-3</v>
      </c>
      <c r="AT41">
        <f t="shared" si="24"/>
        <v>20</v>
      </c>
      <c r="AU41">
        <f t="shared" si="25"/>
        <v>6.5000000000000002E-2</v>
      </c>
      <c r="AV41">
        <f t="shared" si="25"/>
        <v>6.0000000000000001E-3</v>
      </c>
      <c r="AW41" s="65">
        <f t="shared" si="26"/>
        <v>0.36050090584926486</v>
      </c>
      <c r="AX41">
        <f t="shared" si="27"/>
        <v>0.37689170855191734</v>
      </c>
    </row>
    <row r="42" spans="1:51">
      <c r="E42" t="str">
        <f t="shared" si="1"/>
        <v>Lavretsky H</v>
      </c>
      <c r="F42">
        <f t="shared" si="1"/>
        <v>2005</v>
      </c>
      <c r="G42">
        <v>2</v>
      </c>
      <c r="H42">
        <f t="shared" si="2"/>
        <v>30</v>
      </c>
      <c r="I42">
        <f t="shared" si="2"/>
        <v>20.5</v>
      </c>
      <c r="J42">
        <f t="shared" si="3"/>
        <v>6.5000000000000002E-2</v>
      </c>
      <c r="K42">
        <f t="shared" si="3"/>
        <v>5.0000000000000001E-3</v>
      </c>
      <c r="L42">
        <f t="shared" si="3"/>
        <v>6.5000000000000002E-2</v>
      </c>
      <c r="M42">
        <f t="shared" si="3"/>
        <v>6.0000000000000001E-3</v>
      </c>
      <c r="N42">
        <f t="shared" si="4"/>
        <v>5.4242677305209718E-3</v>
      </c>
      <c r="O42" s="59">
        <f t="shared" si="5"/>
        <v>0</v>
      </c>
      <c r="P42" s="63">
        <f t="shared" si="6"/>
        <v>8.2113821138211376E-2</v>
      </c>
      <c r="Q42" s="59">
        <f t="shared" si="7"/>
        <v>0.5616479816437987</v>
      </c>
      <c r="R42" s="59">
        <f t="shared" si="8"/>
        <v>12.178217821782178</v>
      </c>
      <c r="S42" s="59">
        <f t="shared" si="9"/>
        <v>0</v>
      </c>
      <c r="T42" s="59">
        <f t="shared" si="10"/>
        <v>0</v>
      </c>
      <c r="U42" s="23">
        <f t="shared" si="11"/>
        <v>148.30898931477307</v>
      </c>
      <c r="V42" s="59">
        <f t="shared" si="12"/>
        <v>12.178217821782178</v>
      </c>
      <c r="W42" s="59">
        <f t="shared" si="13"/>
        <v>0</v>
      </c>
      <c r="AF42" s="59">
        <f t="shared" si="14"/>
        <v>0</v>
      </c>
      <c r="AG42" s="59">
        <f t="shared" si="15"/>
        <v>0.5616479816437987</v>
      </c>
      <c r="AH42" s="59">
        <f t="shared" si="16"/>
        <v>0.5616479816437987</v>
      </c>
      <c r="AJ42">
        <f t="shared" si="17"/>
        <v>0.28655509267540752</v>
      </c>
      <c r="AK42">
        <f t="shared" si="18"/>
        <v>3.4897303365420913</v>
      </c>
      <c r="AL42">
        <f t="shared" si="19"/>
        <v>0</v>
      </c>
      <c r="AN42" t="str">
        <f t="shared" si="20"/>
        <v>Lavretsky H</v>
      </c>
      <c r="AO42">
        <f t="shared" si="20"/>
        <v>2005</v>
      </c>
      <c r="AP42" t="str">
        <f t="shared" si="21"/>
        <v>Lavretsky H 2005</v>
      </c>
      <c r="AQ42">
        <f t="shared" si="22"/>
        <v>30</v>
      </c>
      <c r="AR42">
        <f t="shared" si="23"/>
        <v>6.5000000000000002E-2</v>
      </c>
      <c r="AS42">
        <f t="shared" si="23"/>
        <v>5.0000000000000001E-3</v>
      </c>
      <c r="AT42">
        <f t="shared" si="24"/>
        <v>20</v>
      </c>
      <c r="AU42">
        <f t="shared" si="25"/>
        <v>6.5000000000000002E-2</v>
      </c>
      <c r="AV42">
        <f t="shared" si="25"/>
        <v>6.0000000000000001E-3</v>
      </c>
      <c r="AW42" s="65">
        <f t="shared" si="26"/>
        <v>0</v>
      </c>
      <c r="AX42">
        <f t="shared" si="27"/>
        <v>0.28655509267540752</v>
      </c>
    </row>
    <row r="43" spans="1:51">
      <c r="E43" t="str">
        <f t="shared" si="1"/>
        <v>Frodl T</v>
      </c>
      <c r="F43">
        <f t="shared" si="1"/>
        <v>2006</v>
      </c>
      <c r="G43">
        <v>1</v>
      </c>
      <c r="H43">
        <f t="shared" si="2"/>
        <v>34</v>
      </c>
      <c r="I43">
        <f t="shared" si="2"/>
        <v>34</v>
      </c>
      <c r="J43">
        <f t="shared" si="3"/>
        <v>99.1</v>
      </c>
      <c r="K43">
        <f t="shared" si="3"/>
        <v>5.6</v>
      </c>
      <c r="L43">
        <f t="shared" si="3"/>
        <v>101.3</v>
      </c>
      <c r="M43">
        <f t="shared" si="3"/>
        <v>6.1</v>
      </c>
      <c r="N43">
        <f t="shared" si="4"/>
        <v>5.8553394436189601</v>
      </c>
      <c r="O43" s="59">
        <f t="shared" si="5"/>
        <v>-0.37143960036953161</v>
      </c>
      <c r="P43" s="63">
        <f t="shared" si="6"/>
        <v>5.990038998562263E-2</v>
      </c>
      <c r="Q43" s="59">
        <f t="shared" si="7"/>
        <v>0.4797013009871538</v>
      </c>
      <c r="R43" s="59">
        <f t="shared" si="8"/>
        <v>16.694382127395521</v>
      </c>
      <c r="S43" s="59">
        <f t="shared" si="9"/>
        <v>-6.2009546258160428</v>
      </c>
      <c r="T43" s="59">
        <f t="shared" si="10"/>
        <v>2.3032801081227094</v>
      </c>
      <c r="U43" s="23">
        <f t="shared" si="11"/>
        <v>278.70239461550301</v>
      </c>
      <c r="V43" s="59">
        <f t="shared" si="12"/>
        <v>16.694382127395521</v>
      </c>
      <c r="W43" s="59">
        <f t="shared" si="13"/>
        <v>-6.2009546258160428</v>
      </c>
      <c r="AF43" s="59">
        <f t="shared" si="14"/>
        <v>-0.37143960036953161</v>
      </c>
      <c r="AG43" s="59">
        <f t="shared" si="15"/>
        <v>0.4797013009871538</v>
      </c>
      <c r="AH43" s="59">
        <f t="shared" si="16"/>
        <v>0.4797013009871538</v>
      </c>
      <c r="AJ43">
        <f t="shared" si="17"/>
        <v>0.24474556172813969</v>
      </c>
      <c r="AK43">
        <f t="shared" si="18"/>
        <v>4.0858759314736321</v>
      </c>
      <c r="AL43">
        <f t="shared" si="19"/>
        <v>-1.5176561231460535</v>
      </c>
      <c r="AN43" t="str">
        <f t="shared" si="20"/>
        <v>Frodl T</v>
      </c>
      <c r="AO43">
        <f t="shared" si="20"/>
        <v>2006</v>
      </c>
      <c r="AP43" t="str">
        <f t="shared" si="21"/>
        <v>Frodl T 2006</v>
      </c>
      <c r="AQ43">
        <f t="shared" si="22"/>
        <v>34</v>
      </c>
      <c r="AR43">
        <f t="shared" si="23"/>
        <v>99.1</v>
      </c>
      <c r="AS43">
        <f t="shared" si="23"/>
        <v>5.6</v>
      </c>
      <c r="AT43">
        <f t="shared" si="24"/>
        <v>34</v>
      </c>
      <c r="AU43">
        <f t="shared" si="25"/>
        <v>101.3</v>
      </c>
      <c r="AV43">
        <f t="shared" si="25"/>
        <v>6.1</v>
      </c>
      <c r="AW43" s="65">
        <f t="shared" si="26"/>
        <v>-0.37143960036953161</v>
      </c>
      <c r="AX43">
        <f t="shared" si="27"/>
        <v>0.24474556172813969</v>
      </c>
    </row>
    <row r="44" spans="1:51">
      <c r="U44" s="23"/>
    </row>
    <row r="45" spans="1:51">
      <c r="L45" t="s">
        <v>500</v>
      </c>
      <c r="N45" s="7"/>
      <c r="O45" s="66">
        <f>COUNT(O37:O43)</f>
        <v>7</v>
      </c>
      <c r="Q45" t="s">
        <v>885</v>
      </c>
      <c r="R45" s="59">
        <f t="shared" ref="R45:W45" si="28">SUM(R37:R43)</f>
        <v>66.966645983367982</v>
      </c>
      <c r="S45" s="59">
        <f t="shared" si="28"/>
        <v>-6.9914034608389537</v>
      </c>
      <c r="T45" s="59">
        <f t="shared" si="28"/>
        <v>4.7770266178286231</v>
      </c>
      <c r="U45" s="23">
        <f t="shared" si="28"/>
        <v>733.05307573063124</v>
      </c>
      <c r="V45" s="59">
        <f t="shared" si="28"/>
        <v>66.966645983367982</v>
      </c>
      <c r="W45" s="59">
        <f t="shared" si="28"/>
        <v>-6.9914034608389537</v>
      </c>
    </row>
    <row r="46" spans="1:51">
      <c r="L46" t="s">
        <v>501</v>
      </c>
      <c r="N46" s="7"/>
      <c r="O46" s="2">
        <v>2</v>
      </c>
    </row>
    <row r="47" spans="1:51">
      <c r="N47" s="7"/>
      <c r="O47" s="7"/>
    </row>
    <row r="48" spans="1:51">
      <c r="G48" s="67" t="s">
        <v>502</v>
      </c>
      <c r="H48" s="40"/>
      <c r="I48" s="40">
        <f>S45/R45</f>
        <v>-0.10440127854955372</v>
      </c>
      <c r="J48" s="40"/>
      <c r="K48" s="68" t="s">
        <v>879</v>
      </c>
      <c r="L48" s="40"/>
      <c r="M48" s="42"/>
      <c r="N48" s="7"/>
      <c r="O48" s="69" t="s">
        <v>503</v>
      </c>
      <c r="P48" s="70">
        <f>T45-((S45^2)/R45)</f>
        <v>4.0471151576612616</v>
      </c>
      <c r="Q48" s="71" t="s">
        <v>824</v>
      </c>
      <c r="R48" s="28"/>
      <c r="S48" s="29"/>
      <c r="T48" s="30"/>
      <c r="U48" s="31"/>
      <c r="AF48" s="2" t="s">
        <v>1518</v>
      </c>
    </row>
    <row r="49" spans="7:34">
      <c r="G49" s="43" t="s">
        <v>504</v>
      </c>
      <c r="H49" s="31"/>
      <c r="I49" s="31">
        <f>1/R45</f>
        <v>1.4932807001389358E-2</v>
      </c>
      <c r="J49" s="31"/>
      <c r="K49" s="31"/>
      <c r="L49" s="31"/>
      <c r="M49" s="44"/>
      <c r="N49" s="7"/>
      <c r="O49" s="30" t="s">
        <v>505</v>
      </c>
      <c r="P49" s="31">
        <f>CHIDIST(P48,I53-1)</f>
        <v>0.67030037059897651</v>
      </c>
      <c r="Q49" s="31"/>
      <c r="R49" s="31"/>
      <c r="S49" s="34"/>
      <c r="T49" s="30"/>
      <c r="U49" s="31"/>
      <c r="AF49" s="2"/>
    </row>
    <row r="50" spans="7:34">
      <c r="G50" s="72" t="s">
        <v>506</v>
      </c>
      <c r="H50" s="31"/>
      <c r="I50" s="31">
        <f>$R$60*SQRT(I49)</f>
        <v>0.23951173536287812</v>
      </c>
      <c r="J50" s="31"/>
      <c r="K50" s="31" t="s">
        <v>507</v>
      </c>
      <c r="L50" s="31"/>
      <c r="M50" s="44">
        <f>ABS(I48/SQRT(I49))</f>
        <v>0.85434855894263761</v>
      </c>
      <c r="N50" s="7"/>
      <c r="O50" s="35" t="s">
        <v>508</v>
      </c>
      <c r="P50" s="37">
        <f>IF(((P48-(I53-1))/P48)&lt;0,0,100*((P48-(I53-1))/P48))</f>
        <v>0</v>
      </c>
      <c r="Q50" s="36"/>
      <c r="R50" s="36"/>
      <c r="S50" s="38"/>
      <c r="T50" s="30"/>
      <c r="U50" s="31"/>
      <c r="AF50" s="2" t="s">
        <v>1535</v>
      </c>
      <c r="AH50">
        <f>IF($D$6=1,100*((EXP(I48))-1),I48)</f>
        <v>-0.10440127854955372</v>
      </c>
    </row>
    <row r="51" spans="7:34">
      <c r="G51" s="45" t="s">
        <v>509</v>
      </c>
      <c r="H51" s="46"/>
      <c r="I51" s="46">
        <v>-2</v>
      </c>
      <c r="J51" s="46"/>
      <c r="K51" s="46" t="s">
        <v>825</v>
      </c>
      <c r="L51" s="46"/>
      <c r="M51" s="47">
        <f>2*(1-NORMDIST(M50,0,1,1))</f>
        <v>0.39291188920057452</v>
      </c>
      <c r="N51" s="7"/>
      <c r="O51" s="7"/>
      <c r="AF51" s="79" t="s">
        <v>834</v>
      </c>
      <c r="AH51">
        <f>IF($D$6=1,100*(EXP(I48+I50)-EXP(I48)),I50)</f>
        <v>0.23951173536287812</v>
      </c>
    </row>
    <row r="52" spans="7:34">
      <c r="G52" s="40"/>
      <c r="H52" s="40"/>
      <c r="I52" s="40"/>
      <c r="J52" s="40"/>
      <c r="K52" s="40"/>
      <c r="L52" s="40"/>
      <c r="M52" s="40"/>
      <c r="N52" s="7"/>
      <c r="O52" s="7"/>
      <c r="AF52" s="79" t="s">
        <v>835</v>
      </c>
      <c r="AH52">
        <f>IF($D$6=1,100*(EXP(I48)-EXP(I48-I50)),I50)</f>
        <v>0.23951173536287812</v>
      </c>
    </row>
    <row r="53" spans="7:34">
      <c r="G53" s="73" t="s">
        <v>1110</v>
      </c>
      <c r="H53" s="74"/>
      <c r="I53" s="74">
        <f>O45</f>
        <v>7</v>
      </c>
      <c r="J53" s="74"/>
      <c r="K53" s="75" t="s">
        <v>1167</v>
      </c>
      <c r="L53" s="74"/>
      <c r="M53" s="76"/>
      <c r="N53" s="77"/>
      <c r="O53" s="101" t="s">
        <v>1513</v>
      </c>
      <c r="P53" s="102"/>
      <c r="Q53" s="103"/>
      <c r="AF53" s="7"/>
    </row>
    <row r="54" spans="7:34">
      <c r="G54" s="77" t="s">
        <v>1531</v>
      </c>
      <c r="H54" s="31"/>
      <c r="I54" s="31">
        <f>R45/I53</f>
        <v>9.5666637119097118</v>
      </c>
      <c r="J54" s="31"/>
      <c r="K54" s="31"/>
      <c r="L54" s="31"/>
      <c r="M54" s="78"/>
      <c r="N54" s="77"/>
      <c r="O54" s="104" t="s">
        <v>1514</v>
      </c>
      <c r="P54" s="31"/>
      <c r="Q54" s="105">
        <f>INDEX(LINEST(AL37:AL43,AK37:AK43,TRUE,TRUE),1,2)</f>
        <v>1.1824736064668533</v>
      </c>
      <c r="AF54" s="2" t="s">
        <v>1687</v>
      </c>
      <c r="AH54">
        <f>IF($D$6=1,100*((EXP(I59))-1),I59)</f>
        <v>-0.10440127854955372</v>
      </c>
    </row>
    <row r="55" spans="7:34">
      <c r="G55" s="77" t="s">
        <v>1532</v>
      </c>
      <c r="H55" s="31"/>
      <c r="I55" s="31">
        <f>(1/(I53-1))*(U45-(I53*I54^2))</f>
        <v>15.400948948873424</v>
      </c>
      <c r="J55" s="31"/>
      <c r="K55" s="31"/>
      <c r="L55" s="31"/>
      <c r="M55" s="78"/>
      <c r="N55" s="77"/>
      <c r="O55" s="104" t="s">
        <v>1516</v>
      </c>
      <c r="P55" s="31"/>
      <c r="Q55" s="105">
        <f>INDEX(LINEST(AL37:AL43,AK37:AK43,TRUE,TRUE),2,2)</f>
        <v>1.7982304751688085</v>
      </c>
      <c r="AF55" s="79" t="s">
        <v>834</v>
      </c>
      <c r="AG55" s="7"/>
      <c r="AH55">
        <f>IF($D$6=1,100*(EXP(I59+I61)-EXP(I59)),I61)</f>
        <v>0.23951173536287812</v>
      </c>
    </row>
    <row r="56" spans="7:34">
      <c r="G56" s="77" t="s">
        <v>1669</v>
      </c>
      <c r="H56" s="31"/>
      <c r="I56" s="31">
        <f>(I53-1)*(I54-(I55/(I53*I54)))</f>
        <v>56.020105881707607</v>
      </c>
      <c r="J56" s="31"/>
      <c r="K56" s="31"/>
      <c r="L56" s="31"/>
      <c r="M56" s="78"/>
      <c r="N56" s="77"/>
      <c r="O56" s="104" t="s">
        <v>1349</v>
      </c>
      <c r="P56" s="31"/>
      <c r="Q56" s="105">
        <f>ABS(Q54/Q55)</f>
        <v>0.65757622440240804</v>
      </c>
      <c r="AF56" s="79" t="s">
        <v>835</v>
      </c>
      <c r="AH56">
        <f>IF($D$6=1,100*(EXP(I59)-EXP(I59-I61)),I61)</f>
        <v>0.23951173536287812</v>
      </c>
    </row>
    <row r="57" spans="7:34">
      <c r="G57" s="77" t="s">
        <v>1685</v>
      </c>
      <c r="H57" s="31"/>
      <c r="I57" s="31">
        <f>IF(P48&gt;(I53-1),(P48-(I53-1))/I56,0)</f>
        <v>0</v>
      </c>
      <c r="J57" s="31"/>
      <c r="K57" s="31"/>
      <c r="L57" s="31"/>
      <c r="M57" s="78"/>
      <c r="N57" s="77"/>
      <c r="O57" s="106" t="s">
        <v>1515</v>
      </c>
      <c r="P57" s="107"/>
      <c r="Q57" s="108">
        <f>TDIST(Q56,I53-2,2)</f>
        <v>0.5398726720069057</v>
      </c>
    </row>
    <row r="58" spans="7:34">
      <c r="G58" s="77"/>
      <c r="H58" s="31"/>
      <c r="I58" s="31"/>
      <c r="J58" s="31"/>
      <c r="K58" s="31"/>
      <c r="L58" s="31"/>
      <c r="M58" s="78"/>
      <c r="N58" s="77"/>
    </row>
    <row r="59" spans="7:34">
      <c r="G59" s="77" t="s">
        <v>1686</v>
      </c>
      <c r="H59" s="31"/>
      <c r="I59" s="31">
        <f>W45/V45</f>
        <v>-0.10440127854955372</v>
      </c>
      <c r="J59" s="31"/>
      <c r="N59" s="77"/>
    </row>
    <row r="60" spans="7:34">
      <c r="G60" s="77" t="s">
        <v>504</v>
      </c>
      <c r="H60" s="31"/>
      <c r="I60" s="31">
        <f>1/V45</f>
        <v>1.4932807001389358E-2</v>
      </c>
      <c r="J60" s="31"/>
      <c r="N60" s="77"/>
      <c r="O60" t="s">
        <v>805</v>
      </c>
      <c r="R60">
        <v>1.96</v>
      </c>
    </row>
    <row r="61" spans="7:34">
      <c r="G61" s="80" t="s">
        <v>506</v>
      </c>
      <c r="H61" s="31"/>
      <c r="I61" s="31">
        <f>$R$60*SQRT(I60)</f>
        <v>0.23951173536287812</v>
      </c>
      <c r="J61" s="31"/>
      <c r="K61" s="31" t="s">
        <v>507</v>
      </c>
      <c r="L61" s="31"/>
      <c r="M61" s="78">
        <f>ABS(I59/(SQRT(I60)))</f>
        <v>0.85434855894263761</v>
      </c>
      <c r="N61" s="77"/>
    </row>
    <row r="62" spans="7:34">
      <c r="G62" s="81" t="s">
        <v>509</v>
      </c>
      <c r="H62" s="82"/>
      <c r="I62" s="82">
        <v>-3</v>
      </c>
      <c r="J62" s="82"/>
      <c r="K62" s="31" t="s">
        <v>825</v>
      </c>
      <c r="L62" s="31"/>
      <c r="M62" s="78">
        <f>2*(1-NORMDIST(M61,0,1,1))</f>
        <v>0.39291188920057452</v>
      </c>
      <c r="N62" s="77"/>
    </row>
    <row r="63" spans="7:34">
      <c r="G63" s="74"/>
      <c r="H63" s="74"/>
      <c r="I63" s="74"/>
      <c r="J63" s="74"/>
      <c r="K63" s="74"/>
      <c r="L63" s="74"/>
      <c r="M63" s="74"/>
      <c r="N63" s="31"/>
      <c r="O63" s="7"/>
    </row>
  </sheetData>
  <phoneticPr fontId="10" type="noConversion"/>
  <conditionalFormatting sqref="D17 D13 F13">
    <cfRule type="cellIs" dxfId="56" priority="0" stopIfTrue="1" operator="lessThan">
      <formula>0.05</formula>
    </cfRule>
  </conditionalFormatting>
  <conditionalFormatting sqref="D21">
    <cfRule type="cellIs" dxfId="5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2.xml><?xml version="1.0" encoding="utf-8"?>
<worksheet xmlns="http://schemas.openxmlformats.org/spreadsheetml/2006/main" xmlns:r="http://schemas.openxmlformats.org/officeDocument/2006/relationships">
  <sheetPr published="0" codeName="Sheet103" enableFormatConditionsCalculation="0"/>
  <dimension ref="A1:BM71"/>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403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I61-O54</f>
        <v>6</v>
      </c>
      <c r="AD7" s="89"/>
    </row>
    <row r="8" spans="2:30">
      <c r="B8" t="s">
        <v>822</v>
      </c>
      <c r="D8">
        <f>SUM(H24:H33)</f>
        <v>171</v>
      </c>
      <c r="E8" t="s">
        <v>298</v>
      </c>
      <c r="F8">
        <f>Summary!C78</f>
        <v>0.8</v>
      </c>
      <c r="AD8" s="89"/>
    </row>
    <row r="9" spans="2:30">
      <c r="B9" t="s">
        <v>823</v>
      </c>
      <c r="D9">
        <f>SUM(I24:I33)</f>
        <v>166</v>
      </c>
      <c r="AD9" s="89"/>
    </row>
    <row r="11" spans="2:30">
      <c r="B11" s="27" t="s">
        <v>516</v>
      </c>
      <c r="C11" s="28"/>
      <c r="D11" s="109">
        <f>P56</f>
        <v>6.8903815986842352</v>
      </c>
      <c r="E11" s="110" t="s">
        <v>1513</v>
      </c>
      <c r="F11" s="103"/>
    </row>
    <row r="12" spans="2:30">
      <c r="B12" s="30" t="s">
        <v>826</v>
      </c>
      <c r="C12" s="31"/>
      <c r="D12" s="112">
        <f>P58</f>
        <v>0</v>
      </c>
      <c r="E12" s="31"/>
      <c r="F12" s="105"/>
    </row>
    <row r="13" spans="2:30">
      <c r="B13" s="35" t="s">
        <v>825</v>
      </c>
      <c r="C13" s="36"/>
      <c r="D13" s="113">
        <f>P57</f>
        <v>0.4403819578971343</v>
      </c>
      <c r="E13" s="111" t="s">
        <v>825</v>
      </c>
      <c r="F13" s="115">
        <f>Q65</f>
        <v>0.74578989616896729</v>
      </c>
    </row>
    <row r="15" spans="2:30">
      <c r="B15" s="39" t="s">
        <v>879</v>
      </c>
      <c r="C15" s="40"/>
      <c r="D15" s="41">
        <f>AH58</f>
        <v>-7.8925748750629993E-2</v>
      </c>
      <c r="E15" s="116"/>
    </row>
    <row r="16" spans="2:30">
      <c r="B16" s="43" t="s">
        <v>1165</v>
      </c>
      <c r="C16" s="31"/>
      <c r="D16" s="33">
        <f>AH58-AH60</f>
        <v>-0.29979254518461929</v>
      </c>
      <c r="E16" s="117">
        <f>AH58+AH59</f>
        <v>0.14194104768335927</v>
      </c>
    </row>
    <row r="17" spans="1:65">
      <c r="B17" s="45" t="s">
        <v>1166</v>
      </c>
      <c r="C17" s="46"/>
      <c r="D17" s="123">
        <f>M59</f>
        <v>0.48367933598077606</v>
      </c>
      <c r="E17" s="118"/>
    </row>
    <row r="18" spans="1:65">
      <c r="D18" s="48"/>
      <c r="F18" s="49"/>
    </row>
    <row r="19" spans="1:65">
      <c r="B19" s="50" t="s">
        <v>1167</v>
      </c>
      <c r="C19" s="51"/>
      <c r="D19" s="52">
        <f>AH62</f>
        <v>-7.8925748750629993E-2</v>
      </c>
      <c r="E19" s="120"/>
      <c r="F19" s="33"/>
      <c r="G19" s="31"/>
    </row>
    <row r="20" spans="1:65">
      <c r="B20" s="53" t="s">
        <v>1165</v>
      </c>
      <c r="C20" s="31"/>
      <c r="D20" s="33">
        <f>AH62-AH64</f>
        <v>-0.29979254518461929</v>
      </c>
      <c r="E20" s="121">
        <f>AH62+AH63</f>
        <v>0.14194104768335927</v>
      </c>
      <c r="F20" s="31"/>
      <c r="G20" s="31"/>
    </row>
    <row r="21" spans="1:65">
      <c r="B21" s="54" t="s">
        <v>1440</v>
      </c>
      <c r="C21" s="55"/>
      <c r="D21" s="114">
        <f>M70</f>
        <v>0.48367933598077606</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12271802</v>
      </c>
      <c r="C24" s="1" t="str">
        <f>IF($B24="","",HYPERLINK(IF(LEN(VLOOKUP($B24,Database!$B$1:$IX$10144,2,FALSE))=0,"",VLOOKUP($B24,Database!$B$1:$IX$10144,2,FALSE))))</f>
        <v/>
      </c>
      <c r="D24" s="1" t="str">
        <f t="shared" ref="D24:D35" si="0">IF($B24="","",HYPERLINK(CONCATENATE("http://www.ncbi.nlm.nih.gov/pubmed/",B24)))</f>
        <v>http://www.ncbi.nlm.nih.gov/pubmed/12271802</v>
      </c>
      <c r="E24" s="22" t="str">
        <f>IF($B24="","",IF(LEN(VLOOKUP($B24,Database!$B$1:$IX$10144,4,FALSE))=0,"",VLOOKUP($B24,Database!$B$1:$IX$10144,4,FALSE)))</f>
        <v>Salokangas RK</v>
      </c>
      <c r="F24" s="22">
        <f>IF($B24="","",IF(LEN(VLOOKUP($B24,Database!$B$1:$IX$10144,5,FALSE))=0,"",VLOOKUP($B24,Database!$B$1:$IX$10144,5,FALSE)))</f>
        <v>2002</v>
      </c>
      <c r="G24" s="1" t="str">
        <f>IF($B24="","",HYPERLINK(IF(LEN(VLOOKUP($B24,Database!$B$1:$IX$10144,6,FALSE))=0,"",VLOOKUP($B24,Database!$B$1:$IX$10144,6,FALSE))))</f>
        <v>http://bjp.rcpsych.org/cgi/reprint/181/43/s58</v>
      </c>
      <c r="H24" s="83">
        <v>20</v>
      </c>
      <c r="I24" s="83">
        <v>9.5</v>
      </c>
      <c r="J24" t="s">
        <v>123</v>
      </c>
      <c r="K24" t="s">
        <v>716</v>
      </c>
      <c r="L24">
        <v>57.69</v>
      </c>
      <c r="M24">
        <v>7.75</v>
      </c>
      <c r="N24">
        <v>61.55</v>
      </c>
      <c r="O24">
        <v>8.59</v>
      </c>
      <c r="P24">
        <v>57.91</v>
      </c>
      <c r="Q24">
        <v>6.96</v>
      </c>
      <c r="R24">
        <v>61.49</v>
      </c>
      <c r="S24">
        <v>9.25</v>
      </c>
      <c r="T24">
        <v>115.6</v>
      </c>
      <c r="U24">
        <v>14.26</v>
      </c>
      <c r="V24">
        <v>123.04</v>
      </c>
      <c r="W24">
        <v>17.670000000000002</v>
      </c>
      <c r="Y24" s="22" t="str">
        <f>IF(OR($B24="",Y$22=""),"",IF(LEN(VLOOKUP($B24,Database!$B$1:$IX$10144,Y$22,FALSE))=0,"",VLOOKUP($B24,Database!$B$1:$IX$10144,Y$22,FALSE)))</f>
        <v>DSM-IV</v>
      </c>
      <c r="Z24" s="22" t="str">
        <f>IF(OR($B24="",Z$22=""),"",IF(LEN(VLOOKUP($B24,Database!$B$1:$IX$10144,Z$22,FALSE))=0,"",VLOOKUP($B24,Database!$B$1:$IX$10144,Z$22,FALSE)))</f>
        <v>MRI</v>
      </c>
      <c r="AA24" s="214" t="s">
        <v>754</v>
      </c>
      <c r="AB24" s="214">
        <v>34</v>
      </c>
      <c r="AC24" s="214">
        <v>9.8000000000000007</v>
      </c>
      <c r="AD24" s="22">
        <f>IF(OR($B24="",AD$22=""),"",IF(LEN(VLOOKUP($B24,Database!$B$1:$IX$10144,AD$22,FALSE))=0,"",VLOOKUP($B24,Database!$B$1:$IX$10144,AD$22,FALSE)))</f>
        <v>30.5</v>
      </c>
      <c r="AE24" s="22">
        <f>IF(OR($B24="",AE$22=""),"",IF(LEN(VLOOKUP($B24,Database!$B$1:$IX$10144,AE$22,FALSE))=0,"",VLOOKUP($B24,Database!$B$1:$IX$10144,AE$22,FALSE)))</f>
        <v>8.4</v>
      </c>
      <c r="AF24" s="214">
        <v>12</v>
      </c>
      <c r="AG24" s="22">
        <f>IF(OR($B24="",AG$22=""),"",IF(LEN(VLOOKUP($B24,Database!$B$1:$IX$10144,AG$22,FALSE))=0,"",VLOOKUP($B24,Database!$B$1:$IX$10144,AG$22,FALSE)))</f>
        <v>7</v>
      </c>
      <c r="AH24" s="22">
        <f>IF(OR($B24="",AH$22=""),"",IF(LEN(VLOOKUP($B24,Database!$B$1:$IX$10144,AH$22,FALSE))=0,"",VLOOKUP($B24,Database!$B$1:$IX$10144,AH$22,FALSE)))</f>
        <v>1.5</v>
      </c>
      <c r="AI24" s="22">
        <f>IF(OR($B24="",AI$22=""),"",IF(LEN(VLOOKUP($B24,Database!$B$1:$IX$10144,AI$22,FALSE))=0,"",VLOOKUP($B24,Database!$B$1:$IX$10144,AI$22,FALSE)))</f>
        <v>5.4</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Salokangas RK, Cannon T, Van Erp T, Ilonen T, Taiminen T, Karlsson H, Lauerma H, Leinonen KM, Wallenius E, Kaljonen A, Syvalahti E, Vilkman H, Alanen A, Hietala J.</v>
      </c>
      <c r="AR24" s="13"/>
      <c r="AX24" s="13"/>
      <c r="AY24" s="13"/>
      <c r="AZ24" s="13"/>
      <c r="BA24" s="13"/>
      <c r="BC24" s="23"/>
      <c r="BF24" s="136"/>
      <c r="BG24" s="136"/>
      <c r="BH24" s="136"/>
      <c r="BI24" s="136"/>
    </row>
    <row r="25" spans="1:65">
      <c r="B25">
        <v>12271802</v>
      </c>
      <c r="C25" s="1" t="str">
        <f>IF($B25="","",HYPERLINK(IF(LEN(VLOOKUP($B25,Database!$B$1:$IX$10144,2,FALSE))=0,"",VLOOKUP($B25,Database!$B$1:$IX$10144,2,FALSE))))</f>
        <v/>
      </c>
      <c r="D25" s="1" t="str">
        <f t="shared" si="0"/>
        <v>http://www.ncbi.nlm.nih.gov/pubmed/12271802</v>
      </c>
      <c r="E25" s="22" t="str">
        <f>IF($B25="","",IF(LEN(VLOOKUP($B25,Database!$B$1:$IX$10144,4,FALSE))=0,"",VLOOKUP($B25,Database!$B$1:$IX$10144,4,FALSE)))</f>
        <v>Salokangas RK</v>
      </c>
      <c r="F25" s="22">
        <f>IF($B25="","",IF(LEN(VLOOKUP($B25,Database!$B$1:$IX$10144,5,FALSE))=0,"",VLOOKUP($B25,Database!$B$1:$IX$10144,5,FALSE)))</f>
        <v>2002</v>
      </c>
      <c r="G25" s="1" t="str">
        <f>IF($B25="","",HYPERLINK(IF(LEN(VLOOKUP($B25,Database!$B$1:$IX$10144,6,FALSE))=0,"",VLOOKUP($B25,Database!$B$1:$IX$10144,6,FALSE))))</f>
        <v>http://bjp.rcpsych.org/cgi/reprint/181/43/s58</v>
      </c>
      <c r="H25" s="83">
        <v>17</v>
      </c>
      <c r="I25" s="83">
        <v>9.5</v>
      </c>
      <c r="J25" t="s">
        <v>123</v>
      </c>
      <c r="K25" t="s">
        <v>717</v>
      </c>
      <c r="L25">
        <v>59.18</v>
      </c>
      <c r="M25">
        <v>9.81</v>
      </c>
      <c r="N25">
        <v>61.55</v>
      </c>
      <c r="O25">
        <v>8.59</v>
      </c>
      <c r="P25">
        <v>60.75</v>
      </c>
      <c r="Q25">
        <v>10.34</v>
      </c>
      <c r="R25">
        <v>61.49</v>
      </c>
      <c r="S25">
        <v>9.25</v>
      </c>
      <c r="T25">
        <v>119.93</v>
      </c>
      <c r="U25">
        <v>20.03</v>
      </c>
      <c r="V25">
        <v>123.04</v>
      </c>
      <c r="W25">
        <v>17.670000000000002</v>
      </c>
      <c r="Y25" s="22" t="str">
        <f>IF(OR($B25="",Y$22=""),"",IF(LEN(VLOOKUP($B25,Database!$B$1:$IX$10144,Y$22,FALSE))=0,"",VLOOKUP($B25,Database!$B$1:$IX$10144,Y$22,FALSE)))</f>
        <v>DSM-IV</v>
      </c>
      <c r="Z25" s="22" t="str">
        <f>IF(OR($B25="",Z$22=""),"",IF(LEN(VLOOKUP($B25,Database!$B$1:$IX$10144,Z$22,FALSE))=0,"",VLOOKUP($B25,Database!$B$1:$IX$10144,Z$22,FALSE)))</f>
        <v>MRI</v>
      </c>
      <c r="AA25" s="214" t="s">
        <v>755</v>
      </c>
      <c r="AB25" s="214">
        <v>38.4</v>
      </c>
      <c r="AC25" s="214">
        <v>12</v>
      </c>
      <c r="AD25" s="22">
        <f>IF(OR($B25="",AD$22=""),"",IF(LEN(VLOOKUP($B25,Database!$B$1:$IX$10144,AD$22,FALSE))=0,"",VLOOKUP($B25,Database!$B$1:$IX$10144,AD$22,FALSE)))</f>
        <v>30.5</v>
      </c>
      <c r="AE25" s="22">
        <f>IF(OR($B25="",AE$22=""),"",IF(LEN(VLOOKUP($B25,Database!$B$1:$IX$10144,AE$22,FALSE))=0,"",VLOOKUP($B25,Database!$B$1:$IX$10144,AE$22,FALSE)))</f>
        <v>8.4</v>
      </c>
      <c r="AF25" s="214">
        <v>9</v>
      </c>
      <c r="AG25" s="22">
        <f>IF(OR($B25="",AG$22=""),"",IF(LEN(VLOOKUP($B25,Database!$B$1:$IX$10144,AG$22,FALSE))=0,"",VLOOKUP($B25,Database!$B$1:$IX$10144,AG$22,FALSE)))</f>
        <v>7</v>
      </c>
      <c r="AH25" s="22">
        <f>IF(OR($B25="",AH$22=""),"",IF(LEN(VLOOKUP($B25,Database!$B$1:$IX$10144,AH$22,FALSE))=0,"",VLOOKUP($B25,Database!$B$1:$IX$10144,AH$22,FALSE)))</f>
        <v>1.5</v>
      </c>
      <c r="AI25" s="22">
        <f>IF(OR($B25="",AI$22=""),"",IF(LEN(VLOOKUP($B25,Database!$B$1:$IX$10144,AI$22,FALSE))=0,"",VLOOKUP($B25,Database!$B$1:$IX$10144,AI$22,FALSE)))</f>
        <v>5.4</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Salokangas RK, Cannon T, Van Erp T, Ilonen T, Taiminen T, Karlsson H, Lauerma H, Leinonen KM, Wallenius E, Kaljonen A, Syvalahti E, Vilkman H, Alanen A, Hietala J.</v>
      </c>
      <c r="AR25" s="13"/>
      <c r="AX25" s="13"/>
      <c r="AY25" s="13"/>
      <c r="AZ25" s="13"/>
      <c r="BA25" s="13"/>
      <c r="BC25" s="23"/>
      <c r="BF25" s="136"/>
      <c r="BG25" s="136"/>
      <c r="BH25" s="136"/>
      <c r="BI25" s="136"/>
    </row>
    <row r="26" spans="1:65">
      <c r="B26">
        <v>12242057</v>
      </c>
      <c r="C26" s="1" t="str">
        <f>IF($B26="","",HYPERLINK(IF(LEN(VLOOKUP($B26,Database!$B$1:$IX$10144,2,FALSE))=0,"",VLOOKUP($B26,Database!$B$1:$IX$10144,2,FALSE))))</f>
        <v/>
      </c>
      <c r="D26" s="1" t="str">
        <f t="shared" si="0"/>
        <v>http://www.ncbi.nlm.nih.gov/pubmed/12242057</v>
      </c>
      <c r="E26" s="22" t="str">
        <f>IF($B26="","",IF(LEN(VLOOKUP($B26,Database!$B$1:$IX$10144,4,FALSE))=0,"",VLOOKUP($B26,Database!$B$1:$IX$10144,4,FALSE)))</f>
        <v>Steingard RJ</v>
      </c>
      <c r="F26" s="22">
        <f>IF($B26="","",IF(LEN(VLOOKUP($B26,Database!$B$1:$IX$10144,5,FALSE))=0,"",VLOOKUP($B26,Database!$B$1:$IX$10144,5,FALSE)))</f>
        <v>2002</v>
      </c>
      <c r="G26" s="1" t="str">
        <f>IF($B26="","",HYPERLINK(IF(LEN(VLOOKUP($B26,Database!$B$1:$IX$10144,6,FALSE))=0,"",VLOOKUP($B26,Database!$B$1:$IX$10144,6,FALSE))))</f>
        <v>http://dx.doi.org/10.1016/S0006-3223(02)01393-8</v>
      </c>
      <c r="H26" s="83">
        <v>18</v>
      </c>
      <c r="I26" s="83">
        <v>37</v>
      </c>
      <c r="J26" t="s">
        <v>719</v>
      </c>
      <c r="K26" t="s">
        <v>718</v>
      </c>
      <c r="T26">
        <v>97.5</v>
      </c>
      <c r="U26">
        <v>15.7</v>
      </c>
      <c r="V26">
        <v>90.2</v>
      </c>
      <c r="W26">
        <v>23.8</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15.4</v>
      </c>
      <c r="AC26" s="22">
        <f>IF(OR($B26="",AC$22=""),"",IF(LEN(VLOOKUP($B26,Database!$B$1:$IX$10144,AC$22,FALSE))=0,"",VLOOKUP($B26,Database!$B$1:$IX$10144,AC$22,FALSE)))</f>
        <v>1.9</v>
      </c>
      <c r="AD26" s="22">
        <f>IF(OR($B26="",AD$22=""),"",IF(LEN(VLOOKUP($B26,Database!$B$1:$IX$10144,AD$22,FALSE))=0,"",VLOOKUP($B26,Database!$B$1:$IX$10144,AD$22,FALSE)))</f>
        <v>14.6</v>
      </c>
      <c r="AE26" s="22">
        <f>IF(OR($B26="",AE$22=""),"",IF(LEN(VLOOKUP($B26,Database!$B$1:$IX$10144,AE$22,FALSE))=0,"",VLOOKUP($B26,Database!$B$1:$IX$10144,AE$22,FALSE)))</f>
        <v>1.5</v>
      </c>
      <c r="AF26" s="22">
        <f>IF(OR($B26="",AF$22=""),"",IF(LEN(VLOOKUP($B26,Database!$B$1:$IX$10144,AF$22,FALSE))=0,"",VLOOKUP($B26,Database!$B$1:$IX$10144,AF$22,FALSE)))</f>
        <v>16</v>
      </c>
      <c r="AG26" s="22">
        <f>IF(OR($B26="",AG$22=""),"",IF(LEN(VLOOKUP($B26,Database!$B$1:$IX$10144,AG$22,FALSE))=0,"",VLOOKUP($B26,Database!$B$1:$IX$10144,AG$22,FALSE)))</f>
        <v>25</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17.3</v>
      </c>
      <c r="AM26" s="22">
        <f>IF(OR($B26="",AM$22=""),"",IF(LEN(VLOOKUP($B26,Database!$B$1:$IX$10144,AM$22,FALSE))=0,"",VLOOKUP($B26,Database!$B$1:$IX$10144,AM$22,FALSE)))</f>
        <v>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100</v>
      </c>
      <c r="AQ26" s="22" t="str">
        <f>IF(OR($B26="",AQ$22=""),"",IF(LEN(VLOOKUP($B26,Database!$B$1:$IX$10144,AQ$22,FALSE))=0,"",VLOOKUP($B26,Database!$B$1:$IX$10144,AQ$22,FALSE)))</f>
        <v>Steingard RJ, Renshaw PF, Hennen J, Lenox M, Cintron CB, Young AD, Connor DF, Au TH, Yurgelun-Todd DA.</v>
      </c>
      <c r="AR26" s="13"/>
      <c r="AX26" s="13"/>
      <c r="AY26" s="13"/>
      <c r="AZ26" s="13"/>
      <c r="BA26" s="13"/>
      <c r="BC26" s="23"/>
      <c r="BF26" s="136"/>
      <c r="BG26" s="136"/>
      <c r="BH26" s="136"/>
      <c r="BI26" s="136"/>
    </row>
    <row r="27" spans="1:65">
      <c r="B27">
        <v>16086609</v>
      </c>
      <c r="C27" s="1" t="str">
        <f>IF($B27="","",HYPERLINK(IF(LEN(VLOOKUP($B27,Database!$B$1:$IX$10144,2,FALSE))=0,"",VLOOKUP($B27,Database!$B$1:$IX$10144,2,FALSE))))</f>
        <v/>
      </c>
      <c r="D27" s="1" t="str">
        <f t="shared" si="0"/>
        <v>http://www.ncbi.nlm.nih.gov/pubmed/16086609</v>
      </c>
      <c r="E27" s="22" t="str">
        <f>IF($B27="","",IF(LEN(VLOOKUP($B27,Database!$B$1:$IX$10144,4,FALSE))=0,"",VLOOKUP($B27,Database!$B$1:$IX$10144,4,FALSE)))</f>
        <v>Lavretsky H</v>
      </c>
      <c r="F27" s="22">
        <f>IF($B27="","",IF(LEN(VLOOKUP($B27,Database!$B$1:$IX$10144,5,FALSE))=0,"",VLOOKUP($B27,Database!$B$1:$IX$10144,5,FALSE)))</f>
        <v>2005</v>
      </c>
      <c r="G27" s="1" t="str">
        <f>IF($B27="","",HYPERLINK(IF(LEN(VLOOKUP($B27,Database!$B$1:$IX$10144,6,FALSE))=0,"",VLOOKUP($B27,Database!$B$1:$IX$10144,6,FALSE))))</f>
        <v>http://www.psychiatrist.com/privatepdf/2005/v66n08/v66n0801.pdf</v>
      </c>
      <c r="H27" s="83">
        <v>11</v>
      </c>
      <c r="I27" s="83">
        <v>20.5</v>
      </c>
      <c r="J27" t="s">
        <v>1247</v>
      </c>
      <c r="K27" t="s">
        <v>1245</v>
      </c>
      <c r="L27">
        <v>6.8000000000000005E-2</v>
      </c>
      <c r="M27">
        <v>4.0000000000000001E-3</v>
      </c>
      <c r="N27">
        <v>6.6000000000000003E-2</v>
      </c>
      <c r="O27">
        <v>6.0000000000000001E-3</v>
      </c>
      <c r="P27">
        <v>6.7000000000000004E-2</v>
      </c>
      <c r="Q27">
        <v>4.0000000000000001E-3</v>
      </c>
      <c r="R27">
        <v>6.5000000000000002E-2</v>
      </c>
      <c r="S27">
        <v>6.0000000000000001E-3</v>
      </c>
      <c r="T27">
        <v>0.13500000000000001</v>
      </c>
      <c r="U27">
        <v>1.2999999999999999E-2</v>
      </c>
      <c r="V27">
        <v>0.13100000000000001</v>
      </c>
      <c r="W27">
        <v>7.1999999999999998E-3</v>
      </c>
      <c r="Y27" s="22" t="str">
        <f>IF(OR($B27="",Y$22=""),"",IF(LEN(VLOOKUP($B27,Database!$B$1:$IX$10144,Y$22,FALSE))=0,"",VLOOKUP($B27,Database!$B$1:$IX$10144,Y$22,FALSE)))</f>
        <v>DSM-IV</v>
      </c>
      <c r="Z27" s="22" t="str">
        <f>IF(OR($B27="",Z$22=""),"",IF(LEN(VLOOKUP($B27,Database!$B$1:$IX$10144,Z$22,FALSE))=0,"",VLOOKUP($B27,Database!$B$1:$IX$10144,Z$22,FALSE)))</f>
        <v>MRI</v>
      </c>
      <c r="AA27" s="214" t="s">
        <v>2455</v>
      </c>
      <c r="AB27" s="214">
        <v>67.400000000000006</v>
      </c>
      <c r="AC27" s="214">
        <v>6.1</v>
      </c>
      <c r="AD27" s="22">
        <f>IF(OR($B27="",AD$22=""),"",IF(LEN(VLOOKUP($B27,Database!$B$1:$IX$10144,AD$22,FALSE))=0,"",VLOOKUP($B27,Database!$B$1:$IX$10144,AD$22,FALSE)))</f>
        <v>72.2</v>
      </c>
      <c r="AE27" s="22">
        <f>IF(OR($B27="",AE$22=""),"",IF(LEN(VLOOKUP($B27,Database!$B$1:$IX$10144,AE$22,FALSE))=0,"",VLOOKUP($B27,Database!$B$1:$IX$10144,AE$22,FALSE)))</f>
        <v>7.3</v>
      </c>
      <c r="AF27" s="214">
        <v>7</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14">
        <v>36.4</v>
      </c>
      <c r="AL27" s="214">
        <v>17.7</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Lavretsky H, Roybal DJ, Ballmaier M, Toga AW, Kumar A.</v>
      </c>
      <c r="AR27" s="13"/>
      <c r="AX27" s="13"/>
      <c r="AY27" s="13"/>
      <c r="AZ27" s="13"/>
      <c r="BA27" s="13"/>
      <c r="BC27" s="23"/>
      <c r="BF27" s="136"/>
      <c r="BG27" s="136"/>
      <c r="BH27" s="136"/>
      <c r="BI27" s="136"/>
    </row>
    <row r="28" spans="1:65">
      <c r="B28">
        <v>16086609</v>
      </c>
      <c r="C28" s="1" t="str">
        <f>IF($B28="","",HYPERLINK(IF(LEN(VLOOKUP($B28,Database!$B$1:$IX$10144,2,FALSE))=0,"",VLOOKUP($B28,Database!$B$1:$IX$10144,2,FALSE))))</f>
        <v/>
      </c>
      <c r="D28" s="1" t="str">
        <f t="shared" si="0"/>
        <v>http://www.ncbi.nlm.nih.gov/pubmed/16086609</v>
      </c>
      <c r="E28" s="22" t="str">
        <f>IF($B28="","",IF(LEN(VLOOKUP($B28,Database!$B$1:$IX$10144,4,FALSE))=0,"",VLOOKUP($B28,Database!$B$1:$IX$10144,4,FALSE)))</f>
        <v>Lavretsky H</v>
      </c>
      <c r="F28" s="22">
        <f>IF($B28="","",IF(LEN(VLOOKUP($B28,Database!$B$1:$IX$10144,5,FALSE))=0,"",VLOOKUP($B28,Database!$B$1:$IX$10144,5,FALSE)))</f>
        <v>2005</v>
      </c>
      <c r="G28" s="1" t="str">
        <f>IF($B28="","",HYPERLINK(IF(LEN(VLOOKUP($B28,Database!$B$1:$IX$10144,6,FALSE))=0,"",VLOOKUP($B28,Database!$B$1:$IX$10144,6,FALSE))))</f>
        <v>http://www.psychiatrist.com/privatepdf/2005/v66n08/v66n0801.pdf</v>
      </c>
      <c r="H28" s="83">
        <v>30</v>
      </c>
      <c r="I28" s="83">
        <v>20.5</v>
      </c>
      <c r="J28" t="s">
        <v>1247</v>
      </c>
      <c r="K28" t="s">
        <v>231</v>
      </c>
      <c r="L28">
        <v>6.5000000000000002E-2</v>
      </c>
      <c r="M28">
        <v>5.0000000000000001E-3</v>
      </c>
      <c r="N28">
        <v>6.6000000000000003E-2</v>
      </c>
      <c r="O28">
        <v>6.0000000000000001E-3</v>
      </c>
      <c r="P28">
        <v>6.5000000000000002E-2</v>
      </c>
      <c r="Q28">
        <v>5.0000000000000001E-3</v>
      </c>
      <c r="R28">
        <v>6.5000000000000002E-2</v>
      </c>
      <c r="S28">
        <v>6.0000000000000001E-3</v>
      </c>
      <c r="T28">
        <v>0.13</v>
      </c>
      <c r="U28">
        <v>0.01</v>
      </c>
      <c r="V28">
        <v>0.13100000000000001</v>
      </c>
      <c r="W28">
        <v>7.1999999999999998E-3</v>
      </c>
      <c r="Y28" s="22" t="str">
        <f>IF(OR($B28="",Y$22=""),"",IF(LEN(VLOOKUP($B28,Database!$B$1:$IX$10144,Y$22,FALSE))=0,"",VLOOKUP($B28,Database!$B$1:$IX$10144,Y$22,FALSE)))</f>
        <v>DSM-IV</v>
      </c>
      <c r="Z28" s="22" t="str">
        <f>IF(OR($B28="",Z$22=""),"",IF(LEN(VLOOKUP($B28,Database!$B$1:$IX$10144,Z$22,FALSE))=0,"",VLOOKUP($B28,Database!$B$1:$IX$10144,Z$22,FALSE)))</f>
        <v>MRI</v>
      </c>
      <c r="AA28" s="214" t="s">
        <v>2456</v>
      </c>
      <c r="AB28" s="214">
        <v>71.7</v>
      </c>
      <c r="AC28" s="214">
        <v>7.8</v>
      </c>
      <c r="AD28" s="22">
        <f>IF(OR($B28="",AD$22=""),"",IF(LEN(VLOOKUP($B28,Database!$B$1:$IX$10144,AD$22,FALSE))=0,"",VLOOKUP($B28,Database!$B$1:$IX$10144,AD$22,FALSE)))</f>
        <v>72.2</v>
      </c>
      <c r="AE28" s="22">
        <f>IF(OR($B28="",AE$22=""),"",IF(LEN(VLOOKUP($B28,Database!$B$1:$IX$10144,AE$22,FALSE))=0,"",VLOOKUP($B28,Database!$B$1:$IX$10144,AE$22,FALSE)))</f>
        <v>7.3</v>
      </c>
      <c r="AF28" s="214">
        <v>25</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14">
        <v>52.5</v>
      </c>
      <c r="AL28" s="214">
        <v>17.7</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Roybal DJ, Ballmaier M, Toga AW, Kumar A.</v>
      </c>
      <c r="AR28" s="13"/>
      <c r="AX28" s="13"/>
      <c r="AY28" s="13"/>
      <c r="AZ28" s="13"/>
      <c r="BA28" s="13"/>
      <c r="BC28" s="23"/>
      <c r="BF28" s="136"/>
      <c r="BG28" s="136"/>
      <c r="BH28" s="136"/>
      <c r="BI28" s="136"/>
    </row>
    <row r="29" spans="1:65">
      <c r="C29" s="1"/>
      <c r="D29" s="1"/>
      <c r="E29" s="22"/>
      <c r="F29" s="22"/>
      <c r="G29" s="1"/>
      <c r="H29" s="83"/>
      <c r="I29" s="83"/>
      <c r="Y29" s="22"/>
      <c r="Z29" s="22"/>
      <c r="AA29" s="22"/>
      <c r="AB29" s="22"/>
      <c r="AC29" s="22"/>
      <c r="AD29" s="22"/>
      <c r="AE29" s="22"/>
      <c r="AF29" s="22"/>
      <c r="AG29" s="22"/>
      <c r="AH29" s="22"/>
      <c r="AI29" s="22"/>
      <c r="AJ29" s="22"/>
      <c r="AK29" s="22"/>
      <c r="AL29" s="22"/>
      <c r="AM29" s="22"/>
      <c r="AN29" s="22"/>
      <c r="AO29" s="22"/>
      <c r="AP29" s="22"/>
      <c r="AQ29" s="22"/>
      <c r="AR29" s="13"/>
      <c r="AX29" s="13"/>
      <c r="AY29" s="13"/>
      <c r="AZ29" s="13"/>
      <c r="BA29" s="13"/>
      <c r="BC29" s="23"/>
      <c r="BF29" s="136"/>
      <c r="BG29" s="136"/>
      <c r="BH29" s="136"/>
      <c r="BI29" s="136"/>
    </row>
    <row r="30" spans="1:65">
      <c r="A30" s="4" t="s">
        <v>397</v>
      </c>
      <c r="C30" s="1"/>
      <c r="D30" s="1"/>
      <c r="E30" s="22"/>
      <c r="F30" s="22"/>
      <c r="G30" s="1"/>
      <c r="H30" s="83"/>
      <c r="I30" s="83"/>
      <c r="Y30" s="22"/>
      <c r="Z30" s="22"/>
      <c r="AA30" s="22"/>
      <c r="AB30" s="22"/>
      <c r="AC30" s="22"/>
      <c r="AD30" s="22"/>
      <c r="AE30" s="22"/>
      <c r="AF30" s="22"/>
      <c r="AG30" s="22"/>
      <c r="AH30" s="22"/>
      <c r="AI30" s="22"/>
      <c r="AJ30" s="22"/>
      <c r="AK30" s="22"/>
      <c r="AL30" s="22"/>
      <c r="AM30" s="22"/>
      <c r="AN30" s="22"/>
      <c r="AO30" s="22"/>
      <c r="AP30" s="22"/>
      <c r="AQ30" s="22"/>
      <c r="AR30" s="13"/>
      <c r="AX30" s="13"/>
      <c r="AY30" s="13"/>
      <c r="AZ30" s="13"/>
      <c r="BA30" s="13"/>
      <c r="BC30" s="23"/>
      <c r="BF30" s="136"/>
      <c r="BG30" s="136"/>
      <c r="BH30" s="136"/>
      <c r="BI30" s="136"/>
    </row>
    <row r="31" spans="1:65">
      <c r="B31">
        <v>9089060</v>
      </c>
      <c r="C31" s="1" t="str">
        <f>IF($B31="","",HYPERLINK(IF(LEN(VLOOKUP($B31,Database!$B$1:$IX$10144,2,FALSE))=0,"",VLOOKUP($B31,Database!$B$1:$IX$10144,2,FALSE))))</f>
        <v/>
      </c>
      <c r="D31" s="1" t="str">
        <f>IF($B31="","",HYPERLINK(CONCATENATE("http://www.ncbi.nlm.nih.gov/pubmed/",B31)))</f>
        <v>http://www.ncbi.nlm.nih.gov/pubmed/9089060</v>
      </c>
      <c r="E31" s="22" t="str">
        <f>IF($B31="","",IF(LEN(VLOOKUP($B31,Database!$B$1:$IX$10144,4,FALSE))=0,"",VLOOKUP($B31,Database!$B$1:$IX$10144,4,FALSE)))</f>
        <v>Pantel J</v>
      </c>
      <c r="F31" s="22">
        <f>IF($B31="","",IF(LEN(VLOOKUP($B31,Database!$B$1:$IX$10144,5,FALSE))=0,"",VLOOKUP($B31,Database!$B$1:$IX$10144,5,FALSE)))</f>
        <v>1997</v>
      </c>
      <c r="G31" s="1" t="str">
        <f>IF($B31="","",HYPERLINK(IF(LEN(VLOOKUP($B31,Database!$B$1:$IX$10144,6,FALSE))=0,"",VLOOKUP($B31,Database!$B$1:$IX$10144,6,FALSE))))</f>
        <v>http://dx.doi.org/10.1016/S0165-0327(96)00105-X</v>
      </c>
      <c r="H31" s="22">
        <f>IF($B31="","",IF(LEN(VLOOKUP($B31,Database!$B$1:$IX$10144,7,FALSE))=0,"",VLOOKUP($B31,Database!$B$1:$IX$10144,7,FALSE)))</f>
        <v>19</v>
      </c>
      <c r="I31" s="22">
        <f>IF($B31="","",IF(LEN(VLOOKUP($B31,Database!$B$1:$IX$10144,8,FALSE))=0,"",VLOOKUP($B31,Database!$B$1:$IX$10144,8,FALSE)))</f>
        <v>13</v>
      </c>
      <c r="J31" t="s">
        <v>1058</v>
      </c>
      <c r="K31" s="10"/>
      <c r="L31">
        <v>51.52</v>
      </c>
      <c r="M31">
        <v>9.93</v>
      </c>
      <c r="N31">
        <v>53.68</v>
      </c>
      <c r="O31">
        <v>8.17</v>
      </c>
      <c r="P31">
        <v>51.16</v>
      </c>
      <c r="Q31">
        <v>9.4700000000000006</v>
      </c>
      <c r="R31">
        <v>52.39</v>
      </c>
      <c r="S31">
        <v>6.32</v>
      </c>
      <c r="T31">
        <f>L31+P31</f>
        <v>102.68</v>
      </c>
      <c r="U31">
        <f>2*SQRT(0.25*(M31^2+Q31^2+2*$F$8*M31*Q31))</f>
        <v>18.405030833986668</v>
      </c>
      <c r="V31">
        <f>N31+R31</f>
        <v>106.07</v>
      </c>
      <c r="W31">
        <f>2*SQRT(0.25*(O31^2+S31^2+2*$F$8*O31*S31))</f>
        <v>13.758864051948475</v>
      </c>
      <c r="Y31" s="22" t="str">
        <f>IF(OR($B31="",Y$22=""),"",IF(LEN(VLOOKUP($B31,Database!$B$1:$IX$10144,Y$22,FALSE))=0,"",VLOOKUP($B31,Database!$B$1:$IX$10144,Y$22,FALSE)))</f>
        <v>DSM-III-R</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72.400000000000006</v>
      </c>
      <c r="AC31" s="22">
        <f>IF(OR($B31="",AC$22=""),"",IF(LEN(VLOOKUP($B31,Database!$B$1:$IX$10144,AC$22,FALSE))=0,"",VLOOKUP($B31,Database!$B$1:$IX$10144,AC$22,FALSE)))</f>
        <v>8.8000000000000007</v>
      </c>
      <c r="AD31" s="22">
        <f>IF(OR($B31="",AD$22=""),"",IF(LEN(VLOOKUP($B31,Database!$B$1:$IX$10144,AD$22,FALSE))=0,"",VLOOKUP($B31,Database!$B$1:$IX$10144,AD$22,FALSE)))</f>
        <v>68.2</v>
      </c>
      <c r="AE31" s="22">
        <f>IF(OR($B31="",AE$22=""),"",IF(LEN(VLOOKUP($B31,Database!$B$1:$IX$10144,AE$22,FALSE))=0,"",VLOOKUP($B31,Database!$B$1:$IX$10144,AE$22,FALSE)))</f>
        <v>5.3</v>
      </c>
      <c r="AF31" s="22">
        <f>IF(OR($B31="",AF$22=""),"",IF(LEN(VLOOKUP($B31,Database!$B$1:$IX$10144,AF$22,FALSE))=0,"",VLOOKUP($B31,Database!$B$1:$IX$10144,AF$22,FALSE)))</f>
        <v>15</v>
      </c>
      <c r="AG31" s="22">
        <f>IF(OR($B31="",AG$22=""),"",IF(LEN(VLOOKUP($B31,Database!$B$1:$IX$10144,AG$22,FALSE))=0,"",VLOOKUP($B31,Database!$B$1:$IX$10144,AG$22,FALSE)))</f>
        <v>10</v>
      </c>
      <c r="AH31" s="22">
        <f>IF(OR($B31="",AH$22=""),"",IF(LEN(VLOOKUP($B31,Database!$B$1:$IX$10144,AH$22,FALSE))=0,"",VLOOKUP($B31,Database!$B$1:$IX$10144,AH$22,FALSE)))</f>
        <v>1.5</v>
      </c>
      <c r="AI31" s="22">
        <f>IF(OR($B31="",AI$22=""),"",IF(LEN(VLOOKUP($B31,Database!$B$1:$IX$10144,AI$22,FALSE))=0,"",VLOOKUP($B31,Database!$B$1:$IX$10144,AI$22,FALSE)))</f>
        <v>1.25</v>
      </c>
      <c r="AJ31" s="22" t="str">
        <f>IF(OR($B31="",AJ$22=""),"",IF(LEN(VLOOKUP($B31,Database!$B$1:$IX$10144,AJ$22,FALSE))=0,"",VLOOKUP($B31,Database!$B$1:$IX$10144,AJ$22,FALSE)))</f>
        <v/>
      </c>
      <c r="AK31" s="22">
        <f>IF(OR($B31="",AK$22=""),"",IF(LEN(VLOOKUP($B31,Database!$B$1:$IX$10144,AK$22,FALSE))=0,"",VLOOKUP($B31,Database!$B$1:$IX$10144,AK$22,FALSE)))</f>
        <v>64.2</v>
      </c>
      <c r="AL31" s="22">
        <f>IF(OR($B31="",AL$22=""),"",IF(LEN(VLOOKUP($B31,Database!$B$1:$IX$10144,AL$22,FALSE))=0,"",VLOOKUP($B31,Database!$B$1:$IX$10144,AL$22,FALSE)))</f>
        <v>26.7</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Pantel J, Schroder J, Essig M, Popp D, Dech H, Knopp MV, Schad LR, Eysenbach K, Backenstrass M, Friedlinger M.</v>
      </c>
      <c r="AR31" s="13"/>
      <c r="AX31" s="13"/>
      <c r="AY31" s="13"/>
      <c r="AZ31" s="13"/>
      <c r="BA31" s="13"/>
      <c r="BC31" s="23"/>
      <c r="BF31" s="136"/>
      <c r="BG31" s="136"/>
      <c r="BH31" s="136"/>
      <c r="BI31" s="136"/>
    </row>
    <row r="32" spans="1:65">
      <c r="B32">
        <v>11825139</v>
      </c>
      <c r="C32" s="1" t="str">
        <f>IF($B32="","",HYPERLINK(IF(LEN(VLOOKUP($B32,Database!$B$1:$IX$10144,2,FALSE))=0,"",VLOOKUP($B32,Database!$B$1:$IX$10144,2,FALSE))))</f>
        <v/>
      </c>
      <c r="D32" s="1" t="str">
        <f>IF($B32="","",HYPERLINK(CONCATENATE("http://www.ncbi.nlm.nih.gov/pubmed/",B32)))</f>
        <v>http://www.ncbi.nlm.nih.gov/pubmed/11825139</v>
      </c>
      <c r="E32" s="22" t="str">
        <f>IF($B32="","",IF(LEN(VLOOKUP($B32,Database!$B$1:$IX$10144,4,FALSE))=0,"",VLOOKUP($B32,Database!$B$1:$IX$10144,4,FALSE)))</f>
        <v>Nolan CL</v>
      </c>
      <c r="F32" s="22">
        <f>IF($B32="","",IF(LEN(VLOOKUP($B32,Database!$B$1:$IX$10144,5,FALSE))=0,"",VLOOKUP($B32,Database!$B$1:$IX$10144,5,FALSE)))</f>
        <v>2002</v>
      </c>
      <c r="G32" s="1" t="str">
        <f>IF($B32="","",HYPERLINK(IF(LEN(VLOOKUP($B32,Database!$B$1:$IX$10144,6,FALSE))=0,"",VLOOKUP($B32,Database!$B$1:$IX$10144,6,FALSE))))</f>
        <v>http://archpsyc.ama-assn.org/cgi/reprint/59/2/173</v>
      </c>
      <c r="H32" s="22">
        <f>IF($B32="","",IF(LEN(VLOOKUP($B32,Database!$B$1:$IX$10144,7,FALSE))=0,"",VLOOKUP($B32,Database!$B$1:$IX$10144,7,FALSE)))</f>
        <v>22</v>
      </c>
      <c r="I32" s="22">
        <f>IF($B32="","",IF(LEN(VLOOKUP($B32,Database!$B$1:$IX$10144,8,FALSE))=0,"",VLOOKUP($B32,Database!$B$1:$IX$10144,8,FALSE)))</f>
        <v>22</v>
      </c>
      <c r="J32" t="s">
        <v>450</v>
      </c>
      <c r="K32" t="s">
        <v>448</v>
      </c>
      <c r="L32">
        <v>50.4</v>
      </c>
      <c r="M32">
        <v>6.95</v>
      </c>
      <c r="N32">
        <v>50.35</v>
      </c>
      <c r="O32">
        <v>7.28</v>
      </c>
      <c r="P32">
        <v>52.36</v>
      </c>
      <c r="Q32">
        <v>6.38</v>
      </c>
      <c r="R32">
        <v>51.66</v>
      </c>
      <c r="S32">
        <v>8.06</v>
      </c>
      <c r="T32">
        <f>L32+P32</f>
        <v>102.75999999999999</v>
      </c>
      <c r="U32">
        <f>2*SQRT(0.25*(M32^2+Q32^2+2*$F$8*M32*Q32))</f>
        <v>12.647232898938803</v>
      </c>
      <c r="V32">
        <f>N32+R32</f>
        <v>102.00999999999999</v>
      </c>
      <c r="W32">
        <f>2*SQRT(0.25*(O32^2+S32^2+2*$F$8*O32*S32))</f>
        <v>14.554891961124275</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f>IF(OR($B32="",AF$22=""),"",IF(LEN(VLOOKUP($B32,Database!$B$1:$IX$10144,AF$22,FALSE))=0,"",VLOOKUP($B32,Database!$B$1:$IX$10144,AF$22,FALSE)))</f>
        <v>12</v>
      </c>
      <c r="AG32" s="22">
        <f>IF(OR($B32="",AG$22=""),"",IF(LEN(VLOOKUP($B32,Database!$B$1:$IX$10144,AG$22,FALSE))=0,"",VLOOKUP($B32,Database!$B$1:$IX$10144,AG$22,FALSE)))</f>
        <v>12</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12.18</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Nolan CL, Moore GJ, Madden R, Farchione T, Bartoi M, Lorch E, Stewart CM, Rosenberg DR.</v>
      </c>
      <c r="AR32" s="13"/>
      <c r="AX32" s="13"/>
      <c r="AY32" s="13"/>
      <c r="AZ32" s="13"/>
      <c r="BA32" s="13"/>
      <c r="BC32" s="23"/>
      <c r="BF32" s="136"/>
      <c r="BG32" s="136"/>
      <c r="BH32" s="136"/>
      <c r="BI32" s="136"/>
    </row>
    <row r="33" spans="1:61">
      <c r="B33">
        <v>16951734</v>
      </c>
      <c r="C33" s="1" t="str">
        <f>IF($B33="","",HYPERLINK(IF(LEN(VLOOKUP($B33,Database!$B$1:$IX$10144,2,FALSE))=0,"",VLOOKUP($B33,Database!$B$1:$IX$10144,2,FALSE))))</f>
        <v/>
      </c>
      <c r="D33" s="1" t="str">
        <f>IF($B33="","",HYPERLINK(CONCATENATE("http://www.ncbi.nlm.nih.gov/pubmed/",B33)))</f>
        <v>http://www.ncbi.nlm.nih.gov/pubmed/16951734</v>
      </c>
      <c r="E33" s="22" t="str">
        <f>IF($B33="","",IF(LEN(VLOOKUP($B33,Database!$B$1:$IX$10144,4,FALSE))=0,"",VLOOKUP($B33,Database!$B$1:$IX$10144,4,FALSE)))</f>
        <v>Frodl T</v>
      </c>
      <c r="F33" s="22">
        <f>IF($B33="","",IF(LEN(VLOOKUP($B33,Database!$B$1:$IX$10144,5,FALSE))=0,"",VLOOKUP($B33,Database!$B$1:$IX$10144,5,FALSE)))</f>
        <v>2006</v>
      </c>
      <c r="G33" s="1" t="str">
        <f>IF($B33="","",HYPERLINK(IF(LEN(VLOOKUP($B33,Database!$B$1:$IX$10144,6,FALSE))=0,"",VLOOKUP($B33,Database!$B$1:$IX$10144,6,FALSE))))</f>
        <v>http://www.cma.ca/multimedia/staticContent/HTML/N0/l2/jpn/vol-31/issue-5/pdf/pg316.pdf</v>
      </c>
      <c r="H33" s="22">
        <f>IF($B33="","",IF(LEN(VLOOKUP($B33,Database!$B$1:$IX$10144,7,FALSE))=0,"",VLOOKUP($B33,Database!$B$1:$IX$10144,7,FALSE)))</f>
        <v>34</v>
      </c>
      <c r="I33" s="22">
        <f>IF($B33="","",IF(LEN(VLOOKUP($B33,Database!$B$1:$IX$10144,8,FALSE))=0,"",VLOOKUP($B33,Database!$B$1:$IX$10144,8,FALSE)))</f>
        <v>34</v>
      </c>
      <c r="J33" t="s">
        <v>124</v>
      </c>
      <c r="K33" t="s">
        <v>683</v>
      </c>
      <c r="L33">
        <v>94.3</v>
      </c>
      <c r="M33">
        <v>5.3</v>
      </c>
      <c r="N33">
        <v>96.8</v>
      </c>
      <c r="O33">
        <v>6.5</v>
      </c>
      <c r="P33">
        <v>99.1</v>
      </c>
      <c r="Q33">
        <v>5.6</v>
      </c>
      <c r="R33">
        <v>101.3</v>
      </c>
      <c r="S33">
        <v>6.1</v>
      </c>
      <c r="T33">
        <f>L33+P33</f>
        <v>193.39999999999998</v>
      </c>
      <c r="U33">
        <f>2*SQRT(0.25*(M33^2+Q33^2+2*$F$8*M33*Q33))</f>
        <v>10.34108311541881</v>
      </c>
      <c r="V33">
        <f>N33+R33</f>
        <v>198.1</v>
      </c>
      <c r="W33">
        <f>2*SQRT(0.25*(O33^2+S33^2+2*$F$8*O33*S33))</f>
        <v>11.954078801814884</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45.5</v>
      </c>
      <c r="AC33" s="22">
        <f>IF(OR($B33="",AC$22=""),"",IF(LEN(VLOOKUP($B33,Database!$B$1:$IX$10144,AC$22,FALSE))=0,"",VLOOKUP($B33,Database!$B$1:$IX$10144,AC$22,FALSE)))</f>
        <v>11.9</v>
      </c>
      <c r="AD33" s="22">
        <f>IF(OR($B33="",AD$22=""),"",IF(LEN(VLOOKUP($B33,Database!$B$1:$IX$10144,AD$22,FALSE))=0,"",VLOOKUP($B33,Database!$B$1:$IX$10144,AD$22,FALSE)))</f>
        <v>43.6</v>
      </c>
      <c r="AE33" s="22">
        <f>IF(OR($B33="",AE$22=""),"",IF(LEN(VLOOKUP($B33,Database!$B$1:$IX$10144,AE$22,FALSE))=0,"",VLOOKUP($B33,Database!$B$1:$IX$10144,AE$22,FALSE)))</f>
        <v>13.2</v>
      </c>
      <c r="AF33" s="22">
        <f>IF(OR($B33="",AF$22=""),"",IF(LEN(VLOOKUP($B33,Database!$B$1:$IX$10144,AF$22,FALSE))=0,"",VLOOKUP($B33,Database!$B$1:$IX$10144,AF$22,FALSE)))</f>
        <v>15</v>
      </c>
      <c r="AG33" s="22">
        <f>IF(OR($B33="",AG$22=""),"",IF(LEN(VLOOKUP($B33,Database!$B$1:$IX$10144,AG$22,FALSE))=0,"",VLOOKUP($B33,Database!$B$1:$IX$10144,AG$22,FALSE)))</f>
        <v>15</v>
      </c>
      <c r="AH33" s="22" t="str">
        <f>IF(OR($B33="",AH$22=""),"",IF(LEN(VLOOKUP($B33,Database!$B$1:$IX$10144,AH$22,FALSE))=0,"",VLOOKUP($B33,Database!$B$1:$IX$10144,AH$22,FALSE)))</f>
        <v/>
      </c>
      <c r="AI33" s="22">
        <f>IF(OR($B33="",AI$22=""),"",IF(LEN(VLOOKUP($B33,Database!$B$1:$IX$10144,AI$22,FALSE))=0,"",VLOOKUP($B33,Database!$B$1:$IX$10144,AI$22,FALSE)))</f>
        <v>1.5</v>
      </c>
      <c r="AJ33" s="22" t="str">
        <f>IF(OR($B33="",AJ$22=""),"",IF(LEN(VLOOKUP($B33,Database!$B$1:$IX$10144,AJ$22,FALSE))=0,"",VLOOKUP($B33,Database!$B$1:$IX$10144,AJ$22,FALSE)))</f>
        <v/>
      </c>
      <c r="AK33" s="22">
        <f>IF(OR($B33="",AK$22=""),"",IF(LEN(VLOOKUP($B33,Database!$B$1:$IX$10144,AK$22,FALSE))=0,"",VLOOKUP($B33,Database!$B$1:$IX$10144,AK$22,FALSE)))</f>
        <v>38.799999999999997</v>
      </c>
      <c r="AL33" s="22">
        <f>IF(OR($B33="",AL$22=""),"",IF(LEN(VLOOKUP($B33,Database!$B$1:$IX$10144,AL$22,FALSE))=0,"",VLOOKUP($B33,Database!$B$1:$IX$10144,AL$22,FALSE)))</f>
        <v>24.8</v>
      </c>
      <c r="AM33" s="22">
        <f>IF(OR($B33="",AM$22=""),"",IF(LEN(VLOOKUP($B33,Database!$B$1:$IX$10144,AM$22,FALSE))=0,"",VLOOKUP($B33,Database!$B$1:$IX$10144,AM$22,FALSE)))</f>
        <v>91.17647058823529</v>
      </c>
      <c r="AN33" s="22" t="str">
        <f>IF(OR($B33="",AN$22=""),"",IF(LEN(VLOOKUP($B33,Database!$B$1:$IX$10144,AN$22,FALSE))=0,"",VLOOKUP($B33,Database!$B$1:$IX$10144,AN$22,FALSE)))</f>
        <v>ns</v>
      </c>
      <c r="AO33" s="22">
        <f>IF(OR($B33="",AO$22=""),"",IF(LEN(VLOOKUP($B33,Database!$B$1:$IX$10144,AO$22,FALSE))=0,"",VLOOKUP($B33,Database!$B$1:$IX$10144,AO$22,FALSE)))</f>
        <v>11.76470588235294</v>
      </c>
      <c r="AP33" s="22">
        <f>IF(OR($B33="",AP$22=""),"",IF(LEN(VLOOKUP($B33,Database!$B$1:$IX$10144,AP$22,FALSE))=0,"",VLOOKUP($B33,Database!$B$1:$IX$10144,AP$22,FALSE)))</f>
        <v>8.8235294117647065</v>
      </c>
      <c r="AQ33" s="22" t="str">
        <f>IF(OR($B33="",AQ$22=""),"",IF(LEN(VLOOKUP($B33,Database!$B$1:$IX$10144,AQ$22,FALSE))=0,"",VLOOKUP($B33,Database!$B$1:$IX$10144,AQ$22,FALSE)))</f>
        <v>Frodl T, Schaub A, Banac S, Charypar M, Jager M, Kummler P, Bottlender R, Zetzsche T, Born C, Leinsinger G, Reiser M, Moller HJ, Meisenzahl EM.</v>
      </c>
      <c r="AR33" s="13"/>
      <c r="AX33" s="13"/>
      <c r="AY33" s="13"/>
      <c r="AZ33" s="13"/>
      <c r="BA33" s="13"/>
      <c r="BC33" s="23"/>
      <c r="BF33" s="136"/>
      <c r="BG33" s="136"/>
      <c r="BH33" s="136"/>
      <c r="BI33" s="136"/>
    </row>
    <row r="34" spans="1:61">
      <c r="C34" s="1"/>
      <c r="D34" s="1"/>
      <c r="E34" s="22"/>
      <c r="F34" s="22"/>
      <c r="G34" s="1"/>
      <c r="H34" s="83"/>
      <c r="I34" s="83"/>
      <c r="Y34" s="22"/>
      <c r="Z34" s="22"/>
      <c r="AA34" s="22"/>
      <c r="AB34" s="22"/>
      <c r="AC34" s="22"/>
      <c r="AD34" s="22"/>
      <c r="AE34" s="22"/>
      <c r="AF34" s="22"/>
      <c r="AG34" s="22"/>
      <c r="AH34" s="22"/>
      <c r="AI34" s="22"/>
      <c r="AJ34" s="22"/>
      <c r="AK34" s="22"/>
      <c r="AL34" s="22"/>
      <c r="AM34" s="22"/>
      <c r="AN34" s="22"/>
      <c r="AO34" s="22"/>
      <c r="AP34" s="22"/>
      <c r="AQ34" s="22"/>
    </row>
    <row r="35" spans="1:61">
      <c r="A35" s="4"/>
      <c r="C35" s="1" t="str">
        <f>IF($B35="","",HYPERLINK(IF(LEN(VLOOKUP($B35,Database!$B$1:$IX$10144,2,FALSE))=0,"",VLOOKUP($B35,Database!$B$1:$IX$10144,2,FALSE))))</f>
        <v/>
      </c>
      <c r="D35" s="1" t="str">
        <f t="shared" si="0"/>
        <v/>
      </c>
      <c r="E35" s="22" t="str">
        <f>IF($B35="","",IF(LEN(VLOOKUP($B35,Database!$B$1:$IX$10144,4,FALSE))=0,"",VLOOKUP($B35,Database!$B$1:$IX$10144,4,FALSE)))</f>
        <v/>
      </c>
      <c r="F35" s="22" t="str">
        <f>IF($B35="","",IF(LEN(VLOOKUP($B35,Database!$B$1:$IX$10144,5,FALSE))=0,"",VLOOKUP($B35,Database!$B$1:$IX$10144,5,FALSE)))</f>
        <v/>
      </c>
      <c r="G35" s="1" t="str">
        <f>IF($B35="","",HYPERLINK(IF(LEN(VLOOKUP($B35,Database!$B$1:$IX$10144,6,FALSE))=0,"",VLOOKUP($B35,Database!$B$1:$IX$10144,6,FALSE))))</f>
        <v/>
      </c>
      <c r="H35" s="22" t="str">
        <f>IF($B35="","",IF(LEN(VLOOKUP($B35,Database!$B$1:$IX$10144,7,FALSE))=0,"",VLOOKUP($B35,Database!$B$1:$IX$10144,7,FALSE)))</f>
        <v/>
      </c>
      <c r="I35" s="22" t="str">
        <f>IF($B35="","",IF(LEN(VLOOKUP($B35,Database!$B$1:$IX$10144,8,FALSE))=0,"",VLOOKUP($B35,Database!$B$1:$IX$10144,8,FALSE)))</f>
        <v/>
      </c>
      <c r="Y35" s="22" t="str">
        <f>IF(OR($B35="",Y$22=""),"",IF(LEN(VLOOKUP($B35,Database!$B$1:$IX$10144,Y$22,FALSE))=0,"",VLOOKUP($B35,Database!$B$1:$IX$10144,Y$22,FALSE)))</f>
        <v/>
      </c>
      <c r="Z35" s="22" t="str">
        <f>IF(OR($B35="",Z$22=""),"",IF(LEN(VLOOKUP($B35,Database!$B$1:$IX$10144,Z$22,FALSE))=0,"",VLOOKUP($B35,Database!$B$1:$IX$10144,Z$22,FALSE)))</f>
        <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t="str">
        <f>IF(OR($B35="",AD$22=""),"",IF(LEN(VLOOKUP($B35,Database!$B$1:$IX$10144,AD$22,FALSE))=0,"",VLOOKUP($B35,Database!$B$1:$IX$10144,AD$22,FALSE)))</f>
        <v/>
      </c>
      <c r="AE35" s="22" t="str">
        <f>IF(OR($B35="",AE$22=""),"",IF(LEN(VLOOKUP($B35,Database!$B$1:$IX$10144,AE$22,FALSE))=0,"",VLOOKUP($B35,Database!$B$1:$IX$10144,AE$22,FALSE)))</f>
        <v/>
      </c>
      <c r="AF35" s="22" t="str">
        <f>IF(OR($B35="",AF$22=""),"",IF(LEN(VLOOKUP($B35,Database!$B$1:$IX$10144,AF$22,FALSE))=0,"",VLOOKUP($B35,Database!$B$1:$IX$10144,AF$22,FALSE)))</f>
        <v/>
      </c>
      <c r="AG35" s="22" t="str">
        <f>IF(OR($B35="",AG$22=""),"",IF(LEN(VLOOKUP($B35,Database!$B$1:$IX$10144,AG$22,FALSE))=0,"",VLOOKUP($B35,Database!$B$1:$IX$10144,AG$22,FALSE)))</f>
        <v/>
      </c>
      <c r="AH35" s="22" t="str">
        <f>IF(OR($B35="",AH$22=""),"",IF(LEN(VLOOKUP($B35,Database!$B$1:$IX$10144,AH$22,FALSE))=0,"",VLOOKUP($B35,Database!$B$1:$IX$10144,AH$22,FALSE)))</f>
        <v/>
      </c>
      <c r="AI35" s="22" t="str">
        <f>IF(OR($B35="",AI$22=""),"",IF(LEN(VLOOKUP($B35,Database!$B$1:$IX$10144,AI$22,FALSE))=0,"",VLOOKUP($B35,Database!$B$1:$IX$10144,AI$22,FALSE)))</f>
        <v/>
      </c>
      <c r="AJ35" s="22" t="str">
        <f>IF(OR($B35="",AJ$22=""),"",IF(LEN(VLOOKUP($B35,Database!$B$1:$IX$10144,AJ$22,FALSE))=0,"",VLOOKUP($B35,Database!$B$1:$IX$10144,AJ$22,FALSE)))</f>
        <v/>
      </c>
      <c r="AK35" s="22" t="str">
        <f>IF(OR($B35="",AK$22=""),"",IF(LEN(VLOOKUP($B35,Database!$B$1:$IX$10144,AK$22,FALSE))=0,"",VLOOKUP($B35,Database!$B$1:$IX$10144,AK$22,FALSE)))</f>
        <v/>
      </c>
      <c r="AL35" s="22" t="str">
        <f>IF(OR($B35="",AL$22=""),"",IF(LEN(VLOOKUP($B35,Database!$B$1:$IX$10144,AL$22,FALSE))=0,"",VLOOKUP($B35,Database!$B$1:$IX$10144,AL$22,FALSE)))</f>
        <v/>
      </c>
      <c r="AM35" s="22" t="str">
        <f>IF(OR($B35="",AM$22=""),"",IF(LEN(VLOOKUP($B35,Database!$B$1:$IX$10144,AM$22,FALSE))=0,"",VLOOKUP($B35,Database!$B$1:$IX$10144,AM$22,FALSE)))</f>
        <v/>
      </c>
      <c r="AN35" s="22" t="str">
        <f>IF(OR($B35="",AN$22=""),"",IF(LEN(VLOOKUP($B35,Database!$B$1:$IX$10144,AN$22,FALSE))=0,"",VLOOKUP($B35,Database!$B$1:$IX$10144,AN$22,FALSE)))</f>
        <v/>
      </c>
      <c r="AO35" s="22" t="str">
        <f>IF(OR($B35="",AO$22=""),"",IF(LEN(VLOOKUP($B35,Database!$B$1:$IX$10144,AO$22,FALSE))=0,"",VLOOKUP($B35,Database!$B$1:$IX$10144,AO$22,FALSE)))</f>
        <v/>
      </c>
      <c r="AP35" s="22" t="str">
        <f>IF(OR($B35="",AP$22=""),"",IF(LEN(VLOOKUP($B35,Database!$B$1:$IX$10144,AP$22,FALSE))=0,"",VLOOKUP($B35,Database!$B$1:$IX$10144,AP$22,FALSE)))</f>
        <v/>
      </c>
      <c r="AQ35" s="22" t="str">
        <f>IF(OR($B35="",AQ$22=""),"",IF(LEN(VLOOKUP($B35,Database!$B$1:$IX$10144,AQ$22,FALSE))=0,"",VLOOKUP($B35,Database!$B$1:$IX$10144,AQ$22,FALSE)))</f>
        <v/>
      </c>
    </row>
    <row r="36" spans="1:61">
      <c r="A36" s="4" t="s">
        <v>346</v>
      </c>
      <c r="C36" s="1"/>
      <c r="D36" s="1"/>
      <c r="E36" s="22"/>
      <c r="F36" s="22"/>
      <c r="G36" s="1"/>
      <c r="H36" s="22"/>
      <c r="I36" s="22"/>
      <c r="Y36" s="22"/>
      <c r="Z36" s="22"/>
      <c r="AA36" s="22"/>
      <c r="AB36" s="22"/>
      <c r="AC36" s="22"/>
      <c r="AD36" s="22"/>
      <c r="AE36" s="22"/>
      <c r="AF36" s="22"/>
      <c r="AG36" s="22"/>
      <c r="AH36" s="22"/>
      <c r="AI36" s="22"/>
      <c r="AJ36" s="22"/>
      <c r="AK36" s="22"/>
      <c r="AL36" s="22"/>
      <c r="AM36" s="22"/>
      <c r="AN36" s="22"/>
      <c r="AO36" s="22"/>
      <c r="AP36" s="22"/>
      <c r="AQ36" s="22"/>
    </row>
    <row r="37" spans="1:61">
      <c r="A37" s="7" t="s">
        <v>38</v>
      </c>
      <c r="B37">
        <v>15545334</v>
      </c>
      <c r="C37" s="1" t="str">
        <f>IF($B37="","",HYPERLINK(IF(LEN(VLOOKUP($B37,Database!$B$1:$IX$10144,2,FALSE))=0,"",VLOOKUP($B37,Database!$B$1:$IX$10144,2,FALSE))))</f>
        <v/>
      </c>
      <c r="D37" s="1" t="str">
        <f>IF($B37="","",HYPERLINK(CONCATENATE("http://www.ncbi.nlm.nih.gov/pubmed/",B37)))</f>
        <v>http://www.ncbi.nlm.nih.gov/pubmed/15545334</v>
      </c>
      <c r="E37" s="22" t="str">
        <f>IF($B37="","",IF(LEN(VLOOKUP($B37,Database!$B$1:$IX$10144,4,FALSE))=0,"",VLOOKUP($B37,Database!$B$1:$IX$10144,4,FALSE)))</f>
        <v>Lavretsky H</v>
      </c>
      <c r="F37" s="22">
        <f>IF($B37="","",IF(LEN(VLOOKUP($B37,Database!$B$1:$IX$10144,5,FALSE))=0,"",VLOOKUP($B37,Database!$B$1:$IX$10144,5,FALSE)))</f>
        <v>2004</v>
      </c>
      <c r="G37" s="1" t="str">
        <f>IF($B37="","",HYPERLINK(IF(LEN(VLOOKUP($B37,Database!$B$1:$IX$10144,6,FALSE))=0,"",VLOOKUP($B37,Database!$B$1:$IX$10144,6,FALSE))))</f>
        <v>http://journals.lww.com/ajgponline/Abstract/2004/11000/Sex_Differences_in_Brain_Structure_in_Geriatric.12.aspx</v>
      </c>
      <c r="H37" s="22">
        <f>IF($B37="","",IF(LEN(VLOOKUP($B37,Database!$B$1:$IX$10144,7,FALSE))=0,"",VLOOKUP($B37,Database!$B$1:$IX$10144,7,FALSE)))</f>
        <v>41</v>
      </c>
      <c r="I37" s="22">
        <f>IF($B37="","",IF(LEN(VLOOKUP($B37,Database!$B$1:$IX$10144,8,FALSE))=0,"",VLOOKUP($B37,Database!$B$1:$IX$10144,8,FALSE)))</f>
        <v>41</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70.5</v>
      </c>
      <c r="AC37" s="22">
        <f>IF(OR($B37="",AC$22=""),"",IF(LEN(VLOOKUP($B37,Database!$B$1:$IX$10144,AC$22,FALSE))=0,"",VLOOKUP($B37,Database!$B$1:$IX$10144,AC$22,FALSE)))</f>
        <v>7.6</v>
      </c>
      <c r="AD37" s="22">
        <f>IF(OR($B37="",AD$22=""),"",IF(LEN(VLOOKUP($B37,Database!$B$1:$IX$10144,AD$22,FALSE))=0,"",VLOOKUP($B37,Database!$B$1:$IX$10144,AD$22,FALSE)))</f>
        <v>72.2</v>
      </c>
      <c r="AE37" s="22">
        <f>IF(OR($B37="",AE$22=""),"",IF(LEN(VLOOKUP($B37,Database!$B$1:$IX$10144,AE$22,FALSE))=0,"",VLOOKUP($B37,Database!$B$1:$IX$10144,AE$22,FALSE)))</f>
        <v>7.3</v>
      </c>
      <c r="AF37" s="22">
        <f>IF(OR($B37="",AF$22=""),"",IF(LEN(VLOOKUP($B37,Database!$B$1:$IX$10144,AF$22,FALSE))=0,"",VLOOKUP($B37,Database!$B$1:$IX$10144,AF$22,FALSE)))</f>
        <v>32</v>
      </c>
      <c r="AG37" s="22">
        <f>IF(OR($B37="",AG$22=""),"",IF(LEN(VLOOKUP($B37,Database!$B$1:$IX$10144,AG$22,FALSE))=0,"",VLOOKUP($B37,Database!$B$1:$IX$10144,AG$22,FALSE)))</f>
        <v>20</v>
      </c>
      <c r="AH37" s="22">
        <f>IF(OR($B37="",AH$22=""),"",IF(LEN(VLOOKUP($B37,Database!$B$1:$IX$10144,AH$22,FALSE))=0,"",VLOOKUP($B37,Database!$B$1:$IX$10144,AH$22,FALSE)))</f>
        <v>1.5</v>
      </c>
      <c r="AI37" s="22">
        <f>IF(OR($B37="",AI$22=""),"",IF(LEN(VLOOKUP($B37,Database!$B$1:$IX$10144,AI$22,FALSE))=0,"",VLOOKUP($B37,Database!$B$1:$IX$10144,AI$22,FALSE)))</f>
        <v>1.4</v>
      </c>
      <c r="AJ37" s="22" t="str">
        <f>IF(OR($B37="",AJ$22=""),"",IF(LEN(VLOOKUP($B37,Database!$B$1:$IX$10144,AJ$22,FALSE))=0,"",VLOOKUP($B37,Database!$B$1:$IX$10144,AJ$22,FALSE)))</f>
        <v/>
      </c>
      <c r="AK37" s="22">
        <f>IF(OR($B37="",AK$22=""),"",IF(LEN(VLOOKUP($B37,Database!$B$1:$IX$10144,AK$22,FALSE))=0,"",VLOOKUP($B37,Database!$B$1:$IX$10144,AK$22,FALSE)))</f>
        <v>48.5</v>
      </c>
      <c r="AL37" s="22" t="str">
        <f>IF(OR($B37="",AL$22=""),"",IF(LEN(VLOOKUP($B37,Database!$B$1:$IX$10144,AL$22,FALSE))=0,"",VLOOKUP($B37,Database!$B$1:$IX$10144,AL$22,FALSE)))</f>
        <v>ns</v>
      </c>
      <c r="AM37" s="22">
        <f>IF(OR($B37="",AM$22=""),"",IF(LEN(VLOOKUP($B37,Database!$B$1:$IX$10144,AM$22,FALSE))=0,"",VLOOKUP($B37,Database!$B$1:$IX$10144,AM$22,FALSE)))</f>
        <v>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100</v>
      </c>
      <c r="AQ37" s="22" t="str">
        <f>IF(OR($B37="",AQ$22=""),"",IF(LEN(VLOOKUP($B37,Database!$B$1:$IX$10144,AQ$22,FALSE))=0,"",VLOOKUP($B37,Database!$B$1:$IX$10144,AQ$22,FALSE)))</f>
        <v>Lavretsky H, Kurbanyan K, Ballmaier M, Mintz J, Toga A, Kumar A.</v>
      </c>
    </row>
    <row r="38" spans="1:61">
      <c r="A38" s="4" t="s">
        <v>347</v>
      </c>
      <c r="C38" s="1"/>
      <c r="D38" s="1" t="str">
        <f>IF($B38="","",HYPERLINK(CONCATENATE("http://www.ncbi.nlm.nih.gov/pubmed/",B38)))</f>
        <v/>
      </c>
      <c r="E38" s="22" t="str">
        <f>IF($B38="","",IF(LEN(VLOOKUP($B38,Database!$B$1:$IX$10144,4,FALSE))=0,"",VLOOKUP($B38,Database!$B$1:$IX$10144,4,FALSE)))</f>
        <v/>
      </c>
      <c r="F38" s="22" t="str">
        <f>IF($B38="","",IF(LEN(VLOOKUP($B38,Database!$B$1:$IX$10144,5,FALSE))=0,"",VLOOKUP($B38,Database!$B$1:$IX$10144,5,FALSE)))</f>
        <v/>
      </c>
      <c r="G38" s="1" t="str">
        <f>IF($B38="","",HYPERLINK(IF(LEN(VLOOKUP($B38,Database!$B$1:$IX$10144,6,FALSE))=0,"",VLOOKUP($B38,Database!$B$1:$IX$10144,6,FALSE))))</f>
        <v/>
      </c>
      <c r="H38" s="22" t="str">
        <f>IF($B38="","",IF(LEN(VLOOKUP($B38,Database!$B$1:$IX$10144,7,FALSE))=0,"",VLOOKUP($B38,Database!$B$1:$IX$10144,7,FALSE)))</f>
        <v/>
      </c>
      <c r="I38" s="22" t="str">
        <f>IF($B38="","",IF(LEN(VLOOKUP($B38,Database!$B$1:$IX$10144,8,FALSE))=0,"",VLOOKUP($B38,Database!$B$1:$IX$10144,8,FALSE)))</f>
        <v/>
      </c>
      <c r="K38" s="10"/>
      <c r="Y38" s="22" t="str">
        <f>IF(OR($B38="",Y$22=""),"",IF(LEN(VLOOKUP($B38,Database!$B$1:$IX$10144,Y$22,FALSE))=0,"",VLOOKUP($B38,Database!$B$1:$IX$10144,Y$22,FALSE)))</f>
        <v/>
      </c>
      <c r="Z38" s="22" t="str">
        <f>IF(OR($B38="",Z$22=""),"",IF(LEN(VLOOKUP($B38,Database!$B$1:$IX$10144,Z$22,FALSE))=0,"",VLOOKUP($B38,Database!$B$1:$IX$10144,Z$22,FALSE)))</f>
        <v/>
      </c>
      <c r="AA38" s="22" t="str">
        <f>IF(OR($B38="",AA$22=""),"",IF(LEN(VLOOKUP($B38,Database!$B$1:$IX$10144,AA$22,FALSE))=0,"",VLOOKUP($B38,Database!$B$1:$IX$10144,AA$22,FALSE)))</f>
        <v/>
      </c>
      <c r="AB38" s="22" t="str">
        <f>IF(OR($B38="",AB$22=""),"",IF(LEN(VLOOKUP($B38,Database!$B$1:$IX$10144,AB$22,FALSE))=0,"",VLOOKUP($B38,Database!$B$1:$IX$10144,AB$22,FALSE)))</f>
        <v/>
      </c>
      <c r="AC38" s="22" t="str">
        <f>IF(OR($B38="",AC$22=""),"",IF(LEN(VLOOKUP($B38,Database!$B$1:$IX$10144,AC$22,FALSE))=0,"",VLOOKUP($B38,Database!$B$1:$IX$10144,AC$22,FALSE)))</f>
        <v/>
      </c>
      <c r="AD38" s="22" t="str">
        <f>IF(OR($B38="",AD$22=""),"",IF(LEN(VLOOKUP($B38,Database!$B$1:$IX$10144,AD$22,FALSE))=0,"",VLOOKUP($B38,Database!$B$1:$IX$10144,AD$22,FALSE)))</f>
        <v/>
      </c>
      <c r="AE38" s="22" t="str">
        <f>IF(OR($B38="",AE$22=""),"",IF(LEN(VLOOKUP($B38,Database!$B$1:$IX$10144,AE$22,FALSE))=0,"",VLOOKUP($B38,Database!$B$1:$IX$10144,AE$22,FALSE)))</f>
        <v/>
      </c>
      <c r="AF38" s="22" t="str">
        <f>IF(OR($B38="",AF$22=""),"",IF(LEN(VLOOKUP($B38,Database!$B$1:$IX$10144,AF$22,FALSE))=0,"",VLOOKUP($B38,Database!$B$1:$IX$10144,AF$22,FALSE)))</f>
        <v/>
      </c>
      <c r="AG38" s="22" t="str">
        <f>IF(OR($B38="",AG$22=""),"",IF(LEN(VLOOKUP($B38,Database!$B$1:$IX$10144,AG$22,FALSE))=0,"",VLOOKUP($B38,Database!$B$1:$IX$10144,AG$22,FALSE)))</f>
        <v/>
      </c>
      <c r="AH38" s="22" t="str">
        <f>IF(OR($B38="",AH$22=""),"",IF(LEN(VLOOKUP($B38,Database!$B$1:$IX$10144,AH$22,FALSE))=0,"",VLOOKUP($B38,Database!$B$1:$IX$10144,AH$22,FALSE)))</f>
        <v/>
      </c>
      <c r="AI38" s="22" t="str">
        <f>IF(OR($B38="",AI$22=""),"",IF(LEN(VLOOKUP($B38,Database!$B$1:$IX$10144,AI$22,FALSE))=0,"",VLOOKUP($B38,Database!$B$1:$IX$10144,AI$22,FALSE)))</f>
        <v/>
      </c>
      <c r="AJ38" s="22" t="str">
        <f>IF(OR($B38="",AJ$22=""),"",IF(LEN(VLOOKUP($B38,Database!$B$1:$IX$10144,AJ$22,FALSE))=0,"",VLOOKUP($B38,Database!$B$1:$IX$10144,AJ$22,FALSE)))</f>
        <v/>
      </c>
      <c r="AK38" s="22" t="str">
        <f>IF(OR($B38="",AK$22=""),"",IF(LEN(VLOOKUP($B38,Database!$B$1:$IX$10144,AK$22,FALSE))=0,"",VLOOKUP($B38,Database!$B$1:$IX$10144,AK$22,FALSE)))</f>
        <v/>
      </c>
      <c r="AL38" s="22" t="str">
        <f>IF(OR($B38="",AL$22=""),"",IF(LEN(VLOOKUP($B38,Database!$B$1:$IX$10144,AL$22,FALSE))=0,"",VLOOKUP($B38,Database!$B$1:$IX$10144,AL$22,FALSE)))</f>
        <v/>
      </c>
      <c r="AM38" s="22" t="str">
        <f>IF(OR($B38="",AM$22=""),"",IF(LEN(VLOOKUP($B38,Database!$B$1:$IX$10144,AM$22,FALSE))=0,"",VLOOKUP($B38,Database!$B$1:$IX$10144,AM$22,FALSE)))</f>
        <v/>
      </c>
      <c r="AN38" s="22" t="str">
        <f>IF(OR($B38="",AN$22=""),"",IF(LEN(VLOOKUP($B38,Database!$B$1:$IX$10144,AN$22,FALSE))=0,"",VLOOKUP($B38,Database!$B$1:$IX$10144,AN$22,FALSE)))</f>
        <v/>
      </c>
      <c r="AO38" s="22" t="str">
        <f>IF(OR($B38="",AO$22=""),"",IF(LEN(VLOOKUP($B38,Database!$B$1:$IX$10144,AO$22,FALSE))=0,"",VLOOKUP($B38,Database!$B$1:$IX$10144,AO$22,FALSE)))</f>
        <v/>
      </c>
      <c r="AP38" s="22" t="str">
        <f>IF(OR($B38="",AP$22=""),"",IF(LEN(VLOOKUP($B38,Database!$B$1:$IX$10144,AP$22,FALSE))=0,"",VLOOKUP($B38,Database!$B$1:$IX$10144,AP$22,FALSE)))</f>
        <v/>
      </c>
      <c r="AQ38" s="22" t="str">
        <f>IF(OR($B38="",AQ$22=""),"",IF(LEN(VLOOKUP($B38,Database!$B$1:$IX$10144,AQ$22,FALSE))=0,"",VLOOKUP($B38,Database!$B$1:$IX$10144,AQ$22,FALSE)))</f>
        <v/>
      </c>
    </row>
    <row r="39" spans="1:61">
      <c r="A39" s="7" t="s">
        <v>35</v>
      </c>
      <c r="B39">
        <v>9859118</v>
      </c>
      <c r="C39" s="1" t="str">
        <f>IF($B39="","",HYPERLINK(IF(LEN(VLOOKUP($B39,Database!$B$1:$IX$10144,2,FALSE))=0,"",VLOOKUP($B39,Database!$B$1:$IX$10144,2,FALSE))))</f>
        <v/>
      </c>
      <c r="D39" s="1" t="str">
        <f>IF($B39="","",HYPERLINK(CONCATENATE("http://www.ncbi.nlm.nih.gov/pubmed/",B39)))</f>
        <v>http://www.ncbi.nlm.nih.gov/pubmed/9859118</v>
      </c>
      <c r="E39" s="22" t="str">
        <f>IF($B39="","",IF(LEN(VLOOKUP($B39,Database!$B$1:$IX$10144,4,FALSE))=0,"",VLOOKUP($B39,Database!$B$1:$IX$10144,4,FALSE)))</f>
        <v>Pantel J</v>
      </c>
      <c r="F39" s="22">
        <f>IF($B39="","",IF(LEN(VLOOKUP($B39,Database!$B$1:$IX$10144,5,FALSE))=0,"",VLOOKUP($B39,Database!$B$1:$IX$10144,5,FALSE)))</f>
        <v>1998</v>
      </c>
      <c r="G39" s="1" t="str">
        <f>IF($B39="","",HYPERLINK(IF(LEN(VLOOKUP($B39,Database!$B$1:$IX$10144,6,FALSE))=0,"",VLOOKUP($B39,Database!$B$1:$IX$10144,6,FALSE))))</f>
        <v>http://dx.doi.org/10.1007/s001150050371</v>
      </c>
      <c r="H39" s="22">
        <f>IF($B39="","",IF(LEN(VLOOKUP($B39,Database!$B$1:$IX$10144,7,FALSE))=0,"",VLOOKUP($B39,Database!$B$1:$IX$10144,7,FALSE)))</f>
        <v>19</v>
      </c>
      <c r="I39" s="22">
        <f>IF($B39="","",IF(LEN(VLOOKUP($B39,Database!$B$1:$IX$10144,8,FALSE))=0,"",VLOOKUP($B39,Database!$B$1:$IX$10144,8,FALSE)))</f>
        <v>13</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72.400000000000006</v>
      </c>
      <c r="AC39" s="22">
        <f>IF(OR($B39="",AC$22=""),"",IF(LEN(VLOOKUP($B39,Database!$B$1:$IX$10144,AC$22,FALSE))=0,"",VLOOKUP($B39,Database!$B$1:$IX$10144,AC$22,FALSE)))</f>
        <v>8.8000000000000007</v>
      </c>
      <c r="AD39" s="22">
        <f>IF(OR($B39="",AD$22=""),"",IF(LEN(VLOOKUP($B39,Database!$B$1:$IX$10144,AD$22,FALSE))=0,"",VLOOKUP($B39,Database!$B$1:$IX$10144,AD$22,FALSE)))</f>
        <v>68.2</v>
      </c>
      <c r="AE39" s="22">
        <f>IF(OR($B39="",AE$22=""),"",IF(LEN(VLOOKUP($B39,Database!$B$1:$IX$10144,AE$22,FALSE))=0,"",VLOOKUP($B39,Database!$B$1:$IX$10144,AE$22,FALSE)))</f>
        <v>5.3</v>
      </c>
      <c r="AF39" s="22">
        <f>IF(OR($B39="",AF$22=""),"",IF(LEN(VLOOKUP($B39,Database!$B$1:$IX$10144,AF$22,FALSE))=0,"",VLOOKUP($B39,Database!$B$1:$IX$10144,AF$22,FALSE)))</f>
        <v>15</v>
      </c>
      <c r="AG39" s="22">
        <f>IF(OR($B39="",AG$22=""),"",IF(LEN(VLOOKUP($B39,Database!$B$1:$IX$10144,AG$22,FALSE))=0,"",VLOOKUP($B39,Database!$B$1:$IX$10144,AG$22,FALSE)))</f>
        <v>10</v>
      </c>
      <c r="AH39" s="22">
        <f>IF(OR($B39="",AH$22=""),"",IF(LEN(VLOOKUP($B39,Database!$B$1:$IX$10144,AH$22,FALSE))=0,"",VLOOKUP($B39,Database!$B$1:$IX$10144,AH$22,FALSE)))</f>
        <v>1.5</v>
      </c>
      <c r="AI39" s="22">
        <f>IF(OR($B39="",AI$22=""),"",IF(LEN(VLOOKUP($B39,Database!$B$1:$IX$10144,AI$22,FALSE))=0,"",VLOOKUP($B39,Database!$B$1:$IX$10144,AI$22,FALSE)))</f>
        <v>1.2</v>
      </c>
      <c r="AJ39" s="22" t="str">
        <f>IF(OR($B39="",AJ$22=""),"",IF(LEN(VLOOKUP($B39,Database!$B$1:$IX$10144,AJ$22,FALSE))=0,"",VLOOKUP($B39,Database!$B$1:$IX$10144,AJ$22,FALSE)))</f>
        <v/>
      </c>
      <c r="AK39" s="22" t="str">
        <f>IF(OR($B39="",AK$22=""),"",IF(LEN(VLOOKUP($B39,Database!$B$1:$IX$10144,AK$22,FALSE))=0,"",VLOOKUP($B39,Database!$B$1:$IX$10144,AK$22,FALSE)))</f>
        <v>ns</v>
      </c>
      <c r="AL39" s="22">
        <f>IF(OR($B39="",AL$22=""),"",IF(LEN(VLOOKUP($B39,Database!$B$1:$IX$10144,AL$22,FALSE))=0,"",VLOOKUP($B39,Database!$B$1:$IX$10144,AL$22,FALSE)))</f>
        <v>26.7</v>
      </c>
      <c r="AM39" s="22" t="str">
        <f>IF(OR($B39="",AM$22=""),"",IF(LEN(VLOOKUP($B39,Database!$B$1:$IX$10144,AM$22,FALSE))=0,"",VLOOKUP($B39,Database!$B$1:$IX$10144,AM$22,FALSE)))</f>
        <v/>
      </c>
      <c r="AN39" s="22" t="str">
        <f>IF(OR($B39="",AN$22=""),"",IF(LEN(VLOOKUP($B39,Database!$B$1:$IX$10144,AN$22,FALSE))=0,"",VLOOKUP($B39,Database!$B$1:$IX$10144,AN$22,FALSE)))</f>
        <v/>
      </c>
      <c r="AO39" s="22" t="str">
        <f>IF(OR($B39="",AO$22=""),"",IF(LEN(VLOOKUP($B39,Database!$B$1:$IX$10144,AO$22,FALSE))=0,"",VLOOKUP($B39,Database!$B$1:$IX$10144,AO$22,FALSE)))</f>
        <v/>
      </c>
      <c r="AP39" s="22" t="str">
        <f>IF(OR($B39="",AP$22=""),"",IF(LEN(VLOOKUP($B39,Database!$B$1:$IX$10144,AP$22,FALSE))=0,"",VLOOKUP($B39,Database!$B$1:$IX$10144,AP$22,FALSE)))</f>
        <v/>
      </c>
      <c r="AQ39" s="22" t="str">
        <f>IF(OR($B39="",AQ$22=""),"",IF(LEN(VLOOKUP($B39,Database!$B$1:$IX$10144,AQ$22,FALSE))=0,"",VLOOKUP($B39,Database!$B$1:$IX$10144,AQ$22,FALSE)))</f>
        <v>Pantel J, Schroder J, Essig M, Schad LR, Popp D, Eysenbach K, Jauss M, Knopp MV.</v>
      </c>
    </row>
    <row r="40" spans="1:61">
      <c r="A40" s="7" t="s">
        <v>39</v>
      </c>
      <c r="B40">
        <v>15545334</v>
      </c>
      <c r="C40" s="1" t="str">
        <f>IF($B40="","",HYPERLINK(IF(LEN(VLOOKUP($B40,Database!$B$1:$IX$10144,2,FALSE))=0,"",VLOOKUP($B40,Database!$B$1:$IX$10144,2,FALSE))))</f>
        <v/>
      </c>
      <c r="D40" s="1" t="str">
        <f>IF($B40="","",HYPERLINK(CONCATENATE("http://www.ncbi.nlm.nih.gov/pubmed/",B40)))</f>
        <v>http://www.ncbi.nlm.nih.gov/pubmed/15545334</v>
      </c>
      <c r="E40" s="22" t="str">
        <f>IF($B40="","",IF(LEN(VLOOKUP($B40,Database!$B$1:$IX$10144,4,FALSE))=0,"",VLOOKUP($B40,Database!$B$1:$IX$10144,4,FALSE)))</f>
        <v>Lavretsky H</v>
      </c>
      <c r="F40" s="22">
        <f>IF($B40="","",IF(LEN(VLOOKUP($B40,Database!$B$1:$IX$10144,5,FALSE))=0,"",VLOOKUP($B40,Database!$B$1:$IX$10144,5,FALSE)))</f>
        <v>2004</v>
      </c>
      <c r="G40" s="1" t="str">
        <f>IF($B40="","",HYPERLINK(IF(LEN(VLOOKUP($B40,Database!$B$1:$IX$10144,6,FALSE))=0,"",VLOOKUP($B40,Database!$B$1:$IX$10144,6,FALSE))))</f>
        <v>http://journals.lww.com/ajgponline/Abstract/2004/11000/Sex_Differences_in_Brain_Structure_in_Geriatric.12.aspx</v>
      </c>
      <c r="H40" s="22">
        <f>IF($B40="","",IF(LEN(VLOOKUP($B40,Database!$B$1:$IX$10144,7,FALSE))=0,"",VLOOKUP($B40,Database!$B$1:$IX$10144,7,FALSE)))</f>
        <v>41</v>
      </c>
      <c r="I40" s="22">
        <f>IF($B40="","",IF(LEN(VLOOKUP($B40,Database!$B$1:$IX$10144,8,FALSE))=0,"",VLOOKUP($B40,Database!$B$1:$IX$10144,8,FALSE)))</f>
        <v>41</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70.5</v>
      </c>
      <c r="AC40" s="22">
        <f>IF(OR($B40="",AC$22=""),"",IF(LEN(VLOOKUP($B40,Database!$B$1:$IX$10144,AC$22,FALSE))=0,"",VLOOKUP($B40,Database!$B$1:$IX$10144,AC$22,FALSE)))</f>
        <v>7.6</v>
      </c>
      <c r="AD40" s="22">
        <f>IF(OR($B40="",AD$22=""),"",IF(LEN(VLOOKUP($B40,Database!$B$1:$IX$10144,AD$22,FALSE))=0,"",VLOOKUP($B40,Database!$B$1:$IX$10144,AD$22,FALSE)))</f>
        <v>72.2</v>
      </c>
      <c r="AE40" s="22">
        <f>IF(OR($B40="",AE$22=""),"",IF(LEN(VLOOKUP($B40,Database!$B$1:$IX$10144,AE$22,FALSE))=0,"",VLOOKUP($B40,Database!$B$1:$IX$10144,AE$22,FALSE)))</f>
        <v>7.3</v>
      </c>
      <c r="AF40" s="22">
        <f>IF(OR($B40="",AF$22=""),"",IF(LEN(VLOOKUP($B40,Database!$B$1:$IX$10144,AF$22,FALSE))=0,"",VLOOKUP($B40,Database!$B$1:$IX$10144,AF$22,FALSE)))</f>
        <v>32</v>
      </c>
      <c r="AG40" s="22">
        <f>IF(OR($B40="",AG$22=""),"",IF(LEN(VLOOKUP($B40,Database!$B$1:$IX$10144,AG$22,FALSE))=0,"",VLOOKUP($B40,Database!$B$1:$IX$10144,AG$22,FALSE)))</f>
        <v>20</v>
      </c>
      <c r="AH40" s="22">
        <f>IF(OR($B40="",AH$22=""),"",IF(LEN(VLOOKUP($B40,Database!$B$1:$IX$10144,AH$22,FALSE))=0,"",VLOOKUP($B40,Database!$B$1:$IX$10144,AH$22,FALSE)))</f>
        <v>1.5</v>
      </c>
      <c r="AI40" s="22">
        <f>IF(OR($B40="",AI$22=""),"",IF(LEN(VLOOKUP($B40,Database!$B$1:$IX$10144,AI$22,FALSE))=0,"",VLOOKUP($B40,Database!$B$1:$IX$10144,AI$22,FALSE)))</f>
        <v>1.4</v>
      </c>
      <c r="AJ40" s="22" t="str">
        <f>IF(OR($B40="",AJ$22=""),"",IF(LEN(VLOOKUP($B40,Database!$B$1:$IX$10144,AJ$22,FALSE))=0,"",VLOOKUP($B40,Database!$B$1:$IX$10144,AJ$22,FALSE)))</f>
        <v/>
      </c>
      <c r="AK40" s="22">
        <f>IF(OR($B40="",AK$22=""),"",IF(LEN(VLOOKUP($B40,Database!$B$1:$IX$10144,AK$22,FALSE))=0,"",VLOOKUP($B40,Database!$B$1:$IX$10144,AK$22,FALSE)))</f>
        <v>48.5</v>
      </c>
      <c r="AL40" s="22" t="str">
        <f>IF(OR($B40="",AL$22=""),"",IF(LEN(VLOOKUP($B40,Database!$B$1:$IX$10144,AL$22,FALSE))=0,"",VLOOKUP($B40,Database!$B$1:$IX$10144,AL$22,FALSE)))</f>
        <v>ns</v>
      </c>
      <c r="AM40" s="22">
        <f>IF(OR($B40="",AM$22=""),"",IF(LEN(VLOOKUP($B40,Database!$B$1:$IX$10144,AM$22,FALSE))=0,"",VLOOKUP($B40,Database!$B$1:$IX$10144,AM$22,FALSE)))</f>
        <v>0</v>
      </c>
      <c r="AN40" s="22">
        <f>IF(OR($B40="",AN$22=""),"",IF(LEN(VLOOKUP($B40,Database!$B$1:$IX$10144,AN$22,FALSE))=0,"",VLOOKUP($B40,Database!$B$1:$IX$10144,AN$22,FALSE)))</f>
        <v>0</v>
      </c>
      <c r="AO40" s="22">
        <f>IF(OR($B40="",AO$22=""),"",IF(LEN(VLOOKUP($B40,Database!$B$1:$IX$10144,AO$22,FALSE))=0,"",VLOOKUP($B40,Database!$B$1:$IX$10144,AO$22,FALSE)))</f>
        <v>0</v>
      </c>
      <c r="AP40" s="22">
        <f>IF(OR($B40="",AP$22=""),"",IF(LEN(VLOOKUP($B40,Database!$B$1:$IX$10144,AP$22,FALSE))=0,"",VLOOKUP($B40,Database!$B$1:$IX$10144,AP$22,FALSE)))</f>
        <v>100</v>
      </c>
      <c r="AQ40" s="22" t="str">
        <f>IF(OR($B40="",AQ$22=""),"",IF(LEN(VLOOKUP($B40,Database!$B$1:$IX$10144,AQ$22,FALSE))=0,"",VLOOKUP($B40,Database!$B$1:$IX$10144,AQ$22,FALSE)))</f>
        <v>Lavretsky H, Kurbanyan K, Ballmaier M, Mintz J, Toga A, Kumar A.</v>
      </c>
    </row>
    <row r="41" spans="1:61">
      <c r="A41" s="4"/>
      <c r="C41" s="1"/>
      <c r="D41" s="1"/>
      <c r="E41" s="22"/>
      <c r="F41" s="22"/>
      <c r="G41" s="1"/>
      <c r="H41" s="22"/>
      <c r="I41" s="22"/>
      <c r="K41" s="10"/>
      <c r="Y41" s="22"/>
      <c r="Z41" s="22"/>
      <c r="AA41" s="22"/>
      <c r="AB41" s="22"/>
      <c r="AC41" s="22"/>
      <c r="AD41" s="22"/>
      <c r="AE41" s="22"/>
      <c r="AF41" s="22"/>
      <c r="AG41" s="22"/>
      <c r="AH41" s="22"/>
      <c r="AI41" s="22"/>
      <c r="AJ41" s="22"/>
      <c r="AK41" s="22"/>
      <c r="AL41" s="22"/>
      <c r="AM41" s="22"/>
      <c r="AN41" s="22"/>
      <c r="AO41" s="22"/>
      <c r="AP41" s="22"/>
      <c r="AQ41" s="22"/>
    </row>
    <row r="42" spans="1:61">
      <c r="I42" s="22" t="str">
        <f>IF($B42="","",IF(LEN(VLOOKUP($B42,Database!$B$1:$IX$10144,8,FALSE))=0,"",VLOOKUP($B42,Database!$B$1:$IX$10144,8,FALSE)))</f>
        <v/>
      </c>
      <c r="AF42" t="s">
        <v>602</v>
      </c>
      <c r="AJ42" t="s">
        <v>329</v>
      </c>
      <c r="AN42" t="s">
        <v>330</v>
      </c>
    </row>
    <row r="43" spans="1:61" ht="45" customHeight="1">
      <c r="E43" s="60" t="s">
        <v>617</v>
      </c>
      <c r="F43" s="60" t="s">
        <v>740</v>
      </c>
      <c r="G43" s="60" t="s">
        <v>244</v>
      </c>
      <c r="H43" s="60" t="s">
        <v>245</v>
      </c>
      <c r="I43" s="60" t="s">
        <v>246</v>
      </c>
      <c r="J43" s="60" t="s">
        <v>593</v>
      </c>
      <c r="K43" s="60" t="s">
        <v>1039</v>
      </c>
      <c r="L43" s="60" t="s">
        <v>594</v>
      </c>
      <c r="M43" s="60" t="s">
        <v>1299</v>
      </c>
      <c r="N43" s="61" t="s">
        <v>595</v>
      </c>
      <c r="O43" s="61" t="s">
        <v>596</v>
      </c>
      <c r="P43" s="61" t="s">
        <v>597</v>
      </c>
      <c r="Q43" s="61" t="s">
        <v>598</v>
      </c>
      <c r="R43" s="61" t="s">
        <v>599</v>
      </c>
      <c r="S43" s="61" t="s">
        <v>600</v>
      </c>
      <c r="T43" s="61" t="s">
        <v>601</v>
      </c>
      <c r="U43" s="61" t="s">
        <v>484</v>
      </c>
      <c r="V43" s="61" t="s">
        <v>485</v>
      </c>
      <c r="W43" s="61" t="s">
        <v>486</v>
      </c>
      <c r="AF43" s="61" t="s">
        <v>1517</v>
      </c>
      <c r="AG43" s="62" t="s">
        <v>834</v>
      </c>
      <c r="AH43" s="62" t="s">
        <v>835</v>
      </c>
      <c r="AJ43" s="61" t="s">
        <v>836</v>
      </c>
      <c r="AK43" s="61" t="s">
        <v>837</v>
      </c>
      <c r="AL43" s="61" t="s">
        <v>487</v>
      </c>
      <c r="AN43" t="s">
        <v>488</v>
      </c>
      <c r="AO43" t="s">
        <v>489</v>
      </c>
      <c r="AP43" t="s">
        <v>490</v>
      </c>
      <c r="AQ43" t="s">
        <v>491</v>
      </c>
      <c r="AR43" t="s">
        <v>492</v>
      </c>
      <c r="AS43" t="s">
        <v>493</v>
      </c>
      <c r="AT43" t="s">
        <v>494</v>
      </c>
      <c r="AU43" t="s">
        <v>495</v>
      </c>
      <c r="AV43" t="s">
        <v>496</v>
      </c>
      <c r="AW43" t="s">
        <v>497</v>
      </c>
      <c r="AX43" t="s">
        <v>498</v>
      </c>
      <c r="AY43" t="s">
        <v>499</v>
      </c>
    </row>
    <row r="44" spans="1:61">
      <c r="E44" t="str">
        <f t="shared" ref="E44:F47" si="1">E24</f>
        <v>Salokangas RK</v>
      </c>
      <c r="F44">
        <f t="shared" si="1"/>
        <v>2002</v>
      </c>
      <c r="G44">
        <v>8</v>
      </c>
      <c r="H44">
        <f t="shared" ref="H44:I47" si="2">H24</f>
        <v>20</v>
      </c>
      <c r="I44">
        <f t="shared" si="2"/>
        <v>9.5</v>
      </c>
      <c r="J44">
        <f t="shared" ref="J44:M47" si="3">IF($D$4="Total",T24,IF($D$4="Left",L24,IF($D$4="Right",P24,"error")))</f>
        <v>115.6</v>
      </c>
      <c r="K44">
        <f t="shared" si="3"/>
        <v>14.26</v>
      </c>
      <c r="L44">
        <f t="shared" si="3"/>
        <v>123.04</v>
      </c>
      <c r="M44">
        <f t="shared" si="3"/>
        <v>17.670000000000002</v>
      </c>
      <c r="N44">
        <f t="shared" ref="N44:N51" si="4">IF($D$3=1,SQRT((((I44-1)*(M44)^2)+((H44-1)*(K44)^2))/(H44+I44-2)),M44)</f>
        <v>15.394863429079194</v>
      </c>
      <c r="O44" s="59">
        <f t="shared" ref="O44:O51" si="5">IF($D$6=1,LN(J44/L44),IF($D$5=1,(1-3/(4*(H44+I44)-9))*((J44-L44)/N44),(J44-L44)/N44))</f>
        <v>-0.46997684592197347</v>
      </c>
      <c r="P44" s="63">
        <f t="shared" ref="P44:P51" si="6">IF($D$6=1,(K44^2)/(H44*J44^2)+(M44^2)/(I44*L44^2),(IF($D$5=1,((H44+I44)/(H44*I44))+(O44*O44)/(2*(H44+I44-3.94)),((H44+I44)/(H44*I44))+((O44^2)/(2*(H44+I44-2))))))</f>
        <v>0.15958393715339816</v>
      </c>
      <c r="Q44" s="59">
        <f t="shared" ref="Q44:Q51" si="7">$R$68*SQRT(P44)</f>
        <v>0.78297998248262657</v>
      </c>
      <c r="R44" s="59">
        <f t="shared" ref="R44:R51" si="8">1/P44</f>
        <v>6.2662948278983857</v>
      </c>
      <c r="S44" s="59">
        <f t="shared" ref="S44:S51" si="9">O44*R44</f>
        <v>-2.945013478832859</v>
      </c>
      <c r="T44" s="59">
        <f t="shared" ref="T44:T51" si="10">R44*(O44^2)</f>
        <v>1.3840881459795658</v>
      </c>
      <c r="U44" s="23">
        <f t="shared" ref="U44:U51" si="11">R44^2</f>
        <v>39.266450870146059</v>
      </c>
      <c r="V44" s="59">
        <f t="shared" ref="V44:V51" si="12">1/((1/R44)+$I$65)</f>
        <v>6.2662948278983857</v>
      </c>
      <c r="W44" s="59">
        <f t="shared" ref="W44:W51" si="13">V44*O44</f>
        <v>-2.945013478832859</v>
      </c>
      <c r="AF44" s="59">
        <f t="shared" ref="AF44:AF51" si="14">IF($D$6=1,100*((EXP(O44))-1),O44)</f>
        <v>-0.46997684592197347</v>
      </c>
      <c r="AG44" s="59">
        <f t="shared" ref="AG44:AG51" si="15">IF($D$6=1,100*(EXP(O44+Q44)-EXP(O44)),Q44)</f>
        <v>0.78297998248262657</v>
      </c>
      <c r="AH44" s="59">
        <f t="shared" ref="AH44:AH51" si="16">IF($D$6=1,100*(EXP(O44)-EXP(O44-Q44)),Q44)</f>
        <v>0.78297998248262657</v>
      </c>
      <c r="AJ44">
        <f t="shared" ref="AJ44:AJ51" si="17">SQRT(P44)</f>
        <v>0.3994795828992993</v>
      </c>
      <c r="AK44">
        <f t="shared" ref="AK44:AK51" si="18">1/AJ44</f>
        <v>2.503256844172884</v>
      </c>
      <c r="AL44">
        <f t="shared" ref="AL44:AL51" si="19">O44/AJ44</f>
        <v>-1.176472756156965</v>
      </c>
      <c r="AN44" t="str">
        <f t="shared" ref="AN44:AO47" si="20">E44</f>
        <v>Salokangas RK</v>
      </c>
      <c r="AO44">
        <f t="shared" si="20"/>
        <v>2002</v>
      </c>
      <c r="AP44" t="str">
        <f t="shared" ref="AP44:AP51" si="21">CONCATENATE(AN44," ",AO44)</f>
        <v>Salokangas RK 2002</v>
      </c>
      <c r="AQ44">
        <f t="shared" ref="AQ44:AQ51" si="22">INT(H44)</f>
        <v>20</v>
      </c>
      <c r="AR44">
        <f t="shared" ref="AR44:AS47" si="23">J44</f>
        <v>115.6</v>
      </c>
      <c r="AS44">
        <f t="shared" si="23"/>
        <v>14.26</v>
      </c>
      <c r="AT44">
        <f t="shared" ref="AT44:AT51" si="24">INT(I44)</f>
        <v>9</v>
      </c>
      <c r="AU44">
        <f t="shared" ref="AU44:AV47" si="25">L44</f>
        <v>123.04</v>
      </c>
      <c r="AV44">
        <f t="shared" si="25"/>
        <v>17.670000000000002</v>
      </c>
      <c r="AW44" s="65">
        <f t="shared" ref="AW44:AW51" si="26">O44</f>
        <v>-0.46997684592197347</v>
      </c>
      <c r="AX44">
        <f t="shared" ref="AX44:AX51" si="27">SQRT(P44)</f>
        <v>0.3994795828992993</v>
      </c>
      <c r="AY44" t="str">
        <f>$F$5</f>
        <v>H Correction</v>
      </c>
    </row>
    <row r="45" spans="1:61">
      <c r="E45" t="str">
        <f t="shared" si="1"/>
        <v>Salokangas RK</v>
      </c>
      <c r="F45">
        <f t="shared" si="1"/>
        <v>2002</v>
      </c>
      <c r="G45">
        <v>7</v>
      </c>
      <c r="H45">
        <f t="shared" si="2"/>
        <v>17</v>
      </c>
      <c r="I45">
        <f t="shared" si="2"/>
        <v>9.5</v>
      </c>
      <c r="J45">
        <f t="shared" si="3"/>
        <v>119.93</v>
      </c>
      <c r="K45">
        <f t="shared" si="3"/>
        <v>20.03</v>
      </c>
      <c r="L45">
        <f t="shared" si="3"/>
        <v>123.04</v>
      </c>
      <c r="M45">
        <f t="shared" si="3"/>
        <v>17.670000000000002</v>
      </c>
      <c r="N45">
        <f t="shared" si="4"/>
        <v>19.24403968155611</v>
      </c>
      <c r="O45" s="59">
        <f t="shared" si="5"/>
        <v>-0.15661027948711792</v>
      </c>
      <c r="P45" s="63">
        <f t="shared" si="6"/>
        <v>0.16463027728081522</v>
      </c>
      <c r="Q45" s="59">
        <f t="shared" si="7"/>
        <v>0.79526327288639431</v>
      </c>
      <c r="R45" s="59">
        <f t="shared" si="8"/>
        <v>6.0742168240066041</v>
      </c>
      <c r="S45" s="59">
        <f t="shared" si="9"/>
        <v>-0.95128479447302805</v>
      </c>
      <c r="T45" s="59">
        <f t="shared" si="10"/>
        <v>0.14898097753426645</v>
      </c>
      <c r="U45" s="23">
        <f t="shared" si="11"/>
        <v>36.896110025044877</v>
      </c>
      <c r="V45" s="59">
        <f t="shared" si="12"/>
        <v>6.0742168240066041</v>
      </c>
      <c r="W45" s="59">
        <f t="shared" si="13"/>
        <v>-0.95128479447302805</v>
      </c>
      <c r="AF45" s="59">
        <f t="shared" si="14"/>
        <v>-0.15661027948711792</v>
      </c>
      <c r="AG45" s="59">
        <f t="shared" si="15"/>
        <v>0.79526327288639431</v>
      </c>
      <c r="AH45" s="59">
        <f t="shared" si="16"/>
        <v>0.79526327288639431</v>
      </c>
      <c r="AJ45">
        <f t="shared" si="17"/>
        <v>0.40574656779918078</v>
      </c>
      <c r="AK45">
        <f t="shared" si="18"/>
        <v>2.4645926284087203</v>
      </c>
      <c r="AL45">
        <f t="shared" si="19"/>
        <v>-0.38598054035698026</v>
      </c>
      <c r="AN45" t="str">
        <f t="shared" si="20"/>
        <v>Salokangas RK</v>
      </c>
      <c r="AO45">
        <f t="shared" si="20"/>
        <v>2002</v>
      </c>
      <c r="AP45" t="str">
        <f t="shared" si="21"/>
        <v>Salokangas RK 2002</v>
      </c>
      <c r="AQ45">
        <f t="shared" si="22"/>
        <v>17</v>
      </c>
      <c r="AR45">
        <f t="shared" si="23"/>
        <v>119.93</v>
      </c>
      <c r="AS45">
        <f t="shared" si="23"/>
        <v>20.03</v>
      </c>
      <c r="AT45">
        <f t="shared" si="24"/>
        <v>9</v>
      </c>
      <c r="AU45">
        <f t="shared" si="25"/>
        <v>123.04</v>
      </c>
      <c r="AV45">
        <f t="shared" si="25"/>
        <v>17.670000000000002</v>
      </c>
      <c r="AW45" s="65">
        <f t="shared" si="26"/>
        <v>-0.15661027948711792</v>
      </c>
      <c r="AX45">
        <f t="shared" si="27"/>
        <v>0.40574656779918078</v>
      </c>
    </row>
    <row r="46" spans="1:61">
      <c r="E46" t="str">
        <f t="shared" si="1"/>
        <v>Steingard RJ</v>
      </c>
      <c r="F46">
        <f t="shared" si="1"/>
        <v>2002</v>
      </c>
      <c r="G46">
        <v>6</v>
      </c>
      <c r="H46">
        <f t="shared" si="2"/>
        <v>18</v>
      </c>
      <c r="I46">
        <f t="shared" si="2"/>
        <v>37</v>
      </c>
      <c r="J46">
        <f t="shared" si="3"/>
        <v>97.5</v>
      </c>
      <c r="K46">
        <f t="shared" si="3"/>
        <v>15.7</v>
      </c>
      <c r="L46">
        <f t="shared" si="3"/>
        <v>90.2</v>
      </c>
      <c r="M46">
        <f t="shared" si="3"/>
        <v>23.8</v>
      </c>
      <c r="N46">
        <f t="shared" si="4"/>
        <v>21.536353644521324</v>
      </c>
      <c r="O46" s="59">
        <f t="shared" si="5"/>
        <v>0.33414238313440503</v>
      </c>
      <c r="P46" s="63">
        <f t="shared" si="6"/>
        <v>8.3675915252057115E-2</v>
      </c>
      <c r="Q46" s="59">
        <f t="shared" si="7"/>
        <v>0.56696507479059288</v>
      </c>
      <c r="R46" s="59">
        <f t="shared" si="8"/>
        <v>11.950870175577981</v>
      </c>
      <c r="S46" s="59">
        <f t="shared" si="9"/>
        <v>3.993292240997512</v>
      </c>
      <c r="T46" s="59">
        <f t="shared" si="10"/>
        <v>1.3343281859590375</v>
      </c>
      <c r="U46" s="23">
        <f t="shared" si="11"/>
        <v>142.82329795351927</v>
      </c>
      <c r="V46" s="59">
        <f t="shared" si="12"/>
        <v>11.950870175577981</v>
      </c>
      <c r="W46" s="59">
        <f t="shared" si="13"/>
        <v>3.993292240997512</v>
      </c>
      <c r="AF46" s="59">
        <f t="shared" si="14"/>
        <v>0.33414238313440503</v>
      </c>
      <c r="AG46" s="59">
        <f t="shared" si="15"/>
        <v>0.56696507479059288</v>
      </c>
      <c r="AH46" s="59">
        <f t="shared" si="16"/>
        <v>0.56696507479059288</v>
      </c>
      <c r="AJ46">
        <f t="shared" si="17"/>
        <v>0.28926789530132291</v>
      </c>
      <c r="AK46">
        <f t="shared" si="18"/>
        <v>3.457003062708794</v>
      </c>
      <c r="AL46">
        <f t="shared" si="19"/>
        <v>1.1551312418764534</v>
      </c>
      <c r="AN46" t="str">
        <f t="shared" si="20"/>
        <v>Steingard RJ</v>
      </c>
      <c r="AO46">
        <f t="shared" si="20"/>
        <v>2002</v>
      </c>
      <c r="AP46" t="str">
        <f t="shared" si="21"/>
        <v>Steingard RJ 2002</v>
      </c>
      <c r="AQ46">
        <f t="shared" si="22"/>
        <v>18</v>
      </c>
      <c r="AR46">
        <f t="shared" si="23"/>
        <v>97.5</v>
      </c>
      <c r="AS46">
        <f t="shared" si="23"/>
        <v>15.7</v>
      </c>
      <c r="AT46">
        <f t="shared" si="24"/>
        <v>37</v>
      </c>
      <c r="AU46">
        <f t="shared" si="25"/>
        <v>90.2</v>
      </c>
      <c r="AV46">
        <f t="shared" si="25"/>
        <v>23.8</v>
      </c>
      <c r="AW46" s="65">
        <f t="shared" si="26"/>
        <v>0.33414238313440503</v>
      </c>
      <c r="AX46">
        <f t="shared" si="27"/>
        <v>0.28926789530132291</v>
      </c>
    </row>
    <row r="47" spans="1:61">
      <c r="E47" t="str">
        <f t="shared" si="1"/>
        <v>Lavretsky H</v>
      </c>
      <c r="F47">
        <f t="shared" si="1"/>
        <v>2005</v>
      </c>
      <c r="G47">
        <v>5</v>
      </c>
      <c r="H47">
        <f t="shared" si="2"/>
        <v>11</v>
      </c>
      <c r="I47">
        <f t="shared" si="2"/>
        <v>20.5</v>
      </c>
      <c r="J47">
        <f t="shared" si="3"/>
        <v>0.13500000000000001</v>
      </c>
      <c r="K47">
        <f t="shared" si="3"/>
        <v>1.2999999999999999E-2</v>
      </c>
      <c r="L47">
        <f t="shared" si="3"/>
        <v>0.13100000000000001</v>
      </c>
      <c r="M47">
        <f t="shared" si="3"/>
        <v>7.1999999999999998E-3</v>
      </c>
      <c r="N47">
        <f t="shared" si="4"/>
        <v>9.5684509842130731E-3</v>
      </c>
      <c r="O47" s="59">
        <f t="shared" si="5"/>
        <v>0.40732150939229933</v>
      </c>
      <c r="P47" s="63">
        <f t="shared" si="6"/>
        <v>0.14269957167502884</v>
      </c>
      <c r="Q47" s="59">
        <f t="shared" si="7"/>
        <v>0.74040169809826262</v>
      </c>
      <c r="R47" s="59">
        <f t="shared" si="8"/>
        <v>7.0077295135637128</v>
      </c>
      <c r="S47" s="59">
        <f t="shared" si="9"/>
        <v>2.8543989628777351</v>
      </c>
      <c r="T47" s="59">
        <f t="shared" si="10"/>
        <v>1.1626580939671727</v>
      </c>
      <c r="U47" s="23">
        <f t="shared" si="11"/>
        <v>49.108272935271913</v>
      </c>
      <c r="V47" s="59">
        <f t="shared" si="12"/>
        <v>7.0077295135637128</v>
      </c>
      <c r="W47" s="59">
        <f t="shared" si="13"/>
        <v>2.8543989628777351</v>
      </c>
      <c r="AF47" s="59">
        <f t="shared" si="14"/>
        <v>0.40732150939229933</v>
      </c>
      <c r="AG47" s="59">
        <f t="shared" si="15"/>
        <v>0.74040169809826262</v>
      </c>
      <c r="AH47" s="59">
        <f t="shared" si="16"/>
        <v>0.74040169809826262</v>
      </c>
      <c r="AJ47">
        <f t="shared" si="17"/>
        <v>0.37775596841748094</v>
      </c>
      <c r="AK47">
        <f t="shared" si="18"/>
        <v>2.6472116488040225</v>
      </c>
      <c r="AL47">
        <f t="shared" si="19"/>
        <v>1.0782662444717319</v>
      </c>
      <c r="AN47" t="str">
        <f t="shared" si="20"/>
        <v>Lavretsky H</v>
      </c>
      <c r="AO47">
        <f t="shared" si="20"/>
        <v>2005</v>
      </c>
      <c r="AP47" t="str">
        <f t="shared" si="21"/>
        <v>Lavretsky H 2005</v>
      </c>
      <c r="AQ47">
        <f t="shared" si="22"/>
        <v>11</v>
      </c>
      <c r="AR47">
        <f t="shared" si="23"/>
        <v>0.13500000000000001</v>
      </c>
      <c r="AS47">
        <f t="shared" si="23"/>
        <v>1.2999999999999999E-2</v>
      </c>
      <c r="AT47">
        <f t="shared" si="24"/>
        <v>20</v>
      </c>
      <c r="AU47">
        <f t="shared" si="25"/>
        <v>0.13100000000000001</v>
      </c>
      <c r="AV47">
        <f t="shared" si="25"/>
        <v>7.1999999999999998E-3</v>
      </c>
      <c r="AW47" s="65">
        <f t="shared" si="26"/>
        <v>0.40732150939229933</v>
      </c>
      <c r="AX47">
        <f t="shared" si="27"/>
        <v>0.37775596841748094</v>
      </c>
    </row>
    <row r="48" spans="1:61">
      <c r="E48" t="str">
        <f>E28</f>
        <v>Lavretsky H</v>
      </c>
      <c r="F48">
        <f>F28</f>
        <v>2005</v>
      </c>
      <c r="G48">
        <v>4</v>
      </c>
      <c r="H48">
        <f>H28</f>
        <v>30</v>
      </c>
      <c r="I48">
        <f>I28</f>
        <v>20.5</v>
      </c>
      <c r="J48">
        <f>IF($D$4="Total",T28,IF($D$4="Left",L28,IF($D$4="Right",P28,"error")))</f>
        <v>0.13</v>
      </c>
      <c r="K48">
        <f>IF($D$4="Total",U28,IF($D$4="Left",M28,IF($D$4="Right",Q28,"error")))</f>
        <v>0.01</v>
      </c>
      <c r="L48">
        <f>IF($D$4="Total",V28,IF($D$4="Left",N28,IF($D$4="Right",R28,"error")))</f>
        <v>0.13100000000000001</v>
      </c>
      <c r="M48">
        <f>IF($D$4="Total",W28,IF($D$4="Left",O28,IF($D$4="Right",S28,"error")))</f>
        <v>7.1999999999999998E-3</v>
      </c>
      <c r="N48">
        <f t="shared" si="4"/>
        <v>8.979794041676448E-3</v>
      </c>
      <c r="O48" s="59">
        <f t="shared" si="5"/>
        <v>-0.10963012670226392</v>
      </c>
      <c r="P48" s="63">
        <f t="shared" si="6"/>
        <v>8.2242888628339755E-2</v>
      </c>
      <c r="Q48" s="59">
        <f t="shared" si="7"/>
        <v>0.56208921085058206</v>
      </c>
      <c r="R48" s="59">
        <f t="shared" si="8"/>
        <v>12.159105992969875</v>
      </c>
      <c r="S48" s="59">
        <f t="shared" si="9"/>
        <v>-1.3330043305955441</v>
      </c>
      <c r="T48" s="59">
        <f t="shared" si="10"/>
        <v>0.14613743365785598</v>
      </c>
      <c r="U48" s="23">
        <f t="shared" si="11"/>
        <v>147.84385854827593</v>
      </c>
      <c r="V48" s="59">
        <f t="shared" si="12"/>
        <v>12.159105992969875</v>
      </c>
      <c r="W48" s="59">
        <f t="shared" si="13"/>
        <v>-1.3330043305955441</v>
      </c>
      <c r="AF48" s="59">
        <f t="shared" si="14"/>
        <v>-0.10963012670226392</v>
      </c>
      <c r="AG48" s="59">
        <f t="shared" si="15"/>
        <v>0.56208921085058206</v>
      </c>
      <c r="AH48" s="59">
        <f t="shared" si="16"/>
        <v>0.56208921085058206</v>
      </c>
      <c r="AJ48">
        <f t="shared" si="17"/>
        <v>0.28678020961764389</v>
      </c>
      <c r="AK48">
        <f t="shared" si="18"/>
        <v>3.4869909654270508</v>
      </c>
      <c r="AL48">
        <f t="shared" si="19"/>
        <v>-0.38227926134941714</v>
      </c>
      <c r="AN48" t="str">
        <f t="shared" ref="AN48:AO51" si="28">E48</f>
        <v>Lavretsky H</v>
      </c>
      <c r="AO48">
        <f t="shared" si="28"/>
        <v>2005</v>
      </c>
      <c r="AP48" t="str">
        <f t="shared" si="21"/>
        <v>Lavretsky H 2005</v>
      </c>
      <c r="AQ48">
        <f t="shared" si="22"/>
        <v>30</v>
      </c>
      <c r="AR48">
        <f t="shared" ref="AR48:AS51" si="29">J48</f>
        <v>0.13</v>
      </c>
      <c r="AS48">
        <f t="shared" si="29"/>
        <v>0.01</v>
      </c>
      <c r="AT48">
        <f t="shared" si="24"/>
        <v>20</v>
      </c>
      <c r="AU48">
        <f t="shared" ref="AU48:AV51" si="30">L48</f>
        <v>0.13100000000000001</v>
      </c>
      <c r="AV48">
        <f t="shared" si="30"/>
        <v>7.1999999999999998E-3</v>
      </c>
      <c r="AW48" s="65">
        <f t="shared" si="26"/>
        <v>-0.10963012670226392</v>
      </c>
      <c r="AX48">
        <f t="shared" si="27"/>
        <v>0.28678020961764389</v>
      </c>
    </row>
    <row r="49" spans="5:50">
      <c r="E49" t="str">
        <f t="shared" ref="E49:F51" si="31">E31</f>
        <v>Pantel J</v>
      </c>
      <c r="F49">
        <f t="shared" si="31"/>
        <v>1997</v>
      </c>
      <c r="G49">
        <v>3</v>
      </c>
      <c r="H49">
        <f t="shared" ref="H49:I51" si="32">H31</f>
        <v>19</v>
      </c>
      <c r="I49">
        <f t="shared" si="32"/>
        <v>13</v>
      </c>
      <c r="J49">
        <f t="shared" ref="J49:M51" si="33">IF($D$4="Total",T31,IF($D$4="Left",L31,IF($D$4="Right",P31,"error")))</f>
        <v>102.68</v>
      </c>
      <c r="K49">
        <f t="shared" si="33"/>
        <v>18.405030833986668</v>
      </c>
      <c r="L49">
        <f t="shared" si="33"/>
        <v>106.07</v>
      </c>
      <c r="M49">
        <f t="shared" si="33"/>
        <v>13.758864051948475</v>
      </c>
      <c r="N49">
        <f t="shared" si="4"/>
        <v>16.702384021450353</v>
      </c>
      <c r="O49" s="59">
        <f t="shared" si="5"/>
        <v>-0.19784827189233115</v>
      </c>
      <c r="P49" s="63">
        <f t="shared" si="6"/>
        <v>0.13025216012366669</v>
      </c>
      <c r="Q49" s="59">
        <f t="shared" si="7"/>
        <v>0.70737309698000095</v>
      </c>
      <c r="R49" s="59">
        <f t="shared" si="8"/>
        <v>7.677415860516704</v>
      </c>
      <c r="S49" s="59">
        <f t="shared" si="9"/>
        <v>-1.5189634606020044</v>
      </c>
      <c r="T49" s="59">
        <f t="shared" si="10"/>
        <v>0.30052429574770156</v>
      </c>
      <c r="U49" s="23">
        <f t="shared" si="11"/>
        <v>58.942714295313444</v>
      </c>
      <c r="V49" s="59">
        <f t="shared" si="12"/>
        <v>7.677415860516704</v>
      </c>
      <c r="W49" s="59">
        <f t="shared" si="13"/>
        <v>-1.5189634606020044</v>
      </c>
      <c r="AF49" s="59">
        <f t="shared" si="14"/>
        <v>-0.19784827189233115</v>
      </c>
      <c r="AG49" s="59">
        <f t="shared" si="15"/>
        <v>0.70737309698000095</v>
      </c>
      <c r="AH49" s="59">
        <f t="shared" si="16"/>
        <v>0.70737309698000095</v>
      </c>
      <c r="AJ49">
        <f t="shared" si="17"/>
        <v>0.36090464131632705</v>
      </c>
      <c r="AK49">
        <f t="shared" si="18"/>
        <v>2.7708150173760617</v>
      </c>
      <c r="AL49">
        <f t="shared" si="19"/>
        <v>-0.54820096292117326</v>
      </c>
      <c r="AN49" t="str">
        <f t="shared" si="28"/>
        <v>Pantel J</v>
      </c>
      <c r="AO49">
        <f t="shared" si="28"/>
        <v>1997</v>
      </c>
      <c r="AP49" t="str">
        <f t="shared" si="21"/>
        <v>Pantel J 1997</v>
      </c>
      <c r="AQ49">
        <f t="shared" si="22"/>
        <v>19</v>
      </c>
      <c r="AR49">
        <f t="shared" si="29"/>
        <v>102.68</v>
      </c>
      <c r="AS49">
        <f t="shared" si="29"/>
        <v>18.405030833986668</v>
      </c>
      <c r="AT49">
        <f t="shared" si="24"/>
        <v>13</v>
      </c>
      <c r="AU49">
        <f t="shared" si="30"/>
        <v>106.07</v>
      </c>
      <c r="AV49">
        <f t="shared" si="30"/>
        <v>13.758864051948475</v>
      </c>
      <c r="AW49" s="65">
        <f t="shared" si="26"/>
        <v>-0.19784827189233115</v>
      </c>
      <c r="AX49">
        <f t="shared" si="27"/>
        <v>0.36090464131632705</v>
      </c>
    </row>
    <row r="50" spans="5:50">
      <c r="E50" t="str">
        <f t="shared" si="31"/>
        <v>Nolan CL</v>
      </c>
      <c r="F50">
        <f t="shared" si="31"/>
        <v>2002</v>
      </c>
      <c r="G50">
        <v>2</v>
      </c>
      <c r="H50">
        <f t="shared" si="32"/>
        <v>22</v>
      </c>
      <c r="I50">
        <f t="shared" si="32"/>
        <v>22</v>
      </c>
      <c r="J50">
        <f t="shared" si="33"/>
        <v>102.75999999999999</v>
      </c>
      <c r="K50">
        <f t="shared" si="33"/>
        <v>12.647232898938803</v>
      </c>
      <c r="L50">
        <f t="shared" si="33"/>
        <v>102.00999999999999</v>
      </c>
      <c r="M50">
        <f t="shared" si="33"/>
        <v>14.554891961124275</v>
      </c>
      <c r="N50">
        <f t="shared" si="4"/>
        <v>13.634466986281497</v>
      </c>
      <c r="O50" s="59">
        <f t="shared" si="5"/>
        <v>5.4019489492977683E-2</v>
      </c>
      <c r="P50" s="63">
        <f t="shared" si="6"/>
        <v>9.0945512592129879E-2</v>
      </c>
      <c r="Q50" s="59">
        <f t="shared" si="7"/>
        <v>0.59108060463351875</v>
      </c>
      <c r="R50" s="59">
        <f t="shared" si="8"/>
        <v>10.995594741268594</v>
      </c>
      <c r="S50" s="59">
        <f t="shared" si="9"/>
        <v>0.5939764145949995</v>
      </c>
      <c r="T50" s="59">
        <f t="shared" si="10"/>
        <v>3.2086302687291131E-2</v>
      </c>
      <c r="U50" s="23">
        <f t="shared" si="11"/>
        <v>120.90310371421356</v>
      </c>
      <c r="V50" s="59">
        <f t="shared" si="12"/>
        <v>10.995594741268594</v>
      </c>
      <c r="W50" s="59">
        <f t="shared" si="13"/>
        <v>0.5939764145949995</v>
      </c>
      <c r="AF50" s="59">
        <f t="shared" si="14"/>
        <v>5.4019489492977683E-2</v>
      </c>
      <c r="AG50" s="59">
        <f t="shared" si="15"/>
        <v>0.59108060463351875</v>
      </c>
      <c r="AH50" s="59">
        <f t="shared" si="16"/>
        <v>0.59108060463351875</v>
      </c>
      <c r="AJ50">
        <f t="shared" si="17"/>
        <v>0.30157173705791773</v>
      </c>
      <c r="AK50">
        <f t="shared" si="18"/>
        <v>3.3159606061092757</v>
      </c>
      <c r="AL50">
        <f t="shared" si="19"/>
        <v>0.17912649912084794</v>
      </c>
      <c r="AN50" t="str">
        <f t="shared" si="28"/>
        <v>Nolan CL</v>
      </c>
      <c r="AO50">
        <f t="shared" si="28"/>
        <v>2002</v>
      </c>
      <c r="AP50" t="str">
        <f t="shared" si="21"/>
        <v>Nolan CL 2002</v>
      </c>
      <c r="AQ50">
        <f t="shared" si="22"/>
        <v>22</v>
      </c>
      <c r="AR50">
        <f t="shared" si="29"/>
        <v>102.75999999999999</v>
      </c>
      <c r="AS50">
        <f t="shared" si="29"/>
        <v>12.647232898938803</v>
      </c>
      <c r="AT50">
        <f t="shared" si="24"/>
        <v>22</v>
      </c>
      <c r="AU50">
        <f t="shared" si="30"/>
        <v>102.00999999999999</v>
      </c>
      <c r="AV50">
        <f t="shared" si="30"/>
        <v>14.554891961124275</v>
      </c>
      <c r="AW50" s="65">
        <f t="shared" si="26"/>
        <v>5.4019489492977683E-2</v>
      </c>
      <c r="AX50">
        <f t="shared" si="27"/>
        <v>0.30157173705791773</v>
      </c>
    </row>
    <row r="51" spans="5:50">
      <c r="E51" t="str">
        <f t="shared" si="31"/>
        <v>Frodl T</v>
      </c>
      <c r="F51">
        <f t="shared" si="31"/>
        <v>2006</v>
      </c>
      <c r="G51">
        <v>1</v>
      </c>
      <c r="H51">
        <f t="shared" si="32"/>
        <v>34</v>
      </c>
      <c r="I51">
        <f t="shared" si="32"/>
        <v>34</v>
      </c>
      <c r="J51">
        <f t="shared" si="33"/>
        <v>193.39999999999998</v>
      </c>
      <c r="K51">
        <f t="shared" si="33"/>
        <v>10.34108311541881</v>
      </c>
      <c r="L51">
        <f t="shared" si="33"/>
        <v>198.1</v>
      </c>
      <c r="M51">
        <f t="shared" si="33"/>
        <v>11.954078801814884</v>
      </c>
      <c r="N51">
        <f t="shared" si="4"/>
        <v>11.176716870351507</v>
      </c>
      <c r="O51" s="59">
        <f t="shared" si="5"/>
        <v>-0.41572027694690167</v>
      </c>
      <c r="P51" s="63">
        <f t="shared" si="6"/>
        <v>6.0172447212770083E-2</v>
      </c>
      <c r="Q51" s="59">
        <f t="shared" si="7"/>
        <v>0.48078942710148853</v>
      </c>
      <c r="R51" s="59">
        <f t="shared" si="8"/>
        <v>16.618901944672366</v>
      </c>
      <c r="S51" s="59">
        <f t="shared" si="9"/>
        <v>-6.9088145189925987</v>
      </c>
      <c r="T51" s="59">
        <f t="shared" si="10"/>
        <v>2.8721342852103784</v>
      </c>
      <c r="U51" s="23">
        <f t="shared" si="11"/>
        <v>276.18790184663493</v>
      </c>
      <c r="V51" s="59">
        <f t="shared" si="12"/>
        <v>16.618901944672366</v>
      </c>
      <c r="W51" s="59">
        <f t="shared" si="13"/>
        <v>-6.9088145189925987</v>
      </c>
      <c r="AF51" s="59">
        <f t="shared" si="14"/>
        <v>-0.41572027694690167</v>
      </c>
      <c r="AG51" s="59">
        <f t="shared" si="15"/>
        <v>0.48078942710148853</v>
      </c>
      <c r="AH51" s="59">
        <f t="shared" si="16"/>
        <v>0.48078942710148853</v>
      </c>
      <c r="AJ51">
        <f t="shared" si="17"/>
        <v>0.24530072811300435</v>
      </c>
      <c r="AK51">
        <f t="shared" si="18"/>
        <v>4.0766287474667555</v>
      </c>
      <c r="AL51">
        <f t="shared" si="19"/>
        <v>-1.6947372319065803</v>
      </c>
      <c r="AN51" t="str">
        <f t="shared" si="28"/>
        <v>Frodl T</v>
      </c>
      <c r="AO51">
        <f t="shared" si="28"/>
        <v>2006</v>
      </c>
      <c r="AP51" t="str">
        <f t="shared" si="21"/>
        <v>Frodl T 2006</v>
      </c>
      <c r="AQ51">
        <f t="shared" si="22"/>
        <v>34</v>
      </c>
      <c r="AR51">
        <f t="shared" si="29"/>
        <v>193.39999999999998</v>
      </c>
      <c r="AS51">
        <f t="shared" si="29"/>
        <v>10.34108311541881</v>
      </c>
      <c r="AT51">
        <f t="shared" si="24"/>
        <v>34</v>
      </c>
      <c r="AU51">
        <f t="shared" si="30"/>
        <v>198.1</v>
      </c>
      <c r="AV51">
        <f t="shared" si="30"/>
        <v>11.954078801814884</v>
      </c>
      <c r="AW51" s="65">
        <f t="shared" si="26"/>
        <v>-0.41572027694690167</v>
      </c>
      <c r="AX51">
        <f t="shared" si="27"/>
        <v>0.24530072811300435</v>
      </c>
    </row>
    <row r="52" spans="5:50">
      <c r="U52" s="23"/>
    </row>
    <row r="53" spans="5:50">
      <c r="L53" t="s">
        <v>500</v>
      </c>
      <c r="N53" s="7"/>
      <c r="O53" s="66">
        <f>COUNT(O44:O51)</f>
        <v>8</v>
      </c>
      <c r="Q53" t="s">
        <v>885</v>
      </c>
      <c r="R53" s="59">
        <f t="shared" ref="R53:W53" si="34">SUM(R44:R51)</f>
        <v>78.750129880474219</v>
      </c>
      <c r="S53" s="59">
        <f t="shared" si="34"/>
        <v>-6.2154129650257879</v>
      </c>
      <c r="T53" s="59">
        <f t="shared" si="34"/>
        <v>7.3809377207432689</v>
      </c>
      <c r="U53" s="23">
        <f t="shared" si="34"/>
        <v>871.97171018842005</v>
      </c>
      <c r="V53" s="59">
        <f t="shared" si="34"/>
        <v>78.750129880474219</v>
      </c>
      <c r="W53" s="59">
        <f t="shared" si="34"/>
        <v>-6.2154129650257879</v>
      </c>
    </row>
    <row r="54" spans="5:50">
      <c r="L54" t="s">
        <v>501</v>
      </c>
      <c r="N54" s="7"/>
      <c r="O54" s="2">
        <v>2</v>
      </c>
    </row>
    <row r="55" spans="5:50">
      <c r="N55" s="7"/>
      <c r="O55" s="7"/>
    </row>
    <row r="56" spans="5:50">
      <c r="G56" s="67" t="s">
        <v>502</v>
      </c>
      <c r="H56" s="40"/>
      <c r="I56" s="40">
        <f>S53/R53</f>
        <v>-7.8925748750629993E-2</v>
      </c>
      <c r="J56" s="40"/>
      <c r="K56" s="68" t="s">
        <v>879</v>
      </c>
      <c r="L56" s="40"/>
      <c r="M56" s="42"/>
      <c r="N56" s="7"/>
      <c r="O56" s="69" t="s">
        <v>503</v>
      </c>
      <c r="P56" s="70">
        <f>T53-((S53^2)/R53)</f>
        <v>6.8903815986842352</v>
      </c>
      <c r="Q56" s="71" t="s">
        <v>824</v>
      </c>
      <c r="R56" s="28"/>
      <c r="S56" s="29"/>
      <c r="T56" s="30"/>
      <c r="U56" s="31"/>
      <c r="AF56" s="2" t="s">
        <v>1518</v>
      </c>
    </row>
    <row r="57" spans="5:50">
      <c r="G57" s="43" t="s">
        <v>504</v>
      </c>
      <c r="H57" s="31"/>
      <c r="I57" s="31">
        <f>1/R53</f>
        <v>1.2698391755261676E-2</v>
      </c>
      <c r="J57" s="31"/>
      <c r="K57" s="31"/>
      <c r="L57" s="31"/>
      <c r="M57" s="44"/>
      <c r="N57" s="7"/>
      <c r="O57" s="30" t="s">
        <v>505</v>
      </c>
      <c r="P57" s="31">
        <f>CHIDIST(P56,I61-1)</f>
        <v>0.4403819578971343</v>
      </c>
      <c r="Q57" s="31"/>
      <c r="R57" s="31"/>
      <c r="S57" s="34"/>
      <c r="T57" s="30"/>
      <c r="U57" s="31"/>
      <c r="AF57" s="2"/>
    </row>
    <row r="58" spans="5:50">
      <c r="G58" s="72" t="s">
        <v>506</v>
      </c>
      <c r="H58" s="31"/>
      <c r="I58" s="31">
        <f>$R$68*SQRT(I57)</f>
        <v>0.22086679643398927</v>
      </c>
      <c r="J58" s="31"/>
      <c r="K58" s="31" t="s">
        <v>507</v>
      </c>
      <c r="L58" s="31"/>
      <c r="M58" s="44">
        <f>ABS(I56/SQRT(I57))</f>
        <v>0.70039711739771859</v>
      </c>
      <c r="N58" s="7"/>
      <c r="O58" s="35" t="s">
        <v>508</v>
      </c>
      <c r="P58" s="37">
        <f>IF(((P56-(I61-1))/P56)&lt;0,0,100*((P56-(I61-1))/P56))</f>
        <v>0</v>
      </c>
      <c r="Q58" s="36"/>
      <c r="R58" s="36"/>
      <c r="S58" s="38"/>
      <c r="T58" s="30"/>
      <c r="U58" s="31"/>
      <c r="AF58" s="2" t="s">
        <v>1535</v>
      </c>
      <c r="AH58">
        <f>IF($D$6=1,100*((EXP(I56))-1),I56)</f>
        <v>-7.8925748750629993E-2</v>
      </c>
    </row>
    <row r="59" spans="5:50">
      <c r="G59" s="45" t="s">
        <v>509</v>
      </c>
      <c r="H59" s="46"/>
      <c r="I59" s="46">
        <v>-2</v>
      </c>
      <c r="J59" s="46"/>
      <c r="K59" s="46" t="s">
        <v>825</v>
      </c>
      <c r="L59" s="46"/>
      <c r="M59" s="47">
        <f>2*(1-NORMDIST(M58,0,1,1))</f>
        <v>0.48367933598077606</v>
      </c>
      <c r="N59" s="7"/>
      <c r="O59" s="7"/>
      <c r="AF59" s="79" t="s">
        <v>834</v>
      </c>
      <c r="AH59">
        <f>IF($D$6=1,100*(EXP(I56+I58)-EXP(I56)),I58)</f>
        <v>0.22086679643398927</v>
      </c>
    </row>
    <row r="60" spans="5:50">
      <c r="G60" s="40"/>
      <c r="H60" s="40"/>
      <c r="I60" s="40"/>
      <c r="J60" s="40"/>
      <c r="K60" s="40"/>
      <c r="L60" s="40"/>
      <c r="M60" s="40"/>
      <c r="N60" s="7"/>
      <c r="O60" s="7"/>
      <c r="AF60" s="79" t="s">
        <v>835</v>
      </c>
      <c r="AH60">
        <f>IF($D$6=1,100*(EXP(I56)-EXP(I56-I58)),I58)</f>
        <v>0.22086679643398927</v>
      </c>
    </row>
    <row r="61" spans="5:50">
      <c r="G61" s="73" t="s">
        <v>1110</v>
      </c>
      <c r="H61" s="74"/>
      <c r="I61" s="74">
        <f>O53</f>
        <v>8</v>
      </c>
      <c r="J61" s="74"/>
      <c r="K61" s="75" t="s">
        <v>1167</v>
      </c>
      <c r="L61" s="74"/>
      <c r="M61" s="76"/>
      <c r="N61" s="77"/>
      <c r="O61" s="101" t="s">
        <v>1513</v>
      </c>
      <c r="P61" s="102"/>
      <c r="Q61" s="103"/>
      <c r="AF61" s="7"/>
    </row>
    <row r="62" spans="5:50">
      <c r="G62" s="77" t="s">
        <v>1531</v>
      </c>
      <c r="H62" s="31"/>
      <c r="I62" s="31">
        <f>R53/I61</f>
        <v>9.8437662350592774</v>
      </c>
      <c r="J62" s="31"/>
      <c r="K62" s="31"/>
      <c r="L62" s="31"/>
      <c r="M62" s="78"/>
      <c r="N62" s="77"/>
      <c r="O62" s="104" t="s">
        <v>1514</v>
      </c>
      <c r="P62" s="31"/>
      <c r="Q62" s="105">
        <f>INDEX(LINEST(AL44:AL51,AK44:AK51,TRUE,TRUE),1,2)</f>
        <v>0.73757947207765229</v>
      </c>
      <c r="AF62" s="2" t="s">
        <v>1687</v>
      </c>
      <c r="AH62">
        <f>IF($D$6=1,100*((EXP(I67))-1),I67)</f>
        <v>-7.8925748750629993E-2</v>
      </c>
    </row>
    <row r="63" spans="5:50">
      <c r="G63" s="77" t="s">
        <v>1532</v>
      </c>
      <c r="H63" s="31"/>
      <c r="I63" s="31">
        <f>(1/(I61-1))*(U53-(I61*I62^2))</f>
        <v>13.824834380639311</v>
      </c>
      <c r="J63" s="31"/>
      <c r="K63" s="31"/>
      <c r="L63" s="31"/>
      <c r="M63" s="78"/>
      <c r="N63" s="77"/>
      <c r="O63" s="104" t="s">
        <v>1516</v>
      </c>
      <c r="P63" s="31"/>
      <c r="Q63" s="105">
        <f>INDEX(LINEST(AL44:AL51,AK44:AK51,TRUE,TRUE),2,2)</f>
        <v>2.1724437847120437</v>
      </c>
      <c r="AF63" s="79" t="s">
        <v>834</v>
      </c>
      <c r="AG63" s="7"/>
      <c r="AH63">
        <f>IF($D$6=1,100*(EXP(I67+I69)-EXP(I67)),I69)</f>
        <v>0.22086679643398927</v>
      </c>
    </row>
    <row r="64" spans="5:50">
      <c r="G64" s="77" t="s">
        <v>1669</v>
      </c>
      <c r="H64" s="31"/>
      <c r="I64" s="31">
        <f>(I61-1)*(I62-(I63/(I61*I62)))</f>
        <v>67.677491504996169</v>
      </c>
      <c r="J64" s="31"/>
      <c r="K64" s="31"/>
      <c r="L64" s="31"/>
      <c r="M64" s="78"/>
      <c r="N64" s="77"/>
      <c r="O64" s="104" t="s">
        <v>1349</v>
      </c>
      <c r="P64" s="31"/>
      <c r="Q64" s="105">
        <f>ABS(Q62/Q63)</f>
        <v>0.33951602212593873</v>
      </c>
      <c r="AF64" s="79" t="s">
        <v>835</v>
      </c>
      <c r="AH64">
        <f>IF($D$6=1,100*(EXP(I67)-EXP(I67-I69)),I69)</f>
        <v>0.22086679643398927</v>
      </c>
    </row>
    <row r="65" spans="7:18">
      <c r="G65" s="77" t="s">
        <v>1685</v>
      </c>
      <c r="H65" s="31"/>
      <c r="I65" s="31">
        <f>IF(P56&gt;(I61-1),(P56-(I61-1))/I64,0)</f>
        <v>0</v>
      </c>
      <c r="J65" s="31"/>
      <c r="K65" s="31"/>
      <c r="L65" s="31"/>
      <c r="M65" s="78"/>
      <c r="N65" s="77"/>
      <c r="O65" s="106" t="s">
        <v>1515</v>
      </c>
      <c r="P65" s="107"/>
      <c r="Q65" s="108">
        <f>TDIST(Q64,I61-2,2)</f>
        <v>0.74578989616896729</v>
      </c>
    </row>
    <row r="66" spans="7:18">
      <c r="G66" s="77"/>
      <c r="H66" s="31"/>
      <c r="I66" s="31"/>
      <c r="J66" s="31"/>
      <c r="K66" s="31"/>
      <c r="L66" s="31"/>
      <c r="M66" s="78"/>
      <c r="N66" s="77"/>
    </row>
    <row r="67" spans="7:18">
      <c r="G67" s="77" t="s">
        <v>1686</v>
      </c>
      <c r="H67" s="31"/>
      <c r="I67" s="31">
        <f>W53/V53</f>
        <v>-7.8925748750629993E-2</v>
      </c>
      <c r="J67" s="31"/>
      <c r="N67" s="77"/>
    </row>
    <row r="68" spans="7:18">
      <c r="G68" s="77" t="s">
        <v>504</v>
      </c>
      <c r="H68" s="31"/>
      <c r="I68" s="31">
        <f>1/V53</f>
        <v>1.2698391755261676E-2</v>
      </c>
      <c r="J68" s="31"/>
      <c r="N68" s="77"/>
      <c r="O68" t="s">
        <v>805</v>
      </c>
      <c r="R68">
        <v>1.96</v>
      </c>
    </row>
    <row r="69" spans="7:18">
      <c r="G69" s="80" t="s">
        <v>506</v>
      </c>
      <c r="H69" s="31"/>
      <c r="I69" s="31">
        <f>$R$68*SQRT(I68)</f>
        <v>0.22086679643398927</v>
      </c>
      <c r="J69" s="31"/>
      <c r="K69" s="31" t="s">
        <v>507</v>
      </c>
      <c r="L69" s="31"/>
      <c r="M69" s="78">
        <f>ABS(I67/(SQRT(I68)))</f>
        <v>0.70039711739771859</v>
      </c>
      <c r="N69" s="77"/>
    </row>
    <row r="70" spans="7:18">
      <c r="G70" s="81" t="s">
        <v>509</v>
      </c>
      <c r="H70" s="82"/>
      <c r="I70" s="82">
        <v>-3</v>
      </c>
      <c r="J70" s="82"/>
      <c r="K70" s="31" t="s">
        <v>825</v>
      </c>
      <c r="L70" s="31"/>
      <c r="M70" s="78">
        <f>2*(1-NORMDIST(M69,0,1,1))</f>
        <v>0.48367933598077606</v>
      </c>
      <c r="N70" s="77"/>
    </row>
    <row r="71" spans="7:18">
      <c r="G71" s="74"/>
      <c r="H71" s="74"/>
      <c r="I71" s="74"/>
      <c r="J71" s="74"/>
      <c r="K71" s="74"/>
      <c r="L71" s="74"/>
      <c r="M71" s="74"/>
      <c r="N71" s="31"/>
      <c r="O71" s="7"/>
    </row>
  </sheetData>
  <phoneticPr fontId="10" type="noConversion"/>
  <conditionalFormatting sqref="D17 D13 F13">
    <cfRule type="cellIs" dxfId="54" priority="0" stopIfTrue="1" operator="lessThan">
      <formula>0.05</formula>
    </cfRule>
  </conditionalFormatting>
  <conditionalFormatting sqref="D21">
    <cfRule type="cellIs" dxfId="53" priority="0" stopIfTrue="1" operator="lessThan">
      <formula>0.05</formula>
    </cfRule>
  </conditionalFormatting>
  <hyperlinks>
    <hyperlink ref="F1" location="Summary!A1" display="Summary"/>
  </hyperlinks>
  <pageMargins left="0.75" right="0.75" top="1" bottom="1" header="0.5" footer="0.5"/>
  <pageSetup paperSize="9" orientation="portrait" r:id="rId1"/>
  <drawing r:id="rId2"/>
  <extLst>
    <ext xmlns:mx="http://schemas.microsoft.com/office/mac/excel/2008/main" uri="http://schemas.microsoft.com/office/mac/excel/2008/main">
      <mx:PLV Mode="0" OnePage="0" WScale="0"/>
    </ext>
  </extLst>
</worksheet>
</file>

<file path=xl/worksheets/sheet53.xml><?xml version="1.0" encoding="utf-8"?>
<worksheet xmlns="http://schemas.openxmlformats.org/spreadsheetml/2006/main" xmlns:r="http://schemas.openxmlformats.org/officeDocument/2006/relationships">
  <sheetPr published="0" codeName="Sheet49" enableFormatConditionsCalculation="0"/>
  <dimension ref="A1:BM6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678</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I52-O45</f>
        <v>4</v>
      </c>
      <c r="AD7" s="89"/>
    </row>
    <row r="8" spans="2:30">
      <c r="B8" t="s">
        <v>822</v>
      </c>
      <c r="D8">
        <f>SUM(H24:H29)</f>
        <v>134</v>
      </c>
      <c r="AD8" s="89"/>
    </row>
    <row r="9" spans="2:30">
      <c r="B9" t="s">
        <v>823</v>
      </c>
      <c r="D9">
        <f>SUM(I24:I29)</f>
        <v>116</v>
      </c>
      <c r="AD9" s="89"/>
    </row>
    <row r="11" spans="2:30">
      <c r="B11" s="27" t="s">
        <v>516</v>
      </c>
      <c r="C11" s="28"/>
      <c r="D11" s="109">
        <f>P47</f>
        <v>3.6345935942778298</v>
      </c>
      <c r="E11" s="110" t="s">
        <v>1513</v>
      </c>
      <c r="F11" s="103"/>
    </row>
    <row r="12" spans="2:30">
      <c r="B12" s="30" t="s">
        <v>826</v>
      </c>
      <c r="C12" s="31"/>
      <c r="D12" s="112">
        <f>P49</f>
        <v>0</v>
      </c>
      <c r="E12" s="31"/>
      <c r="F12" s="105"/>
    </row>
    <row r="13" spans="2:30">
      <c r="B13" s="35" t="s">
        <v>825</v>
      </c>
      <c r="C13" s="36"/>
      <c r="D13" s="113">
        <f>P48</f>
        <v>0.60312681923783007</v>
      </c>
      <c r="E13" s="111" t="s">
        <v>825</v>
      </c>
      <c r="F13" s="115">
        <f>Q56</f>
        <v>0.79634436590649682</v>
      </c>
    </row>
    <row r="15" spans="2:30">
      <c r="B15" s="39" t="s">
        <v>879</v>
      </c>
      <c r="C15" s="40"/>
      <c r="D15" s="41">
        <f>AH49</f>
        <v>7.9485621605181467E-3</v>
      </c>
      <c r="E15" s="116"/>
    </row>
    <row r="16" spans="2:30">
      <c r="B16" s="43" t="s">
        <v>1165</v>
      </c>
      <c r="C16" s="31"/>
      <c r="D16" s="33">
        <f>AH49-AH51</f>
        <v>-0.24794482474319107</v>
      </c>
      <c r="E16" s="117">
        <f>AH49+AH50</f>
        <v>0.26384194906422737</v>
      </c>
    </row>
    <row r="17" spans="1:65">
      <c r="B17" s="45" t="s">
        <v>1166</v>
      </c>
      <c r="C17" s="46"/>
      <c r="D17" s="123">
        <f>M50</f>
        <v>0.95145355620804883</v>
      </c>
      <c r="E17" s="118"/>
    </row>
    <row r="18" spans="1:65">
      <c r="D18" s="48"/>
      <c r="F18" s="49"/>
    </row>
    <row r="19" spans="1:65">
      <c r="B19" s="50" t="s">
        <v>1167</v>
      </c>
      <c r="C19" s="51"/>
      <c r="D19" s="52">
        <f>AH53</f>
        <v>7.9485621605181467E-3</v>
      </c>
      <c r="E19" s="120"/>
      <c r="F19" s="33"/>
      <c r="G19" s="31"/>
    </row>
    <row r="20" spans="1:65">
      <c r="B20" s="53" t="s">
        <v>1165</v>
      </c>
      <c r="C20" s="31"/>
      <c r="D20" s="33">
        <f>AH53-AH55</f>
        <v>-0.24794482474319107</v>
      </c>
      <c r="E20" s="121">
        <f>AH53+AH54</f>
        <v>0.26384194906422737</v>
      </c>
      <c r="F20" s="31"/>
      <c r="G20" s="31"/>
    </row>
    <row r="21" spans="1:65">
      <c r="B21" s="54" t="s">
        <v>1440</v>
      </c>
      <c r="C21" s="55"/>
      <c r="D21" s="114">
        <f>M61</f>
        <v>0.95145355620804883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11825139</v>
      </c>
      <c r="C24" s="1" t="str">
        <f>IF($B24="","",HYPERLINK(IF(LEN(VLOOKUP($B24,Database!$B$1:$IX$10144,2,FALSE))=0,"",VLOOKUP($B24,Database!$B$1:$IX$10144,2,FALSE))))</f>
        <v/>
      </c>
      <c r="D24" s="1" t="str">
        <f t="shared" ref="D24:D30" si="0">IF($B24="","",HYPERLINK(CONCATENATE("http://www.ncbi.nlm.nih.gov/pubmed/",B24)))</f>
        <v>http://www.ncbi.nlm.nih.gov/pubmed/11825139</v>
      </c>
      <c r="E24" s="22" t="str">
        <f>IF($B24="","",IF(LEN(VLOOKUP($B24,Database!$B$1:$IX$10144,4,FALSE))=0,"",VLOOKUP($B24,Database!$B$1:$IX$10144,4,FALSE)))</f>
        <v>Nolan CL</v>
      </c>
      <c r="F24" s="22">
        <f>IF($B24="","",IF(LEN(VLOOKUP($B24,Database!$B$1:$IX$10144,5,FALSE))=0,"",VLOOKUP($B24,Database!$B$1:$IX$10144,5,FALSE)))</f>
        <v>2002</v>
      </c>
      <c r="G24" s="1" t="str">
        <f>IF($B24="","",HYPERLINK(IF(LEN(VLOOKUP($B24,Database!$B$1:$IX$10144,6,FALSE))=0,"",VLOOKUP($B24,Database!$B$1:$IX$10144,6,FALSE))))</f>
        <v>http://archpsyc.ama-assn.org/cgi/reprint/59/2/173</v>
      </c>
      <c r="H24" s="22">
        <f>IF($B24="","",IF(LEN(VLOOKUP($B24,Database!$B$1:$IX$10144,7,FALSE))=0,"",VLOOKUP($B24,Database!$B$1:$IX$10144,7,FALSE)))</f>
        <v>22</v>
      </c>
      <c r="I24" s="22">
        <f>IF($B24="","",IF(LEN(VLOOKUP($B24,Database!$B$1:$IX$10144,8,FALSE))=0,"",VLOOKUP($B24,Database!$B$1:$IX$10144,8,FALSE)))</f>
        <v>22</v>
      </c>
      <c r="J24" t="s">
        <v>1200</v>
      </c>
      <c r="K24" t="s">
        <v>448</v>
      </c>
      <c r="L24">
        <v>19.61</v>
      </c>
      <c r="M24">
        <v>4.97</v>
      </c>
      <c r="N24">
        <v>18.29</v>
      </c>
      <c r="O24">
        <v>3.01</v>
      </c>
      <c r="P24">
        <v>25.94</v>
      </c>
      <c r="Q24">
        <v>7.66</v>
      </c>
      <c r="R24">
        <v>25.02</v>
      </c>
      <c r="S24">
        <v>4.47</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t="str">
        <f>IF(OR($B24="",AB$22=""),"",IF(LEN(VLOOKUP($B24,Database!$B$1:$IX$10144,AB$22,FALSE))=0,"",VLOOKUP($B24,Database!$B$1:$IX$10144,AB$22,FALSE)))</f>
        <v/>
      </c>
      <c r="AC24" s="22" t="str">
        <f>IF(OR($B24="",AC$22=""),"",IF(LEN(VLOOKUP($B24,Database!$B$1:$IX$10144,AC$22,FALSE))=0,"",VLOOKUP($B24,Database!$B$1:$IX$10144,AC$22,FALSE)))</f>
        <v/>
      </c>
      <c r="AD24" s="22" t="str">
        <f>IF(OR($B24="",AD$22=""),"",IF(LEN(VLOOKUP($B24,Database!$B$1:$IX$10144,AD$22,FALSE))=0,"",VLOOKUP($B24,Database!$B$1:$IX$10144,AD$22,FALSE)))</f>
        <v/>
      </c>
      <c r="AE24" s="22" t="str">
        <f>IF(OR($B24="",AE$22=""),"",IF(LEN(VLOOKUP($B24,Database!$B$1:$IX$10144,AE$22,FALSE))=0,"",VLOOKUP($B24,Database!$B$1:$IX$10144,AE$22,FALSE)))</f>
        <v/>
      </c>
      <c r="AF24" s="22">
        <f>IF(OR($B24="",AF$22=""),"",IF(LEN(VLOOKUP($B24,Database!$B$1:$IX$10144,AF$22,FALSE))=0,"",VLOOKUP($B24,Database!$B$1:$IX$10144,AF$22,FALSE)))</f>
        <v>12</v>
      </c>
      <c r="AG24" s="22">
        <f>IF(OR($B24="",AG$22=""),"",IF(LEN(VLOOKUP($B24,Database!$B$1:$IX$10144,AG$22,FALSE))=0,"",VLOOKUP($B24,Database!$B$1:$IX$10144,AG$22,FALSE)))</f>
        <v>12</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12.18</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Nolan CL, Moore GJ, Madden R, Farchione T, Bartoi M, Lorch E, Stewart CM, Rosenberg DR.</v>
      </c>
      <c r="AR24" s="13"/>
      <c r="AX24" s="13"/>
      <c r="AY24" s="13"/>
      <c r="AZ24" s="13"/>
      <c r="BA24" s="13"/>
      <c r="BC24" s="23"/>
      <c r="BF24" s="136"/>
      <c r="BG24" s="136"/>
      <c r="BH24" s="136"/>
      <c r="BI24" s="136"/>
    </row>
    <row r="25" spans="1:65">
      <c r="B25">
        <v>12271802</v>
      </c>
      <c r="C25" s="1" t="str">
        <f>IF($B25="","",HYPERLINK(IF(LEN(VLOOKUP($B25,Database!$B$1:$IX$10144,2,FALSE))=0,"",VLOOKUP($B25,Database!$B$1:$IX$10144,2,FALSE))))</f>
        <v/>
      </c>
      <c r="D25" s="1" t="str">
        <f t="shared" si="0"/>
        <v>http://www.ncbi.nlm.nih.gov/pubmed/12271802</v>
      </c>
      <c r="E25" s="22" t="str">
        <f>IF($B25="","",IF(LEN(VLOOKUP($B25,Database!$B$1:$IX$10144,4,FALSE))=0,"",VLOOKUP($B25,Database!$B$1:$IX$10144,4,FALSE)))</f>
        <v>Salokangas RK</v>
      </c>
      <c r="F25" s="22">
        <f>IF($B25="","",IF(LEN(VLOOKUP($B25,Database!$B$1:$IX$10144,5,FALSE))=0,"",VLOOKUP($B25,Database!$B$1:$IX$10144,5,FALSE)))</f>
        <v>2002</v>
      </c>
      <c r="G25" s="1" t="str">
        <f>IF($B25="","",HYPERLINK(IF(LEN(VLOOKUP($B25,Database!$B$1:$IX$10144,6,FALSE))=0,"",VLOOKUP($B25,Database!$B$1:$IX$10144,6,FALSE))))</f>
        <v>http://bjp.rcpsych.org/cgi/reprint/181/43/s58</v>
      </c>
      <c r="H25" s="83">
        <v>20</v>
      </c>
      <c r="I25" s="83">
        <v>9.5</v>
      </c>
      <c r="J25" t="s">
        <v>1202</v>
      </c>
      <c r="K25" t="s">
        <v>716</v>
      </c>
      <c r="L25">
        <v>34.119999999999997</v>
      </c>
      <c r="M25">
        <v>6.87</v>
      </c>
      <c r="N25">
        <v>36.14</v>
      </c>
      <c r="O25">
        <v>5.0999999999999996</v>
      </c>
      <c r="P25">
        <v>35.22</v>
      </c>
      <c r="Q25">
        <v>6.03</v>
      </c>
      <c r="R25">
        <v>36.68</v>
      </c>
      <c r="S25">
        <v>5.78</v>
      </c>
      <c r="T25">
        <v>69.34</v>
      </c>
      <c r="U25">
        <v>12.44</v>
      </c>
      <c r="V25">
        <v>72.819999999999993</v>
      </c>
      <c r="W25">
        <v>10.39</v>
      </c>
      <c r="Y25" s="22" t="str">
        <f>IF(OR($B25="",Y$22=""),"",IF(LEN(VLOOKUP($B25,Database!$B$1:$IX$10144,Y$22,FALSE))=0,"",VLOOKUP($B25,Database!$B$1:$IX$10144,Y$22,FALSE)))</f>
        <v>DSM-IV</v>
      </c>
      <c r="Z25" s="22" t="str">
        <f>IF(OR($B25="",Z$22=""),"",IF(LEN(VLOOKUP($B25,Database!$B$1:$IX$10144,Z$22,FALSE))=0,"",VLOOKUP($B25,Database!$B$1:$IX$10144,Z$22,FALSE)))</f>
        <v>MRI</v>
      </c>
      <c r="AA25" s="214" t="s">
        <v>754</v>
      </c>
      <c r="AB25" s="214">
        <v>34</v>
      </c>
      <c r="AC25" s="214">
        <v>9.8000000000000007</v>
      </c>
      <c r="AD25" s="22">
        <f>IF(OR($B25="",AD$22=""),"",IF(LEN(VLOOKUP($B25,Database!$B$1:$IX$10144,AD$22,FALSE))=0,"",VLOOKUP($B25,Database!$B$1:$IX$10144,AD$22,FALSE)))</f>
        <v>30.5</v>
      </c>
      <c r="AE25" s="22">
        <f>IF(OR($B25="",AE$22=""),"",IF(LEN(VLOOKUP($B25,Database!$B$1:$IX$10144,AE$22,FALSE))=0,"",VLOOKUP($B25,Database!$B$1:$IX$10144,AE$22,FALSE)))</f>
        <v>8.4</v>
      </c>
      <c r="AF25" s="214">
        <v>12</v>
      </c>
      <c r="AG25" s="22">
        <f>IF(OR($B25="",AG$22=""),"",IF(LEN(VLOOKUP($B25,Database!$B$1:$IX$10144,AG$22,FALSE))=0,"",VLOOKUP($B25,Database!$B$1:$IX$10144,AG$22,FALSE)))</f>
        <v>7</v>
      </c>
      <c r="AH25" s="22">
        <f>IF(OR($B25="",AH$22=""),"",IF(LEN(VLOOKUP($B25,Database!$B$1:$IX$10144,AH$22,FALSE))=0,"",VLOOKUP($B25,Database!$B$1:$IX$10144,AH$22,FALSE)))</f>
        <v>1.5</v>
      </c>
      <c r="AI25" s="22">
        <f>IF(OR($B25="",AI$22=""),"",IF(LEN(VLOOKUP($B25,Database!$B$1:$IX$10144,AI$22,FALSE))=0,"",VLOOKUP($B25,Database!$B$1:$IX$10144,AI$22,FALSE)))</f>
        <v>5.4</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Salokangas RK, Cannon T, Van Erp T, Ilonen T, Taiminen T, Karlsson H, Lauerma H, Leinonen KM, Wallenius E, Kaljonen A, Syvalahti E, Vilkman H, Alanen A, Hietala J.</v>
      </c>
      <c r="AR25" s="13"/>
      <c r="AU25" s="22"/>
      <c r="AX25" s="13"/>
      <c r="AY25" s="13"/>
      <c r="AZ25" s="13"/>
      <c r="BA25" s="13"/>
      <c r="BC25" s="23"/>
      <c r="BF25" s="136"/>
      <c r="BG25" s="136"/>
      <c r="BH25" s="136"/>
      <c r="BI25" s="136"/>
    </row>
    <row r="26" spans="1:65">
      <c r="B26">
        <v>12271802</v>
      </c>
      <c r="C26" s="1" t="str">
        <f>IF($B26="","",HYPERLINK(IF(LEN(VLOOKUP($B26,Database!$B$1:$IX$10144,2,FALSE))=0,"",VLOOKUP($B26,Database!$B$1:$IX$10144,2,FALSE))))</f>
        <v/>
      </c>
      <c r="D26" s="1" t="str">
        <f t="shared" si="0"/>
        <v>http://www.ncbi.nlm.nih.gov/pubmed/12271802</v>
      </c>
      <c r="E26" s="22" t="str">
        <f>IF($B26="","",IF(LEN(VLOOKUP($B26,Database!$B$1:$IX$10144,4,FALSE))=0,"",VLOOKUP($B26,Database!$B$1:$IX$10144,4,FALSE)))</f>
        <v>Salokangas RK</v>
      </c>
      <c r="F26" s="22">
        <f>IF($B26="","",IF(LEN(VLOOKUP($B26,Database!$B$1:$IX$10144,5,FALSE))=0,"",VLOOKUP($B26,Database!$B$1:$IX$10144,5,FALSE)))</f>
        <v>2002</v>
      </c>
      <c r="G26" s="1" t="str">
        <f>IF($B26="","",HYPERLINK(IF(LEN(VLOOKUP($B26,Database!$B$1:$IX$10144,6,FALSE))=0,"",VLOOKUP($B26,Database!$B$1:$IX$10144,6,FALSE))))</f>
        <v>http://bjp.rcpsych.org/cgi/reprint/181/43/s58</v>
      </c>
      <c r="H26" s="83">
        <v>17</v>
      </c>
      <c r="I26" s="83">
        <v>9.5</v>
      </c>
      <c r="J26" t="s">
        <v>1202</v>
      </c>
      <c r="K26" t="s">
        <v>243</v>
      </c>
      <c r="L26">
        <v>38.96</v>
      </c>
      <c r="M26">
        <v>7.34</v>
      </c>
      <c r="N26">
        <v>36.14</v>
      </c>
      <c r="O26">
        <v>5.0999999999999996</v>
      </c>
      <c r="P26">
        <v>40.130000000000003</v>
      </c>
      <c r="Q26">
        <v>6.91</v>
      </c>
      <c r="R26">
        <v>36.68</v>
      </c>
      <c r="S26">
        <v>5.78</v>
      </c>
      <c r="T26">
        <v>79.09</v>
      </c>
      <c r="U26">
        <v>13.96</v>
      </c>
      <c r="V26">
        <v>72.819999999999993</v>
      </c>
      <c r="W26">
        <v>10.39</v>
      </c>
      <c r="Y26" s="22" t="str">
        <f>IF(OR($B26="",Y$22=""),"",IF(LEN(VLOOKUP($B26,Database!$B$1:$IX$10144,Y$22,FALSE))=0,"",VLOOKUP($B26,Database!$B$1:$IX$10144,Y$22,FALSE)))</f>
        <v>DSM-IV</v>
      </c>
      <c r="Z26" s="22" t="str">
        <f>IF(OR($B26="",Z$22=""),"",IF(LEN(VLOOKUP($B26,Database!$B$1:$IX$10144,Z$22,FALSE))=0,"",VLOOKUP($B26,Database!$B$1:$IX$10144,Z$22,FALSE)))</f>
        <v>MRI</v>
      </c>
      <c r="AA26" s="214" t="s">
        <v>755</v>
      </c>
      <c r="AB26" s="214">
        <v>38.4</v>
      </c>
      <c r="AC26" s="214">
        <v>12</v>
      </c>
      <c r="AD26" s="22">
        <f>IF(OR($B26="",AD$22=""),"",IF(LEN(VLOOKUP($B26,Database!$B$1:$IX$10144,AD$22,FALSE))=0,"",VLOOKUP($B26,Database!$B$1:$IX$10144,AD$22,FALSE)))</f>
        <v>30.5</v>
      </c>
      <c r="AE26" s="22">
        <f>IF(OR($B26="",AE$22=""),"",IF(LEN(VLOOKUP($B26,Database!$B$1:$IX$10144,AE$22,FALSE))=0,"",VLOOKUP($B26,Database!$B$1:$IX$10144,AE$22,FALSE)))</f>
        <v>8.4</v>
      </c>
      <c r="AF26" s="214">
        <v>9</v>
      </c>
      <c r="AG26" s="22">
        <f>IF(OR($B26="",AG$22=""),"",IF(LEN(VLOOKUP($B26,Database!$B$1:$IX$10144,AG$22,FALSE))=0,"",VLOOKUP($B26,Database!$B$1:$IX$10144,AG$22,FALSE)))</f>
        <v>7</v>
      </c>
      <c r="AH26" s="22">
        <f>IF(OR($B26="",AH$22=""),"",IF(LEN(VLOOKUP($B26,Database!$B$1:$IX$10144,AH$22,FALSE))=0,"",VLOOKUP($B26,Database!$B$1:$IX$10144,AH$22,FALSE)))</f>
        <v>1.5</v>
      </c>
      <c r="AI26" s="22">
        <f>IF(OR($B26="",AI$22=""),"",IF(LEN(VLOOKUP($B26,Database!$B$1:$IX$10144,AI$22,FALSE))=0,"",VLOOKUP($B26,Database!$B$1:$IX$10144,AI$22,FALSE)))</f>
        <v>5.4</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Salokangas RK, Cannon T, Van Erp T, Ilonen T, Taiminen T, Karlsson H, Lauerma H, Leinonen KM, Wallenius E, Kaljonen A, Syvalahti E, Vilkman H, Alanen A, Hietala J.</v>
      </c>
      <c r="AR26" s="13"/>
      <c r="AU26" s="22"/>
      <c r="AX26" s="13"/>
      <c r="AY26" s="13"/>
      <c r="AZ26" s="13"/>
      <c r="BA26" s="13"/>
      <c r="BC26" s="23"/>
      <c r="BF26" s="136"/>
      <c r="BG26" s="136"/>
      <c r="BH26" s="136"/>
      <c r="BI26" s="136"/>
    </row>
    <row r="27" spans="1:65">
      <c r="B27">
        <v>15545334</v>
      </c>
      <c r="C27" s="1" t="str">
        <f>IF($B27="","",HYPERLINK(IF(LEN(VLOOKUP($B27,Database!$B$1:$IX$10144,2,FALSE))=0,"",VLOOKUP($B27,Database!$B$1:$IX$10144,2,FALSE))))</f>
        <v/>
      </c>
      <c r="D27" s="1" t="str">
        <f t="shared" si="0"/>
        <v>http://www.ncbi.nlm.nih.gov/pubmed/15545334</v>
      </c>
      <c r="E27" s="22" t="str">
        <f>IF($B27="","",IF(LEN(VLOOKUP($B27,Database!$B$1:$IX$10144,4,FALSE))=0,"",VLOOKUP($B27,Database!$B$1:$IX$10144,4,FALSE)))</f>
        <v>Lavretsky H</v>
      </c>
      <c r="F27" s="22">
        <f>IF($B27="","",IF(LEN(VLOOKUP($B27,Database!$B$1:$IX$10144,5,FALSE))=0,"",VLOOKUP($B27,Database!$B$1:$IX$10144,5,FALSE)))</f>
        <v>2004</v>
      </c>
      <c r="G27" s="1" t="str">
        <f>IF($B27="","",HYPERLINK(IF(LEN(VLOOKUP($B27,Database!$B$1:$IX$10144,6,FALSE))=0,"",VLOOKUP($B27,Database!$B$1:$IX$10144,6,FALSE))))</f>
        <v>http://journals.lww.com/ajgponline/Abstract/2004/11000/Sex_Differences_in_Brain_Structure_in_Geriatric.12.aspx</v>
      </c>
      <c r="H27" s="83">
        <v>32</v>
      </c>
      <c r="I27" s="83">
        <v>20</v>
      </c>
      <c r="J27" t="s">
        <v>1392</v>
      </c>
      <c r="K27" t="s">
        <v>1248</v>
      </c>
      <c r="L27">
        <v>5.0799999999999998E-2</v>
      </c>
      <c r="M27">
        <v>6.8999999999999999E-3</v>
      </c>
      <c r="N27">
        <v>5.1400000000000001E-2</v>
      </c>
      <c r="O27">
        <v>4.8999999999999998E-3</v>
      </c>
      <c r="P27">
        <v>5.2200000000000003E-2</v>
      </c>
      <c r="Q27">
        <v>4.4999999999999997E-3</v>
      </c>
      <c r="R27">
        <v>5.5100000000000003E-2</v>
      </c>
      <c r="S27">
        <v>4.7000000000000002E-3</v>
      </c>
      <c r="T27">
        <v>0.10299999999999999</v>
      </c>
      <c r="U27">
        <v>1.0999999999999999E-2</v>
      </c>
      <c r="V27">
        <v>0.10299999999999999</v>
      </c>
      <c r="W27">
        <v>1.0999999999999999E-2</v>
      </c>
      <c r="Y27" s="22" t="str">
        <f>IF(OR($B27="",Y$22=""),"",IF(LEN(VLOOKUP($B27,Database!$B$1:$IX$10144,Y$22,FALSE))=0,"",VLOOKUP($B27,Database!$B$1:$IX$10144,Y$22,FALSE)))</f>
        <v>DSM-IV</v>
      </c>
      <c r="Z27" s="22" t="str">
        <f>IF(OR($B27="",Z$22=""),"",IF(LEN(VLOOKUP($B27,Database!$B$1:$IX$10144,Z$22,FALSE))=0,"",VLOOKUP($B27,Database!$B$1:$IX$10144,Z$22,FALSE)))</f>
        <v>MRI</v>
      </c>
      <c r="AA27" s="214" t="s">
        <v>1368</v>
      </c>
      <c r="AB27" s="22">
        <f>IF(OR($B27="",AB$22=""),"",IF(LEN(VLOOKUP($B27,Database!$B$1:$IX$10144,AB$22,FALSE))=0,"",VLOOKUP($B27,Database!$B$1:$IX$10144,AB$22,FALSE)))</f>
        <v>70.5</v>
      </c>
      <c r="AC27" s="22">
        <f>IF(OR($B27="",AC$22=""),"",IF(LEN(VLOOKUP($B27,Database!$B$1:$IX$10144,AC$22,FALSE))=0,"",VLOOKUP($B27,Database!$B$1:$IX$10144,AC$22,FALSE)))</f>
        <v>7.6</v>
      </c>
      <c r="AD27" s="22">
        <f>IF(OR($B27="",AD$22=""),"",IF(LEN(VLOOKUP($B27,Database!$B$1:$IX$10144,AD$22,FALSE))=0,"",VLOOKUP($B27,Database!$B$1:$IX$10144,AD$22,FALSE)))</f>
        <v>72.2</v>
      </c>
      <c r="AE27" s="22">
        <f>IF(OR($B27="",AE$22=""),"",IF(LEN(VLOOKUP($B27,Database!$B$1:$IX$10144,AE$22,FALSE))=0,"",VLOOKUP($B27,Database!$B$1:$IX$10144,AE$22,FALSE)))</f>
        <v>7.3</v>
      </c>
      <c r="AF27" s="22">
        <f>IF(OR($B27="",AF$22=""),"",IF(LEN(VLOOKUP($B27,Database!$B$1:$IX$10144,AF$22,FALSE))=0,"",VLOOKUP($B27,Database!$B$1:$IX$10144,AF$22,FALSE)))</f>
        <v>32</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2">
        <f>IF(OR($B27="",AK$22=""),"",IF(LEN(VLOOKUP($B27,Database!$B$1:$IX$10144,AK$22,FALSE))=0,"",VLOOKUP($B27,Database!$B$1:$IX$10144,AK$22,FALSE)))</f>
        <v>48.5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Lavretsky H, Kurbanyan K, Ballmaier M, Mintz J, Toga A, Kumar A.</v>
      </c>
      <c r="AR27" s="13"/>
      <c r="AU27" s="22"/>
      <c r="AX27" s="13"/>
      <c r="AY27" s="13"/>
      <c r="AZ27" s="13"/>
      <c r="BA27" s="13"/>
      <c r="BC27" s="23"/>
      <c r="BF27" s="136"/>
      <c r="BG27" s="136"/>
      <c r="BH27" s="136"/>
      <c r="BI27" s="136"/>
    </row>
    <row r="28" spans="1:65">
      <c r="B28">
        <v>15545334</v>
      </c>
      <c r="C28" s="1" t="str">
        <f>IF($B28="","",HYPERLINK(IF(LEN(VLOOKUP($B28,Database!$B$1:$IX$10144,2,FALSE))=0,"",VLOOKUP($B28,Database!$B$1:$IX$10144,2,FALSE))))</f>
        <v/>
      </c>
      <c r="D28" s="1" t="str">
        <f t="shared" si="0"/>
        <v>http://www.ncbi.nlm.nih.gov/pubmed/15545334</v>
      </c>
      <c r="E28" s="22" t="str">
        <f>IF($B28="","",IF(LEN(VLOOKUP($B28,Database!$B$1:$IX$10144,4,FALSE))=0,"",VLOOKUP($B28,Database!$B$1:$IX$10144,4,FALSE)))</f>
        <v>Lavretsky H</v>
      </c>
      <c r="F28" s="22">
        <f>IF($B28="","",IF(LEN(VLOOKUP($B28,Database!$B$1:$IX$10144,5,FALSE))=0,"",VLOOKUP($B28,Database!$B$1:$IX$10144,5,FALSE)))</f>
        <v>2004</v>
      </c>
      <c r="G28" s="1" t="str">
        <f>IF($B28="","",HYPERLINK(IF(LEN(VLOOKUP($B28,Database!$B$1:$IX$10144,6,FALSE))=0,"",VLOOKUP($B28,Database!$B$1:$IX$10144,6,FALSE))))</f>
        <v>http://journals.lww.com/ajgponline/Abstract/2004/11000/Sex_Differences_in_Brain_Structure_in_Geriatric.12.aspx</v>
      </c>
      <c r="H28" s="83">
        <v>9</v>
      </c>
      <c r="I28" s="83">
        <v>21</v>
      </c>
      <c r="J28" t="s">
        <v>1392</v>
      </c>
      <c r="K28" t="s">
        <v>1391</v>
      </c>
      <c r="L28">
        <v>4.9399999999999999E-2</v>
      </c>
      <c r="M28">
        <v>5.47E-3</v>
      </c>
      <c r="N28">
        <v>5.1499999999999997E-2</v>
      </c>
      <c r="O28">
        <v>5.5999999999999999E-3</v>
      </c>
      <c r="P28">
        <v>5.21E-2</v>
      </c>
      <c r="Q28">
        <v>5.4000000000000003E-3</v>
      </c>
      <c r="R28">
        <v>5.2200000000000003E-2</v>
      </c>
      <c r="S28">
        <v>5.1999999999999998E-3</v>
      </c>
      <c r="T28">
        <v>0.10199999999999999</v>
      </c>
      <c r="U28">
        <v>9.9000000000000008E-3</v>
      </c>
      <c r="V28">
        <v>0.10299999999999999</v>
      </c>
      <c r="W28">
        <v>1.0999999999999999E-2</v>
      </c>
      <c r="Y28" s="22" t="str">
        <f>IF(OR($B28="",Y$22=""),"",IF(LEN(VLOOKUP($B28,Database!$B$1:$IX$10144,Y$22,FALSE))=0,"",VLOOKUP($B28,Database!$B$1:$IX$10144,Y$22,FALSE)))</f>
        <v>DSM-IV</v>
      </c>
      <c r="Z28" s="22" t="str">
        <f>IF(OR($B28="",Z$22=""),"",IF(LEN(VLOOKUP($B28,Database!$B$1:$IX$10144,Z$22,FALSE))=0,"",VLOOKUP($B28,Database!$B$1:$IX$10144,Z$22,FALSE)))</f>
        <v>MRI</v>
      </c>
      <c r="AA28" s="214" t="s">
        <v>1367</v>
      </c>
      <c r="AB28" s="22">
        <f>IF(OR($B28="",AB$22=""),"",IF(LEN(VLOOKUP($B28,Database!$B$1:$IX$10144,AB$22,FALSE))=0,"",VLOOKUP($B28,Database!$B$1:$IX$10144,AB$22,FALSE)))</f>
        <v>70.5</v>
      </c>
      <c r="AC28" s="22">
        <f>IF(OR($B28="",AC$22=""),"",IF(LEN(VLOOKUP($B28,Database!$B$1:$IX$10144,AC$22,FALSE))=0,"",VLOOKUP($B28,Database!$B$1:$IX$10144,AC$22,FALSE)))</f>
        <v>7.6</v>
      </c>
      <c r="AD28" s="22">
        <f>IF(OR($B28="",AD$22=""),"",IF(LEN(VLOOKUP($B28,Database!$B$1:$IX$10144,AD$22,FALSE))=0,"",VLOOKUP($B28,Database!$B$1:$IX$10144,AD$22,FALSE)))</f>
        <v>72.2</v>
      </c>
      <c r="AE28" s="22">
        <f>IF(OR($B28="",AE$22=""),"",IF(LEN(VLOOKUP($B28,Database!$B$1:$IX$10144,AE$22,FALSE))=0,"",VLOOKUP($B28,Database!$B$1:$IX$10144,AE$22,FALSE)))</f>
        <v>7.3</v>
      </c>
      <c r="AF28" s="214">
        <v>0</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2">
        <f>IF(OR($B28="",AK$22=""),"",IF(LEN(VLOOKUP($B28,Database!$B$1:$IX$10144,AK$22,FALSE))=0,"",VLOOKUP($B28,Database!$B$1:$IX$10144,AK$22,FALSE)))</f>
        <v>48.5</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Kurbanyan K, Ballmaier M, Mintz J, Toga A, Kumar A.</v>
      </c>
      <c r="AR28" s="13"/>
      <c r="AU28" s="22"/>
      <c r="AX28" s="13"/>
      <c r="AY28" s="13"/>
      <c r="AZ28" s="13"/>
      <c r="BA28" s="13"/>
      <c r="BC28" s="23"/>
      <c r="BF28" s="136"/>
      <c r="BG28" s="136"/>
      <c r="BH28" s="136"/>
      <c r="BI28" s="136"/>
    </row>
    <row r="29" spans="1:65">
      <c r="B29">
        <v>16951734</v>
      </c>
      <c r="C29" s="1" t="str">
        <f>IF($B29="","",HYPERLINK(IF(LEN(VLOOKUP($B29,Database!$B$1:$IX$10144,2,FALSE))=0,"",VLOOKUP($B29,Database!$B$1:$IX$10144,2,FALSE))))</f>
        <v/>
      </c>
      <c r="D29" s="1" t="str">
        <f t="shared" si="0"/>
        <v>http://www.ncbi.nlm.nih.gov/pubmed/16951734</v>
      </c>
      <c r="E29" s="22" t="str">
        <f>IF($B29="","",IF(LEN(VLOOKUP($B29,Database!$B$1:$IX$10144,4,FALSE))=0,"",VLOOKUP($B29,Database!$B$1:$IX$10144,4,FALSE)))</f>
        <v>Frodl T</v>
      </c>
      <c r="F29" s="22">
        <f>IF($B29="","",IF(LEN(VLOOKUP($B29,Database!$B$1:$IX$10144,5,FALSE))=0,"",VLOOKUP($B29,Database!$B$1:$IX$10144,5,FALSE)))</f>
        <v>2006</v>
      </c>
      <c r="G29" s="1" t="str">
        <f>IF($B29="","",HYPERLINK(IF(LEN(VLOOKUP($B29,Database!$B$1:$IX$10144,6,FALSE))=0,"",VLOOKUP($B29,Database!$B$1:$IX$10144,6,FALSE))))</f>
        <v>http://www.cma.ca/multimedia/staticContent/HTML/N0/l2/jpn/vol-31/issue-5/pdf/pg316.pdf</v>
      </c>
      <c r="H29" s="22">
        <f>IF($B29="","",IF(LEN(VLOOKUP($B29,Database!$B$1:$IX$10144,7,FALSE))=0,"",VLOOKUP($B29,Database!$B$1:$IX$10144,7,FALSE)))</f>
        <v>34</v>
      </c>
      <c r="I29" s="22">
        <f>IF($B29="","",IF(LEN(VLOOKUP($B29,Database!$B$1:$IX$10144,8,FALSE))=0,"",VLOOKUP($B29,Database!$B$1:$IX$10144,8,FALSE)))</f>
        <v>34</v>
      </c>
      <c r="J29" t="s">
        <v>720</v>
      </c>
      <c r="K29" t="s">
        <v>683</v>
      </c>
      <c r="L29">
        <v>68.8</v>
      </c>
      <c r="M29">
        <v>5</v>
      </c>
      <c r="N29">
        <v>68.8</v>
      </c>
      <c r="O29">
        <v>6.1</v>
      </c>
      <c r="P29">
        <v>71.599999999999994</v>
      </c>
      <c r="Q29">
        <v>5.2</v>
      </c>
      <c r="R29">
        <v>71.8</v>
      </c>
      <c r="S29">
        <v>6.1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45.5</v>
      </c>
      <c r="AC29" s="22">
        <f>IF(OR($B29="",AC$22=""),"",IF(LEN(VLOOKUP($B29,Database!$B$1:$IX$10144,AC$22,FALSE))=0,"",VLOOKUP($B29,Database!$B$1:$IX$10144,AC$22,FALSE)))</f>
        <v>11.9</v>
      </c>
      <c r="AD29" s="22">
        <f>IF(OR($B29="",AD$22=""),"",IF(LEN(VLOOKUP($B29,Database!$B$1:$IX$10144,AD$22,FALSE))=0,"",VLOOKUP($B29,Database!$B$1:$IX$10144,AD$22,FALSE)))</f>
        <v>43.6</v>
      </c>
      <c r="AE29" s="22">
        <f>IF(OR($B29="",AE$22=""),"",IF(LEN(VLOOKUP($B29,Database!$B$1:$IX$10144,AE$22,FALSE))=0,"",VLOOKUP($B29,Database!$B$1:$IX$10144,AE$22,FALSE)))</f>
        <v>13.2</v>
      </c>
      <c r="AF29" s="22">
        <f>IF(OR($B29="",AF$22=""),"",IF(LEN(VLOOKUP($B29,Database!$B$1:$IX$10144,AF$22,FALSE))=0,"",VLOOKUP($B29,Database!$B$1:$IX$10144,AF$22,FALSE)))</f>
        <v>15</v>
      </c>
      <c r="AG29" s="22">
        <f>IF(OR($B29="",AG$22=""),"",IF(LEN(VLOOKUP($B29,Database!$B$1:$IX$10144,AG$22,FALSE))=0,"",VLOOKUP($B29,Database!$B$1:$IX$10144,AG$22,FALSE)))</f>
        <v>15</v>
      </c>
      <c r="AH29" s="22" t="str">
        <f>IF(OR($B29="",AH$22=""),"",IF(LEN(VLOOKUP($B29,Database!$B$1:$IX$10144,AH$22,FALSE))=0,"",VLOOKUP($B29,Database!$B$1:$IX$10144,AH$22,FALSE)))</f>
        <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38.799999999999997</v>
      </c>
      <c r="AL29" s="22">
        <f>IF(OR($B29="",AL$22=""),"",IF(LEN(VLOOKUP($B29,Database!$B$1:$IX$10144,AL$22,FALSE))=0,"",VLOOKUP($B29,Database!$B$1:$IX$10144,AL$22,FALSE)))</f>
        <v>24.8</v>
      </c>
      <c r="AM29" s="22">
        <f>IF(OR($B29="",AM$22=""),"",IF(LEN(VLOOKUP($B29,Database!$B$1:$IX$10144,AM$22,FALSE))=0,"",VLOOKUP($B29,Database!$B$1:$IX$10144,AM$22,FALSE)))</f>
        <v>91.17647058823529</v>
      </c>
      <c r="AN29" s="22" t="str">
        <f>IF(OR($B29="",AN$22=""),"",IF(LEN(VLOOKUP($B29,Database!$B$1:$IX$10144,AN$22,FALSE))=0,"",VLOOKUP($B29,Database!$B$1:$IX$10144,AN$22,FALSE)))</f>
        <v>ns</v>
      </c>
      <c r="AO29" s="22">
        <f>IF(OR($B29="",AO$22=""),"",IF(LEN(VLOOKUP($B29,Database!$B$1:$IX$10144,AO$22,FALSE))=0,"",VLOOKUP($B29,Database!$B$1:$IX$10144,AO$22,FALSE)))</f>
        <v>11.76470588235294</v>
      </c>
      <c r="AP29" s="22">
        <f>IF(OR($B29="",AP$22=""),"",IF(LEN(VLOOKUP($B29,Database!$B$1:$IX$10144,AP$22,FALSE))=0,"",VLOOKUP($B29,Database!$B$1:$IX$10144,AP$22,FALSE)))</f>
        <v>8.8235294117647065</v>
      </c>
      <c r="AQ29" s="22" t="str">
        <f>IF(OR($B29="",AQ$22=""),"",IF(LEN(VLOOKUP($B29,Database!$B$1:$IX$10144,AQ$22,FALSE))=0,"",VLOOKUP($B29,Database!$B$1:$IX$10144,AQ$22,FALSE)))</f>
        <v>Frodl T, Schaub A, Banac S, Charypar M, Jager M, Kummler P, Bottlender R, Zetzsche T, Born C, Leinsinger G, Reiser M, Moller HJ, Meisenzahl EM.</v>
      </c>
      <c r="AR29" s="13"/>
      <c r="AX29" s="13"/>
      <c r="AY29" s="13"/>
      <c r="AZ29" s="13"/>
      <c r="BA29" s="13"/>
      <c r="BC29" s="23"/>
      <c r="BF29" s="136"/>
      <c r="BG29" s="136"/>
      <c r="BH29" s="136"/>
      <c r="BI29" s="136"/>
    </row>
    <row r="30" spans="1:65">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A31" s="4" t="s">
        <v>1510</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65">
      <c r="C32" s="1" t="str">
        <f>IF($B32="","",HYPERLINK(IF(LEN(VLOOKUP($B32,Database!$B$1:$IX$10144,2,FALSE))=0,"",VLOOKUP($B32,Database!$B$1:$IX$10144,2,FALSE))))</f>
        <v/>
      </c>
      <c r="D32" s="1" t="str">
        <f>IF($B32="","",HYPERLINK(CONCATENATE("http://www.ncbi.nlm.nih.gov/pubmed/",B32)))</f>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K32" s="10"/>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2:51">
      <c r="C33" s="1" t="str">
        <f>IF($B33="","",HYPERLINK(IF(LEN(VLOOKUP($B33,Database!$B$1:$IX$10144,2,FALSE))=0,"",VLOOKUP($B33,Database!$B$1:$IX$10144,2,FALSE))))</f>
        <v/>
      </c>
      <c r="D33" s="1" t="str">
        <f>IF($B33="","",HYPERLINK(CONCATENATE("http://www.ncbi.nlm.nih.gov/pubmed/",B33)))</f>
        <v/>
      </c>
      <c r="E33" s="22" t="str">
        <f>IF($B33="","",IF(LEN(VLOOKUP($B33,Database!$B$1:$IX$10144,4,FALSE))=0,"",VLOOKUP($B33,Database!$B$1:$IX$10144,4,FALSE)))</f>
        <v/>
      </c>
      <c r="F33" s="22" t="str">
        <f>IF($B33="","",IF(LEN(VLOOKUP($B33,Database!$B$1:$IX$10144,5,FALSE))=0,"",VLOOKUP($B33,Database!$B$1:$IX$10144,5,FALSE)))</f>
        <v/>
      </c>
      <c r="G33" s="1" t="str">
        <f>IF($B33="","",HYPERLINK(IF(LEN(VLOOKUP($B33,Database!$B$1:$IX$10144,6,FALSE))=0,"",VLOOKUP($B33,Database!$B$1:$IX$10144,6,FALSE))))</f>
        <v/>
      </c>
      <c r="H33" s="22" t="str">
        <f>IF($B33="","",IF(LEN(VLOOKUP($B33,Database!$B$1:$IX$10144,7,FALSE))=0,"",VLOOKUP($B33,Database!$B$1:$IX$10144,7,FALSE)))</f>
        <v/>
      </c>
      <c r="I33" s="22" t="str">
        <f>IF($B33="","",IF(LEN(VLOOKUP($B33,Database!$B$1:$IX$10144,8,FALSE))=0,"",VLOOKUP($B33,Database!$B$1:$IX$10144,8,FALSE)))</f>
        <v/>
      </c>
      <c r="K33" s="10"/>
      <c r="Y33" s="22" t="str">
        <f>IF(OR($B33="",Y$22=""),"",IF(LEN(VLOOKUP($B33,Database!$B$1:$IX$10144,Y$22,FALSE))=0,"",VLOOKUP($B33,Database!$B$1:$IX$10144,Y$22,FALSE)))</f>
        <v/>
      </c>
      <c r="Z33" s="22" t="str">
        <f>IF(OR($B33="",Z$22=""),"",IF(LEN(VLOOKUP($B33,Database!$B$1:$IX$10144,Z$22,FALSE))=0,"",VLOOKUP($B33,Database!$B$1:$IX$10144,Z$22,FALSE)))</f>
        <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t="str">
        <f>IF(OR($B33="",AD$22=""),"",IF(LEN(VLOOKUP($B33,Database!$B$1:$IX$10144,AD$22,FALSE))=0,"",VLOOKUP($B33,Database!$B$1:$IX$10144,AD$22,FALSE)))</f>
        <v/>
      </c>
      <c r="AE33" s="22" t="str">
        <f>IF(OR($B33="",AE$22=""),"",IF(LEN(VLOOKUP($B33,Database!$B$1:$IX$10144,AE$22,FALSE))=0,"",VLOOKUP($B33,Database!$B$1:$IX$10144,AE$22,FALSE)))</f>
        <v/>
      </c>
      <c r="AF33" s="22" t="str">
        <f>IF(OR($B33="",AF$22=""),"",IF(LEN(VLOOKUP($B33,Database!$B$1:$IX$10144,AF$22,FALSE))=0,"",VLOOKUP($B33,Database!$B$1:$IX$10144,AF$22,FALSE)))</f>
        <v/>
      </c>
      <c r="AG33" s="22" t="str">
        <f>IF(OR($B33="",AG$22=""),"",IF(LEN(VLOOKUP($B33,Database!$B$1:$IX$10144,AG$22,FALSE))=0,"",VLOOKUP($B33,Database!$B$1:$IX$10144,AG$22,FALSE)))</f>
        <v/>
      </c>
      <c r="AH33" s="22" t="str">
        <f>IF(OR($B33="",AH$22=""),"",IF(LEN(VLOOKUP($B33,Database!$B$1:$IX$10144,AH$22,FALSE))=0,"",VLOOKUP($B33,Database!$B$1:$IX$10144,AH$22,FALSE)))</f>
        <v/>
      </c>
      <c r="AI33" s="22" t="str">
        <f>IF(OR($B33="",AI$22=""),"",IF(LEN(VLOOKUP($B33,Database!$B$1:$IX$10144,AI$22,FALSE))=0,"",VLOOKUP($B33,Database!$B$1:$IX$10144,AI$22,FALSE)))</f>
        <v/>
      </c>
      <c r="AJ33" s="22" t="str">
        <f>IF(OR($B33="",AJ$22=""),"",IF(LEN(VLOOKUP($B33,Database!$B$1:$IX$10144,AJ$22,FALSE))=0,"",VLOOKUP($B33,Database!$B$1:$IX$10144,AJ$22,FALSE)))</f>
        <v/>
      </c>
      <c r="AK33" s="22" t="str">
        <f>IF(OR($B33="",AK$22=""),"",IF(LEN(VLOOKUP($B33,Database!$B$1:$IX$10144,AK$22,FALSE))=0,"",VLOOKUP($B33,Database!$B$1:$IX$10144,AK$22,FALSE)))</f>
        <v/>
      </c>
      <c r="AL33" s="22" t="str">
        <f>IF(OR($B33="",AL$22=""),"",IF(LEN(VLOOKUP($B33,Database!$B$1:$IX$10144,AL$22,FALSE))=0,"",VLOOKUP($B33,Database!$B$1:$IX$10144,AL$22,FALSE)))</f>
        <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
      </c>
    </row>
    <row r="34" spans="2:51">
      <c r="B34" s="13"/>
      <c r="C34" s="1" t="str">
        <f>IF($B34="","",HYPERLINK(IF(LEN(VLOOKUP($B34,Database!$B$1:$IX$10144,2,FALSE))=0,"",VLOOKUP($B34,Database!$B$1:$IX$10144,2,FALSE))))</f>
        <v/>
      </c>
      <c r="D34" s="1" t="str">
        <f>IF($B34="","",HYPERLINK(CONCATENATE("http://www.ncbi.nlm.nih.gov/pubmed/",B34)))</f>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K34" s="10"/>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
      </c>
    </row>
    <row r="35" spans="2:51">
      <c r="I35" s="22" t="str">
        <f>IF($B35="","",IF(LEN(VLOOKUP($B35,Database!$B$1:$IX$10144,8,FALSE))=0,"",VLOOKUP($B35,Database!$B$1:$IX$10144,8,FALSE)))</f>
        <v/>
      </c>
      <c r="AF35" t="s">
        <v>602</v>
      </c>
      <c r="AJ35" t="s">
        <v>329</v>
      </c>
      <c r="AN35" t="s">
        <v>330</v>
      </c>
    </row>
    <row r="36" spans="2:51" ht="57.7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2:51">
      <c r="E37" t="str">
        <f t="shared" ref="E37:F39" si="1">E24</f>
        <v>Nolan CL</v>
      </c>
      <c r="F37">
        <f t="shared" si="1"/>
        <v>2002</v>
      </c>
      <c r="G37">
        <v>6</v>
      </c>
      <c r="H37">
        <f t="shared" ref="H37:I39" si="2">H24</f>
        <v>22</v>
      </c>
      <c r="I37">
        <f t="shared" si="2"/>
        <v>22</v>
      </c>
      <c r="J37">
        <f t="shared" ref="J37:M39" si="3">IF($D$4="Total",T24,IF($D$4="Left",L24,IF($D$4="Right",P24,"error")))</f>
        <v>19.61</v>
      </c>
      <c r="K37">
        <f t="shared" si="3"/>
        <v>4.97</v>
      </c>
      <c r="L37">
        <f t="shared" si="3"/>
        <v>18.29</v>
      </c>
      <c r="M37">
        <f t="shared" si="3"/>
        <v>3.01</v>
      </c>
      <c r="N37">
        <f t="shared" ref="N37:N42" si="4">IF($D$3=1,SQRT((((I37-1)*(M37)^2)+((H37-1)*(K37)^2))/(H37+I37-2)),M37)</f>
        <v>4.1085885654321732</v>
      </c>
      <c r="O37" s="59">
        <f t="shared" ref="O37:O42" si="5">IF($D$6=1,LN(J37/L37),IF($D$5=1,(1-3/(4*(H37+I37)-9))*((J37-L37)/N37),(J37-L37)/N37))</f>
        <v>0.31550674994719197</v>
      </c>
      <c r="P37" s="63">
        <f t="shared" ref="P37:P42" si="6">IF($D$6=1,(K37^2)/(H37*J37^2)+(M37^2)/(I37*L37^2),(IF($D$5=1,((H37+I37)/(H37*I37))+(O37*O37)/(2*(H37+I37-3.94)),((H37+I37)/(H37*I37))+((O37^2)/(2*(H37+I37-2))))))</f>
        <v>9.2151533610816322E-2</v>
      </c>
      <c r="Q37" s="59">
        <f t="shared" ref="Q37:Q42" si="7">$R$59*SQRT(P37)</f>
        <v>0.59498683306381828</v>
      </c>
      <c r="R37" s="59">
        <f t="shared" ref="R37:R42" si="8">1/P37</f>
        <v>10.851691348114738</v>
      </c>
      <c r="S37" s="59">
        <f t="shared" ref="S37:S42" si="9">O37*R37</f>
        <v>3.4237818686737431</v>
      </c>
      <c r="T37" s="59">
        <f t="shared" ref="T37:T42" si="10">R37*(O37^2)</f>
        <v>1.0802262899133763</v>
      </c>
      <c r="U37" s="23">
        <f t="shared" ref="U37:U42" si="11">R37^2</f>
        <v>117.75920511474826</v>
      </c>
      <c r="V37" s="59">
        <f t="shared" ref="V37:V42" si="12">1/((1/R37)+$I$56)</f>
        <v>10.851691348114738</v>
      </c>
      <c r="W37" s="59">
        <f t="shared" ref="W37:W42" si="13">V37*O37</f>
        <v>3.4237818686737431</v>
      </c>
      <c r="AF37" s="59">
        <f t="shared" ref="AF37:AF42" si="14">IF($D$6=1,100*((EXP(O37))-1),O37)</f>
        <v>0.31550674994719197</v>
      </c>
      <c r="AG37" s="59">
        <f t="shared" ref="AG37:AG42" si="15">IF($D$6=1,100*(EXP(O37+Q37)-EXP(O37)),Q37)</f>
        <v>0.59498683306381828</v>
      </c>
      <c r="AH37" s="59">
        <f t="shared" ref="AH37:AH42" si="16">IF($D$6=1,100*(EXP(O37)-EXP(O37-Q37)),Q37)</f>
        <v>0.59498683306381828</v>
      </c>
      <c r="AJ37">
        <f t="shared" ref="AJ37:AJ42" si="17">SQRT(P37)</f>
        <v>0.30356471074684604</v>
      </c>
      <c r="AK37">
        <f t="shared" ref="AK37:AK42" si="18">1/AJ37</f>
        <v>3.2941905452045028</v>
      </c>
      <c r="AL37">
        <f t="shared" ref="AL37:AL42" si="19">O37/AJ37</f>
        <v>1.0393393526242412</v>
      </c>
      <c r="AN37" t="str">
        <f t="shared" ref="AN37:AO42" si="20">E37</f>
        <v>Nolan CL</v>
      </c>
      <c r="AO37">
        <f t="shared" si="20"/>
        <v>2002</v>
      </c>
      <c r="AP37" t="str">
        <f t="shared" ref="AP37:AP42" si="21">CONCATENATE(AN37," ",AO37)</f>
        <v>Nolan CL 2002</v>
      </c>
      <c r="AQ37">
        <f t="shared" ref="AQ37:AQ42" si="22">INT(H37)</f>
        <v>22</v>
      </c>
      <c r="AR37">
        <f t="shared" ref="AR37:AS42" si="23">J37</f>
        <v>19.61</v>
      </c>
      <c r="AS37">
        <f t="shared" si="23"/>
        <v>4.97</v>
      </c>
      <c r="AT37">
        <f t="shared" ref="AT37:AT42" si="24">INT(I37)</f>
        <v>22</v>
      </c>
      <c r="AU37">
        <f t="shared" ref="AU37:AV42" si="25">L37</f>
        <v>18.29</v>
      </c>
      <c r="AV37">
        <f t="shared" si="25"/>
        <v>3.01</v>
      </c>
      <c r="AW37" s="65">
        <f t="shared" ref="AW37:AW42" si="26">O37</f>
        <v>0.31550674994719197</v>
      </c>
      <c r="AX37">
        <f t="shared" ref="AX37:AX42" si="27">SQRT(P37)</f>
        <v>0.30356471074684604</v>
      </c>
    </row>
    <row r="38" spans="2:51">
      <c r="E38" t="str">
        <f t="shared" si="1"/>
        <v>Salokangas RK</v>
      </c>
      <c r="F38">
        <f t="shared" si="1"/>
        <v>2002</v>
      </c>
      <c r="G38">
        <v>5</v>
      </c>
      <c r="H38">
        <f t="shared" si="2"/>
        <v>20</v>
      </c>
      <c r="I38">
        <f t="shared" si="2"/>
        <v>9.5</v>
      </c>
      <c r="J38">
        <f t="shared" si="3"/>
        <v>34.119999999999997</v>
      </c>
      <c r="K38">
        <f t="shared" si="3"/>
        <v>6.87</v>
      </c>
      <c r="L38">
        <f t="shared" si="3"/>
        <v>36.14</v>
      </c>
      <c r="M38">
        <f t="shared" si="3"/>
        <v>5.0999999999999996</v>
      </c>
      <c r="N38">
        <f t="shared" si="4"/>
        <v>6.3755958010355247</v>
      </c>
      <c r="O38" s="59">
        <f t="shared" si="5"/>
        <v>-0.30811295618924195</v>
      </c>
      <c r="P38" s="63">
        <f t="shared" si="6"/>
        <v>0.15712023132532515</v>
      </c>
      <c r="Q38" s="59">
        <f t="shared" si="7"/>
        <v>0.77691253089351642</v>
      </c>
      <c r="R38" s="59">
        <f t="shared" si="8"/>
        <v>6.3645527476945407</v>
      </c>
      <c r="S38" s="59">
        <f t="shared" si="9"/>
        <v>-1.9610011619145276</v>
      </c>
      <c r="T38" s="59">
        <f t="shared" si="10"/>
        <v>0.60420986508802343</v>
      </c>
      <c r="U38" s="23">
        <f t="shared" si="11"/>
        <v>40.507531678186126</v>
      </c>
      <c r="V38" s="59">
        <f t="shared" si="12"/>
        <v>6.3645527476945407</v>
      </c>
      <c r="W38" s="59">
        <f t="shared" si="13"/>
        <v>-1.9610011619145276</v>
      </c>
      <c r="AF38" s="59">
        <f t="shared" si="14"/>
        <v>-0.30811295618924195</v>
      </c>
      <c r="AG38" s="59">
        <f t="shared" si="15"/>
        <v>0.77691253089351642</v>
      </c>
      <c r="AH38" s="59">
        <f t="shared" si="16"/>
        <v>0.77691253089351642</v>
      </c>
      <c r="AJ38">
        <f t="shared" si="17"/>
        <v>0.39638394433342677</v>
      </c>
      <c r="AK38">
        <f t="shared" si="18"/>
        <v>2.5228065220493106</v>
      </c>
      <c r="AL38">
        <f t="shared" si="19"/>
        <v>-0.77730937540211309</v>
      </c>
      <c r="AN38" t="str">
        <f t="shared" si="20"/>
        <v>Salokangas RK</v>
      </c>
      <c r="AO38">
        <f t="shared" si="20"/>
        <v>2002</v>
      </c>
      <c r="AP38" t="str">
        <f t="shared" si="21"/>
        <v>Salokangas RK 2002</v>
      </c>
      <c r="AQ38">
        <f t="shared" si="22"/>
        <v>20</v>
      </c>
      <c r="AR38">
        <f t="shared" si="23"/>
        <v>34.119999999999997</v>
      </c>
      <c r="AS38">
        <f t="shared" si="23"/>
        <v>6.87</v>
      </c>
      <c r="AT38">
        <f t="shared" si="24"/>
        <v>9</v>
      </c>
      <c r="AU38">
        <f t="shared" si="25"/>
        <v>36.14</v>
      </c>
      <c r="AV38">
        <f t="shared" si="25"/>
        <v>5.0999999999999996</v>
      </c>
      <c r="AW38" s="65">
        <f t="shared" si="26"/>
        <v>-0.30811295618924195</v>
      </c>
      <c r="AX38">
        <f t="shared" si="27"/>
        <v>0.39638394433342677</v>
      </c>
    </row>
    <row r="39" spans="2:51">
      <c r="E39" t="str">
        <f t="shared" si="1"/>
        <v>Salokangas RK</v>
      </c>
      <c r="F39">
        <f t="shared" si="1"/>
        <v>2002</v>
      </c>
      <c r="G39">
        <v>4</v>
      </c>
      <c r="H39">
        <f t="shared" si="2"/>
        <v>17</v>
      </c>
      <c r="I39">
        <f t="shared" si="2"/>
        <v>9.5</v>
      </c>
      <c r="J39">
        <f t="shared" si="3"/>
        <v>38.96</v>
      </c>
      <c r="K39">
        <f t="shared" si="3"/>
        <v>7.34</v>
      </c>
      <c r="L39">
        <f t="shared" si="3"/>
        <v>36.14</v>
      </c>
      <c r="M39">
        <f t="shared" si="3"/>
        <v>5.0999999999999996</v>
      </c>
      <c r="N39">
        <f t="shared" si="4"/>
        <v>6.6489053878922695</v>
      </c>
      <c r="O39" s="59">
        <f t="shared" si="5"/>
        <v>0.41101254202399518</v>
      </c>
      <c r="P39" s="63">
        <f t="shared" si="6"/>
        <v>0.16783073229101012</v>
      </c>
      <c r="Q39" s="59">
        <f t="shared" si="7"/>
        <v>0.80295612655309156</v>
      </c>
      <c r="R39" s="59">
        <f t="shared" si="8"/>
        <v>5.9583842979726143</v>
      </c>
      <c r="S39" s="59">
        <f t="shared" si="9"/>
        <v>2.4489706766655823</v>
      </c>
      <c r="T39" s="59">
        <f t="shared" si="10"/>
        <v>1.0065576631585444</v>
      </c>
      <c r="U39" s="23">
        <f t="shared" si="11"/>
        <v>35.502343442326605</v>
      </c>
      <c r="V39" s="59">
        <f t="shared" si="12"/>
        <v>5.9583842979726143</v>
      </c>
      <c r="W39" s="59">
        <f t="shared" si="13"/>
        <v>2.4489706766655823</v>
      </c>
      <c r="AF39" s="59">
        <f t="shared" si="14"/>
        <v>0.41101254202399518</v>
      </c>
      <c r="AG39" s="59">
        <f t="shared" si="15"/>
        <v>0.80295612655309156</v>
      </c>
      <c r="AH39" s="59">
        <f t="shared" si="16"/>
        <v>0.80295612655309156</v>
      </c>
      <c r="AJ39">
        <f t="shared" si="17"/>
        <v>0.40967149313933243</v>
      </c>
      <c r="AK39">
        <f t="shared" si="18"/>
        <v>2.4409801920483938</v>
      </c>
      <c r="AL39">
        <f t="shared" si="19"/>
        <v>1.0032734737640303</v>
      </c>
      <c r="AN39" t="str">
        <f t="shared" si="20"/>
        <v>Salokangas RK</v>
      </c>
      <c r="AO39">
        <f t="shared" si="20"/>
        <v>2002</v>
      </c>
      <c r="AP39" t="str">
        <f t="shared" si="21"/>
        <v>Salokangas RK 2002</v>
      </c>
      <c r="AQ39">
        <f t="shared" si="22"/>
        <v>17</v>
      </c>
      <c r="AR39">
        <f t="shared" si="23"/>
        <v>38.96</v>
      </c>
      <c r="AS39">
        <f t="shared" si="23"/>
        <v>7.34</v>
      </c>
      <c r="AT39">
        <f t="shared" si="24"/>
        <v>9</v>
      </c>
      <c r="AU39">
        <f t="shared" si="25"/>
        <v>36.14</v>
      </c>
      <c r="AV39">
        <f t="shared" si="25"/>
        <v>5.0999999999999996</v>
      </c>
      <c r="AW39" s="65">
        <f t="shared" si="26"/>
        <v>0.41101254202399518</v>
      </c>
      <c r="AX39">
        <f t="shared" si="27"/>
        <v>0.40967149313933243</v>
      </c>
    </row>
    <row r="40" spans="2:51">
      <c r="E40" t="str">
        <f t="shared" ref="E40:F42" si="28">E27</f>
        <v>Lavretsky H</v>
      </c>
      <c r="F40">
        <f t="shared" si="28"/>
        <v>2004</v>
      </c>
      <c r="G40">
        <v>3</v>
      </c>
      <c r="H40">
        <f t="shared" ref="H40:I42" si="29">H27</f>
        <v>32</v>
      </c>
      <c r="I40">
        <f t="shared" si="29"/>
        <v>20</v>
      </c>
      <c r="J40">
        <f t="shared" ref="J40:M42" si="30">IF($D$4="Total",T27,IF($D$4="Left",L27,IF($D$4="Right",P27,"error")))</f>
        <v>5.0799999999999998E-2</v>
      </c>
      <c r="K40">
        <f t="shared" si="30"/>
        <v>6.8999999999999999E-3</v>
      </c>
      <c r="L40">
        <f t="shared" si="30"/>
        <v>5.1400000000000001E-2</v>
      </c>
      <c r="M40">
        <f t="shared" si="30"/>
        <v>4.8999999999999998E-3</v>
      </c>
      <c r="N40">
        <f t="shared" si="4"/>
        <v>6.2162689774494153E-3</v>
      </c>
      <c r="O40" s="59">
        <f t="shared" si="5"/>
        <v>-9.5065830647473606E-2</v>
      </c>
      <c r="P40" s="63">
        <f t="shared" si="6"/>
        <v>8.1344023222603978E-2</v>
      </c>
      <c r="Q40" s="59">
        <f t="shared" si="7"/>
        <v>0.55900912301317185</v>
      </c>
      <c r="R40" s="59">
        <f t="shared" si="8"/>
        <v>12.293466199273492</v>
      </c>
      <c r="S40" s="59">
        <f t="shared" si="9"/>
        <v>-1.1686885757705749</v>
      </c>
      <c r="T40" s="59">
        <f t="shared" si="10"/>
        <v>0.1111023502238426</v>
      </c>
      <c r="U40" s="23">
        <f t="shared" si="11"/>
        <v>151.12931119267984</v>
      </c>
      <c r="V40" s="59">
        <f t="shared" si="12"/>
        <v>12.293466199273492</v>
      </c>
      <c r="W40" s="59">
        <f t="shared" si="13"/>
        <v>-1.1686885757705749</v>
      </c>
      <c r="AF40" s="59">
        <f t="shared" si="14"/>
        <v>-9.5065830647473606E-2</v>
      </c>
      <c r="AG40" s="59">
        <f t="shared" si="15"/>
        <v>0.55900912301317185</v>
      </c>
      <c r="AH40" s="59">
        <f t="shared" si="16"/>
        <v>0.55900912301317185</v>
      </c>
      <c r="AJ40">
        <f t="shared" si="17"/>
        <v>0.28520873623121012</v>
      </c>
      <c r="AK40">
        <f t="shared" si="18"/>
        <v>3.50620395859589</v>
      </c>
      <c r="AL40">
        <f t="shared" si="19"/>
        <v>-0.33332019174337846</v>
      </c>
      <c r="AN40" t="str">
        <f t="shared" si="20"/>
        <v>Lavretsky H</v>
      </c>
      <c r="AO40">
        <f t="shared" si="20"/>
        <v>2004</v>
      </c>
      <c r="AP40" t="str">
        <f t="shared" si="21"/>
        <v>Lavretsky H 2004</v>
      </c>
      <c r="AQ40">
        <f t="shared" si="22"/>
        <v>32</v>
      </c>
      <c r="AR40">
        <f t="shared" si="23"/>
        <v>5.0799999999999998E-2</v>
      </c>
      <c r="AS40">
        <f t="shared" si="23"/>
        <v>6.8999999999999999E-3</v>
      </c>
      <c r="AT40">
        <f t="shared" si="24"/>
        <v>20</v>
      </c>
      <c r="AU40">
        <f t="shared" si="25"/>
        <v>5.1400000000000001E-2</v>
      </c>
      <c r="AV40">
        <f t="shared" si="25"/>
        <v>4.8999999999999998E-3</v>
      </c>
      <c r="AW40" s="65">
        <f t="shared" si="26"/>
        <v>-9.5065830647473606E-2</v>
      </c>
      <c r="AX40">
        <f t="shared" si="27"/>
        <v>0.28520873623121012</v>
      </c>
    </row>
    <row r="41" spans="2:51">
      <c r="E41" t="str">
        <f t="shared" si="28"/>
        <v>Lavretsky H</v>
      </c>
      <c r="F41">
        <f t="shared" si="28"/>
        <v>2004</v>
      </c>
      <c r="G41">
        <v>2</v>
      </c>
      <c r="H41">
        <f t="shared" si="29"/>
        <v>9</v>
      </c>
      <c r="I41">
        <f t="shared" si="29"/>
        <v>21</v>
      </c>
      <c r="J41">
        <f t="shared" si="30"/>
        <v>4.9399999999999999E-2</v>
      </c>
      <c r="K41">
        <f t="shared" si="30"/>
        <v>5.47E-3</v>
      </c>
      <c r="L41">
        <f t="shared" si="30"/>
        <v>5.1499999999999997E-2</v>
      </c>
      <c r="M41">
        <f t="shared" si="30"/>
        <v>5.5999999999999999E-3</v>
      </c>
      <c r="N41">
        <f t="shared" si="4"/>
        <v>5.5631671349536654E-3</v>
      </c>
      <c r="O41" s="59">
        <f t="shared" si="5"/>
        <v>-0.36728057843264117</v>
      </c>
      <c r="P41" s="63">
        <f t="shared" si="6"/>
        <v>0.1613183211110838</v>
      </c>
      <c r="Q41" s="59">
        <f t="shared" si="7"/>
        <v>0.78722326082270944</v>
      </c>
      <c r="R41" s="59">
        <f t="shared" si="8"/>
        <v>6.1989239232870519</v>
      </c>
      <c r="S41" s="59">
        <f t="shared" si="9"/>
        <v>-2.2767443642048057</v>
      </c>
      <c r="T41" s="59">
        <f t="shared" si="10"/>
        <v>0.83620398702839682</v>
      </c>
      <c r="U41" s="23">
        <f t="shared" si="11"/>
        <v>38.426657806700533</v>
      </c>
      <c r="V41" s="59">
        <f t="shared" si="12"/>
        <v>6.1989239232870519</v>
      </c>
      <c r="W41" s="59">
        <f t="shared" si="13"/>
        <v>-2.2767443642048057</v>
      </c>
      <c r="AF41" s="59">
        <f t="shared" si="14"/>
        <v>-0.36728057843264117</v>
      </c>
      <c r="AG41" s="59">
        <f t="shared" si="15"/>
        <v>0.78722326082270944</v>
      </c>
      <c r="AH41" s="59">
        <f t="shared" si="16"/>
        <v>0.78722326082270944</v>
      </c>
      <c r="AJ41">
        <f t="shared" si="17"/>
        <v>0.40164452082791297</v>
      </c>
      <c r="AK41">
        <f t="shared" si="18"/>
        <v>2.4897638288173138</v>
      </c>
      <c r="AL41">
        <f t="shared" si="19"/>
        <v>-0.91444189920869046</v>
      </c>
      <c r="AN41" t="str">
        <f t="shared" si="20"/>
        <v>Lavretsky H</v>
      </c>
      <c r="AO41">
        <f t="shared" si="20"/>
        <v>2004</v>
      </c>
      <c r="AP41" t="str">
        <f t="shared" si="21"/>
        <v>Lavretsky H 2004</v>
      </c>
      <c r="AQ41">
        <f t="shared" si="22"/>
        <v>9</v>
      </c>
      <c r="AR41">
        <f t="shared" si="23"/>
        <v>4.9399999999999999E-2</v>
      </c>
      <c r="AS41">
        <f t="shared" si="23"/>
        <v>5.47E-3</v>
      </c>
      <c r="AT41">
        <f t="shared" si="24"/>
        <v>21</v>
      </c>
      <c r="AU41">
        <f t="shared" si="25"/>
        <v>5.1499999999999997E-2</v>
      </c>
      <c r="AV41">
        <f t="shared" si="25"/>
        <v>5.5999999999999999E-3</v>
      </c>
      <c r="AW41" s="65">
        <f t="shared" si="26"/>
        <v>-0.36728057843264117</v>
      </c>
      <c r="AX41">
        <f t="shared" si="27"/>
        <v>0.40164452082791297</v>
      </c>
    </row>
    <row r="42" spans="2:51">
      <c r="E42" t="str">
        <f t="shared" si="28"/>
        <v>Frodl T</v>
      </c>
      <c r="F42">
        <f t="shared" si="28"/>
        <v>2006</v>
      </c>
      <c r="G42">
        <v>1</v>
      </c>
      <c r="H42">
        <f t="shared" si="29"/>
        <v>34</v>
      </c>
      <c r="I42">
        <f t="shared" si="29"/>
        <v>34</v>
      </c>
      <c r="J42">
        <f t="shared" si="30"/>
        <v>68.8</v>
      </c>
      <c r="K42">
        <f t="shared" si="30"/>
        <v>5</v>
      </c>
      <c r="L42">
        <f t="shared" si="30"/>
        <v>68.8</v>
      </c>
      <c r="M42">
        <f t="shared" si="30"/>
        <v>6.1</v>
      </c>
      <c r="N42">
        <f t="shared" si="4"/>
        <v>5.5771856702103788</v>
      </c>
      <c r="O42" s="59">
        <f t="shared" si="5"/>
        <v>0</v>
      </c>
      <c r="P42" s="63">
        <f t="shared" si="6"/>
        <v>5.8823529411764705E-2</v>
      </c>
      <c r="Q42" s="59">
        <f t="shared" si="7"/>
        <v>0.47536982507121261</v>
      </c>
      <c r="R42" s="59">
        <f t="shared" si="8"/>
        <v>17</v>
      </c>
      <c r="S42" s="59">
        <f t="shared" si="9"/>
        <v>0</v>
      </c>
      <c r="T42" s="59">
        <f t="shared" si="10"/>
        <v>0</v>
      </c>
      <c r="U42" s="23">
        <f t="shared" si="11"/>
        <v>289</v>
      </c>
      <c r="V42" s="59">
        <f t="shared" si="12"/>
        <v>17</v>
      </c>
      <c r="W42" s="59">
        <f t="shared" si="13"/>
        <v>0</v>
      </c>
      <c r="AF42" s="59">
        <f t="shared" si="14"/>
        <v>0</v>
      </c>
      <c r="AG42" s="59">
        <f t="shared" si="15"/>
        <v>0.47536982507121261</v>
      </c>
      <c r="AH42" s="59">
        <f t="shared" si="16"/>
        <v>0.47536982507121261</v>
      </c>
      <c r="AJ42">
        <f t="shared" si="17"/>
        <v>0.24253562503633297</v>
      </c>
      <c r="AK42">
        <f t="shared" si="18"/>
        <v>4.1231056256176606</v>
      </c>
      <c r="AL42">
        <f t="shared" si="19"/>
        <v>0</v>
      </c>
      <c r="AN42" t="str">
        <f t="shared" si="20"/>
        <v>Frodl T</v>
      </c>
      <c r="AO42">
        <f t="shared" si="20"/>
        <v>2006</v>
      </c>
      <c r="AP42" t="str">
        <f t="shared" si="21"/>
        <v>Frodl T 2006</v>
      </c>
      <c r="AQ42">
        <f t="shared" si="22"/>
        <v>34</v>
      </c>
      <c r="AR42">
        <f t="shared" si="23"/>
        <v>68.8</v>
      </c>
      <c r="AS42">
        <f t="shared" si="23"/>
        <v>5</v>
      </c>
      <c r="AT42">
        <f t="shared" si="24"/>
        <v>34</v>
      </c>
      <c r="AU42">
        <f t="shared" si="25"/>
        <v>68.8</v>
      </c>
      <c r="AV42">
        <f t="shared" si="25"/>
        <v>6.1</v>
      </c>
      <c r="AW42" s="65">
        <f t="shared" si="26"/>
        <v>0</v>
      </c>
      <c r="AX42">
        <f t="shared" si="27"/>
        <v>0.24253562503633297</v>
      </c>
    </row>
    <row r="43" spans="2:51">
      <c r="U43" s="23"/>
    </row>
    <row r="44" spans="2:51">
      <c r="L44" t="s">
        <v>500</v>
      </c>
      <c r="N44" s="7"/>
      <c r="O44" s="66">
        <f>COUNT(O37:O42)</f>
        <v>6</v>
      </c>
      <c r="Q44" t="s">
        <v>885</v>
      </c>
      <c r="R44" s="59">
        <f t="shared" ref="R44:W44" si="31">SUM(R37:R42)</f>
        <v>58.667018516342438</v>
      </c>
      <c r="S44" s="59">
        <f t="shared" si="31"/>
        <v>0.46631844344941697</v>
      </c>
      <c r="T44" s="59">
        <f t="shared" si="31"/>
        <v>3.6383001554121837</v>
      </c>
      <c r="U44" s="23">
        <f t="shared" si="31"/>
        <v>672.32504923464137</v>
      </c>
      <c r="V44" s="59">
        <f t="shared" si="31"/>
        <v>58.667018516342438</v>
      </c>
      <c r="W44" s="59">
        <f t="shared" si="31"/>
        <v>0.46631844344941697</v>
      </c>
    </row>
    <row r="45" spans="2:51">
      <c r="L45" t="s">
        <v>501</v>
      </c>
      <c r="N45" s="7"/>
      <c r="O45" s="2">
        <v>2</v>
      </c>
    </row>
    <row r="46" spans="2:51">
      <c r="N46" s="7"/>
      <c r="O46" s="7"/>
    </row>
    <row r="47" spans="2:51">
      <c r="G47" s="67" t="s">
        <v>502</v>
      </c>
      <c r="H47" s="40"/>
      <c r="I47" s="40">
        <f>S44/R44</f>
        <v>7.9485621605181467E-3</v>
      </c>
      <c r="J47" s="40"/>
      <c r="K47" s="68" t="s">
        <v>879</v>
      </c>
      <c r="L47" s="40"/>
      <c r="M47" s="42"/>
      <c r="N47" s="7"/>
      <c r="O47" s="69" t="s">
        <v>503</v>
      </c>
      <c r="P47" s="70">
        <f>T44-((S44^2)/R44)</f>
        <v>3.6345935942778298</v>
      </c>
      <c r="Q47" s="71" t="s">
        <v>824</v>
      </c>
      <c r="R47" s="28"/>
      <c r="S47" s="29"/>
      <c r="T47" s="30"/>
      <c r="U47" s="31"/>
      <c r="AF47" s="2" t="s">
        <v>1518</v>
      </c>
    </row>
    <row r="48" spans="2:51">
      <c r="G48" s="43" t="s">
        <v>504</v>
      </c>
      <c r="H48" s="31"/>
      <c r="I48" s="31">
        <f>1/R44</f>
        <v>1.7045352317016715E-2</v>
      </c>
      <c r="J48" s="31"/>
      <c r="K48" s="31"/>
      <c r="L48" s="31"/>
      <c r="M48" s="44"/>
      <c r="N48" s="7"/>
      <c r="O48" s="30" t="s">
        <v>505</v>
      </c>
      <c r="P48" s="31">
        <f>CHIDIST(P47,I52-1)</f>
        <v>0.60312681923783007</v>
      </c>
      <c r="Q48" s="31"/>
      <c r="R48" s="31"/>
      <c r="S48" s="34"/>
      <c r="T48" s="30"/>
      <c r="U48" s="31"/>
      <c r="AF48" s="2"/>
    </row>
    <row r="49" spans="7:34">
      <c r="G49" s="72" t="s">
        <v>506</v>
      </c>
      <c r="H49" s="31"/>
      <c r="I49" s="31">
        <f>$R$59*SQRT(I48)</f>
        <v>0.25589338690370922</v>
      </c>
      <c r="J49" s="31"/>
      <c r="K49" s="31" t="s">
        <v>507</v>
      </c>
      <c r="L49" s="31"/>
      <c r="M49" s="44">
        <f>ABS(I47/SQRT(I48))</f>
        <v>6.0881533607110759E-2</v>
      </c>
      <c r="N49" s="7"/>
      <c r="O49" s="35" t="s">
        <v>508</v>
      </c>
      <c r="P49" s="37">
        <f>IF(((P47-(I52-1))/P47)&lt;0,0,100*((P47-(I52-1))/P47))</f>
        <v>0</v>
      </c>
      <c r="Q49" s="36"/>
      <c r="R49" s="36"/>
      <c r="S49" s="38"/>
      <c r="T49" s="30"/>
      <c r="U49" s="31"/>
      <c r="AF49" s="2" t="s">
        <v>1535</v>
      </c>
      <c r="AH49">
        <f>IF($D$6=1,100*((EXP(I47))-1),I47)</f>
        <v>7.9485621605181467E-3</v>
      </c>
    </row>
    <row r="50" spans="7:34">
      <c r="G50" s="45" t="s">
        <v>509</v>
      </c>
      <c r="H50" s="46"/>
      <c r="I50" s="46">
        <v>-2</v>
      </c>
      <c r="J50" s="46"/>
      <c r="K50" s="46" t="s">
        <v>825</v>
      </c>
      <c r="L50" s="46"/>
      <c r="M50" s="47">
        <f>2*(1-NORMDIST(M49,0,1,1))</f>
        <v>0.95145355620804883</v>
      </c>
      <c r="N50" s="7"/>
      <c r="O50" s="7"/>
      <c r="AF50" s="79" t="s">
        <v>834</v>
      </c>
      <c r="AH50">
        <f>IF($D$6=1,100*(EXP(I47+I49)-EXP(I47)),I49)</f>
        <v>0.25589338690370922</v>
      </c>
    </row>
    <row r="51" spans="7:34">
      <c r="G51" s="40"/>
      <c r="H51" s="40"/>
      <c r="I51" s="40"/>
      <c r="J51" s="40"/>
      <c r="K51" s="40"/>
      <c r="L51" s="40"/>
      <c r="M51" s="40"/>
      <c r="N51" s="7"/>
      <c r="O51" s="7"/>
      <c r="AF51" s="79" t="s">
        <v>835</v>
      </c>
      <c r="AH51">
        <f>IF($D$6=1,100*(EXP(I47)-EXP(I47-I49)),I49)</f>
        <v>0.25589338690370922</v>
      </c>
    </row>
    <row r="52" spans="7:34">
      <c r="G52" s="73" t="s">
        <v>1110</v>
      </c>
      <c r="H52" s="74"/>
      <c r="I52" s="74">
        <f>O44</f>
        <v>6</v>
      </c>
      <c r="J52" s="74"/>
      <c r="K52" s="75" t="s">
        <v>1167</v>
      </c>
      <c r="L52" s="74"/>
      <c r="M52" s="76"/>
      <c r="N52" s="77"/>
      <c r="O52" s="101" t="s">
        <v>1513</v>
      </c>
      <c r="P52" s="102"/>
      <c r="Q52" s="103"/>
      <c r="AF52" s="7"/>
    </row>
    <row r="53" spans="7:34">
      <c r="G53" s="77" t="s">
        <v>1531</v>
      </c>
      <c r="H53" s="31"/>
      <c r="I53" s="31">
        <f>R44/I52</f>
        <v>9.7778364193904057</v>
      </c>
      <c r="J53" s="31"/>
      <c r="K53" s="31"/>
      <c r="L53" s="31"/>
      <c r="M53" s="78"/>
      <c r="N53" s="77"/>
      <c r="O53" s="104" t="s">
        <v>1514</v>
      </c>
      <c r="P53" s="31"/>
      <c r="Q53" s="105">
        <f>INDEX(LINEST(AL37:AL42,AK37:AK42,TRUE,TRUE),1,2)</f>
        <v>-0.52781710760429157</v>
      </c>
      <c r="AF53" s="2" t="s">
        <v>1687</v>
      </c>
      <c r="AH53">
        <f>IF($D$6=1,100*((EXP(I58))-1),I58)</f>
        <v>7.9485621605181467E-3</v>
      </c>
    </row>
    <row r="54" spans="7:34">
      <c r="G54" s="77" t="s">
        <v>1532</v>
      </c>
      <c r="H54" s="31"/>
      <c r="I54" s="31">
        <f>(1/(I52-1))*(U44-(I52*I53^2))</f>
        <v>19.737707793699407</v>
      </c>
      <c r="J54" s="31"/>
      <c r="K54" s="31"/>
      <c r="L54" s="31"/>
      <c r="M54" s="78"/>
      <c r="N54" s="77"/>
      <c r="O54" s="104" t="s">
        <v>1516</v>
      </c>
      <c r="P54" s="31"/>
      <c r="Q54" s="105">
        <f>INDEX(LINEST(AL37:AL42,AK37:AK42,TRUE,TRUE),2,2)</f>
        <v>1.9135790693354966</v>
      </c>
      <c r="AF54" s="79" t="s">
        <v>834</v>
      </c>
      <c r="AG54" s="7"/>
      <c r="AH54">
        <f>IF($D$6=1,100*(EXP(I58+I60)-EXP(I58)),I60)</f>
        <v>0.25589338690370922</v>
      </c>
    </row>
    <row r="55" spans="7:34">
      <c r="G55" s="77" t="s">
        <v>1669</v>
      </c>
      <c r="H55" s="31"/>
      <c r="I55" s="31">
        <f>(I52-1)*(I53-(I54/(I52*I53)))</f>
        <v>47.20700118058236</v>
      </c>
      <c r="J55" s="31"/>
      <c r="K55" s="31"/>
      <c r="L55" s="31"/>
      <c r="M55" s="78"/>
      <c r="N55" s="77"/>
      <c r="O55" s="104" t="s">
        <v>1349</v>
      </c>
      <c r="P55" s="31"/>
      <c r="Q55" s="105">
        <f>ABS(Q53/Q54)</f>
        <v>0.27582717435740955</v>
      </c>
      <c r="AF55" s="79" t="s">
        <v>835</v>
      </c>
      <c r="AH55">
        <f>IF($D$6=1,100*(EXP(I58)-EXP(I58-I60)),I60)</f>
        <v>0.25589338690370922</v>
      </c>
    </row>
    <row r="56" spans="7:34">
      <c r="G56" s="77" t="s">
        <v>1685</v>
      </c>
      <c r="H56" s="31"/>
      <c r="I56" s="31">
        <f>IF(P47&gt;(I52-1),(P47-(I52-1))/I55,0)</f>
        <v>0</v>
      </c>
      <c r="J56" s="31"/>
      <c r="K56" s="31"/>
      <c r="L56" s="31"/>
      <c r="M56" s="78"/>
      <c r="N56" s="77"/>
      <c r="O56" s="106" t="s">
        <v>1515</v>
      </c>
      <c r="P56" s="107"/>
      <c r="Q56" s="108">
        <f>TDIST(Q55,I52-2,2)</f>
        <v>0.79634436590649682</v>
      </c>
    </row>
    <row r="57" spans="7:34">
      <c r="G57" s="77"/>
      <c r="H57" s="31"/>
      <c r="I57" s="31"/>
      <c r="J57" s="31"/>
      <c r="K57" s="31"/>
      <c r="L57" s="31"/>
      <c r="M57" s="78"/>
      <c r="N57" s="77"/>
    </row>
    <row r="58" spans="7:34">
      <c r="G58" s="77" t="s">
        <v>1686</v>
      </c>
      <c r="H58" s="31"/>
      <c r="I58" s="31">
        <f>W44/V44</f>
        <v>7.9485621605181467E-3</v>
      </c>
      <c r="J58" s="31"/>
      <c r="N58" s="77"/>
    </row>
    <row r="59" spans="7:34">
      <c r="G59" s="77" t="s">
        <v>504</v>
      </c>
      <c r="H59" s="31"/>
      <c r="I59" s="31">
        <f>1/V44</f>
        <v>1.7045352317016715E-2</v>
      </c>
      <c r="J59" s="31"/>
      <c r="N59" s="77"/>
      <c r="O59" t="s">
        <v>805</v>
      </c>
      <c r="R59">
        <v>1.96</v>
      </c>
    </row>
    <row r="60" spans="7:34">
      <c r="G60" s="80" t="s">
        <v>506</v>
      </c>
      <c r="H60" s="31"/>
      <c r="I60" s="31">
        <f>$R$59*SQRT(I59)</f>
        <v>0.25589338690370922</v>
      </c>
      <c r="J60" s="31"/>
      <c r="K60" s="31" t="s">
        <v>507</v>
      </c>
      <c r="L60" s="31"/>
      <c r="M60" s="78">
        <f>ABS(I58/(SQRT(I59)))</f>
        <v>6.0881533607110759E-2</v>
      </c>
      <c r="N60" s="77"/>
    </row>
    <row r="61" spans="7:34">
      <c r="G61" s="81" t="s">
        <v>509</v>
      </c>
      <c r="H61" s="82"/>
      <c r="I61" s="82">
        <v>-3</v>
      </c>
      <c r="J61" s="82"/>
      <c r="K61" s="31" t="s">
        <v>825</v>
      </c>
      <c r="L61" s="31"/>
      <c r="M61" s="78">
        <f>2*(1-NORMDIST(M60,0,1,1))</f>
        <v>0.95145355620804883</v>
      </c>
      <c r="N61" s="77"/>
    </row>
    <row r="62" spans="7:34">
      <c r="G62" s="74"/>
      <c r="H62" s="74"/>
      <c r="I62" s="74"/>
      <c r="J62" s="74"/>
      <c r="K62" s="74"/>
      <c r="L62" s="74"/>
      <c r="M62" s="74"/>
      <c r="N62" s="31"/>
      <c r="O62" s="7"/>
    </row>
  </sheetData>
  <phoneticPr fontId="10" type="noConversion"/>
  <conditionalFormatting sqref="D17 D13 F13">
    <cfRule type="cellIs" dxfId="52" priority="0" stopIfTrue="1" operator="lessThan">
      <formula>0.05</formula>
    </cfRule>
  </conditionalFormatting>
  <conditionalFormatting sqref="D21">
    <cfRule type="cellIs" dxfId="5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4.xml><?xml version="1.0" encoding="utf-8"?>
<worksheet xmlns="http://schemas.openxmlformats.org/spreadsheetml/2006/main" xmlns:r="http://schemas.openxmlformats.org/officeDocument/2006/relationships">
  <sheetPr published="0" codeName="Sheet50" enableFormatConditionsCalculation="0"/>
  <dimension ref="A1:BM6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679</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I52-O45</f>
        <v>4</v>
      </c>
      <c r="AD7" s="89"/>
    </row>
    <row r="8" spans="2:30">
      <c r="B8" t="s">
        <v>822</v>
      </c>
      <c r="D8">
        <f>SUM(H24:H29)</f>
        <v>134</v>
      </c>
      <c r="AD8" s="89"/>
    </row>
    <row r="9" spans="2:30">
      <c r="B9" t="s">
        <v>823</v>
      </c>
      <c r="D9">
        <f>SUM(I24:I29)</f>
        <v>116</v>
      </c>
      <c r="AD9" s="89"/>
    </row>
    <row r="11" spans="2:30">
      <c r="B11" s="27" t="s">
        <v>516</v>
      </c>
      <c r="C11" s="28"/>
      <c r="D11" s="109">
        <f>P47</f>
        <v>6.295510808664579</v>
      </c>
      <c r="E11" s="110" t="s">
        <v>1513</v>
      </c>
      <c r="F11" s="103"/>
    </row>
    <row r="12" spans="2:30">
      <c r="B12" s="30" t="s">
        <v>826</v>
      </c>
      <c r="C12" s="31"/>
      <c r="D12" s="112">
        <f>P49</f>
        <v>20.578327129254607</v>
      </c>
      <c r="E12" s="31"/>
      <c r="F12" s="105"/>
    </row>
    <row r="13" spans="2:30">
      <c r="B13" s="35" t="s">
        <v>825</v>
      </c>
      <c r="C13" s="36"/>
      <c r="D13" s="113">
        <f>P48</f>
        <v>0.27851702449610949</v>
      </c>
      <c r="E13" s="111" t="s">
        <v>825</v>
      </c>
      <c r="F13" s="115">
        <f>Q56</f>
        <v>0.58572661356600508</v>
      </c>
    </row>
    <row r="15" spans="2:30">
      <c r="B15" s="39" t="s">
        <v>879</v>
      </c>
      <c r="C15" s="40"/>
      <c r="D15" s="41">
        <f>AH49</f>
        <v>-8.5134939110848559E-2</v>
      </c>
      <c r="E15" s="116"/>
    </row>
    <row r="16" spans="2:30">
      <c r="B16" s="43" t="s">
        <v>1165</v>
      </c>
      <c r="C16" s="31"/>
      <c r="D16" s="33">
        <f>AH49-AH51</f>
        <v>-0.34189799154501049</v>
      </c>
      <c r="E16" s="117">
        <f>AH49+AH50</f>
        <v>0.17162811332331335</v>
      </c>
    </row>
    <row r="17" spans="1:65">
      <c r="B17" s="45" t="s">
        <v>1166</v>
      </c>
      <c r="C17" s="46"/>
      <c r="D17" s="123">
        <f>M50</f>
        <v>0.51577147866296724</v>
      </c>
      <c r="E17" s="118"/>
    </row>
    <row r="18" spans="1:65">
      <c r="D18" s="48"/>
      <c r="F18" s="49"/>
    </row>
    <row r="19" spans="1:65">
      <c r="B19" s="50" t="s">
        <v>1167</v>
      </c>
      <c r="C19" s="51"/>
      <c r="D19" s="52">
        <f>AH53</f>
        <v>-7.8829684152245824E-2</v>
      </c>
      <c r="E19" s="120"/>
      <c r="F19" s="33"/>
      <c r="G19" s="31"/>
    </row>
    <row r="20" spans="1:65">
      <c r="B20" s="53" t="s">
        <v>1165</v>
      </c>
      <c r="C20" s="31"/>
      <c r="D20" s="33">
        <f>AH53-AH55</f>
        <v>-0.37196591935873435</v>
      </c>
      <c r="E20" s="121">
        <f>AH53+AH54</f>
        <v>0.21430655105424268</v>
      </c>
      <c r="F20" s="31"/>
      <c r="G20" s="31"/>
    </row>
    <row r="21" spans="1:65">
      <c r="B21" s="54" t="s">
        <v>1440</v>
      </c>
      <c r="C21" s="55"/>
      <c r="D21" s="114">
        <f>M61</f>
        <v>0.59813819094244836</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11825139</v>
      </c>
      <c r="C24" s="1" t="str">
        <f>IF($B24="","",HYPERLINK(IF(LEN(VLOOKUP($B24,Database!$B$1:$IX$10144,2,FALSE))=0,"",VLOOKUP($B24,Database!$B$1:$IX$10144,2,FALSE))))</f>
        <v/>
      </c>
      <c r="D24" s="1" t="str">
        <f t="shared" ref="D24:D30" si="0">IF($B24="","",HYPERLINK(CONCATENATE("http://www.ncbi.nlm.nih.gov/pubmed/",B24)))</f>
        <v>http://www.ncbi.nlm.nih.gov/pubmed/11825139</v>
      </c>
      <c r="E24" s="22" t="str">
        <f>IF($B24="","",IF(LEN(VLOOKUP($B24,Database!$B$1:$IX$10144,4,FALSE))=0,"",VLOOKUP($B24,Database!$B$1:$IX$10144,4,FALSE)))</f>
        <v>Nolan CL</v>
      </c>
      <c r="F24" s="22">
        <f>IF($B24="","",IF(LEN(VLOOKUP($B24,Database!$B$1:$IX$10144,5,FALSE))=0,"",VLOOKUP($B24,Database!$B$1:$IX$10144,5,FALSE)))</f>
        <v>2002</v>
      </c>
      <c r="G24" s="1" t="str">
        <f>IF($B24="","",HYPERLINK(IF(LEN(VLOOKUP($B24,Database!$B$1:$IX$10144,6,FALSE))=0,"",VLOOKUP($B24,Database!$B$1:$IX$10144,6,FALSE))))</f>
        <v>http://archpsyc.ama-assn.org/cgi/reprint/59/2/173</v>
      </c>
      <c r="H24" s="22">
        <f>IF($B24="","",IF(LEN(VLOOKUP($B24,Database!$B$1:$IX$10144,7,FALSE))=0,"",VLOOKUP($B24,Database!$B$1:$IX$10144,7,FALSE)))</f>
        <v>22</v>
      </c>
      <c r="I24" s="22">
        <f>IF($B24="","",IF(LEN(VLOOKUP($B24,Database!$B$1:$IX$10144,8,FALSE))=0,"",VLOOKUP($B24,Database!$B$1:$IX$10144,8,FALSE)))</f>
        <v>22</v>
      </c>
      <c r="J24" t="s">
        <v>1200</v>
      </c>
      <c r="K24" t="s">
        <v>448</v>
      </c>
      <c r="L24">
        <v>19.61</v>
      </c>
      <c r="M24">
        <v>4.97</v>
      </c>
      <c r="N24">
        <v>18.29</v>
      </c>
      <c r="O24">
        <v>3.01</v>
      </c>
      <c r="P24">
        <v>25.94</v>
      </c>
      <c r="Q24">
        <v>7.66</v>
      </c>
      <c r="R24">
        <v>25.02</v>
      </c>
      <c r="S24">
        <v>4.47</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t="str">
        <f>IF(OR($B24="",AB$22=""),"",IF(LEN(VLOOKUP($B24,Database!$B$1:$IX$10144,AB$22,FALSE))=0,"",VLOOKUP($B24,Database!$B$1:$IX$10144,AB$22,FALSE)))</f>
        <v/>
      </c>
      <c r="AC24" s="22" t="str">
        <f>IF(OR($B24="",AC$22=""),"",IF(LEN(VLOOKUP($B24,Database!$B$1:$IX$10144,AC$22,FALSE))=0,"",VLOOKUP($B24,Database!$B$1:$IX$10144,AC$22,FALSE)))</f>
        <v/>
      </c>
      <c r="AD24" s="22" t="str">
        <f>IF(OR($B24="",AD$22=""),"",IF(LEN(VLOOKUP($B24,Database!$B$1:$IX$10144,AD$22,FALSE))=0,"",VLOOKUP($B24,Database!$B$1:$IX$10144,AD$22,FALSE)))</f>
        <v/>
      </c>
      <c r="AE24" s="22" t="str">
        <f>IF(OR($B24="",AE$22=""),"",IF(LEN(VLOOKUP($B24,Database!$B$1:$IX$10144,AE$22,FALSE))=0,"",VLOOKUP($B24,Database!$B$1:$IX$10144,AE$22,FALSE)))</f>
        <v/>
      </c>
      <c r="AF24" s="22">
        <f>IF(OR($B24="",AF$22=""),"",IF(LEN(VLOOKUP($B24,Database!$B$1:$IX$10144,AF$22,FALSE))=0,"",VLOOKUP($B24,Database!$B$1:$IX$10144,AF$22,FALSE)))</f>
        <v>12</v>
      </c>
      <c r="AG24" s="22">
        <f>IF(OR($B24="",AG$22=""),"",IF(LEN(VLOOKUP($B24,Database!$B$1:$IX$10144,AG$22,FALSE))=0,"",VLOOKUP($B24,Database!$B$1:$IX$10144,AG$22,FALSE)))</f>
        <v>12</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12.18</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Nolan CL, Moore GJ, Madden R, Farchione T, Bartoi M, Lorch E, Stewart CM, Rosenberg DR.</v>
      </c>
      <c r="AR24" s="13"/>
      <c r="AX24" s="13"/>
      <c r="AY24" s="13"/>
      <c r="AZ24" s="13"/>
      <c r="BA24" s="13"/>
      <c r="BC24" s="23"/>
      <c r="BF24" s="136"/>
      <c r="BG24" s="136"/>
      <c r="BH24" s="136"/>
      <c r="BI24" s="136"/>
    </row>
    <row r="25" spans="1:65">
      <c r="B25">
        <v>12271802</v>
      </c>
      <c r="C25" s="1" t="str">
        <f>IF($B25="","",HYPERLINK(IF(LEN(VLOOKUP($B25,Database!$B$1:$IX$10144,2,FALSE))=0,"",VLOOKUP($B25,Database!$B$1:$IX$10144,2,FALSE))))</f>
        <v/>
      </c>
      <c r="D25" s="1" t="str">
        <f t="shared" si="0"/>
        <v>http://www.ncbi.nlm.nih.gov/pubmed/12271802</v>
      </c>
      <c r="E25" s="22" t="str">
        <f>IF($B25="","",IF(LEN(VLOOKUP($B25,Database!$B$1:$IX$10144,4,FALSE))=0,"",VLOOKUP($B25,Database!$B$1:$IX$10144,4,FALSE)))</f>
        <v>Salokangas RK</v>
      </c>
      <c r="F25" s="22">
        <f>IF($B25="","",IF(LEN(VLOOKUP($B25,Database!$B$1:$IX$10144,5,FALSE))=0,"",VLOOKUP($B25,Database!$B$1:$IX$10144,5,FALSE)))</f>
        <v>2002</v>
      </c>
      <c r="G25" s="1" t="str">
        <f>IF($B25="","",HYPERLINK(IF(LEN(VLOOKUP($B25,Database!$B$1:$IX$10144,6,FALSE))=0,"",VLOOKUP($B25,Database!$B$1:$IX$10144,6,FALSE))))</f>
        <v>http://bjp.rcpsych.org/cgi/reprint/181/43/s58</v>
      </c>
      <c r="H25" s="83">
        <v>20</v>
      </c>
      <c r="I25" s="83">
        <v>9.5</v>
      </c>
      <c r="J25" t="s">
        <v>1202</v>
      </c>
      <c r="K25" t="s">
        <v>716</v>
      </c>
      <c r="L25">
        <v>34.119999999999997</v>
      </c>
      <c r="M25">
        <v>6.87</v>
      </c>
      <c r="N25">
        <v>36.14</v>
      </c>
      <c r="O25">
        <v>5.0999999999999996</v>
      </c>
      <c r="P25">
        <v>35.22</v>
      </c>
      <c r="Q25">
        <v>6.03</v>
      </c>
      <c r="R25">
        <v>36.68</v>
      </c>
      <c r="S25">
        <v>5.78</v>
      </c>
      <c r="T25">
        <v>69.34</v>
      </c>
      <c r="U25">
        <v>12.44</v>
      </c>
      <c r="V25">
        <v>72.819999999999993</v>
      </c>
      <c r="W25">
        <v>10.39</v>
      </c>
      <c r="Y25" s="22" t="str">
        <f>IF(OR($B25="",Y$22=""),"",IF(LEN(VLOOKUP($B25,Database!$B$1:$IX$10144,Y$22,FALSE))=0,"",VLOOKUP($B25,Database!$B$1:$IX$10144,Y$22,FALSE)))</f>
        <v>DSM-IV</v>
      </c>
      <c r="Z25" s="22" t="str">
        <f>IF(OR($B25="",Z$22=""),"",IF(LEN(VLOOKUP($B25,Database!$B$1:$IX$10144,Z$22,FALSE))=0,"",VLOOKUP($B25,Database!$B$1:$IX$10144,Z$22,FALSE)))</f>
        <v>MRI</v>
      </c>
      <c r="AA25" s="214" t="s">
        <v>754</v>
      </c>
      <c r="AB25" s="214">
        <v>34</v>
      </c>
      <c r="AC25" s="214">
        <v>9.8000000000000007</v>
      </c>
      <c r="AD25" s="22">
        <f>IF(OR($B25="",AD$22=""),"",IF(LEN(VLOOKUP($B25,Database!$B$1:$IX$10144,AD$22,FALSE))=0,"",VLOOKUP($B25,Database!$B$1:$IX$10144,AD$22,FALSE)))</f>
        <v>30.5</v>
      </c>
      <c r="AE25" s="22">
        <f>IF(OR($B25="",AE$22=""),"",IF(LEN(VLOOKUP($B25,Database!$B$1:$IX$10144,AE$22,FALSE))=0,"",VLOOKUP($B25,Database!$B$1:$IX$10144,AE$22,FALSE)))</f>
        <v>8.4</v>
      </c>
      <c r="AF25" s="214">
        <v>12</v>
      </c>
      <c r="AG25" s="22">
        <f>IF(OR($B25="",AG$22=""),"",IF(LEN(VLOOKUP($B25,Database!$B$1:$IX$10144,AG$22,FALSE))=0,"",VLOOKUP($B25,Database!$B$1:$IX$10144,AG$22,FALSE)))</f>
        <v>7</v>
      </c>
      <c r="AH25" s="22">
        <f>IF(OR($B25="",AH$22=""),"",IF(LEN(VLOOKUP($B25,Database!$B$1:$IX$10144,AH$22,FALSE))=0,"",VLOOKUP($B25,Database!$B$1:$IX$10144,AH$22,FALSE)))</f>
        <v>1.5</v>
      </c>
      <c r="AI25" s="22">
        <f>IF(OR($B25="",AI$22=""),"",IF(LEN(VLOOKUP($B25,Database!$B$1:$IX$10144,AI$22,FALSE))=0,"",VLOOKUP($B25,Database!$B$1:$IX$10144,AI$22,FALSE)))</f>
        <v>5.4</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Salokangas RK, Cannon T, Van Erp T, Ilonen T, Taiminen T, Karlsson H, Lauerma H, Leinonen KM, Wallenius E, Kaljonen A, Syvalahti E, Vilkman H, Alanen A, Hietala J.</v>
      </c>
      <c r="AR25" s="13"/>
      <c r="AU25" s="22"/>
      <c r="AX25" s="13"/>
      <c r="AY25" s="13"/>
      <c r="AZ25" s="13"/>
      <c r="BA25" s="13"/>
      <c r="BC25" s="23"/>
      <c r="BF25" s="136"/>
      <c r="BG25" s="136"/>
      <c r="BH25" s="136"/>
      <c r="BI25" s="136"/>
    </row>
    <row r="26" spans="1:65">
      <c r="B26">
        <v>12271802</v>
      </c>
      <c r="C26" s="1" t="str">
        <f>IF($B26="","",HYPERLINK(IF(LEN(VLOOKUP($B26,Database!$B$1:$IX$10144,2,FALSE))=0,"",VLOOKUP($B26,Database!$B$1:$IX$10144,2,FALSE))))</f>
        <v/>
      </c>
      <c r="D26" s="1" t="str">
        <f t="shared" si="0"/>
        <v>http://www.ncbi.nlm.nih.gov/pubmed/12271802</v>
      </c>
      <c r="E26" s="22" t="str">
        <f>IF($B26="","",IF(LEN(VLOOKUP($B26,Database!$B$1:$IX$10144,4,FALSE))=0,"",VLOOKUP($B26,Database!$B$1:$IX$10144,4,FALSE)))</f>
        <v>Salokangas RK</v>
      </c>
      <c r="F26" s="22">
        <f>IF($B26="","",IF(LEN(VLOOKUP($B26,Database!$B$1:$IX$10144,5,FALSE))=0,"",VLOOKUP($B26,Database!$B$1:$IX$10144,5,FALSE)))</f>
        <v>2002</v>
      </c>
      <c r="G26" s="1" t="str">
        <f>IF($B26="","",HYPERLINK(IF(LEN(VLOOKUP($B26,Database!$B$1:$IX$10144,6,FALSE))=0,"",VLOOKUP($B26,Database!$B$1:$IX$10144,6,FALSE))))</f>
        <v>http://bjp.rcpsych.org/cgi/reprint/181/43/s58</v>
      </c>
      <c r="H26" s="83">
        <v>17</v>
      </c>
      <c r="I26" s="83">
        <v>9.5</v>
      </c>
      <c r="J26" t="s">
        <v>1202</v>
      </c>
      <c r="K26" t="s">
        <v>243</v>
      </c>
      <c r="L26">
        <v>38.96</v>
      </c>
      <c r="M26">
        <v>7.34</v>
      </c>
      <c r="N26">
        <v>36.14</v>
      </c>
      <c r="O26">
        <v>5.0999999999999996</v>
      </c>
      <c r="P26">
        <v>40.130000000000003</v>
      </c>
      <c r="Q26">
        <v>6.91</v>
      </c>
      <c r="R26">
        <v>36.68</v>
      </c>
      <c r="S26">
        <v>5.78</v>
      </c>
      <c r="T26">
        <v>79.09</v>
      </c>
      <c r="U26">
        <v>13.96</v>
      </c>
      <c r="V26">
        <v>72.819999999999993</v>
      </c>
      <c r="W26">
        <v>10.39</v>
      </c>
      <c r="Y26" s="22" t="str">
        <f>IF(OR($B26="",Y$22=""),"",IF(LEN(VLOOKUP($B26,Database!$B$1:$IX$10144,Y$22,FALSE))=0,"",VLOOKUP($B26,Database!$B$1:$IX$10144,Y$22,FALSE)))</f>
        <v>DSM-IV</v>
      </c>
      <c r="Z26" s="22" t="str">
        <f>IF(OR($B26="",Z$22=""),"",IF(LEN(VLOOKUP($B26,Database!$B$1:$IX$10144,Z$22,FALSE))=0,"",VLOOKUP($B26,Database!$B$1:$IX$10144,Z$22,FALSE)))</f>
        <v>MRI</v>
      </c>
      <c r="AA26" s="214" t="s">
        <v>755</v>
      </c>
      <c r="AB26" s="214">
        <v>38.4</v>
      </c>
      <c r="AC26" s="214">
        <v>12</v>
      </c>
      <c r="AD26" s="22">
        <f>IF(OR($B26="",AD$22=""),"",IF(LEN(VLOOKUP($B26,Database!$B$1:$IX$10144,AD$22,FALSE))=0,"",VLOOKUP($B26,Database!$B$1:$IX$10144,AD$22,FALSE)))</f>
        <v>30.5</v>
      </c>
      <c r="AE26" s="22">
        <f>IF(OR($B26="",AE$22=""),"",IF(LEN(VLOOKUP($B26,Database!$B$1:$IX$10144,AE$22,FALSE))=0,"",VLOOKUP($B26,Database!$B$1:$IX$10144,AE$22,FALSE)))</f>
        <v>8.4</v>
      </c>
      <c r="AF26" s="214">
        <v>9</v>
      </c>
      <c r="AG26" s="22">
        <f>IF(OR($B26="",AG$22=""),"",IF(LEN(VLOOKUP($B26,Database!$B$1:$IX$10144,AG$22,FALSE))=0,"",VLOOKUP($B26,Database!$B$1:$IX$10144,AG$22,FALSE)))</f>
        <v>7</v>
      </c>
      <c r="AH26" s="22">
        <f>IF(OR($B26="",AH$22=""),"",IF(LEN(VLOOKUP($B26,Database!$B$1:$IX$10144,AH$22,FALSE))=0,"",VLOOKUP($B26,Database!$B$1:$IX$10144,AH$22,FALSE)))</f>
        <v>1.5</v>
      </c>
      <c r="AI26" s="22">
        <f>IF(OR($B26="",AI$22=""),"",IF(LEN(VLOOKUP($B26,Database!$B$1:$IX$10144,AI$22,FALSE))=0,"",VLOOKUP($B26,Database!$B$1:$IX$10144,AI$22,FALSE)))</f>
        <v>5.4</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Salokangas RK, Cannon T, Van Erp T, Ilonen T, Taiminen T, Karlsson H, Lauerma H, Leinonen KM, Wallenius E, Kaljonen A, Syvalahti E, Vilkman H, Alanen A, Hietala J.</v>
      </c>
      <c r="AR26" s="13"/>
      <c r="AU26" s="22"/>
      <c r="AX26" s="13"/>
      <c r="AY26" s="13"/>
      <c r="AZ26" s="13"/>
      <c r="BA26" s="13"/>
      <c r="BC26" s="23"/>
      <c r="BF26" s="136"/>
      <c r="BG26" s="136"/>
      <c r="BH26" s="136"/>
      <c r="BI26" s="136"/>
    </row>
    <row r="27" spans="1:65">
      <c r="B27">
        <v>15545334</v>
      </c>
      <c r="C27" s="1" t="str">
        <f>IF($B27="","",HYPERLINK(IF(LEN(VLOOKUP($B27,Database!$B$1:$IX$10144,2,FALSE))=0,"",VLOOKUP($B27,Database!$B$1:$IX$10144,2,FALSE))))</f>
        <v/>
      </c>
      <c r="D27" s="1" t="str">
        <f t="shared" si="0"/>
        <v>http://www.ncbi.nlm.nih.gov/pubmed/15545334</v>
      </c>
      <c r="E27" s="22" t="str">
        <f>IF($B27="","",IF(LEN(VLOOKUP($B27,Database!$B$1:$IX$10144,4,FALSE))=0,"",VLOOKUP($B27,Database!$B$1:$IX$10144,4,FALSE)))</f>
        <v>Lavretsky H</v>
      </c>
      <c r="F27" s="22">
        <f>IF($B27="","",IF(LEN(VLOOKUP($B27,Database!$B$1:$IX$10144,5,FALSE))=0,"",VLOOKUP($B27,Database!$B$1:$IX$10144,5,FALSE)))</f>
        <v>2004</v>
      </c>
      <c r="G27" s="1" t="str">
        <f>IF($B27="","",HYPERLINK(IF(LEN(VLOOKUP($B27,Database!$B$1:$IX$10144,6,FALSE))=0,"",VLOOKUP($B27,Database!$B$1:$IX$10144,6,FALSE))))</f>
        <v>http://journals.lww.com/ajgponline/Abstract/2004/11000/Sex_Differences_in_Brain_Structure_in_Geriatric.12.aspx</v>
      </c>
      <c r="H27" s="83">
        <v>32</v>
      </c>
      <c r="I27" s="83">
        <v>20</v>
      </c>
      <c r="J27" t="s">
        <v>1392</v>
      </c>
      <c r="K27" t="s">
        <v>1248</v>
      </c>
      <c r="L27">
        <v>5.0799999999999998E-2</v>
      </c>
      <c r="M27">
        <v>6.8999999999999999E-3</v>
      </c>
      <c r="N27">
        <v>5.1400000000000001E-2</v>
      </c>
      <c r="O27">
        <v>4.8999999999999998E-3</v>
      </c>
      <c r="P27">
        <v>5.2200000000000003E-2</v>
      </c>
      <c r="Q27">
        <v>4.4999999999999997E-3</v>
      </c>
      <c r="R27">
        <v>5.5100000000000003E-2</v>
      </c>
      <c r="S27">
        <v>4.7000000000000002E-3</v>
      </c>
      <c r="T27">
        <v>0.10299999999999999</v>
      </c>
      <c r="U27">
        <v>1.0999999999999999E-2</v>
      </c>
      <c r="V27">
        <v>0.10299999999999999</v>
      </c>
      <c r="W27">
        <v>1.0999999999999999E-2</v>
      </c>
      <c r="Y27" s="22" t="str">
        <f>IF(OR($B27="",Y$22=""),"",IF(LEN(VLOOKUP($B27,Database!$B$1:$IX$10144,Y$22,FALSE))=0,"",VLOOKUP($B27,Database!$B$1:$IX$10144,Y$22,FALSE)))</f>
        <v>DSM-IV</v>
      </c>
      <c r="Z27" s="22" t="str">
        <f>IF(OR($B27="",Z$22=""),"",IF(LEN(VLOOKUP($B27,Database!$B$1:$IX$10144,Z$22,FALSE))=0,"",VLOOKUP($B27,Database!$B$1:$IX$10144,Z$22,FALSE)))</f>
        <v>MRI</v>
      </c>
      <c r="AA27" s="214" t="s">
        <v>1368</v>
      </c>
      <c r="AB27" s="22">
        <f>IF(OR($B27="",AB$22=""),"",IF(LEN(VLOOKUP($B27,Database!$B$1:$IX$10144,AB$22,FALSE))=0,"",VLOOKUP($B27,Database!$B$1:$IX$10144,AB$22,FALSE)))</f>
        <v>70.5</v>
      </c>
      <c r="AC27" s="22">
        <f>IF(OR($B27="",AC$22=""),"",IF(LEN(VLOOKUP($B27,Database!$B$1:$IX$10144,AC$22,FALSE))=0,"",VLOOKUP($B27,Database!$B$1:$IX$10144,AC$22,FALSE)))</f>
        <v>7.6</v>
      </c>
      <c r="AD27" s="22">
        <f>IF(OR($B27="",AD$22=""),"",IF(LEN(VLOOKUP($B27,Database!$B$1:$IX$10144,AD$22,FALSE))=0,"",VLOOKUP($B27,Database!$B$1:$IX$10144,AD$22,FALSE)))</f>
        <v>72.2</v>
      </c>
      <c r="AE27" s="22">
        <f>IF(OR($B27="",AE$22=""),"",IF(LEN(VLOOKUP($B27,Database!$B$1:$IX$10144,AE$22,FALSE))=0,"",VLOOKUP($B27,Database!$B$1:$IX$10144,AE$22,FALSE)))</f>
        <v>7.3</v>
      </c>
      <c r="AF27" s="22">
        <f>IF(OR($B27="",AF$22=""),"",IF(LEN(VLOOKUP($B27,Database!$B$1:$IX$10144,AF$22,FALSE))=0,"",VLOOKUP($B27,Database!$B$1:$IX$10144,AF$22,FALSE)))</f>
        <v>32</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2">
        <f>IF(OR($B27="",AK$22=""),"",IF(LEN(VLOOKUP($B27,Database!$B$1:$IX$10144,AK$22,FALSE))=0,"",VLOOKUP($B27,Database!$B$1:$IX$10144,AK$22,FALSE)))</f>
        <v>48.5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Lavretsky H, Kurbanyan K, Ballmaier M, Mintz J, Toga A, Kumar A.</v>
      </c>
      <c r="AR27" s="13"/>
      <c r="AU27" s="22"/>
      <c r="AX27" s="13"/>
      <c r="AY27" s="13"/>
      <c r="AZ27" s="13"/>
      <c r="BA27" s="13"/>
      <c r="BC27" s="23"/>
      <c r="BF27" s="136"/>
      <c r="BG27" s="136"/>
      <c r="BH27" s="136"/>
      <c r="BI27" s="136"/>
    </row>
    <row r="28" spans="1:65">
      <c r="B28">
        <v>15545334</v>
      </c>
      <c r="C28" s="1" t="str">
        <f>IF($B28="","",HYPERLINK(IF(LEN(VLOOKUP($B28,Database!$B$1:$IX$10144,2,FALSE))=0,"",VLOOKUP($B28,Database!$B$1:$IX$10144,2,FALSE))))</f>
        <v/>
      </c>
      <c r="D28" s="1" t="str">
        <f t="shared" si="0"/>
        <v>http://www.ncbi.nlm.nih.gov/pubmed/15545334</v>
      </c>
      <c r="E28" s="22" t="str">
        <f>IF($B28="","",IF(LEN(VLOOKUP($B28,Database!$B$1:$IX$10144,4,FALSE))=0,"",VLOOKUP($B28,Database!$B$1:$IX$10144,4,FALSE)))</f>
        <v>Lavretsky H</v>
      </c>
      <c r="F28" s="22">
        <f>IF($B28="","",IF(LEN(VLOOKUP($B28,Database!$B$1:$IX$10144,5,FALSE))=0,"",VLOOKUP($B28,Database!$B$1:$IX$10144,5,FALSE)))</f>
        <v>2004</v>
      </c>
      <c r="G28" s="1" t="str">
        <f>IF($B28="","",HYPERLINK(IF(LEN(VLOOKUP($B28,Database!$B$1:$IX$10144,6,FALSE))=0,"",VLOOKUP($B28,Database!$B$1:$IX$10144,6,FALSE))))</f>
        <v>http://journals.lww.com/ajgponline/Abstract/2004/11000/Sex_Differences_in_Brain_Structure_in_Geriatric.12.aspx</v>
      </c>
      <c r="H28" s="83">
        <v>9</v>
      </c>
      <c r="I28" s="83">
        <v>21</v>
      </c>
      <c r="J28" t="s">
        <v>1392</v>
      </c>
      <c r="K28" t="s">
        <v>1391</v>
      </c>
      <c r="L28">
        <v>4.9399999999999999E-2</v>
      </c>
      <c r="M28">
        <v>5.47E-3</v>
      </c>
      <c r="N28">
        <v>5.1499999999999997E-2</v>
      </c>
      <c r="O28">
        <v>5.5999999999999999E-3</v>
      </c>
      <c r="P28">
        <v>5.21E-2</v>
      </c>
      <c r="Q28">
        <v>5.4000000000000003E-3</v>
      </c>
      <c r="R28">
        <v>5.2200000000000003E-2</v>
      </c>
      <c r="S28">
        <v>5.1999999999999998E-3</v>
      </c>
      <c r="T28">
        <v>0.10199999999999999</v>
      </c>
      <c r="U28">
        <v>9.9000000000000008E-3</v>
      </c>
      <c r="V28">
        <v>0.10299999999999999</v>
      </c>
      <c r="W28">
        <v>1.0999999999999999E-2</v>
      </c>
      <c r="Y28" s="22" t="str">
        <f>IF(OR($B28="",Y$22=""),"",IF(LEN(VLOOKUP($B28,Database!$B$1:$IX$10144,Y$22,FALSE))=0,"",VLOOKUP($B28,Database!$B$1:$IX$10144,Y$22,FALSE)))</f>
        <v>DSM-IV</v>
      </c>
      <c r="Z28" s="22" t="str">
        <f>IF(OR($B28="",Z$22=""),"",IF(LEN(VLOOKUP($B28,Database!$B$1:$IX$10144,Z$22,FALSE))=0,"",VLOOKUP($B28,Database!$B$1:$IX$10144,Z$22,FALSE)))</f>
        <v>MRI</v>
      </c>
      <c r="AA28" s="214" t="s">
        <v>1367</v>
      </c>
      <c r="AB28" s="22">
        <f>IF(OR($B28="",AB$22=""),"",IF(LEN(VLOOKUP($B28,Database!$B$1:$IX$10144,AB$22,FALSE))=0,"",VLOOKUP($B28,Database!$B$1:$IX$10144,AB$22,FALSE)))</f>
        <v>70.5</v>
      </c>
      <c r="AC28" s="22">
        <f>IF(OR($B28="",AC$22=""),"",IF(LEN(VLOOKUP($B28,Database!$B$1:$IX$10144,AC$22,FALSE))=0,"",VLOOKUP($B28,Database!$B$1:$IX$10144,AC$22,FALSE)))</f>
        <v>7.6</v>
      </c>
      <c r="AD28" s="22">
        <f>IF(OR($B28="",AD$22=""),"",IF(LEN(VLOOKUP($B28,Database!$B$1:$IX$10144,AD$22,FALSE))=0,"",VLOOKUP($B28,Database!$B$1:$IX$10144,AD$22,FALSE)))</f>
        <v>72.2</v>
      </c>
      <c r="AE28" s="22">
        <f>IF(OR($B28="",AE$22=""),"",IF(LEN(VLOOKUP($B28,Database!$B$1:$IX$10144,AE$22,FALSE))=0,"",VLOOKUP($B28,Database!$B$1:$IX$10144,AE$22,FALSE)))</f>
        <v>7.3</v>
      </c>
      <c r="AF28" s="214">
        <v>0</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2">
        <f>IF(OR($B28="",AK$22=""),"",IF(LEN(VLOOKUP($B28,Database!$B$1:$IX$10144,AK$22,FALSE))=0,"",VLOOKUP($B28,Database!$B$1:$IX$10144,AK$22,FALSE)))</f>
        <v>48.5</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Kurbanyan K, Ballmaier M, Mintz J, Toga A, Kumar A.</v>
      </c>
      <c r="AR28" s="13"/>
      <c r="AU28" s="22"/>
      <c r="AX28" s="13"/>
      <c r="AY28" s="13"/>
      <c r="AZ28" s="13"/>
      <c r="BA28" s="13"/>
      <c r="BC28" s="23"/>
      <c r="BF28" s="136"/>
      <c r="BG28" s="136"/>
      <c r="BH28" s="136"/>
      <c r="BI28" s="136"/>
    </row>
    <row r="29" spans="1:65">
      <c r="B29">
        <v>16951734</v>
      </c>
      <c r="C29" s="1" t="str">
        <f>IF($B29="","",HYPERLINK(IF(LEN(VLOOKUP($B29,Database!$B$1:$IX$10144,2,FALSE))=0,"",VLOOKUP($B29,Database!$B$1:$IX$10144,2,FALSE))))</f>
        <v/>
      </c>
      <c r="D29" s="1" t="str">
        <f t="shared" si="0"/>
        <v>http://www.ncbi.nlm.nih.gov/pubmed/16951734</v>
      </c>
      <c r="E29" s="22" t="str">
        <f>IF($B29="","",IF(LEN(VLOOKUP($B29,Database!$B$1:$IX$10144,4,FALSE))=0,"",VLOOKUP($B29,Database!$B$1:$IX$10144,4,FALSE)))</f>
        <v>Frodl T</v>
      </c>
      <c r="F29" s="22">
        <f>IF($B29="","",IF(LEN(VLOOKUP($B29,Database!$B$1:$IX$10144,5,FALSE))=0,"",VLOOKUP($B29,Database!$B$1:$IX$10144,5,FALSE)))</f>
        <v>2006</v>
      </c>
      <c r="G29" s="1" t="str">
        <f>IF($B29="","",HYPERLINK(IF(LEN(VLOOKUP($B29,Database!$B$1:$IX$10144,6,FALSE))=0,"",VLOOKUP($B29,Database!$B$1:$IX$10144,6,FALSE))))</f>
        <v>http://www.cma.ca/multimedia/staticContent/HTML/N0/l2/jpn/vol-31/issue-5/pdf/pg316.pdf</v>
      </c>
      <c r="H29" s="22">
        <f>IF($B29="","",IF(LEN(VLOOKUP($B29,Database!$B$1:$IX$10144,7,FALSE))=0,"",VLOOKUP($B29,Database!$B$1:$IX$10144,7,FALSE)))</f>
        <v>34</v>
      </c>
      <c r="I29" s="22">
        <f>IF($B29="","",IF(LEN(VLOOKUP($B29,Database!$B$1:$IX$10144,8,FALSE))=0,"",VLOOKUP($B29,Database!$B$1:$IX$10144,8,FALSE)))</f>
        <v>34</v>
      </c>
      <c r="J29" t="s">
        <v>720</v>
      </c>
      <c r="K29" t="s">
        <v>683</v>
      </c>
      <c r="L29">
        <v>68.8</v>
      </c>
      <c r="M29">
        <v>5</v>
      </c>
      <c r="N29">
        <v>68.8</v>
      </c>
      <c r="O29">
        <v>6.1</v>
      </c>
      <c r="P29">
        <v>71.599999999999994</v>
      </c>
      <c r="Q29">
        <v>5.2</v>
      </c>
      <c r="R29">
        <v>71.8</v>
      </c>
      <c r="S29">
        <v>6.1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45.5</v>
      </c>
      <c r="AC29" s="22">
        <f>IF(OR($B29="",AC$22=""),"",IF(LEN(VLOOKUP($B29,Database!$B$1:$IX$10144,AC$22,FALSE))=0,"",VLOOKUP($B29,Database!$B$1:$IX$10144,AC$22,FALSE)))</f>
        <v>11.9</v>
      </c>
      <c r="AD29" s="22">
        <f>IF(OR($B29="",AD$22=""),"",IF(LEN(VLOOKUP($B29,Database!$B$1:$IX$10144,AD$22,FALSE))=0,"",VLOOKUP($B29,Database!$B$1:$IX$10144,AD$22,FALSE)))</f>
        <v>43.6</v>
      </c>
      <c r="AE29" s="22">
        <f>IF(OR($B29="",AE$22=""),"",IF(LEN(VLOOKUP($B29,Database!$B$1:$IX$10144,AE$22,FALSE))=0,"",VLOOKUP($B29,Database!$B$1:$IX$10144,AE$22,FALSE)))</f>
        <v>13.2</v>
      </c>
      <c r="AF29" s="22">
        <f>IF(OR($B29="",AF$22=""),"",IF(LEN(VLOOKUP($B29,Database!$B$1:$IX$10144,AF$22,FALSE))=0,"",VLOOKUP($B29,Database!$B$1:$IX$10144,AF$22,FALSE)))</f>
        <v>15</v>
      </c>
      <c r="AG29" s="22">
        <f>IF(OR($B29="",AG$22=""),"",IF(LEN(VLOOKUP($B29,Database!$B$1:$IX$10144,AG$22,FALSE))=0,"",VLOOKUP($B29,Database!$B$1:$IX$10144,AG$22,FALSE)))</f>
        <v>15</v>
      </c>
      <c r="AH29" s="22" t="str">
        <f>IF(OR($B29="",AH$22=""),"",IF(LEN(VLOOKUP($B29,Database!$B$1:$IX$10144,AH$22,FALSE))=0,"",VLOOKUP($B29,Database!$B$1:$IX$10144,AH$22,FALSE)))</f>
        <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38.799999999999997</v>
      </c>
      <c r="AL29" s="22">
        <f>IF(OR($B29="",AL$22=""),"",IF(LEN(VLOOKUP($B29,Database!$B$1:$IX$10144,AL$22,FALSE))=0,"",VLOOKUP($B29,Database!$B$1:$IX$10144,AL$22,FALSE)))</f>
        <v>24.8</v>
      </c>
      <c r="AM29" s="22">
        <f>IF(OR($B29="",AM$22=""),"",IF(LEN(VLOOKUP($B29,Database!$B$1:$IX$10144,AM$22,FALSE))=0,"",VLOOKUP($B29,Database!$B$1:$IX$10144,AM$22,FALSE)))</f>
        <v>91.17647058823529</v>
      </c>
      <c r="AN29" s="22" t="str">
        <f>IF(OR($B29="",AN$22=""),"",IF(LEN(VLOOKUP($B29,Database!$B$1:$IX$10144,AN$22,FALSE))=0,"",VLOOKUP($B29,Database!$B$1:$IX$10144,AN$22,FALSE)))</f>
        <v>ns</v>
      </c>
      <c r="AO29" s="22">
        <f>IF(OR($B29="",AO$22=""),"",IF(LEN(VLOOKUP($B29,Database!$B$1:$IX$10144,AO$22,FALSE))=0,"",VLOOKUP($B29,Database!$B$1:$IX$10144,AO$22,FALSE)))</f>
        <v>11.76470588235294</v>
      </c>
      <c r="AP29" s="22">
        <f>IF(OR($B29="",AP$22=""),"",IF(LEN(VLOOKUP($B29,Database!$B$1:$IX$10144,AP$22,FALSE))=0,"",VLOOKUP($B29,Database!$B$1:$IX$10144,AP$22,FALSE)))</f>
        <v>8.8235294117647065</v>
      </c>
      <c r="AQ29" s="22" t="str">
        <f>IF(OR($B29="",AQ$22=""),"",IF(LEN(VLOOKUP($B29,Database!$B$1:$IX$10144,AQ$22,FALSE))=0,"",VLOOKUP($B29,Database!$B$1:$IX$10144,AQ$22,FALSE)))</f>
        <v>Frodl T, Schaub A, Banac S, Charypar M, Jager M, Kummler P, Bottlender R, Zetzsche T, Born C, Leinsinger G, Reiser M, Moller HJ, Meisenzahl EM.</v>
      </c>
      <c r="AR29" s="13"/>
      <c r="AX29" s="13"/>
      <c r="AY29" s="13"/>
      <c r="AZ29" s="13"/>
      <c r="BA29" s="13"/>
      <c r="BC29" s="23"/>
      <c r="BF29" s="136"/>
      <c r="BG29" s="136"/>
      <c r="BH29" s="136"/>
      <c r="BI29" s="136"/>
    </row>
    <row r="30" spans="1:65">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A31" s="4" t="s">
        <v>1510</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65">
      <c r="C32" s="1" t="str">
        <f>IF($B32="","",HYPERLINK(IF(LEN(VLOOKUP($B32,Database!$B$1:$IX$10144,2,FALSE))=0,"",VLOOKUP($B32,Database!$B$1:$IX$10144,2,FALSE))))</f>
        <v/>
      </c>
      <c r="D32" s="1" t="str">
        <f>IF($B32="","",HYPERLINK(CONCATENATE("http://www.ncbi.nlm.nih.gov/pubmed/",B32)))</f>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K32" s="10"/>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2:51">
      <c r="C33" s="1" t="str">
        <f>IF($B33="","",HYPERLINK(IF(LEN(VLOOKUP($B33,Database!$B$1:$IX$10144,2,FALSE))=0,"",VLOOKUP($B33,Database!$B$1:$IX$10144,2,FALSE))))</f>
        <v/>
      </c>
      <c r="D33" s="1" t="str">
        <f>IF($B33="","",HYPERLINK(CONCATENATE("http://www.ncbi.nlm.nih.gov/pubmed/",B33)))</f>
        <v/>
      </c>
      <c r="E33" s="22" t="str">
        <f>IF($B33="","",IF(LEN(VLOOKUP($B33,Database!$B$1:$IX$10144,4,FALSE))=0,"",VLOOKUP($B33,Database!$B$1:$IX$10144,4,FALSE)))</f>
        <v/>
      </c>
      <c r="F33" s="22" t="str">
        <f>IF($B33="","",IF(LEN(VLOOKUP($B33,Database!$B$1:$IX$10144,5,FALSE))=0,"",VLOOKUP($B33,Database!$B$1:$IX$10144,5,FALSE)))</f>
        <v/>
      </c>
      <c r="G33" s="1" t="str">
        <f>IF($B33="","",HYPERLINK(IF(LEN(VLOOKUP($B33,Database!$B$1:$IX$10144,6,FALSE))=0,"",VLOOKUP($B33,Database!$B$1:$IX$10144,6,FALSE))))</f>
        <v/>
      </c>
      <c r="H33" s="22" t="str">
        <f>IF($B33="","",IF(LEN(VLOOKUP($B33,Database!$B$1:$IX$10144,7,FALSE))=0,"",VLOOKUP($B33,Database!$B$1:$IX$10144,7,FALSE)))</f>
        <v/>
      </c>
      <c r="I33" s="22" t="str">
        <f>IF($B33="","",IF(LEN(VLOOKUP($B33,Database!$B$1:$IX$10144,8,FALSE))=0,"",VLOOKUP($B33,Database!$B$1:$IX$10144,8,FALSE)))</f>
        <v/>
      </c>
      <c r="K33" s="10"/>
      <c r="Y33" s="22" t="str">
        <f>IF(OR($B33="",Y$22=""),"",IF(LEN(VLOOKUP($B33,Database!$B$1:$IX$10144,Y$22,FALSE))=0,"",VLOOKUP($B33,Database!$B$1:$IX$10144,Y$22,FALSE)))</f>
        <v/>
      </c>
      <c r="Z33" s="22" t="str">
        <f>IF(OR($B33="",Z$22=""),"",IF(LEN(VLOOKUP($B33,Database!$B$1:$IX$10144,Z$22,FALSE))=0,"",VLOOKUP($B33,Database!$B$1:$IX$10144,Z$22,FALSE)))</f>
        <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t="str">
        <f>IF(OR($B33="",AD$22=""),"",IF(LEN(VLOOKUP($B33,Database!$B$1:$IX$10144,AD$22,FALSE))=0,"",VLOOKUP($B33,Database!$B$1:$IX$10144,AD$22,FALSE)))</f>
        <v/>
      </c>
      <c r="AE33" s="22" t="str">
        <f>IF(OR($B33="",AE$22=""),"",IF(LEN(VLOOKUP($B33,Database!$B$1:$IX$10144,AE$22,FALSE))=0,"",VLOOKUP($B33,Database!$B$1:$IX$10144,AE$22,FALSE)))</f>
        <v/>
      </c>
      <c r="AF33" s="22" t="str">
        <f>IF(OR($B33="",AF$22=""),"",IF(LEN(VLOOKUP($B33,Database!$B$1:$IX$10144,AF$22,FALSE))=0,"",VLOOKUP($B33,Database!$B$1:$IX$10144,AF$22,FALSE)))</f>
        <v/>
      </c>
      <c r="AG33" s="22" t="str">
        <f>IF(OR($B33="",AG$22=""),"",IF(LEN(VLOOKUP($B33,Database!$B$1:$IX$10144,AG$22,FALSE))=0,"",VLOOKUP($B33,Database!$B$1:$IX$10144,AG$22,FALSE)))</f>
        <v/>
      </c>
      <c r="AH33" s="22" t="str">
        <f>IF(OR($B33="",AH$22=""),"",IF(LEN(VLOOKUP($B33,Database!$B$1:$IX$10144,AH$22,FALSE))=0,"",VLOOKUP($B33,Database!$B$1:$IX$10144,AH$22,FALSE)))</f>
        <v/>
      </c>
      <c r="AI33" s="22" t="str">
        <f>IF(OR($B33="",AI$22=""),"",IF(LEN(VLOOKUP($B33,Database!$B$1:$IX$10144,AI$22,FALSE))=0,"",VLOOKUP($B33,Database!$B$1:$IX$10144,AI$22,FALSE)))</f>
        <v/>
      </c>
      <c r="AJ33" s="22" t="str">
        <f>IF(OR($B33="",AJ$22=""),"",IF(LEN(VLOOKUP($B33,Database!$B$1:$IX$10144,AJ$22,FALSE))=0,"",VLOOKUP($B33,Database!$B$1:$IX$10144,AJ$22,FALSE)))</f>
        <v/>
      </c>
      <c r="AK33" s="22" t="str">
        <f>IF(OR($B33="",AK$22=""),"",IF(LEN(VLOOKUP($B33,Database!$B$1:$IX$10144,AK$22,FALSE))=0,"",VLOOKUP($B33,Database!$B$1:$IX$10144,AK$22,FALSE)))</f>
        <v/>
      </c>
      <c r="AL33" s="22" t="str">
        <f>IF(OR($B33="",AL$22=""),"",IF(LEN(VLOOKUP($B33,Database!$B$1:$IX$10144,AL$22,FALSE))=0,"",VLOOKUP($B33,Database!$B$1:$IX$10144,AL$22,FALSE)))</f>
        <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
      </c>
    </row>
    <row r="34" spans="2:51">
      <c r="B34" s="13"/>
      <c r="C34" s="1" t="str">
        <f>IF($B34="","",HYPERLINK(IF(LEN(VLOOKUP($B34,Database!$B$1:$IX$10144,2,FALSE))=0,"",VLOOKUP($B34,Database!$B$1:$IX$10144,2,FALSE))))</f>
        <v/>
      </c>
      <c r="D34" s="1" t="str">
        <f>IF($B34="","",HYPERLINK(CONCATENATE("http://www.ncbi.nlm.nih.gov/pubmed/",B34)))</f>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K34" s="10"/>
      <c r="Y34" s="22" t="str">
        <f>IF(OR($B34="",Y$22=""),"",IF(LEN(VLOOKUP($B34,Database!$B$1:$IX$10144,Y$22,FALSE))=0,"",VLOOKUP($B34,Database!$B$1:$IX$10144,Y$22,FALSE)))</f>
        <v/>
      </c>
      <c r="Z34" s="22" t="str">
        <f>IF(OR($B34="",Z$22=""),"",IF(LEN(VLOOKUP($B34,Database!$B$1:$IX$10144,Z$22,FALSE))=0,"",VLOOKUP($B34,Database!$B$1:$IX$10144,Z$22,FALSE)))</f>
        <v/>
      </c>
      <c r="AA34" s="22" t="str">
        <f>IF(OR($B34="",AA$22=""),"",IF(LEN(VLOOKUP($B34,Database!$B$1:$IX$10144,AA$22,FALSE))=0,"",VLOOKUP($B34,Database!$B$1:$IX$10144,AA$22,FALSE)))</f>
        <v/>
      </c>
      <c r="AB34" s="22" t="str">
        <f>IF(OR($B34="",AB$22=""),"",IF(LEN(VLOOKUP($B34,Database!$B$1:$IX$10144,AB$22,FALSE))=0,"",VLOOKUP($B34,Database!$B$1:$IX$10144,AB$22,FALSE)))</f>
        <v/>
      </c>
      <c r="AC34" s="22" t="str">
        <f>IF(OR($B34="",AC$22=""),"",IF(LEN(VLOOKUP($B34,Database!$B$1:$IX$10144,AC$22,FALSE))=0,"",VLOOKUP($B34,Database!$B$1:$IX$10144,AC$22,FALSE)))</f>
        <v/>
      </c>
      <c r="AD34" s="22" t="str">
        <f>IF(OR($B34="",AD$22=""),"",IF(LEN(VLOOKUP($B34,Database!$B$1:$IX$10144,AD$22,FALSE))=0,"",VLOOKUP($B34,Database!$B$1:$IX$10144,AD$22,FALSE)))</f>
        <v/>
      </c>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
      </c>
    </row>
    <row r="35" spans="2:51">
      <c r="I35" s="22" t="str">
        <f>IF($B35="","",IF(LEN(VLOOKUP($B35,Database!$B$1:$IX$10144,8,FALSE))=0,"",VLOOKUP($B35,Database!$B$1:$IX$10144,8,FALSE)))</f>
        <v/>
      </c>
      <c r="AF35" t="s">
        <v>602</v>
      </c>
      <c r="AJ35" t="s">
        <v>329</v>
      </c>
      <c r="AN35" t="s">
        <v>330</v>
      </c>
    </row>
    <row r="36" spans="2:51" ht="57.7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2:51">
      <c r="E37" t="str">
        <f t="shared" ref="E37:F42" si="1">E24</f>
        <v>Nolan CL</v>
      </c>
      <c r="F37">
        <f t="shared" si="1"/>
        <v>2002</v>
      </c>
      <c r="G37">
        <v>6</v>
      </c>
      <c r="H37">
        <f t="shared" ref="H37:I42" si="2">H24</f>
        <v>22</v>
      </c>
      <c r="I37">
        <f t="shared" si="2"/>
        <v>22</v>
      </c>
      <c r="J37">
        <f t="shared" ref="J37:M42" si="3">IF($D$4="Total",T24,IF($D$4="Left",L24,IF($D$4="Right",P24,"error")))</f>
        <v>25.94</v>
      </c>
      <c r="K37">
        <f t="shared" si="3"/>
        <v>7.66</v>
      </c>
      <c r="L37">
        <f t="shared" si="3"/>
        <v>25.02</v>
      </c>
      <c r="M37">
        <f t="shared" si="3"/>
        <v>4.47</v>
      </c>
      <c r="N37">
        <f t="shared" ref="N37:N42" si="4">IF($D$3=1,SQRT((((I37-1)*(M37)^2)+((H37-1)*(K37)^2))/(H37+I37-2)),M37)</f>
        <v>6.2712239634699696</v>
      </c>
      <c r="O37" s="59">
        <f t="shared" ref="O37:O42" si="5">IF($D$6=1,LN(J37/L37),IF($D$5=1,(1-3/(4*(H37+I37)-9))*((J37-L37)/N37),(J37-L37)/N37))</f>
        <v>0.14406646280773411</v>
      </c>
      <c r="P37" s="63">
        <f t="shared" ref="P37:P42" si="6">IF($D$6=1,(K37^2)/(H37*J37^2)+(M37^2)/(I37*L37^2),(IF($D$5=1,((H37+I37)/(H37*I37))+(O37*O37)/(2*(H37+I37-3.94)),((H37+I37)/(H37*I37))+((O37^2)/(2*(H37+I37-2))))))</f>
        <v>9.1168141654297249E-2</v>
      </c>
      <c r="Q37" s="59">
        <f t="shared" ref="Q37:Q42" si="7">$R$59*SQRT(P37)</f>
        <v>0.59180362704122413</v>
      </c>
      <c r="R37" s="59">
        <f t="shared" ref="R37:R42" si="8">1/P37</f>
        <v>10.968743925832392</v>
      </c>
      <c r="S37" s="59">
        <f t="shared" ref="S37:S42" si="9">O37*R37</f>
        <v>1.5802281388384918</v>
      </c>
      <c r="T37" s="59">
        <f t="shared" ref="T37:T42" si="10">R37*(O37^2)</f>
        <v>0.22765787839171045</v>
      </c>
      <c r="U37" s="23">
        <f t="shared" ref="U37:U42" si="11">R37^2</f>
        <v>120.313343310485</v>
      </c>
      <c r="V37" s="59">
        <f t="shared" ref="V37:V42" si="12">1/((1/R37)+$I$56)</f>
        <v>8.4186243693063094</v>
      </c>
      <c r="W37" s="59">
        <f t="shared" ref="W37:W42" si="13">V37*O37</f>
        <v>1.2128414345929515</v>
      </c>
      <c r="AF37" s="59">
        <f t="shared" ref="AF37:AF42" si="14">IF($D$6=1,100*((EXP(O37))-1),O37)</f>
        <v>0.14406646280773411</v>
      </c>
      <c r="AG37" s="59">
        <f t="shared" ref="AG37:AG42" si="15">IF($D$6=1,100*(EXP(O37+Q37)-EXP(O37)),Q37)</f>
        <v>0.59180362704122413</v>
      </c>
      <c r="AH37" s="59">
        <f t="shared" ref="AH37:AH42" si="16">IF($D$6=1,100*(EXP(O37)-EXP(O37-Q37)),Q37)</f>
        <v>0.59180362704122413</v>
      </c>
      <c r="AJ37">
        <f t="shared" ref="AJ37:AJ42" si="17">SQRT(P37)</f>
        <v>0.3019406260414409</v>
      </c>
      <c r="AK37">
        <f t="shared" ref="AK37:AK42" si="18">1/AJ37</f>
        <v>3.3119094078540843</v>
      </c>
      <c r="AL37">
        <f t="shared" ref="AL37:AL42" si="19">O37/AJ37</f>
        <v>0.4771350735291951</v>
      </c>
      <c r="AN37" t="str">
        <f t="shared" ref="AN37:AO42" si="20">E37</f>
        <v>Nolan CL</v>
      </c>
      <c r="AO37">
        <f t="shared" si="20"/>
        <v>2002</v>
      </c>
      <c r="AP37" t="str">
        <f t="shared" ref="AP37:AP42" si="21">CONCATENATE(AN37," ",AO37)</f>
        <v>Nolan CL 2002</v>
      </c>
      <c r="AQ37">
        <f t="shared" ref="AQ37:AQ42" si="22">INT(H37)</f>
        <v>22</v>
      </c>
      <c r="AR37">
        <f t="shared" ref="AR37:AS42" si="23">J37</f>
        <v>25.94</v>
      </c>
      <c r="AS37">
        <f t="shared" si="23"/>
        <v>7.66</v>
      </c>
      <c r="AT37">
        <f t="shared" ref="AT37:AT42" si="24">INT(I37)</f>
        <v>22</v>
      </c>
      <c r="AU37">
        <f t="shared" ref="AU37:AV42" si="25">L37</f>
        <v>25.02</v>
      </c>
      <c r="AV37">
        <f t="shared" si="25"/>
        <v>4.47</v>
      </c>
      <c r="AW37" s="65">
        <f t="shared" ref="AW37:AW42" si="26">O37</f>
        <v>0.14406646280773411</v>
      </c>
      <c r="AX37">
        <f t="shared" ref="AX37:AX42" si="27">SQRT(P37)</f>
        <v>0.3019406260414409</v>
      </c>
    </row>
    <row r="38" spans="2:51">
      <c r="E38" t="str">
        <f t="shared" si="1"/>
        <v>Salokangas RK</v>
      </c>
      <c r="F38">
        <f t="shared" si="1"/>
        <v>2002</v>
      </c>
      <c r="G38">
        <v>5</v>
      </c>
      <c r="H38">
        <f t="shared" si="2"/>
        <v>20</v>
      </c>
      <c r="I38">
        <f t="shared" si="2"/>
        <v>9.5</v>
      </c>
      <c r="J38">
        <f t="shared" si="3"/>
        <v>35.22</v>
      </c>
      <c r="K38">
        <f t="shared" si="3"/>
        <v>6.03</v>
      </c>
      <c r="L38">
        <f t="shared" si="3"/>
        <v>36.68</v>
      </c>
      <c r="M38">
        <f t="shared" si="3"/>
        <v>5.78</v>
      </c>
      <c r="N38">
        <f t="shared" si="4"/>
        <v>5.9538482589757935</v>
      </c>
      <c r="O38" s="59">
        <f t="shared" si="5"/>
        <v>-0.23847038957047784</v>
      </c>
      <c r="P38" s="63">
        <f t="shared" si="6"/>
        <v>0.15637560168780992</v>
      </c>
      <c r="Q38" s="59">
        <f t="shared" si="7"/>
        <v>0.77506935911819563</v>
      </c>
      <c r="R38" s="59">
        <f t="shared" si="8"/>
        <v>6.3948594870727451</v>
      </c>
      <c r="S38" s="59">
        <f t="shared" si="9"/>
        <v>-1.5249846331307035</v>
      </c>
      <c r="T38" s="59">
        <f t="shared" si="10"/>
        <v>0.36366367955167112</v>
      </c>
      <c r="U38" s="23">
        <f t="shared" si="11"/>
        <v>40.894227859404296</v>
      </c>
      <c r="V38" s="59">
        <f t="shared" si="12"/>
        <v>5.4350274152522111</v>
      </c>
      <c r="W38" s="59">
        <f t="shared" si="13"/>
        <v>-1.2960931050414219</v>
      </c>
      <c r="AF38" s="59">
        <f t="shared" si="14"/>
        <v>-0.23847038957047784</v>
      </c>
      <c r="AG38" s="59">
        <f t="shared" si="15"/>
        <v>0.77506935911819563</v>
      </c>
      <c r="AH38" s="59">
        <f t="shared" si="16"/>
        <v>0.77506935911819563</v>
      </c>
      <c r="AJ38">
        <f t="shared" si="17"/>
        <v>0.39544355057050801</v>
      </c>
      <c r="AK38">
        <f t="shared" si="18"/>
        <v>2.5288059409675436</v>
      </c>
      <c r="AL38">
        <f t="shared" si="19"/>
        <v>-0.60304533789066894</v>
      </c>
      <c r="AN38" t="str">
        <f t="shared" si="20"/>
        <v>Salokangas RK</v>
      </c>
      <c r="AO38">
        <f t="shared" si="20"/>
        <v>2002</v>
      </c>
      <c r="AP38" t="str">
        <f t="shared" si="21"/>
        <v>Salokangas RK 2002</v>
      </c>
      <c r="AQ38">
        <f t="shared" si="22"/>
        <v>20</v>
      </c>
      <c r="AR38">
        <f t="shared" si="23"/>
        <v>35.22</v>
      </c>
      <c r="AS38">
        <f t="shared" si="23"/>
        <v>6.03</v>
      </c>
      <c r="AT38">
        <f t="shared" si="24"/>
        <v>9</v>
      </c>
      <c r="AU38">
        <f t="shared" si="25"/>
        <v>36.68</v>
      </c>
      <c r="AV38">
        <f t="shared" si="25"/>
        <v>5.78</v>
      </c>
      <c r="AW38" s="65">
        <f t="shared" si="26"/>
        <v>-0.23847038957047784</v>
      </c>
      <c r="AX38">
        <f t="shared" si="27"/>
        <v>0.39544355057050801</v>
      </c>
    </row>
    <row r="39" spans="2:51">
      <c r="E39" t="str">
        <f t="shared" si="1"/>
        <v>Salokangas RK</v>
      </c>
      <c r="F39">
        <f t="shared" si="1"/>
        <v>2002</v>
      </c>
      <c r="G39">
        <v>4</v>
      </c>
      <c r="H39">
        <f t="shared" si="2"/>
        <v>17</v>
      </c>
      <c r="I39">
        <f t="shared" si="2"/>
        <v>9.5</v>
      </c>
      <c r="J39">
        <f t="shared" si="3"/>
        <v>40.130000000000003</v>
      </c>
      <c r="K39">
        <f t="shared" si="3"/>
        <v>6.91</v>
      </c>
      <c r="L39">
        <f t="shared" si="3"/>
        <v>36.68</v>
      </c>
      <c r="M39">
        <f t="shared" si="3"/>
        <v>5.78</v>
      </c>
      <c r="N39">
        <f t="shared" si="4"/>
        <v>6.5401148339166282</v>
      </c>
      <c r="O39" s="59">
        <f t="shared" si="5"/>
        <v>0.51119881744797924</v>
      </c>
      <c r="P39" s="63">
        <f t="shared" si="6"/>
        <v>0.16987844774444952</v>
      </c>
      <c r="Q39" s="59">
        <f t="shared" si="7"/>
        <v>0.80783973958643385</v>
      </c>
      <c r="R39" s="59">
        <f t="shared" si="8"/>
        <v>5.8865619110454421</v>
      </c>
      <c r="S39" s="59">
        <f t="shared" si="9"/>
        <v>3.0092034877607468</v>
      </c>
      <c r="T39" s="59">
        <f t="shared" si="10"/>
        <v>1.5383012644036285</v>
      </c>
      <c r="U39" s="23">
        <f t="shared" si="11"/>
        <v>34.65161113257097</v>
      </c>
      <c r="V39" s="59">
        <f t="shared" si="12"/>
        <v>5.0634306525431541</v>
      </c>
      <c r="W39" s="59">
        <f t="shared" si="13"/>
        <v>2.5884197618099103</v>
      </c>
      <c r="AF39" s="59">
        <f t="shared" si="14"/>
        <v>0.51119881744797924</v>
      </c>
      <c r="AG39" s="59">
        <f t="shared" si="15"/>
        <v>0.80783973958643385</v>
      </c>
      <c r="AH39" s="59">
        <f t="shared" si="16"/>
        <v>0.80783973958643385</v>
      </c>
      <c r="AJ39">
        <f t="shared" si="17"/>
        <v>0.4121631324420581</v>
      </c>
      <c r="AK39">
        <f t="shared" si="18"/>
        <v>2.4262237965705968</v>
      </c>
      <c r="AL39">
        <f t="shared" si="19"/>
        <v>1.2402827356710358</v>
      </c>
      <c r="AN39" t="str">
        <f t="shared" si="20"/>
        <v>Salokangas RK</v>
      </c>
      <c r="AO39">
        <f t="shared" si="20"/>
        <v>2002</v>
      </c>
      <c r="AP39" t="str">
        <f t="shared" si="21"/>
        <v>Salokangas RK 2002</v>
      </c>
      <c r="AQ39">
        <f t="shared" si="22"/>
        <v>17</v>
      </c>
      <c r="AR39">
        <f t="shared" si="23"/>
        <v>40.130000000000003</v>
      </c>
      <c r="AS39">
        <f t="shared" si="23"/>
        <v>6.91</v>
      </c>
      <c r="AT39">
        <f t="shared" si="24"/>
        <v>9</v>
      </c>
      <c r="AU39">
        <f t="shared" si="25"/>
        <v>36.68</v>
      </c>
      <c r="AV39">
        <f t="shared" si="25"/>
        <v>5.78</v>
      </c>
      <c r="AW39" s="65">
        <f t="shared" si="26"/>
        <v>0.51119881744797924</v>
      </c>
      <c r="AX39">
        <f t="shared" si="27"/>
        <v>0.4121631324420581</v>
      </c>
    </row>
    <row r="40" spans="2:51">
      <c r="E40" t="str">
        <f t="shared" si="1"/>
        <v>Lavretsky H</v>
      </c>
      <c r="F40">
        <f t="shared" si="1"/>
        <v>2004</v>
      </c>
      <c r="G40">
        <v>3</v>
      </c>
      <c r="H40">
        <f t="shared" si="2"/>
        <v>32</v>
      </c>
      <c r="I40">
        <f t="shared" si="2"/>
        <v>20</v>
      </c>
      <c r="J40">
        <f t="shared" si="3"/>
        <v>5.2200000000000003E-2</v>
      </c>
      <c r="K40">
        <f t="shared" si="3"/>
        <v>4.4999999999999997E-3</v>
      </c>
      <c r="L40">
        <f t="shared" si="3"/>
        <v>5.5100000000000003E-2</v>
      </c>
      <c r="M40">
        <f t="shared" si="3"/>
        <v>4.7000000000000002E-3</v>
      </c>
      <c r="N40">
        <f t="shared" si="4"/>
        <v>4.5770296044487192E-3</v>
      </c>
      <c r="O40" s="59">
        <f t="shared" si="5"/>
        <v>-0.62404695924600673</v>
      </c>
      <c r="P40" s="63">
        <f t="shared" si="6"/>
        <v>8.5301546060592884E-2</v>
      </c>
      <c r="Q40" s="59">
        <f t="shared" si="7"/>
        <v>0.57244599688212827</v>
      </c>
      <c r="R40" s="59">
        <f t="shared" si="8"/>
        <v>11.723116944324344</v>
      </c>
      <c r="S40" s="59">
        <f t="shared" si="9"/>
        <v>-7.3157754819909453</v>
      </c>
      <c r="T40" s="59">
        <f t="shared" si="10"/>
        <v>4.5653874440629378</v>
      </c>
      <c r="U40" s="23">
        <f t="shared" si="11"/>
        <v>137.43147089030455</v>
      </c>
      <c r="V40" s="59">
        <f t="shared" si="12"/>
        <v>8.856010922728796</v>
      </c>
      <c r="W40" s="59">
        <f t="shared" si="13"/>
        <v>-5.5265666873783275</v>
      </c>
      <c r="AF40" s="59">
        <f t="shared" si="14"/>
        <v>-0.62404695924600673</v>
      </c>
      <c r="AG40" s="59">
        <f t="shared" si="15"/>
        <v>0.57244599688212827</v>
      </c>
      <c r="AH40" s="59">
        <f t="shared" si="16"/>
        <v>0.57244599688212827</v>
      </c>
      <c r="AJ40">
        <f t="shared" si="17"/>
        <v>0.29206428412353486</v>
      </c>
      <c r="AK40">
        <f t="shared" si="18"/>
        <v>3.4239037580405709</v>
      </c>
      <c r="AL40">
        <f t="shared" si="19"/>
        <v>-2.1366767289561932</v>
      </c>
      <c r="AN40" t="str">
        <f t="shared" si="20"/>
        <v>Lavretsky H</v>
      </c>
      <c r="AO40">
        <f t="shared" si="20"/>
        <v>2004</v>
      </c>
      <c r="AP40" t="str">
        <f t="shared" si="21"/>
        <v>Lavretsky H 2004</v>
      </c>
      <c r="AQ40">
        <f t="shared" si="22"/>
        <v>32</v>
      </c>
      <c r="AR40">
        <f t="shared" si="23"/>
        <v>5.2200000000000003E-2</v>
      </c>
      <c r="AS40">
        <f t="shared" si="23"/>
        <v>4.4999999999999997E-3</v>
      </c>
      <c r="AT40">
        <f t="shared" si="24"/>
        <v>20</v>
      </c>
      <c r="AU40">
        <f t="shared" si="25"/>
        <v>5.5100000000000003E-2</v>
      </c>
      <c r="AV40">
        <f t="shared" si="25"/>
        <v>4.7000000000000002E-3</v>
      </c>
      <c r="AW40" s="65">
        <f t="shared" si="26"/>
        <v>-0.62404695924600673</v>
      </c>
      <c r="AX40">
        <f t="shared" si="27"/>
        <v>0.29206428412353486</v>
      </c>
    </row>
    <row r="41" spans="2:51">
      <c r="E41" t="str">
        <f t="shared" si="1"/>
        <v>Lavretsky H</v>
      </c>
      <c r="F41">
        <f t="shared" si="1"/>
        <v>2004</v>
      </c>
      <c r="G41">
        <v>2</v>
      </c>
      <c r="H41">
        <f t="shared" si="2"/>
        <v>9</v>
      </c>
      <c r="I41">
        <f t="shared" si="2"/>
        <v>21</v>
      </c>
      <c r="J41">
        <f t="shared" si="3"/>
        <v>5.21E-2</v>
      </c>
      <c r="K41">
        <f t="shared" si="3"/>
        <v>5.4000000000000003E-3</v>
      </c>
      <c r="L41">
        <f t="shared" si="3"/>
        <v>5.2200000000000003E-2</v>
      </c>
      <c r="M41">
        <f t="shared" si="3"/>
        <v>5.1999999999999998E-3</v>
      </c>
      <c r="N41">
        <f t="shared" si="4"/>
        <v>5.2579191973359841E-3</v>
      </c>
      <c r="O41" s="59">
        <f t="shared" si="5"/>
        <v>-1.8504905390443704E-2</v>
      </c>
      <c r="P41" s="63">
        <f t="shared" si="6"/>
        <v>0.15873672879008791</v>
      </c>
      <c r="Q41" s="59">
        <f t="shared" si="7"/>
        <v>0.78089885216972987</v>
      </c>
      <c r="R41" s="59">
        <f t="shared" si="8"/>
        <v>6.2997392451144147</v>
      </c>
      <c r="S41" s="59">
        <f t="shared" si="9"/>
        <v>-0.11657607871530748</v>
      </c>
      <c r="T41" s="59">
        <f t="shared" si="10"/>
        <v>2.1572293074156828E-3</v>
      </c>
      <c r="U41" s="23">
        <f t="shared" si="11"/>
        <v>39.686714556434737</v>
      </c>
      <c r="V41" s="59">
        <f t="shared" si="12"/>
        <v>5.3661645496277961</v>
      </c>
      <c r="W41" s="59">
        <f t="shared" si="13"/>
        <v>-9.9300367300415318E-2</v>
      </c>
      <c r="AF41" s="59">
        <f t="shared" si="14"/>
        <v>-1.8504905390443704E-2</v>
      </c>
      <c r="AG41" s="59">
        <f t="shared" si="15"/>
        <v>0.78089885216972987</v>
      </c>
      <c r="AH41" s="59">
        <f t="shared" si="16"/>
        <v>0.78089885216972987</v>
      </c>
      <c r="AJ41">
        <f t="shared" si="17"/>
        <v>0.39841778171924996</v>
      </c>
      <c r="AK41">
        <f t="shared" si="18"/>
        <v>2.5099281354481873</v>
      </c>
      <c r="AL41">
        <f t="shared" si="19"/>
        <v>-4.6445982683281477E-2</v>
      </c>
      <c r="AN41" t="str">
        <f t="shared" si="20"/>
        <v>Lavretsky H</v>
      </c>
      <c r="AO41">
        <f t="shared" si="20"/>
        <v>2004</v>
      </c>
      <c r="AP41" t="str">
        <f t="shared" si="21"/>
        <v>Lavretsky H 2004</v>
      </c>
      <c r="AQ41">
        <f t="shared" si="22"/>
        <v>9</v>
      </c>
      <c r="AR41">
        <f t="shared" si="23"/>
        <v>5.21E-2</v>
      </c>
      <c r="AS41">
        <f t="shared" si="23"/>
        <v>5.4000000000000003E-3</v>
      </c>
      <c r="AT41">
        <f t="shared" si="24"/>
        <v>21</v>
      </c>
      <c r="AU41">
        <f t="shared" si="25"/>
        <v>5.2200000000000003E-2</v>
      </c>
      <c r="AV41">
        <f t="shared" si="25"/>
        <v>5.1999999999999998E-3</v>
      </c>
      <c r="AW41" s="65">
        <f t="shared" si="26"/>
        <v>-1.8504905390443704E-2</v>
      </c>
      <c r="AX41">
        <f t="shared" si="27"/>
        <v>0.39841778171924996</v>
      </c>
    </row>
    <row r="42" spans="2:51">
      <c r="E42" t="str">
        <f t="shared" si="1"/>
        <v>Frodl T</v>
      </c>
      <c r="F42">
        <f t="shared" si="1"/>
        <v>2006</v>
      </c>
      <c r="G42">
        <v>1</v>
      </c>
      <c r="H42">
        <f t="shared" si="2"/>
        <v>34</v>
      </c>
      <c r="I42">
        <f t="shared" si="2"/>
        <v>34</v>
      </c>
      <c r="J42">
        <f t="shared" si="3"/>
        <v>71.599999999999994</v>
      </c>
      <c r="K42">
        <f t="shared" si="3"/>
        <v>5.2</v>
      </c>
      <c r="L42">
        <f t="shared" si="3"/>
        <v>71.8</v>
      </c>
      <c r="M42">
        <f t="shared" si="3"/>
        <v>6.1</v>
      </c>
      <c r="N42">
        <f t="shared" si="4"/>
        <v>5.6678920243773172</v>
      </c>
      <c r="O42" s="59">
        <f t="shared" si="5"/>
        <v>-3.4883979851474269E-2</v>
      </c>
      <c r="P42" s="63">
        <f t="shared" si="6"/>
        <v>5.8833027476471837E-2</v>
      </c>
      <c r="Q42" s="59">
        <f t="shared" si="7"/>
        <v>0.47540820181567567</v>
      </c>
      <c r="R42" s="59">
        <f t="shared" si="8"/>
        <v>16.9972555024457</v>
      </c>
      <c r="S42" s="59">
        <f t="shared" si="9"/>
        <v>-0.5929319184776759</v>
      </c>
      <c r="T42" s="59">
        <f t="shared" si="10"/>
        <v>2.0683825097471232E-2</v>
      </c>
      <c r="U42" s="23">
        <f t="shared" si="11"/>
        <v>288.90669461542063</v>
      </c>
      <c r="V42" s="59">
        <f t="shared" si="12"/>
        <v>11.567495330049109</v>
      </c>
      <c r="W42" s="59">
        <f t="shared" si="13"/>
        <v>-0.40352027402545582</v>
      </c>
      <c r="AF42" s="59">
        <f t="shared" si="14"/>
        <v>-3.4883979851474269E-2</v>
      </c>
      <c r="AG42" s="59">
        <f t="shared" si="15"/>
        <v>0.47540820181567567</v>
      </c>
      <c r="AH42" s="59">
        <f t="shared" si="16"/>
        <v>0.47540820181567567</v>
      </c>
      <c r="AJ42">
        <f t="shared" si="17"/>
        <v>0.24255520500799779</v>
      </c>
      <c r="AK42">
        <f t="shared" si="18"/>
        <v>4.1227727929690356</v>
      </c>
      <c r="AL42">
        <f t="shared" si="19"/>
        <v>-0.14381872304213814</v>
      </c>
      <c r="AN42" t="str">
        <f t="shared" si="20"/>
        <v>Frodl T</v>
      </c>
      <c r="AO42">
        <f t="shared" si="20"/>
        <v>2006</v>
      </c>
      <c r="AP42" t="str">
        <f t="shared" si="21"/>
        <v>Frodl T 2006</v>
      </c>
      <c r="AQ42">
        <f t="shared" si="22"/>
        <v>34</v>
      </c>
      <c r="AR42">
        <f t="shared" si="23"/>
        <v>71.599999999999994</v>
      </c>
      <c r="AS42">
        <f t="shared" si="23"/>
        <v>5.2</v>
      </c>
      <c r="AT42">
        <f t="shared" si="24"/>
        <v>34</v>
      </c>
      <c r="AU42">
        <f t="shared" si="25"/>
        <v>71.8</v>
      </c>
      <c r="AV42">
        <f t="shared" si="25"/>
        <v>6.1</v>
      </c>
      <c r="AW42" s="65">
        <f t="shared" si="26"/>
        <v>-3.4883979851474269E-2</v>
      </c>
      <c r="AX42">
        <f t="shared" si="27"/>
        <v>0.24255520500799779</v>
      </c>
    </row>
    <row r="43" spans="2:51">
      <c r="U43" s="23"/>
    </row>
    <row r="44" spans="2:51">
      <c r="L44" t="s">
        <v>500</v>
      </c>
      <c r="N44" s="7"/>
      <c r="O44" s="66">
        <f>COUNT(O37:O42)</f>
        <v>6</v>
      </c>
      <c r="Q44" t="s">
        <v>885</v>
      </c>
      <c r="R44" s="59">
        <f t="shared" ref="R44:W44" si="28">SUM(R37:R42)</f>
        <v>58.270277015835035</v>
      </c>
      <c r="S44" s="59">
        <f t="shared" si="28"/>
        <v>-4.9608364857153937</v>
      </c>
      <c r="T44" s="59">
        <f t="shared" si="28"/>
        <v>6.7178513208148347</v>
      </c>
      <c r="U44" s="23">
        <f t="shared" si="28"/>
        <v>661.88406236462015</v>
      </c>
      <c r="V44" s="59">
        <f t="shared" si="28"/>
        <v>44.706753239507378</v>
      </c>
      <c r="W44" s="59">
        <f t="shared" si="28"/>
        <v>-3.5242192373427592</v>
      </c>
    </row>
    <row r="45" spans="2:51">
      <c r="L45" t="s">
        <v>501</v>
      </c>
      <c r="N45" s="7"/>
      <c r="O45" s="2">
        <v>2</v>
      </c>
    </row>
    <row r="46" spans="2:51">
      <c r="N46" s="7"/>
      <c r="O46" s="7"/>
    </row>
    <row r="47" spans="2:51">
      <c r="G47" s="67" t="s">
        <v>502</v>
      </c>
      <c r="H47" s="40"/>
      <c r="I47" s="40">
        <f>S44/R44</f>
        <v>-8.5134939110848559E-2</v>
      </c>
      <c r="J47" s="40"/>
      <c r="K47" s="68" t="s">
        <v>879</v>
      </c>
      <c r="L47" s="40"/>
      <c r="M47" s="42"/>
      <c r="N47" s="7"/>
      <c r="O47" s="69" t="s">
        <v>503</v>
      </c>
      <c r="P47" s="70">
        <f>T44-((S44^2)/R44)</f>
        <v>6.295510808664579</v>
      </c>
      <c r="Q47" s="71" t="s">
        <v>824</v>
      </c>
      <c r="R47" s="28"/>
      <c r="S47" s="29"/>
      <c r="T47" s="30"/>
      <c r="U47" s="31"/>
      <c r="AF47" s="2" t="s">
        <v>1518</v>
      </c>
    </row>
    <row r="48" spans="2:51">
      <c r="G48" s="43" t="s">
        <v>504</v>
      </c>
      <c r="H48" s="31"/>
      <c r="I48" s="31">
        <f>1/R44</f>
        <v>1.7161408031889886E-2</v>
      </c>
      <c r="J48" s="31"/>
      <c r="K48" s="31"/>
      <c r="L48" s="31"/>
      <c r="M48" s="44"/>
      <c r="N48" s="7"/>
      <c r="O48" s="30" t="s">
        <v>505</v>
      </c>
      <c r="P48" s="31">
        <f>CHIDIST(P47,I52-1)</f>
        <v>0.27851702449610949</v>
      </c>
      <c r="Q48" s="31"/>
      <c r="R48" s="31"/>
      <c r="S48" s="34"/>
      <c r="T48" s="30"/>
      <c r="U48" s="31"/>
      <c r="AF48" s="2"/>
    </row>
    <row r="49" spans="7:34">
      <c r="G49" s="72" t="s">
        <v>506</v>
      </c>
      <c r="H49" s="31"/>
      <c r="I49" s="31">
        <f>$R$59*SQRT(I48)</f>
        <v>0.25676305243416192</v>
      </c>
      <c r="J49" s="31"/>
      <c r="K49" s="31" t="s">
        <v>507</v>
      </c>
      <c r="L49" s="31"/>
      <c r="M49" s="44">
        <f>ABS(I47/SQRT(I48))</f>
        <v>0.6498773054586966</v>
      </c>
      <c r="N49" s="7"/>
      <c r="O49" s="35" t="s">
        <v>508</v>
      </c>
      <c r="P49" s="37">
        <f>IF(((P47-(I52-1))/P47)&lt;0,0,100*((P47-(I52-1))/P47))</f>
        <v>20.578327129254607</v>
      </c>
      <c r="Q49" s="36"/>
      <c r="R49" s="36"/>
      <c r="S49" s="38"/>
      <c r="T49" s="30"/>
      <c r="U49" s="31"/>
      <c r="AF49" s="2" t="s">
        <v>1535</v>
      </c>
      <c r="AH49">
        <f>IF($D$6=1,100*((EXP(I47))-1),I47)</f>
        <v>-8.5134939110848559E-2</v>
      </c>
    </row>
    <row r="50" spans="7:34">
      <c r="G50" s="45" t="s">
        <v>509</v>
      </c>
      <c r="H50" s="46"/>
      <c r="I50" s="46">
        <v>-2</v>
      </c>
      <c r="J50" s="46"/>
      <c r="K50" s="46" t="s">
        <v>825</v>
      </c>
      <c r="L50" s="46"/>
      <c r="M50" s="47">
        <f>2*(1-NORMDIST(M49,0,1,1))</f>
        <v>0.51577147866296724</v>
      </c>
      <c r="N50" s="7"/>
      <c r="O50" s="7"/>
      <c r="AF50" s="79" t="s">
        <v>834</v>
      </c>
      <c r="AH50">
        <f>IF($D$6=1,100*(EXP(I47+I49)-EXP(I47)),I49)</f>
        <v>0.25676305243416192</v>
      </c>
    </row>
    <row r="51" spans="7:34">
      <c r="G51" s="40"/>
      <c r="H51" s="40"/>
      <c r="I51" s="40"/>
      <c r="J51" s="40"/>
      <c r="K51" s="40"/>
      <c r="L51" s="40"/>
      <c r="M51" s="40"/>
      <c r="N51" s="7"/>
      <c r="O51" s="7"/>
      <c r="AF51" s="79" t="s">
        <v>835</v>
      </c>
      <c r="AH51">
        <f>IF($D$6=1,100*(EXP(I47)-EXP(I47-I49)),I49)</f>
        <v>0.25676305243416192</v>
      </c>
    </row>
    <row r="52" spans="7:34">
      <c r="G52" s="73" t="s">
        <v>1110</v>
      </c>
      <c r="H52" s="74"/>
      <c r="I52" s="74">
        <f>O44</f>
        <v>6</v>
      </c>
      <c r="J52" s="74"/>
      <c r="K52" s="75" t="s">
        <v>1167</v>
      </c>
      <c r="L52" s="74"/>
      <c r="M52" s="76"/>
      <c r="N52" s="77"/>
      <c r="O52" s="101" t="s">
        <v>1513</v>
      </c>
      <c r="P52" s="102"/>
      <c r="Q52" s="103"/>
      <c r="AF52" s="7"/>
    </row>
    <row r="53" spans="7:34">
      <c r="G53" s="77" t="s">
        <v>1531</v>
      </c>
      <c r="H53" s="31"/>
      <c r="I53" s="31">
        <f>R44/I52</f>
        <v>9.7117128359725058</v>
      </c>
      <c r="J53" s="31"/>
      <c r="K53" s="31"/>
      <c r="L53" s="31"/>
      <c r="M53" s="78"/>
      <c r="N53" s="77"/>
      <c r="O53" s="104" t="s">
        <v>1514</v>
      </c>
      <c r="P53" s="31"/>
      <c r="Q53" s="105">
        <f>INDEX(LINEST(AL37:AL42,AK37:AK42,TRUE,TRUE),1,2)</f>
        <v>1.4595707261482953</v>
      </c>
      <c r="AF53" s="2" t="s">
        <v>1687</v>
      </c>
      <c r="AH53">
        <f>IF($D$6=1,100*((EXP(I58))-1),I58)</f>
        <v>-7.8829684152245824E-2</v>
      </c>
    </row>
    <row r="54" spans="7:34">
      <c r="G54" s="77" t="s">
        <v>1532</v>
      </c>
      <c r="H54" s="31"/>
      <c r="I54" s="31">
        <f>(1/(I52-1))*(U44-(I52*I53^2))</f>
        <v>19.195973022852286</v>
      </c>
      <c r="J54" s="31"/>
      <c r="K54" s="31"/>
      <c r="L54" s="31"/>
      <c r="M54" s="78"/>
      <c r="N54" s="77"/>
      <c r="O54" s="104" t="s">
        <v>1516</v>
      </c>
      <c r="P54" s="31"/>
      <c r="Q54" s="105">
        <f>INDEX(LINEST(AL37:AL42,AK37:AK42,TRUE,TRUE),2,2)</f>
        <v>2.4657313402505561</v>
      </c>
      <c r="AF54" s="79" t="s">
        <v>834</v>
      </c>
      <c r="AG54" s="7"/>
      <c r="AH54">
        <f>IF($D$6=1,100*(EXP(I58+I60)-EXP(I58)),I60)</f>
        <v>0.29313623520648852</v>
      </c>
    </row>
    <row r="55" spans="7:34">
      <c r="G55" s="77" t="s">
        <v>1669</v>
      </c>
      <c r="H55" s="31"/>
      <c r="I55" s="31">
        <f>(I52-1)*(I53-(I54/(I52*I53)))</f>
        <v>46.911414551790934</v>
      </c>
      <c r="J55" s="31"/>
      <c r="K55" s="31"/>
      <c r="L55" s="31"/>
      <c r="M55" s="78"/>
      <c r="N55" s="77"/>
      <c r="O55" s="104" t="s">
        <v>1349</v>
      </c>
      <c r="P55" s="31"/>
      <c r="Q55" s="105">
        <f>ABS(Q53/Q54)</f>
        <v>0.59194231841980827</v>
      </c>
      <c r="AF55" s="79" t="s">
        <v>835</v>
      </c>
      <c r="AH55">
        <f>IF($D$6=1,100*(EXP(I58)-EXP(I58-I60)),I60)</f>
        <v>0.29313623520648852</v>
      </c>
    </row>
    <row r="56" spans="7:34">
      <c r="G56" s="77" t="s">
        <v>1685</v>
      </c>
      <c r="H56" s="31"/>
      <c r="I56" s="31">
        <f>IF(P47&gt;(I52-1),(P47-(I52-1))/I55,0)</f>
        <v>2.7616110514730161E-2</v>
      </c>
      <c r="J56" s="31"/>
      <c r="K56" s="31"/>
      <c r="L56" s="31"/>
      <c r="M56" s="78"/>
      <c r="N56" s="77"/>
      <c r="O56" s="106" t="s">
        <v>1515</v>
      </c>
      <c r="P56" s="107"/>
      <c r="Q56" s="108">
        <f>TDIST(Q55,I52-2,2)</f>
        <v>0.58572661356600508</v>
      </c>
    </row>
    <row r="57" spans="7:34">
      <c r="G57" s="77"/>
      <c r="H57" s="31"/>
      <c r="I57" s="31"/>
      <c r="J57" s="31"/>
      <c r="K57" s="31"/>
      <c r="L57" s="31"/>
      <c r="M57" s="78"/>
      <c r="N57" s="77"/>
    </row>
    <row r="58" spans="7:34">
      <c r="G58" s="77" t="s">
        <v>1686</v>
      </c>
      <c r="H58" s="31"/>
      <c r="I58" s="31">
        <f>W44/V44</f>
        <v>-7.8829684152245824E-2</v>
      </c>
      <c r="J58" s="31"/>
      <c r="N58" s="77"/>
    </row>
    <row r="59" spans="7:34">
      <c r="G59" s="77" t="s">
        <v>504</v>
      </c>
      <c r="H59" s="31"/>
      <c r="I59" s="31">
        <f>1/V44</f>
        <v>2.2367985316283256E-2</v>
      </c>
      <c r="J59" s="31"/>
      <c r="N59" s="77"/>
      <c r="O59" t="s">
        <v>805</v>
      </c>
      <c r="R59">
        <v>1.96</v>
      </c>
    </row>
    <row r="60" spans="7:34">
      <c r="G60" s="80" t="s">
        <v>506</v>
      </c>
      <c r="H60" s="31"/>
      <c r="I60" s="31">
        <f>$R$59*SQRT(I59)</f>
        <v>0.29313623520648852</v>
      </c>
      <c r="J60" s="31"/>
      <c r="K60" s="31" t="s">
        <v>507</v>
      </c>
      <c r="L60" s="31"/>
      <c r="M60" s="78">
        <f>ABS(I58/(SQRT(I59)))</f>
        <v>0.52707977514129523</v>
      </c>
      <c r="N60" s="77"/>
    </row>
    <row r="61" spans="7:34">
      <c r="G61" s="81" t="s">
        <v>509</v>
      </c>
      <c r="H61" s="82"/>
      <c r="I61" s="82">
        <v>-3</v>
      </c>
      <c r="J61" s="82"/>
      <c r="K61" s="31" t="s">
        <v>825</v>
      </c>
      <c r="L61" s="31"/>
      <c r="M61" s="78">
        <f>2*(1-NORMDIST(M60,0,1,1))</f>
        <v>0.59813819094244836</v>
      </c>
      <c r="N61" s="77"/>
    </row>
    <row r="62" spans="7:34">
      <c r="G62" s="74"/>
      <c r="H62" s="74"/>
      <c r="I62" s="74"/>
      <c r="J62" s="74"/>
      <c r="K62" s="74"/>
      <c r="L62" s="74"/>
      <c r="M62" s="74"/>
      <c r="N62" s="31"/>
      <c r="O62" s="7"/>
    </row>
  </sheetData>
  <phoneticPr fontId="10" type="noConversion"/>
  <conditionalFormatting sqref="D17 D13 F13">
    <cfRule type="cellIs" dxfId="50" priority="0" stopIfTrue="1" operator="lessThan">
      <formula>0.05</formula>
    </cfRule>
  </conditionalFormatting>
  <conditionalFormatting sqref="D21">
    <cfRule type="cellIs" dxfId="4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5.xml><?xml version="1.0" encoding="utf-8"?>
<worksheet xmlns="http://schemas.openxmlformats.org/spreadsheetml/2006/main" xmlns:r="http://schemas.openxmlformats.org/officeDocument/2006/relationships">
  <sheetPr published="0" codeName="Sheet104" enableFormatConditionsCalculation="0"/>
  <dimension ref="A1:BM6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401</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I55-O48</f>
        <v>5</v>
      </c>
      <c r="AD7" s="89"/>
    </row>
    <row r="8" spans="2:30">
      <c r="B8" t="s">
        <v>822</v>
      </c>
      <c r="D8">
        <f>SUM(H24:H32)</f>
        <v>152</v>
      </c>
      <c r="E8" t="s">
        <v>298</v>
      </c>
      <c r="F8">
        <f>Summary!C78</f>
        <v>0.8</v>
      </c>
      <c r="AD8" s="89"/>
    </row>
    <row r="9" spans="2:30">
      <c r="B9" t="s">
        <v>823</v>
      </c>
      <c r="D9">
        <f>SUM(I24:I32)</f>
        <v>153</v>
      </c>
      <c r="AD9" s="89"/>
    </row>
    <row r="11" spans="2:30">
      <c r="B11" s="27" t="s">
        <v>516</v>
      </c>
      <c r="C11" s="28"/>
      <c r="D11" s="109">
        <f>P50</f>
        <v>10.373096461544646</v>
      </c>
      <c r="E11" s="110" t="s">
        <v>1513</v>
      </c>
      <c r="F11" s="103"/>
    </row>
    <row r="12" spans="2:30">
      <c r="B12" s="30" t="s">
        <v>826</v>
      </c>
      <c r="C12" s="31"/>
      <c r="D12" s="112">
        <f>P52</f>
        <v>42.158062231048156</v>
      </c>
      <c r="E12" s="31"/>
      <c r="F12" s="105"/>
    </row>
    <row r="13" spans="2:30">
      <c r="B13" s="35" t="s">
        <v>825</v>
      </c>
      <c r="C13" s="36"/>
      <c r="D13" s="113">
        <f>P51</f>
        <v>0.10979409832156338</v>
      </c>
      <c r="E13" s="111" t="s">
        <v>825</v>
      </c>
      <c r="F13" s="115">
        <f>Q59</f>
        <v>0.80973048661159253</v>
      </c>
    </row>
    <row r="15" spans="2:30">
      <c r="B15" s="39" t="s">
        <v>879</v>
      </c>
      <c r="C15" s="40"/>
      <c r="D15" s="41">
        <f>AH52</f>
        <v>-0.1042017744759938</v>
      </c>
      <c r="E15" s="116"/>
    </row>
    <row r="16" spans="2:30">
      <c r="B16" s="43" t="s">
        <v>1165</v>
      </c>
      <c r="C16" s="31"/>
      <c r="D16" s="33">
        <f>AH52-AH54</f>
        <v>-0.33864127888948314</v>
      </c>
      <c r="E16" s="117">
        <f>AH52+AH53</f>
        <v>0.13023772993749558</v>
      </c>
    </row>
    <row r="17" spans="1:65">
      <c r="B17" s="45" t="s">
        <v>1166</v>
      </c>
      <c r="C17" s="46"/>
      <c r="D17" s="123">
        <f>M53</f>
        <v>0.38366409737689233</v>
      </c>
      <c r="E17" s="118"/>
    </row>
    <row r="18" spans="1:65">
      <c r="D18" s="48"/>
      <c r="F18" s="49"/>
    </row>
    <row r="19" spans="1:65">
      <c r="B19" s="50" t="s">
        <v>1167</v>
      </c>
      <c r="C19" s="51"/>
      <c r="D19" s="52">
        <f>AH56</f>
        <v>-9.9437835390116913E-2</v>
      </c>
      <c r="E19" s="120"/>
      <c r="F19" s="33"/>
      <c r="G19" s="31"/>
    </row>
    <row r="20" spans="1:65">
      <c r="B20" s="53" t="s">
        <v>1165</v>
      </c>
      <c r="C20" s="31"/>
      <c r="D20" s="33">
        <f>AH56-AH58</f>
        <v>-0.41464947431256971</v>
      </c>
      <c r="E20" s="121">
        <f>AH56+AH57</f>
        <v>0.21577380353233588</v>
      </c>
      <c r="F20" s="31"/>
      <c r="G20" s="31"/>
    </row>
    <row r="21" spans="1:65">
      <c r="B21" s="54" t="s">
        <v>1440</v>
      </c>
      <c r="C21" s="55"/>
      <c r="D21" s="114">
        <f>M64</f>
        <v>0.53637174540105859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12271802</v>
      </c>
      <c r="C24" s="1" t="str">
        <f>IF($B24="","",HYPERLINK(IF(LEN(VLOOKUP($B24,Database!$B$1:$IX$10144,2,FALSE))=0,"",VLOOKUP($B24,Database!$B$1:$IX$10144,2,FALSE))))</f>
        <v/>
      </c>
      <c r="D24" s="1" t="str">
        <f t="shared" ref="D24:D32" si="0">IF($B24="","",HYPERLINK(CONCATENATE("http://www.ncbi.nlm.nih.gov/pubmed/",B24)))</f>
        <v>http://www.ncbi.nlm.nih.gov/pubmed/12271802</v>
      </c>
      <c r="E24" s="22" t="str">
        <f>IF($B24="","",IF(LEN(VLOOKUP($B24,Database!$B$1:$IX$10144,4,FALSE))=0,"",VLOOKUP($B24,Database!$B$1:$IX$10144,4,FALSE)))</f>
        <v>Salokangas RK</v>
      </c>
      <c r="F24" s="22">
        <f>IF($B24="","",IF(LEN(VLOOKUP($B24,Database!$B$1:$IX$10144,5,FALSE))=0,"",VLOOKUP($B24,Database!$B$1:$IX$10144,5,FALSE)))</f>
        <v>2002</v>
      </c>
      <c r="G24" s="1" t="str">
        <f>IF($B24="","",HYPERLINK(IF(LEN(VLOOKUP($B24,Database!$B$1:$IX$10144,6,FALSE))=0,"",VLOOKUP($B24,Database!$B$1:$IX$10144,6,FALSE))))</f>
        <v>http://bjp.rcpsych.org/cgi/reprint/181/43/s58</v>
      </c>
      <c r="H24" s="83">
        <v>20</v>
      </c>
      <c r="I24" s="83">
        <v>9.5</v>
      </c>
      <c r="J24" t="s">
        <v>125</v>
      </c>
      <c r="K24" t="s">
        <v>716</v>
      </c>
      <c r="L24">
        <v>34.119999999999997</v>
      </c>
      <c r="M24">
        <v>6.87</v>
      </c>
      <c r="N24">
        <v>36.14</v>
      </c>
      <c r="O24">
        <v>5.0999999999999996</v>
      </c>
      <c r="P24">
        <v>35.22</v>
      </c>
      <c r="Q24">
        <v>6.03</v>
      </c>
      <c r="R24">
        <v>36.68</v>
      </c>
      <c r="S24">
        <v>5.78</v>
      </c>
      <c r="T24">
        <v>69.34</v>
      </c>
      <c r="U24">
        <v>12.44</v>
      </c>
      <c r="V24">
        <v>72.819999999999993</v>
      </c>
      <c r="W24">
        <v>10.39</v>
      </c>
      <c r="Y24" s="22" t="str">
        <f>IF(OR($B24="",Y$22=""),"",IF(LEN(VLOOKUP($B24,Database!$B$1:$IX$10144,Y$22,FALSE))=0,"",VLOOKUP($B24,Database!$B$1:$IX$10144,Y$22,FALSE)))</f>
        <v>DSM-IV</v>
      </c>
      <c r="Z24" s="22" t="str">
        <f>IF(OR($B24="",Z$22=""),"",IF(LEN(VLOOKUP($B24,Database!$B$1:$IX$10144,Z$22,FALSE))=0,"",VLOOKUP($B24,Database!$B$1:$IX$10144,Z$22,FALSE)))</f>
        <v>MRI</v>
      </c>
      <c r="AA24" s="214" t="s">
        <v>754</v>
      </c>
      <c r="AB24" s="214">
        <v>34</v>
      </c>
      <c r="AC24" s="214">
        <v>9.8000000000000007</v>
      </c>
      <c r="AD24" s="22">
        <f>IF(OR($B24="",AD$22=""),"",IF(LEN(VLOOKUP($B24,Database!$B$1:$IX$10144,AD$22,FALSE))=0,"",VLOOKUP($B24,Database!$B$1:$IX$10144,AD$22,FALSE)))</f>
        <v>30.5</v>
      </c>
      <c r="AE24" s="22">
        <f>IF(OR($B24="",AE$22=""),"",IF(LEN(VLOOKUP($B24,Database!$B$1:$IX$10144,AE$22,FALSE))=0,"",VLOOKUP($B24,Database!$B$1:$IX$10144,AE$22,FALSE)))</f>
        <v>8.4</v>
      </c>
      <c r="AF24" s="214">
        <v>12</v>
      </c>
      <c r="AG24" s="22">
        <f>IF(OR($B24="",AG$22=""),"",IF(LEN(VLOOKUP($B24,Database!$B$1:$IX$10144,AG$22,FALSE))=0,"",VLOOKUP($B24,Database!$B$1:$IX$10144,AG$22,FALSE)))</f>
        <v>7</v>
      </c>
      <c r="AH24" s="22">
        <f>IF(OR($B24="",AH$22=""),"",IF(LEN(VLOOKUP($B24,Database!$B$1:$IX$10144,AH$22,FALSE))=0,"",VLOOKUP($B24,Database!$B$1:$IX$10144,AH$22,FALSE)))</f>
        <v>1.5</v>
      </c>
      <c r="AI24" s="22">
        <f>IF(OR($B24="",AI$22=""),"",IF(LEN(VLOOKUP($B24,Database!$B$1:$IX$10144,AI$22,FALSE))=0,"",VLOOKUP($B24,Database!$B$1:$IX$10144,AI$22,FALSE)))</f>
        <v>5.4</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Salokangas RK, Cannon T, Van Erp T, Ilonen T, Taiminen T, Karlsson H, Lauerma H, Leinonen KM, Wallenius E, Kaljonen A, Syvalahti E, Vilkman H, Alanen A, Hietala J.</v>
      </c>
      <c r="AR24" s="13"/>
      <c r="AU24" s="22"/>
      <c r="AX24" s="13"/>
      <c r="AY24" s="13"/>
      <c r="AZ24" s="13"/>
      <c r="BA24" s="13"/>
      <c r="BC24" s="23"/>
      <c r="BF24" s="136"/>
      <c r="BG24" s="136"/>
      <c r="BH24" s="136"/>
      <c r="BI24" s="136"/>
    </row>
    <row r="25" spans="1:65">
      <c r="B25">
        <v>12271802</v>
      </c>
      <c r="C25" s="1" t="str">
        <f>IF($B25="","",HYPERLINK(IF(LEN(VLOOKUP($B25,Database!$B$1:$IX$10144,2,FALSE))=0,"",VLOOKUP($B25,Database!$B$1:$IX$10144,2,FALSE))))</f>
        <v/>
      </c>
      <c r="D25" s="1" t="str">
        <f t="shared" si="0"/>
        <v>http://www.ncbi.nlm.nih.gov/pubmed/12271802</v>
      </c>
      <c r="E25" s="22" t="str">
        <f>IF($B25="","",IF(LEN(VLOOKUP($B25,Database!$B$1:$IX$10144,4,FALSE))=0,"",VLOOKUP($B25,Database!$B$1:$IX$10144,4,FALSE)))</f>
        <v>Salokangas RK</v>
      </c>
      <c r="F25" s="22">
        <f>IF($B25="","",IF(LEN(VLOOKUP($B25,Database!$B$1:$IX$10144,5,FALSE))=0,"",VLOOKUP($B25,Database!$B$1:$IX$10144,5,FALSE)))</f>
        <v>2002</v>
      </c>
      <c r="G25" s="1" t="str">
        <f>IF($B25="","",HYPERLINK(IF(LEN(VLOOKUP($B25,Database!$B$1:$IX$10144,6,FALSE))=0,"",VLOOKUP($B25,Database!$B$1:$IX$10144,6,FALSE))))</f>
        <v>http://bjp.rcpsych.org/cgi/reprint/181/43/s58</v>
      </c>
      <c r="H25" s="83">
        <v>17</v>
      </c>
      <c r="I25" s="83">
        <v>9.5</v>
      </c>
      <c r="J25" t="s">
        <v>125</v>
      </c>
      <c r="K25" t="s">
        <v>243</v>
      </c>
      <c r="L25">
        <v>38.96</v>
      </c>
      <c r="M25">
        <v>7.34</v>
      </c>
      <c r="N25">
        <v>36.14</v>
      </c>
      <c r="O25">
        <v>5.0999999999999996</v>
      </c>
      <c r="P25">
        <v>40.130000000000003</v>
      </c>
      <c r="Q25">
        <v>6.91</v>
      </c>
      <c r="R25">
        <v>36.68</v>
      </c>
      <c r="S25">
        <v>5.78</v>
      </c>
      <c r="T25">
        <v>79.09</v>
      </c>
      <c r="U25">
        <v>13.96</v>
      </c>
      <c r="V25">
        <v>72.819999999999993</v>
      </c>
      <c r="W25">
        <v>10.39</v>
      </c>
      <c r="Y25" s="22" t="str">
        <f>IF(OR($B25="",Y$22=""),"",IF(LEN(VLOOKUP($B25,Database!$B$1:$IX$10144,Y$22,FALSE))=0,"",VLOOKUP($B25,Database!$B$1:$IX$10144,Y$22,FALSE)))</f>
        <v>DSM-IV</v>
      </c>
      <c r="Z25" s="22" t="str">
        <f>IF(OR($B25="",Z$22=""),"",IF(LEN(VLOOKUP($B25,Database!$B$1:$IX$10144,Z$22,FALSE))=0,"",VLOOKUP($B25,Database!$B$1:$IX$10144,Z$22,FALSE)))</f>
        <v>MRI</v>
      </c>
      <c r="AA25" s="214" t="s">
        <v>755</v>
      </c>
      <c r="AB25" s="214">
        <v>38.4</v>
      </c>
      <c r="AC25" s="214">
        <v>12</v>
      </c>
      <c r="AD25" s="22">
        <f>IF(OR($B25="",AD$22=""),"",IF(LEN(VLOOKUP($B25,Database!$B$1:$IX$10144,AD$22,FALSE))=0,"",VLOOKUP($B25,Database!$B$1:$IX$10144,AD$22,FALSE)))</f>
        <v>30.5</v>
      </c>
      <c r="AE25" s="22">
        <f>IF(OR($B25="",AE$22=""),"",IF(LEN(VLOOKUP($B25,Database!$B$1:$IX$10144,AE$22,FALSE))=0,"",VLOOKUP($B25,Database!$B$1:$IX$10144,AE$22,FALSE)))</f>
        <v>8.4</v>
      </c>
      <c r="AF25" s="214">
        <v>9</v>
      </c>
      <c r="AG25" s="22">
        <f>IF(OR($B25="",AG$22=""),"",IF(LEN(VLOOKUP($B25,Database!$B$1:$IX$10144,AG$22,FALSE))=0,"",VLOOKUP($B25,Database!$B$1:$IX$10144,AG$22,FALSE)))</f>
        <v>7</v>
      </c>
      <c r="AH25" s="22">
        <f>IF(OR($B25="",AH$22=""),"",IF(LEN(VLOOKUP($B25,Database!$B$1:$IX$10144,AH$22,FALSE))=0,"",VLOOKUP($B25,Database!$B$1:$IX$10144,AH$22,FALSE)))</f>
        <v>1.5</v>
      </c>
      <c r="AI25" s="22">
        <f>IF(OR($B25="",AI$22=""),"",IF(LEN(VLOOKUP($B25,Database!$B$1:$IX$10144,AI$22,FALSE))=0,"",VLOOKUP($B25,Database!$B$1:$IX$10144,AI$22,FALSE)))</f>
        <v>5.4</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Salokangas RK, Cannon T, Van Erp T, Ilonen T, Taiminen T, Karlsson H, Lauerma H, Leinonen KM, Wallenius E, Kaljonen A, Syvalahti E, Vilkman H, Alanen A, Hietala J.</v>
      </c>
      <c r="AR25" s="13"/>
      <c r="AU25" s="22"/>
      <c r="AX25" s="13"/>
      <c r="AY25" s="13"/>
      <c r="AZ25" s="13"/>
      <c r="BA25" s="13"/>
      <c r="BC25" s="23"/>
      <c r="BF25" s="136"/>
      <c r="BG25" s="136"/>
      <c r="BH25" s="136"/>
      <c r="BI25" s="136"/>
    </row>
    <row r="26" spans="1:65">
      <c r="B26">
        <v>12242057</v>
      </c>
      <c r="C26" s="1" t="str">
        <f>IF($B26="","",HYPERLINK(IF(LEN(VLOOKUP($B26,Database!$B$1:$IX$10144,2,FALSE))=0,"",VLOOKUP($B26,Database!$B$1:$IX$10144,2,FALSE))))</f>
        <v/>
      </c>
      <c r="D26" s="1" t="str">
        <f t="shared" si="0"/>
        <v>http://www.ncbi.nlm.nih.gov/pubmed/12242057</v>
      </c>
      <c r="E26" s="22" t="str">
        <f>IF($B26="","",IF(LEN(VLOOKUP($B26,Database!$B$1:$IX$10144,4,FALSE))=0,"",VLOOKUP($B26,Database!$B$1:$IX$10144,4,FALSE)))</f>
        <v>Steingard RJ</v>
      </c>
      <c r="F26" s="22">
        <f>IF($B26="","",IF(LEN(VLOOKUP($B26,Database!$B$1:$IX$10144,5,FALSE))=0,"",VLOOKUP($B26,Database!$B$1:$IX$10144,5,FALSE)))</f>
        <v>2002</v>
      </c>
      <c r="G26" s="1" t="str">
        <f>IF($B26="","",HYPERLINK(IF(LEN(VLOOKUP($B26,Database!$B$1:$IX$10144,6,FALSE))=0,"",VLOOKUP($B26,Database!$B$1:$IX$10144,6,FALSE))))</f>
        <v>http://dx.doi.org/10.1016/S0006-3223(02)01393-8</v>
      </c>
      <c r="H26" s="83">
        <v>18</v>
      </c>
      <c r="I26" s="83">
        <v>37</v>
      </c>
      <c r="J26" t="s">
        <v>720</v>
      </c>
      <c r="K26" t="s">
        <v>718</v>
      </c>
      <c r="T26">
        <v>59.3</v>
      </c>
      <c r="U26">
        <v>21</v>
      </c>
      <c r="V26">
        <v>78.900000000000006</v>
      </c>
      <c r="W26">
        <v>22.2</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15.4</v>
      </c>
      <c r="AC26" s="22">
        <f>IF(OR($B26="",AC$22=""),"",IF(LEN(VLOOKUP($B26,Database!$B$1:$IX$10144,AC$22,FALSE))=0,"",VLOOKUP($B26,Database!$B$1:$IX$10144,AC$22,FALSE)))</f>
        <v>1.9</v>
      </c>
      <c r="AD26" s="22">
        <f>IF(OR($B26="",AD$22=""),"",IF(LEN(VLOOKUP($B26,Database!$B$1:$IX$10144,AD$22,FALSE))=0,"",VLOOKUP($B26,Database!$B$1:$IX$10144,AD$22,FALSE)))</f>
        <v>14.6</v>
      </c>
      <c r="AE26" s="22">
        <f>IF(OR($B26="",AE$22=""),"",IF(LEN(VLOOKUP($B26,Database!$B$1:$IX$10144,AE$22,FALSE))=0,"",VLOOKUP($B26,Database!$B$1:$IX$10144,AE$22,FALSE)))</f>
        <v>1.5</v>
      </c>
      <c r="AF26" s="22">
        <f>IF(OR($B26="",AF$22=""),"",IF(LEN(VLOOKUP($B26,Database!$B$1:$IX$10144,AF$22,FALSE))=0,"",VLOOKUP($B26,Database!$B$1:$IX$10144,AF$22,FALSE)))</f>
        <v>16</v>
      </c>
      <c r="AG26" s="22">
        <f>IF(OR($B26="",AG$22=""),"",IF(LEN(VLOOKUP($B26,Database!$B$1:$IX$10144,AG$22,FALSE))=0,"",VLOOKUP($B26,Database!$B$1:$IX$10144,AG$22,FALSE)))</f>
        <v>25</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17.3</v>
      </c>
      <c r="AM26" s="22">
        <f>IF(OR($B26="",AM$22=""),"",IF(LEN(VLOOKUP($B26,Database!$B$1:$IX$10144,AM$22,FALSE))=0,"",VLOOKUP($B26,Database!$B$1:$IX$10144,AM$22,FALSE)))</f>
        <v>0</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100</v>
      </c>
      <c r="AQ26" s="22" t="str">
        <f>IF(OR($B26="",AQ$22=""),"",IF(LEN(VLOOKUP($B26,Database!$B$1:$IX$10144,AQ$22,FALSE))=0,"",VLOOKUP($B26,Database!$B$1:$IX$10144,AQ$22,FALSE)))</f>
        <v>Steingard RJ, Renshaw PF, Hennen J, Lenox M, Cintron CB, Young AD, Connor DF, Au TH, Yurgelun-Todd DA.</v>
      </c>
      <c r="AR26" s="13"/>
      <c r="AU26" s="22"/>
      <c r="AX26" s="13"/>
      <c r="AY26" s="13"/>
      <c r="AZ26" s="13"/>
      <c r="BA26" s="13"/>
      <c r="BC26" s="23"/>
      <c r="BF26" s="136"/>
      <c r="BG26" s="136"/>
      <c r="BH26" s="136"/>
      <c r="BI26" s="136"/>
    </row>
    <row r="27" spans="1:65">
      <c r="B27">
        <v>15545334</v>
      </c>
      <c r="C27" s="1" t="str">
        <f>IF($B27="","",HYPERLINK(IF(LEN(VLOOKUP($B27,Database!$B$1:$IX$10144,2,FALSE))=0,"",VLOOKUP($B27,Database!$B$1:$IX$10144,2,FALSE))))</f>
        <v/>
      </c>
      <c r="D27" s="1" t="str">
        <f t="shared" si="0"/>
        <v>http://www.ncbi.nlm.nih.gov/pubmed/15545334</v>
      </c>
      <c r="E27" s="22" t="str">
        <f>IF($B27="","",IF(LEN(VLOOKUP($B27,Database!$B$1:$IX$10144,4,FALSE))=0,"",VLOOKUP($B27,Database!$B$1:$IX$10144,4,FALSE)))</f>
        <v>Lavretsky H</v>
      </c>
      <c r="F27" s="22">
        <f>IF($B27="","",IF(LEN(VLOOKUP($B27,Database!$B$1:$IX$10144,5,FALSE))=0,"",VLOOKUP($B27,Database!$B$1:$IX$10144,5,FALSE)))</f>
        <v>2004</v>
      </c>
      <c r="G27" s="1" t="str">
        <f>IF($B27="","",HYPERLINK(IF(LEN(VLOOKUP($B27,Database!$B$1:$IX$10144,6,FALSE))=0,"",VLOOKUP($B27,Database!$B$1:$IX$10144,6,FALSE))))</f>
        <v>http://journals.lww.com/ajgponline/Abstract/2004/11000/Sex_Differences_in_Brain_Structure_in_Geriatric.12.aspx</v>
      </c>
      <c r="H27" s="83">
        <v>32</v>
      </c>
      <c r="I27" s="83">
        <v>20</v>
      </c>
      <c r="J27" t="s">
        <v>1392</v>
      </c>
      <c r="K27" t="s">
        <v>1248</v>
      </c>
      <c r="L27">
        <v>5.0799999999999998E-2</v>
      </c>
      <c r="M27">
        <v>6.8999999999999999E-3</v>
      </c>
      <c r="N27">
        <v>5.1400000000000001E-2</v>
      </c>
      <c r="O27">
        <v>4.8999999999999998E-3</v>
      </c>
      <c r="P27">
        <v>5.2200000000000003E-2</v>
      </c>
      <c r="Q27">
        <v>4.4999999999999997E-3</v>
      </c>
      <c r="R27">
        <v>5.5100000000000003E-2</v>
      </c>
      <c r="S27">
        <v>4.7000000000000002E-3</v>
      </c>
      <c r="T27">
        <v>0.10299999999999999</v>
      </c>
      <c r="U27">
        <v>1.0999999999999999E-2</v>
      </c>
      <c r="V27">
        <v>0.10299999999999999</v>
      </c>
      <c r="W27">
        <v>1.0999999999999999E-2</v>
      </c>
      <c r="Y27" s="22" t="str">
        <f>IF(OR($B27="",Y$22=""),"",IF(LEN(VLOOKUP($B27,Database!$B$1:$IX$10144,Y$22,FALSE))=0,"",VLOOKUP($B27,Database!$B$1:$IX$10144,Y$22,FALSE)))</f>
        <v>DSM-IV</v>
      </c>
      <c r="Z27" s="22" t="str">
        <f>IF(OR($B27="",Z$22=""),"",IF(LEN(VLOOKUP($B27,Database!$B$1:$IX$10144,Z$22,FALSE))=0,"",VLOOKUP($B27,Database!$B$1:$IX$10144,Z$22,FALSE)))</f>
        <v>MRI</v>
      </c>
      <c r="AA27" s="214" t="s">
        <v>1368</v>
      </c>
      <c r="AB27" s="22">
        <f>IF(OR($B27="",AB$22=""),"",IF(LEN(VLOOKUP($B27,Database!$B$1:$IX$10144,AB$22,FALSE))=0,"",VLOOKUP($B27,Database!$B$1:$IX$10144,AB$22,FALSE)))</f>
        <v>70.5</v>
      </c>
      <c r="AC27" s="22">
        <f>IF(OR($B27="",AC$22=""),"",IF(LEN(VLOOKUP($B27,Database!$B$1:$IX$10144,AC$22,FALSE))=0,"",VLOOKUP($B27,Database!$B$1:$IX$10144,AC$22,FALSE)))</f>
        <v>7.6</v>
      </c>
      <c r="AD27" s="22">
        <f>IF(OR($B27="",AD$22=""),"",IF(LEN(VLOOKUP($B27,Database!$B$1:$IX$10144,AD$22,FALSE))=0,"",VLOOKUP($B27,Database!$B$1:$IX$10144,AD$22,FALSE)))</f>
        <v>72.2</v>
      </c>
      <c r="AE27" s="22">
        <f>IF(OR($B27="",AE$22=""),"",IF(LEN(VLOOKUP($B27,Database!$B$1:$IX$10144,AE$22,FALSE))=0,"",VLOOKUP($B27,Database!$B$1:$IX$10144,AE$22,FALSE)))</f>
        <v>7.3</v>
      </c>
      <c r="AF27" s="22">
        <f>IF(OR($B27="",AF$22=""),"",IF(LEN(VLOOKUP($B27,Database!$B$1:$IX$10144,AF$22,FALSE))=0,"",VLOOKUP($B27,Database!$B$1:$IX$10144,AF$22,FALSE)))</f>
        <v>32</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2">
        <f>IF(OR($B27="",AK$22=""),"",IF(LEN(VLOOKUP($B27,Database!$B$1:$IX$10144,AK$22,FALSE))=0,"",VLOOKUP($B27,Database!$B$1:$IX$10144,AK$22,FALSE)))</f>
        <v>48.5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Lavretsky H, Kurbanyan K, Ballmaier M, Mintz J, Toga A, Kumar A.</v>
      </c>
      <c r="AR27" s="13"/>
      <c r="AU27" s="22"/>
      <c r="AX27" s="13"/>
      <c r="AY27" s="13"/>
      <c r="AZ27" s="13"/>
      <c r="BA27" s="13"/>
      <c r="BC27" s="23"/>
      <c r="BF27" s="136"/>
      <c r="BG27" s="136"/>
      <c r="BH27" s="136"/>
      <c r="BI27" s="136"/>
    </row>
    <row r="28" spans="1:65">
      <c r="B28">
        <v>15545334</v>
      </c>
      <c r="C28" s="1" t="str">
        <f>IF($B28="","",HYPERLINK(IF(LEN(VLOOKUP($B28,Database!$B$1:$IX$10144,2,FALSE))=0,"",VLOOKUP($B28,Database!$B$1:$IX$10144,2,FALSE))))</f>
        <v/>
      </c>
      <c r="D28" s="1" t="str">
        <f t="shared" si="0"/>
        <v>http://www.ncbi.nlm.nih.gov/pubmed/15545334</v>
      </c>
      <c r="E28" s="22" t="str">
        <f>IF($B28="","",IF(LEN(VLOOKUP($B28,Database!$B$1:$IX$10144,4,FALSE))=0,"",VLOOKUP($B28,Database!$B$1:$IX$10144,4,FALSE)))</f>
        <v>Lavretsky H</v>
      </c>
      <c r="F28" s="22">
        <f>IF($B28="","",IF(LEN(VLOOKUP($B28,Database!$B$1:$IX$10144,5,FALSE))=0,"",VLOOKUP($B28,Database!$B$1:$IX$10144,5,FALSE)))</f>
        <v>2004</v>
      </c>
      <c r="G28" s="1" t="str">
        <f>IF($B28="","",HYPERLINK(IF(LEN(VLOOKUP($B28,Database!$B$1:$IX$10144,6,FALSE))=0,"",VLOOKUP($B28,Database!$B$1:$IX$10144,6,FALSE))))</f>
        <v>http://journals.lww.com/ajgponline/Abstract/2004/11000/Sex_Differences_in_Brain_Structure_in_Geriatric.12.aspx</v>
      </c>
      <c r="H28" s="83">
        <v>9</v>
      </c>
      <c r="I28" s="83">
        <v>21</v>
      </c>
      <c r="J28" t="s">
        <v>1392</v>
      </c>
      <c r="K28" t="s">
        <v>1391</v>
      </c>
      <c r="L28">
        <v>4.9399999999999999E-2</v>
      </c>
      <c r="M28">
        <v>5.47E-3</v>
      </c>
      <c r="N28">
        <v>5.1499999999999997E-2</v>
      </c>
      <c r="O28">
        <v>5.5999999999999999E-3</v>
      </c>
      <c r="P28">
        <v>5.21E-2</v>
      </c>
      <c r="Q28">
        <v>5.4000000000000003E-3</v>
      </c>
      <c r="R28">
        <v>5.2200000000000003E-2</v>
      </c>
      <c r="S28">
        <v>5.1999999999999998E-3</v>
      </c>
      <c r="T28">
        <v>0.10199999999999999</v>
      </c>
      <c r="U28">
        <v>9.9000000000000008E-3</v>
      </c>
      <c r="V28">
        <v>0.10299999999999999</v>
      </c>
      <c r="W28">
        <v>1.0999999999999999E-2</v>
      </c>
      <c r="Y28" s="22" t="str">
        <f>IF(OR($B28="",Y$22=""),"",IF(LEN(VLOOKUP($B28,Database!$B$1:$IX$10144,Y$22,FALSE))=0,"",VLOOKUP($B28,Database!$B$1:$IX$10144,Y$22,FALSE)))</f>
        <v>DSM-IV</v>
      </c>
      <c r="Z28" s="22" t="str">
        <f>IF(OR($B28="",Z$22=""),"",IF(LEN(VLOOKUP($B28,Database!$B$1:$IX$10144,Z$22,FALSE))=0,"",VLOOKUP($B28,Database!$B$1:$IX$10144,Z$22,FALSE)))</f>
        <v>MRI</v>
      </c>
      <c r="AA28" s="214" t="s">
        <v>1367</v>
      </c>
      <c r="AB28" s="22">
        <f>IF(OR($B28="",AB$22=""),"",IF(LEN(VLOOKUP($B28,Database!$B$1:$IX$10144,AB$22,FALSE))=0,"",VLOOKUP($B28,Database!$B$1:$IX$10144,AB$22,FALSE)))</f>
        <v>70.5</v>
      </c>
      <c r="AC28" s="22">
        <f>IF(OR($B28="",AC$22=""),"",IF(LEN(VLOOKUP($B28,Database!$B$1:$IX$10144,AC$22,FALSE))=0,"",VLOOKUP($B28,Database!$B$1:$IX$10144,AC$22,FALSE)))</f>
        <v>7.6</v>
      </c>
      <c r="AD28" s="22">
        <f>IF(OR($B28="",AD$22=""),"",IF(LEN(VLOOKUP($B28,Database!$B$1:$IX$10144,AD$22,FALSE))=0,"",VLOOKUP($B28,Database!$B$1:$IX$10144,AD$22,FALSE)))</f>
        <v>72.2</v>
      </c>
      <c r="AE28" s="22">
        <f>IF(OR($B28="",AE$22=""),"",IF(LEN(VLOOKUP($B28,Database!$B$1:$IX$10144,AE$22,FALSE))=0,"",VLOOKUP($B28,Database!$B$1:$IX$10144,AE$22,FALSE)))</f>
        <v>7.3</v>
      </c>
      <c r="AF28" s="214">
        <v>0</v>
      </c>
      <c r="AG28" s="22">
        <f>IF(OR($B28="",AG$22=""),"",IF(LEN(VLOOKUP($B28,Database!$B$1:$IX$10144,AG$22,FALSE))=0,"",VLOOKUP($B28,Database!$B$1:$IX$10144,AG$22,FALSE)))</f>
        <v>20</v>
      </c>
      <c r="AH28" s="22">
        <f>IF(OR($B28="",AH$22=""),"",IF(LEN(VLOOKUP($B28,Database!$B$1:$IX$10144,AH$22,FALSE))=0,"",VLOOKUP($B28,Database!$B$1:$IX$10144,AH$22,FALSE)))</f>
        <v>1.5</v>
      </c>
      <c r="AI28" s="22">
        <f>IF(OR($B28="",AI$22=""),"",IF(LEN(VLOOKUP($B28,Database!$B$1:$IX$10144,AI$22,FALSE))=0,"",VLOOKUP($B28,Database!$B$1:$IX$10144,AI$22,FALSE)))</f>
        <v>1.4</v>
      </c>
      <c r="AJ28" s="22" t="str">
        <f>IF(OR($B28="",AJ$22=""),"",IF(LEN(VLOOKUP($B28,Database!$B$1:$IX$10144,AJ$22,FALSE))=0,"",VLOOKUP($B28,Database!$B$1:$IX$10144,AJ$22,FALSE)))</f>
        <v/>
      </c>
      <c r="AK28" s="22">
        <f>IF(OR($B28="",AK$22=""),"",IF(LEN(VLOOKUP($B28,Database!$B$1:$IX$10144,AK$22,FALSE))=0,"",VLOOKUP($B28,Database!$B$1:$IX$10144,AK$22,FALSE)))</f>
        <v>48.5</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Lavretsky H, Kurbanyan K, Ballmaier M, Mintz J, Toga A, Kumar A.</v>
      </c>
      <c r="AR28" s="13"/>
      <c r="AU28" s="22"/>
      <c r="AX28" s="13"/>
      <c r="AY28" s="13"/>
      <c r="AZ28" s="13"/>
      <c r="BA28" s="13"/>
      <c r="BC28" s="23"/>
      <c r="BF28" s="136"/>
      <c r="BG28" s="136"/>
      <c r="BH28" s="136"/>
      <c r="BI28" s="136"/>
    </row>
    <row r="29" spans="1:65">
      <c r="C29" s="1"/>
      <c r="D29" s="1"/>
      <c r="E29" s="22"/>
      <c r="F29" s="22"/>
      <c r="G29" s="1"/>
      <c r="H29" s="83"/>
      <c r="I29" s="83"/>
      <c r="Y29" s="22"/>
      <c r="Z29" s="22"/>
      <c r="AA29" s="22"/>
      <c r="AB29" s="22"/>
      <c r="AC29" s="22"/>
      <c r="AD29" s="22"/>
      <c r="AE29" s="22"/>
      <c r="AF29" s="22"/>
      <c r="AG29" s="22"/>
      <c r="AH29" s="22"/>
      <c r="AI29" s="22"/>
      <c r="AJ29" s="22"/>
      <c r="AK29" s="22"/>
      <c r="AL29" s="22"/>
      <c r="AM29" s="22"/>
      <c r="AN29" s="22"/>
      <c r="AO29" s="22"/>
      <c r="AP29" s="22"/>
      <c r="AQ29" s="22"/>
      <c r="AR29" s="13"/>
      <c r="AX29" s="13"/>
      <c r="AY29" s="13"/>
      <c r="AZ29" s="13"/>
      <c r="BA29" s="13"/>
      <c r="BC29" s="23"/>
      <c r="BF29" s="136"/>
      <c r="BG29" s="136"/>
      <c r="BH29" s="136"/>
      <c r="BI29" s="136"/>
    </row>
    <row r="30" spans="1:65">
      <c r="A30" s="4" t="s">
        <v>397</v>
      </c>
      <c r="C30" s="1"/>
      <c r="D30" s="1"/>
      <c r="E30" s="22"/>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c r="AR30" s="13"/>
      <c r="AX30" s="13"/>
      <c r="AY30" s="13"/>
      <c r="AZ30" s="13"/>
      <c r="BA30" s="13"/>
      <c r="BC30" s="23"/>
      <c r="BF30" s="136"/>
      <c r="BG30" s="136"/>
      <c r="BH30" s="136"/>
      <c r="BI30" s="136"/>
    </row>
    <row r="31" spans="1:65">
      <c r="B31">
        <v>11825139</v>
      </c>
      <c r="C31" s="1" t="str">
        <f>IF($B31="","",HYPERLINK(IF(LEN(VLOOKUP($B31,Database!$B$1:$IX$10144,2,FALSE))=0,"",VLOOKUP($B31,Database!$B$1:$IX$10144,2,FALSE))))</f>
        <v/>
      </c>
      <c r="D31" s="1" t="str">
        <f t="shared" si="0"/>
        <v>http://www.ncbi.nlm.nih.gov/pubmed/11825139</v>
      </c>
      <c r="E31" s="22" t="str">
        <f>IF($B31="","",IF(LEN(VLOOKUP($B31,Database!$B$1:$IX$10144,4,FALSE))=0,"",VLOOKUP($B31,Database!$B$1:$IX$10144,4,FALSE)))</f>
        <v>Nolan CL</v>
      </c>
      <c r="F31" s="22">
        <f>IF($B31="","",IF(LEN(VLOOKUP($B31,Database!$B$1:$IX$10144,5,FALSE))=0,"",VLOOKUP($B31,Database!$B$1:$IX$10144,5,FALSE)))</f>
        <v>2002</v>
      </c>
      <c r="G31" s="1" t="str">
        <f>IF($B31="","",HYPERLINK(IF(LEN(VLOOKUP($B31,Database!$B$1:$IX$10144,6,FALSE))=0,"",VLOOKUP($B31,Database!$B$1:$IX$10144,6,FALSE))))</f>
        <v>http://archpsyc.ama-assn.org/cgi/reprint/59/2/173</v>
      </c>
      <c r="H31" s="22">
        <f>IF($B31="","",IF(LEN(VLOOKUP($B31,Database!$B$1:$IX$10144,7,FALSE))=0,"",VLOOKUP($B31,Database!$B$1:$IX$10144,7,FALSE)))</f>
        <v>22</v>
      </c>
      <c r="I31" s="22">
        <f>IF($B31="","",IF(LEN(VLOOKUP($B31,Database!$B$1:$IX$10144,8,FALSE))=0,"",VLOOKUP($B31,Database!$B$1:$IX$10144,8,FALSE)))</f>
        <v>22</v>
      </c>
      <c r="J31" t="s">
        <v>1200</v>
      </c>
      <c r="K31" t="s">
        <v>448</v>
      </c>
      <c r="L31">
        <v>19.61</v>
      </c>
      <c r="M31">
        <v>4.97</v>
      </c>
      <c r="N31">
        <v>18.29</v>
      </c>
      <c r="O31">
        <v>3.01</v>
      </c>
      <c r="P31">
        <v>25.94</v>
      </c>
      <c r="Q31">
        <v>7.66</v>
      </c>
      <c r="R31">
        <v>25.02</v>
      </c>
      <c r="S31">
        <v>4.47</v>
      </c>
      <c r="T31">
        <f>L31+P31</f>
        <v>45.55</v>
      </c>
      <c r="U31">
        <f>2*SQRT(0.25*(M31^2+Q31^2+2*$F$8*M31*Q31))</f>
        <v>12.012028138495181</v>
      </c>
      <c r="V31">
        <f>N31+R31</f>
        <v>43.31</v>
      </c>
      <c r="W31">
        <f>2*SQRT(0.25*(O31^2+S31^2+2*$F$8*O31*S31))</f>
        <v>7.1111546179224643</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f>IF(OR($B31="",AF$22=""),"",IF(LEN(VLOOKUP($B31,Database!$B$1:$IX$10144,AF$22,FALSE))=0,"",VLOOKUP($B31,Database!$B$1:$IX$10144,AF$22,FALSE)))</f>
        <v>12</v>
      </c>
      <c r="AG31" s="22">
        <f>IF(OR($B31="",AG$22=""),"",IF(LEN(VLOOKUP($B31,Database!$B$1:$IX$10144,AG$22,FALSE))=0,"",VLOOKUP($B31,Database!$B$1:$IX$10144,AG$22,FALSE)))</f>
        <v>12</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2">
        <f>IF(OR($B31="",AK$22=""),"",IF(LEN(VLOOKUP($B31,Database!$B$1:$IX$10144,AK$22,FALSE))=0,"",VLOOKUP($B31,Database!$B$1:$IX$10144,AK$22,FALSE)))</f>
        <v>12.18</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Nolan CL, Moore GJ, Madden R, Farchione T, Bartoi M, Lorch E, Stewart CM, Rosenberg DR.</v>
      </c>
      <c r="AR31" s="13"/>
      <c r="AX31" s="13"/>
      <c r="AY31" s="13"/>
      <c r="AZ31" s="13"/>
      <c r="BA31" s="13"/>
      <c r="BC31" s="23"/>
      <c r="BF31" s="136"/>
      <c r="BG31" s="136"/>
      <c r="BH31" s="136"/>
      <c r="BI31" s="136"/>
    </row>
    <row r="32" spans="1:65">
      <c r="B32">
        <v>16951734</v>
      </c>
      <c r="C32" s="1" t="str">
        <f>IF($B32="","",HYPERLINK(IF(LEN(VLOOKUP($B32,Database!$B$1:$IX$10144,2,FALSE))=0,"",VLOOKUP($B32,Database!$B$1:$IX$10144,2,FALSE))))</f>
        <v/>
      </c>
      <c r="D32" s="1" t="str">
        <f t="shared" si="0"/>
        <v>http://www.ncbi.nlm.nih.gov/pubmed/16951734</v>
      </c>
      <c r="E32" s="22" t="str">
        <f>IF($B32="","",IF(LEN(VLOOKUP($B32,Database!$B$1:$IX$10144,4,FALSE))=0,"",VLOOKUP($B32,Database!$B$1:$IX$10144,4,FALSE)))</f>
        <v>Frodl T</v>
      </c>
      <c r="F32" s="22">
        <f>IF($B32="","",IF(LEN(VLOOKUP($B32,Database!$B$1:$IX$10144,5,FALSE))=0,"",VLOOKUP($B32,Database!$B$1:$IX$10144,5,FALSE)))</f>
        <v>2006</v>
      </c>
      <c r="G32" s="1" t="str">
        <f>IF($B32="","",HYPERLINK(IF(LEN(VLOOKUP($B32,Database!$B$1:$IX$10144,6,FALSE))=0,"",VLOOKUP($B32,Database!$B$1:$IX$10144,6,FALSE))))</f>
        <v>http://www.cma.ca/multimedia/staticContent/HTML/N0/l2/jpn/vol-31/issue-5/pdf/pg316.pdf</v>
      </c>
      <c r="H32" s="22">
        <f>IF($B32="","",IF(LEN(VLOOKUP($B32,Database!$B$1:$IX$10144,7,FALSE))=0,"",VLOOKUP($B32,Database!$B$1:$IX$10144,7,FALSE)))</f>
        <v>34</v>
      </c>
      <c r="I32" s="22">
        <f>IF($B32="","",IF(LEN(VLOOKUP($B32,Database!$B$1:$IX$10144,8,FALSE))=0,"",VLOOKUP($B32,Database!$B$1:$IX$10144,8,FALSE)))</f>
        <v>34</v>
      </c>
      <c r="J32" t="s">
        <v>720</v>
      </c>
      <c r="K32" t="s">
        <v>683</v>
      </c>
      <c r="L32">
        <v>68.8</v>
      </c>
      <c r="M32">
        <v>5</v>
      </c>
      <c r="N32">
        <v>68.8</v>
      </c>
      <c r="O32">
        <v>6.1</v>
      </c>
      <c r="P32">
        <v>71.599999999999994</v>
      </c>
      <c r="Q32">
        <v>5.2</v>
      </c>
      <c r="R32">
        <v>71.8</v>
      </c>
      <c r="S32">
        <v>6.1</v>
      </c>
      <c r="T32">
        <f>L32+P32</f>
        <v>140.39999999999998</v>
      </c>
      <c r="U32">
        <f>2*SQRT(0.25*(M32^2+Q32^2+2*$F$8*M32*Q32))</f>
        <v>9.6767763227223558</v>
      </c>
      <c r="V32">
        <f>N32+R32</f>
        <v>140.6</v>
      </c>
      <c r="W32">
        <f>2*SQRT(0.25*(O32^2+S32^2+2*$F$8*O32*S32))</f>
        <v>11.573936236216268</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45.5</v>
      </c>
      <c r="AC32" s="22">
        <f>IF(OR($B32="",AC$22=""),"",IF(LEN(VLOOKUP($B32,Database!$B$1:$IX$10144,AC$22,FALSE))=0,"",VLOOKUP($B32,Database!$B$1:$IX$10144,AC$22,FALSE)))</f>
        <v>11.9</v>
      </c>
      <c r="AD32" s="22">
        <f>IF(OR($B32="",AD$22=""),"",IF(LEN(VLOOKUP($B32,Database!$B$1:$IX$10144,AD$22,FALSE))=0,"",VLOOKUP($B32,Database!$B$1:$IX$10144,AD$22,FALSE)))</f>
        <v>43.6</v>
      </c>
      <c r="AE32" s="22">
        <f>IF(OR($B32="",AE$22=""),"",IF(LEN(VLOOKUP($B32,Database!$B$1:$IX$10144,AE$22,FALSE))=0,"",VLOOKUP($B32,Database!$B$1:$IX$10144,AE$22,FALSE)))</f>
        <v>13.2</v>
      </c>
      <c r="AF32" s="22">
        <f>IF(OR($B32="",AF$22=""),"",IF(LEN(VLOOKUP($B32,Database!$B$1:$IX$10144,AF$22,FALSE))=0,"",VLOOKUP($B32,Database!$B$1:$IX$10144,AF$22,FALSE)))</f>
        <v>15</v>
      </c>
      <c r="AG32" s="22">
        <f>IF(OR($B32="",AG$22=""),"",IF(LEN(VLOOKUP($B32,Database!$B$1:$IX$10144,AG$22,FALSE))=0,"",VLOOKUP($B32,Database!$B$1:$IX$10144,AG$22,FALSE)))</f>
        <v>15</v>
      </c>
      <c r="AH32" s="22" t="str">
        <f>IF(OR($B32="",AH$22=""),"",IF(LEN(VLOOKUP($B32,Database!$B$1:$IX$10144,AH$22,FALSE))=0,"",VLOOKUP($B32,Database!$B$1:$IX$10144,AH$22,FALSE)))</f>
        <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38.799999999999997</v>
      </c>
      <c r="AL32" s="22">
        <f>IF(OR($B32="",AL$22=""),"",IF(LEN(VLOOKUP($B32,Database!$B$1:$IX$10144,AL$22,FALSE))=0,"",VLOOKUP($B32,Database!$B$1:$IX$10144,AL$22,FALSE)))</f>
        <v>24.8</v>
      </c>
      <c r="AM32" s="22">
        <f>IF(OR($B32="",AM$22=""),"",IF(LEN(VLOOKUP($B32,Database!$B$1:$IX$10144,AM$22,FALSE))=0,"",VLOOKUP($B32,Database!$B$1:$IX$10144,AM$22,FALSE)))</f>
        <v>91.17647058823529</v>
      </c>
      <c r="AN32" s="22" t="str">
        <f>IF(OR($B32="",AN$22=""),"",IF(LEN(VLOOKUP($B32,Database!$B$1:$IX$10144,AN$22,FALSE))=0,"",VLOOKUP($B32,Database!$B$1:$IX$10144,AN$22,FALSE)))</f>
        <v>ns</v>
      </c>
      <c r="AO32" s="22">
        <f>IF(OR($B32="",AO$22=""),"",IF(LEN(VLOOKUP($B32,Database!$B$1:$IX$10144,AO$22,FALSE))=0,"",VLOOKUP($B32,Database!$B$1:$IX$10144,AO$22,FALSE)))</f>
        <v>11.76470588235294</v>
      </c>
      <c r="AP32" s="22">
        <f>IF(OR($B32="",AP$22=""),"",IF(LEN(VLOOKUP($B32,Database!$B$1:$IX$10144,AP$22,FALSE))=0,"",VLOOKUP($B32,Database!$B$1:$IX$10144,AP$22,FALSE)))</f>
        <v>8.8235294117647065</v>
      </c>
      <c r="AQ32" s="22" t="str">
        <f>IF(OR($B32="",AQ$22=""),"",IF(LEN(VLOOKUP($B32,Database!$B$1:$IX$10144,AQ$22,FALSE))=0,"",VLOOKUP($B32,Database!$B$1:$IX$10144,AQ$22,FALSE)))</f>
        <v>Frodl T, Schaub A, Banac S, Charypar M, Jager M, Kummler P, Bottlender R, Zetzsche T, Born C, Leinsinger G, Reiser M, Moller HJ, Meisenzahl EM.</v>
      </c>
      <c r="AR32" s="13"/>
      <c r="AX32" s="13"/>
      <c r="AY32" s="13"/>
      <c r="AZ32" s="13"/>
      <c r="BA32" s="13"/>
      <c r="BC32" s="23"/>
      <c r="BF32" s="136"/>
      <c r="BG32" s="136"/>
      <c r="BH32" s="136"/>
      <c r="BI32" s="136"/>
    </row>
    <row r="33" spans="1:51">
      <c r="C33" s="1"/>
      <c r="D33" s="1"/>
      <c r="E33" s="22"/>
      <c r="F33" s="22"/>
      <c r="G33" s="1"/>
      <c r="H33" s="22"/>
      <c r="I33" s="22"/>
      <c r="Y33" s="22"/>
      <c r="Z33" s="22"/>
      <c r="AA33" s="22"/>
      <c r="AB33" s="22"/>
      <c r="AC33" s="22"/>
      <c r="AD33" s="22"/>
      <c r="AE33" s="22"/>
      <c r="AF33" s="22"/>
      <c r="AG33" s="22"/>
      <c r="AH33" s="22"/>
      <c r="AI33" s="22"/>
      <c r="AJ33" s="22"/>
      <c r="AK33" s="22"/>
      <c r="AL33" s="22"/>
      <c r="AM33" s="22"/>
      <c r="AN33" s="22"/>
      <c r="AO33" s="22"/>
      <c r="AP33" s="22"/>
      <c r="AQ33" s="22"/>
    </row>
    <row r="34" spans="1:51">
      <c r="A34" s="4" t="s">
        <v>346</v>
      </c>
      <c r="C34" s="1"/>
      <c r="D34" s="1"/>
      <c r="E34" s="22"/>
      <c r="F34" s="22"/>
      <c r="G34" s="1"/>
      <c r="H34" s="22"/>
      <c r="I34" s="22"/>
      <c r="Y34" s="22"/>
      <c r="Z34" s="22"/>
      <c r="AA34" s="22"/>
      <c r="AB34" s="22"/>
      <c r="AC34" s="22"/>
      <c r="AD34" s="22"/>
      <c r="AE34" s="22"/>
      <c r="AF34" s="22"/>
      <c r="AG34" s="22"/>
      <c r="AH34" s="22"/>
      <c r="AI34" s="22"/>
      <c r="AJ34" s="22"/>
      <c r="AK34" s="22"/>
      <c r="AL34" s="22"/>
      <c r="AM34" s="22"/>
      <c r="AN34" s="22"/>
      <c r="AO34" s="22"/>
      <c r="AP34" s="22"/>
      <c r="AQ34" s="22"/>
    </row>
    <row r="35" spans="1:51">
      <c r="A35" s="4" t="s">
        <v>347</v>
      </c>
      <c r="C35" s="1"/>
      <c r="D35" s="1" t="str">
        <f>IF($B35="","",HYPERLINK(CONCATENATE("http://www.ncbi.nlm.nih.gov/pubmed/",B35)))</f>
        <v/>
      </c>
      <c r="E35" s="22" t="str">
        <f>IF($B35="","",IF(LEN(VLOOKUP($B35,Database!$B$1:$IX$10144,4,FALSE))=0,"",VLOOKUP($B35,Database!$B$1:$IX$10144,4,FALSE)))</f>
        <v/>
      </c>
      <c r="F35" s="22" t="str">
        <f>IF($B35="","",IF(LEN(VLOOKUP($B35,Database!$B$1:$IX$10144,5,FALSE))=0,"",VLOOKUP($B35,Database!$B$1:$IX$10144,5,FALSE)))</f>
        <v/>
      </c>
      <c r="G35" s="1" t="str">
        <f>IF($B35="","",HYPERLINK(IF(LEN(VLOOKUP($B35,Database!$B$1:$IX$10144,6,FALSE))=0,"",VLOOKUP($B35,Database!$B$1:$IX$10144,6,FALSE))))</f>
        <v/>
      </c>
      <c r="H35" s="22" t="str">
        <f>IF($B35="","",IF(LEN(VLOOKUP($B35,Database!$B$1:$IX$10144,7,FALSE))=0,"",VLOOKUP($B35,Database!$B$1:$IX$10144,7,FALSE)))</f>
        <v/>
      </c>
      <c r="I35" s="22" t="str">
        <f>IF($B35="","",IF(LEN(VLOOKUP($B35,Database!$B$1:$IX$10144,8,FALSE))=0,"",VLOOKUP($B35,Database!$B$1:$IX$10144,8,FALSE)))</f>
        <v/>
      </c>
      <c r="K35" s="10"/>
      <c r="Y35" s="22" t="str">
        <f>IF(OR($B35="",Y$22=""),"",IF(LEN(VLOOKUP($B35,Database!$B$1:$IX$10144,Y$22,FALSE))=0,"",VLOOKUP($B35,Database!$B$1:$IX$10144,Y$22,FALSE)))</f>
        <v/>
      </c>
      <c r="Z35" s="22" t="str">
        <f>IF(OR($B35="",Z$22=""),"",IF(LEN(VLOOKUP($B35,Database!$B$1:$IX$10144,Z$22,FALSE))=0,"",VLOOKUP($B35,Database!$B$1:$IX$10144,Z$22,FALSE)))</f>
        <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t="str">
        <f>IF(OR($B35="",AD$22=""),"",IF(LEN(VLOOKUP($B35,Database!$B$1:$IX$10144,AD$22,FALSE))=0,"",VLOOKUP($B35,Database!$B$1:$IX$10144,AD$22,FALSE)))</f>
        <v/>
      </c>
      <c r="AE35" s="22" t="str">
        <f>IF(OR($B35="",AE$22=""),"",IF(LEN(VLOOKUP($B35,Database!$B$1:$IX$10144,AE$22,FALSE))=0,"",VLOOKUP($B35,Database!$B$1:$IX$10144,AE$22,FALSE)))</f>
        <v/>
      </c>
      <c r="AF35" s="22" t="str">
        <f>IF(OR($B35="",AF$22=""),"",IF(LEN(VLOOKUP($B35,Database!$B$1:$IX$10144,AF$22,FALSE))=0,"",VLOOKUP($B35,Database!$B$1:$IX$10144,AF$22,FALSE)))</f>
        <v/>
      </c>
      <c r="AG35" s="22" t="str">
        <f>IF(OR($B35="",AG$22=""),"",IF(LEN(VLOOKUP($B35,Database!$B$1:$IX$10144,AG$22,FALSE))=0,"",VLOOKUP($B35,Database!$B$1:$IX$10144,AG$22,FALSE)))</f>
        <v/>
      </c>
      <c r="AH35" s="22" t="str">
        <f>IF(OR($B35="",AH$22=""),"",IF(LEN(VLOOKUP($B35,Database!$B$1:$IX$10144,AH$22,FALSE))=0,"",VLOOKUP($B35,Database!$B$1:$IX$10144,AH$22,FALSE)))</f>
        <v/>
      </c>
      <c r="AI35" s="22" t="str">
        <f>IF(OR($B35="",AI$22=""),"",IF(LEN(VLOOKUP($B35,Database!$B$1:$IX$10144,AI$22,FALSE))=0,"",VLOOKUP($B35,Database!$B$1:$IX$10144,AI$22,FALSE)))</f>
        <v/>
      </c>
      <c r="AJ35" s="22" t="str">
        <f>IF(OR($B35="",AJ$22=""),"",IF(LEN(VLOOKUP($B35,Database!$B$1:$IX$10144,AJ$22,FALSE))=0,"",VLOOKUP($B35,Database!$B$1:$IX$10144,AJ$22,FALSE)))</f>
        <v/>
      </c>
      <c r="AK35" s="22" t="str">
        <f>IF(OR($B35="",AK$22=""),"",IF(LEN(VLOOKUP($B35,Database!$B$1:$IX$10144,AK$22,FALSE))=0,"",VLOOKUP($B35,Database!$B$1:$IX$10144,AK$22,FALSE)))</f>
        <v/>
      </c>
      <c r="AL35" s="22" t="str">
        <f>IF(OR($B35="",AL$22=""),"",IF(LEN(VLOOKUP($B35,Database!$B$1:$IX$10144,AL$22,FALSE))=0,"",VLOOKUP($B35,Database!$B$1:$IX$10144,AL$22,FALSE)))</f>
        <v/>
      </c>
      <c r="AM35" s="22" t="str">
        <f>IF(OR($B35="",AM$22=""),"",IF(LEN(VLOOKUP($B35,Database!$B$1:$IX$10144,AM$22,FALSE))=0,"",VLOOKUP($B35,Database!$B$1:$IX$10144,AM$22,FALSE)))</f>
        <v/>
      </c>
      <c r="AN35" s="22" t="str">
        <f>IF(OR($B35="",AN$22=""),"",IF(LEN(VLOOKUP($B35,Database!$B$1:$IX$10144,AN$22,FALSE))=0,"",VLOOKUP($B35,Database!$B$1:$IX$10144,AN$22,FALSE)))</f>
        <v/>
      </c>
      <c r="AO35" s="22" t="str">
        <f>IF(OR($B35="",AO$22=""),"",IF(LEN(VLOOKUP($B35,Database!$B$1:$IX$10144,AO$22,FALSE))=0,"",VLOOKUP($B35,Database!$B$1:$IX$10144,AO$22,FALSE)))</f>
        <v/>
      </c>
      <c r="AP35" s="22" t="str">
        <f>IF(OR($B35="",AP$22=""),"",IF(LEN(VLOOKUP($B35,Database!$B$1:$IX$10144,AP$22,FALSE))=0,"",VLOOKUP($B35,Database!$B$1:$IX$10144,AP$22,FALSE)))</f>
        <v/>
      </c>
      <c r="AQ35" s="22" t="str">
        <f>IF(OR($B35="",AQ$22=""),"",IF(LEN(VLOOKUP($B35,Database!$B$1:$IX$10144,AQ$22,FALSE))=0,"",VLOOKUP($B35,Database!$B$1:$IX$10144,AQ$22,FALSE)))</f>
        <v/>
      </c>
    </row>
    <row r="36" spans="1:51">
      <c r="B36" s="13"/>
      <c r="C36" s="1" t="str">
        <f>IF($B36="","",HYPERLINK(IF(LEN(VLOOKUP($B36,Database!$B$1:$IX$10144,2,FALSE))=0,"",VLOOKUP($B36,Database!$B$1:$IX$10144,2,FALSE))))</f>
        <v/>
      </c>
      <c r="D36" s="1" t="str">
        <f>IF($B36="","",HYPERLINK(CONCATENATE("http://www.ncbi.nlm.nih.gov/pubmed/",B36)))</f>
        <v/>
      </c>
      <c r="E36" s="22" t="str">
        <f>IF($B36="","",IF(LEN(VLOOKUP($B36,Database!$B$1:$IX$10144,4,FALSE))=0,"",VLOOKUP($B36,Database!$B$1:$IX$10144,4,FALSE)))</f>
        <v/>
      </c>
      <c r="F36" s="22" t="str">
        <f>IF($B36="","",IF(LEN(VLOOKUP($B36,Database!$B$1:$IX$10144,5,FALSE))=0,"",VLOOKUP($B36,Database!$B$1:$IX$10144,5,FALSE)))</f>
        <v/>
      </c>
      <c r="G36" s="1" t="str">
        <f>IF($B36="","",HYPERLINK(IF(LEN(VLOOKUP($B36,Database!$B$1:$IX$10144,6,FALSE))=0,"",VLOOKUP($B36,Database!$B$1:$IX$10144,6,FALSE))))</f>
        <v/>
      </c>
      <c r="H36" s="22" t="str">
        <f>IF($B36="","",IF(LEN(VLOOKUP($B36,Database!$B$1:$IX$10144,7,FALSE))=0,"",VLOOKUP($B36,Database!$B$1:$IX$10144,7,FALSE)))</f>
        <v/>
      </c>
      <c r="I36" s="22" t="str">
        <f>IF($B36="","",IF(LEN(VLOOKUP($B36,Database!$B$1:$IX$10144,8,FALSE))=0,"",VLOOKUP($B36,Database!$B$1:$IX$10144,8,FALSE)))</f>
        <v/>
      </c>
      <c r="K36" s="10"/>
      <c r="AE36" s="22" t="str">
        <f>IF(OR($B36="",AE$22=""),"",IF(LEN(VLOOKUP($B36,Database!$B$1:$IX$10144,AE$22,FALSE))=0,"",VLOOKUP($B36,Database!$B$1:$IX$10144,AE$22,FALSE)))</f>
        <v/>
      </c>
      <c r="AF36" s="22" t="str">
        <f>IF(OR($B36="",AF$22=""),"",IF(LEN(VLOOKUP($B36,Database!$B$1:$IX$10144,AF$22,FALSE))=0,"",VLOOKUP($B36,Database!$B$1:$IX$10144,AF$22,FALSE)))</f>
        <v/>
      </c>
      <c r="AG36" s="22" t="str">
        <f>IF(OR($B36="",AG$22=""),"",IF(LEN(VLOOKUP($B36,Database!$B$1:$IX$10144,AG$22,FALSE))=0,"",VLOOKUP($B36,Database!$B$1:$IX$10144,AG$22,FALSE)))</f>
        <v/>
      </c>
      <c r="AH36" s="22" t="str">
        <f>IF(OR($B36="",AH$22=""),"",IF(LEN(VLOOKUP($B36,Database!$B$1:$IX$10144,AH$22,FALSE))=0,"",VLOOKUP($B36,Database!$B$1:$IX$10144,AH$22,FALSE)))</f>
        <v/>
      </c>
      <c r="AI36" s="22" t="str">
        <f>IF(OR($B36="",AI$22=""),"",IF(LEN(VLOOKUP($B36,Database!$B$1:$IX$10144,AI$22,FALSE))=0,"",VLOOKUP($B36,Database!$B$1:$IX$10144,AI$22,FALSE)))</f>
        <v/>
      </c>
      <c r="AJ36" s="22" t="str">
        <f>IF(OR($B36="",AJ$22=""),"",IF(LEN(VLOOKUP($B36,Database!$B$1:$IX$10144,AJ$22,FALSE))=0,"",VLOOKUP($B36,Database!$B$1:$IX$10144,AJ$22,FALSE)))</f>
        <v/>
      </c>
      <c r="AK36" s="22" t="str">
        <f>IF(OR($B36="",AK$22=""),"",IF(LEN(VLOOKUP($B36,Database!$B$1:$IX$10144,AK$22,FALSE))=0,"",VLOOKUP($B36,Database!$B$1:$IX$10144,AK$22,FALSE)))</f>
        <v/>
      </c>
      <c r="AL36" s="22" t="str">
        <f>IF(OR($B36="",AL$22=""),"",IF(LEN(VLOOKUP($B36,Database!$B$1:$IX$10144,AL$22,FALSE))=0,"",VLOOKUP($B36,Database!$B$1:$IX$10144,AL$22,FALSE)))</f>
        <v/>
      </c>
      <c r="AM36" s="22" t="str">
        <f>IF(OR($B36="",AM$22=""),"",IF(LEN(VLOOKUP($B36,Database!$B$1:$IX$10144,AM$22,FALSE))=0,"",VLOOKUP($B36,Database!$B$1:$IX$10144,AM$22,FALSE)))</f>
        <v/>
      </c>
      <c r="AN36" s="22" t="str">
        <f>IF(OR($B36="",AN$22=""),"",IF(LEN(VLOOKUP($B36,Database!$B$1:$IX$10144,AN$22,FALSE))=0,"",VLOOKUP($B36,Database!$B$1:$IX$10144,AN$22,FALSE)))</f>
        <v/>
      </c>
      <c r="AO36" s="22" t="str">
        <f>IF(OR($B36="",AO$22=""),"",IF(LEN(VLOOKUP($B36,Database!$B$1:$IX$10144,AO$22,FALSE))=0,"",VLOOKUP($B36,Database!$B$1:$IX$10144,AO$22,FALSE)))</f>
        <v/>
      </c>
      <c r="AP36" s="22" t="str">
        <f>IF(OR($B36="",AP$22=""),"",IF(LEN(VLOOKUP($B36,Database!$B$1:$IX$10144,AP$22,FALSE))=0,"",VLOOKUP($B36,Database!$B$1:$IX$10144,AP$22,FALSE)))</f>
        <v/>
      </c>
      <c r="AQ36" s="22" t="str">
        <f>IF(OR($B36="",AQ$22=""),"",IF(LEN(VLOOKUP($B36,Database!$B$1:$IX$10144,AQ$22,FALSE))=0,"",VLOOKUP($B36,Database!$B$1:$IX$10144,AQ$22,FALSE)))</f>
        <v/>
      </c>
    </row>
    <row r="37" spans="1:51">
      <c r="I37" s="22" t="str">
        <f>IF($B37="","",IF(LEN(VLOOKUP($B37,Database!$B$1:$IX$10144,8,FALSE))=0,"",VLOOKUP($B37,Database!$B$1:$IX$10144,8,FALSE)))</f>
        <v/>
      </c>
      <c r="AF37" t="s">
        <v>602</v>
      </c>
      <c r="AJ37" t="s">
        <v>329</v>
      </c>
      <c r="AN37" t="s">
        <v>330</v>
      </c>
    </row>
    <row r="38" spans="1:51" ht="57.75" customHeight="1">
      <c r="E38" s="60" t="s">
        <v>617</v>
      </c>
      <c r="F38" s="60" t="s">
        <v>740</v>
      </c>
      <c r="G38" s="60" t="s">
        <v>244</v>
      </c>
      <c r="H38" s="60" t="s">
        <v>245</v>
      </c>
      <c r="I38" s="60" t="s">
        <v>246</v>
      </c>
      <c r="J38" s="60" t="s">
        <v>593</v>
      </c>
      <c r="K38" s="60" t="s">
        <v>1039</v>
      </c>
      <c r="L38" s="60" t="s">
        <v>594</v>
      </c>
      <c r="M38" s="60" t="s">
        <v>1299</v>
      </c>
      <c r="N38" s="61" t="s">
        <v>595</v>
      </c>
      <c r="O38" s="61" t="s">
        <v>596</v>
      </c>
      <c r="P38" s="61" t="s">
        <v>597</v>
      </c>
      <c r="Q38" s="61" t="s">
        <v>598</v>
      </c>
      <c r="R38" s="61" t="s">
        <v>599</v>
      </c>
      <c r="S38" s="61" t="s">
        <v>600</v>
      </c>
      <c r="T38" s="61" t="s">
        <v>601</v>
      </c>
      <c r="U38" s="61" t="s">
        <v>484</v>
      </c>
      <c r="V38" s="61" t="s">
        <v>485</v>
      </c>
      <c r="W38" s="61" t="s">
        <v>486</v>
      </c>
      <c r="AF38" s="61" t="s">
        <v>1517</v>
      </c>
      <c r="AG38" s="62" t="s">
        <v>834</v>
      </c>
      <c r="AH38" s="62" t="s">
        <v>835</v>
      </c>
      <c r="AJ38" s="61" t="s">
        <v>836</v>
      </c>
      <c r="AK38" s="61" t="s">
        <v>837</v>
      </c>
      <c r="AL38" s="61" t="s">
        <v>487</v>
      </c>
      <c r="AN38" t="s">
        <v>488</v>
      </c>
      <c r="AO38" t="s">
        <v>489</v>
      </c>
      <c r="AP38" t="s">
        <v>490</v>
      </c>
      <c r="AQ38" t="s">
        <v>491</v>
      </c>
      <c r="AR38" t="s">
        <v>492</v>
      </c>
      <c r="AS38" t="s">
        <v>493</v>
      </c>
      <c r="AT38" t="s">
        <v>494</v>
      </c>
      <c r="AU38" t="s">
        <v>495</v>
      </c>
      <c r="AV38" t="s">
        <v>496</v>
      </c>
      <c r="AW38" t="s">
        <v>497</v>
      </c>
      <c r="AX38" t="s">
        <v>498</v>
      </c>
      <c r="AY38" t="s">
        <v>499</v>
      </c>
    </row>
    <row r="39" spans="1:51">
      <c r="E39" t="str">
        <f t="shared" ref="E39:F42" si="1">E24</f>
        <v>Salokangas RK</v>
      </c>
      <c r="F39">
        <f t="shared" si="1"/>
        <v>2002</v>
      </c>
      <c r="G39">
        <v>7</v>
      </c>
      <c r="H39">
        <f t="shared" ref="H39:I42" si="2">H24</f>
        <v>20</v>
      </c>
      <c r="I39">
        <f t="shared" si="2"/>
        <v>9.5</v>
      </c>
      <c r="J39">
        <f t="shared" ref="J39:M42" si="3">IF($D$4="Total",T24,IF($D$4="Left",L24,IF($D$4="Right",P24,"error")))</f>
        <v>69.34</v>
      </c>
      <c r="K39">
        <f t="shared" si="3"/>
        <v>12.44</v>
      </c>
      <c r="L39">
        <f t="shared" si="3"/>
        <v>72.819999999999993</v>
      </c>
      <c r="M39">
        <f t="shared" si="3"/>
        <v>10.39</v>
      </c>
      <c r="N39">
        <f t="shared" ref="N39:N45" si="4">IF($D$3=1,SQRT((((I39-1)*(M39)^2)+((H39-1)*(K39)^2))/(H39+I39-2)),M39)</f>
        <v>11.844310103090926</v>
      </c>
      <c r="O39" s="59">
        <f t="shared" ref="O39:O45" si="5">IF($D$6=1,LN(J39/L39),IF($D$5=1,(1-3/(4*(H39+I39)-9))*((J39-L39)/N39),(J39-L39)/N39))</f>
        <v>-0.28572539506569256</v>
      </c>
      <c r="P39" s="63">
        <f t="shared" ref="P39:P45" si="6">IF($D$6=1,(K39^2)/(H39*J39^2)+(M39^2)/(I39*L39^2),(IF($D$5=1,((H39+I39)/(H39*I39))+(O39*O39)/(2*(H39+I39-3.94)),((H39+I39)/(H39*I39))+((O39^2)/(2*(H39+I39-2))))))</f>
        <v>0.15686016496409222</v>
      </c>
      <c r="Q39" s="59">
        <f t="shared" ref="Q39:Q45" si="7">$R$62*SQRT(P39)</f>
        <v>0.77626928943895279</v>
      </c>
      <c r="R39" s="59">
        <f t="shared" ref="R39:R45" si="8">1/P39</f>
        <v>6.3751048599809641</v>
      </c>
      <c r="S39" s="59">
        <f t="shared" ref="S39:S45" si="9">O39*R39</f>
        <v>-1.8215293547032776</v>
      </c>
      <c r="T39" s="59">
        <f t="shared" ref="T39:T45" si="10">R39*(O39^2)</f>
        <v>0.52045719449635008</v>
      </c>
      <c r="U39" s="23">
        <f t="shared" ref="U39:U45" si="11">R39^2</f>
        <v>40.641961975752906</v>
      </c>
      <c r="V39" s="59">
        <f t="shared" ref="V39:V45" si="12">1/((1/R39)+$I$59)</f>
        <v>4.3170860857104998</v>
      </c>
      <c r="W39" s="59">
        <f t="shared" ref="W39:W45" si="13">V39*O39</f>
        <v>-1.2335011273722367</v>
      </c>
      <c r="AF39" s="59">
        <f t="shared" ref="AF39:AF45" si="14">IF($D$6=1,100*((EXP(O39))-1),O39)</f>
        <v>-0.28572539506569256</v>
      </c>
      <c r="AG39" s="59">
        <f t="shared" ref="AG39:AG45" si="15">IF($D$6=1,100*(EXP(O39+Q39)-EXP(O39)),Q39)</f>
        <v>0.77626928943895279</v>
      </c>
      <c r="AH39" s="59">
        <f t="shared" ref="AH39:AH45" si="16">IF($D$6=1,100*(EXP(O39)-EXP(O39-Q39)),Q39)</f>
        <v>0.77626928943895279</v>
      </c>
      <c r="AJ39">
        <f t="shared" ref="AJ39:AJ45" si="17">SQRT(P39)</f>
        <v>0.39605575991783304</v>
      </c>
      <c r="AK39">
        <f t="shared" ref="AK39:AK45" si="18">1/AJ39</f>
        <v>2.5248969998756317</v>
      </c>
      <c r="AL39">
        <f t="shared" ref="AL39:AL45" si="19">O39/AJ39</f>
        <v>-0.72142719278964673</v>
      </c>
      <c r="AN39" t="str">
        <f t="shared" ref="AN39:AO42" si="20">E39</f>
        <v>Salokangas RK</v>
      </c>
      <c r="AO39">
        <f t="shared" si="20"/>
        <v>2002</v>
      </c>
      <c r="AP39" t="str">
        <f t="shared" ref="AP39:AP45" si="21">CONCATENATE(AN39," ",AO39)</f>
        <v>Salokangas RK 2002</v>
      </c>
      <c r="AQ39">
        <f t="shared" ref="AQ39:AQ45" si="22">INT(H39)</f>
        <v>20</v>
      </c>
      <c r="AR39">
        <f t="shared" ref="AR39:AS42" si="23">J39</f>
        <v>69.34</v>
      </c>
      <c r="AS39">
        <f t="shared" si="23"/>
        <v>12.44</v>
      </c>
      <c r="AT39">
        <f t="shared" ref="AT39:AT45" si="24">INT(I39)</f>
        <v>9</v>
      </c>
      <c r="AU39">
        <f t="shared" ref="AU39:AV42" si="25">L39</f>
        <v>72.819999999999993</v>
      </c>
      <c r="AV39">
        <f t="shared" si="25"/>
        <v>10.39</v>
      </c>
      <c r="AW39" s="65">
        <f t="shared" ref="AW39:AW45" si="26">O39</f>
        <v>-0.28572539506569256</v>
      </c>
      <c r="AX39">
        <f t="shared" ref="AX39:AX45" si="27">SQRT(P39)</f>
        <v>0.39605575991783304</v>
      </c>
    </row>
    <row r="40" spans="1:51">
      <c r="E40" t="str">
        <f t="shared" si="1"/>
        <v>Salokangas RK</v>
      </c>
      <c r="F40">
        <f t="shared" si="1"/>
        <v>2002</v>
      </c>
      <c r="G40">
        <v>6</v>
      </c>
      <c r="H40">
        <f t="shared" si="2"/>
        <v>17</v>
      </c>
      <c r="I40">
        <f t="shared" si="2"/>
        <v>9.5</v>
      </c>
      <c r="J40">
        <f t="shared" si="3"/>
        <v>79.09</v>
      </c>
      <c r="K40">
        <f t="shared" si="3"/>
        <v>13.96</v>
      </c>
      <c r="L40">
        <f t="shared" si="3"/>
        <v>72.819999999999993</v>
      </c>
      <c r="M40">
        <f t="shared" si="3"/>
        <v>10.39</v>
      </c>
      <c r="N40">
        <f t="shared" si="4"/>
        <v>12.834421908067606</v>
      </c>
      <c r="O40" s="59">
        <f t="shared" si="5"/>
        <v>0.47342081456800494</v>
      </c>
      <c r="P40" s="63">
        <f t="shared" si="6"/>
        <v>0.16905404696222481</v>
      </c>
      <c r="Q40" s="59">
        <f t="shared" si="7"/>
        <v>0.80587717848942897</v>
      </c>
      <c r="R40" s="59">
        <f t="shared" si="8"/>
        <v>5.9152680339172852</v>
      </c>
      <c r="S40" s="59">
        <f t="shared" si="9"/>
        <v>2.8004110110052021</v>
      </c>
      <c r="T40" s="59">
        <f t="shared" si="10"/>
        <v>1.3257728619552931</v>
      </c>
      <c r="U40" s="23">
        <f t="shared" si="11"/>
        <v>34.990395913083667</v>
      </c>
      <c r="V40" s="59">
        <f t="shared" si="12"/>
        <v>4.101191030392715</v>
      </c>
      <c r="W40" s="59">
        <f t="shared" si="13"/>
        <v>1.9415891983075146</v>
      </c>
      <c r="AF40" s="59">
        <f t="shared" si="14"/>
        <v>0.47342081456800494</v>
      </c>
      <c r="AG40" s="59">
        <f t="shared" si="15"/>
        <v>0.80587717848942897</v>
      </c>
      <c r="AH40" s="59">
        <f t="shared" si="16"/>
        <v>0.80587717848942897</v>
      </c>
      <c r="AJ40">
        <f t="shared" si="17"/>
        <v>0.41116182575991272</v>
      </c>
      <c r="AK40">
        <f t="shared" si="18"/>
        <v>2.4321324046846802</v>
      </c>
      <c r="AL40">
        <f t="shared" si="19"/>
        <v>1.1514221041630619</v>
      </c>
      <c r="AN40" t="str">
        <f t="shared" si="20"/>
        <v>Salokangas RK</v>
      </c>
      <c r="AO40">
        <f t="shared" si="20"/>
        <v>2002</v>
      </c>
      <c r="AP40" t="str">
        <f t="shared" si="21"/>
        <v>Salokangas RK 2002</v>
      </c>
      <c r="AQ40">
        <f t="shared" si="22"/>
        <v>17</v>
      </c>
      <c r="AR40">
        <f t="shared" si="23"/>
        <v>79.09</v>
      </c>
      <c r="AS40">
        <f t="shared" si="23"/>
        <v>13.96</v>
      </c>
      <c r="AT40">
        <f t="shared" si="24"/>
        <v>9</v>
      </c>
      <c r="AU40">
        <f t="shared" si="25"/>
        <v>72.819999999999993</v>
      </c>
      <c r="AV40">
        <f t="shared" si="25"/>
        <v>10.39</v>
      </c>
      <c r="AW40" s="65">
        <f t="shared" si="26"/>
        <v>0.47342081456800494</v>
      </c>
      <c r="AX40">
        <f t="shared" si="27"/>
        <v>0.41116182575991272</v>
      </c>
    </row>
    <row r="41" spans="1:51">
      <c r="E41" t="str">
        <f t="shared" si="1"/>
        <v>Steingard RJ</v>
      </c>
      <c r="F41">
        <f t="shared" si="1"/>
        <v>2002</v>
      </c>
      <c r="G41">
        <v>5</v>
      </c>
      <c r="H41">
        <f t="shared" si="2"/>
        <v>18</v>
      </c>
      <c r="I41">
        <f t="shared" si="2"/>
        <v>37</v>
      </c>
      <c r="J41">
        <f t="shared" si="3"/>
        <v>59.3</v>
      </c>
      <c r="K41">
        <f t="shared" si="3"/>
        <v>21</v>
      </c>
      <c r="L41">
        <f t="shared" si="3"/>
        <v>78.900000000000006</v>
      </c>
      <c r="M41">
        <f t="shared" si="3"/>
        <v>22.2</v>
      </c>
      <c r="N41">
        <f t="shared" si="4"/>
        <v>21.822283919693145</v>
      </c>
      <c r="O41" s="59">
        <f t="shared" si="5"/>
        <v>-0.88539435584841863</v>
      </c>
      <c r="P41" s="63">
        <f t="shared" si="6"/>
        <v>9.0259072646901389E-2</v>
      </c>
      <c r="Q41" s="59">
        <f t="shared" si="7"/>
        <v>0.5888456958154118</v>
      </c>
      <c r="R41" s="59">
        <f t="shared" si="8"/>
        <v>11.07921863890688</v>
      </c>
      <c r="S41" s="59">
        <f t="shared" si="9"/>
        <v>-9.8094776500987511</v>
      </c>
      <c r="T41" s="59">
        <f t="shared" si="10"/>
        <v>8.6852561452186432</v>
      </c>
      <c r="U41" s="23">
        <f t="shared" si="11"/>
        <v>122.74908564870162</v>
      </c>
      <c r="V41" s="59">
        <f t="shared" si="12"/>
        <v>6.0592608021313472</v>
      </c>
      <c r="W41" s="59">
        <f t="shared" si="13"/>
        <v>-5.3648353148206569</v>
      </c>
      <c r="AF41" s="59">
        <f t="shared" si="14"/>
        <v>-0.88539435584841863</v>
      </c>
      <c r="AG41" s="59">
        <f t="shared" si="15"/>
        <v>0.5888456958154118</v>
      </c>
      <c r="AH41" s="59">
        <f t="shared" si="16"/>
        <v>0.5888456958154118</v>
      </c>
      <c r="AJ41">
        <f t="shared" si="17"/>
        <v>0.30043147745684273</v>
      </c>
      <c r="AK41">
        <f t="shared" si="18"/>
        <v>3.3285460247541834</v>
      </c>
      <c r="AL41">
        <f t="shared" si="19"/>
        <v>-2.947075863499045</v>
      </c>
      <c r="AN41" t="str">
        <f t="shared" si="20"/>
        <v>Steingard RJ</v>
      </c>
      <c r="AO41">
        <f t="shared" si="20"/>
        <v>2002</v>
      </c>
      <c r="AP41" t="str">
        <f t="shared" si="21"/>
        <v>Steingard RJ 2002</v>
      </c>
      <c r="AQ41">
        <f t="shared" si="22"/>
        <v>18</v>
      </c>
      <c r="AR41">
        <f t="shared" si="23"/>
        <v>59.3</v>
      </c>
      <c r="AS41">
        <f t="shared" si="23"/>
        <v>21</v>
      </c>
      <c r="AT41">
        <f t="shared" si="24"/>
        <v>37</v>
      </c>
      <c r="AU41">
        <f t="shared" si="25"/>
        <v>78.900000000000006</v>
      </c>
      <c r="AV41">
        <f t="shared" si="25"/>
        <v>22.2</v>
      </c>
      <c r="AW41" s="65">
        <f t="shared" si="26"/>
        <v>-0.88539435584841863</v>
      </c>
      <c r="AX41">
        <f t="shared" si="27"/>
        <v>0.30043147745684273</v>
      </c>
    </row>
    <row r="42" spans="1:51">
      <c r="E42" t="str">
        <f t="shared" si="1"/>
        <v>Lavretsky H</v>
      </c>
      <c r="F42">
        <f t="shared" si="1"/>
        <v>2004</v>
      </c>
      <c r="G42">
        <v>4</v>
      </c>
      <c r="H42">
        <f t="shared" si="2"/>
        <v>32</v>
      </c>
      <c r="I42">
        <f t="shared" si="2"/>
        <v>20</v>
      </c>
      <c r="J42">
        <f t="shared" si="3"/>
        <v>0.10299999999999999</v>
      </c>
      <c r="K42">
        <f t="shared" si="3"/>
        <v>1.0999999999999999E-2</v>
      </c>
      <c r="L42">
        <f t="shared" si="3"/>
        <v>0.10299999999999999</v>
      </c>
      <c r="M42">
        <f t="shared" si="3"/>
        <v>1.0999999999999999E-2</v>
      </c>
      <c r="N42">
        <f t="shared" si="4"/>
        <v>1.0999999999999999E-2</v>
      </c>
      <c r="O42" s="59">
        <f t="shared" si="5"/>
        <v>0</v>
      </c>
      <c r="P42" s="63">
        <f t="shared" si="6"/>
        <v>8.1250000000000003E-2</v>
      </c>
      <c r="Q42" s="59">
        <f t="shared" si="7"/>
        <v>0.55868595829857759</v>
      </c>
      <c r="R42" s="59">
        <f t="shared" si="8"/>
        <v>12.307692307692307</v>
      </c>
      <c r="S42" s="59">
        <f t="shared" si="9"/>
        <v>0</v>
      </c>
      <c r="T42" s="59">
        <f t="shared" si="10"/>
        <v>0</v>
      </c>
      <c r="U42" s="23">
        <f t="shared" si="11"/>
        <v>151.47928994082838</v>
      </c>
      <c r="V42" s="59">
        <f t="shared" si="12"/>
        <v>6.4091241256474918</v>
      </c>
      <c r="W42" s="59">
        <f t="shared" si="13"/>
        <v>0</v>
      </c>
      <c r="AF42" s="59">
        <f t="shared" si="14"/>
        <v>0</v>
      </c>
      <c r="AG42" s="59">
        <f t="shared" si="15"/>
        <v>0.55868595829857759</v>
      </c>
      <c r="AH42" s="59">
        <f t="shared" si="16"/>
        <v>0.55868595829857759</v>
      </c>
      <c r="AJ42">
        <f t="shared" si="17"/>
        <v>0.28504385627478451</v>
      </c>
      <c r="AK42">
        <f t="shared" si="18"/>
        <v>3.5082320772281168</v>
      </c>
      <c r="AL42">
        <f t="shared" si="19"/>
        <v>0</v>
      </c>
      <c r="AN42" t="str">
        <f t="shared" si="20"/>
        <v>Lavretsky H</v>
      </c>
      <c r="AO42">
        <f t="shared" si="20"/>
        <v>2004</v>
      </c>
      <c r="AP42" t="str">
        <f t="shared" si="21"/>
        <v>Lavretsky H 2004</v>
      </c>
      <c r="AQ42">
        <f t="shared" si="22"/>
        <v>32</v>
      </c>
      <c r="AR42">
        <f t="shared" si="23"/>
        <v>0.10299999999999999</v>
      </c>
      <c r="AS42">
        <f t="shared" si="23"/>
        <v>1.0999999999999999E-2</v>
      </c>
      <c r="AT42">
        <f t="shared" si="24"/>
        <v>20</v>
      </c>
      <c r="AU42">
        <f t="shared" si="25"/>
        <v>0.10299999999999999</v>
      </c>
      <c r="AV42">
        <f t="shared" si="25"/>
        <v>1.0999999999999999E-2</v>
      </c>
      <c r="AW42" s="65">
        <f t="shared" si="26"/>
        <v>0</v>
      </c>
      <c r="AX42">
        <f t="shared" si="27"/>
        <v>0.28504385627478451</v>
      </c>
    </row>
    <row r="43" spans="1:51">
      <c r="E43" t="str">
        <f>E28</f>
        <v>Lavretsky H</v>
      </c>
      <c r="F43">
        <f>F28</f>
        <v>2004</v>
      </c>
      <c r="G43">
        <v>3</v>
      </c>
      <c r="H43">
        <f>H28</f>
        <v>9</v>
      </c>
      <c r="I43">
        <f>I28</f>
        <v>21</v>
      </c>
      <c r="J43">
        <f>IF($D$4="Total",T28,IF($D$4="Left",L28,IF($D$4="Right",P28,"error")))</f>
        <v>0.10199999999999999</v>
      </c>
      <c r="K43">
        <f>IF($D$4="Total",U28,IF($D$4="Left",M28,IF($D$4="Right",Q28,"error")))</f>
        <v>9.9000000000000008E-3</v>
      </c>
      <c r="L43">
        <f>IF($D$4="Total",V28,IF($D$4="Left",N28,IF($D$4="Right",R28,"error")))</f>
        <v>0.10299999999999999</v>
      </c>
      <c r="M43">
        <f>IF($D$4="Total",W28,IF($D$4="Left",O28,IF($D$4="Right",S28,"error")))</f>
        <v>1.0999999999999999E-2</v>
      </c>
      <c r="N43">
        <f t="shared" si="4"/>
        <v>1.069726266721672E-2</v>
      </c>
      <c r="O43" s="59">
        <f t="shared" si="5"/>
        <v>-9.0955322239098385E-2</v>
      </c>
      <c r="P43" s="63">
        <f t="shared" si="6"/>
        <v>0.15888888610244611</v>
      </c>
      <c r="Q43" s="59">
        <f t="shared" si="7"/>
        <v>0.78127302836534485</v>
      </c>
      <c r="R43" s="59">
        <f t="shared" si="8"/>
        <v>6.2937064040793524</v>
      </c>
      <c r="S43" s="59">
        <f t="shared" si="9"/>
        <v>-0.57244609406131464</v>
      </c>
      <c r="T43" s="59">
        <f t="shared" si="10"/>
        <v>5.2067018949860093E-2</v>
      </c>
      <c r="U43" s="23">
        <f t="shared" si="11"/>
        <v>39.610740300749455</v>
      </c>
      <c r="V43" s="59">
        <f t="shared" si="12"/>
        <v>4.2796046075660152</v>
      </c>
      <c r="W43" s="59">
        <f t="shared" si="13"/>
        <v>-0.38925281613709711</v>
      </c>
      <c r="AF43" s="59">
        <f t="shared" si="14"/>
        <v>-9.0955322239098385E-2</v>
      </c>
      <c r="AG43" s="59">
        <f t="shared" si="15"/>
        <v>0.78127302836534485</v>
      </c>
      <c r="AH43" s="59">
        <f t="shared" si="16"/>
        <v>0.78127302836534485</v>
      </c>
      <c r="AJ43">
        <f t="shared" si="17"/>
        <v>0.3986086879415025</v>
      </c>
      <c r="AK43">
        <f t="shared" si="18"/>
        <v>2.5087260520191026</v>
      </c>
      <c r="AL43">
        <f t="shared" si="19"/>
        <v>-0.22818198647101856</v>
      </c>
      <c r="AN43" t="str">
        <f t="shared" ref="AN43:AO45" si="28">E43</f>
        <v>Lavretsky H</v>
      </c>
      <c r="AO43">
        <f t="shared" si="28"/>
        <v>2004</v>
      </c>
      <c r="AP43" t="str">
        <f t="shared" si="21"/>
        <v>Lavretsky H 2004</v>
      </c>
      <c r="AQ43">
        <f t="shared" si="22"/>
        <v>9</v>
      </c>
      <c r="AR43">
        <f t="shared" ref="AR43:AS45" si="29">J43</f>
        <v>0.10199999999999999</v>
      </c>
      <c r="AS43">
        <f t="shared" si="29"/>
        <v>9.9000000000000008E-3</v>
      </c>
      <c r="AT43">
        <f t="shared" si="24"/>
        <v>21</v>
      </c>
      <c r="AU43">
        <f t="shared" ref="AU43:AV45" si="30">L43</f>
        <v>0.10299999999999999</v>
      </c>
      <c r="AV43">
        <f t="shared" si="30"/>
        <v>1.0999999999999999E-2</v>
      </c>
      <c r="AW43" s="65">
        <f t="shared" si="26"/>
        <v>-9.0955322239098385E-2</v>
      </c>
      <c r="AX43">
        <f t="shared" si="27"/>
        <v>0.3986086879415025</v>
      </c>
    </row>
    <row r="44" spans="1:51">
      <c r="E44" t="str">
        <f>E31</f>
        <v>Nolan CL</v>
      </c>
      <c r="F44">
        <f>F31</f>
        <v>2002</v>
      </c>
      <c r="G44">
        <v>2</v>
      </c>
      <c r="H44">
        <f>H31</f>
        <v>22</v>
      </c>
      <c r="I44">
        <f>I31</f>
        <v>22</v>
      </c>
      <c r="J44">
        <f t="shared" ref="J44:M45" si="31">IF($D$4="Total",T31,IF($D$4="Left",L31,IF($D$4="Right",P31,"error")))</f>
        <v>45.55</v>
      </c>
      <c r="K44">
        <f t="shared" si="31"/>
        <v>12.012028138495181</v>
      </c>
      <c r="L44">
        <f t="shared" si="31"/>
        <v>43.31</v>
      </c>
      <c r="M44">
        <f t="shared" si="31"/>
        <v>7.1111546179224643</v>
      </c>
      <c r="N44">
        <f t="shared" si="4"/>
        <v>9.8705962332576433</v>
      </c>
      <c r="O44" s="59">
        <f t="shared" si="5"/>
        <v>0.22285993946648477</v>
      </c>
      <c r="P44" s="63">
        <f t="shared" si="6"/>
        <v>9.1528992963746489E-2</v>
      </c>
      <c r="Q44" s="59">
        <f t="shared" si="7"/>
        <v>0.59297367510668508</v>
      </c>
      <c r="R44" s="59">
        <f t="shared" si="8"/>
        <v>10.925499862061059</v>
      </c>
      <c r="S44" s="59">
        <f t="shared" si="9"/>
        <v>2.4348562379000156</v>
      </c>
      <c r="T44" s="59">
        <f t="shared" si="10"/>
        <v>0.54263191378799025</v>
      </c>
      <c r="U44" s="23">
        <f t="shared" si="11"/>
        <v>119.36654723589622</v>
      </c>
      <c r="V44" s="59">
        <f t="shared" si="12"/>
        <v>6.012992159953459</v>
      </c>
      <c r="W44" s="59">
        <f t="shared" si="13"/>
        <v>1.3400550687796755</v>
      </c>
      <c r="AF44" s="59">
        <f t="shared" si="14"/>
        <v>0.22285993946648477</v>
      </c>
      <c r="AG44" s="59">
        <f t="shared" si="15"/>
        <v>0.59297367510668508</v>
      </c>
      <c r="AH44" s="59">
        <f t="shared" si="16"/>
        <v>0.59297367510668508</v>
      </c>
      <c r="AJ44">
        <f t="shared" si="17"/>
        <v>0.30253758934014546</v>
      </c>
      <c r="AK44">
        <f t="shared" si="18"/>
        <v>3.3053743906040447</v>
      </c>
      <c r="AL44">
        <f t="shared" si="19"/>
        <v>0.73663553660408643</v>
      </c>
      <c r="AN44" t="str">
        <f t="shared" si="28"/>
        <v>Nolan CL</v>
      </c>
      <c r="AO44">
        <f t="shared" si="28"/>
        <v>2002</v>
      </c>
      <c r="AP44" t="str">
        <f t="shared" si="21"/>
        <v>Nolan CL 2002</v>
      </c>
      <c r="AQ44">
        <f t="shared" si="22"/>
        <v>22</v>
      </c>
      <c r="AR44">
        <f t="shared" si="29"/>
        <v>45.55</v>
      </c>
      <c r="AS44">
        <f t="shared" si="29"/>
        <v>12.012028138495181</v>
      </c>
      <c r="AT44">
        <f t="shared" si="24"/>
        <v>22</v>
      </c>
      <c r="AU44">
        <f t="shared" si="30"/>
        <v>43.31</v>
      </c>
      <c r="AV44">
        <f t="shared" si="30"/>
        <v>7.1111546179224643</v>
      </c>
      <c r="AW44" s="65">
        <f t="shared" si="26"/>
        <v>0.22285993946648477</v>
      </c>
      <c r="AX44">
        <f t="shared" si="27"/>
        <v>0.30253758934014546</v>
      </c>
    </row>
    <row r="45" spans="1:51">
      <c r="E45" t="str">
        <f>E32</f>
        <v>Frodl T</v>
      </c>
      <c r="F45">
        <f>F32</f>
        <v>2006</v>
      </c>
      <c r="G45">
        <v>1</v>
      </c>
      <c r="H45">
        <f>H32</f>
        <v>34</v>
      </c>
      <c r="I45">
        <f>I32</f>
        <v>34</v>
      </c>
      <c r="J45">
        <f t="shared" si="31"/>
        <v>140.39999999999998</v>
      </c>
      <c r="K45">
        <f t="shared" si="31"/>
        <v>9.6767763227223558</v>
      </c>
      <c r="L45">
        <f t="shared" si="31"/>
        <v>140.6</v>
      </c>
      <c r="M45">
        <f t="shared" si="31"/>
        <v>11.573936236216268</v>
      </c>
      <c r="N45">
        <f t="shared" si="4"/>
        <v>10.667614541217732</v>
      </c>
      <c r="O45" s="59">
        <f t="shared" si="5"/>
        <v>-1.8534474639552739E-2</v>
      </c>
      <c r="P45" s="63">
        <f t="shared" si="6"/>
        <v>5.8826210700791901E-2</v>
      </c>
      <c r="Q45" s="59">
        <f t="shared" si="7"/>
        <v>0.47538065908086979</v>
      </c>
      <c r="R45" s="59">
        <f t="shared" si="8"/>
        <v>16.999225142790614</v>
      </c>
      <c r="S45" s="59">
        <f t="shared" si="9"/>
        <v>-0.31507170730109996</v>
      </c>
      <c r="T45" s="59">
        <f t="shared" si="10"/>
        <v>5.83968856861282E-3</v>
      </c>
      <c r="U45" s="23">
        <f t="shared" si="11"/>
        <v>288.97365545528459</v>
      </c>
      <c r="V45" s="59">
        <f t="shared" si="12"/>
        <v>7.4848186818318387</v>
      </c>
      <c r="W45" s="59">
        <f t="shared" si="13"/>
        <v>-0.13872718204006279</v>
      </c>
      <c r="AF45" s="59">
        <f t="shared" si="14"/>
        <v>-1.8534474639552739E-2</v>
      </c>
      <c r="AG45" s="59">
        <f t="shared" si="15"/>
        <v>0.47538065908086979</v>
      </c>
      <c r="AH45" s="59">
        <f t="shared" si="16"/>
        <v>0.47538065908086979</v>
      </c>
      <c r="AJ45">
        <f t="shared" si="17"/>
        <v>0.24254115259228051</v>
      </c>
      <c r="AK45">
        <f t="shared" si="18"/>
        <v>4.1230116593081103</v>
      </c>
      <c r="AL45">
        <f t="shared" si="19"/>
        <v>-7.6417855038026422E-2</v>
      </c>
      <c r="AN45" t="str">
        <f t="shared" si="28"/>
        <v>Frodl T</v>
      </c>
      <c r="AO45">
        <f t="shared" si="28"/>
        <v>2006</v>
      </c>
      <c r="AP45" t="str">
        <f t="shared" si="21"/>
        <v>Frodl T 2006</v>
      </c>
      <c r="AQ45">
        <f t="shared" si="22"/>
        <v>34</v>
      </c>
      <c r="AR45">
        <f t="shared" si="29"/>
        <v>140.39999999999998</v>
      </c>
      <c r="AS45">
        <f t="shared" si="29"/>
        <v>9.6767763227223558</v>
      </c>
      <c r="AT45">
        <f t="shared" si="24"/>
        <v>34</v>
      </c>
      <c r="AU45">
        <f t="shared" si="30"/>
        <v>140.6</v>
      </c>
      <c r="AV45">
        <f t="shared" si="30"/>
        <v>11.573936236216268</v>
      </c>
      <c r="AW45" s="65">
        <f t="shared" si="26"/>
        <v>-1.8534474639552739E-2</v>
      </c>
      <c r="AX45">
        <f t="shared" si="27"/>
        <v>0.24254115259228051</v>
      </c>
    </row>
    <row r="46" spans="1:51">
      <c r="U46" s="23"/>
    </row>
    <row r="47" spans="1:51">
      <c r="L47" t="s">
        <v>500</v>
      </c>
      <c r="N47" s="7"/>
      <c r="O47" s="66">
        <f>COUNT(O39:O45)</f>
        <v>7</v>
      </c>
      <c r="Q47" t="s">
        <v>885</v>
      </c>
      <c r="R47" s="59">
        <f t="shared" ref="R47:W47" si="32">SUM(R39:R45)</f>
        <v>69.895715249428463</v>
      </c>
      <c r="S47" s="59">
        <f t="shared" si="32"/>
        <v>-7.2832575572592253</v>
      </c>
      <c r="T47" s="59">
        <f t="shared" si="32"/>
        <v>11.132024822976749</v>
      </c>
      <c r="U47" s="23">
        <f t="shared" si="32"/>
        <v>797.81167647029679</v>
      </c>
      <c r="V47" s="59">
        <f t="shared" si="32"/>
        <v>38.664077493233364</v>
      </c>
      <c r="W47" s="59">
        <f t="shared" si="32"/>
        <v>-3.8446721732828633</v>
      </c>
    </row>
    <row r="48" spans="1:51">
      <c r="L48" t="s">
        <v>501</v>
      </c>
      <c r="N48" s="7"/>
      <c r="O48" s="2">
        <v>2</v>
      </c>
    </row>
    <row r="49" spans="7:34">
      <c r="N49" s="7"/>
      <c r="O49" s="7"/>
    </row>
    <row r="50" spans="7:34">
      <c r="G50" s="67" t="s">
        <v>502</v>
      </c>
      <c r="H50" s="40"/>
      <c r="I50" s="40">
        <f>S47/R47</f>
        <v>-0.1042017744759938</v>
      </c>
      <c r="J50" s="40"/>
      <c r="K50" s="68" t="s">
        <v>879</v>
      </c>
      <c r="L50" s="40"/>
      <c r="M50" s="42"/>
      <c r="N50" s="7"/>
      <c r="O50" s="69" t="s">
        <v>503</v>
      </c>
      <c r="P50" s="70">
        <f>T47-((S47^2)/R47)</f>
        <v>10.373096461544646</v>
      </c>
      <c r="Q50" s="71" t="s">
        <v>824</v>
      </c>
      <c r="R50" s="28"/>
      <c r="S50" s="29"/>
      <c r="T50" s="30"/>
      <c r="U50" s="31"/>
      <c r="AF50" s="2" t="s">
        <v>1518</v>
      </c>
    </row>
    <row r="51" spans="7:34">
      <c r="G51" s="43" t="s">
        <v>504</v>
      </c>
      <c r="H51" s="31"/>
      <c r="I51" s="31">
        <f>1/R47</f>
        <v>1.430702864161873E-2</v>
      </c>
      <c r="J51" s="31"/>
      <c r="K51" s="31"/>
      <c r="L51" s="31"/>
      <c r="M51" s="44"/>
      <c r="N51" s="7"/>
      <c r="O51" s="30" t="s">
        <v>505</v>
      </c>
      <c r="P51" s="31">
        <f>CHIDIST(P50,I55-1)</f>
        <v>0.10979409832156338</v>
      </c>
      <c r="Q51" s="31"/>
      <c r="R51" s="31"/>
      <c r="S51" s="34"/>
      <c r="T51" s="30"/>
      <c r="U51" s="31"/>
      <c r="AF51" s="2"/>
    </row>
    <row r="52" spans="7:34">
      <c r="G52" s="72" t="s">
        <v>506</v>
      </c>
      <c r="H52" s="31"/>
      <c r="I52" s="31">
        <f>$R$62*SQRT(I51)</f>
        <v>0.23443950441348937</v>
      </c>
      <c r="J52" s="31"/>
      <c r="K52" s="31" t="s">
        <v>507</v>
      </c>
      <c r="L52" s="31"/>
      <c r="M52" s="44">
        <f>ABS(I50/SQRT(I51))</f>
        <v>0.87116494502023167</v>
      </c>
      <c r="N52" s="7"/>
      <c r="O52" s="35" t="s">
        <v>508</v>
      </c>
      <c r="P52" s="37">
        <f>IF(((P50-(I55-1))/P50)&lt;0,0,100*((P50-(I55-1))/P50))</f>
        <v>42.158062231048156</v>
      </c>
      <c r="Q52" s="36"/>
      <c r="R52" s="36"/>
      <c r="S52" s="38"/>
      <c r="T52" s="30"/>
      <c r="U52" s="31"/>
      <c r="AF52" s="2" t="s">
        <v>1535</v>
      </c>
      <c r="AH52">
        <f>IF($D$6=1,100*((EXP(I50))-1),I50)</f>
        <v>-0.1042017744759938</v>
      </c>
    </row>
    <row r="53" spans="7:34">
      <c r="G53" s="45" t="s">
        <v>509</v>
      </c>
      <c r="H53" s="46"/>
      <c r="I53" s="46">
        <v>-2</v>
      </c>
      <c r="J53" s="46"/>
      <c r="K53" s="46" t="s">
        <v>825</v>
      </c>
      <c r="L53" s="46"/>
      <c r="M53" s="47">
        <f>2*(1-NORMDIST(M52,0,1,1))</f>
        <v>0.38366409737689233</v>
      </c>
      <c r="N53" s="7"/>
      <c r="O53" s="7"/>
      <c r="AF53" s="79" t="s">
        <v>834</v>
      </c>
      <c r="AH53">
        <f>IF($D$6=1,100*(EXP(I50+I52)-EXP(I50)),I52)</f>
        <v>0.23443950441348937</v>
      </c>
    </row>
    <row r="54" spans="7:34">
      <c r="G54" s="40"/>
      <c r="H54" s="40"/>
      <c r="I54" s="40"/>
      <c r="J54" s="40"/>
      <c r="K54" s="40"/>
      <c r="L54" s="40"/>
      <c r="M54" s="40"/>
      <c r="N54" s="7"/>
      <c r="O54" s="7"/>
      <c r="AF54" s="79" t="s">
        <v>835</v>
      </c>
      <c r="AH54">
        <f>IF($D$6=1,100*(EXP(I50)-EXP(I50-I52)),I52)</f>
        <v>0.23443950441348937</v>
      </c>
    </row>
    <row r="55" spans="7:34">
      <c r="G55" s="73" t="s">
        <v>1110</v>
      </c>
      <c r="H55" s="74"/>
      <c r="I55" s="74">
        <f>O47</f>
        <v>7</v>
      </c>
      <c r="J55" s="74"/>
      <c r="K55" s="75" t="s">
        <v>1167</v>
      </c>
      <c r="L55" s="74"/>
      <c r="M55" s="76"/>
      <c r="N55" s="77"/>
      <c r="O55" s="101" t="s">
        <v>1513</v>
      </c>
      <c r="P55" s="102"/>
      <c r="Q55" s="103"/>
      <c r="AF55" s="7"/>
    </row>
    <row r="56" spans="7:34">
      <c r="G56" s="77" t="s">
        <v>1531</v>
      </c>
      <c r="H56" s="31"/>
      <c r="I56" s="31">
        <f>R47/I55</f>
        <v>9.9851021784897807</v>
      </c>
      <c r="J56" s="31"/>
      <c r="K56" s="31"/>
      <c r="L56" s="31"/>
      <c r="M56" s="78"/>
      <c r="N56" s="77"/>
      <c r="O56" s="104" t="s">
        <v>1514</v>
      </c>
      <c r="P56" s="31"/>
      <c r="Q56" s="105">
        <f>INDEX(LINEST(AL39:AL45,AK39:AK45,TRUE,TRUE),1,2)</f>
        <v>0.73581335282602245</v>
      </c>
      <c r="AF56" s="2" t="s">
        <v>1687</v>
      </c>
      <c r="AH56">
        <f>IF($D$6=1,100*((EXP(I61))-1),I61)</f>
        <v>-9.9437835390116913E-2</v>
      </c>
    </row>
    <row r="57" spans="7:34">
      <c r="G57" s="77" t="s">
        <v>1532</v>
      </c>
      <c r="H57" s="31"/>
      <c r="I57" s="31">
        <f>(1/(I55-1))*(U47-(I55*I56^2))</f>
        <v>16.649302977687871</v>
      </c>
      <c r="J57" s="31"/>
      <c r="K57" s="31"/>
      <c r="L57" s="31"/>
      <c r="M57" s="78"/>
      <c r="N57" s="77"/>
      <c r="O57" s="104" t="s">
        <v>1516</v>
      </c>
      <c r="P57" s="31"/>
      <c r="Q57" s="105">
        <f>INDEX(LINEST(AL39:AL45,AK39:AK45,TRUE,TRUE),2,2)</f>
        <v>2.8987833379622918</v>
      </c>
      <c r="AF57" s="79" t="s">
        <v>834</v>
      </c>
      <c r="AG57" s="7"/>
      <c r="AH57">
        <f>IF($D$6=1,100*(EXP(I61+I63)-EXP(I61)),I63)</f>
        <v>0.3152116389224528</v>
      </c>
    </row>
    <row r="58" spans="7:34">
      <c r="G58" s="77" t="s">
        <v>1669</v>
      </c>
      <c r="H58" s="31"/>
      <c r="I58" s="31">
        <f>(I55-1)*(I56-(I57/(I55*I56)))</f>
        <v>58.481400743550076</v>
      </c>
      <c r="J58" s="31"/>
      <c r="K58" s="31"/>
      <c r="L58" s="31"/>
      <c r="M58" s="78"/>
      <c r="N58" s="77"/>
      <c r="O58" s="104" t="s">
        <v>1349</v>
      </c>
      <c r="P58" s="31"/>
      <c r="Q58" s="105">
        <f>ABS(Q56/Q57)</f>
        <v>0.25383523604191288</v>
      </c>
      <c r="AF58" s="79" t="s">
        <v>835</v>
      </c>
      <c r="AH58">
        <f>IF($D$6=1,100*(EXP(I61)-EXP(I61-I63)),I63)</f>
        <v>0.3152116389224528</v>
      </c>
    </row>
    <row r="59" spans="7:34">
      <c r="G59" s="77" t="s">
        <v>1685</v>
      </c>
      <c r="H59" s="31"/>
      <c r="I59" s="31">
        <f>IF(P50&gt;(I55-1),(P50-(I55-1))/I58,0)</f>
        <v>7.4777560146367661E-2</v>
      </c>
      <c r="J59" s="31"/>
      <c r="K59" s="31"/>
      <c r="L59" s="31"/>
      <c r="M59" s="78"/>
      <c r="N59" s="77"/>
      <c r="O59" s="106" t="s">
        <v>1515</v>
      </c>
      <c r="P59" s="107"/>
      <c r="Q59" s="108">
        <f>TDIST(Q58,I55-2,2)</f>
        <v>0.80973048661159253</v>
      </c>
    </row>
    <row r="60" spans="7:34">
      <c r="G60" s="77"/>
      <c r="H60" s="31"/>
      <c r="I60" s="31"/>
      <c r="J60" s="31"/>
      <c r="K60" s="31"/>
      <c r="L60" s="31"/>
      <c r="M60" s="78"/>
      <c r="N60" s="77"/>
    </row>
    <row r="61" spans="7:34">
      <c r="G61" s="77" t="s">
        <v>1686</v>
      </c>
      <c r="H61" s="31"/>
      <c r="I61" s="31">
        <f>W47/V47</f>
        <v>-9.9437835390116913E-2</v>
      </c>
      <c r="J61" s="31"/>
      <c r="N61" s="77"/>
    </row>
    <row r="62" spans="7:34">
      <c r="G62" s="77" t="s">
        <v>504</v>
      </c>
      <c r="H62" s="31"/>
      <c r="I62" s="31">
        <f>1/V47</f>
        <v>2.5863800841362656E-2</v>
      </c>
      <c r="J62" s="31"/>
      <c r="N62" s="77"/>
      <c r="O62" t="s">
        <v>805</v>
      </c>
      <c r="R62">
        <v>1.96</v>
      </c>
    </row>
    <row r="63" spans="7:34">
      <c r="G63" s="80" t="s">
        <v>506</v>
      </c>
      <c r="H63" s="31"/>
      <c r="I63" s="31">
        <f>$R$62*SQRT(I62)</f>
        <v>0.3152116389224528</v>
      </c>
      <c r="J63" s="31"/>
      <c r="K63" s="31" t="s">
        <v>507</v>
      </c>
      <c r="L63" s="31"/>
      <c r="M63" s="78">
        <f>ABS(I61/(SQRT(I62)))</f>
        <v>0.61830888615308166</v>
      </c>
      <c r="N63" s="77"/>
    </row>
    <row r="64" spans="7:34">
      <c r="G64" s="81" t="s">
        <v>509</v>
      </c>
      <c r="H64" s="82"/>
      <c r="I64" s="82">
        <v>-3</v>
      </c>
      <c r="J64" s="82"/>
      <c r="K64" s="31" t="s">
        <v>825</v>
      </c>
      <c r="L64" s="31"/>
      <c r="M64" s="78">
        <f>2*(1-NORMDIST(M63,0,1,1))</f>
        <v>0.53637174540105859</v>
      </c>
      <c r="N64" s="77"/>
    </row>
    <row r="65" spans="7:15">
      <c r="G65" s="74"/>
      <c r="H65" s="74"/>
      <c r="I65" s="74"/>
      <c r="J65" s="74"/>
      <c r="K65" s="74"/>
      <c r="L65" s="74"/>
      <c r="M65" s="74"/>
      <c r="N65" s="31"/>
      <c r="O65" s="7"/>
    </row>
  </sheetData>
  <phoneticPr fontId="10" type="noConversion"/>
  <conditionalFormatting sqref="D17 D13 F13">
    <cfRule type="cellIs" dxfId="48" priority="0" stopIfTrue="1" operator="lessThan">
      <formula>0.05</formula>
    </cfRule>
  </conditionalFormatting>
  <conditionalFormatting sqref="D21">
    <cfRule type="cellIs" dxfId="4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6.xml><?xml version="1.0" encoding="utf-8"?>
<worksheet xmlns="http://schemas.openxmlformats.org/spreadsheetml/2006/main" xmlns:r="http://schemas.openxmlformats.org/officeDocument/2006/relationships">
  <sheetPr published="0" codeName="Sheet105" enableFormatConditionsCalculation="0"/>
  <dimension ref="A1:BM56"/>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405</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I46-O39</f>
        <v>3</v>
      </c>
      <c r="AD7" s="89"/>
    </row>
    <row r="8" spans="2:30">
      <c r="B8" t="s">
        <v>822</v>
      </c>
      <c r="D8">
        <f>SUM(H24:H27)</f>
        <v>140</v>
      </c>
      <c r="E8" t="s">
        <v>298</v>
      </c>
      <c r="F8">
        <f>Summary!C78</f>
        <v>0.8</v>
      </c>
      <c r="AD8" s="89"/>
    </row>
    <row r="9" spans="2:30">
      <c r="B9" t="s">
        <v>823</v>
      </c>
      <c r="D9">
        <f>SUM(I24:I27)</f>
        <v>105</v>
      </c>
      <c r="AD9" s="89"/>
    </row>
    <row r="11" spans="2:30">
      <c r="B11" s="27" t="s">
        <v>516</v>
      </c>
      <c r="C11" s="28"/>
      <c r="D11" s="109">
        <f>P41</f>
        <v>7.2894595160043449</v>
      </c>
      <c r="E11" s="110" t="s">
        <v>1513</v>
      </c>
      <c r="F11" s="103"/>
    </row>
    <row r="12" spans="2:30">
      <c r="B12" s="30" t="s">
        <v>826</v>
      </c>
      <c r="C12" s="31"/>
      <c r="D12" s="112">
        <f>P43</f>
        <v>58.844685351316365</v>
      </c>
      <c r="E12" s="31"/>
      <c r="F12" s="105"/>
    </row>
    <row r="13" spans="2:30">
      <c r="B13" s="35" t="s">
        <v>825</v>
      </c>
      <c r="C13" s="36"/>
      <c r="D13" s="113">
        <f>P42</f>
        <v>6.3222203190268958E-2</v>
      </c>
      <c r="E13" s="111" t="s">
        <v>825</v>
      </c>
      <c r="F13" s="115">
        <f>Q50</f>
        <v>0.33364443123920978</v>
      </c>
    </row>
    <row r="15" spans="2:30">
      <c r="B15" s="39" t="s">
        <v>879</v>
      </c>
      <c r="C15" s="40"/>
      <c r="D15" s="41">
        <f>AH43</f>
        <v>-0.16194716858980585</v>
      </c>
      <c r="E15" s="116"/>
    </row>
    <row r="16" spans="2:30">
      <c r="B16" s="43" t="s">
        <v>1165</v>
      </c>
      <c r="C16" s="31"/>
      <c r="D16" s="33">
        <f>AH43-AH45</f>
        <v>-0.42314312443989111</v>
      </c>
      <c r="E16" s="117">
        <f>AH43+AH44</f>
        <v>9.9248787260279414E-2</v>
      </c>
    </row>
    <row r="17" spans="1:65">
      <c r="B17" s="45" t="s">
        <v>1166</v>
      </c>
      <c r="C17" s="46"/>
      <c r="D17" s="123">
        <f>M44</f>
        <v>0.22427358013345922</v>
      </c>
      <c r="E17" s="118"/>
    </row>
    <row r="18" spans="1:65">
      <c r="D18" s="48"/>
      <c r="F18" s="49"/>
    </row>
    <row r="19" spans="1:65">
      <c r="B19" s="50" t="s">
        <v>1167</v>
      </c>
      <c r="C19" s="51"/>
      <c r="D19" s="52">
        <f>AH47</f>
        <v>-0.22837856834143849</v>
      </c>
      <c r="E19" s="120"/>
      <c r="F19" s="33"/>
      <c r="G19" s="31"/>
    </row>
    <row r="20" spans="1:65">
      <c r="B20" s="53" t="s">
        <v>1165</v>
      </c>
      <c r="C20" s="31"/>
      <c r="D20" s="33">
        <f>AH47-AH49</f>
        <v>-0.65584457860105183</v>
      </c>
      <c r="E20" s="121">
        <f>AH47+AH48</f>
        <v>0.19908744191817485</v>
      </c>
      <c r="F20" s="31"/>
      <c r="G20" s="31"/>
    </row>
    <row r="21" spans="1:65">
      <c r="B21" s="54" t="s">
        <v>1440</v>
      </c>
      <c r="C21" s="55"/>
      <c r="D21" s="114">
        <f>M55</f>
        <v>0.2950293646785469</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9870413</v>
      </c>
      <c r="C24" s="1" t="str">
        <f>IF($B24="","",HYPERLINK(IF(LEN(VLOOKUP($B24,Database!$B$1:$IX$10144,2,FALSE))=0,"",VLOOKUP($B24,Database!$B$1:$IX$10144,2,FALSE))))</f>
        <v/>
      </c>
      <c r="D24" s="1" t="str">
        <f t="shared" ref="D24:D29" si="0">IF($B24="","",HYPERLINK(CONCATENATE("http://www.ncbi.nlm.nih.gov/pubmed/",B24)))</f>
        <v>http://www.ncbi.nlm.nih.gov/pubmed/9870413</v>
      </c>
      <c r="E24" s="22" t="str">
        <f>IF($B24="","",IF(LEN(VLOOKUP($B24,Database!$B$1:$IX$10144,4,FALSE))=0,"",VLOOKUP($B24,Database!$B$1:$IX$10144,4,FALSE)))</f>
        <v>Parashos IA</v>
      </c>
      <c r="F24" s="22">
        <f>IF($B24="","",IF(LEN(VLOOKUP($B24,Database!$B$1:$IX$10144,5,FALSE))=0,"",VLOOKUP($B24,Database!$B$1:$IX$10144,5,FALSE)))</f>
        <v>1998</v>
      </c>
      <c r="G24" s="1" t="str">
        <f>IF($B24="","",HYPERLINK(IF(LEN(VLOOKUP($B24,Database!$B$1:$IX$10144,6,FALSE))=0,"",VLOOKUP($B24,Database!$B$1:$IX$10144,6,FALSE))))</f>
        <v>http://dx.doi.org/10.1016/S0925-4927(98)00042-0</v>
      </c>
      <c r="H24" s="22">
        <f>IF($B24="","",IF(LEN(VLOOKUP($B24,Database!$B$1:$IX$10144,7,FALSE))=0,"",VLOOKUP($B24,Database!$B$1:$IX$10144,7,FALSE)))</f>
        <v>72</v>
      </c>
      <c r="I24" s="22">
        <f>IF($B24="","",IF(LEN(VLOOKUP($B24,Database!$B$1:$IX$10144,8,FALSE))=0,"",VLOOKUP($B24,Database!$B$1:$IX$10144,8,FALSE)))</f>
        <v>38</v>
      </c>
      <c r="J24" t="s">
        <v>728</v>
      </c>
      <c r="K24" t="s">
        <v>727</v>
      </c>
      <c r="T24">
        <v>45.56</v>
      </c>
      <c r="U24">
        <v>15.41</v>
      </c>
      <c r="V24">
        <v>45.2</v>
      </c>
      <c r="W24">
        <v>14.42</v>
      </c>
      <c r="X24" s="151"/>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55.4</v>
      </c>
      <c r="AC24" s="22">
        <f>IF(OR($B24="",AC$22=""),"",IF(LEN(VLOOKUP($B24,Database!$B$1:$IX$10144,AC$22,FALSE))=0,"",VLOOKUP($B24,Database!$B$1:$IX$10144,AC$22,FALSE)))</f>
        <v>16.8</v>
      </c>
      <c r="AD24" s="22">
        <f>IF(OR($B24="",AD$22=""),"",IF(LEN(VLOOKUP($B24,Database!$B$1:$IX$10144,AD$22,FALSE))=0,"",VLOOKUP($B24,Database!$B$1:$IX$10144,AD$22,FALSE)))</f>
        <v>55.1</v>
      </c>
      <c r="AE24" s="22">
        <f>IF(OR($B24="",AE$22=""),"",IF(LEN(VLOOKUP($B24,Database!$B$1:$IX$10144,AE$22,FALSE))=0,"",VLOOKUP($B24,Database!$B$1:$IX$10144,AE$22,FALSE)))</f>
        <v>17.100000000000001</v>
      </c>
      <c r="AF24" s="22">
        <f>IF(OR($B24="",AF$22=""),"",IF(LEN(VLOOKUP($B24,Database!$B$1:$IX$10144,AF$22,FALSE))=0,"",VLOOKUP($B24,Database!$B$1:$IX$10144,AF$22,FALSE)))</f>
        <v>45</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38.5</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Parashos IA, Tupler LA, Blitchington T, Krishnan KR.</v>
      </c>
      <c r="AR24" s="13"/>
      <c r="AX24" s="13"/>
      <c r="AY24" s="13"/>
      <c r="AZ24" s="13"/>
      <c r="BA24" s="13"/>
      <c r="BC24" s="23"/>
      <c r="BF24" s="136"/>
      <c r="BG24" s="136"/>
      <c r="BH24" s="136"/>
      <c r="BI24" s="136"/>
    </row>
    <row r="25" spans="1:65">
      <c r="B25">
        <v>16086609</v>
      </c>
      <c r="C25" s="1" t="str">
        <f>IF($B25="","",HYPERLINK(IF(LEN(VLOOKUP($B25,Database!$B$1:$IX$10144,2,FALSE))=0,"",VLOOKUP($B25,Database!$B$1:$IX$10144,2,FALSE))))</f>
        <v/>
      </c>
      <c r="D25" s="1" t="str">
        <f t="shared" si="0"/>
        <v>http://www.ncbi.nlm.nih.gov/pubmed/16086609</v>
      </c>
      <c r="E25" s="22" t="str">
        <f>IF($B25="","",IF(LEN(VLOOKUP($B25,Database!$B$1:$IX$10144,4,FALSE))=0,"",VLOOKUP($B25,Database!$B$1:$IX$10144,4,FALSE)))</f>
        <v>Lavretsky H</v>
      </c>
      <c r="F25" s="22">
        <f>IF($B25="","",IF(LEN(VLOOKUP($B25,Database!$B$1:$IX$10144,5,FALSE))=0,"",VLOOKUP($B25,Database!$B$1:$IX$10144,5,FALSE)))</f>
        <v>2005</v>
      </c>
      <c r="G25" s="1" t="str">
        <f>IF($B25="","",HYPERLINK(IF(LEN(VLOOKUP($B25,Database!$B$1:$IX$10144,6,FALSE))=0,"",VLOOKUP($B25,Database!$B$1:$IX$10144,6,FALSE))))</f>
        <v>http://www.psychiatrist.com/privatepdf/2005/v66n08/v66n0801.pdf</v>
      </c>
      <c r="H25" s="83">
        <v>11</v>
      </c>
      <c r="I25" s="83">
        <v>20.5</v>
      </c>
      <c r="J25" s="2" t="s">
        <v>40</v>
      </c>
      <c r="K25" t="s">
        <v>587</v>
      </c>
      <c r="L25">
        <v>1.35E-2</v>
      </c>
      <c r="M25">
        <v>1.1000000000000001E-3</v>
      </c>
      <c r="N25">
        <v>1.46E-2</v>
      </c>
      <c r="O25">
        <v>1.2999999999999999E-3</v>
      </c>
      <c r="P25">
        <v>1.34E-2</v>
      </c>
      <c r="Q25">
        <v>1.6999999999999999E-3</v>
      </c>
      <c r="R25">
        <v>1.44E-2</v>
      </c>
      <c r="S25">
        <v>1.5E-3</v>
      </c>
      <c r="T25">
        <v>2.7E-2</v>
      </c>
      <c r="U25">
        <v>3.0000000000000001E-3</v>
      </c>
      <c r="V25">
        <v>2.9000000000000001E-2</v>
      </c>
      <c r="W25">
        <v>3.0000000000000001E-3</v>
      </c>
      <c r="Y25" s="22" t="str">
        <f>IF(OR($B25="",Y$22=""),"",IF(LEN(VLOOKUP($B25,Database!$B$1:$IX$10144,Y$22,FALSE))=0,"",VLOOKUP($B25,Database!$B$1:$IX$10144,Y$22,FALSE)))</f>
        <v>DSM-IV</v>
      </c>
      <c r="Z25" s="22" t="str">
        <f>IF(OR($B25="",Z$22=""),"",IF(LEN(VLOOKUP($B25,Database!$B$1:$IX$10144,Z$22,FALSE))=0,"",VLOOKUP($B25,Database!$B$1:$IX$10144,Z$22,FALSE)))</f>
        <v>MRI</v>
      </c>
      <c r="AA25" s="214" t="s">
        <v>2455</v>
      </c>
      <c r="AB25" s="214">
        <v>67.400000000000006</v>
      </c>
      <c r="AC25" s="214">
        <v>6.1</v>
      </c>
      <c r="AD25" s="22">
        <f>IF(OR($B25="",AD$22=""),"",IF(LEN(VLOOKUP($B25,Database!$B$1:$IX$10144,AD$22,FALSE))=0,"",VLOOKUP($B25,Database!$B$1:$IX$10144,AD$22,FALSE)))</f>
        <v>72.2</v>
      </c>
      <c r="AE25" s="22">
        <f>IF(OR($B25="",AE$22=""),"",IF(LEN(VLOOKUP($B25,Database!$B$1:$IX$10144,AE$22,FALSE))=0,"",VLOOKUP($B25,Database!$B$1:$IX$10144,AE$22,FALSE)))</f>
        <v>7.3</v>
      </c>
      <c r="AF25" s="214">
        <v>7</v>
      </c>
      <c r="AG25" s="22">
        <f>IF(OR($B25="",AG$22=""),"",IF(LEN(VLOOKUP($B25,Database!$B$1:$IX$10144,AG$22,FALSE))=0,"",VLOOKUP($B25,Database!$B$1:$IX$10144,AG$22,FALSE)))</f>
        <v>20</v>
      </c>
      <c r="AH25" s="22">
        <f>IF(OR($B25="",AH$22=""),"",IF(LEN(VLOOKUP($B25,Database!$B$1:$IX$10144,AH$22,FALSE))=0,"",VLOOKUP($B25,Database!$B$1:$IX$10144,AH$22,FALSE)))</f>
        <v>1.5</v>
      </c>
      <c r="AI25" s="22">
        <f>IF(OR($B25="",AI$22=""),"",IF(LEN(VLOOKUP($B25,Database!$B$1:$IX$10144,AI$22,FALSE))=0,"",VLOOKUP($B25,Database!$B$1:$IX$10144,AI$22,FALSE)))</f>
        <v>1.4</v>
      </c>
      <c r="AJ25" s="22" t="str">
        <f>IF(OR($B25="",AJ$22=""),"",IF(LEN(VLOOKUP($B25,Database!$B$1:$IX$10144,AJ$22,FALSE))=0,"",VLOOKUP($B25,Database!$B$1:$IX$10144,AJ$22,FALSE)))</f>
        <v/>
      </c>
      <c r="AK25" s="214">
        <v>36.4</v>
      </c>
      <c r="AL25" s="214">
        <v>17.7</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Lavretsky H, Roybal DJ, Ballmaier M, Toga AW, Kumar A.</v>
      </c>
      <c r="AR25" s="13"/>
      <c r="AU25" s="22"/>
      <c r="AX25" s="13"/>
      <c r="AY25" s="13"/>
      <c r="AZ25" s="13"/>
      <c r="BA25" s="13"/>
      <c r="BC25" s="23"/>
      <c r="BF25" s="136"/>
      <c r="BG25" s="136"/>
      <c r="BH25" s="136"/>
      <c r="BI25" s="136"/>
    </row>
    <row r="26" spans="1:65">
      <c r="B26">
        <v>16086609</v>
      </c>
      <c r="C26" s="1" t="str">
        <f>IF($B26="","",HYPERLINK(IF(LEN(VLOOKUP($B26,Database!$B$1:$IX$10144,2,FALSE))=0,"",VLOOKUP($B26,Database!$B$1:$IX$10144,2,FALSE))))</f>
        <v/>
      </c>
      <c r="D26" s="1" t="str">
        <f t="shared" si="0"/>
        <v>http://www.ncbi.nlm.nih.gov/pubmed/16086609</v>
      </c>
      <c r="E26" s="22" t="str">
        <f>IF($B26="","",IF(LEN(VLOOKUP($B26,Database!$B$1:$IX$10144,4,FALSE))=0,"",VLOOKUP($B26,Database!$B$1:$IX$10144,4,FALSE)))</f>
        <v>Lavretsky H</v>
      </c>
      <c r="F26" s="22">
        <f>IF($B26="","",IF(LEN(VLOOKUP($B26,Database!$B$1:$IX$10144,5,FALSE))=0,"",VLOOKUP($B26,Database!$B$1:$IX$10144,5,FALSE)))</f>
        <v>2005</v>
      </c>
      <c r="G26" s="1" t="str">
        <f>IF($B26="","",HYPERLINK(IF(LEN(VLOOKUP($B26,Database!$B$1:$IX$10144,6,FALSE))=0,"",VLOOKUP($B26,Database!$B$1:$IX$10144,6,FALSE))))</f>
        <v>http://www.psychiatrist.com/privatepdf/2005/v66n08/v66n0801.pdf</v>
      </c>
      <c r="H26" s="83">
        <v>30</v>
      </c>
      <c r="I26" s="83">
        <v>20.5</v>
      </c>
      <c r="J26" s="2" t="s">
        <v>40</v>
      </c>
      <c r="K26" t="s">
        <v>588</v>
      </c>
      <c r="L26">
        <v>1.29E-2</v>
      </c>
      <c r="M26">
        <v>2.7000000000000001E-3</v>
      </c>
      <c r="N26">
        <v>1.46E-2</v>
      </c>
      <c r="O26">
        <v>1.2999999999999999E-3</v>
      </c>
      <c r="P26">
        <v>1.2999999999999999E-2</v>
      </c>
      <c r="Q26">
        <v>2.5999999999999999E-3</v>
      </c>
      <c r="R26">
        <v>1.44E-2</v>
      </c>
      <c r="S26">
        <v>1.5E-3</v>
      </c>
      <c r="T26">
        <v>2.5999999999999999E-2</v>
      </c>
      <c r="U26">
        <v>5.0000000000000001E-3</v>
      </c>
      <c r="V26">
        <v>2.9000000000000001E-2</v>
      </c>
      <c r="W26">
        <v>3.0000000000000001E-3</v>
      </c>
      <c r="Y26" s="22" t="str">
        <f>IF(OR($B26="",Y$22=""),"",IF(LEN(VLOOKUP($B26,Database!$B$1:$IX$10144,Y$22,FALSE))=0,"",VLOOKUP($B26,Database!$B$1:$IX$10144,Y$22,FALSE)))</f>
        <v>DSM-IV</v>
      </c>
      <c r="Z26" s="22" t="str">
        <f>IF(OR($B26="",Z$22=""),"",IF(LEN(VLOOKUP($B26,Database!$B$1:$IX$10144,Z$22,FALSE))=0,"",VLOOKUP($B26,Database!$B$1:$IX$10144,Z$22,FALSE)))</f>
        <v>MRI</v>
      </c>
      <c r="AA26" s="214" t="s">
        <v>2456</v>
      </c>
      <c r="AB26" s="214">
        <v>71.7</v>
      </c>
      <c r="AC26" s="214">
        <v>7.8</v>
      </c>
      <c r="AD26" s="22">
        <f>IF(OR($B26="",AD$22=""),"",IF(LEN(VLOOKUP($B26,Database!$B$1:$IX$10144,AD$22,FALSE))=0,"",VLOOKUP($B26,Database!$B$1:$IX$10144,AD$22,FALSE)))</f>
        <v>72.2</v>
      </c>
      <c r="AE26" s="22">
        <f>IF(OR($B26="",AE$22=""),"",IF(LEN(VLOOKUP($B26,Database!$B$1:$IX$10144,AE$22,FALSE))=0,"",VLOOKUP($B26,Database!$B$1:$IX$10144,AE$22,FALSE)))</f>
        <v>7.3</v>
      </c>
      <c r="AF26" s="214">
        <v>25</v>
      </c>
      <c r="AG26" s="22">
        <f>IF(OR($B26="",AG$22=""),"",IF(LEN(VLOOKUP($B26,Database!$B$1:$IX$10144,AG$22,FALSE))=0,"",VLOOKUP($B26,Database!$B$1:$IX$10144,AG$22,FALSE)))</f>
        <v>20</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14">
        <v>52.5</v>
      </c>
      <c r="AL26" s="214">
        <v>17.7</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Lavretsky H, Roybal DJ, Ballmaier M, Toga AW, Kumar A.</v>
      </c>
      <c r="AR26" s="13"/>
      <c r="AU26" s="22"/>
      <c r="AX26" s="13"/>
      <c r="AY26" s="13"/>
      <c r="AZ26" s="13"/>
      <c r="BA26" s="13"/>
      <c r="BC26" s="23"/>
      <c r="BF26" s="136"/>
      <c r="BG26" s="136"/>
      <c r="BH26" s="136"/>
      <c r="BI26" s="136"/>
    </row>
    <row r="27" spans="1:65">
      <c r="B27">
        <v>19108659</v>
      </c>
      <c r="C27" s="1" t="str">
        <f>IF($B27="","",HYPERLINK(IF(LEN(VLOOKUP($B27,Database!$B$1:$IX$10144,2,FALSE))=0,"",VLOOKUP($B27,Database!$B$1:$IX$10144,2,FALSE))))</f>
        <v/>
      </c>
      <c r="D27" s="1" t="str">
        <f t="shared" si="0"/>
        <v>http://www.ncbi.nlm.nih.gov/pubmed/19108659</v>
      </c>
      <c r="E27" s="22" t="str">
        <f>IF($B27="","",IF(LEN(VLOOKUP($B27,Database!$B$1:$IX$10144,4,FALSE))=0,"",VLOOKUP($B27,Database!$B$1:$IX$10144,4,FALSE)))</f>
        <v>Chen HH</v>
      </c>
      <c r="F27" s="22">
        <f>IF($B27="","",IF(LEN(VLOOKUP($B27,Database!$B$1:$IX$10144,5,FALSE))=0,"",VLOOKUP($B27,Database!$B$1:$IX$10144,5,FALSE)))</f>
        <v>2008</v>
      </c>
      <c r="G27" s="1" t="str">
        <f>IF($B27="","",HYPERLINK(IF(LEN(VLOOKUP($B27,Database!$B$1:$IX$10144,6,FALSE))=0,"",VLOOKUP($B27,Database!$B$1:$IX$10144,6,FALSE))))</f>
        <v>http://dx.doi.org/10.1089/cap.2008.053</v>
      </c>
      <c r="H27" s="22">
        <f>IF($B27="","",IF(LEN(VLOOKUP($B27,Database!$B$1:$IX$10144,7,FALSE))=0,"",VLOOKUP($B27,Database!$B$1:$IX$10144,7,FALSE)))</f>
        <v>27</v>
      </c>
      <c r="I27" s="22">
        <f>IF($B27="","",IF(LEN(VLOOKUP($B27,Database!$B$1:$IX$10144,8,FALSE))=0,"",VLOOKUP($B27,Database!$B$1:$IX$10144,8,FALSE)))</f>
        <v>26</v>
      </c>
      <c r="J27" t="s">
        <v>586</v>
      </c>
      <c r="L27">
        <v>13.5</v>
      </c>
      <c r="M27">
        <v>3.7</v>
      </c>
      <c r="N27">
        <v>13</v>
      </c>
      <c r="O27">
        <v>3.1</v>
      </c>
      <c r="P27">
        <v>14.5</v>
      </c>
      <c r="Q27">
        <v>3.6</v>
      </c>
      <c r="R27">
        <v>13.7</v>
      </c>
      <c r="S27">
        <v>3</v>
      </c>
      <c r="T27">
        <v>28</v>
      </c>
      <c r="U27">
        <v>7.1</v>
      </c>
      <c r="V27">
        <v>26.7</v>
      </c>
      <c r="W27">
        <v>6</v>
      </c>
      <c r="X27" s="151"/>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14.4</v>
      </c>
      <c r="AC27" s="22">
        <f>IF(OR($B27="",AC$22=""),"",IF(LEN(VLOOKUP($B27,Database!$B$1:$IX$10144,AC$22,FALSE))=0,"",VLOOKUP($B27,Database!$B$1:$IX$10144,AC$22,FALSE)))</f>
        <v>2.2000000000000002</v>
      </c>
      <c r="AD27" s="22">
        <f>IF(OR($B27="",AD$22=""),"",IF(LEN(VLOOKUP($B27,Database!$B$1:$IX$10144,AD$22,FALSE))=0,"",VLOOKUP($B27,Database!$B$1:$IX$10144,AD$22,FALSE)))</f>
        <v>14.4</v>
      </c>
      <c r="AE27" s="22">
        <f>IF(OR($B27="",AE$22=""),"",IF(LEN(VLOOKUP($B27,Database!$B$1:$IX$10144,AE$22,FALSE))=0,"",VLOOKUP($B27,Database!$B$1:$IX$10144,AE$22,FALSE)))</f>
        <v>2.4</v>
      </c>
      <c r="AF27" s="22">
        <f>IF(OR($B27="",AF$22=""),"",IF(LEN(VLOOKUP($B27,Database!$B$1:$IX$10144,AF$22,FALSE))=0,"",VLOOKUP($B27,Database!$B$1:$IX$10144,AF$22,FALSE)))</f>
        <v>17</v>
      </c>
      <c r="AG27" s="22">
        <f>IF(OR($B27="",AG$22=""),"",IF(LEN(VLOOKUP($B27,Database!$B$1:$IX$10144,AG$22,FALSE))=0,"",VLOOKUP($B27,Database!$B$1:$IX$10144,AG$22,FALSE)))</f>
        <v>14</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11.75</v>
      </c>
      <c r="AL27" s="22">
        <f>IF(OR($B27="",AL$22=""),"",IF(LEN(VLOOKUP($B27,Database!$B$1:$IX$10144,AL$22,FALSE))=0,"",VLOOKUP($B27,Database!$B$1:$IX$10144,AL$22,FALSE)))</f>
        <v>20.100000000000001</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Chen HH, Rosenberg DR, MacMaster FP, Easter PC, Caetano SC, Nicoletti M, Hatch JP, Nery FG, Soares JC.</v>
      </c>
      <c r="AR27" s="13"/>
      <c r="AX27" s="13"/>
      <c r="AY27" s="13"/>
      <c r="AZ27" s="13"/>
      <c r="BA27" s="13"/>
      <c r="BC27" s="23"/>
      <c r="BF27" s="136"/>
      <c r="BG27" s="136"/>
      <c r="BH27" s="136"/>
      <c r="BI27" s="136"/>
    </row>
    <row r="28" spans="1:65">
      <c r="C28" s="1" t="str">
        <f>IF($B28="","",HYPERLINK(IF(LEN(VLOOKUP($B28,Database!$B$1:$IX$10144,2,FALSE))=0,"",VLOOKUP($B28,Database!$B$1:$IX$10144,2,FALSE))))</f>
        <v/>
      </c>
      <c r="D28" s="1" t="str">
        <f t="shared" si="0"/>
        <v/>
      </c>
      <c r="E28" s="22" t="str">
        <f>IF($B28="","",IF(LEN(VLOOKUP($B28,Database!$B$1:$IX$10144,4,FALSE))=0,"",VLOOKUP($B28,Database!$B$1:$IX$10144,4,FALSE)))</f>
        <v/>
      </c>
      <c r="F28" s="22" t="str">
        <f>IF($B28="","",IF(LEN(VLOOKUP($B28,Database!$B$1:$IX$10144,5,FALSE))=0,"",VLOOKUP($B28,Database!$B$1:$IX$10144,5,FALSE)))</f>
        <v/>
      </c>
      <c r="G28" s="1" t="str">
        <f>IF($B28="","",HYPERLINK(IF(LEN(VLOOKUP($B28,Database!$B$1:$IX$10144,6,FALSE))=0,"",VLOOKUP($B28,Database!$B$1:$IX$10144,6,FALSE))))</f>
        <v/>
      </c>
      <c r="H28" s="22" t="str">
        <f>IF($B28="","",IF(LEN(VLOOKUP($B28,Database!$B$1:$IX$10144,7,FALSE))=0,"",VLOOKUP($B28,Database!$B$1:$IX$10144,7,FALSE)))</f>
        <v/>
      </c>
      <c r="I28" s="22" t="str">
        <f>IF($B28="","",IF(LEN(VLOOKUP($B28,Database!$B$1:$IX$10144,8,FALSE))=0,"",VLOOKUP($B28,Database!$B$1:$IX$10144,8,FALSE)))</f>
        <v/>
      </c>
      <c r="Y28" s="22" t="str">
        <f>IF(OR($B28="",Y$22=""),"",IF(LEN(VLOOKUP($B28,Database!$B$1:$IX$10144,Y$22,FALSE))=0,"",VLOOKUP($B28,Database!$B$1:$IX$10144,Y$22,FALSE)))</f>
        <v/>
      </c>
      <c r="Z28" s="22" t="str">
        <f>IF(OR($B28="",Z$22=""),"",IF(LEN(VLOOKUP($B28,Database!$B$1:$IX$10144,Z$22,FALSE))=0,"",VLOOKUP($B28,Database!$B$1:$IX$10144,Z$22,FALSE)))</f>
        <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t="str">
        <f>IF(OR($B28="",AF$22=""),"",IF(LEN(VLOOKUP($B28,Database!$B$1:$IX$10144,AF$22,FALSE))=0,"",VLOOKUP($B28,Database!$B$1:$IX$10144,AF$22,FALSE)))</f>
        <v/>
      </c>
      <c r="AG28" s="22" t="str">
        <f>IF(OR($B28="",AG$22=""),"",IF(LEN(VLOOKUP($B28,Database!$B$1:$IX$10144,AG$22,FALSE))=0,"",VLOOKUP($B28,Database!$B$1:$IX$10144,AG$22,FALSE)))</f>
        <v/>
      </c>
      <c r="AH28" s="22" t="str">
        <f>IF(OR($B28="",AH$22=""),"",IF(LEN(VLOOKUP($B28,Database!$B$1:$IX$10144,AH$22,FALSE))=0,"",VLOOKUP($B28,Database!$B$1:$IX$10144,AH$22,FALSE)))</f>
        <v/>
      </c>
      <c r="AI28" s="22" t="str">
        <f>IF(OR($B28="",AI$22=""),"",IF(LEN(VLOOKUP($B28,Database!$B$1:$IX$10144,AI$22,FALSE))=0,"",VLOOKUP($B28,Database!$B$1:$IX$10144,AI$22,FALSE)))</f>
        <v/>
      </c>
      <c r="AJ28" s="22" t="str">
        <f>IF(OR($B28="",AJ$22=""),"",IF(LEN(VLOOKUP($B28,Database!$B$1:$IX$10144,AJ$22,FALSE))=0,"",VLOOKUP($B28,Database!$B$1:$IX$10144,AJ$22,FALSE)))</f>
        <v/>
      </c>
      <c r="AK28" s="22" t="str">
        <f>IF(OR($B28="",AK$22=""),"",IF(LEN(VLOOKUP($B28,Database!$B$1:$IX$10144,AK$22,FALSE))=0,"",VLOOKUP($B28,Database!$B$1:$IX$10144,AK$22,FALSE)))</f>
        <v/>
      </c>
      <c r="AL28" s="22" t="str">
        <f>IF(OR($B28="",AL$22=""),"",IF(LEN(VLOOKUP($B28,Database!$B$1:$IX$10144,AL$22,FALSE))=0,"",VLOOKUP($B28,Database!$B$1:$IX$10144,AL$22,FALSE)))</f>
        <v/>
      </c>
      <c r="AM28" s="22" t="str">
        <f>IF(OR($B28="",AM$22=""),"",IF(LEN(VLOOKUP($B28,Database!$B$1:$IX$10144,AM$22,FALSE))=0,"",VLOOKUP($B28,Database!$B$1:$IX$10144,AM$22,FALSE)))</f>
        <v/>
      </c>
      <c r="AN28" s="22" t="str">
        <f>IF(OR($B28="",AN$22=""),"",IF(LEN(VLOOKUP($B28,Database!$B$1:$IX$10144,AN$22,FALSE))=0,"",VLOOKUP($B28,Database!$B$1:$IX$10144,AN$22,FALSE)))</f>
        <v/>
      </c>
      <c r="AO28" s="22" t="str">
        <f>IF(OR($B28="",AO$22=""),"",IF(LEN(VLOOKUP($B28,Database!$B$1:$IX$10144,AO$22,FALSE))=0,"",VLOOKUP($B28,Database!$B$1:$IX$10144,AO$22,FALSE)))</f>
        <v/>
      </c>
      <c r="AP28" s="22" t="str">
        <f>IF(OR($B28="",AP$22=""),"",IF(LEN(VLOOKUP($B28,Database!$B$1:$IX$10144,AP$22,FALSE))=0,"",VLOOKUP($B28,Database!$B$1:$IX$10144,AP$22,FALSE)))</f>
        <v/>
      </c>
      <c r="AQ28" s="22" t="str">
        <f>IF(OR($B28="",AQ$22=""),"",IF(LEN(VLOOKUP($B28,Database!$B$1:$IX$10144,AQ$22,FALSE))=0,"",VLOOKUP($B28,Database!$B$1:$IX$10144,AQ$22,FALSE)))</f>
        <v/>
      </c>
    </row>
    <row r="29" spans="1:65">
      <c r="A29" s="4"/>
      <c r="C29" s="1" t="str">
        <f>IF($B29="","",HYPERLINK(IF(LEN(VLOOKUP($B29,Database!$B$1:$IX$10144,2,FALSE))=0,"",VLOOKUP($B29,Database!$B$1:$IX$10144,2,FALSE))))</f>
        <v/>
      </c>
      <c r="D29" s="1" t="str">
        <f t="shared" si="0"/>
        <v/>
      </c>
      <c r="E29" s="22" t="str">
        <f>IF($B29="","",IF(LEN(VLOOKUP($B29,Database!$B$1:$IX$10144,4,FALSE))=0,"",VLOOKUP($B29,Database!$B$1:$IX$10144,4,FALSE)))</f>
        <v/>
      </c>
      <c r="F29" s="22" t="str">
        <f>IF($B29="","",IF(LEN(VLOOKUP($B29,Database!$B$1:$IX$10144,5,FALSE))=0,"",VLOOKUP($B29,Database!$B$1:$IX$10144,5,FALSE)))</f>
        <v/>
      </c>
      <c r="G29" s="1" t="str">
        <f>IF($B29="","",HYPERLINK(IF(LEN(VLOOKUP($B29,Database!$B$1:$IX$10144,6,FALSE))=0,"",VLOOKUP($B29,Database!$B$1:$IX$10144,6,FALSE))))</f>
        <v/>
      </c>
      <c r="H29" s="22" t="str">
        <f>IF($B29="","",IF(LEN(VLOOKUP($B29,Database!$B$1:$IX$10144,7,FALSE))=0,"",VLOOKUP($B29,Database!$B$1:$IX$10144,7,FALSE)))</f>
        <v/>
      </c>
      <c r="I29" s="22" t="str">
        <f>IF($B29="","",IF(LEN(VLOOKUP($B29,Database!$B$1:$IX$10144,8,FALSE))=0,"",VLOOKUP($B29,Database!$B$1:$IX$10144,8,FALSE)))</f>
        <v/>
      </c>
      <c r="Y29" s="22" t="str">
        <f>IF(OR($B29="",Y$22=""),"",IF(LEN(VLOOKUP($B29,Database!$B$1:$IX$10144,Y$22,FALSE))=0,"",VLOOKUP($B29,Database!$B$1:$IX$10144,Y$22,FALSE)))</f>
        <v/>
      </c>
      <c r="Z29" s="22" t="str">
        <f>IF(OR($B29="",Z$22=""),"",IF(LEN(VLOOKUP($B29,Database!$B$1:$IX$10144,Z$22,FALSE))=0,"",VLOOKUP($B29,Database!$B$1:$IX$10144,Z$22,FALSE)))</f>
        <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2" t="str">
        <f>IF(OR($B29="",AF$22=""),"",IF(LEN(VLOOKUP($B29,Database!$B$1:$IX$10144,AF$22,FALSE))=0,"",VLOOKUP($B29,Database!$B$1:$IX$10144,AF$22,FALSE)))</f>
        <v/>
      </c>
      <c r="AG29" s="22" t="str">
        <f>IF(OR($B29="",AG$22=""),"",IF(LEN(VLOOKUP($B29,Database!$B$1:$IX$10144,AG$22,FALSE))=0,"",VLOOKUP($B29,Database!$B$1:$IX$10144,AG$22,FALSE)))</f>
        <v/>
      </c>
      <c r="AH29" s="22" t="str">
        <f>IF(OR($B29="",AH$22=""),"",IF(LEN(VLOOKUP($B29,Database!$B$1:$IX$10144,AH$22,FALSE))=0,"",VLOOKUP($B29,Database!$B$1:$IX$10144,AH$22,FALSE)))</f>
        <v/>
      </c>
      <c r="AI29" s="22" t="str">
        <f>IF(OR($B29="",AI$22=""),"",IF(LEN(VLOOKUP($B29,Database!$B$1:$IX$10144,AI$22,FALSE))=0,"",VLOOKUP($B29,Database!$B$1:$IX$10144,AI$22,FALSE)))</f>
        <v/>
      </c>
      <c r="AJ29" s="22" t="str">
        <f>IF(OR($B29="",AJ$22=""),"",IF(LEN(VLOOKUP($B29,Database!$B$1:$IX$10144,AJ$22,FALSE))=0,"",VLOOKUP($B29,Database!$B$1:$IX$10144,AJ$22,FALSE)))</f>
        <v/>
      </c>
      <c r="AK29" s="22" t="str">
        <f>IF(OR($B29="",AK$22=""),"",IF(LEN(VLOOKUP($B29,Database!$B$1:$IX$10144,AK$22,FALSE))=0,"",VLOOKUP($B29,Database!$B$1:$IX$10144,AK$22,FALSE)))</f>
        <v/>
      </c>
      <c r="AL29" s="22" t="str">
        <f>IF(OR($B29="",AL$22=""),"",IF(LEN(VLOOKUP($B29,Database!$B$1:$IX$10144,AL$22,FALSE))=0,"",VLOOKUP($B29,Database!$B$1:$IX$10144,AL$22,FALSE)))</f>
        <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
      </c>
    </row>
    <row r="30" spans="1:65">
      <c r="A30" s="4" t="s">
        <v>1510</v>
      </c>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row>
    <row r="31" spans="1:65">
      <c r="C31" s="1" t="str">
        <f>IF($B31="","",HYPERLINK(IF(LEN(VLOOKUP($B31,Database!$B$1:$IX$10144,2,FALSE))=0,"",VLOOKUP($B31,Database!$B$1:$IX$10144,2,FALSE))))</f>
        <v/>
      </c>
      <c r="D31" s="1" t="str">
        <f>IF($B31="","",HYPERLINK(CONCATENATE("http://www.ncbi.nlm.nih.gov/pubmed/",B31)))</f>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K31" s="96"/>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6" si="1">E24</f>
        <v>Parashos IA</v>
      </c>
      <c r="F33">
        <f t="shared" si="1"/>
        <v>1998</v>
      </c>
      <c r="G33">
        <v>4</v>
      </c>
      <c r="H33">
        <f t="shared" ref="H33:I36" si="2">H24</f>
        <v>72</v>
      </c>
      <c r="I33">
        <f t="shared" si="2"/>
        <v>38</v>
      </c>
      <c r="J33">
        <f t="shared" ref="J33:M36" si="3">IF($D$4="Total",T24,IF($D$4="Left",L24,IF($D$4="Right",P24,"error")))</f>
        <v>45.56</v>
      </c>
      <c r="K33">
        <f t="shared" si="3"/>
        <v>15.41</v>
      </c>
      <c r="L33">
        <f t="shared" si="3"/>
        <v>45.2</v>
      </c>
      <c r="M33">
        <f t="shared" si="3"/>
        <v>14.42</v>
      </c>
      <c r="N33">
        <f>IF($D$3=1,SQRT((((I33-1)*(M33)^2)+((H33-1)*(K33)^2))/(H33+I33-2)),M33)</f>
        <v>15.078155004287934</v>
      </c>
      <c r="O33" s="59">
        <f>IF($D$6=1,LN(J33/L33),IF($D$5=1,(1-3/(4*(H33+I33)-9))*((J33-L33)/N33),(J33-L33)/N33))</f>
        <v>2.3709412685723016E-2</v>
      </c>
      <c r="P33" s="63">
        <f>IF($D$6=1,(K33^2)/(H33*J33^2)+(M33^2)/(I33*L33^2),(IF($D$5=1,((H33+I33)/(H33*I33))+(O33*O33)/(2*(H33+I33-3.94)),((H33+I33)/(H33*I33))+((O33^2)/(2*(H33+I33-2))))))</f>
        <v>4.0207328448608838E-2</v>
      </c>
      <c r="Q33" s="59">
        <f>$R$53*SQRT(P33)</f>
        <v>0.39301459638056152</v>
      </c>
      <c r="R33" s="59">
        <f>1/P33</f>
        <v>24.871087898270936</v>
      </c>
      <c r="S33" s="59">
        <f>O33*R33</f>
        <v>0.58967888692299708</v>
      </c>
      <c r="T33" s="59">
        <f>R33*(O33^2)</f>
        <v>1.3980940082115135E-2</v>
      </c>
      <c r="U33" s="23">
        <f>R33^2</f>
        <v>618.57101324351902</v>
      </c>
      <c r="V33" s="59">
        <f>1/((1/R33)+$I$50)</f>
        <v>6.6685933577687049</v>
      </c>
      <c r="W33" s="59">
        <f>V33*O33</f>
        <v>0.15810843195260957</v>
      </c>
      <c r="AF33" s="59">
        <f>IF($D$6=1,100*((EXP(O33))-1),O33)</f>
        <v>2.3709412685723016E-2</v>
      </c>
      <c r="AG33" s="59">
        <f>IF($D$6=1,100*(EXP(O33+Q33)-EXP(O33)),Q33)</f>
        <v>0.39301459638056152</v>
      </c>
      <c r="AH33" s="59">
        <f>IF($D$6=1,100*(EXP(O33)-EXP(O33-Q33)),Q33)</f>
        <v>0.39301459638056152</v>
      </c>
      <c r="AJ33">
        <f>SQRT(P33)</f>
        <v>0.20051765121457221</v>
      </c>
      <c r="AK33">
        <f>1/AJ33</f>
        <v>4.9870921285124599</v>
      </c>
      <c r="AL33">
        <f>O33/AJ33</f>
        <v>0.11824102537662272</v>
      </c>
      <c r="AN33" t="str">
        <f t="shared" ref="AN33:AO36" si="4">E33</f>
        <v>Parashos IA</v>
      </c>
      <c r="AO33">
        <f t="shared" si="4"/>
        <v>1998</v>
      </c>
      <c r="AP33" t="str">
        <f>CONCATENATE(AN33," ",AO33)</f>
        <v>Parashos IA 1998</v>
      </c>
      <c r="AQ33">
        <f>INT(H33)</f>
        <v>72</v>
      </c>
      <c r="AR33">
        <f t="shared" ref="AR33:AS36" si="5">J33</f>
        <v>45.56</v>
      </c>
      <c r="AS33">
        <f t="shared" si="5"/>
        <v>15.41</v>
      </c>
      <c r="AT33">
        <f>INT(I33)</f>
        <v>38</v>
      </c>
      <c r="AU33">
        <f t="shared" ref="AU33:AV36" si="6">L33</f>
        <v>45.2</v>
      </c>
      <c r="AV33">
        <f t="shared" si="6"/>
        <v>14.42</v>
      </c>
      <c r="AW33" s="65">
        <f>O33</f>
        <v>2.3709412685723016E-2</v>
      </c>
      <c r="AX33">
        <f>SQRT(P33)</f>
        <v>0.20051765121457221</v>
      </c>
      <c r="AY33" t="str">
        <f>$F$3</f>
        <v>Pooled SD</v>
      </c>
    </row>
    <row r="34" spans="5:51">
      <c r="E34" t="str">
        <f t="shared" si="1"/>
        <v>Lavretsky H</v>
      </c>
      <c r="F34">
        <f t="shared" si="1"/>
        <v>2005</v>
      </c>
      <c r="G34">
        <v>3</v>
      </c>
      <c r="H34">
        <f t="shared" si="2"/>
        <v>11</v>
      </c>
      <c r="I34">
        <f t="shared" si="2"/>
        <v>20.5</v>
      </c>
      <c r="J34">
        <f t="shared" si="3"/>
        <v>2.7E-2</v>
      </c>
      <c r="K34">
        <f t="shared" si="3"/>
        <v>3.0000000000000001E-3</v>
      </c>
      <c r="L34">
        <f t="shared" si="3"/>
        <v>2.9000000000000001E-2</v>
      </c>
      <c r="M34">
        <f t="shared" si="3"/>
        <v>3.0000000000000001E-3</v>
      </c>
      <c r="N34">
        <f>IF($D$3=1,SQRT((((I34-1)*(M34)^2)+((H34-1)*(K34)^2))/(H34+I34-2)),M34)</f>
        <v>3.0000000000000001E-3</v>
      </c>
      <c r="O34" s="59">
        <f>IF($D$6=1,LN(J34/L34),IF($D$5=1,(1-3/(4*(H34+I34)-9))*((J34-L34)/N34),(J34-L34)/N34))</f>
        <v>-0.64957264957265015</v>
      </c>
      <c r="P34" s="63">
        <f>IF($D$6=1,(K34^2)/(H34*J34^2)+(M34^2)/(I34*L34^2),(IF($D$5=1,((H34+I34)/(H34*I34))+(O34*O34)/(2*(H34+I34-3.94)),((H34+I34)/(H34*I34))+((O34^2)/(2*(H34+I34-2))))))</f>
        <v>0.14734459734736577</v>
      </c>
      <c r="Q34" s="59">
        <f>$R$53*SQRT(P34)</f>
        <v>0.75235563742796552</v>
      </c>
      <c r="R34" s="59">
        <f>1/P34</f>
        <v>6.7868114474702725</v>
      </c>
      <c r="S34" s="59">
        <f>O34*R34</f>
        <v>-4.4085270940832579</v>
      </c>
      <c r="T34" s="59">
        <f>R34*(O34^2)</f>
        <v>2.8636586252164777</v>
      </c>
      <c r="U34" s="23">
        <f>R34^2</f>
        <v>46.060809623513535</v>
      </c>
      <c r="V34" s="59">
        <f>1/((1/R34)+$I$50)</f>
        <v>3.8896289640179633</v>
      </c>
      <c r="W34" s="59">
        <f>V34*O34</f>
        <v>-2.5265965920116709</v>
      </c>
      <c r="AF34" s="59">
        <f>IF($D$6=1,100*((EXP(O34))-1),O34)</f>
        <v>-0.64957264957265015</v>
      </c>
      <c r="AG34" s="59">
        <f>IF($D$6=1,100*(EXP(O34+Q34)-EXP(O34)),Q34)</f>
        <v>0.75235563742796552</v>
      </c>
      <c r="AH34" s="59">
        <f>IF($D$6=1,100*(EXP(O34)-EXP(O34-Q34)),Q34)</f>
        <v>0.75235563742796552</v>
      </c>
      <c r="AJ34">
        <f>SQRT(P34)</f>
        <v>0.38385491705508445</v>
      </c>
      <c r="AK34">
        <f>1/AJ34</f>
        <v>2.6051509452371993</v>
      </c>
      <c r="AL34">
        <f>O34/AJ34</f>
        <v>-1.6922348020344216</v>
      </c>
      <c r="AN34" t="str">
        <f t="shared" si="4"/>
        <v>Lavretsky H</v>
      </c>
      <c r="AO34">
        <f t="shared" si="4"/>
        <v>2005</v>
      </c>
      <c r="AP34" t="str">
        <f>CONCATENATE(AN34," ",AO34)</f>
        <v>Lavretsky H 2005</v>
      </c>
      <c r="AQ34">
        <f>INT(H34)</f>
        <v>11</v>
      </c>
      <c r="AR34">
        <f t="shared" si="5"/>
        <v>2.7E-2</v>
      </c>
      <c r="AS34">
        <f t="shared" si="5"/>
        <v>3.0000000000000001E-3</v>
      </c>
      <c r="AT34">
        <f>INT(I34)</f>
        <v>20</v>
      </c>
      <c r="AU34">
        <f t="shared" si="6"/>
        <v>2.9000000000000001E-2</v>
      </c>
      <c r="AV34">
        <f t="shared" si="6"/>
        <v>3.0000000000000001E-3</v>
      </c>
      <c r="AW34" s="65">
        <f>O34</f>
        <v>-0.64957264957265015</v>
      </c>
      <c r="AX34">
        <f>SQRT(P34)</f>
        <v>0.38385491705508445</v>
      </c>
    </row>
    <row r="35" spans="5:51">
      <c r="E35" t="str">
        <f t="shared" si="1"/>
        <v>Lavretsky H</v>
      </c>
      <c r="F35">
        <f t="shared" si="1"/>
        <v>2005</v>
      </c>
      <c r="G35">
        <v>2</v>
      </c>
      <c r="H35">
        <f t="shared" si="2"/>
        <v>30</v>
      </c>
      <c r="I35">
        <f t="shared" si="2"/>
        <v>20.5</v>
      </c>
      <c r="J35">
        <f t="shared" si="3"/>
        <v>2.5999999999999999E-2</v>
      </c>
      <c r="K35">
        <f t="shared" si="3"/>
        <v>5.0000000000000001E-3</v>
      </c>
      <c r="L35">
        <f t="shared" si="3"/>
        <v>2.9000000000000001E-2</v>
      </c>
      <c r="M35">
        <f t="shared" si="3"/>
        <v>3.0000000000000001E-3</v>
      </c>
      <c r="N35">
        <f>IF($D$3=1,SQRT((((I35-1)*(M35)^2)+((H35-1)*(K35)^2))/(H35+I35-2)),M35)</f>
        <v>4.3089453824895893E-3</v>
      </c>
      <c r="O35" s="59">
        <f>IF($D$6=1,LN(J35/L35),IF($D$5=1,(1-3/(4*(H35+I35)-9))*((J35-L35)/N35),(J35-L35)/N35))</f>
        <v>-0.68540387809262426</v>
      </c>
      <c r="P35" s="63">
        <f>IF($D$6=1,(K35^2)/(H35*J35^2)+(M35^2)/(I35*L35^2),(IF($D$5=1,((H35+I35)/(H35*I35))+(O35*O35)/(2*(H35+I35-3.94)),((H35+I35)/(H35*I35))+((O35^2)/(2*(H35+I35-2))))))</f>
        <v>8.7158693089504427E-2</v>
      </c>
      <c r="Q35" s="59">
        <f>$R$53*SQRT(P35)</f>
        <v>0.57864396253019024</v>
      </c>
      <c r="R35" s="59">
        <f>1/P35</f>
        <v>11.473324857832443</v>
      </c>
      <c r="S35" s="59">
        <f>O35*R35</f>
        <v>-7.8638613521748635</v>
      </c>
      <c r="T35" s="59">
        <f>R35*(O35^2)</f>
        <v>5.3899210675633595</v>
      </c>
      <c r="U35" s="23">
        <f>R35^2</f>
        <v>131.63718329335586</v>
      </c>
      <c r="V35" s="59">
        <f>1/((1/R35)+$I$50)</f>
        <v>5.0785131372547561</v>
      </c>
      <c r="W35" s="59">
        <f>V35*O35</f>
        <v>-3.4808325992187497</v>
      </c>
      <c r="AF35" s="59">
        <f>IF($D$6=1,100*((EXP(O35))-1),O35)</f>
        <v>-0.68540387809262426</v>
      </c>
      <c r="AG35" s="59">
        <f>IF($D$6=1,100*(EXP(O35+Q35)-EXP(O35)),Q35)</f>
        <v>0.57864396253019024</v>
      </c>
      <c r="AH35" s="59">
        <f>IF($D$6=1,100*(EXP(O35)-EXP(O35-Q35)),Q35)</f>
        <v>0.57864396253019024</v>
      </c>
      <c r="AJ35">
        <f>SQRT(P35)</f>
        <v>0.29522651149499501</v>
      </c>
      <c r="AK35">
        <f>1/AJ35</f>
        <v>3.3872296730266824</v>
      </c>
      <c r="AL35">
        <f>O35/AJ35</f>
        <v>-2.3216203538828997</v>
      </c>
      <c r="AN35" t="str">
        <f t="shared" si="4"/>
        <v>Lavretsky H</v>
      </c>
      <c r="AO35">
        <f t="shared" si="4"/>
        <v>2005</v>
      </c>
      <c r="AP35" t="str">
        <f>CONCATENATE(AN35," ",AO35)</f>
        <v>Lavretsky H 2005</v>
      </c>
      <c r="AQ35">
        <f>INT(H35)</f>
        <v>30</v>
      </c>
      <c r="AR35">
        <f t="shared" si="5"/>
        <v>2.5999999999999999E-2</v>
      </c>
      <c r="AS35">
        <f t="shared" si="5"/>
        <v>5.0000000000000001E-3</v>
      </c>
      <c r="AT35">
        <f>INT(I35)</f>
        <v>20</v>
      </c>
      <c r="AU35">
        <f t="shared" si="6"/>
        <v>2.9000000000000001E-2</v>
      </c>
      <c r="AV35">
        <f t="shared" si="6"/>
        <v>3.0000000000000001E-3</v>
      </c>
      <c r="AW35" s="65">
        <f>O35</f>
        <v>-0.68540387809262426</v>
      </c>
      <c r="AX35">
        <f>SQRT(P35)</f>
        <v>0.29522651149499501</v>
      </c>
    </row>
    <row r="36" spans="5:51">
      <c r="E36" t="str">
        <f t="shared" si="1"/>
        <v>Chen HH</v>
      </c>
      <c r="F36">
        <f t="shared" si="1"/>
        <v>2008</v>
      </c>
      <c r="G36">
        <v>1</v>
      </c>
      <c r="H36">
        <f t="shared" si="2"/>
        <v>27</v>
      </c>
      <c r="I36">
        <f t="shared" si="2"/>
        <v>26</v>
      </c>
      <c r="J36">
        <f t="shared" si="3"/>
        <v>28</v>
      </c>
      <c r="K36">
        <f t="shared" si="3"/>
        <v>7.1</v>
      </c>
      <c r="L36">
        <f t="shared" si="3"/>
        <v>26.7</v>
      </c>
      <c r="M36">
        <f t="shared" si="3"/>
        <v>6</v>
      </c>
      <c r="N36">
        <f>IF($D$3=1,SQRT((((I36-1)*(M36)^2)+((H36-1)*(K36)^2))/(H36+I36-2)),M36)</f>
        <v>6.5837887655820122</v>
      </c>
      <c r="O36" s="59">
        <f>IF($D$6=1,LN(J36/L36),IF($D$5=1,(1-3/(4*(H36+I36)-9))*((J36-L36)/N36),(J36-L36)/N36))</f>
        <v>0.19453664492327916</v>
      </c>
      <c r="P36" s="63">
        <f>IF($D$6=1,(K36^2)/(H36*J36^2)+(M36^2)/(I36*L36^2),(IF($D$5=1,((H36+I36)/(H36*I36))+(O36*O36)/(2*(H36+I36-3.94)),((H36+I36)/(H36*I36))+((O36^2)/(2*(H36+I36-2))))))</f>
        <v>7.5884271648371734E-2</v>
      </c>
      <c r="Q36" s="59">
        <f>$R$53*SQRT(P36)</f>
        <v>0.53992315931471668</v>
      </c>
      <c r="R36" s="59">
        <f>1/P36</f>
        <v>13.177961365086874</v>
      </c>
      <c r="S36" s="59">
        <f>O36*R36</f>
        <v>2.5635963908925965</v>
      </c>
      <c r="T36" s="59">
        <f>R36*(O36^2)</f>
        <v>0.49871344082167302</v>
      </c>
      <c r="U36" s="23">
        <f>R36^2</f>
        <v>173.65866573972232</v>
      </c>
      <c r="V36" s="59">
        <f>1/((1/R36)+$I$50)</f>
        <v>5.3869556595546308</v>
      </c>
      <c r="W36" s="59">
        <f>V36*O36</f>
        <v>1.0479602803602284</v>
      </c>
      <c r="AF36" s="59">
        <f>IF($D$6=1,100*((EXP(O36))-1),O36)</f>
        <v>0.19453664492327916</v>
      </c>
      <c r="AG36" s="59">
        <f>IF($D$6=1,100*(EXP(O36+Q36)-EXP(O36)),Q36)</f>
        <v>0.53992315931471668</v>
      </c>
      <c r="AH36" s="59">
        <f>IF($D$6=1,100*(EXP(O36)-EXP(O36-Q36)),Q36)</f>
        <v>0.53992315931471668</v>
      </c>
      <c r="AJ36">
        <f>SQRT(P36)</f>
        <v>0.27547099965036564</v>
      </c>
      <c r="AK36">
        <f>1/AJ36</f>
        <v>3.6301461905943779</v>
      </c>
      <c r="AL36">
        <f>O36/AJ36</f>
        <v>0.70619646049925289</v>
      </c>
      <c r="AN36" t="str">
        <f t="shared" si="4"/>
        <v>Chen HH</v>
      </c>
      <c r="AO36">
        <f t="shared" si="4"/>
        <v>2008</v>
      </c>
      <c r="AP36" t="str">
        <f>CONCATENATE(AN36," ",AO36)</f>
        <v>Chen HH 2008</v>
      </c>
      <c r="AQ36">
        <f>INT(H36)</f>
        <v>27</v>
      </c>
      <c r="AR36">
        <f t="shared" si="5"/>
        <v>28</v>
      </c>
      <c r="AS36">
        <f t="shared" si="5"/>
        <v>7.1</v>
      </c>
      <c r="AT36">
        <f>INT(I36)</f>
        <v>26</v>
      </c>
      <c r="AU36">
        <f t="shared" si="6"/>
        <v>26.7</v>
      </c>
      <c r="AV36">
        <f t="shared" si="6"/>
        <v>6</v>
      </c>
      <c r="AW36" s="65">
        <f>O36</f>
        <v>0.19453664492327916</v>
      </c>
      <c r="AX36">
        <f>SQRT(P36)</f>
        <v>0.27547099965036564</v>
      </c>
    </row>
    <row r="37" spans="5:51">
      <c r="U37" s="23"/>
    </row>
    <row r="38" spans="5:51">
      <c r="L38" t="s">
        <v>500</v>
      </c>
      <c r="N38" s="7"/>
      <c r="O38" s="66">
        <f>COUNT(O33:O36)</f>
        <v>4</v>
      </c>
      <c r="Q38" t="s">
        <v>885</v>
      </c>
      <c r="R38" s="59">
        <f t="shared" ref="R38:W38" si="7">SUM(R33:R36)</f>
        <v>56.309185568660524</v>
      </c>
      <c r="S38" s="59">
        <f t="shared" si="7"/>
        <v>-9.119113168442528</v>
      </c>
      <c r="T38" s="59">
        <f t="shared" si="7"/>
        <v>8.7662740736836255</v>
      </c>
      <c r="U38" s="23">
        <f t="shared" si="7"/>
        <v>969.92767190011068</v>
      </c>
      <c r="V38" s="59">
        <f t="shared" si="7"/>
        <v>21.023691118596055</v>
      </c>
      <c r="W38" s="59">
        <f t="shared" si="7"/>
        <v>-4.8013604789175828</v>
      </c>
    </row>
    <row r="39" spans="5:51">
      <c r="L39" t="s">
        <v>501</v>
      </c>
      <c r="N39" s="7"/>
      <c r="O39" s="2">
        <v>1</v>
      </c>
    </row>
    <row r="40" spans="5:51">
      <c r="N40" s="7"/>
      <c r="O40" s="7"/>
    </row>
    <row r="41" spans="5:51">
      <c r="G41" s="67" t="s">
        <v>502</v>
      </c>
      <c r="H41" s="40"/>
      <c r="I41" s="40">
        <f>S38/R38</f>
        <v>-0.16194716858980585</v>
      </c>
      <c r="J41" s="40"/>
      <c r="K41" s="68" t="s">
        <v>879</v>
      </c>
      <c r="L41" s="40"/>
      <c r="M41" s="42"/>
      <c r="N41" s="7"/>
      <c r="O41" s="69" t="s">
        <v>503</v>
      </c>
      <c r="P41" s="70">
        <f>T38-((S38^2)/R38)</f>
        <v>7.2894595160043449</v>
      </c>
      <c r="Q41" s="71" t="s">
        <v>824</v>
      </c>
      <c r="R41" s="28"/>
      <c r="S41" s="29"/>
      <c r="T41" s="30"/>
      <c r="U41" s="31"/>
      <c r="AF41" s="2" t="s">
        <v>1518</v>
      </c>
    </row>
    <row r="42" spans="5:51">
      <c r="G42" s="43" t="s">
        <v>504</v>
      </c>
      <c r="H42" s="31"/>
      <c r="I42" s="31">
        <f>1/R38</f>
        <v>1.7759091876415996E-2</v>
      </c>
      <c r="J42" s="31"/>
      <c r="K42" s="31"/>
      <c r="L42" s="31"/>
      <c r="M42" s="44"/>
      <c r="N42" s="7"/>
      <c r="O42" s="30" t="s">
        <v>505</v>
      </c>
      <c r="P42" s="31">
        <f>CHIDIST(P41,I46-1)</f>
        <v>6.3222203190268958E-2</v>
      </c>
      <c r="Q42" s="31"/>
      <c r="R42" s="31"/>
      <c r="S42" s="34"/>
      <c r="T42" s="30"/>
      <c r="U42" s="31"/>
      <c r="AF42" s="2"/>
    </row>
    <row r="43" spans="5:51">
      <c r="G43" s="72" t="s">
        <v>506</v>
      </c>
      <c r="H43" s="31"/>
      <c r="I43" s="31">
        <f>$R$53*SQRT(I42)</f>
        <v>0.26119595585008526</v>
      </c>
      <c r="J43" s="31"/>
      <c r="K43" s="31" t="s">
        <v>507</v>
      </c>
      <c r="L43" s="31"/>
      <c r="M43" s="44">
        <f>ABS(I41/SQRT(I42))</f>
        <v>1.2152425921104317</v>
      </c>
      <c r="N43" s="7"/>
      <c r="O43" s="35" t="s">
        <v>508</v>
      </c>
      <c r="P43" s="37">
        <f>IF(((P41-(I46-1))/P41)&lt;0,0,100*((P41-(I46-1))/P41))</f>
        <v>58.844685351316365</v>
      </c>
      <c r="Q43" s="36"/>
      <c r="R43" s="36"/>
      <c r="S43" s="38"/>
      <c r="T43" s="30"/>
      <c r="U43" s="31"/>
      <c r="AF43" s="2" t="s">
        <v>1535</v>
      </c>
      <c r="AH43">
        <f>IF($D$6=1,100*((EXP(I41))-1),I41)</f>
        <v>-0.16194716858980585</v>
      </c>
    </row>
    <row r="44" spans="5:51">
      <c r="G44" s="45" t="s">
        <v>509</v>
      </c>
      <c r="H44" s="46"/>
      <c r="I44" s="46">
        <v>-2</v>
      </c>
      <c r="J44" s="46"/>
      <c r="K44" s="46" t="s">
        <v>825</v>
      </c>
      <c r="L44" s="46"/>
      <c r="M44" s="47">
        <f>2*(1-NORMDIST(M43,0,1,1))</f>
        <v>0.22427358013345922</v>
      </c>
      <c r="N44" s="7"/>
      <c r="O44" s="7"/>
      <c r="AF44" s="79" t="s">
        <v>834</v>
      </c>
      <c r="AH44">
        <f>IF($D$6=1,100*(EXP(I41+I43)-EXP(I41)),I43)</f>
        <v>0.26119595585008526</v>
      </c>
    </row>
    <row r="45" spans="5:51">
      <c r="G45" s="40"/>
      <c r="H45" s="40"/>
      <c r="I45" s="40"/>
      <c r="J45" s="40"/>
      <c r="K45" s="40"/>
      <c r="L45" s="40"/>
      <c r="M45" s="40"/>
      <c r="N45" s="7"/>
      <c r="O45" s="7"/>
      <c r="AF45" s="79" t="s">
        <v>835</v>
      </c>
      <c r="AH45">
        <f>IF($D$6=1,100*(EXP(I41)-EXP(I41-I43)),I43)</f>
        <v>0.26119595585008526</v>
      </c>
    </row>
    <row r="46" spans="5:51">
      <c r="G46" s="73" t="s">
        <v>1110</v>
      </c>
      <c r="H46" s="74"/>
      <c r="I46" s="74">
        <f>O38</f>
        <v>4</v>
      </c>
      <c r="J46" s="74"/>
      <c r="K46" s="75" t="s">
        <v>1167</v>
      </c>
      <c r="L46" s="74"/>
      <c r="M46" s="76"/>
      <c r="N46" s="77"/>
      <c r="O46" s="101" t="s">
        <v>1513</v>
      </c>
      <c r="P46" s="102"/>
      <c r="Q46" s="103"/>
      <c r="AF46" s="7"/>
    </row>
    <row r="47" spans="5:51">
      <c r="G47" s="77" t="s">
        <v>1531</v>
      </c>
      <c r="H47" s="31"/>
      <c r="I47" s="31">
        <f>R38/I46</f>
        <v>14.077296392165131</v>
      </c>
      <c r="J47" s="31"/>
      <c r="K47" s="31"/>
      <c r="L47" s="31"/>
      <c r="M47" s="78"/>
      <c r="N47" s="77"/>
      <c r="O47" s="104" t="s">
        <v>1514</v>
      </c>
      <c r="P47" s="31"/>
      <c r="Q47" s="105">
        <f>INDEX(LINEST(AL33:AL36,AK33:AK36,TRUE,TRUE),1,2)</f>
        <v>-3.9307918306286216</v>
      </c>
      <c r="AF47" s="2" t="s">
        <v>1687</v>
      </c>
      <c r="AH47">
        <f>IF($D$6=1,100*((EXP(I52))-1),I52)</f>
        <v>-0.22837856834143849</v>
      </c>
    </row>
    <row r="48" spans="5:51">
      <c r="G48" s="77" t="s">
        <v>1532</v>
      </c>
      <c r="H48" s="31"/>
      <c r="I48" s="31">
        <f>(1/(I46-1))*(U38-(I46*I47^2))</f>
        <v>59.082192349549658</v>
      </c>
      <c r="J48" s="31"/>
      <c r="K48" s="31"/>
      <c r="L48" s="31"/>
      <c r="M48" s="78"/>
      <c r="N48" s="77"/>
      <c r="O48" s="104" t="s">
        <v>1516</v>
      </c>
      <c r="P48" s="31"/>
      <c r="Q48" s="105">
        <f>INDEX(LINEST(AL33:AL36,AK33:AK36,TRUE,TRUE),2,2)</f>
        <v>3.1101747865481473</v>
      </c>
      <c r="AF48" s="79" t="s">
        <v>834</v>
      </c>
      <c r="AG48" s="7"/>
      <c r="AH48">
        <f>IF($D$6=1,100*(EXP(I52+I54)-EXP(I52)),I54)</f>
        <v>0.42746601025961334</v>
      </c>
    </row>
    <row r="49" spans="7:34">
      <c r="G49" s="77" t="s">
        <v>1669</v>
      </c>
      <c r="H49" s="31"/>
      <c r="I49" s="31">
        <f>(I46-1)*(I47-(I48/(I46*I47)))</f>
        <v>39.084150929908191</v>
      </c>
      <c r="J49" s="31"/>
      <c r="K49" s="31"/>
      <c r="L49" s="31"/>
      <c r="M49" s="78"/>
      <c r="N49" s="77"/>
      <c r="O49" s="104" t="s">
        <v>1349</v>
      </c>
      <c r="P49" s="31"/>
      <c r="Q49" s="105">
        <f>ABS(Q47/Q48)</f>
        <v>1.2638491726026893</v>
      </c>
      <c r="AF49" s="79" t="s">
        <v>835</v>
      </c>
      <c r="AH49">
        <f>IF($D$6=1,100*(EXP(I52)-EXP(I52-I54)),I54)</f>
        <v>0.42746601025961334</v>
      </c>
    </row>
    <row r="50" spans="7:34">
      <c r="G50" s="77" t="s">
        <v>1685</v>
      </c>
      <c r="H50" s="31"/>
      <c r="I50" s="31">
        <f>IF(P41&gt;(I46-1),(P41-(I46-1))/I49,0)</f>
        <v>0.10974933352644335</v>
      </c>
      <c r="J50" s="31"/>
      <c r="K50" s="31"/>
      <c r="L50" s="31"/>
      <c r="M50" s="78"/>
      <c r="N50" s="77"/>
      <c r="O50" s="106" t="s">
        <v>1515</v>
      </c>
      <c r="P50" s="107"/>
      <c r="Q50" s="108">
        <f>TDIST(Q49,I46-2,2)</f>
        <v>0.33364443123920978</v>
      </c>
    </row>
    <row r="51" spans="7:34">
      <c r="G51" s="77"/>
      <c r="H51" s="31"/>
      <c r="I51" s="31"/>
      <c r="J51" s="31"/>
      <c r="K51" s="31"/>
      <c r="L51" s="31"/>
      <c r="M51" s="78"/>
      <c r="N51" s="77"/>
    </row>
    <row r="52" spans="7:34">
      <c r="G52" s="77" t="s">
        <v>1686</v>
      </c>
      <c r="H52" s="31"/>
      <c r="I52" s="31">
        <f>W38/V38</f>
        <v>-0.22837856834143849</v>
      </c>
      <c r="J52" s="31"/>
      <c r="N52" s="77"/>
    </row>
    <row r="53" spans="7:34">
      <c r="G53" s="77" t="s">
        <v>504</v>
      </c>
      <c r="H53" s="31"/>
      <c r="I53" s="31">
        <f>1/V38</f>
        <v>4.756538679906077E-2</v>
      </c>
      <c r="J53" s="31"/>
      <c r="N53" s="77"/>
      <c r="O53" t="s">
        <v>805</v>
      </c>
      <c r="R53">
        <v>1.96</v>
      </c>
    </row>
    <row r="54" spans="7:34">
      <c r="G54" s="80" t="s">
        <v>506</v>
      </c>
      <c r="H54" s="31"/>
      <c r="I54" s="31">
        <f>$R$53*SQRT(I53)</f>
        <v>0.42746601025961334</v>
      </c>
      <c r="J54" s="31"/>
      <c r="K54" s="31" t="s">
        <v>507</v>
      </c>
      <c r="L54" s="31"/>
      <c r="M54" s="78">
        <f>ABS(I52/(SQRT(I53)))</f>
        <v>1.0471522488474927</v>
      </c>
      <c r="N54" s="77"/>
    </row>
    <row r="55" spans="7:34">
      <c r="G55" s="81" t="s">
        <v>509</v>
      </c>
      <c r="H55" s="82"/>
      <c r="I55" s="82">
        <v>-3</v>
      </c>
      <c r="J55" s="82"/>
      <c r="K55" s="31" t="s">
        <v>825</v>
      </c>
      <c r="L55" s="31"/>
      <c r="M55" s="78">
        <f>2*(1-NORMDIST(M54,0,1,1))</f>
        <v>0.2950293646785469</v>
      </c>
      <c r="N55" s="77"/>
    </row>
    <row r="56" spans="7:34">
      <c r="G56" s="74"/>
      <c r="H56" s="74"/>
      <c r="I56" s="74"/>
      <c r="J56" s="74"/>
      <c r="K56" s="74"/>
      <c r="L56" s="74"/>
      <c r="M56" s="74"/>
      <c r="N56" s="31"/>
      <c r="O56" s="7"/>
    </row>
  </sheetData>
  <phoneticPr fontId="10" type="noConversion"/>
  <conditionalFormatting sqref="D17 D13 F13">
    <cfRule type="cellIs" dxfId="46" priority="0" stopIfTrue="1" operator="lessThan">
      <formula>0.05</formula>
    </cfRule>
  </conditionalFormatting>
  <conditionalFormatting sqref="D21">
    <cfRule type="cellIs" dxfId="4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7.xml><?xml version="1.0" encoding="utf-8"?>
<worksheet xmlns="http://schemas.openxmlformats.org/spreadsheetml/2006/main" xmlns:r="http://schemas.openxmlformats.org/officeDocument/2006/relationships">
  <sheetPr published="0" codeName="Sheet75" enableFormatConditionsCalculation="0"/>
  <dimension ref="A1:BM69"/>
  <sheetViews>
    <sheetView zoomScale="80" zoomScaleNormal="80" zoomScalePageLayoutView="80" workbookViewId="0"/>
  </sheetViews>
  <sheetFormatPr defaultColWidth="8.77734375" defaultRowHeight="13.2"/>
  <cols>
    <col min="1" max="1" width="4.6640625" customWidth="1"/>
    <col min="2" max="2" width="9.44140625" customWidth="1"/>
    <col min="3" max="3" width="8.109375" customWidth="1"/>
    <col min="4" max="4" width="9.6640625" customWidth="1"/>
    <col min="5" max="5" width="14.33203125" customWidth="1"/>
    <col min="6" max="6" width="6.44140625" customWidth="1"/>
    <col min="7" max="11" width="5.6640625" customWidth="1"/>
    <col min="12" max="12" width="6.109375" customWidth="1"/>
    <col min="13" max="13" width="6.44140625" customWidth="1"/>
    <col min="14" max="15" width="5.6640625" customWidth="1"/>
    <col min="16" max="17" width="6.44140625" customWidth="1"/>
    <col min="18" max="18" width="6.109375" customWidth="1"/>
    <col min="19" max="19" width="5.6640625" customWidth="1"/>
    <col min="20" max="20" width="6.33203125" customWidth="1"/>
    <col min="21" max="22" width="5.6640625" customWidth="1"/>
    <col min="23" max="23" width="6.109375" customWidth="1"/>
    <col min="24" max="24" width="9.6640625" customWidth="1"/>
    <col min="25" max="25" width="7.33203125" customWidth="1"/>
    <col min="26" max="38" width="5.6640625" customWidth="1"/>
    <col min="39" max="39" width="13" customWidth="1"/>
    <col min="40" max="40" width="7.33203125" customWidth="1"/>
    <col min="41" max="48" width="5.6640625" customWidth="1"/>
    <col min="49" max="49" width="6.6640625" customWidth="1"/>
    <col min="50" max="50" width="7.33203125" customWidth="1"/>
    <col min="51" max="53" width="5.6640625" customWidth="1"/>
  </cols>
  <sheetData>
    <row r="1" spans="2:30">
      <c r="B1" s="4" t="s">
        <v>641</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I59-O52</f>
        <v>5</v>
      </c>
      <c r="AD7" s="89"/>
    </row>
    <row r="8" spans="2:30">
      <c r="B8" t="s">
        <v>822</v>
      </c>
      <c r="D8">
        <f>SUM(H24:H28)</f>
        <v>355</v>
      </c>
      <c r="AD8" s="89"/>
    </row>
    <row r="9" spans="2:30">
      <c r="B9" t="s">
        <v>823</v>
      </c>
      <c r="D9">
        <f>SUM(I24:I28)</f>
        <v>286</v>
      </c>
      <c r="AD9" s="89"/>
    </row>
    <row r="11" spans="2:30">
      <c r="B11" s="27" t="s">
        <v>516</v>
      </c>
      <c r="C11" s="28"/>
      <c r="D11" s="109">
        <f>P54</f>
        <v>8.9466747609603932</v>
      </c>
      <c r="E11" s="110" t="s">
        <v>1513</v>
      </c>
      <c r="F11" s="103"/>
    </row>
    <row r="12" spans="2:30">
      <c r="B12" s="30" t="s">
        <v>826</v>
      </c>
      <c r="C12" s="31"/>
      <c r="D12" s="112">
        <f>P56</f>
        <v>55.290651478084861</v>
      </c>
      <c r="E12" s="31"/>
      <c r="F12" s="105"/>
    </row>
    <row r="13" spans="2:30">
      <c r="B13" s="35" t="s">
        <v>825</v>
      </c>
      <c r="C13" s="36"/>
      <c r="D13" s="113">
        <f>P55</f>
        <v>6.2446266650883035E-2</v>
      </c>
      <c r="E13" s="111" t="s">
        <v>825</v>
      </c>
      <c r="F13" s="115">
        <f>Q63</f>
        <v>0.98569446083908652</v>
      </c>
    </row>
    <row r="15" spans="2:30">
      <c r="B15" s="39" t="s">
        <v>879</v>
      </c>
      <c r="C15" s="40"/>
      <c r="D15" s="41">
        <f>AH56</f>
        <v>-0.28698815378003489</v>
      </c>
      <c r="E15" s="116"/>
    </row>
    <row r="16" spans="2:30">
      <c r="B16" s="43" t="s">
        <v>1165</v>
      </c>
      <c r="C16" s="31"/>
      <c r="D16" s="33">
        <f>AH56-AH58</f>
        <v>-0.44581629464031092</v>
      </c>
      <c r="E16" s="117">
        <f>AH56+AH57</f>
        <v>-0.12816001291975884</v>
      </c>
    </row>
    <row r="17" spans="1:65">
      <c r="B17" s="45" t="s">
        <v>1166</v>
      </c>
      <c r="C17" s="46"/>
      <c r="D17" s="123">
        <f>M57</f>
        <v>3.9779315173626983E-4</v>
      </c>
      <c r="E17" s="118"/>
    </row>
    <row r="18" spans="1:65">
      <c r="D18" s="48"/>
      <c r="F18" s="49"/>
    </row>
    <row r="19" spans="1:65">
      <c r="B19" s="50" t="s">
        <v>1167</v>
      </c>
      <c r="C19" s="51"/>
      <c r="D19" s="52">
        <f>AH60</f>
        <v>-0.29240023570104073</v>
      </c>
      <c r="E19" s="120"/>
      <c r="F19" s="33"/>
      <c r="G19" s="31"/>
    </row>
    <row r="20" spans="1:65">
      <c r="B20" s="53" t="s">
        <v>1165</v>
      </c>
      <c r="C20" s="31"/>
      <c r="D20" s="33">
        <f>AH60-AH62</f>
        <v>-0.5672212631339667</v>
      </c>
      <c r="E20" s="121">
        <f>AH60+AH61</f>
        <v>-1.7579208268114765E-2</v>
      </c>
      <c r="F20" s="31"/>
      <c r="G20" s="31"/>
    </row>
    <row r="21" spans="1:65">
      <c r="B21" s="54" t="s">
        <v>1440</v>
      </c>
      <c r="C21" s="55"/>
      <c r="D21" s="114">
        <f>M68</f>
        <v>3.703541891140949E-2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15576058</v>
      </c>
      <c r="C24" s="1" t="str">
        <f>IF($B24="","",HYPERLINK(IF(LEN(VLOOKUP($B24,Database!$B$1:$IX$10144,2,FALSE))=0,"",VLOOKUP($B24,Database!$B$1:$IX$10144,2,FALSE))))</f>
        <v/>
      </c>
      <c r="D24" s="1" t="str">
        <f t="shared" ref="D24:D31" si="0">IF($B24="","",HYPERLINK(CONCATENATE("http://www.ncbi.nlm.nih.gov/pubmed/",B24)))</f>
        <v>http://www.ncbi.nlm.nih.gov/pubmed/15576058</v>
      </c>
      <c r="E24" s="22" t="str">
        <f>IF($B24="","",IF(LEN(VLOOKUP($B24,Database!$B$1:$IX$10144,4,FALSE))=0,"",VLOOKUP($B24,Database!$B$1:$IX$10144,4,FALSE)))</f>
        <v>Janssen J</v>
      </c>
      <c r="F24" s="22">
        <f>IF($B24="","",IF(LEN(VLOOKUP($B24,Database!$B$1:$IX$10144,5,FALSE))=0,"",VLOOKUP($B24,Database!$B$1:$IX$10144,5,FALSE)))</f>
        <v>2004</v>
      </c>
      <c r="G24" s="1" t="str">
        <f>IF($B24="","",HYPERLINK(IF(LEN(VLOOKUP($B24,Database!$B$1:$IX$10144,6,FALSE))=0,"",VLOOKUP($B24,Database!$B$1:$IX$10144,6,FALSE))))</f>
        <v>http://dx.doi.org/10.1016/j.biopsych.2004.09.011</v>
      </c>
      <c r="H24" s="22">
        <f>IF($B24="","",IF(LEN(VLOOKUP($B24,Database!$B$1:$IX$10144,7,FALSE))=0,"",VLOOKUP($B24,Database!$B$1:$IX$10144,7,FALSE)))</f>
        <v>28</v>
      </c>
      <c r="I24" s="22">
        <f>IF($B24="","",IF(LEN(VLOOKUP($B24,Database!$B$1:$IX$10144,8,FALSE))=0,"",VLOOKUP($B24,Database!$B$1:$IX$10144,8,FALSE)))</f>
        <v>41</v>
      </c>
      <c r="J24" t="s">
        <v>1725</v>
      </c>
      <c r="L24">
        <v>6.21</v>
      </c>
      <c r="M24">
        <v>2.27</v>
      </c>
      <c r="N24">
        <v>6.42</v>
      </c>
      <c r="O24">
        <v>1.59</v>
      </c>
      <c r="P24">
        <v>6.41</v>
      </c>
      <c r="Q24">
        <v>2.36</v>
      </c>
      <c r="R24">
        <v>6.68</v>
      </c>
      <c r="S24">
        <v>1.8</v>
      </c>
      <c r="T24">
        <v>12.63</v>
      </c>
      <c r="U24">
        <v>4.5599999999999996</v>
      </c>
      <c r="V24">
        <v>13.1</v>
      </c>
      <c r="W24">
        <v>3.33</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64.040000000000006</v>
      </c>
      <c r="AC24" s="22">
        <f>IF(OR($B24="",AC$22=""),"",IF(LEN(VLOOKUP($B24,Database!$B$1:$IX$10144,AC$22,FALSE))=0,"",VLOOKUP($B24,Database!$B$1:$IX$10144,AC$22,FALSE)))</f>
        <v>10.9</v>
      </c>
      <c r="AD24" s="22">
        <f>IF(OR($B24="",AD$22=""),"",IF(LEN(VLOOKUP($B24,Database!$B$1:$IX$10144,AD$22,FALSE))=0,"",VLOOKUP($B24,Database!$B$1:$IX$10144,AD$22,FALSE)))</f>
        <v>62.37</v>
      </c>
      <c r="AE24" s="22">
        <f>IF(OR($B24="",AE$22=""),"",IF(LEN(VLOOKUP($B24,Database!$B$1:$IX$10144,AE$22,FALSE))=0,"",VLOOKUP($B24,Database!$B$1:$IX$10144,AE$22,FALSE)))</f>
        <v>11.38</v>
      </c>
      <c r="AF24" s="22">
        <f>IF(OR($B24="",AF$22=""),"",IF(LEN(VLOOKUP($B24,Database!$B$1:$IX$10144,AF$22,FALSE))=0,"",VLOOKUP($B24,Database!$B$1:$IX$10144,AF$22,FALSE)))</f>
        <v>28</v>
      </c>
      <c r="AG24" s="22">
        <f>IF(OR($B24="",AG$22=""),"",IF(LEN(VLOOKUP($B24,Database!$B$1:$IX$10144,AG$22,FALSE))=0,"",VLOOKUP($B24,Database!$B$1:$IX$10144,AG$22,FALSE)))</f>
        <v>41</v>
      </c>
      <c r="AH24" s="22">
        <f>IF(OR($B24="",AH$22=""),"",IF(LEN(VLOOKUP($B24,Database!$B$1:$IX$10144,AH$22,FALSE))=0,"",VLOOKUP($B24,Database!$B$1:$IX$10144,AH$22,FALSE)))</f>
        <v>1.5</v>
      </c>
      <c r="AI24" s="22">
        <f>IF(OR($B24="",AI$22=""),"",IF(LEN(VLOOKUP($B24,Database!$B$1:$IX$10144,AI$22,FALSE))=0,"",VLOOKUP($B24,Database!$B$1:$IX$10144,AI$22,FALSE)))</f>
        <v>1.2</v>
      </c>
      <c r="AJ24" s="22" t="str">
        <f>IF(OR($B24="",AJ$22=""),"",IF(LEN(VLOOKUP($B24,Database!$B$1:$IX$10144,AJ$22,FALSE))=0,"",VLOOKUP($B24,Database!$B$1:$IX$10144,AJ$22,FALSE)))</f>
        <v/>
      </c>
      <c r="AK24" s="22">
        <f>IF(OR($B24="",AK$22=""),"",IF(LEN(VLOOKUP($B24,Database!$B$1:$IX$10144,AK$22,FALSE))=0,"",VLOOKUP($B24,Database!$B$1:$IX$10144,AK$22,FALSE)))</f>
        <v>33.04</v>
      </c>
      <c r="AL24" s="22" t="str">
        <f>IF(OR($B24="",AL$22=""),"",IF(LEN(VLOOKUP($B24,Database!$B$1:$IX$10144,AL$22,FALSE))=0,"",VLOOKUP($B24,Database!$B$1:$IX$10144,AL$22,FALSE)))</f>
        <v>ns</v>
      </c>
      <c r="AM24" s="22">
        <f>IF(OR($B24="",AM$22=""),"",IF(LEN(VLOOKUP($B24,Database!$B$1:$IX$10144,AM$22,FALSE))=0,"",VLOOKUP($B24,Database!$B$1:$IX$10144,AM$22,FALSE)))</f>
        <v>60.714285714285708</v>
      </c>
      <c r="AN24" s="22">
        <f>IF(OR($B24="",AN$22=""),"",IF(LEN(VLOOKUP($B24,Database!$B$1:$IX$10144,AN$22,FALSE))=0,"",VLOOKUP($B24,Database!$B$1:$IX$10144,AN$22,FALSE)))</f>
        <v>25</v>
      </c>
      <c r="AO24" s="22"/>
      <c r="AP24" s="22">
        <f>IF(OR($B24="",AP$22=""),"",IF(LEN(VLOOKUP($B24,Database!$B$1:$IX$10144,AP$22,FALSE))=0,"",VLOOKUP($B24,Database!$B$1:$IX$10144,AP$22,FALSE)))</f>
        <v>21.428571428571427</v>
      </c>
      <c r="AQ24" s="22" t="str">
        <f>IF(OR($B24="",AQ$22=""),"",IF(LEN(VLOOKUP($B24,Database!$B$1:$IX$10144,AQ$22,FALSE))=0,"",VLOOKUP($B24,Database!$B$1:$IX$10144,AQ$22,FALSE)))</f>
        <v>Janssen J, Hulshoff Pol HE, Lampe IK, Schnack HG, de Leeuw FE, Kahn RS, Heeren TJ.</v>
      </c>
      <c r="AR24" s="13"/>
      <c r="AX24" s="13"/>
      <c r="AY24" s="13"/>
      <c r="AZ24" s="13"/>
      <c r="BA24" s="13"/>
      <c r="BC24" s="23"/>
      <c r="BF24" s="136"/>
      <c r="BG24" s="136"/>
      <c r="BH24" s="136"/>
      <c r="BI24" s="136"/>
    </row>
    <row r="25" spans="1:65">
      <c r="A25" t="s">
        <v>2267</v>
      </c>
      <c r="B25">
        <v>14960287</v>
      </c>
      <c r="C25" s="1" t="str">
        <f>IF($B25="","",HYPERLINK(IF(LEN(VLOOKUP($B25,Database!$B$1:$IX$10144,2,FALSE))=0,"",VLOOKUP($B25,Database!$B$1:$IX$10144,2,FALSE))))</f>
        <v/>
      </c>
      <c r="D25" s="1" t="str">
        <f t="shared" si="0"/>
        <v>http://www.ncbi.nlm.nih.gov/pubmed/14960287</v>
      </c>
      <c r="E25" s="22" t="str">
        <f>IF($B25="","",IF(LEN(VLOOKUP($B25,Database!$B$1:$IX$10144,4,FALSE))=0,"",VLOOKUP($B25,Database!$B$1:$IX$10144,4,FALSE)))</f>
        <v>Lacerda AL</v>
      </c>
      <c r="F25" s="22">
        <f>IF($B25="","",IF(LEN(VLOOKUP($B25,Database!$B$1:$IX$10144,5,FALSE))=0,"",VLOOKUP($B25,Database!$B$1:$IX$10144,5,FALSE)))</f>
        <v>2004</v>
      </c>
      <c r="G25" s="1" t="str">
        <f>IF($B25="","",HYPERLINK(IF(LEN(VLOOKUP($B25,Database!$B$1:$IX$10144,6,FALSE))=0,"",VLOOKUP($B25,Database!$B$1:$IX$10144,6,FALSE))))</f>
        <v>http://dx.doi.org/10.1016/j.biopsych.2003.08.021</v>
      </c>
      <c r="H25" s="22">
        <f>IF($B25="","",IF(LEN(VLOOKUP($B25,Database!$B$1:$IX$10144,7,FALSE))=0,"",VLOOKUP($B25,Database!$B$1:$IX$10144,7,FALSE)))</f>
        <v>31</v>
      </c>
      <c r="I25" s="22">
        <f>IF($B25="","",IF(LEN(VLOOKUP($B25,Database!$B$1:$IX$10144,8,FALSE))=0,"",VLOOKUP($B25,Database!$B$1:$IX$10144,8,FALSE)))</f>
        <v>34</v>
      </c>
      <c r="J25" t="s">
        <v>1649</v>
      </c>
      <c r="L25">
        <v>5.89</v>
      </c>
      <c r="M25">
        <v>1.0900000000000001</v>
      </c>
      <c r="N25">
        <v>6.42</v>
      </c>
      <c r="O25">
        <v>1.82</v>
      </c>
      <c r="P25">
        <v>6.52</v>
      </c>
      <c r="Q25">
        <v>1.21</v>
      </c>
      <c r="R25">
        <v>6.98</v>
      </c>
      <c r="S25">
        <v>1.87</v>
      </c>
      <c r="T25">
        <v>12.41</v>
      </c>
      <c r="U25">
        <v>2.2200000000000002</v>
      </c>
      <c r="V25">
        <v>13.4</v>
      </c>
      <c r="W25">
        <v>3.6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39.26</v>
      </c>
      <c r="AC25" s="22">
        <f>IF(OR($B25="",AC$22=""),"",IF(LEN(VLOOKUP($B25,Database!$B$1:$IX$10144,AC$22,FALSE))=0,"",VLOOKUP($B25,Database!$B$1:$IX$10144,AC$22,FALSE)))</f>
        <v>11.9</v>
      </c>
      <c r="AD25" s="22">
        <f>IF(OR($B25="",AD$22=""),"",IF(LEN(VLOOKUP($B25,Database!$B$1:$IX$10144,AD$22,FALSE))=0,"",VLOOKUP($B25,Database!$B$1:$IX$10144,AD$22,FALSE)))</f>
        <v>37.03</v>
      </c>
      <c r="AE25" s="22">
        <f>IF(OR($B25="",AE$22=""),"",IF(LEN(VLOOKUP($B25,Database!$B$1:$IX$10144,AE$22,FALSE))=0,"",VLOOKUP($B25,Database!$B$1:$IX$10144,AE$22,FALSE)))</f>
        <v>11.88</v>
      </c>
      <c r="AF25" s="22">
        <f>IF(OR($B25="",AF$22=""),"",IF(LEN(VLOOKUP($B25,Database!$B$1:$IX$10144,AF$22,FALSE))=0,"",VLOOKUP($B25,Database!$B$1:$IX$10144,AF$22,FALSE)))</f>
        <v>24</v>
      </c>
      <c r="AG25" s="22">
        <f>IF(OR($B25="",AG$22=""),"",IF(LEN(VLOOKUP($B25,Database!$B$1:$IX$10144,AG$22,FALSE))=0,"",VLOOKUP($B25,Database!$B$1:$IX$10144,AG$22,FALSE)))</f>
        <v>22</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27.94</v>
      </c>
      <c r="AL25" s="22">
        <f>IF(OR($B25="",AL$22=""),"",IF(LEN(VLOOKUP($B25,Database!$B$1:$IX$10144,AL$22,FALSE))=0,"",VLOOKUP($B25,Database!$B$1:$IX$10144,AL$22,FALSE)))</f>
        <v>14.07</v>
      </c>
      <c r="AM25" s="22" t="str">
        <f>IF(OR($B25="",AM$22=""),"",IF(LEN(VLOOKUP($B25,Database!$B$1:$IX$10144,AM$22,FALSE))=0,"",VLOOKUP($B25,Database!$B$1:$IX$10144,AM$22,FALSE)))</f>
        <v>ns</v>
      </c>
      <c r="AN25" s="22" t="str">
        <f>IF(OR($B25="",AN$22=""),"",IF(LEN(VLOOKUP($B25,Database!$B$1:$IX$10144,AN$22,FALSE))=0,"",VLOOKUP($B25,Database!$B$1:$IX$10144,AN$22,FALSE)))</f>
        <v>ns</v>
      </c>
      <c r="AO25" s="22"/>
      <c r="AP25" s="22">
        <f>IF(OR($B25="",AP$22=""),"",IF(LEN(VLOOKUP($B25,Database!$B$1:$IX$10144,AP$22,FALSE))=0,"",VLOOKUP($B25,Database!$B$1:$IX$10144,AP$22,FALSE)))</f>
        <v>100</v>
      </c>
      <c r="AQ25" s="22" t="str">
        <f>IF(OR($B25="",AQ$22=""),"",IF(LEN(VLOOKUP($B25,Database!$B$1:$IX$10144,AQ$22,FALSE))=0,"",VLOOKUP($B25,Database!$B$1:$IX$10144,AQ$22,FALSE)))</f>
        <v>Lacerda AL, Keshavan MS, Hardan AY, Yorbik O, Brambilla P, Sassi RB, Nicoletti M, Mallinger AG, Frank E, Kupfer DJ, Soares JC.</v>
      </c>
      <c r="AR25" s="13"/>
      <c r="AX25" s="13"/>
      <c r="AY25" s="13"/>
      <c r="AZ25" s="13"/>
      <c r="BA25" s="13"/>
      <c r="BC25" s="23"/>
      <c r="BF25" s="136"/>
      <c r="BG25" s="136"/>
      <c r="BH25" s="136"/>
      <c r="BI25" s="136"/>
    </row>
    <row r="26" spans="1:65">
      <c r="A26" s="10"/>
      <c r="B26">
        <v>17463189</v>
      </c>
      <c r="C26" s="1" t="str">
        <f>IF($B26="","",HYPERLINK(IF(LEN(VLOOKUP($B26,Database!$B$1:$IX$10144,2,FALSE))=0,"",VLOOKUP($B26,Database!$B$1:$IX$10144,2,FALSE))))</f>
        <v/>
      </c>
      <c r="D26" s="1" t="str">
        <f t="shared" si="0"/>
        <v>http://www.ncbi.nlm.nih.gov/pubmed/17463189</v>
      </c>
      <c r="E26" s="22" t="str">
        <f>IF($B26="","",IF(LEN(VLOOKUP($B26,Database!$B$1:$IX$10144,4,FALSE))=0,"",VLOOKUP($B26,Database!$B$1:$IX$10144,4,FALSE)))</f>
        <v>Lavretsky H</v>
      </c>
      <c r="F26" s="22">
        <f>IF($B26="","",IF(LEN(VLOOKUP($B26,Database!$B$1:$IX$10144,5,FALSE))=0,"",VLOOKUP($B26,Database!$B$1:$IX$10144,5,FALSE)))</f>
        <v>2007</v>
      </c>
      <c r="G26" s="1" t="str">
        <f>IF($B26="","",HYPERLINK(IF(LEN(VLOOKUP($B26,Database!$B$1:$IX$10144,6,FALSE))=0,"",VLOOKUP($B26,Database!$B$1:$IX$10144,6,FALSE))))</f>
        <v>http://dx.doi.org/10.1097/JGP.0b013e3180325a16</v>
      </c>
      <c r="H26" s="22">
        <f>IF($B26="","",IF(LEN(VLOOKUP($B26,Database!$B$1:$IX$10144,7,FALSE))=0,"",VLOOKUP($B26,Database!$B$1:$IX$10144,7,FALSE)))</f>
        <v>43</v>
      </c>
      <c r="I26" s="22">
        <f>IF($B26="","",IF(LEN(VLOOKUP($B26,Database!$B$1:$IX$10144,8,FALSE))=0,"",VLOOKUP($B26,Database!$B$1:$IX$10144,8,FALSE)))</f>
        <v>41</v>
      </c>
      <c r="J26" t="s">
        <v>126</v>
      </c>
      <c r="L26">
        <v>8.6E-3</v>
      </c>
      <c r="M26">
        <v>1.6000000000000001E-3</v>
      </c>
      <c r="N26">
        <v>9.7000000000000003E-3</v>
      </c>
      <c r="O26">
        <v>8.9999999999999998E-4</v>
      </c>
      <c r="P26">
        <v>8.6E-3</v>
      </c>
      <c r="Q26">
        <v>1.6000000000000001E-3</v>
      </c>
      <c r="R26">
        <v>9.5999999999999992E-3</v>
      </c>
      <c r="S26">
        <v>1E-3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70.67</v>
      </c>
      <c r="AC26" s="22">
        <f>IF(OR($B26="",AC$22=""),"",IF(LEN(VLOOKUP($B26,Database!$B$1:$IX$10144,AC$22,FALSE))=0,"",VLOOKUP($B26,Database!$B$1:$IX$10144,AC$22,FALSE)))</f>
        <v>7.76</v>
      </c>
      <c r="AD26" s="22">
        <f>IF(OR($B26="",AD$22=""),"",IF(LEN(VLOOKUP($B26,Database!$B$1:$IX$10144,AD$22,FALSE))=0,"",VLOOKUP($B26,Database!$B$1:$IX$10144,AD$22,FALSE)))</f>
        <v>72.19</v>
      </c>
      <c r="AE26" s="22">
        <f>IF(OR($B26="",AE$22=""),"",IF(LEN(VLOOKUP($B26,Database!$B$1:$IX$10144,AE$22,FALSE))=0,"",VLOOKUP($B26,Database!$B$1:$IX$10144,AE$22,FALSE)))</f>
        <v>7.27</v>
      </c>
      <c r="AF26" s="22">
        <f>IF(OR($B26="",AF$22=""),"",IF(LEN(VLOOKUP($B26,Database!$B$1:$IX$10144,AF$22,FALSE))=0,"",VLOOKUP($B26,Database!$B$1:$IX$10144,AF$22,FALSE)))</f>
        <v>33</v>
      </c>
      <c r="AG26" s="22">
        <f>IF(OR($B26="",AG$22=""),"",IF(LEN(VLOOKUP($B26,Database!$B$1:$IX$10144,AG$22,FALSE))=0,"",VLOOKUP($B26,Database!$B$1:$IX$10144,AG$22,FALSE)))</f>
        <v>20</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49.6</v>
      </c>
      <c r="AL26" s="22">
        <f>IF(OR($B26="",AL$22=""),"",IF(LEN(VLOOKUP($B26,Database!$B$1:$IX$10144,AL$22,FALSE))=0,"",VLOOKUP($B26,Database!$B$1:$IX$10144,AL$22,FALSE)))</f>
        <v>17.7</v>
      </c>
      <c r="AM26" s="22">
        <f>IF(OR($B26="",AM$22=""),"",IF(LEN(VLOOKUP($B26,Database!$B$1:$IX$10144,AM$22,FALSE))=0,"",VLOOKUP($B26,Database!$B$1:$IX$10144,AM$22,FALSE)))</f>
        <v>0</v>
      </c>
      <c r="AN26" s="22">
        <f>IF(OR($B26="",AN$22=""),"",IF(LEN(VLOOKUP($B26,Database!$B$1:$IX$10144,AN$22,FALSE))=0,"",VLOOKUP($B26,Database!$B$1:$IX$10144,AN$22,FALSE)))</f>
        <v>0</v>
      </c>
      <c r="AO26" s="22"/>
      <c r="AP26" s="22">
        <f>IF(OR($B26="",AP$22=""),"",IF(LEN(VLOOKUP($B26,Database!$B$1:$IX$10144,AP$22,FALSE))=0,"",VLOOKUP($B26,Database!$B$1:$IX$10144,AP$22,FALSE)))</f>
        <v>100</v>
      </c>
      <c r="AQ26" s="22" t="str">
        <f>IF(OR($B26="",AQ$22=""),"",IF(LEN(VLOOKUP($B26,Database!$B$1:$IX$10144,AQ$22,FALSE))=0,"",VLOOKUP($B26,Database!$B$1:$IX$10144,AQ$22,FALSE)))</f>
        <v>Lavretsky H, Ballmaier M, Pham D, Toga A, Kumar A.</v>
      </c>
      <c r="AR26" s="13"/>
      <c r="AX26" s="13"/>
      <c r="AY26" s="13"/>
      <c r="AZ26" s="13"/>
      <c r="BA26" s="13"/>
      <c r="BC26" s="23"/>
      <c r="BF26" s="136"/>
      <c r="BG26" s="136"/>
      <c r="BH26" s="136"/>
      <c r="BI26" s="136"/>
    </row>
    <row r="27" spans="1:65">
      <c r="A27" s="10"/>
      <c r="B27">
        <v>17335636</v>
      </c>
      <c r="C27" s="1" t="str">
        <f>IF($B27="","",HYPERLINK(IF(LEN(VLOOKUP($B27,Database!$B$1:$IX$10144,2,FALSE))=0,"",VLOOKUP($B27,Database!$B$1:$IX$10144,2,FALSE))))</f>
        <v/>
      </c>
      <c r="D27" s="1" t="str">
        <f t="shared" si="0"/>
        <v>http://www.ncbi.nlm.nih.gov/pubmed/17335636</v>
      </c>
      <c r="E27" s="22" t="str">
        <f>IF($B27="","",IF(LEN(VLOOKUP($B27,Database!$B$1:$IX$10144,4,FALSE))=0,"",VLOOKUP($B27,Database!$B$1:$IX$10144,4,FALSE)))</f>
        <v>Taylor WD</v>
      </c>
      <c r="F27" s="22">
        <f>IF($B27="","",IF(LEN(VLOOKUP($B27,Database!$B$1:$IX$10144,5,FALSE))=0,"",VLOOKUP($B27,Database!$B$1:$IX$10144,5,FALSE)))</f>
        <v>2007</v>
      </c>
      <c r="G27" s="1" t="str">
        <f>IF($B27="","",HYPERLINK(IF(LEN(VLOOKUP($B27,Database!$B$1:$IX$10144,6,FALSE))=0,"",VLOOKUP($B27,Database!$B$1:$IX$10144,6,FALSE))))</f>
        <v>http://dx.doi.org/10.1017/S0033291707000128</v>
      </c>
      <c r="H27" s="22">
        <f>IF($B27="","",IF(LEN(VLOOKUP($B27,Database!$B$1:$IX$10144,7,FALSE))=0,"",VLOOKUP($B27,Database!$B$1:$IX$10144,7,FALSE)))</f>
        <v>226</v>
      </c>
      <c r="I27" s="22">
        <f>IF($B27="","",IF(LEN(VLOOKUP($B27,Database!$B$1:$IX$10144,8,FALSE))=0,"",VLOOKUP($B27,Database!$B$1:$IX$10144,8,FALSE)))</f>
        <v>144</v>
      </c>
      <c r="J27" t="s">
        <v>1650</v>
      </c>
      <c r="L27">
        <v>6.3</v>
      </c>
      <c r="M27">
        <v>1.6</v>
      </c>
      <c r="N27">
        <v>6.7</v>
      </c>
      <c r="O27">
        <v>1.5</v>
      </c>
      <c r="P27">
        <v>6.7</v>
      </c>
      <c r="Q27">
        <v>1.8</v>
      </c>
      <c r="R27">
        <v>7.1</v>
      </c>
      <c r="S27">
        <v>1.6</v>
      </c>
      <c r="T27">
        <v>13</v>
      </c>
      <c r="U27">
        <v>3.1</v>
      </c>
      <c r="V27">
        <v>13.8</v>
      </c>
      <c r="W27">
        <v>2.9</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70</v>
      </c>
      <c r="AC27" s="22">
        <f>IF(OR($B27="",AC$22=""),"",IF(LEN(VLOOKUP($B27,Database!$B$1:$IX$10144,AC$22,FALSE))=0,"",VLOOKUP($B27,Database!$B$1:$IX$10144,AC$22,FALSE)))</f>
        <v>7.4</v>
      </c>
      <c r="AD27" s="22">
        <f>IF(OR($B27="",AD$22=""),"",IF(LEN(VLOOKUP($B27,Database!$B$1:$IX$10144,AD$22,FALSE))=0,"",VLOOKUP($B27,Database!$B$1:$IX$10144,AD$22,FALSE)))</f>
        <v>70.3</v>
      </c>
      <c r="AE27" s="22">
        <f>IF(OR($B27="",AE$22=""),"",IF(LEN(VLOOKUP($B27,Database!$B$1:$IX$10144,AE$22,FALSE))=0,"",VLOOKUP($B27,Database!$B$1:$IX$10144,AE$22,FALSE)))</f>
        <v>6.5</v>
      </c>
      <c r="AF27" s="22">
        <f>IF(OR($B27="",AF$22=""),"",IF(LEN(VLOOKUP($B27,Database!$B$1:$IX$10144,AF$22,FALSE))=0,"",VLOOKUP($B27,Database!$B$1:$IX$10144,AF$22,FALSE)))</f>
        <v>150</v>
      </c>
      <c r="AG27" s="22">
        <f>IF(OR($B27="",AG$22=""),"",IF(LEN(VLOOKUP($B27,Database!$B$1:$IX$10144,AG$22,FALSE))=0,"",VLOOKUP($B27,Database!$B$1:$IX$10144,AG$22,FALSE)))</f>
        <v>100</v>
      </c>
      <c r="AH27" s="22">
        <f>IF(OR($B27="",AH$22=""),"",IF(LEN(VLOOKUP($B27,Database!$B$1:$IX$10144,AH$22,FALSE))=0,"",VLOOKUP($B27,Database!$B$1:$IX$10144,AH$22,FALSE)))</f>
        <v>1.5</v>
      </c>
      <c r="AI27" s="22">
        <f>IF(OR($B27="",AI$22=""),"",IF(LEN(VLOOKUP($B27,Database!$B$1:$IX$10144,AI$22,FALSE))=0,"",VLOOKUP($B27,Database!$B$1:$IX$10144,AI$22,FALSE)))</f>
        <v>3</v>
      </c>
      <c r="AJ27" s="22" t="str">
        <f>IF(OR($B27="",AJ$22=""),"",IF(LEN(VLOOKUP($B27,Database!$B$1:$IX$10144,AJ$22,FALSE))=0,"",VLOOKUP($B27,Database!$B$1:$IX$10144,AJ$22,FALSE)))</f>
        <v/>
      </c>
      <c r="AK27" s="22">
        <f>IF(OR($B27="",AK$22=""),"",IF(LEN(VLOOKUP($B27,Database!$B$1:$IX$10144,AK$22,FALSE))=0,"",VLOOKUP($B27,Database!$B$1:$IX$10144,AK$22,FALSE)))</f>
        <v>45.4</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c r="AP27" s="22" t="str">
        <f>IF(OR($B27="",AP$22=""),"",IF(LEN(VLOOKUP($B27,Database!$B$1:$IX$10144,AP$22,FALSE))=0,"",VLOOKUP($B27,Database!$B$1:$IX$10144,AP$22,FALSE)))</f>
        <v>ns</v>
      </c>
      <c r="AQ27" s="22" t="str">
        <f>IF(OR($B27="",AQ$22=""),"",IF(LEN(VLOOKUP($B27,Database!$B$1:$IX$10144,AQ$22,FALSE))=0,"",VLOOKUP($B27,Database!$B$1:$IX$10144,AQ$22,FALSE)))</f>
        <v>Taylor WD, Macfall JR, Payne ME, McQuoid DR, Steffens DC, Provenzale JM, Krishnan KR.</v>
      </c>
      <c r="AR27" s="13"/>
      <c r="AX27" s="13"/>
      <c r="AY27" s="13"/>
      <c r="AZ27" s="13"/>
      <c r="BA27" s="13"/>
      <c r="BC27" s="23"/>
      <c r="BF27" s="136"/>
      <c r="BG27" s="136"/>
      <c r="BH27" s="136"/>
      <c r="BI27" s="136"/>
    </row>
    <row r="28" spans="1:65">
      <c r="B28">
        <v>19108659</v>
      </c>
      <c r="C28" s="1" t="str">
        <f>IF($B28="","",HYPERLINK(IF(LEN(VLOOKUP($B28,Database!$B$1:$IX$10144,2,FALSE))=0,"",VLOOKUP($B28,Database!$B$1:$IX$10144,2,FALSE))))</f>
        <v/>
      </c>
      <c r="D28" s="1" t="str">
        <f t="shared" si="0"/>
        <v>http://www.ncbi.nlm.nih.gov/pubmed/19108659</v>
      </c>
      <c r="E28" s="22" t="str">
        <f>IF($B28="","",IF(LEN(VLOOKUP($B28,Database!$B$1:$IX$10144,4,FALSE))=0,"",VLOOKUP($B28,Database!$B$1:$IX$10144,4,FALSE)))</f>
        <v>Chen HH</v>
      </c>
      <c r="F28" s="22">
        <f>IF($B28="","",IF(LEN(VLOOKUP($B28,Database!$B$1:$IX$10144,5,FALSE))=0,"",VLOOKUP($B28,Database!$B$1:$IX$10144,5,FALSE)))</f>
        <v>2008</v>
      </c>
      <c r="G28" s="1" t="str">
        <f>IF($B28="","",HYPERLINK(IF(LEN(VLOOKUP($B28,Database!$B$1:$IX$10144,6,FALSE))=0,"",VLOOKUP($B28,Database!$B$1:$IX$10144,6,FALSE))))</f>
        <v>http://dx.doi.org/10.1089/cap.2008.053</v>
      </c>
      <c r="H28" s="22">
        <f>IF($B28="","",IF(LEN(VLOOKUP($B28,Database!$B$1:$IX$10144,7,FALSE))=0,"",VLOOKUP($B28,Database!$B$1:$IX$10144,7,FALSE)))</f>
        <v>27</v>
      </c>
      <c r="I28" s="22">
        <f>IF($B28="","",IF(LEN(VLOOKUP($B28,Database!$B$1:$IX$10144,8,FALSE))=0,"",VLOOKUP($B28,Database!$B$1:$IX$10144,8,FALSE)))</f>
        <v>26</v>
      </c>
      <c r="J28" t="s">
        <v>531</v>
      </c>
      <c r="L28">
        <v>7.9</v>
      </c>
      <c r="M28">
        <v>2.2000000000000002</v>
      </c>
      <c r="N28">
        <v>7.6</v>
      </c>
      <c r="O28">
        <v>1.7</v>
      </c>
      <c r="P28">
        <v>8.6</v>
      </c>
      <c r="Q28">
        <v>2.1</v>
      </c>
      <c r="R28">
        <v>8</v>
      </c>
      <c r="S28">
        <v>1.7</v>
      </c>
      <c r="T28">
        <v>16.5</v>
      </c>
      <c r="U28">
        <v>4.2</v>
      </c>
      <c r="V28">
        <v>15.6</v>
      </c>
      <c r="W28">
        <v>3.3</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14.4</v>
      </c>
      <c r="AC28" s="22">
        <f>IF(OR($B28="",AC$22=""),"",IF(LEN(VLOOKUP($B28,Database!$B$1:$IX$10144,AC$22,FALSE))=0,"",VLOOKUP($B28,Database!$B$1:$IX$10144,AC$22,FALSE)))</f>
        <v>2.2000000000000002</v>
      </c>
      <c r="AD28" s="22">
        <f>IF(OR($B28="",AD$22=""),"",IF(LEN(VLOOKUP($B28,Database!$B$1:$IX$10144,AD$22,FALSE))=0,"",VLOOKUP($B28,Database!$B$1:$IX$10144,AD$22,FALSE)))</f>
        <v>14.4</v>
      </c>
      <c r="AE28" s="22">
        <f>IF(OR($B28="",AE$22=""),"",IF(LEN(VLOOKUP($B28,Database!$B$1:$IX$10144,AE$22,FALSE))=0,"",VLOOKUP($B28,Database!$B$1:$IX$10144,AE$22,FALSE)))</f>
        <v>2.4</v>
      </c>
      <c r="AF28" s="22">
        <f>IF(OR($B28="",AF$22=""),"",IF(LEN(VLOOKUP($B28,Database!$B$1:$IX$10144,AF$22,FALSE))=0,"",VLOOKUP($B28,Database!$B$1:$IX$10144,AF$22,FALSE)))</f>
        <v>17</v>
      </c>
      <c r="AG28" s="22">
        <f>IF(OR($B28="",AG$22=""),"",IF(LEN(VLOOKUP($B28,Database!$B$1:$IX$10144,AG$22,FALSE))=0,"",VLOOKUP($B28,Database!$B$1:$IX$10144,AG$22,FALSE)))</f>
        <v>14</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11.75</v>
      </c>
      <c r="AL28" s="22">
        <f>IF(OR($B28="",AL$22=""),"",IF(LEN(VLOOKUP($B28,Database!$B$1:$IX$10144,AL$22,FALSE))=0,"",VLOOKUP($B28,Database!$B$1:$IX$10144,AL$22,FALSE)))</f>
        <v>20.100000000000001</v>
      </c>
      <c r="AM28" s="22">
        <f>IF(OR($B28="",AM$22=""),"",IF(LEN(VLOOKUP($B28,Database!$B$1:$IX$10144,AM$22,FALSE))=0,"",VLOOKUP($B28,Database!$B$1:$IX$10144,AM$22,FALSE)))</f>
        <v>0</v>
      </c>
      <c r="AN28" s="22">
        <f>IF(OR($B28="",AN$22=""),"",IF(LEN(VLOOKUP($B28,Database!$B$1:$IX$10144,AN$22,FALSE))=0,"",VLOOKUP($B28,Database!$B$1:$IX$10144,AN$22,FALSE)))</f>
        <v>0</v>
      </c>
      <c r="AO28" s="22"/>
      <c r="AP28" s="22">
        <f>IF(OR($B28="",AP$22=""),"",IF(LEN(VLOOKUP($B28,Database!$B$1:$IX$10144,AP$22,FALSE))=0,"",VLOOKUP($B28,Database!$B$1:$IX$10144,AP$22,FALSE)))</f>
        <v>100</v>
      </c>
      <c r="AQ28" s="22" t="str">
        <f>IF(OR($B28="",AQ$22=""),"",IF(LEN(VLOOKUP($B28,Database!$B$1:$IX$10144,AQ$22,FALSE))=0,"",VLOOKUP($B28,Database!$B$1:$IX$10144,AQ$22,FALSE)))</f>
        <v>Chen HH, Rosenberg DR, MacMaster FP, Easter PC, Caetano SC, Nicoletti M, Hatch JP, Nery FG, Soares JC.</v>
      </c>
      <c r="AR28" s="13"/>
      <c r="AX28" s="13"/>
      <c r="AY28" s="13"/>
      <c r="AZ28" s="13"/>
      <c r="BA28" s="13"/>
      <c r="BC28" s="23"/>
      <c r="BF28" s="136"/>
      <c r="BG28" s="136"/>
      <c r="BH28" s="136"/>
      <c r="BI28" s="136"/>
    </row>
    <row r="29" spans="1:65">
      <c r="C29" s="1" t="str">
        <f>IF($B29="","",HYPERLINK(IF(LEN(VLOOKUP($B29,Database!$B$1:$IX$10144,2,FALSE))=0,"",VLOOKUP($B29,Database!$B$1:$IX$10144,2,FALSE))))</f>
        <v/>
      </c>
      <c r="D29" s="1" t="str">
        <f t="shared" si="0"/>
        <v/>
      </c>
      <c r="E29" s="22" t="str">
        <f>IF($B29="","",IF(LEN(VLOOKUP($B29,Database!$B$1:$IX$10144,4,FALSE))=0,"",VLOOKUP($B29,Database!$B$1:$IX$10144,4,FALSE)))</f>
        <v/>
      </c>
      <c r="F29" s="22" t="str">
        <f>IF($B29="","",IF(LEN(VLOOKUP($B29,Database!$B$1:$IX$10144,5,FALSE))=0,"",VLOOKUP($B29,Database!$B$1:$IX$10144,5,FALSE)))</f>
        <v/>
      </c>
      <c r="G29" s="1" t="str">
        <f>IF($B29="","",HYPERLINK(IF(LEN(VLOOKUP($B29,Database!$B$1:$IX$10144,6,FALSE))=0,"",VLOOKUP($B29,Database!$B$1:$IX$10144,6,FALSE))))</f>
        <v/>
      </c>
      <c r="H29" s="22" t="str">
        <f>IF($B29="","",IF(LEN(VLOOKUP($B29,Database!$B$1:$IX$10144,7,FALSE))=0,"",VLOOKUP($B29,Database!$B$1:$IX$10144,7,FALSE)))</f>
        <v/>
      </c>
      <c r="I29" s="22" t="str">
        <f>IF($B29="","",IF(LEN(VLOOKUP($B29,Database!$B$1:$IX$10144,8,FALSE))=0,"",VLOOKUP($B29,Database!$B$1:$IX$10144,8,FALSE)))</f>
        <v/>
      </c>
      <c r="Y29" s="22" t="str">
        <f>IF(OR($B29="",Y$22=""),"",IF(LEN(VLOOKUP($B29,Database!$B$1:$IX$10144,Y$22,FALSE))=0,"",VLOOKUP($B29,Database!$B$1:$IX$10144,Y$22,FALSE)))</f>
        <v/>
      </c>
      <c r="Z29" s="22" t="str">
        <f>IF(OR($B29="",Z$22=""),"",IF(LEN(VLOOKUP($B29,Database!$B$1:$IX$10144,Z$22,FALSE))=0,"",VLOOKUP($B29,Database!$B$1:$IX$10144,Z$22,FALSE)))</f>
        <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2" t="str">
        <f>IF(OR($B29="",AF$22=""),"",IF(LEN(VLOOKUP($B29,Database!$B$1:$IX$10144,AF$22,FALSE))=0,"",VLOOKUP($B29,Database!$B$1:$IX$10144,AF$22,FALSE)))</f>
        <v/>
      </c>
      <c r="AG29" s="22" t="str">
        <f>IF(OR($B29="",AG$22=""),"",IF(LEN(VLOOKUP($B29,Database!$B$1:$IX$10144,AG$22,FALSE))=0,"",VLOOKUP($B29,Database!$B$1:$IX$10144,AG$22,FALSE)))</f>
        <v/>
      </c>
      <c r="AH29" s="22" t="str">
        <f>IF(OR($B29="",AH$22=""),"",IF(LEN(VLOOKUP($B29,Database!$B$1:$IX$10144,AH$22,FALSE))=0,"",VLOOKUP($B29,Database!$B$1:$IX$10144,AH$22,FALSE)))</f>
        <v/>
      </c>
      <c r="AI29" s="22" t="str">
        <f>IF(OR($B29="",AI$22=""),"",IF(LEN(VLOOKUP($B29,Database!$B$1:$IX$10144,AI$22,FALSE))=0,"",VLOOKUP($B29,Database!$B$1:$IX$10144,AI$22,FALSE)))</f>
        <v/>
      </c>
      <c r="AJ29" s="22" t="str">
        <f>IF(OR($B29="",AJ$22=""),"",IF(LEN(VLOOKUP($B29,Database!$B$1:$IX$10144,AJ$22,FALSE))=0,"",VLOOKUP($B29,Database!$B$1:$IX$10144,AJ$22,FALSE)))</f>
        <v/>
      </c>
      <c r="AK29" s="22" t="str">
        <f>IF(OR($B29="",AK$22=""),"",IF(LEN(VLOOKUP($B29,Database!$B$1:$IX$10144,AK$22,FALSE))=0,"",VLOOKUP($B29,Database!$B$1:$IX$10144,AK$22,FALSE)))</f>
        <v/>
      </c>
      <c r="AL29" s="22" t="str">
        <f>IF(OR($B29="",AL$22=""),"",IF(LEN(VLOOKUP($B29,Database!$B$1:$IX$10144,AL$22,FALSE))=0,"",VLOOKUP($B29,Database!$B$1:$IX$10144,AL$22,FALSE)))</f>
        <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
      </c>
    </row>
    <row r="30" spans="1:65">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10" t="s">
        <v>1195</v>
      </c>
      <c r="B33">
        <v>11082470</v>
      </c>
      <c r="C33" s="1" t="str">
        <f>IF($B33="","",HYPERLINK(IF(LEN(VLOOKUP($B33,Database!$B$1:$IX$10144,2,FALSE))=0,"",VLOOKUP($B33,Database!$B$1:$IX$10144,2,FALSE))))</f>
        <v/>
      </c>
      <c r="D33" s="1" t="str">
        <f t="shared" ref="D33:D41" si="1">IF($B33="","",HYPERLINK(CONCATENATE("http://www.ncbi.nlm.nih.gov/pubmed/",B33)))</f>
        <v>http://www.ncbi.nlm.nih.gov/pubmed/11082470</v>
      </c>
      <c r="E33" s="22" t="str">
        <f>IF($B33="","",IF(LEN(VLOOKUP($B33,Database!$B$1:$IX$10144,4,FALSE))=0,"",VLOOKUP($B33,Database!$B$1:$IX$10144,4,FALSE)))</f>
        <v>Lai T</v>
      </c>
      <c r="F33" s="22">
        <f>IF($B33="","",IF(LEN(VLOOKUP($B33,Database!$B$1:$IX$10144,5,FALSE))=0,"",VLOOKUP($B33,Database!$B$1:$IX$10144,5,FALSE)))</f>
        <v>2000</v>
      </c>
      <c r="G33" s="1" t="str">
        <f>IF($B33="","",HYPERLINK(IF(LEN(VLOOKUP($B33,Database!$B$1:$IX$10144,6,FALSE))=0,"",VLOOKUP($B33,Database!$B$1:$IX$10144,6,FALSE))))</f>
        <v>http://dx.doi.org/10.1016/S0006-3223(00)01042-8</v>
      </c>
      <c r="H33" s="22">
        <f>IF($B33="","",IF(LEN(VLOOKUP($B33,Database!$B$1:$IX$10144,7,FALSE))=0,"",VLOOKUP($B33,Database!$B$1:$IX$10144,7,FALSE)))</f>
        <v>20</v>
      </c>
      <c r="I33" s="22">
        <f>IF($B33="","",IF(LEN(VLOOKUP($B33,Database!$B$1:$IX$10144,8,FALSE))=0,"",VLOOKUP($B33,Database!$B$1:$IX$10144,8,FALSE)))</f>
        <v>20</v>
      </c>
      <c r="J33" s="13" t="s">
        <v>729</v>
      </c>
      <c r="L33">
        <v>5.99</v>
      </c>
      <c r="M33">
        <v>1.1499999999999999</v>
      </c>
      <c r="N33">
        <v>6.84</v>
      </c>
      <c r="O33">
        <v>1.54</v>
      </c>
      <c r="P33">
        <v>6.15</v>
      </c>
      <c r="Q33">
        <v>1.1299999999999999</v>
      </c>
      <c r="R33">
        <v>7.26</v>
      </c>
      <c r="S33">
        <v>1.23</v>
      </c>
      <c r="T33">
        <v>12.14</v>
      </c>
      <c r="U33">
        <v>2.13</v>
      </c>
      <c r="V33">
        <v>14.11</v>
      </c>
      <c r="W33">
        <v>2.5099999999999998</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66.650000000000006</v>
      </c>
      <c r="AC33" s="22">
        <f>IF(OR($B33="",AC$22=""),"",IF(LEN(VLOOKUP($B33,Database!$B$1:$IX$10144,AC$22,FALSE))=0,"",VLOOKUP($B33,Database!$B$1:$IX$10144,AC$22,FALSE)))</f>
        <v>5.65</v>
      </c>
      <c r="AD33" s="22">
        <f>IF(OR($B33="",AD$22=""),"",IF(LEN(VLOOKUP($B33,Database!$B$1:$IX$10144,AD$22,FALSE))=0,"",VLOOKUP($B33,Database!$B$1:$IX$10144,AD$22,FALSE)))</f>
        <v>71.790000000000006</v>
      </c>
      <c r="AE33" s="22">
        <f>IF(OR($B33="",AE$22=""),"",IF(LEN(VLOOKUP($B33,Database!$B$1:$IX$10144,AE$22,FALSE))=0,"",VLOOKUP($B33,Database!$B$1:$IX$10144,AE$22,FALSE)))</f>
        <v>4.4400000000000004</v>
      </c>
      <c r="AF33" s="22">
        <f>IF(OR($B33="",AF$22=""),"",IF(LEN(VLOOKUP($B33,Database!$B$1:$IX$10144,AF$22,FALSE))=0,"",VLOOKUP($B33,Database!$B$1:$IX$10144,AF$22,FALSE)))</f>
        <v>11</v>
      </c>
      <c r="AG33" s="22">
        <f>IF(OR($B33="",AG$22=""),"",IF(LEN(VLOOKUP($B33,Database!$B$1:$IX$10144,AG$22,FALSE))=0,"",VLOOKUP($B33,Database!$B$1:$IX$10144,AG$22,FALSE)))</f>
        <v>14</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f>IF(OR($B33="",AK$22=""),"",IF(LEN(VLOOKUP($B33,Database!$B$1:$IX$10144,AK$22,FALSE))=0,"",VLOOKUP($B33,Database!$B$1:$IX$10144,AK$22,FALSE)))</f>
        <v>44.75</v>
      </c>
      <c r="AL33" s="22" t="str">
        <f>IF(OR($B33="",AL$22=""),"",IF(LEN(VLOOKUP($B33,Database!$B$1:$IX$10144,AL$22,FALSE))=0,"",VLOOKUP($B33,Database!$B$1:$IX$10144,AL$22,FALSE)))</f>
        <v>ns</v>
      </c>
      <c r="AM33" s="22">
        <f>IF(OR($B33="",AM$22=""),"",IF(LEN(VLOOKUP($B33,Database!$B$1:$IX$10144,AM$22,FALSE))=0,"",VLOOKUP($B33,Database!$B$1:$IX$10144,AM$22,FALSE)))</f>
        <v>75</v>
      </c>
      <c r="AN33" s="22" t="str">
        <f>IF(OR($B33="",AN$22=""),"",IF(LEN(VLOOKUP($B33,Database!$B$1:$IX$10144,AN$22,FALSE))=0,"",VLOOKUP($B33,Database!$B$1:$IX$10144,AN$22,FALSE)))</f>
        <v>ns</v>
      </c>
      <c r="AO33" s="22"/>
      <c r="AP33" s="22" t="str">
        <f>IF(OR($B33="",AP$22=""),"",IF(LEN(VLOOKUP($B33,Database!$B$1:$IX$10144,AP$22,FALSE))=0,"",VLOOKUP($B33,Database!$B$1:$IX$10144,AP$22,FALSE)))</f>
        <v>ns</v>
      </c>
      <c r="AQ33" s="22" t="str">
        <f>IF(OR($B33="",AQ$22=""),"",IF(LEN(VLOOKUP($B33,Database!$B$1:$IX$10144,AQ$22,FALSE))=0,"",VLOOKUP($B33,Database!$B$1:$IX$10144,AQ$22,FALSE)))</f>
        <v>Lai T, Payne ME, Byrum CE, Steffens DC, Krishnan KR.</v>
      </c>
    </row>
    <row r="34" spans="1:51">
      <c r="A34" s="10" t="s">
        <v>1195</v>
      </c>
      <c r="B34">
        <v>12946881</v>
      </c>
      <c r="C34" s="1" t="str">
        <f>IF($B34="","",HYPERLINK(IF(LEN(VLOOKUP($B34,Database!$B$1:$IX$10144,2,FALSE))=0,"",VLOOKUP($B34,Database!$B$1:$IX$10144,2,FALSE))))</f>
        <v/>
      </c>
      <c r="D34" s="1" t="str">
        <f t="shared" si="1"/>
        <v>http://www.ncbi.nlm.nih.gov/pubmed/12946881</v>
      </c>
      <c r="E34" s="22" t="str">
        <f>IF($B34="","",IF(LEN(VLOOKUP($B34,Database!$B$1:$IX$10144,4,FALSE))=0,"",VLOOKUP($B34,Database!$B$1:$IX$10144,4,FALSE)))</f>
        <v>Lee SH</v>
      </c>
      <c r="F34" s="22">
        <f>IF($B34="","",IF(LEN(VLOOKUP($B34,Database!$B$1:$IX$10144,5,FALSE))=0,"",VLOOKUP($B34,Database!$B$1:$IX$10144,5,FALSE)))</f>
        <v>2003</v>
      </c>
      <c r="G34" s="1" t="str">
        <f>IF($B34="","",HYPERLINK(IF(LEN(VLOOKUP($B34,Database!$B$1:$IX$10144,6,FALSE))=0,"",VLOOKUP($B34,Database!$B$1:$IX$10144,6,FALSE))))</f>
        <v>http://dx.doi.org/10.1016/S0006-3223(03)00063-5</v>
      </c>
      <c r="H34" s="22">
        <f>IF($B34="","",IF(LEN(VLOOKUP($B34,Database!$B$1:$IX$10144,7,FALSE))=0,"",VLOOKUP($B34,Database!$B$1:$IX$10144,7,FALSE)))</f>
        <v>41</v>
      </c>
      <c r="I34" s="22">
        <f>IF($B34="","",IF(LEN(VLOOKUP($B34,Database!$B$1:$IX$10144,8,FALSE))=0,"",VLOOKUP($B34,Database!$B$1:$IX$10144,8,FALSE)))</f>
        <v>41</v>
      </c>
      <c r="J34" t="s">
        <v>730</v>
      </c>
      <c r="L34" s="65">
        <v>4.4999999999999997E-3</v>
      </c>
      <c r="M34" s="65">
        <v>8.9999999999999998E-4</v>
      </c>
      <c r="N34" s="65">
        <v>5.1000000000000004E-3</v>
      </c>
      <c r="O34" s="65">
        <v>1.1000000000000001E-3</v>
      </c>
      <c r="P34" s="65">
        <v>4.7000000000000002E-3</v>
      </c>
      <c r="Q34" s="65">
        <v>8.9999999999999998E-4</v>
      </c>
      <c r="R34" s="65">
        <v>5.4999999999999997E-3</v>
      </c>
      <c r="S34" s="65">
        <v>1.1000000000000001E-3</v>
      </c>
      <c r="T34" s="65">
        <v>9.1999999999999998E-3</v>
      </c>
      <c r="U34" s="65">
        <v>1.6000000000000001E-3</v>
      </c>
      <c r="V34" s="65">
        <v>1.06E-2</v>
      </c>
      <c r="W34" s="65">
        <v>2E-3</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68.73</v>
      </c>
      <c r="AC34" s="22">
        <f>IF(OR($B34="",AC$22=""),"",IF(LEN(VLOOKUP($B34,Database!$B$1:$IX$10144,AC$22,FALSE))=0,"",VLOOKUP($B34,Database!$B$1:$IX$10144,AC$22,FALSE)))</f>
        <v>6.98</v>
      </c>
      <c r="AD34" s="22">
        <f>IF(OR($B34="",AD$22=""),"",IF(LEN(VLOOKUP($B34,Database!$B$1:$IX$10144,AD$22,FALSE))=0,"",VLOOKUP($B34,Database!$B$1:$IX$10144,AD$22,FALSE)))</f>
        <v>71.150000000000006</v>
      </c>
      <c r="AE34" s="22">
        <f>IF(OR($B34="",AE$22=""),"",IF(LEN(VLOOKUP($B34,Database!$B$1:$IX$10144,AE$22,FALSE))=0,"",VLOOKUP($B34,Database!$B$1:$IX$10144,AE$22,FALSE)))</f>
        <v>6.25</v>
      </c>
      <c r="AF34" s="22">
        <f>IF(OR($B34="",AF$22=""),"",IF(LEN(VLOOKUP($B34,Database!$B$1:$IX$10144,AF$22,FALSE))=0,"",VLOOKUP($B34,Database!$B$1:$IX$10144,AF$22,FALSE)))</f>
        <v>21</v>
      </c>
      <c r="AG34" s="22">
        <f>IF(OR($B34="",AG$22=""),"",IF(LEN(VLOOKUP($B34,Database!$B$1:$IX$10144,AG$22,FALSE))=0,"",VLOOKUP($B34,Database!$B$1:$IX$10144,AG$22,FALSE)))</f>
        <v>34</v>
      </c>
      <c r="AH34" s="22">
        <f>IF(OR($B34="",AH$22=""),"",IF(LEN(VLOOKUP($B34,Database!$B$1:$IX$10144,AH$22,FALSE))=0,"",VLOOKUP($B34,Database!$B$1:$IX$10144,AH$22,FALSE)))</f>
        <v>1.5</v>
      </c>
      <c r="AI34" s="22" t="str">
        <f>IF(OR($B34="",AI$22=""),"",IF(LEN(VLOOKUP($B34,Database!$B$1:$IX$10144,AI$22,FALSE))=0,"",VLOOKUP($B34,Database!$B$1:$IX$10144,AI$22,FALSE)))</f>
        <v>ns</v>
      </c>
      <c r="AJ34" s="22" t="str">
        <f>IF(OR($B34="",AJ$22=""),"",IF(LEN(VLOOKUP($B34,Database!$B$1:$IX$10144,AJ$22,FALSE))=0,"",VLOOKUP($B34,Database!$B$1:$IX$10144,AJ$22,FALSE)))</f>
        <v/>
      </c>
      <c r="AK34" s="22">
        <f>IF(OR($B34="",AK$22=""),"",IF(LEN(VLOOKUP($B34,Database!$B$1:$IX$10144,AK$22,FALSE))=0,"",VLOOKUP($B34,Database!$B$1:$IX$10144,AK$22,FALSE)))</f>
        <v>47.92</v>
      </c>
      <c r="AL34" s="22">
        <f>IF(OR($B34="",AL$22=""),"",IF(LEN(VLOOKUP($B34,Database!$B$1:$IX$10144,AL$22,FALSE))=0,"",VLOOKUP($B34,Database!$B$1:$IX$10144,AL$22,FALSE)))</f>
        <v>20.2</v>
      </c>
      <c r="AM34" s="22">
        <f>IF(OR($B34="",AM$22=""),"",IF(LEN(VLOOKUP($B34,Database!$B$1:$IX$10144,AM$22,FALSE))=0,"",VLOOKUP($B34,Database!$B$1:$IX$10144,AM$22,FALSE)))</f>
        <v>56.09756097560976</v>
      </c>
      <c r="AN34" s="22" t="str">
        <f>IF(OR($B34="",AN$22=""),"",IF(LEN(VLOOKUP($B34,Database!$B$1:$IX$10144,AN$22,FALSE))=0,"",VLOOKUP($B34,Database!$B$1:$IX$10144,AN$22,FALSE)))</f>
        <v>ns</v>
      </c>
      <c r="AO34" s="22"/>
      <c r="AP34" s="22" t="str">
        <f>IF(OR($B34="",AP$22=""),"",IF(LEN(VLOOKUP($B34,Database!$B$1:$IX$10144,AP$22,FALSE))=0,"",VLOOKUP($B34,Database!$B$1:$IX$10144,AP$22,FALSE)))</f>
        <v>ns</v>
      </c>
      <c r="AQ34" s="22" t="str">
        <f>IF(OR($B34="",AQ$22=""),"",IF(LEN(VLOOKUP($B34,Database!$B$1:$IX$10144,AQ$22,FALSE))=0,"",VLOOKUP($B34,Database!$B$1:$IX$10144,AQ$22,FALSE)))</f>
        <v>Lee SH, Payne ME, Steffens DC, McQuoid DR, Lai TJ, Provenzale JM, Krishnan KR.</v>
      </c>
    </row>
    <row r="35" spans="1:51">
      <c r="A35" s="10" t="s">
        <v>260</v>
      </c>
      <c r="B35">
        <v>14702257</v>
      </c>
      <c r="C35" s="1" t="str">
        <f>IF($B35="","",HYPERLINK(IF(LEN(VLOOKUP($B35,Database!$B$1:$IX$10144,2,FALSE))=0,"",VLOOKUP($B35,Database!$B$1:$IX$10144,2,FALSE))))</f>
        <v/>
      </c>
      <c r="D35" s="1" t="str">
        <f t="shared" si="1"/>
        <v>http://www.ncbi.nlm.nih.gov/pubmed/14702257</v>
      </c>
      <c r="E35" s="22" t="str">
        <f>IF($B35="","",IF(LEN(VLOOKUP($B35,Database!$B$1:$IX$10144,4,FALSE))=0,"",VLOOKUP($B35,Database!$B$1:$IX$10144,4,FALSE)))</f>
        <v>Ballmaier M (A)</v>
      </c>
      <c r="F35" s="22">
        <f>IF($B35="","",IF(LEN(VLOOKUP($B35,Database!$B$1:$IX$10144,5,FALSE))=0,"",VLOOKUP($B35,Database!$B$1:$IX$10144,5,FALSE)))</f>
        <v>2004</v>
      </c>
      <c r="G35" s="1" t="str">
        <f>IF($B35="","",HYPERLINK(IF(LEN(VLOOKUP($B35,Database!$B$1:$IX$10144,6,FALSE))=0,"",VLOOKUP($B35,Database!$B$1:$IX$10144,6,FALSE))))</f>
        <v>http://ajp.psychiatryonline.org/cgi/reprint/161/1/99</v>
      </c>
      <c r="H35" s="22">
        <f>IF($B35="","",IF(LEN(VLOOKUP($B35,Database!$B$1:$IX$10144,7,FALSE))=0,"",VLOOKUP($B35,Database!$B$1:$IX$10144,7,FALSE)))</f>
        <v>24</v>
      </c>
      <c r="I35" s="22">
        <f>IF($B35="","",IF(LEN(VLOOKUP($B35,Database!$B$1:$IX$10144,8,FALSE))=0,"",VLOOKUP($B35,Database!$B$1:$IX$10144,8,FALSE)))</f>
        <v>19</v>
      </c>
      <c r="J35" t="s">
        <v>1724</v>
      </c>
      <c r="L35">
        <v>10956</v>
      </c>
      <c r="M35">
        <v>1344</v>
      </c>
      <c r="N35">
        <v>12797</v>
      </c>
      <c r="O35">
        <v>1072</v>
      </c>
      <c r="P35">
        <v>10778</v>
      </c>
      <c r="Q35">
        <v>1559</v>
      </c>
      <c r="R35">
        <v>12234</v>
      </c>
      <c r="S35">
        <v>1142</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c r="AC35" s="22"/>
      <c r="AD35" s="22">
        <f>IF(OR($B35="",AD$22=""),"",IF(LEN(VLOOKUP($B35,Database!$B$1:$IX$10144,AD$22,FALSE))=0,"",VLOOKUP($B35,Database!$B$1:$IX$10144,AD$22,FALSE)))</f>
        <v>66.239999999999995</v>
      </c>
      <c r="AE35" s="22">
        <f>IF(OR($B35="",AE$22=""),"",IF(LEN(VLOOKUP($B35,Database!$B$1:$IX$10144,AE$22,FALSE))=0,"",VLOOKUP($B35,Database!$B$1:$IX$10144,AE$22,FALSE)))</f>
        <v>7.25</v>
      </c>
      <c r="AF35" s="22">
        <f>IF(OR($B35="",AF$22=""),"",IF(LEN(VLOOKUP($B35,Database!$B$1:$IX$10144,AF$22,FALSE))=0,"",VLOOKUP($B35,Database!$B$1:$IX$10144,AF$22,FALSE)))</f>
        <v>18</v>
      </c>
      <c r="AG35" s="22">
        <f>IF(OR($B35="",AG$22=""),"",IF(LEN(VLOOKUP($B35,Database!$B$1:$IX$10144,AG$22,FALSE))=0,"",VLOOKUP($B35,Database!$B$1:$IX$10144,AG$22,FALSE)))</f>
        <v>15</v>
      </c>
      <c r="AH35" s="22">
        <f>IF(OR($B35="",AH$22=""),"",IF(LEN(VLOOKUP($B35,Database!$B$1:$IX$10144,AH$22,FALSE))=0,"",VLOOKUP($B35,Database!$B$1:$IX$10144,AH$22,FALSE)))</f>
        <v>1.5</v>
      </c>
      <c r="AI35" s="22">
        <f>IF(OR($B35="",AI$22=""),"",IF(LEN(VLOOKUP($B35,Database!$B$1:$IX$10144,AI$22,FALSE))=0,"",VLOOKUP($B35,Database!$B$1:$IX$10144,AI$22,FALSE)))</f>
        <v>1.4</v>
      </c>
      <c r="AJ35" s="22" t="str">
        <f>IF(OR($B35="",AJ$22=""),"",IF(LEN(VLOOKUP($B35,Database!$B$1:$IX$10144,AJ$22,FALSE))=0,"",VLOOKUP($B35,Database!$B$1:$IX$10144,AJ$22,FALSE)))</f>
        <v/>
      </c>
      <c r="AK35" s="22">
        <f>IF(OR($B35="",AK$22=""),"",IF(LEN(VLOOKUP($B35,Database!$B$1:$IX$10144,AK$22,FALSE))=0,"",VLOOKUP($B35,Database!$B$1:$IX$10144,AK$22,FALSE)))</f>
        <v>35</v>
      </c>
      <c r="AL35" s="22" t="str">
        <f>IF(OR($B35="",AL$22=""),"",IF(LEN(VLOOKUP($B35,Database!$B$1:$IX$10144,AL$22,FALSE))=0,"",VLOOKUP($B35,Database!$B$1:$IX$10144,AL$22,FALSE)))</f>
        <v>ns</v>
      </c>
      <c r="AM35" s="22">
        <f>IF(OR($B35="",AM$22=""),"",IF(LEN(VLOOKUP($B35,Database!$B$1:$IX$10144,AM$22,FALSE))=0,"",VLOOKUP($B35,Database!$B$1:$IX$10144,AM$22,FALSE)))</f>
        <v>0</v>
      </c>
      <c r="AN35" s="22">
        <f>IF(OR($B35="",AN$22=""),"",IF(LEN(VLOOKUP($B35,Database!$B$1:$IX$10144,AN$22,FALSE))=0,"",VLOOKUP($B35,Database!$B$1:$IX$10144,AN$22,FALSE)))</f>
        <v>0</v>
      </c>
      <c r="AO35" s="22"/>
      <c r="AP35" s="22">
        <f>IF(OR($B35="",AP$22=""),"",IF(LEN(VLOOKUP($B35,Database!$B$1:$IX$10144,AP$22,FALSE))=0,"",VLOOKUP($B35,Database!$B$1:$IX$10144,AP$22,FALSE)))</f>
        <v>100</v>
      </c>
      <c r="AQ35" s="22" t="str">
        <f>IF(OR($B35="",AQ$22=""),"",IF(LEN(VLOOKUP($B35,Database!$B$1:$IX$10144,AQ$22,FALSE))=0,"",VLOOKUP($B35,Database!$B$1:$IX$10144,AQ$22,FALSE)))</f>
        <v>Ballmaier M, Toga AW, Blanton RE, Sowell ER, Lavretsky H, Peterson J, Pham D, Kumar A.</v>
      </c>
    </row>
    <row r="36" spans="1:51">
      <c r="A36" s="10" t="s">
        <v>260</v>
      </c>
      <c r="B36">
        <v>15545334</v>
      </c>
      <c r="C36" s="1" t="str">
        <f>IF($B36="","",HYPERLINK(IF(LEN(VLOOKUP($B36,Database!$B$1:$IX$10144,2,FALSE))=0,"",VLOOKUP($B36,Database!$B$1:$IX$10144,2,FALSE))))</f>
        <v/>
      </c>
      <c r="D36" s="1" t="str">
        <f t="shared" si="1"/>
        <v>http://www.ncbi.nlm.nih.gov/pubmed/15545334</v>
      </c>
      <c r="E36" s="22" t="str">
        <f>IF($B36="","",IF(LEN(VLOOKUP($B36,Database!$B$1:$IX$10144,4,FALSE))=0,"",VLOOKUP($B36,Database!$B$1:$IX$10144,4,FALSE)))</f>
        <v>Lavretsky H</v>
      </c>
      <c r="F36" s="22">
        <f>IF($B36="","",IF(LEN(VLOOKUP($B36,Database!$B$1:$IX$10144,5,FALSE))=0,"",VLOOKUP($B36,Database!$B$1:$IX$10144,5,FALSE)))</f>
        <v>2004</v>
      </c>
      <c r="G36" s="1" t="str">
        <f>IF($B36="","",HYPERLINK(IF(LEN(VLOOKUP($B36,Database!$B$1:$IX$10144,6,FALSE))=0,"",VLOOKUP($B36,Database!$B$1:$IX$10144,6,FALSE))))</f>
        <v>http://journals.lww.com/ajgponline/Abstract/2004/11000/Sex_Differences_in_Brain_Structure_in_Geriatric.12.aspx</v>
      </c>
      <c r="H36" s="83">
        <v>32</v>
      </c>
      <c r="I36" s="83">
        <v>20</v>
      </c>
      <c r="J36" t="s">
        <v>242</v>
      </c>
      <c r="K36" t="s">
        <v>2109</v>
      </c>
      <c r="L36">
        <v>8.7299999999999999E-3</v>
      </c>
      <c r="M36">
        <v>1.8E-3</v>
      </c>
      <c r="N36">
        <v>9.8600000000000007E-3</v>
      </c>
      <c r="O36">
        <v>1E-3</v>
      </c>
      <c r="P36">
        <v>8.6800000000000002E-3</v>
      </c>
      <c r="Q36">
        <v>1.6999999999999999E-3</v>
      </c>
      <c r="R36">
        <v>9.6600000000000002E-3</v>
      </c>
      <c r="S36">
        <v>9.7000000000000005E-4</v>
      </c>
      <c r="T36">
        <v>1.72E-2</v>
      </c>
      <c r="U36">
        <v>3.0999999999999999E-3</v>
      </c>
      <c r="V36">
        <v>1.9400000000000001E-2</v>
      </c>
      <c r="W36">
        <v>2E-3</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70.5</v>
      </c>
      <c r="AC36" s="22">
        <f>IF(OR($B36="",AC$22=""),"",IF(LEN(VLOOKUP($B36,Database!$B$1:$IX$10144,AC$22,FALSE))=0,"",VLOOKUP($B36,Database!$B$1:$IX$10144,AC$22,FALSE)))</f>
        <v>7.6</v>
      </c>
      <c r="AD36" s="22">
        <f>IF(OR($B36="",AD$22=""),"",IF(LEN(VLOOKUP($B36,Database!$B$1:$IX$10144,AD$22,FALSE))=0,"",VLOOKUP($B36,Database!$B$1:$IX$10144,AD$22,FALSE)))</f>
        <v>72.2</v>
      </c>
      <c r="AE36" s="22">
        <f>IF(OR($B36="",AE$22=""),"",IF(LEN(VLOOKUP($B36,Database!$B$1:$IX$10144,AE$22,FALSE))=0,"",VLOOKUP($B36,Database!$B$1:$IX$10144,AE$22,FALSE)))</f>
        <v>7.3</v>
      </c>
      <c r="AF36" s="22">
        <f>IF(OR($B36="",AF$22=""),"",IF(LEN(VLOOKUP($B36,Database!$B$1:$IX$10144,AF$22,FALSE))=0,"",VLOOKUP($B36,Database!$B$1:$IX$10144,AF$22,FALSE)))</f>
        <v>32</v>
      </c>
      <c r="AG36" s="22">
        <f>IF(OR($B36="",AG$22=""),"",IF(LEN(VLOOKUP($B36,Database!$B$1:$IX$10144,AG$22,FALSE))=0,"",VLOOKUP($B36,Database!$B$1:$IX$10144,AG$22,FALSE)))</f>
        <v>20</v>
      </c>
      <c r="AH36" s="22">
        <f>IF(OR($B36="",AH$22=""),"",IF(LEN(VLOOKUP($B36,Database!$B$1:$IX$10144,AH$22,FALSE))=0,"",VLOOKUP($B36,Database!$B$1:$IX$10144,AH$22,FALSE)))</f>
        <v>1.5</v>
      </c>
      <c r="AI36" s="22">
        <f>IF(OR($B36="",AI$22=""),"",IF(LEN(VLOOKUP($B36,Database!$B$1:$IX$10144,AI$22,FALSE))=0,"",VLOOKUP($B36,Database!$B$1:$IX$10144,AI$22,FALSE)))</f>
        <v>1.4</v>
      </c>
      <c r="AJ36" s="22" t="str">
        <f>IF(OR($B36="",AJ$22=""),"",IF(LEN(VLOOKUP($B36,Database!$B$1:$IX$10144,AJ$22,FALSE))=0,"",VLOOKUP($B36,Database!$B$1:$IX$10144,AJ$22,FALSE)))</f>
        <v/>
      </c>
      <c r="AK36" s="22">
        <f>IF(OR($B36="",AK$22=""),"",IF(LEN(VLOOKUP($B36,Database!$B$1:$IX$10144,AK$22,FALSE))=0,"",VLOOKUP($B36,Database!$B$1:$IX$10144,AK$22,FALSE)))</f>
        <v>48.5</v>
      </c>
      <c r="AL36" s="22" t="str">
        <f>IF(OR($B36="",AL$22=""),"",IF(LEN(VLOOKUP($B36,Database!$B$1:$IX$10144,AL$22,FALSE))=0,"",VLOOKUP($B36,Database!$B$1:$IX$10144,AL$22,FALSE)))</f>
        <v>ns</v>
      </c>
      <c r="AM36" s="22">
        <f>IF(OR($B36="",AM$22=""),"",IF(LEN(VLOOKUP($B36,Database!$B$1:$IX$10144,AM$22,FALSE))=0,"",VLOOKUP($B36,Database!$B$1:$IX$10144,AM$22,FALSE)))</f>
        <v>0</v>
      </c>
      <c r="AN36" s="22">
        <f>IF(OR($B36="",AN$22=""),"",IF(LEN(VLOOKUP($B36,Database!$B$1:$IX$10144,AN$22,FALSE))=0,"",VLOOKUP($B36,Database!$B$1:$IX$10144,AN$22,FALSE)))</f>
        <v>0</v>
      </c>
      <c r="AO36" s="22"/>
      <c r="AP36" s="22">
        <f>IF(OR($B36="",AP$22=""),"",IF(LEN(VLOOKUP($B36,Database!$B$1:$IX$10144,AP$22,FALSE))=0,"",VLOOKUP($B36,Database!$B$1:$IX$10144,AP$22,FALSE)))</f>
        <v>100</v>
      </c>
      <c r="AQ36" s="22" t="str">
        <f>IF(OR($B36="",AQ$22=""),"",IF(LEN(VLOOKUP($B36,Database!$B$1:$IX$10144,AQ$22,FALSE))=0,"",VLOOKUP($B36,Database!$B$1:$IX$10144,AQ$22,FALSE)))</f>
        <v>Lavretsky H, Kurbanyan K, Ballmaier M, Mintz J, Toga A, Kumar A.</v>
      </c>
    </row>
    <row r="37" spans="1:51">
      <c r="A37" s="10" t="s">
        <v>260</v>
      </c>
      <c r="B37">
        <v>15545334</v>
      </c>
      <c r="C37" s="1" t="str">
        <f>IF($B37="","",HYPERLINK(IF(LEN(VLOOKUP($B37,Database!$B$1:$IX$10144,2,FALSE))=0,"",VLOOKUP($B37,Database!$B$1:$IX$10144,2,FALSE))))</f>
        <v/>
      </c>
      <c r="D37" s="1" t="str">
        <f t="shared" si="1"/>
        <v>http://www.ncbi.nlm.nih.gov/pubmed/15545334</v>
      </c>
      <c r="E37" s="22" t="str">
        <f>IF($B37="","",IF(LEN(VLOOKUP($B37,Database!$B$1:$IX$10144,4,FALSE))=0,"",VLOOKUP($B37,Database!$B$1:$IX$10144,4,FALSE)))</f>
        <v>Lavretsky H</v>
      </c>
      <c r="F37" s="22">
        <f>IF($B37="","",IF(LEN(VLOOKUP($B37,Database!$B$1:$IX$10144,5,FALSE))=0,"",VLOOKUP($B37,Database!$B$1:$IX$10144,5,FALSE)))</f>
        <v>2004</v>
      </c>
      <c r="G37" s="1" t="str">
        <f>IF($B37="","",HYPERLINK(IF(LEN(VLOOKUP($B37,Database!$B$1:$IX$10144,6,FALSE))=0,"",VLOOKUP($B37,Database!$B$1:$IX$10144,6,FALSE))))</f>
        <v>http://journals.lww.com/ajgponline/Abstract/2004/11000/Sex_Differences_in_Brain_Structure_in_Geriatric.12.aspx</v>
      </c>
      <c r="H37" s="83">
        <v>9</v>
      </c>
      <c r="I37" s="83">
        <v>21</v>
      </c>
      <c r="J37" t="s">
        <v>242</v>
      </c>
      <c r="K37" t="s">
        <v>2110</v>
      </c>
      <c r="L37">
        <v>8.1799999999999998E-3</v>
      </c>
      <c r="M37">
        <v>7.2999999999999996E-4</v>
      </c>
      <c r="N37">
        <v>9.4000000000000004E-3</v>
      </c>
      <c r="O37">
        <v>8.4999999999999995E-4</v>
      </c>
      <c r="P37">
        <v>8.4700000000000001E-3</v>
      </c>
      <c r="Q37">
        <v>9.2000000000000003E-4</v>
      </c>
      <c r="R37">
        <v>9.4299999999999991E-3</v>
      </c>
      <c r="S37">
        <v>1E-3</v>
      </c>
      <c r="T37">
        <v>1.67E-2</v>
      </c>
      <c r="U37">
        <v>1.4E-3</v>
      </c>
      <c r="V37">
        <v>1.8800000000000001E-2</v>
      </c>
      <c r="W37">
        <v>1.6999999999999999E-3</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70.5</v>
      </c>
      <c r="AC37" s="22">
        <f>IF(OR($B37="",AC$22=""),"",IF(LEN(VLOOKUP($B37,Database!$B$1:$IX$10144,AC$22,FALSE))=0,"",VLOOKUP($B37,Database!$B$1:$IX$10144,AC$22,FALSE)))</f>
        <v>7.6</v>
      </c>
      <c r="AD37" s="22">
        <f>IF(OR($B37="",AD$22=""),"",IF(LEN(VLOOKUP($B37,Database!$B$1:$IX$10144,AD$22,FALSE))=0,"",VLOOKUP($B37,Database!$B$1:$IX$10144,AD$22,FALSE)))</f>
        <v>72.2</v>
      </c>
      <c r="AE37" s="22">
        <f>IF(OR($B37="",AE$22=""),"",IF(LEN(VLOOKUP($B37,Database!$B$1:$IX$10144,AE$22,FALSE))=0,"",VLOOKUP($B37,Database!$B$1:$IX$10144,AE$22,FALSE)))</f>
        <v>7.3</v>
      </c>
      <c r="AF37" s="22">
        <f>IF(OR($B37="",AF$22=""),"",IF(LEN(VLOOKUP($B37,Database!$B$1:$IX$10144,AF$22,FALSE))=0,"",VLOOKUP($B37,Database!$B$1:$IX$10144,AF$22,FALSE)))</f>
        <v>32</v>
      </c>
      <c r="AG37" s="22">
        <f>IF(OR($B37="",AG$22=""),"",IF(LEN(VLOOKUP($B37,Database!$B$1:$IX$10144,AG$22,FALSE))=0,"",VLOOKUP($B37,Database!$B$1:$IX$10144,AG$22,FALSE)))</f>
        <v>20</v>
      </c>
      <c r="AH37" s="22">
        <f>IF(OR($B37="",AH$22=""),"",IF(LEN(VLOOKUP($B37,Database!$B$1:$IX$10144,AH$22,FALSE))=0,"",VLOOKUP($B37,Database!$B$1:$IX$10144,AH$22,FALSE)))</f>
        <v>1.5</v>
      </c>
      <c r="AI37" s="22">
        <f>IF(OR($B37="",AI$22=""),"",IF(LEN(VLOOKUP($B37,Database!$B$1:$IX$10144,AI$22,FALSE))=0,"",VLOOKUP($B37,Database!$B$1:$IX$10144,AI$22,FALSE)))</f>
        <v>1.4</v>
      </c>
      <c r="AJ37" s="22" t="str">
        <f>IF(OR($B37="",AJ$22=""),"",IF(LEN(VLOOKUP($B37,Database!$B$1:$IX$10144,AJ$22,FALSE))=0,"",VLOOKUP($B37,Database!$B$1:$IX$10144,AJ$22,FALSE)))</f>
        <v/>
      </c>
      <c r="AK37" s="22">
        <f>IF(OR($B37="",AK$22=""),"",IF(LEN(VLOOKUP($B37,Database!$B$1:$IX$10144,AK$22,FALSE))=0,"",VLOOKUP($B37,Database!$B$1:$IX$10144,AK$22,FALSE)))</f>
        <v>48.5</v>
      </c>
      <c r="AL37" s="22" t="str">
        <f>IF(OR($B37="",AL$22=""),"",IF(LEN(VLOOKUP($B37,Database!$B$1:$IX$10144,AL$22,FALSE))=0,"",VLOOKUP($B37,Database!$B$1:$IX$10144,AL$22,FALSE)))</f>
        <v>ns</v>
      </c>
      <c r="AM37" s="22">
        <f>IF(OR($B37="",AM$22=""),"",IF(LEN(VLOOKUP($B37,Database!$B$1:$IX$10144,AM$22,FALSE))=0,"",VLOOKUP($B37,Database!$B$1:$IX$10144,AM$22,FALSE)))</f>
        <v>0</v>
      </c>
      <c r="AN37" s="22">
        <f>IF(OR($B37="",AN$22=""),"",IF(LEN(VLOOKUP($B37,Database!$B$1:$IX$10144,AN$22,FALSE))=0,"",VLOOKUP($B37,Database!$B$1:$IX$10144,AN$22,FALSE)))</f>
        <v>0</v>
      </c>
      <c r="AO37" s="22"/>
      <c r="AP37" s="22">
        <f>IF(OR($B37="",AP$22=""),"",IF(LEN(VLOOKUP($B37,Database!$B$1:$IX$10144,AP$22,FALSE))=0,"",VLOOKUP($B37,Database!$B$1:$IX$10144,AP$22,FALSE)))</f>
        <v>100</v>
      </c>
      <c r="AQ37" s="22" t="str">
        <f>IF(OR($B37="",AQ$22=""),"",IF(LEN(VLOOKUP($B37,Database!$B$1:$IX$10144,AQ$22,FALSE))=0,"",VLOOKUP($B37,Database!$B$1:$IX$10144,AQ$22,FALSE)))</f>
        <v>Lavretsky H, Kurbanyan K, Ballmaier M, Mintz J, Toga A, Kumar A.</v>
      </c>
    </row>
    <row r="38" spans="1:51">
      <c r="A38" s="7" t="s">
        <v>41</v>
      </c>
      <c r="B38">
        <v>16086609</v>
      </c>
      <c r="C38" s="1" t="str">
        <f>IF($B38="","",HYPERLINK(IF(LEN(VLOOKUP($B38,Database!$B$1:$IX$10144,2,FALSE))=0,"",VLOOKUP($B38,Database!$B$1:$IX$10144,2,FALSE))))</f>
        <v/>
      </c>
      <c r="D38" s="1" t="str">
        <f t="shared" si="1"/>
        <v>http://www.ncbi.nlm.nih.gov/pubmed/16086609</v>
      </c>
      <c r="E38" s="22" t="str">
        <f>IF($B38="","",IF(LEN(VLOOKUP($B38,Database!$B$1:$IX$10144,4,FALSE))=0,"",VLOOKUP($B38,Database!$B$1:$IX$10144,4,FALSE)))</f>
        <v>Lavretsky H</v>
      </c>
      <c r="F38" s="22">
        <f>IF($B38="","",IF(LEN(VLOOKUP($B38,Database!$B$1:$IX$10144,5,FALSE))=0,"",VLOOKUP($B38,Database!$B$1:$IX$10144,5,FALSE)))</f>
        <v>2005</v>
      </c>
      <c r="G38" s="1" t="str">
        <f>IF($B38="","",HYPERLINK(IF(LEN(VLOOKUP($B38,Database!$B$1:$IX$10144,6,FALSE))=0,"",VLOOKUP($B38,Database!$B$1:$IX$10144,6,FALSE))))</f>
        <v>http://www.psychiatrist.com/privatepdf/2005/v66n08/v66n0801.pdf</v>
      </c>
      <c r="H38" s="83">
        <v>11</v>
      </c>
      <c r="I38" s="83">
        <v>20.5</v>
      </c>
      <c r="J38" t="s">
        <v>242</v>
      </c>
      <c r="K38" t="s">
        <v>587</v>
      </c>
      <c r="L38">
        <v>8.9999999999999993E-3</v>
      </c>
      <c r="M38">
        <v>1.1000000000000001E-3</v>
      </c>
      <c r="N38">
        <v>9.5999999999999992E-3</v>
      </c>
      <c r="O38">
        <v>8.9999999999999998E-4</v>
      </c>
      <c r="P38">
        <v>9.1000000000000004E-3</v>
      </c>
      <c r="Q38">
        <v>1E-3</v>
      </c>
      <c r="R38">
        <v>9.4999999999999998E-3</v>
      </c>
      <c r="S38">
        <v>1E-4</v>
      </c>
      <c r="T38">
        <v>1.7999999999999999E-2</v>
      </c>
      <c r="U38">
        <v>2E-3</v>
      </c>
      <c r="V38">
        <v>1.9E-2</v>
      </c>
      <c r="W38">
        <v>2E-3</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70.5</v>
      </c>
      <c r="AC38" s="22">
        <f>IF(OR($B38="",AC$22=""),"",IF(LEN(VLOOKUP($B38,Database!$B$1:$IX$10144,AC$22,FALSE))=0,"",VLOOKUP($B38,Database!$B$1:$IX$10144,AC$22,FALSE)))</f>
        <v>7.6</v>
      </c>
      <c r="AD38" s="22">
        <f>IF(OR($B38="",AD$22=""),"",IF(LEN(VLOOKUP($B38,Database!$B$1:$IX$10144,AD$22,FALSE))=0,"",VLOOKUP($B38,Database!$B$1:$IX$10144,AD$22,FALSE)))</f>
        <v>72.2</v>
      </c>
      <c r="AE38" s="22">
        <f>IF(OR($B38="",AE$22=""),"",IF(LEN(VLOOKUP($B38,Database!$B$1:$IX$10144,AE$22,FALSE))=0,"",VLOOKUP($B38,Database!$B$1:$IX$10144,AE$22,FALSE)))</f>
        <v>7.3</v>
      </c>
      <c r="AF38" s="22">
        <f>IF(OR($B38="",AF$22=""),"",IF(LEN(VLOOKUP($B38,Database!$B$1:$IX$10144,AF$22,FALSE))=0,"",VLOOKUP($B38,Database!$B$1:$IX$10144,AF$22,FALSE)))</f>
        <v>32</v>
      </c>
      <c r="AG38" s="22">
        <f>IF(OR($B38="",AG$22=""),"",IF(LEN(VLOOKUP($B38,Database!$B$1:$IX$10144,AG$22,FALSE))=0,"",VLOOKUP($B38,Database!$B$1:$IX$10144,AG$22,FALSE)))</f>
        <v>20</v>
      </c>
      <c r="AH38" s="22">
        <f>IF(OR($B38="",AH$22=""),"",IF(LEN(VLOOKUP($B38,Database!$B$1:$IX$10144,AH$22,FALSE))=0,"",VLOOKUP($B38,Database!$B$1:$IX$10144,AH$22,FALSE)))</f>
        <v>1.5</v>
      </c>
      <c r="AI38" s="22">
        <f>IF(OR($B38="",AI$22=""),"",IF(LEN(VLOOKUP($B38,Database!$B$1:$IX$10144,AI$22,FALSE))=0,"",VLOOKUP($B38,Database!$B$1:$IX$10144,AI$22,FALSE)))</f>
        <v>1.4</v>
      </c>
      <c r="AJ38" s="22" t="str">
        <f>IF(OR($B38="",AJ$22=""),"",IF(LEN(VLOOKUP($B38,Database!$B$1:$IX$10144,AJ$22,FALSE))=0,"",VLOOKUP($B38,Database!$B$1:$IX$10144,AJ$22,FALSE)))</f>
        <v/>
      </c>
      <c r="AK38" s="22" t="str">
        <f>IF(OR($B38="",AK$22=""),"",IF(LEN(VLOOKUP($B38,Database!$B$1:$IX$10144,AK$22,FALSE))=0,"",VLOOKUP($B38,Database!$B$1:$IX$10144,AK$22,FALSE)))</f>
        <v>age of onset split depending on antidepressant exposure</v>
      </c>
      <c r="AL38" s="22">
        <f>IF(OR($B38="",AL$22=""),"",IF(LEN(VLOOKUP($B38,Database!$B$1:$IX$10144,AL$22,FALSE))=0,"",VLOOKUP($B38,Database!$B$1:$IX$10144,AL$22,FALSE)))</f>
        <v>17.7</v>
      </c>
      <c r="AM38" s="22">
        <f>IF(OR($B38="",AM$22=""),"",IF(LEN(VLOOKUP($B38,Database!$B$1:$IX$10144,AM$22,FALSE))=0,"",VLOOKUP($B38,Database!$B$1:$IX$10144,AM$22,FALSE)))</f>
        <v>0</v>
      </c>
      <c r="AN38" s="22">
        <f>IF(OR($B38="",AN$22=""),"",IF(LEN(VLOOKUP($B38,Database!$B$1:$IX$10144,AN$22,FALSE))=0,"",VLOOKUP($B38,Database!$B$1:$IX$10144,AN$22,FALSE)))</f>
        <v>0</v>
      </c>
      <c r="AO38" s="22">
        <f>IF(OR($B38="",AO$22=""),"",IF(LEN(VLOOKUP($B38,Database!$B$1:$IX$10144,AO$22,FALSE))=0,"",VLOOKUP($B38,Database!$B$1:$IX$10144,AO$22,FALSE)))</f>
        <v>0</v>
      </c>
      <c r="AP38" s="22">
        <f>IF(OR($B38="",AP$22=""),"",IF(LEN(VLOOKUP($B38,Database!$B$1:$IX$10144,AP$22,FALSE))=0,"",VLOOKUP($B38,Database!$B$1:$IX$10144,AP$22,FALSE)))</f>
        <v>100</v>
      </c>
      <c r="AQ38" s="22" t="str">
        <f>IF(OR($B38="",AQ$22=""),"",IF(LEN(VLOOKUP($B38,Database!$B$1:$IX$10144,AQ$22,FALSE))=0,"",VLOOKUP($B38,Database!$B$1:$IX$10144,AQ$22,FALSE)))</f>
        <v>Lavretsky H, Roybal DJ, Ballmaier M, Toga AW, Kumar A.</v>
      </c>
    </row>
    <row r="39" spans="1:51">
      <c r="A39" s="7" t="s">
        <v>41</v>
      </c>
      <c r="B39">
        <v>16086609</v>
      </c>
      <c r="C39" s="1" t="str">
        <f>IF($B39="","",HYPERLINK(IF(LEN(VLOOKUP($B39,Database!$B$1:$IX$10144,2,FALSE))=0,"",VLOOKUP($B39,Database!$B$1:$IX$10144,2,FALSE))))</f>
        <v/>
      </c>
      <c r="D39" s="1" t="str">
        <f t="shared" si="1"/>
        <v>http://www.ncbi.nlm.nih.gov/pubmed/16086609</v>
      </c>
      <c r="E39" s="22" t="str">
        <f>IF($B39="","",IF(LEN(VLOOKUP($B39,Database!$B$1:$IX$10144,4,FALSE))=0,"",VLOOKUP($B39,Database!$B$1:$IX$10144,4,FALSE)))</f>
        <v>Lavretsky H</v>
      </c>
      <c r="F39" s="22">
        <f>IF($B39="","",IF(LEN(VLOOKUP($B39,Database!$B$1:$IX$10144,5,FALSE))=0,"",VLOOKUP($B39,Database!$B$1:$IX$10144,5,FALSE)))</f>
        <v>2005</v>
      </c>
      <c r="G39" s="1" t="str">
        <f>IF($B39="","",HYPERLINK(IF(LEN(VLOOKUP($B39,Database!$B$1:$IX$10144,6,FALSE))=0,"",VLOOKUP($B39,Database!$B$1:$IX$10144,6,FALSE))))</f>
        <v>http://www.psychiatrist.com/privatepdf/2005/v66n08/v66n0801.pdf</v>
      </c>
      <c r="H39" s="83">
        <v>30</v>
      </c>
      <c r="I39" s="83">
        <v>20.5</v>
      </c>
      <c r="J39" t="s">
        <v>242</v>
      </c>
      <c r="K39" t="s">
        <v>588</v>
      </c>
      <c r="L39">
        <v>8.5000000000000006E-3</v>
      </c>
      <c r="M39">
        <v>1.6999999999999999E-3</v>
      </c>
      <c r="N39">
        <v>9.5999999999999992E-3</v>
      </c>
      <c r="O39">
        <v>8.9999999999999998E-4</v>
      </c>
      <c r="P39">
        <v>8.5000000000000006E-3</v>
      </c>
      <c r="Q39">
        <v>1.6999999999999999E-3</v>
      </c>
      <c r="R39">
        <v>9.4999999999999998E-3</v>
      </c>
      <c r="S39">
        <v>1E-4</v>
      </c>
      <c r="T39">
        <v>1.7000000000000001E-2</v>
      </c>
      <c r="U39">
        <v>3.0000000000000001E-3</v>
      </c>
      <c r="V39">
        <v>1.9E-2</v>
      </c>
      <c r="W39">
        <v>2E-3</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70.5</v>
      </c>
      <c r="AC39" s="22">
        <f>IF(OR($B39="",AC$22=""),"",IF(LEN(VLOOKUP($B39,Database!$B$1:$IX$10144,AC$22,FALSE))=0,"",VLOOKUP($B39,Database!$B$1:$IX$10144,AC$22,FALSE)))</f>
        <v>7.6</v>
      </c>
      <c r="AD39" s="22">
        <f>IF(OR($B39="",AD$22=""),"",IF(LEN(VLOOKUP($B39,Database!$B$1:$IX$10144,AD$22,FALSE))=0,"",VLOOKUP($B39,Database!$B$1:$IX$10144,AD$22,FALSE)))</f>
        <v>72.2</v>
      </c>
      <c r="AE39" s="22">
        <f>IF(OR($B39="",AE$22=""),"",IF(LEN(VLOOKUP($B39,Database!$B$1:$IX$10144,AE$22,FALSE))=0,"",VLOOKUP($B39,Database!$B$1:$IX$10144,AE$22,FALSE)))</f>
        <v>7.3</v>
      </c>
      <c r="AF39" s="22">
        <f>IF(OR($B39="",AF$22=""),"",IF(LEN(VLOOKUP($B39,Database!$B$1:$IX$10144,AF$22,FALSE))=0,"",VLOOKUP($B39,Database!$B$1:$IX$10144,AF$22,FALSE)))</f>
        <v>32</v>
      </c>
      <c r="AG39" s="22">
        <f>IF(OR($B39="",AG$22=""),"",IF(LEN(VLOOKUP($B39,Database!$B$1:$IX$10144,AG$22,FALSE))=0,"",VLOOKUP($B39,Database!$B$1:$IX$10144,AG$22,FALSE)))</f>
        <v>20</v>
      </c>
      <c r="AH39" s="22">
        <f>IF(OR($B39="",AH$22=""),"",IF(LEN(VLOOKUP($B39,Database!$B$1:$IX$10144,AH$22,FALSE))=0,"",VLOOKUP($B39,Database!$B$1:$IX$10144,AH$22,FALSE)))</f>
        <v>1.5</v>
      </c>
      <c r="AI39" s="22">
        <f>IF(OR($B39="",AI$22=""),"",IF(LEN(VLOOKUP($B39,Database!$B$1:$IX$10144,AI$22,FALSE))=0,"",VLOOKUP($B39,Database!$B$1:$IX$10144,AI$22,FALSE)))</f>
        <v>1.4</v>
      </c>
      <c r="AJ39" s="22" t="str">
        <f>IF(OR($B39="",AJ$22=""),"",IF(LEN(VLOOKUP($B39,Database!$B$1:$IX$10144,AJ$22,FALSE))=0,"",VLOOKUP($B39,Database!$B$1:$IX$10144,AJ$22,FALSE)))</f>
        <v/>
      </c>
      <c r="AK39" s="22" t="str">
        <f>IF(OR($B39="",AK$22=""),"",IF(LEN(VLOOKUP($B39,Database!$B$1:$IX$10144,AK$22,FALSE))=0,"",VLOOKUP($B39,Database!$B$1:$IX$10144,AK$22,FALSE)))</f>
        <v>age of onset split depending on antidepressant exposure</v>
      </c>
      <c r="AL39" s="22">
        <f>IF(OR($B39="",AL$22=""),"",IF(LEN(VLOOKUP($B39,Database!$B$1:$IX$10144,AL$22,FALSE))=0,"",VLOOKUP($B39,Database!$B$1:$IX$10144,AL$22,FALSE)))</f>
        <v>17.7</v>
      </c>
      <c r="AM39" s="22">
        <f>IF(OR($B39="",AM$22=""),"",IF(LEN(VLOOKUP($B39,Database!$B$1:$IX$10144,AM$22,FALSE))=0,"",VLOOKUP($B39,Database!$B$1:$IX$10144,AM$22,FALSE)))</f>
        <v>0</v>
      </c>
      <c r="AN39" s="22">
        <f>IF(OR($B39="",AN$22=""),"",IF(LEN(VLOOKUP($B39,Database!$B$1:$IX$10144,AN$22,FALSE))=0,"",VLOOKUP($B39,Database!$B$1:$IX$10144,AN$22,FALSE)))</f>
        <v>0</v>
      </c>
      <c r="AO39" s="22">
        <f>IF(OR($B39="",AO$22=""),"",IF(LEN(VLOOKUP($B39,Database!$B$1:$IX$10144,AO$22,FALSE))=0,"",VLOOKUP($B39,Database!$B$1:$IX$10144,AO$22,FALSE)))</f>
        <v>0</v>
      </c>
      <c r="AP39" s="22">
        <f>IF(OR($B39="",AP$22=""),"",IF(LEN(VLOOKUP($B39,Database!$B$1:$IX$10144,AP$22,FALSE))=0,"",VLOOKUP($B39,Database!$B$1:$IX$10144,AP$22,FALSE)))</f>
        <v>100</v>
      </c>
      <c r="AQ39" s="22" t="str">
        <f>IF(OR($B39="",AQ$22=""),"",IF(LEN(VLOOKUP($B39,Database!$B$1:$IX$10144,AQ$22,FALSE))=0,"",VLOOKUP($B39,Database!$B$1:$IX$10144,AQ$22,FALSE)))</f>
        <v>Lavretsky H, Roybal DJ, Ballmaier M, Toga AW, Kumar A.</v>
      </c>
    </row>
    <row r="40" spans="1:51">
      <c r="A40" s="10" t="s">
        <v>2266</v>
      </c>
      <c r="B40">
        <v>17389903</v>
      </c>
      <c r="C40" s="1" t="str">
        <f>IF($B40="","",HYPERLINK(IF(LEN(VLOOKUP($B40,Database!$B$1:$IX$10144,2,FALSE))=0,"",VLOOKUP($B40,Database!$B$1:$IX$10144,2,FALSE))))</f>
        <v/>
      </c>
      <c r="D40" s="1" t="str">
        <f t="shared" si="1"/>
        <v>http://www.ncbi.nlm.nih.gov/pubmed/17389903</v>
      </c>
      <c r="E40" s="22" t="str">
        <f>IF($B40="","",IF(LEN(VLOOKUP($B40,Database!$B$1:$IX$10144,4,FALSE))=0,"",VLOOKUP($B40,Database!$B$1:$IX$10144,4,FALSE)))</f>
        <v>Monkul ES</v>
      </c>
      <c r="F40" s="22">
        <f>IF($B40="","",IF(LEN(VLOOKUP($B40,Database!$B$1:$IX$10144,5,FALSE))=0,"",VLOOKUP($B40,Database!$B$1:$IX$10144,5,FALSE)))</f>
        <v>2007</v>
      </c>
      <c r="G40" s="1" t="str">
        <f>IF($B40="","",HYPERLINK(IF(LEN(VLOOKUP($B40,Database!$B$1:$IX$10144,6,FALSE))=0,"",VLOOKUP($B40,Database!$B$1:$IX$10144,6,FALSE))))</f>
        <v>http://www.nature.com/mp/journal/v12/n4/pdf/4001919a.pdf</v>
      </c>
      <c r="H40" s="83">
        <v>7</v>
      </c>
      <c r="I40" s="83">
        <v>8.5</v>
      </c>
      <c r="J40" t="s">
        <v>590</v>
      </c>
      <c r="K40" t="s">
        <v>589</v>
      </c>
      <c r="L40">
        <v>5.32</v>
      </c>
      <c r="M40">
        <v>0.59</v>
      </c>
      <c r="N40">
        <v>7.17</v>
      </c>
      <c r="O40">
        <v>1.51</v>
      </c>
      <c r="P40">
        <v>6.06</v>
      </c>
      <c r="Q40">
        <v>1.06</v>
      </c>
      <c r="R40">
        <v>8.09</v>
      </c>
      <c r="S40">
        <v>1.46</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f>IF(OR($B40="",AD$22=""),"",IF(LEN(VLOOKUP($B40,Database!$B$1:$IX$10144,AD$22,FALSE))=0,"",VLOOKUP($B40,Database!$B$1:$IX$10144,AD$22,FALSE)))</f>
        <v>31.3</v>
      </c>
      <c r="AE40" s="22">
        <f>IF(OR($B40="",AE$22=""),"",IF(LEN(VLOOKUP($B40,Database!$B$1:$IX$10144,AE$22,FALSE))=0,"",VLOOKUP($B40,Database!$B$1:$IX$10144,AE$22,FALSE)))</f>
        <v>8.3000000000000007</v>
      </c>
      <c r="AF40" s="22">
        <f>IF(OR($B40="",AF$22=""),"",IF(LEN(VLOOKUP($B40,Database!$B$1:$IX$10144,AF$22,FALSE))=0,"",VLOOKUP($B40,Database!$B$1:$IX$10144,AF$22,FALSE)))</f>
        <v>17</v>
      </c>
      <c r="AG40" s="22">
        <f>IF(OR($B40="",AG$22=""),"",IF(LEN(VLOOKUP($B40,Database!$B$1:$IX$10144,AG$22,FALSE))=0,"",VLOOKUP($B40,Database!$B$1:$IX$10144,AG$22,FALSE)))</f>
        <v>17</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t="str">
        <f>IF(OR($B40="",AK$22=""),"",IF(LEN(VLOOKUP($B40,Database!$B$1:$IX$10144,AK$22,FALSE))=0,"",VLOOKUP($B40,Database!$B$1:$IX$10144,AK$22,FALSE)))</f>
        <v>split depending on group (suicidal=16, nonsuicidal=26.9)</v>
      </c>
      <c r="AL40" s="22" t="str">
        <f>IF(OR($B40="",AL$22=""),"",IF(LEN(VLOOKUP($B40,Database!$B$1:$IX$10144,AL$22,FALSE))=0,"",VLOOKUP($B40,Database!$B$1:$IX$10144,AL$22,FALSE)))</f>
        <v>split depending on group (suicidal =13.7, non-suicidal = 10.9)</v>
      </c>
      <c r="AM40" s="22">
        <f>IF(OR($B40="",AM$22=""),"",IF(LEN(VLOOKUP($B40,Database!$B$1:$IX$10144,AM$22,FALSE))=0,"",VLOOKUP($B40,Database!$B$1:$IX$10144,AM$22,FALSE)))</f>
        <v>0</v>
      </c>
      <c r="AN40" s="22">
        <f>IF(OR($B40="",AN$22=""),"",IF(LEN(VLOOKUP($B40,Database!$B$1:$IX$10144,AN$22,FALSE))=0,"",VLOOKUP($B40,Database!$B$1:$IX$10144,AN$22,FALSE)))</f>
        <v>0</v>
      </c>
      <c r="AO40" s="22"/>
      <c r="AP40" s="22">
        <f>IF(OR($B40="",AP$22=""),"",IF(LEN(VLOOKUP($B40,Database!$B$1:$IX$10144,AP$22,FALSE))=0,"",VLOOKUP($B40,Database!$B$1:$IX$10144,AP$22,FALSE)))</f>
        <v>100</v>
      </c>
      <c r="AQ40" s="22" t="str">
        <f>IF(OR($B40="",AQ$22=""),"",IF(LEN(VLOOKUP($B40,Database!$B$1:$IX$10144,AQ$22,FALSE))=0,"",VLOOKUP($B40,Database!$B$1:$IX$10144,AQ$22,FALSE)))</f>
        <v>Monkul ES, Hatch JP, Nicoletti MA, Spence S, Brambilla P, Lacerda AL, Sassi RB, Mallinger AG, Keshavan MS, Soares JC.</v>
      </c>
    </row>
    <row r="41" spans="1:51">
      <c r="A41" s="10" t="s">
        <v>2266</v>
      </c>
      <c r="B41">
        <v>17389903</v>
      </c>
      <c r="C41" s="1" t="str">
        <f>IF($B41="","",HYPERLINK(IF(LEN(VLOOKUP($B41,Database!$B$1:$IX$10144,2,FALSE))=0,"",VLOOKUP($B41,Database!$B$1:$IX$10144,2,FALSE))))</f>
        <v/>
      </c>
      <c r="D41" s="1" t="str">
        <f t="shared" si="1"/>
        <v>http://www.ncbi.nlm.nih.gov/pubmed/17389903</v>
      </c>
      <c r="E41" s="22" t="str">
        <f>IF($B41="","",IF(LEN(VLOOKUP($B41,Database!$B$1:$IX$10144,4,FALSE))=0,"",VLOOKUP($B41,Database!$B$1:$IX$10144,4,FALSE)))</f>
        <v>Monkul ES</v>
      </c>
      <c r="F41" s="22">
        <f>IF($B41="","",IF(LEN(VLOOKUP($B41,Database!$B$1:$IX$10144,5,FALSE))=0,"",VLOOKUP($B41,Database!$B$1:$IX$10144,5,FALSE)))</f>
        <v>2007</v>
      </c>
      <c r="G41" s="1" t="str">
        <f>IF($B41="","",HYPERLINK(IF(LEN(VLOOKUP($B41,Database!$B$1:$IX$10144,6,FALSE))=0,"",VLOOKUP($B41,Database!$B$1:$IX$10144,6,FALSE))))</f>
        <v>http://www.nature.com/mp/journal/v12/n4/pdf/4001919a.pdf</v>
      </c>
      <c r="H41" s="83">
        <v>10</v>
      </c>
      <c r="I41" s="83">
        <v>8.5</v>
      </c>
      <c r="J41" t="s">
        <v>590</v>
      </c>
      <c r="K41" t="s">
        <v>1158</v>
      </c>
      <c r="L41">
        <v>6.1</v>
      </c>
      <c r="M41">
        <v>1.38</v>
      </c>
      <c r="N41">
        <v>7.17</v>
      </c>
      <c r="O41">
        <v>1.51</v>
      </c>
      <c r="P41">
        <v>6.84</v>
      </c>
      <c r="Q41">
        <v>1.31</v>
      </c>
      <c r="R41">
        <v>8.09</v>
      </c>
      <c r="S41">
        <v>1.46</v>
      </c>
      <c r="X41" s="151"/>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f>IF(OR($B41="",AD$22=""),"",IF(LEN(VLOOKUP($B41,Database!$B$1:$IX$10144,AD$22,FALSE))=0,"",VLOOKUP($B41,Database!$B$1:$IX$10144,AD$22,FALSE)))</f>
        <v>31.3</v>
      </c>
      <c r="AE41" s="22">
        <f>IF(OR($B41="",AE$22=""),"",IF(LEN(VLOOKUP($B41,Database!$B$1:$IX$10144,AE$22,FALSE))=0,"",VLOOKUP($B41,Database!$B$1:$IX$10144,AE$22,FALSE)))</f>
        <v>8.3000000000000007</v>
      </c>
      <c r="AF41" s="22">
        <f>IF(OR($B41="",AF$22=""),"",IF(LEN(VLOOKUP($B41,Database!$B$1:$IX$10144,AF$22,FALSE))=0,"",VLOOKUP($B41,Database!$B$1:$IX$10144,AF$22,FALSE)))</f>
        <v>17</v>
      </c>
      <c r="AG41" s="22">
        <f>IF(OR($B41="",AG$22=""),"",IF(LEN(VLOOKUP($B41,Database!$B$1:$IX$10144,AG$22,FALSE))=0,"",VLOOKUP($B41,Database!$B$1:$IX$10144,AG$22,FALSE)))</f>
        <v>17</v>
      </c>
      <c r="AH41" s="22">
        <f>IF(OR($B41="",AH$22=""),"",IF(LEN(VLOOKUP($B41,Database!$B$1:$IX$10144,AH$22,FALSE))=0,"",VLOOKUP($B41,Database!$B$1:$IX$10144,AH$22,FALSE)))</f>
        <v>1.5</v>
      </c>
      <c r="AI41" s="22">
        <f>IF(OR($B41="",AI$22=""),"",IF(LEN(VLOOKUP($B41,Database!$B$1:$IX$10144,AI$22,FALSE))=0,"",VLOOKUP($B41,Database!$B$1:$IX$10144,AI$22,FALSE)))</f>
        <v>1.5</v>
      </c>
      <c r="AJ41" s="22" t="str">
        <f>IF(OR($B41="",AJ$22=""),"",IF(LEN(VLOOKUP($B41,Database!$B$1:$IX$10144,AJ$22,FALSE))=0,"",VLOOKUP($B41,Database!$B$1:$IX$10144,AJ$22,FALSE)))</f>
        <v/>
      </c>
      <c r="AK41" s="22" t="str">
        <f>IF(OR($B41="",AK$22=""),"",IF(LEN(VLOOKUP($B41,Database!$B$1:$IX$10144,AK$22,FALSE))=0,"",VLOOKUP($B41,Database!$B$1:$IX$10144,AK$22,FALSE)))</f>
        <v>split depending on group (suicidal=16, nonsuicidal=26.9)</v>
      </c>
      <c r="AL41" s="22" t="str">
        <f>IF(OR($B41="",AL$22=""),"",IF(LEN(VLOOKUP($B41,Database!$B$1:$IX$10144,AL$22,FALSE))=0,"",VLOOKUP($B41,Database!$B$1:$IX$10144,AL$22,FALSE)))</f>
        <v>split depending on group (suicidal =13.7, non-suicidal = 10.9)</v>
      </c>
      <c r="AM41" s="22">
        <f>IF(OR($B41="",AM$22=""),"",IF(LEN(VLOOKUP($B41,Database!$B$1:$IX$10144,AM$22,FALSE))=0,"",VLOOKUP($B41,Database!$B$1:$IX$10144,AM$22,FALSE)))</f>
        <v>0</v>
      </c>
      <c r="AN41" s="22">
        <f>IF(OR($B41="",AN$22=""),"",IF(LEN(VLOOKUP($B41,Database!$B$1:$IX$10144,AN$22,FALSE))=0,"",VLOOKUP($B41,Database!$B$1:$IX$10144,AN$22,FALSE)))</f>
        <v>0</v>
      </c>
      <c r="AO41" s="22"/>
      <c r="AP41" s="22">
        <f>IF(OR($B41="",AP$22=""),"",IF(LEN(VLOOKUP($B41,Database!$B$1:$IX$10144,AP$22,FALSE))=0,"",VLOOKUP($B41,Database!$B$1:$IX$10144,AP$22,FALSE)))</f>
        <v>100</v>
      </c>
      <c r="AQ41" s="22" t="str">
        <f>IF(OR($B41="",AQ$22=""),"",IF(LEN(VLOOKUP($B41,Database!$B$1:$IX$10144,AQ$22,FALSE))=0,"",VLOOKUP($B41,Database!$B$1:$IX$10144,AQ$22,FALSE)))</f>
        <v>Monkul ES, Hatch JP, Nicoletti MA, Spence S, Brambilla P, Lacerda AL, Sassi RB, Mallinger AG, Keshavan MS, Soares JC.</v>
      </c>
    </row>
    <row r="42" spans="1:51">
      <c r="A42" s="10"/>
      <c r="C42" s="1"/>
      <c r="D42" s="1"/>
      <c r="E42" s="22"/>
      <c r="F42" s="22"/>
      <c r="G42" s="1"/>
      <c r="H42" s="83"/>
      <c r="I42" s="83"/>
      <c r="X42" s="151"/>
      <c r="Y42" s="22"/>
      <c r="Z42" s="22"/>
      <c r="AA42" s="22"/>
      <c r="AB42" s="22"/>
      <c r="AC42" s="22"/>
      <c r="AD42" s="22"/>
      <c r="AE42" s="22"/>
      <c r="AF42" s="22"/>
      <c r="AG42" s="22"/>
      <c r="AH42" s="22"/>
      <c r="AI42" s="22"/>
      <c r="AJ42" s="22"/>
      <c r="AK42" s="22"/>
      <c r="AL42" s="22"/>
      <c r="AM42" s="22"/>
      <c r="AN42" s="22"/>
      <c r="AO42" s="22"/>
      <c r="AP42" s="22"/>
      <c r="AQ42" s="22"/>
    </row>
    <row r="43" spans="1:51">
      <c r="I43" s="22" t="str">
        <f>IF($B43="","",IF(LEN(VLOOKUP($B43,Database!$B$1:$IX$10144,8,FALSE))=0,"",VLOOKUP($B43,Database!$B$1:$IX$10144,8,FALSE)))</f>
        <v/>
      </c>
      <c r="AF43" t="s">
        <v>602</v>
      </c>
      <c r="AJ43" t="s">
        <v>329</v>
      </c>
      <c r="AN43" t="s">
        <v>330</v>
      </c>
    </row>
    <row r="44" spans="1:51" ht="45" customHeight="1">
      <c r="E44" s="60" t="s">
        <v>617</v>
      </c>
      <c r="F44" s="60" t="s">
        <v>740</v>
      </c>
      <c r="G44" s="60" t="s">
        <v>244</v>
      </c>
      <c r="H44" s="60" t="s">
        <v>245</v>
      </c>
      <c r="I44" s="60" t="s">
        <v>246</v>
      </c>
      <c r="J44" s="60" t="s">
        <v>593</v>
      </c>
      <c r="K44" s="60" t="s">
        <v>1039</v>
      </c>
      <c r="L44" s="60" t="s">
        <v>594</v>
      </c>
      <c r="M44" s="60" t="s">
        <v>1299</v>
      </c>
      <c r="N44" s="61" t="s">
        <v>595</v>
      </c>
      <c r="O44" s="61" t="s">
        <v>596</v>
      </c>
      <c r="P44" s="61" t="s">
        <v>597</v>
      </c>
      <c r="Q44" s="61" t="s">
        <v>598</v>
      </c>
      <c r="R44" s="61" t="s">
        <v>599</v>
      </c>
      <c r="S44" s="61" t="s">
        <v>600</v>
      </c>
      <c r="T44" s="61" t="s">
        <v>601</v>
      </c>
      <c r="U44" s="61" t="s">
        <v>484</v>
      </c>
      <c r="V44" s="61" t="s">
        <v>485</v>
      </c>
      <c r="W44" s="61" t="s">
        <v>486</v>
      </c>
      <c r="AF44" s="61" t="s">
        <v>1517</v>
      </c>
      <c r="AG44" s="62" t="s">
        <v>834</v>
      </c>
      <c r="AH44" s="62" t="s">
        <v>835</v>
      </c>
      <c r="AJ44" s="61" t="s">
        <v>836</v>
      </c>
      <c r="AK44" s="61" t="s">
        <v>837</v>
      </c>
      <c r="AL44" s="61" t="s">
        <v>487</v>
      </c>
      <c r="AN44" t="s">
        <v>488</v>
      </c>
      <c r="AO44" t="s">
        <v>489</v>
      </c>
      <c r="AP44" t="s">
        <v>490</v>
      </c>
      <c r="AQ44" t="s">
        <v>491</v>
      </c>
      <c r="AR44" t="s">
        <v>492</v>
      </c>
      <c r="AS44" t="s">
        <v>493</v>
      </c>
      <c r="AT44" t="s">
        <v>494</v>
      </c>
      <c r="AU44" t="s">
        <v>495</v>
      </c>
      <c r="AV44" t="s">
        <v>496</v>
      </c>
      <c r="AW44" t="s">
        <v>497</v>
      </c>
      <c r="AX44" t="s">
        <v>498</v>
      </c>
      <c r="AY44" t="s">
        <v>499</v>
      </c>
    </row>
    <row r="45" spans="1:51">
      <c r="E45" t="str">
        <f t="shared" ref="E45:F49" si="2">E24</f>
        <v>Janssen J</v>
      </c>
      <c r="F45">
        <f t="shared" si="2"/>
        <v>2004</v>
      </c>
      <c r="G45">
        <v>5</v>
      </c>
      <c r="H45">
        <f t="shared" ref="H45:I49" si="3">H24</f>
        <v>28</v>
      </c>
      <c r="I45">
        <f t="shared" si="3"/>
        <v>41</v>
      </c>
      <c r="J45">
        <f t="shared" ref="J45:M46" si="4">IF($D$4="Total",T24,IF($D$4="Left",L24,IF($D$4="Right",P24,"error")))</f>
        <v>6.21</v>
      </c>
      <c r="K45">
        <f t="shared" si="4"/>
        <v>2.27</v>
      </c>
      <c r="L45">
        <f t="shared" si="4"/>
        <v>6.42</v>
      </c>
      <c r="M45">
        <f t="shared" si="4"/>
        <v>1.59</v>
      </c>
      <c r="N45">
        <f>IF($D$3=1,SQRT((((I45-1)*(M45)^2)+((H45-1)*(K45)^2))/(H45+I45-2)),M45)</f>
        <v>1.8936354516856186</v>
      </c>
      <c r="O45" s="59">
        <f>IF($D$6=1,LN(J45/L45),IF($D$5=1,(1-3/(4*(H45+I45)-9))*((J45-L45)/N45),(J45-L45)/N45))</f>
        <v>-0.10965175438248749</v>
      </c>
      <c r="P45" s="63">
        <f>IF($D$6=1,(K45^2)/(H45*J45^2)+(M45^2)/(I45*L45^2),(IF($D$5=1,((H45+I45)/(H45*I45))+(O45*O45)/(2*(H45+I45-3.94)),((H45+I45)/(H45*I45))+((O45^2)/(2*(H45+I45-2))))))</f>
        <v>6.0196932838667234E-2</v>
      </c>
      <c r="Q45" s="59">
        <f>$R$66*SQRT(P45)</f>
        <v>0.48088723958223728</v>
      </c>
      <c r="R45" s="59">
        <f>1/P45</f>
        <v>16.612142061790472</v>
      </c>
      <c r="S45" s="59">
        <f>O45*R45</f>
        <v>-1.8215505211264382</v>
      </c>
      <c r="T45" s="59">
        <f>R45*(O45^2)</f>
        <v>0.1997362103378483</v>
      </c>
      <c r="U45" s="23">
        <f>R45^2</f>
        <v>275.96326388110816</v>
      </c>
      <c r="V45" s="59">
        <f>1/((1/R45)+$I$63)</f>
        <v>8.9165086344389213</v>
      </c>
      <c r="W45" s="59">
        <f>V45*O45</f>
        <v>-0.97771081473282551</v>
      </c>
      <c r="AF45" s="59">
        <f>IF($D$6=1,100*((EXP(O45))-1),O45)</f>
        <v>-0.10965175438248749</v>
      </c>
      <c r="AG45" s="59">
        <f>IF($D$6=1,100*(EXP(O45+Q45)-EXP(O45)),Q45)</f>
        <v>0.48088723958223728</v>
      </c>
      <c r="AH45" s="59">
        <f>IF($D$6=1,100*(EXP(O45)-EXP(O45-Q45)),Q45)</f>
        <v>0.48088723958223728</v>
      </c>
      <c r="AJ45">
        <f>SQRT(P45)</f>
        <v>0.24535063243991698</v>
      </c>
      <c r="AK45">
        <f>1/AJ45</f>
        <v>4.0757995610420377</v>
      </c>
      <c r="AL45">
        <f>O45/AJ45</f>
        <v>-0.4469185723796319</v>
      </c>
      <c r="AN45" t="str">
        <f>E45</f>
        <v>Janssen J</v>
      </c>
      <c r="AO45">
        <f>F45</f>
        <v>2004</v>
      </c>
      <c r="AP45" t="str">
        <f>CONCATENATE(AN45," ",AO45)</f>
        <v>Janssen J 2004</v>
      </c>
      <c r="AQ45">
        <f>INT(H45)</f>
        <v>28</v>
      </c>
      <c r="AR45">
        <f>J45</f>
        <v>6.21</v>
      </c>
      <c r="AS45">
        <f>K45</f>
        <v>2.27</v>
      </c>
      <c r="AT45">
        <f>INT(I45)</f>
        <v>41</v>
      </c>
      <c r="AU45">
        <f>L45</f>
        <v>6.42</v>
      </c>
      <c r="AV45">
        <f>M45</f>
        <v>1.59</v>
      </c>
      <c r="AW45" s="65">
        <f>O45</f>
        <v>-0.10965175438248749</v>
      </c>
      <c r="AX45">
        <f>SQRT(P45)</f>
        <v>0.24535063243991698</v>
      </c>
      <c r="AY45" t="str">
        <f>$F$5</f>
        <v>H Correction</v>
      </c>
    </row>
    <row r="46" spans="1:51">
      <c r="E46" t="str">
        <f t="shared" si="2"/>
        <v>Lacerda AL</v>
      </c>
      <c r="F46">
        <f t="shared" si="2"/>
        <v>2004</v>
      </c>
      <c r="G46">
        <v>4</v>
      </c>
      <c r="H46">
        <f t="shared" si="3"/>
        <v>31</v>
      </c>
      <c r="I46">
        <f t="shared" si="3"/>
        <v>34</v>
      </c>
      <c r="J46">
        <f t="shared" si="4"/>
        <v>5.89</v>
      </c>
      <c r="K46">
        <f t="shared" si="4"/>
        <v>1.0900000000000001</v>
      </c>
      <c r="L46">
        <f t="shared" si="4"/>
        <v>6.42</v>
      </c>
      <c r="M46">
        <f t="shared" si="4"/>
        <v>1.82</v>
      </c>
      <c r="N46">
        <f>IF($D$3=1,SQRT((((I46-1)*(M46)^2)+((H46-1)*(K46)^2))/(H46+I46-2)),M46)</f>
        <v>1.5168482361227085</v>
      </c>
      <c r="O46" s="59">
        <f>IF($D$6=1,LN(J46/L46),IF($D$5=1,(1-3/(4*(H46+I46)-9))*((J46-L46)/N46),(J46-L46)/N46))</f>
        <v>-0.34523251975687808</v>
      </c>
      <c r="P46" s="63">
        <f>IF($D$6=1,(K46^2)/(H46*J46^2)+(M46^2)/(I46*L46^2),(IF($D$5=1,((H46+I46)/(H46*I46))+(O46*O46)/(2*(H46+I46-3.94)),((H46+I46)/(H46*I46))+((O46^2)/(2*(H46+I46-2))))))</f>
        <v>6.2645799519241027E-2</v>
      </c>
      <c r="Q46" s="59">
        <f>$R$66*SQRT(P46)</f>
        <v>0.49057120118604225</v>
      </c>
      <c r="R46" s="59">
        <f>1/P46</f>
        <v>15.962762191148348</v>
      </c>
      <c r="S46" s="59">
        <f>O46*R46</f>
        <v>-5.5108646135299688</v>
      </c>
      <c r="T46" s="59">
        <f>R46*(O46^2)</f>
        <v>1.9025296765679651</v>
      </c>
      <c r="U46" s="23">
        <f>R46^2</f>
        <v>254.80977677115521</v>
      </c>
      <c r="V46" s="59">
        <f>1/((1/R46)+$I$63)</f>
        <v>8.7259740170747442</v>
      </c>
      <c r="W46" s="59">
        <f>V46*O46</f>
        <v>-3.0124899972477612</v>
      </c>
      <c r="AF46" s="59">
        <f>IF($D$6=1,100*((EXP(O46))-1),O46)</f>
        <v>-0.34523251975687808</v>
      </c>
      <c r="AG46" s="59">
        <f>IF($D$6=1,100*(EXP(O46+Q46)-EXP(O46)),Q46)</f>
        <v>0.49057120118604225</v>
      </c>
      <c r="AH46" s="59">
        <f>IF($D$6=1,100*(EXP(O46)-EXP(O46-Q46)),Q46)</f>
        <v>0.49057120118604225</v>
      </c>
      <c r="AJ46">
        <f>SQRT(P46)</f>
        <v>0.25029142917655217</v>
      </c>
      <c r="AK46">
        <f>1/AJ46</f>
        <v>3.9953425624279513</v>
      </c>
      <c r="AL46">
        <f>O46/AJ46</f>
        <v>-1.3793221801189035</v>
      </c>
      <c r="AN46" t="str">
        <f>E46</f>
        <v>Lacerda AL</v>
      </c>
      <c r="AO46">
        <f>F46</f>
        <v>2004</v>
      </c>
      <c r="AP46" t="str">
        <f>CONCATENATE(AN46," ",AO46)</f>
        <v>Lacerda AL 2004</v>
      </c>
      <c r="AQ46">
        <f>INT(H46)</f>
        <v>31</v>
      </c>
      <c r="AR46">
        <f>J46</f>
        <v>5.89</v>
      </c>
      <c r="AS46">
        <f>K46</f>
        <v>1.0900000000000001</v>
      </c>
      <c r="AT46">
        <f>INT(I46)</f>
        <v>34</v>
      </c>
      <c r="AU46">
        <f>L46</f>
        <v>6.42</v>
      </c>
      <c r="AV46">
        <f>M46</f>
        <v>1.82</v>
      </c>
      <c r="AW46" s="65">
        <f>O46</f>
        <v>-0.34523251975687808</v>
      </c>
      <c r="AX46">
        <f>SQRT(P46)</f>
        <v>0.25029142917655217</v>
      </c>
    </row>
    <row r="47" spans="1:51">
      <c r="E47" t="str">
        <f t="shared" si="2"/>
        <v>Lavretsky H</v>
      </c>
      <c r="F47">
        <f t="shared" si="2"/>
        <v>2007</v>
      </c>
      <c r="G47">
        <v>3</v>
      </c>
      <c r="H47">
        <f t="shared" si="3"/>
        <v>43</v>
      </c>
      <c r="I47">
        <f t="shared" si="3"/>
        <v>41</v>
      </c>
      <c r="J47">
        <f>IF($D$4="Total",T26,IF($D$4="Left",L26,IF($D$4="Right",P26,"error")))</f>
        <v>8.6E-3</v>
      </c>
      <c r="K47">
        <f>IF($D$4="Total",U26,IF($D$4="Left",M26,IF($D$4="Right",Q26,"error")))</f>
        <v>1.6000000000000001E-3</v>
      </c>
      <c r="L47">
        <f>IF($D$4="Total",V26,IF($D$4="Left",N26,IF($D$4="Right",R26,"error")))</f>
        <v>9.7000000000000003E-3</v>
      </c>
      <c r="M47">
        <f>IF($D$4="Total",W26,IF($D$4="Left",O26,IF($D$4="Right",S26,"error")))</f>
        <v>8.9999999999999998E-4</v>
      </c>
      <c r="N47">
        <f>IF($D$3=1,SQRT((((I47-1)*(M47)^2)+((H47-1)*(K47)^2))/(H47+I47-2)),M47)</f>
        <v>1.3062700576123736E-3</v>
      </c>
      <c r="O47" s="59">
        <f>IF($D$6=1,LN(J47/L47),IF($D$5=1,(1-3/(4*(H47+I47)-9))*((J47-L47)/N47),(J47-L47)/N47))</f>
        <v>-0.83436671500599979</v>
      </c>
      <c r="P47" s="63">
        <f>IF($D$6=1,(K47^2)/(H47*J47^2)+(M47^2)/(I47*L47^2),(IF($D$5=1,((H47+I47)/(H47*I47))+(O47*O47)/(2*(H47+I47-3.94)),((H47+I47)/(H47*I47))+((O47^2)/(2*(H47+I47-2))))))</f>
        <v>5.1993845859361718E-2</v>
      </c>
      <c r="Q47" s="59">
        <f>$R$66*SQRT(P47)</f>
        <v>0.44692231791814108</v>
      </c>
      <c r="R47" s="59">
        <f>1/P47</f>
        <v>19.233045439741129</v>
      </c>
      <c r="S47" s="59">
        <f>O47*R47</f>
        <v>-16.04741294311793</v>
      </c>
      <c r="T47" s="59">
        <f>R47*(O47^2)</f>
        <v>13.389427221694072</v>
      </c>
      <c r="U47" s="23">
        <f>R47^2</f>
        <v>369.91003688714704</v>
      </c>
      <c r="V47" s="59">
        <f>1/((1/R47)+$I$63)</f>
        <v>9.6201546007514906</v>
      </c>
      <c r="W47" s="59">
        <f>V47*O47</f>
        <v>-8.0267367920788768</v>
      </c>
      <c r="AF47" s="59">
        <f>IF($D$6=1,100*((EXP(O47))-1),O47)</f>
        <v>-0.83436671500599979</v>
      </c>
      <c r="AG47" s="59">
        <f>IF($D$6=1,100*(EXP(O47+Q47)-EXP(O47)),Q47)</f>
        <v>0.44692231791814108</v>
      </c>
      <c r="AH47" s="59">
        <f>IF($D$6=1,100*(EXP(O47)-EXP(O47-Q47)),Q47)</f>
        <v>0.44692231791814108</v>
      </c>
      <c r="AJ47">
        <f>SQRT(P47)</f>
        <v>0.22802159077456177</v>
      </c>
      <c r="AK47">
        <f>1/AJ47</f>
        <v>4.3855496166092029</v>
      </c>
      <c r="AL47">
        <f>O47/AJ47</f>
        <v>-3.6591566271060425</v>
      </c>
      <c r="AN47" t="str">
        <f t="shared" ref="AN47:AO49" si="5">E47</f>
        <v>Lavretsky H</v>
      </c>
      <c r="AO47">
        <f t="shared" si="5"/>
        <v>2007</v>
      </c>
      <c r="AP47" t="str">
        <f>CONCATENATE(AN47," ",AO47)</f>
        <v>Lavretsky H 2007</v>
      </c>
      <c r="AQ47">
        <f>INT(H47)</f>
        <v>43</v>
      </c>
      <c r="AR47">
        <f t="shared" ref="AR47:AS49" si="6">J47</f>
        <v>8.6E-3</v>
      </c>
      <c r="AS47">
        <f t="shared" si="6"/>
        <v>1.6000000000000001E-3</v>
      </c>
      <c r="AT47">
        <f>INT(I47)</f>
        <v>41</v>
      </c>
      <c r="AU47">
        <f t="shared" ref="AU47:AV49" si="7">L47</f>
        <v>9.7000000000000003E-3</v>
      </c>
      <c r="AV47">
        <f t="shared" si="7"/>
        <v>8.9999999999999998E-4</v>
      </c>
      <c r="AW47" s="65">
        <f>O47</f>
        <v>-0.83436671500599979</v>
      </c>
      <c r="AX47">
        <f>SQRT(P47)</f>
        <v>0.22802159077456177</v>
      </c>
    </row>
    <row r="48" spans="1:51">
      <c r="E48" t="str">
        <f t="shared" si="2"/>
        <v>Taylor WD</v>
      </c>
      <c r="F48">
        <f t="shared" si="2"/>
        <v>2007</v>
      </c>
      <c r="G48">
        <v>2</v>
      </c>
      <c r="H48">
        <f t="shared" si="3"/>
        <v>226</v>
      </c>
      <c r="I48">
        <f t="shared" si="3"/>
        <v>144</v>
      </c>
      <c r="J48">
        <f t="shared" ref="J48:M49" si="8">IF($D$4="Total",T27,IF($D$4="Left",L27,IF($D$4="Right",P27,"error")))</f>
        <v>6.3</v>
      </c>
      <c r="K48">
        <f t="shared" si="8"/>
        <v>1.6</v>
      </c>
      <c r="L48">
        <f t="shared" si="8"/>
        <v>6.7</v>
      </c>
      <c r="M48">
        <f t="shared" si="8"/>
        <v>1.5</v>
      </c>
      <c r="N48">
        <f>IF($D$3=1,SQRT((((I48-1)*(M48)^2)+((H48-1)*(K48)^2))/(H48+I48-2)),M48)</f>
        <v>1.5619020595025352</v>
      </c>
      <c r="O48" s="59">
        <f>IF($D$6=1,LN(J48/L48),IF($D$5=1,(1-3/(4*(H48+I48)-9))*((J48-L48)/N48),(J48-L48)/N48))</f>
        <v>-0.25557571038941063</v>
      </c>
      <c r="P48" s="63">
        <f>IF($D$6=1,(K48^2)/(H48*J48^2)+(M48^2)/(I48*L48^2),(IF($D$5=1,((H48+I48)/(H48*I48))+(O48*O48)/(2*(H48+I48-3.94)),((H48+I48)/(H48*I48))+((O48^2)/(2*(H48+I48-2))))))</f>
        <v>1.1458442109157502E-2</v>
      </c>
      <c r="Q48" s="59">
        <f>$R$66*SQRT(P48)</f>
        <v>0.20980646130789074</v>
      </c>
      <c r="R48" s="59">
        <f>1/P48</f>
        <v>87.271898786381044</v>
      </c>
      <c r="S48" s="59">
        <f>O48*R48</f>
        <v>-22.304577529362078</v>
      </c>
      <c r="T48" s="59">
        <f>R48*(O48^2)</f>
        <v>5.7005082470023982</v>
      </c>
      <c r="U48" s="23">
        <f>R48^2</f>
        <v>7616.3843177803374</v>
      </c>
      <c r="V48" s="59">
        <f>1/((1/R48)+$I$63)</f>
        <v>15.769629762488291</v>
      </c>
      <c r="W48" s="59">
        <f>V48*O48</f>
        <v>-4.0303343291259379</v>
      </c>
      <c r="AF48" s="59">
        <f>IF($D$6=1,100*((EXP(O48))-1),O48)</f>
        <v>-0.25557571038941063</v>
      </c>
      <c r="AG48" s="59">
        <f>IF($D$6=1,100*(EXP(O48+Q48)-EXP(O48)),Q48)</f>
        <v>0.20980646130789074</v>
      </c>
      <c r="AH48" s="59">
        <f>IF($D$6=1,100*(EXP(O48)-EXP(O48-Q48)),Q48)</f>
        <v>0.20980646130789074</v>
      </c>
      <c r="AJ48">
        <f>SQRT(P48)</f>
        <v>0.10704411291218915</v>
      </c>
      <c r="AK48">
        <f>1/AJ48</f>
        <v>9.3419429877505173</v>
      </c>
      <c r="AL48">
        <f>O48/AJ48</f>
        <v>-2.3875737155117114</v>
      </c>
      <c r="AN48" t="str">
        <f t="shared" si="5"/>
        <v>Taylor WD</v>
      </c>
      <c r="AO48">
        <f t="shared" si="5"/>
        <v>2007</v>
      </c>
      <c r="AP48" t="str">
        <f>CONCATENATE(AN48," ",AO48)</f>
        <v>Taylor WD 2007</v>
      </c>
      <c r="AQ48">
        <f>INT(H48)</f>
        <v>226</v>
      </c>
      <c r="AR48">
        <f t="shared" si="6"/>
        <v>6.3</v>
      </c>
      <c r="AS48">
        <f t="shared" si="6"/>
        <v>1.6</v>
      </c>
      <c r="AT48">
        <f>INT(I48)</f>
        <v>144</v>
      </c>
      <c r="AU48">
        <f t="shared" si="7"/>
        <v>6.7</v>
      </c>
      <c r="AV48">
        <f t="shared" si="7"/>
        <v>1.5</v>
      </c>
      <c r="AW48" s="65">
        <f>O48</f>
        <v>-0.25557571038941063</v>
      </c>
      <c r="AX48">
        <f>SQRT(P48)</f>
        <v>0.10704411291218915</v>
      </c>
    </row>
    <row r="49" spans="5:50">
      <c r="E49" t="str">
        <f t="shared" si="2"/>
        <v>Chen HH</v>
      </c>
      <c r="F49">
        <f t="shared" si="2"/>
        <v>2008</v>
      </c>
      <c r="G49">
        <v>1</v>
      </c>
      <c r="H49">
        <f t="shared" si="3"/>
        <v>27</v>
      </c>
      <c r="I49">
        <f t="shared" si="3"/>
        <v>26</v>
      </c>
      <c r="J49">
        <f t="shared" si="8"/>
        <v>7.9</v>
      </c>
      <c r="K49">
        <f t="shared" si="8"/>
        <v>2.2000000000000002</v>
      </c>
      <c r="L49">
        <f t="shared" si="8"/>
        <v>7.6</v>
      </c>
      <c r="M49">
        <f t="shared" si="8"/>
        <v>1.7</v>
      </c>
      <c r="N49">
        <f>IF($D$3=1,SQRT((((I49-1)*(M49)^2)+((H49-1)*(K49)^2))/(H49+I49-2)),M49)</f>
        <v>1.9708164924870157</v>
      </c>
      <c r="O49" s="59">
        <f>IF($D$6=1,LN(J49/L49),IF($D$5=1,(1-3/(4*(H49+I49)-9))*((J49-L49)/N49),(J49-L49)/N49))</f>
        <v>0.14997159988755379</v>
      </c>
      <c r="P49" s="63">
        <f>IF($D$6=1,(K49^2)/(H49*J49^2)+(M49^2)/(I49*L49^2),(IF($D$5=1,((H49+I49)/(H49*I49))+(O49*O49)/(2*(H49+I49-3.94)),((H49+I49)/(H49*I49))+((O49^2)/(2*(H49+I49-2))))))</f>
        <v>7.5727799721698533E-2</v>
      </c>
      <c r="Q49" s="59">
        <f>$R$66*SQRT(P49)</f>
        <v>0.53936621641596827</v>
      </c>
      <c r="R49" s="59">
        <f>1/P49</f>
        <v>13.205190216472998</v>
      </c>
      <c r="S49" s="59">
        <f>O49*R49</f>
        <v>1.9804035035839282</v>
      </c>
      <c r="T49" s="59">
        <f>R49*(O49^2)</f>
        <v>0.29700428185539862</v>
      </c>
      <c r="U49" s="23">
        <f>R49^2</f>
        <v>174.37704865323417</v>
      </c>
      <c r="V49" s="59">
        <f>1/((1/R49)+$I$63)</f>
        <v>7.8319337638471955</v>
      </c>
      <c r="W49" s="59">
        <f>V49*O49</f>
        <v>1.1745676367775149</v>
      </c>
      <c r="AF49" s="59">
        <f>IF($D$6=1,100*((EXP(O49))-1),O49)</f>
        <v>0.14997159988755379</v>
      </c>
      <c r="AG49" s="59">
        <f>IF($D$6=1,100*(EXP(O49+Q49)-EXP(O49)),Q49)</f>
        <v>0.53936621641596827</v>
      </c>
      <c r="AH49" s="59">
        <f>IF($D$6=1,100*(EXP(O49)-EXP(O49-Q49)),Q49)</f>
        <v>0.53936621641596827</v>
      </c>
      <c r="AJ49">
        <f>SQRT(P49)</f>
        <v>0.27518684511018787</v>
      </c>
      <c r="AK49">
        <f>1/AJ49</f>
        <v>3.633894634751123</v>
      </c>
      <c r="AL49">
        <f>O49/AJ49</f>
        <v>0.54498099219642382</v>
      </c>
      <c r="AN49" t="str">
        <f t="shared" si="5"/>
        <v>Chen HH</v>
      </c>
      <c r="AO49">
        <f t="shared" si="5"/>
        <v>2008</v>
      </c>
      <c r="AP49" t="str">
        <f>CONCATENATE(AN49," ",AO49)</f>
        <v>Chen HH 2008</v>
      </c>
      <c r="AQ49">
        <f>INT(H49)</f>
        <v>27</v>
      </c>
      <c r="AR49">
        <f t="shared" si="6"/>
        <v>7.9</v>
      </c>
      <c r="AS49">
        <f t="shared" si="6"/>
        <v>2.2000000000000002</v>
      </c>
      <c r="AT49">
        <f>INT(I49)</f>
        <v>26</v>
      </c>
      <c r="AU49">
        <f t="shared" si="7"/>
        <v>7.6</v>
      </c>
      <c r="AV49">
        <f t="shared" si="7"/>
        <v>1.7</v>
      </c>
      <c r="AW49" s="65">
        <f>O49</f>
        <v>0.14997159988755379</v>
      </c>
      <c r="AX49">
        <f>SQRT(P49)</f>
        <v>0.27518684511018787</v>
      </c>
    </row>
    <row r="50" spans="5:50">
      <c r="U50" s="23"/>
    </row>
    <row r="51" spans="5:50">
      <c r="L51" t="s">
        <v>500</v>
      </c>
      <c r="N51" s="7"/>
      <c r="O51" s="66">
        <f>COUNT(O45:O49)</f>
        <v>5</v>
      </c>
      <c r="Q51" t="s">
        <v>885</v>
      </c>
      <c r="R51" s="59">
        <f t="shared" ref="R51:W51" si="9">SUM(R45:R49)</f>
        <v>152.28503869553401</v>
      </c>
      <c r="S51" s="59">
        <f t="shared" si="9"/>
        <v>-43.704002103552483</v>
      </c>
      <c r="T51" s="59">
        <f t="shared" si="9"/>
        <v>21.489205637457683</v>
      </c>
      <c r="U51" s="23">
        <f t="shared" si="9"/>
        <v>8691.4444439729814</v>
      </c>
      <c r="V51" s="59">
        <f t="shared" si="9"/>
        <v>50.864200778600647</v>
      </c>
      <c r="W51" s="59">
        <f t="shared" si="9"/>
        <v>-14.872704296407889</v>
      </c>
    </row>
    <row r="52" spans="5:50">
      <c r="L52" t="s">
        <v>501</v>
      </c>
      <c r="N52" s="7"/>
      <c r="O52" s="2">
        <v>0</v>
      </c>
    </row>
    <row r="53" spans="5:50">
      <c r="N53" s="7"/>
      <c r="O53" s="7"/>
    </row>
    <row r="54" spans="5:50">
      <c r="G54" s="67" t="s">
        <v>502</v>
      </c>
      <c r="H54" s="40"/>
      <c r="I54" s="40">
        <f>S51/R51</f>
        <v>-0.28698815378003489</v>
      </c>
      <c r="J54" s="40"/>
      <c r="K54" s="68" t="s">
        <v>879</v>
      </c>
      <c r="L54" s="40"/>
      <c r="M54" s="42"/>
      <c r="N54" s="7"/>
      <c r="O54" s="69" t="s">
        <v>503</v>
      </c>
      <c r="P54" s="70">
        <f>T51-((S51^2)/R51)</f>
        <v>8.9466747609603932</v>
      </c>
      <c r="Q54" s="71" t="s">
        <v>824</v>
      </c>
      <c r="R54" s="28"/>
      <c r="S54" s="29"/>
      <c r="T54" s="30"/>
      <c r="U54" s="31"/>
      <c r="AF54" s="2" t="s">
        <v>1518</v>
      </c>
    </row>
    <row r="55" spans="5:50">
      <c r="G55" s="43" t="s">
        <v>504</v>
      </c>
      <c r="H55" s="31"/>
      <c r="I55" s="31">
        <f>1/R51</f>
        <v>6.5666332593533137E-3</v>
      </c>
      <c r="J55" s="31"/>
      <c r="K55" s="31"/>
      <c r="L55" s="31"/>
      <c r="M55" s="44"/>
      <c r="N55" s="7"/>
      <c r="O55" s="30" t="s">
        <v>505</v>
      </c>
      <c r="P55" s="31">
        <f>CHIDIST(P54,I59-1)</f>
        <v>6.2446266650883035E-2</v>
      </c>
      <c r="Q55" s="31"/>
      <c r="R55" s="31"/>
      <c r="S55" s="34"/>
      <c r="T55" s="30"/>
      <c r="U55" s="31"/>
      <c r="AF55" s="2"/>
    </row>
    <row r="56" spans="5:50">
      <c r="G56" s="72" t="s">
        <v>506</v>
      </c>
      <c r="H56" s="31"/>
      <c r="I56" s="31">
        <f>$R$66*SQRT(I55)</f>
        <v>0.15882814086027605</v>
      </c>
      <c r="J56" s="31"/>
      <c r="K56" s="31" t="s">
        <v>507</v>
      </c>
      <c r="L56" s="31"/>
      <c r="M56" s="44">
        <f>ABS(I54/SQRT(I55))</f>
        <v>3.5415435725820581</v>
      </c>
      <c r="N56" s="7"/>
      <c r="O56" s="35" t="s">
        <v>508</v>
      </c>
      <c r="P56" s="37">
        <f>IF(((P54-(I59-1))/P54)&lt;0,0,100*((P54-(I59-1))/P54))</f>
        <v>55.290651478084861</v>
      </c>
      <c r="Q56" s="36"/>
      <c r="R56" s="36"/>
      <c r="S56" s="38"/>
      <c r="T56" s="30"/>
      <c r="U56" s="31"/>
      <c r="AF56" s="2" t="s">
        <v>1535</v>
      </c>
      <c r="AH56">
        <f>IF($D$6=1,100*((EXP(I54))-1),I54)</f>
        <v>-0.28698815378003489</v>
      </c>
    </row>
    <row r="57" spans="5:50">
      <c r="G57" s="45" t="s">
        <v>509</v>
      </c>
      <c r="H57" s="46"/>
      <c r="I57" s="46">
        <v>-2</v>
      </c>
      <c r="J57" s="46"/>
      <c r="K57" s="46" t="s">
        <v>825</v>
      </c>
      <c r="L57" s="46"/>
      <c r="M57" s="47">
        <f>2*(1-NORMDIST(M56,0,1,1))</f>
        <v>3.9779315173626983E-4</v>
      </c>
      <c r="N57" s="7"/>
      <c r="O57" s="7"/>
      <c r="AF57" s="79" t="s">
        <v>834</v>
      </c>
      <c r="AH57">
        <f>IF($D$6=1,100*(EXP(I54+I56)-EXP(I54)),I56)</f>
        <v>0.15882814086027605</v>
      </c>
    </row>
    <row r="58" spans="5:50">
      <c r="G58" s="40"/>
      <c r="H58" s="40"/>
      <c r="I58" s="40"/>
      <c r="J58" s="40"/>
      <c r="K58" s="40"/>
      <c r="L58" s="40"/>
      <c r="M58" s="40"/>
      <c r="N58" s="7"/>
      <c r="O58" s="7"/>
      <c r="AF58" s="79" t="s">
        <v>835</v>
      </c>
      <c r="AH58">
        <f>IF($D$6=1,100*(EXP(I54)-EXP(I54-I56)),I56)</f>
        <v>0.15882814086027605</v>
      </c>
    </row>
    <row r="59" spans="5:50">
      <c r="G59" s="73" t="s">
        <v>1110</v>
      </c>
      <c r="H59" s="74"/>
      <c r="I59" s="74">
        <f>O51</f>
        <v>5</v>
      </c>
      <c r="J59" s="74"/>
      <c r="K59" s="75" t="s">
        <v>1167</v>
      </c>
      <c r="L59" s="74"/>
      <c r="M59" s="76"/>
      <c r="N59" s="77"/>
      <c r="O59" s="101" t="s">
        <v>1513</v>
      </c>
      <c r="P59" s="102"/>
      <c r="Q59" s="103"/>
      <c r="AF59" s="7"/>
    </row>
    <row r="60" spans="5:50">
      <c r="G60" s="77" t="s">
        <v>1531</v>
      </c>
      <c r="H60" s="31"/>
      <c r="I60" s="31">
        <f>R51/I59</f>
        <v>30.457007739106803</v>
      </c>
      <c r="J60" s="31"/>
      <c r="K60" s="31"/>
      <c r="L60" s="31"/>
      <c r="M60" s="78"/>
      <c r="N60" s="77"/>
      <c r="O60" s="104" t="s">
        <v>1514</v>
      </c>
      <c r="P60" s="31"/>
      <c r="Q60" s="105">
        <f>INDEX(LINEST(AL45:AL49,AK45:AK49,TRUE,TRUE),1,2)</f>
        <v>-3.8738992648984505E-2</v>
      </c>
      <c r="AF60" s="2" t="s">
        <v>1687</v>
      </c>
      <c r="AH60">
        <f>IF($D$6=1,100*((EXP(I65))-1),I65)</f>
        <v>-0.29240023570104073</v>
      </c>
    </row>
    <row r="61" spans="5:50">
      <c r="G61" s="77" t="s">
        <v>1532</v>
      </c>
      <c r="H61" s="31"/>
      <c r="I61" s="31">
        <f>(1/(I59-1))*(U51-(I59*I60^2))</f>
        <v>1013.3244604682307</v>
      </c>
      <c r="J61" s="31"/>
      <c r="K61" s="31"/>
      <c r="L61" s="31"/>
      <c r="M61" s="78"/>
      <c r="N61" s="77"/>
      <c r="O61" s="104" t="s">
        <v>1516</v>
      </c>
      <c r="P61" s="31"/>
      <c r="Q61" s="105">
        <f>INDEX(LINEST(AL45:AL49,AK45:AK49,TRUE,TRUE),2,2)</f>
        <v>1.9904763919058301</v>
      </c>
      <c r="AF61" s="79" t="s">
        <v>834</v>
      </c>
      <c r="AG61" s="7"/>
      <c r="AH61">
        <f>IF($D$6=1,100*(EXP(I65+I67)-EXP(I65)),I67)</f>
        <v>0.27482102743292597</v>
      </c>
    </row>
    <row r="62" spans="5:50">
      <c r="G62" s="77" t="s">
        <v>1669</v>
      </c>
      <c r="H62" s="31"/>
      <c r="I62" s="31">
        <f>(I59-1)*(I60-(I61/(I59*I60)))</f>
        <v>95.211510537919466</v>
      </c>
      <c r="J62" s="31"/>
      <c r="K62" s="31"/>
      <c r="L62" s="31"/>
      <c r="M62" s="78"/>
      <c r="N62" s="77"/>
      <c r="O62" s="104" t="s">
        <v>1349</v>
      </c>
      <c r="P62" s="31"/>
      <c r="Q62" s="105">
        <f>ABS(Q60/Q61)</f>
        <v>1.9462171370891224E-2</v>
      </c>
      <c r="AF62" s="79" t="s">
        <v>835</v>
      </c>
      <c r="AH62">
        <f>IF($D$6=1,100*(EXP(I65)-EXP(I65-I67)),I67)</f>
        <v>0.27482102743292597</v>
      </c>
    </row>
    <row r="63" spans="5:50">
      <c r="G63" s="77" t="s">
        <v>1685</v>
      </c>
      <c r="H63" s="31"/>
      <c r="I63" s="31">
        <f>IF(P54&gt;(I59-1),(P54-(I59-1))/I62,0)</f>
        <v>5.195458755998103E-2</v>
      </c>
      <c r="J63" s="31"/>
      <c r="K63" s="31"/>
      <c r="L63" s="31"/>
      <c r="M63" s="78"/>
      <c r="N63" s="77"/>
      <c r="O63" s="106" t="s">
        <v>1515</v>
      </c>
      <c r="P63" s="107"/>
      <c r="Q63" s="108">
        <f>TDIST(Q62,I59-2,2)</f>
        <v>0.98569446083908652</v>
      </c>
    </row>
    <row r="64" spans="5:50">
      <c r="G64" s="77"/>
      <c r="H64" s="31"/>
      <c r="I64" s="31"/>
      <c r="J64" s="31"/>
      <c r="K64" s="31"/>
      <c r="L64" s="31"/>
      <c r="M64" s="78"/>
      <c r="N64" s="77"/>
    </row>
    <row r="65" spans="7:18">
      <c r="G65" s="77" t="s">
        <v>1686</v>
      </c>
      <c r="H65" s="31"/>
      <c r="I65" s="31">
        <f>W51/V51</f>
        <v>-0.29240023570104073</v>
      </c>
      <c r="J65" s="31"/>
      <c r="N65" s="77"/>
    </row>
    <row r="66" spans="7:18">
      <c r="G66" s="77" t="s">
        <v>504</v>
      </c>
      <c r="H66" s="31"/>
      <c r="I66" s="31">
        <f>1/V51</f>
        <v>1.9660192919431763E-2</v>
      </c>
      <c r="J66" s="31"/>
      <c r="N66" s="77"/>
      <c r="O66" t="s">
        <v>805</v>
      </c>
      <c r="R66">
        <v>1.96</v>
      </c>
    </row>
    <row r="67" spans="7:18">
      <c r="G67" s="80" t="s">
        <v>506</v>
      </c>
      <c r="H67" s="31"/>
      <c r="I67" s="31">
        <f>$R$66*SQRT(I66)</f>
        <v>0.27482102743292597</v>
      </c>
      <c r="J67" s="31"/>
      <c r="K67" s="31" t="s">
        <v>507</v>
      </c>
      <c r="L67" s="31"/>
      <c r="M67" s="78">
        <f>ABS(I65/(SQRT(I66)))</f>
        <v>2.0853734058392392</v>
      </c>
      <c r="N67" s="77"/>
    </row>
    <row r="68" spans="7:18">
      <c r="G68" s="81" t="s">
        <v>509</v>
      </c>
      <c r="H68" s="82"/>
      <c r="I68" s="82">
        <v>-3</v>
      </c>
      <c r="J68" s="82"/>
      <c r="K68" s="31" t="s">
        <v>825</v>
      </c>
      <c r="L68" s="31"/>
      <c r="M68" s="78">
        <f>2*(1-NORMDIST(M67,0,1,1))</f>
        <v>3.703541891140949E-2</v>
      </c>
      <c r="N68" s="77"/>
    </row>
    <row r="69" spans="7:18">
      <c r="G69" s="74"/>
      <c r="H69" s="74"/>
      <c r="I69" s="74"/>
      <c r="J69" s="74"/>
      <c r="K69" s="74"/>
      <c r="L69" s="74"/>
      <c r="M69" s="74"/>
      <c r="N69" s="31"/>
      <c r="O69" s="7"/>
    </row>
  </sheetData>
  <phoneticPr fontId="10" type="noConversion"/>
  <conditionalFormatting sqref="D17 D13 F13">
    <cfRule type="cellIs" dxfId="44" priority="0" stopIfTrue="1" operator="lessThan">
      <formula>0.05</formula>
    </cfRule>
  </conditionalFormatting>
  <conditionalFormatting sqref="D21">
    <cfRule type="cellIs" dxfId="4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8.xml><?xml version="1.0" encoding="utf-8"?>
<worksheet xmlns="http://schemas.openxmlformats.org/spreadsheetml/2006/main" xmlns:r="http://schemas.openxmlformats.org/officeDocument/2006/relationships">
  <sheetPr published="0" codeName="Sheet84" enableFormatConditionsCalculation="0"/>
  <dimension ref="A1:BM69"/>
  <sheetViews>
    <sheetView zoomScale="80" zoomScaleNormal="80" zoomScalePageLayoutView="80" workbookViewId="0"/>
  </sheetViews>
  <sheetFormatPr defaultColWidth="8.77734375" defaultRowHeight="13.2"/>
  <cols>
    <col min="1" max="1" width="6.33203125" customWidth="1"/>
    <col min="2" max="2" width="9.44140625" customWidth="1"/>
    <col min="3" max="3" width="8.109375" customWidth="1"/>
    <col min="4" max="4" width="9.6640625" customWidth="1"/>
    <col min="5" max="5" width="14.33203125" customWidth="1"/>
    <col min="6" max="6" width="6.44140625" customWidth="1"/>
    <col min="7" max="11" width="5.6640625" customWidth="1"/>
    <col min="12" max="12" width="6.109375" customWidth="1"/>
    <col min="13" max="13" width="6.44140625" customWidth="1"/>
    <col min="14" max="15" width="5.6640625" customWidth="1"/>
    <col min="16" max="17" width="6.44140625" customWidth="1"/>
    <col min="18" max="18" width="6.109375" customWidth="1"/>
    <col min="19" max="19" width="5.6640625" customWidth="1"/>
    <col min="20" max="20" width="6.33203125" customWidth="1"/>
    <col min="21" max="22" width="5.6640625" customWidth="1"/>
    <col min="23" max="23" width="6.109375" customWidth="1"/>
    <col min="24" max="24" width="9.6640625" customWidth="1"/>
    <col min="25" max="25" width="7.33203125" customWidth="1"/>
    <col min="26" max="38" width="5.6640625" customWidth="1"/>
    <col min="39" max="39" width="13" customWidth="1"/>
    <col min="40" max="40" width="7.33203125" customWidth="1"/>
    <col min="41" max="48" width="5.6640625" customWidth="1"/>
    <col min="49" max="49" width="6.6640625" customWidth="1"/>
    <col min="50" max="50" width="7.33203125" customWidth="1"/>
    <col min="51" max="53" width="5.6640625" customWidth="1"/>
  </cols>
  <sheetData>
    <row r="1" spans="2:30">
      <c r="B1" s="4" t="s">
        <v>640</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I59-O52</f>
        <v>5</v>
      </c>
      <c r="AD7" s="89"/>
    </row>
    <row r="8" spans="2:30">
      <c r="B8" t="s">
        <v>822</v>
      </c>
      <c r="D8">
        <f>SUM(H24:H28)</f>
        <v>355</v>
      </c>
      <c r="AD8" s="89"/>
    </row>
    <row r="9" spans="2:30">
      <c r="B9" t="s">
        <v>823</v>
      </c>
      <c r="D9">
        <f>SUM(I24:I28)</f>
        <v>286</v>
      </c>
      <c r="AD9" s="89"/>
    </row>
    <row r="11" spans="2:30">
      <c r="B11" s="27" t="s">
        <v>516</v>
      </c>
      <c r="C11" s="28"/>
      <c r="D11" s="109">
        <f>P54</f>
        <v>9.0450279868373311</v>
      </c>
      <c r="E11" s="110" t="s">
        <v>1513</v>
      </c>
      <c r="F11" s="103"/>
    </row>
    <row r="12" spans="2:30">
      <c r="B12" s="30" t="s">
        <v>826</v>
      </c>
      <c r="C12" s="31"/>
      <c r="D12" s="112">
        <f>P56</f>
        <v>55.776809028994137</v>
      </c>
      <c r="E12" s="31"/>
      <c r="F12" s="105"/>
    </row>
    <row r="13" spans="2:30">
      <c r="B13" s="35" t="s">
        <v>825</v>
      </c>
      <c r="C13" s="36"/>
      <c r="D13" s="113">
        <f>P55</f>
        <v>5.9983797005887296E-2</v>
      </c>
      <c r="E13" s="111" t="s">
        <v>825</v>
      </c>
      <c r="F13" s="115">
        <f>Q63</f>
        <v>0.87974157626974481</v>
      </c>
    </row>
    <row r="15" spans="2:30">
      <c r="B15" s="39" t="s">
        <v>879</v>
      </c>
      <c r="C15" s="40"/>
      <c r="D15" s="41">
        <f>AH56</f>
        <v>-0.24497325729910246</v>
      </c>
      <c r="E15" s="116"/>
    </row>
    <row r="16" spans="2:30">
      <c r="B16" s="43" t="s">
        <v>1165</v>
      </c>
      <c r="C16" s="31"/>
      <c r="D16" s="33">
        <f>AH56-AH58</f>
        <v>-0.40358471399347584</v>
      </c>
      <c r="E16" s="117">
        <f>AH56+AH57</f>
        <v>-8.6361800604729061E-2</v>
      </c>
    </row>
    <row r="17" spans="1:65">
      <c r="B17" s="45" t="s">
        <v>1166</v>
      </c>
      <c r="C17" s="46"/>
      <c r="D17" s="123">
        <f>M57</f>
        <v>2.4683582464906095E-3</v>
      </c>
      <c r="E17" s="118"/>
    </row>
    <row r="18" spans="1:65">
      <c r="D18" s="48"/>
      <c r="F18" s="49"/>
    </row>
    <row r="19" spans="1:65">
      <c r="B19" s="50" t="s">
        <v>1167</v>
      </c>
      <c r="C19" s="51"/>
      <c r="D19" s="52">
        <f>AH60</f>
        <v>-0.23708872345555207</v>
      </c>
      <c r="E19" s="120"/>
      <c r="F19" s="33"/>
      <c r="G19" s="31"/>
    </row>
    <row r="20" spans="1:65">
      <c r="B20" s="53" t="s">
        <v>1165</v>
      </c>
      <c r="C20" s="31"/>
      <c r="D20" s="33">
        <f>AH60-AH62</f>
        <v>-0.51299168135470696</v>
      </c>
      <c r="E20" s="121">
        <f>AH60+AH61</f>
        <v>3.8814234443602852E-2</v>
      </c>
      <c r="F20" s="31"/>
      <c r="G20" s="31"/>
    </row>
    <row r="21" spans="1:65">
      <c r="B21" s="54" t="s">
        <v>1440</v>
      </c>
      <c r="C21" s="55"/>
      <c r="D21" s="114">
        <f>M68</f>
        <v>9.2130324448367995E-2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15576058</v>
      </c>
      <c r="C24" s="1" t="str">
        <f>IF($B24="","",HYPERLINK(IF(LEN(VLOOKUP($B24,Database!$B$1:$IX$10144,2,FALSE))=0,"",VLOOKUP($B24,Database!$B$1:$IX$10144,2,FALSE))))</f>
        <v/>
      </c>
      <c r="D24" s="1" t="str">
        <f t="shared" ref="D24:D31" si="0">IF($B24="","",HYPERLINK(CONCATENATE("http://www.ncbi.nlm.nih.gov/pubmed/",B24)))</f>
        <v>http://www.ncbi.nlm.nih.gov/pubmed/15576058</v>
      </c>
      <c r="E24" s="22" t="str">
        <f>IF($B24="","",IF(LEN(VLOOKUP($B24,Database!$B$1:$IX$10144,4,FALSE))=0,"",VLOOKUP($B24,Database!$B$1:$IX$10144,4,FALSE)))</f>
        <v>Janssen J</v>
      </c>
      <c r="F24" s="22">
        <f>IF($B24="","",IF(LEN(VLOOKUP($B24,Database!$B$1:$IX$10144,5,FALSE))=0,"",VLOOKUP($B24,Database!$B$1:$IX$10144,5,FALSE)))</f>
        <v>2004</v>
      </c>
      <c r="G24" s="1" t="str">
        <f>IF($B24="","",HYPERLINK(IF(LEN(VLOOKUP($B24,Database!$B$1:$IX$10144,6,FALSE))=0,"",VLOOKUP($B24,Database!$B$1:$IX$10144,6,FALSE))))</f>
        <v>http://dx.doi.org/10.1016/j.biopsych.2004.09.011</v>
      </c>
      <c r="H24" s="22">
        <f>IF($B24="","",IF(LEN(VLOOKUP($B24,Database!$B$1:$IX$10144,7,FALSE))=0,"",VLOOKUP($B24,Database!$B$1:$IX$10144,7,FALSE)))</f>
        <v>28</v>
      </c>
      <c r="I24" s="22">
        <f>IF($B24="","",IF(LEN(VLOOKUP($B24,Database!$B$1:$IX$10144,8,FALSE))=0,"",VLOOKUP($B24,Database!$B$1:$IX$10144,8,FALSE)))</f>
        <v>41</v>
      </c>
      <c r="J24" t="s">
        <v>1725</v>
      </c>
      <c r="L24">
        <v>6.21</v>
      </c>
      <c r="M24">
        <v>2.27</v>
      </c>
      <c r="N24">
        <v>6.42</v>
      </c>
      <c r="O24">
        <v>1.59</v>
      </c>
      <c r="P24">
        <v>6.41</v>
      </c>
      <c r="Q24">
        <v>2.36</v>
      </c>
      <c r="R24">
        <v>6.68</v>
      </c>
      <c r="S24">
        <v>1.8</v>
      </c>
      <c r="T24">
        <v>12.63</v>
      </c>
      <c r="U24">
        <v>4.5599999999999996</v>
      </c>
      <c r="V24">
        <v>13.1</v>
      </c>
      <c r="W24">
        <v>3.33</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64.040000000000006</v>
      </c>
      <c r="AC24" s="22">
        <f>IF(OR($B24="",AC$22=""),"",IF(LEN(VLOOKUP($B24,Database!$B$1:$IX$10144,AC$22,FALSE))=0,"",VLOOKUP($B24,Database!$B$1:$IX$10144,AC$22,FALSE)))</f>
        <v>10.9</v>
      </c>
      <c r="AD24" s="22">
        <f>IF(OR($B24="",AD$22=""),"",IF(LEN(VLOOKUP($B24,Database!$B$1:$IX$10144,AD$22,FALSE))=0,"",VLOOKUP($B24,Database!$B$1:$IX$10144,AD$22,FALSE)))</f>
        <v>62.37</v>
      </c>
      <c r="AE24" s="22">
        <f>IF(OR($B24="",AE$22=""),"",IF(LEN(VLOOKUP($B24,Database!$B$1:$IX$10144,AE$22,FALSE))=0,"",VLOOKUP($B24,Database!$B$1:$IX$10144,AE$22,FALSE)))</f>
        <v>11.38</v>
      </c>
      <c r="AF24" s="22">
        <f>IF(OR($B24="",AF$22=""),"",IF(LEN(VLOOKUP($B24,Database!$B$1:$IX$10144,AF$22,FALSE))=0,"",VLOOKUP($B24,Database!$B$1:$IX$10144,AF$22,FALSE)))</f>
        <v>28</v>
      </c>
      <c r="AG24" s="22">
        <f>IF(OR($B24="",AG$22=""),"",IF(LEN(VLOOKUP($B24,Database!$B$1:$IX$10144,AG$22,FALSE))=0,"",VLOOKUP($B24,Database!$B$1:$IX$10144,AG$22,FALSE)))</f>
        <v>41</v>
      </c>
      <c r="AH24" s="22">
        <f>IF(OR($B24="",AH$22=""),"",IF(LEN(VLOOKUP($B24,Database!$B$1:$IX$10144,AH$22,FALSE))=0,"",VLOOKUP($B24,Database!$B$1:$IX$10144,AH$22,FALSE)))</f>
        <v>1.5</v>
      </c>
      <c r="AI24" s="22">
        <f>IF(OR($B24="",AI$22=""),"",IF(LEN(VLOOKUP($B24,Database!$B$1:$IX$10144,AI$22,FALSE))=0,"",VLOOKUP($B24,Database!$B$1:$IX$10144,AI$22,FALSE)))</f>
        <v>1.2</v>
      </c>
      <c r="AJ24" s="22" t="str">
        <f>IF(OR($B24="",AJ$22=""),"",IF(LEN(VLOOKUP($B24,Database!$B$1:$IX$10144,AJ$22,FALSE))=0,"",VLOOKUP($B24,Database!$B$1:$IX$10144,AJ$22,FALSE)))</f>
        <v/>
      </c>
      <c r="AK24" s="22">
        <f>IF(OR($B24="",AK$22=""),"",IF(LEN(VLOOKUP($B24,Database!$B$1:$IX$10144,AK$22,FALSE))=0,"",VLOOKUP($B24,Database!$B$1:$IX$10144,AK$22,FALSE)))</f>
        <v>33.04</v>
      </c>
      <c r="AL24" s="22" t="str">
        <f>IF(OR($B24="",AL$22=""),"",IF(LEN(VLOOKUP($B24,Database!$B$1:$IX$10144,AL$22,FALSE))=0,"",VLOOKUP($B24,Database!$B$1:$IX$10144,AL$22,FALSE)))</f>
        <v>ns</v>
      </c>
      <c r="AM24" s="22">
        <f>IF(OR($B24="",AM$22=""),"",IF(LEN(VLOOKUP($B24,Database!$B$1:$IX$10144,AM$22,FALSE))=0,"",VLOOKUP($B24,Database!$B$1:$IX$10144,AM$22,FALSE)))</f>
        <v>60.714285714285708</v>
      </c>
      <c r="AN24" s="22">
        <f>IF(OR($B24="",AN$22=""),"",IF(LEN(VLOOKUP($B24,Database!$B$1:$IX$10144,AN$22,FALSE))=0,"",VLOOKUP($B24,Database!$B$1:$IX$10144,AN$22,FALSE)))</f>
        <v>25</v>
      </c>
      <c r="AO24" s="22"/>
      <c r="AP24" s="22">
        <f>IF(OR($B24="",AP$22=""),"",IF(LEN(VLOOKUP($B24,Database!$B$1:$IX$10144,AP$22,FALSE))=0,"",VLOOKUP($B24,Database!$B$1:$IX$10144,AP$22,FALSE)))</f>
        <v>21.428571428571427</v>
      </c>
      <c r="AQ24" s="22" t="str">
        <f>IF(OR($B24="",AQ$22=""),"",IF(LEN(VLOOKUP($B24,Database!$B$1:$IX$10144,AQ$22,FALSE))=0,"",VLOOKUP($B24,Database!$B$1:$IX$10144,AQ$22,FALSE)))</f>
        <v>Janssen J, Hulshoff Pol HE, Lampe IK, Schnack HG, de Leeuw FE, Kahn RS, Heeren TJ.</v>
      </c>
      <c r="AR24" s="13"/>
      <c r="AX24" s="13"/>
      <c r="AY24" s="13"/>
      <c r="AZ24" s="13"/>
      <c r="BA24" s="13"/>
      <c r="BC24" s="23"/>
      <c r="BF24" s="136"/>
      <c r="BG24" s="136"/>
      <c r="BH24" s="136"/>
      <c r="BI24" s="136"/>
    </row>
    <row r="25" spans="1:65">
      <c r="A25" t="s">
        <v>2267</v>
      </c>
      <c r="B25">
        <v>14960287</v>
      </c>
      <c r="C25" s="1" t="str">
        <f>IF($B25="","",HYPERLINK(IF(LEN(VLOOKUP($B25,Database!$B$1:$IX$10144,2,FALSE))=0,"",VLOOKUP($B25,Database!$B$1:$IX$10144,2,FALSE))))</f>
        <v/>
      </c>
      <c r="D25" s="1" t="str">
        <f t="shared" si="0"/>
        <v>http://www.ncbi.nlm.nih.gov/pubmed/14960287</v>
      </c>
      <c r="E25" s="22" t="str">
        <f>IF($B25="","",IF(LEN(VLOOKUP($B25,Database!$B$1:$IX$10144,4,FALSE))=0,"",VLOOKUP($B25,Database!$B$1:$IX$10144,4,FALSE)))</f>
        <v>Lacerda AL</v>
      </c>
      <c r="F25" s="22">
        <f>IF($B25="","",IF(LEN(VLOOKUP($B25,Database!$B$1:$IX$10144,5,FALSE))=0,"",VLOOKUP($B25,Database!$B$1:$IX$10144,5,FALSE)))</f>
        <v>2004</v>
      </c>
      <c r="G25" s="1" t="str">
        <f>IF($B25="","",HYPERLINK(IF(LEN(VLOOKUP($B25,Database!$B$1:$IX$10144,6,FALSE))=0,"",VLOOKUP($B25,Database!$B$1:$IX$10144,6,FALSE))))</f>
        <v>http://dx.doi.org/10.1016/j.biopsych.2003.08.021</v>
      </c>
      <c r="H25" s="22">
        <f>IF($B25="","",IF(LEN(VLOOKUP($B25,Database!$B$1:$IX$10144,7,FALSE))=0,"",VLOOKUP($B25,Database!$B$1:$IX$10144,7,FALSE)))</f>
        <v>31</v>
      </c>
      <c r="I25" s="22">
        <f>IF($B25="","",IF(LEN(VLOOKUP($B25,Database!$B$1:$IX$10144,8,FALSE))=0,"",VLOOKUP($B25,Database!$B$1:$IX$10144,8,FALSE)))</f>
        <v>34</v>
      </c>
      <c r="J25" t="s">
        <v>1649</v>
      </c>
      <c r="L25">
        <v>5.89</v>
      </c>
      <c r="M25">
        <v>1.0900000000000001</v>
      </c>
      <c r="N25">
        <v>6.42</v>
      </c>
      <c r="O25">
        <v>1.82</v>
      </c>
      <c r="P25">
        <v>6.52</v>
      </c>
      <c r="Q25">
        <v>1.21</v>
      </c>
      <c r="R25">
        <v>6.98</v>
      </c>
      <c r="S25">
        <v>1.87</v>
      </c>
      <c r="T25">
        <v>12.41</v>
      </c>
      <c r="U25">
        <v>2.2200000000000002</v>
      </c>
      <c r="V25">
        <v>13.4</v>
      </c>
      <c r="W25">
        <v>3.6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39.26</v>
      </c>
      <c r="AC25" s="22">
        <f>IF(OR($B25="",AC$22=""),"",IF(LEN(VLOOKUP($B25,Database!$B$1:$IX$10144,AC$22,FALSE))=0,"",VLOOKUP($B25,Database!$B$1:$IX$10144,AC$22,FALSE)))</f>
        <v>11.9</v>
      </c>
      <c r="AD25" s="22">
        <f>IF(OR($B25="",AD$22=""),"",IF(LEN(VLOOKUP($B25,Database!$B$1:$IX$10144,AD$22,FALSE))=0,"",VLOOKUP($B25,Database!$B$1:$IX$10144,AD$22,FALSE)))</f>
        <v>37.03</v>
      </c>
      <c r="AE25" s="22">
        <f>IF(OR($B25="",AE$22=""),"",IF(LEN(VLOOKUP($B25,Database!$B$1:$IX$10144,AE$22,FALSE))=0,"",VLOOKUP($B25,Database!$B$1:$IX$10144,AE$22,FALSE)))</f>
        <v>11.88</v>
      </c>
      <c r="AF25" s="22">
        <f>IF(OR($B25="",AF$22=""),"",IF(LEN(VLOOKUP($B25,Database!$B$1:$IX$10144,AF$22,FALSE))=0,"",VLOOKUP($B25,Database!$B$1:$IX$10144,AF$22,FALSE)))</f>
        <v>24</v>
      </c>
      <c r="AG25" s="22">
        <f>IF(OR($B25="",AG$22=""),"",IF(LEN(VLOOKUP($B25,Database!$B$1:$IX$10144,AG$22,FALSE))=0,"",VLOOKUP($B25,Database!$B$1:$IX$10144,AG$22,FALSE)))</f>
        <v>22</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27.94</v>
      </c>
      <c r="AL25" s="22">
        <f>IF(OR($B25="",AL$22=""),"",IF(LEN(VLOOKUP($B25,Database!$B$1:$IX$10144,AL$22,FALSE))=0,"",VLOOKUP($B25,Database!$B$1:$IX$10144,AL$22,FALSE)))</f>
        <v>14.07</v>
      </c>
      <c r="AM25" s="22" t="str">
        <f>IF(OR($B25="",AM$22=""),"",IF(LEN(VLOOKUP($B25,Database!$B$1:$IX$10144,AM$22,FALSE))=0,"",VLOOKUP($B25,Database!$B$1:$IX$10144,AM$22,FALSE)))</f>
        <v>ns</v>
      </c>
      <c r="AN25" s="22" t="str">
        <f>IF(OR($B25="",AN$22=""),"",IF(LEN(VLOOKUP($B25,Database!$B$1:$IX$10144,AN$22,FALSE))=0,"",VLOOKUP($B25,Database!$B$1:$IX$10144,AN$22,FALSE)))</f>
        <v>ns</v>
      </c>
      <c r="AO25" s="22"/>
      <c r="AP25" s="22">
        <f>IF(OR($B25="",AP$22=""),"",IF(LEN(VLOOKUP($B25,Database!$B$1:$IX$10144,AP$22,FALSE))=0,"",VLOOKUP($B25,Database!$B$1:$IX$10144,AP$22,FALSE)))</f>
        <v>100</v>
      </c>
      <c r="AQ25" s="22" t="str">
        <f>IF(OR($B25="",AQ$22=""),"",IF(LEN(VLOOKUP($B25,Database!$B$1:$IX$10144,AQ$22,FALSE))=0,"",VLOOKUP($B25,Database!$B$1:$IX$10144,AQ$22,FALSE)))</f>
        <v>Lacerda AL, Keshavan MS, Hardan AY, Yorbik O, Brambilla P, Sassi RB, Nicoletti M, Mallinger AG, Frank E, Kupfer DJ, Soares JC.</v>
      </c>
      <c r="AR25" s="13"/>
      <c r="AX25" s="13"/>
      <c r="AY25" s="13"/>
      <c r="AZ25" s="13"/>
      <c r="BA25" s="13"/>
      <c r="BC25" s="23"/>
      <c r="BF25" s="136"/>
      <c r="BG25" s="136"/>
      <c r="BH25" s="136"/>
      <c r="BI25" s="136"/>
    </row>
    <row r="26" spans="1:65">
      <c r="A26" s="10"/>
      <c r="B26">
        <v>17463189</v>
      </c>
      <c r="C26" s="1" t="str">
        <f>IF($B26="","",HYPERLINK(IF(LEN(VLOOKUP($B26,Database!$B$1:$IX$10144,2,FALSE))=0,"",VLOOKUP($B26,Database!$B$1:$IX$10144,2,FALSE))))</f>
        <v/>
      </c>
      <c r="D26" s="1" t="str">
        <f t="shared" si="0"/>
        <v>http://www.ncbi.nlm.nih.gov/pubmed/17463189</v>
      </c>
      <c r="E26" s="22" t="str">
        <f>IF($B26="","",IF(LEN(VLOOKUP($B26,Database!$B$1:$IX$10144,4,FALSE))=0,"",VLOOKUP($B26,Database!$B$1:$IX$10144,4,FALSE)))</f>
        <v>Lavretsky H</v>
      </c>
      <c r="F26" s="22">
        <f>IF($B26="","",IF(LEN(VLOOKUP($B26,Database!$B$1:$IX$10144,5,FALSE))=0,"",VLOOKUP($B26,Database!$B$1:$IX$10144,5,FALSE)))</f>
        <v>2007</v>
      </c>
      <c r="G26" s="1" t="str">
        <f>IF($B26="","",HYPERLINK(IF(LEN(VLOOKUP($B26,Database!$B$1:$IX$10144,6,FALSE))=0,"",VLOOKUP($B26,Database!$B$1:$IX$10144,6,FALSE))))</f>
        <v>http://dx.doi.org/10.1097/JGP.0b013e3180325a16</v>
      </c>
      <c r="H26" s="22">
        <f>IF($B26="","",IF(LEN(VLOOKUP($B26,Database!$B$1:$IX$10144,7,FALSE))=0,"",VLOOKUP($B26,Database!$B$1:$IX$10144,7,FALSE)))</f>
        <v>43</v>
      </c>
      <c r="I26" s="22">
        <f>IF($B26="","",IF(LEN(VLOOKUP($B26,Database!$B$1:$IX$10144,8,FALSE))=0,"",VLOOKUP($B26,Database!$B$1:$IX$10144,8,FALSE)))</f>
        <v>41</v>
      </c>
      <c r="J26" t="s">
        <v>242</v>
      </c>
      <c r="L26">
        <v>8.6E-3</v>
      </c>
      <c r="M26">
        <v>1.6000000000000001E-3</v>
      </c>
      <c r="N26">
        <v>9.7000000000000003E-3</v>
      </c>
      <c r="O26">
        <v>8.9999999999999998E-4</v>
      </c>
      <c r="P26">
        <v>8.6E-3</v>
      </c>
      <c r="Q26">
        <v>1.6000000000000001E-3</v>
      </c>
      <c r="R26">
        <v>9.5999999999999992E-3</v>
      </c>
      <c r="S26">
        <v>1E-3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70.67</v>
      </c>
      <c r="AC26" s="22">
        <f>IF(OR($B26="",AC$22=""),"",IF(LEN(VLOOKUP($B26,Database!$B$1:$IX$10144,AC$22,FALSE))=0,"",VLOOKUP($B26,Database!$B$1:$IX$10144,AC$22,FALSE)))</f>
        <v>7.76</v>
      </c>
      <c r="AD26" s="22">
        <f>IF(OR($B26="",AD$22=""),"",IF(LEN(VLOOKUP($B26,Database!$B$1:$IX$10144,AD$22,FALSE))=0,"",VLOOKUP($B26,Database!$B$1:$IX$10144,AD$22,FALSE)))</f>
        <v>72.19</v>
      </c>
      <c r="AE26" s="22">
        <f>IF(OR($B26="",AE$22=""),"",IF(LEN(VLOOKUP($B26,Database!$B$1:$IX$10144,AE$22,FALSE))=0,"",VLOOKUP($B26,Database!$B$1:$IX$10144,AE$22,FALSE)))</f>
        <v>7.27</v>
      </c>
      <c r="AF26" s="22">
        <f>IF(OR($B26="",AF$22=""),"",IF(LEN(VLOOKUP($B26,Database!$B$1:$IX$10144,AF$22,FALSE))=0,"",VLOOKUP($B26,Database!$B$1:$IX$10144,AF$22,FALSE)))</f>
        <v>33</v>
      </c>
      <c r="AG26" s="22">
        <f>IF(OR($B26="",AG$22=""),"",IF(LEN(VLOOKUP($B26,Database!$B$1:$IX$10144,AG$22,FALSE))=0,"",VLOOKUP($B26,Database!$B$1:$IX$10144,AG$22,FALSE)))</f>
        <v>20</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49.6</v>
      </c>
      <c r="AL26" s="22">
        <f>IF(OR($B26="",AL$22=""),"",IF(LEN(VLOOKUP($B26,Database!$B$1:$IX$10144,AL$22,FALSE))=0,"",VLOOKUP($B26,Database!$B$1:$IX$10144,AL$22,FALSE)))</f>
        <v>17.7</v>
      </c>
      <c r="AM26" s="22">
        <f>IF(OR($B26="",AM$22=""),"",IF(LEN(VLOOKUP($B26,Database!$B$1:$IX$10144,AM$22,FALSE))=0,"",VLOOKUP($B26,Database!$B$1:$IX$10144,AM$22,FALSE)))</f>
        <v>0</v>
      </c>
      <c r="AN26" s="22">
        <f>IF(OR($B26="",AN$22=""),"",IF(LEN(VLOOKUP($B26,Database!$B$1:$IX$10144,AN$22,FALSE))=0,"",VLOOKUP($B26,Database!$B$1:$IX$10144,AN$22,FALSE)))</f>
        <v>0</v>
      </c>
      <c r="AO26" s="22"/>
      <c r="AP26" s="22">
        <f>IF(OR($B26="",AP$22=""),"",IF(LEN(VLOOKUP($B26,Database!$B$1:$IX$10144,AP$22,FALSE))=0,"",VLOOKUP($B26,Database!$B$1:$IX$10144,AP$22,FALSE)))</f>
        <v>100</v>
      </c>
      <c r="AQ26" s="22" t="str">
        <f>IF(OR($B26="",AQ$22=""),"",IF(LEN(VLOOKUP($B26,Database!$B$1:$IX$10144,AQ$22,FALSE))=0,"",VLOOKUP($B26,Database!$B$1:$IX$10144,AQ$22,FALSE)))</f>
        <v>Lavretsky H, Ballmaier M, Pham D, Toga A, Kumar A.</v>
      </c>
      <c r="AR26" s="13"/>
      <c r="AX26" s="13"/>
      <c r="AY26" s="13"/>
      <c r="AZ26" s="13"/>
      <c r="BA26" s="13"/>
      <c r="BC26" s="23"/>
      <c r="BF26" s="136"/>
      <c r="BG26" s="136"/>
      <c r="BH26" s="136"/>
      <c r="BI26" s="136"/>
    </row>
    <row r="27" spans="1:65">
      <c r="A27" s="10"/>
      <c r="B27">
        <v>17335636</v>
      </c>
      <c r="C27" s="1" t="str">
        <f>IF($B27="","",HYPERLINK(IF(LEN(VLOOKUP($B27,Database!$B$1:$IX$10144,2,FALSE))=0,"",VLOOKUP($B27,Database!$B$1:$IX$10144,2,FALSE))))</f>
        <v/>
      </c>
      <c r="D27" s="1" t="str">
        <f t="shared" si="0"/>
        <v>http://www.ncbi.nlm.nih.gov/pubmed/17335636</v>
      </c>
      <c r="E27" s="22" t="str">
        <f>IF($B27="","",IF(LEN(VLOOKUP($B27,Database!$B$1:$IX$10144,4,FALSE))=0,"",VLOOKUP($B27,Database!$B$1:$IX$10144,4,FALSE)))</f>
        <v>Taylor WD</v>
      </c>
      <c r="F27" s="22">
        <f>IF($B27="","",IF(LEN(VLOOKUP($B27,Database!$B$1:$IX$10144,5,FALSE))=0,"",VLOOKUP($B27,Database!$B$1:$IX$10144,5,FALSE)))</f>
        <v>2007</v>
      </c>
      <c r="G27" s="1" t="str">
        <f>IF($B27="","",HYPERLINK(IF(LEN(VLOOKUP($B27,Database!$B$1:$IX$10144,6,FALSE))=0,"",VLOOKUP($B27,Database!$B$1:$IX$10144,6,FALSE))))</f>
        <v>http://dx.doi.org/10.1017/S0033291707000128</v>
      </c>
      <c r="H27" s="22">
        <f>IF($B27="","",IF(LEN(VLOOKUP($B27,Database!$B$1:$IX$10144,7,FALSE))=0,"",VLOOKUP($B27,Database!$B$1:$IX$10144,7,FALSE)))</f>
        <v>226</v>
      </c>
      <c r="I27" s="22">
        <f>IF($B27="","",IF(LEN(VLOOKUP($B27,Database!$B$1:$IX$10144,8,FALSE))=0,"",VLOOKUP($B27,Database!$B$1:$IX$10144,8,FALSE)))</f>
        <v>144</v>
      </c>
      <c r="J27" t="s">
        <v>1650</v>
      </c>
      <c r="L27">
        <v>6.3</v>
      </c>
      <c r="M27">
        <v>1.6</v>
      </c>
      <c r="N27">
        <v>6.7</v>
      </c>
      <c r="O27">
        <v>1.5</v>
      </c>
      <c r="P27">
        <v>6.7</v>
      </c>
      <c r="Q27">
        <v>1.8</v>
      </c>
      <c r="R27">
        <v>7.1</v>
      </c>
      <c r="S27">
        <v>1.6</v>
      </c>
      <c r="T27">
        <v>13</v>
      </c>
      <c r="U27">
        <v>3.1</v>
      </c>
      <c r="V27">
        <v>13.8</v>
      </c>
      <c r="W27">
        <v>2.9</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70</v>
      </c>
      <c r="AC27" s="22">
        <f>IF(OR($B27="",AC$22=""),"",IF(LEN(VLOOKUP($B27,Database!$B$1:$IX$10144,AC$22,FALSE))=0,"",VLOOKUP($B27,Database!$B$1:$IX$10144,AC$22,FALSE)))</f>
        <v>7.4</v>
      </c>
      <c r="AD27" s="22">
        <f>IF(OR($B27="",AD$22=""),"",IF(LEN(VLOOKUP($B27,Database!$B$1:$IX$10144,AD$22,FALSE))=0,"",VLOOKUP($B27,Database!$B$1:$IX$10144,AD$22,FALSE)))</f>
        <v>70.3</v>
      </c>
      <c r="AE27" s="22">
        <f>IF(OR($B27="",AE$22=""),"",IF(LEN(VLOOKUP($B27,Database!$B$1:$IX$10144,AE$22,FALSE))=0,"",VLOOKUP($B27,Database!$B$1:$IX$10144,AE$22,FALSE)))</f>
        <v>6.5</v>
      </c>
      <c r="AF27" s="22">
        <f>IF(OR($B27="",AF$22=""),"",IF(LEN(VLOOKUP($B27,Database!$B$1:$IX$10144,AF$22,FALSE))=0,"",VLOOKUP($B27,Database!$B$1:$IX$10144,AF$22,FALSE)))</f>
        <v>150</v>
      </c>
      <c r="AG27" s="22">
        <f>IF(OR($B27="",AG$22=""),"",IF(LEN(VLOOKUP($B27,Database!$B$1:$IX$10144,AG$22,FALSE))=0,"",VLOOKUP($B27,Database!$B$1:$IX$10144,AG$22,FALSE)))</f>
        <v>100</v>
      </c>
      <c r="AH27" s="22">
        <f>IF(OR($B27="",AH$22=""),"",IF(LEN(VLOOKUP($B27,Database!$B$1:$IX$10144,AH$22,FALSE))=0,"",VLOOKUP($B27,Database!$B$1:$IX$10144,AH$22,FALSE)))</f>
        <v>1.5</v>
      </c>
      <c r="AI27" s="22">
        <f>IF(OR($B27="",AI$22=""),"",IF(LEN(VLOOKUP($B27,Database!$B$1:$IX$10144,AI$22,FALSE))=0,"",VLOOKUP($B27,Database!$B$1:$IX$10144,AI$22,FALSE)))</f>
        <v>3</v>
      </c>
      <c r="AJ27" s="22" t="str">
        <f>IF(OR($B27="",AJ$22=""),"",IF(LEN(VLOOKUP($B27,Database!$B$1:$IX$10144,AJ$22,FALSE))=0,"",VLOOKUP($B27,Database!$B$1:$IX$10144,AJ$22,FALSE)))</f>
        <v/>
      </c>
      <c r="AK27" s="22">
        <f>IF(OR($B27="",AK$22=""),"",IF(LEN(VLOOKUP($B27,Database!$B$1:$IX$10144,AK$22,FALSE))=0,"",VLOOKUP($B27,Database!$B$1:$IX$10144,AK$22,FALSE)))</f>
        <v>45.4</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c r="AP27" s="22" t="str">
        <f>IF(OR($B27="",AP$22=""),"",IF(LEN(VLOOKUP($B27,Database!$B$1:$IX$10144,AP$22,FALSE))=0,"",VLOOKUP($B27,Database!$B$1:$IX$10144,AP$22,FALSE)))</f>
        <v>ns</v>
      </c>
      <c r="AQ27" s="22" t="str">
        <f>IF(OR($B27="",AQ$22=""),"",IF(LEN(VLOOKUP($B27,Database!$B$1:$IX$10144,AQ$22,FALSE))=0,"",VLOOKUP($B27,Database!$B$1:$IX$10144,AQ$22,FALSE)))</f>
        <v>Taylor WD, Macfall JR, Payne ME, McQuoid DR, Steffens DC, Provenzale JM, Krishnan KR.</v>
      </c>
      <c r="AR27" s="13"/>
      <c r="AX27" s="13"/>
      <c r="AY27" s="13"/>
      <c r="AZ27" s="13"/>
      <c r="BA27" s="13"/>
      <c r="BC27" s="23"/>
      <c r="BF27" s="136"/>
      <c r="BG27" s="136"/>
      <c r="BH27" s="136"/>
      <c r="BI27" s="136"/>
    </row>
    <row r="28" spans="1:65">
      <c r="B28">
        <v>19108659</v>
      </c>
      <c r="C28" s="1" t="str">
        <f>IF($B28="","",HYPERLINK(IF(LEN(VLOOKUP($B28,Database!$B$1:$IX$10144,2,FALSE))=0,"",VLOOKUP($B28,Database!$B$1:$IX$10144,2,FALSE))))</f>
        <v/>
      </c>
      <c r="D28" s="1" t="str">
        <f t="shared" si="0"/>
        <v>http://www.ncbi.nlm.nih.gov/pubmed/19108659</v>
      </c>
      <c r="E28" s="22" t="str">
        <f>IF($B28="","",IF(LEN(VLOOKUP($B28,Database!$B$1:$IX$10144,4,FALSE))=0,"",VLOOKUP($B28,Database!$B$1:$IX$10144,4,FALSE)))</f>
        <v>Chen HH</v>
      </c>
      <c r="F28" s="22">
        <f>IF($B28="","",IF(LEN(VLOOKUP($B28,Database!$B$1:$IX$10144,5,FALSE))=0,"",VLOOKUP($B28,Database!$B$1:$IX$10144,5,FALSE)))</f>
        <v>2008</v>
      </c>
      <c r="G28" s="1" t="str">
        <f>IF($B28="","",HYPERLINK(IF(LEN(VLOOKUP($B28,Database!$B$1:$IX$10144,6,FALSE))=0,"",VLOOKUP($B28,Database!$B$1:$IX$10144,6,FALSE))))</f>
        <v>http://dx.doi.org/10.1089/cap.2008.053</v>
      </c>
      <c r="H28" s="22">
        <f>IF($B28="","",IF(LEN(VLOOKUP($B28,Database!$B$1:$IX$10144,7,FALSE))=0,"",VLOOKUP($B28,Database!$B$1:$IX$10144,7,FALSE)))</f>
        <v>27</v>
      </c>
      <c r="I28" s="22">
        <f>IF($B28="","",IF(LEN(VLOOKUP($B28,Database!$B$1:$IX$10144,8,FALSE))=0,"",VLOOKUP($B28,Database!$B$1:$IX$10144,8,FALSE)))</f>
        <v>26</v>
      </c>
      <c r="J28" t="s">
        <v>531</v>
      </c>
      <c r="L28">
        <v>7.9</v>
      </c>
      <c r="M28">
        <v>2.2000000000000002</v>
      </c>
      <c r="N28">
        <v>7.6</v>
      </c>
      <c r="O28">
        <v>1.7</v>
      </c>
      <c r="P28">
        <v>8.6</v>
      </c>
      <c r="Q28">
        <v>2.1</v>
      </c>
      <c r="R28">
        <v>8</v>
      </c>
      <c r="S28">
        <v>1.7</v>
      </c>
      <c r="T28">
        <v>16.5</v>
      </c>
      <c r="U28">
        <v>4.2</v>
      </c>
      <c r="V28">
        <v>15.6</v>
      </c>
      <c r="W28">
        <v>3.3</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14.4</v>
      </c>
      <c r="AC28" s="22">
        <f>IF(OR($B28="",AC$22=""),"",IF(LEN(VLOOKUP($B28,Database!$B$1:$IX$10144,AC$22,FALSE))=0,"",VLOOKUP($B28,Database!$B$1:$IX$10144,AC$22,FALSE)))</f>
        <v>2.2000000000000002</v>
      </c>
      <c r="AD28" s="22">
        <f>IF(OR($B28="",AD$22=""),"",IF(LEN(VLOOKUP($B28,Database!$B$1:$IX$10144,AD$22,FALSE))=0,"",VLOOKUP($B28,Database!$B$1:$IX$10144,AD$22,FALSE)))</f>
        <v>14.4</v>
      </c>
      <c r="AE28" s="22">
        <f>IF(OR($B28="",AE$22=""),"",IF(LEN(VLOOKUP($B28,Database!$B$1:$IX$10144,AE$22,FALSE))=0,"",VLOOKUP($B28,Database!$B$1:$IX$10144,AE$22,FALSE)))</f>
        <v>2.4</v>
      </c>
      <c r="AF28" s="22">
        <f>IF(OR($B28="",AF$22=""),"",IF(LEN(VLOOKUP($B28,Database!$B$1:$IX$10144,AF$22,FALSE))=0,"",VLOOKUP($B28,Database!$B$1:$IX$10144,AF$22,FALSE)))</f>
        <v>17</v>
      </c>
      <c r="AG28" s="22">
        <f>IF(OR($B28="",AG$22=""),"",IF(LEN(VLOOKUP($B28,Database!$B$1:$IX$10144,AG$22,FALSE))=0,"",VLOOKUP($B28,Database!$B$1:$IX$10144,AG$22,FALSE)))</f>
        <v>14</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11.75</v>
      </c>
      <c r="AL28" s="22">
        <f>IF(OR($B28="",AL$22=""),"",IF(LEN(VLOOKUP($B28,Database!$B$1:$IX$10144,AL$22,FALSE))=0,"",VLOOKUP($B28,Database!$B$1:$IX$10144,AL$22,FALSE)))</f>
        <v>20.100000000000001</v>
      </c>
      <c r="AM28" s="22">
        <f>IF(OR($B28="",AM$22=""),"",IF(LEN(VLOOKUP($B28,Database!$B$1:$IX$10144,AM$22,FALSE))=0,"",VLOOKUP($B28,Database!$B$1:$IX$10144,AM$22,FALSE)))</f>
        <v>0</v>
      </c>
      <c r="AN28" s="22">
        <f>IF(OR($B28="",AN$22=""),"",IF(LEN(VLOOKUP($B28,Database!$B$1:$IX$10144,AN$22,FALSE))=0,"",VLOOKUP($B28,Database!$B$1:$IX$10144,AN$22,FALSE)))</f>
        <v>0</v>
      </c>
      <c r="AO28" s="22"/>
      <c r="AP28" s="22">
        <f>IF(OR($B28="",AP$22=""),"",IF(LEN(VLOOKUP($B28,Database!$B$1:$IX$10144,AP$22,FALSE))=0,"",VLOOKUP($B28,Database!$B$1:$IX$10144,AP$22,FALSE)))</f>
        <v>100</v>
      </c>
      <c r="AQ28" s="22" t="str">
        <f>IF(OR($B28="",AQ$22=""),"",IF(LEN(VLOOKUP($B28,Database!$B$1:$IX$10144,AQ$22,FALSE))=0,"",VLOOKUP($B28,Database!$B$1:$IX$10144,AQ$22,FALSE)))</f>
        <v>Chen HH, Rosenberg DR, MacMaster FP, Easter PC, Caetano SC, Nicoletti M, Hatch JP, Nery FG, Soares JC.</v>
      </c>
      <c r="AR28" s="13"/>
      <c r="AX28" s="13"/>
      <c r="AY28" s="13"/>
      <c r="AZ28" s="13"/>
      <c r="BA28" s="13"/>
      <c r="BC28" s="23"/>
      <c r="BF28" s="136"/>
      <c r="BG28" s="136"/>
      <c r="BH28" s="136"/>
      <c r="BI28" s="136"/>
    </row>
    <row r="29" spans="1:65">
      <c r="C29" s="1" t="str">
        <f>IF($B29="","",HYPERLINK(IF(LEN(VLOOKUP($B29,Database!$B$1:$IX$10144,2,FALSE))=0,"",VLOOKUP($B29,Database!$B$1:$IX$10144,2,FALSE))))</f>
        <v/>
      </c>
      <c r="D29" s="1" t="str">
        <f t="shared" si="0"/>
        <v/>
      </c>
      <c r="E29" s="22" t="str">
        <f>IF($B29="","",IF(LEN(VLOOKUP($B29,Database!$B$1:$IX$10144,4,FALSE))=0,"",VLOOKUP($B29,Database!$B$1:$IX$10144,4,FALSE)))</f>
        <v/>
      </c>
      <c r="F29" s="22" t="str">
        <f>IF($B29="","",IF(LEN(VLOOKUP($B29,Database!$B$1:$IX$10144,5,FALSE))=0,"",VLOOKUP($B29,Database!$B$1:$IX$10144,5,FALSE)))</f>
        <v/>
      </c>
      <c r="G29" s="1" t="str">
        <f>IF($B29="","",HYPERLINK(IF(LEN(VLOOKUP($B29,Database!$B$1:$IX$10144,6,FALSE))=0,"",VLOOKUP($B29,Database!$B$1:$IX$10144,6,FALSE))))</f>
        <v/>
      </c>
      <c r="H29" s="22" t="str">
        <f>IF($B29="","",IF(LEN(VLOOKUP($B29,Database!$B$1:$IX$10144,7,FALSE))=0,"",VLOOKUP($B29,Database!$B$1:$IX$10144,7,FALSE)))</f>
        <v/>
      </c>
      <c r="I29" s="22" t="str">
        <f>IF($B29="","",IF(LEN(VLOOKUP($B29,Database!$B$1:$IX$10144,8,FALSE))=0,"",VLOOKUP($B29,Database!$B$1:$IX$10144,8,FALSE)))</f>
        <v/>
      </c>
      <c r="Y29" s="22" t="str">
        <f>IF(OR($B29="",Y$22=""),"",IF(LEN(VLOOKUP($B29,Database!$B$1:$IX$10144,Y$22,FALSE))=0,"",VLOOKUP($B29,Database!$B$1:$IX$10144,Y$22,FALSE)))</f>
        <v/>
      </c>
      <c r="Z29" s="22" t="str">
        <f>IF(OR($B29="",Z$22=""),"",IF(LEN(VLOOKUP($B29,Database!$B$1:$IX$10144,Z$22,FALSE))=0,"",VLOOKUP($B29,Database!$B$1:$IX$10144,Z$22,FALSE)))</f>
        <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2" t="str">
        <f>IF(OR($B29="",AF$22=""),"",IF(LEN(VLOOKUP($B29,Database!$B$1:$IX$10144,AF$22,FALSE))=0,"",VLOOKUP($B29,Database!$B$1:$IX$10144,AF$22,FALSE)))</f>
        <v/>
      </c>
      <c r="AG29" s="22" t="str">
        <f>IF(OR($B29="",AG$22=""),"",IF(LEN(VLOOKUP($B29,Database!$B$1:$IX$10144,AG$22,FALSE))=0,"",VLOOKUP($B29,Database!$B$1:$IX$10144,AG$22,FALSE)))</f>
        <v/>
      </c>
      <c r="AH29" s="22" t="str">
        <f>IF(OR($B29="",AH$22=""),"",IF(LEN(VLOOKUP($B29,Database!$B$1:$IX$10144,AH$22,FALSE))=0,"",VLOOKUP($B29,Database!$B$1:$IX$10144,AH$22,FALSE)))</f>
        <v/>
      </c>
      <c r="AI29" s="22" t="str">
        <f>IF(OR($B29="",AI$22=""),"",IF(LEN(VLOOKUP($B29,Database!$B$1:$IX$10144,AI$22,FALSE))=0,"",VLOOKUP($B29,Database!$B$1:$IX$10144,AI$22,FALSE)))</f>
        <v/>
      </c>
      <c r="AJ29" s="22" t="str">
        <f>IF(OR($B29="",AJ$22=""),"",IF(LEN(VLOOKUP($B29,Database!$B$1:$IX$10144,AJ$22,FALSE))=0,"",VLOOKUP($B29,Database!$B$1:$IX$10144,AJ$22,FALSE)))</f>
        <v/>
      </c>
      <c r="AK29" s="22" t="str">
        <f>IF(OR($B29="",AK$22=""),"",IF(LEN(VLOOKUP($B29,Database!$B$1:$IX$10144,AK$22,FALSE))=0,"",VLOOKUP($B29,Database!$B$1:$IX$10144,AK$22,FALSE)))</f>
        <v/>
      </c>
      <c r="AL29" s="22" t="str">
        <f>IF(OR($B29="",AL$22=""),"",IF(LEN(VLOOKUP($B29,Database!$B$1:$IX$10144,AL$22,FALSE))=0,"",VLOOKUP($B29,Database!$B$1:$IX$10144,AL$22,FALSE)))</f>
        <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
      </c>
    </row>
    <row r="30" spans="1:65">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10" t="s">
        <v>260</v>
      </c>
      <c r="B33">
        <v>14702257</v>
      </c>
      <c r="C33" s="1" t="str">
        <f>IF($B33="","",HYPERLINK(IF(LEN(VLOOKUP($B33,Database!$B$1:$IX$10144,2,FALSE))=0,"",VLOOKUP($B33,Database!$B$1:$IX$10144,2,FALSE))))</f>
        <v/>
      </c>
      <c r="D33" s="1" t="str">
        <f t="shared" ref="D33:D41" si="1">IF($B33="","",HYPERLINK(CONCATENATE("http://www.ncbi.nlm.nih.gov/pubmed/",B33)))</f>
        <v>http://www.ncbi.nlm.nih.gov/pubmed/14702257</v>
      </c>
      <c r="E33" s="22" t="str">
        <f>IF($B33="","",IF(LEN(VLOOKUP($B33,Database!$B$1:$IX$10144,4,FALSE))=0,"",VLOOKUP($B33,Database!$B$1:$IX$10144,4,FALSE)))</f>
        <v>Ballmaier M (A)</v>
      </c>
      <c r="F33" s="22">
        <f>IF($B33="","",IF(LEN(VLOOKUP($B33,Database!$B$1:$IX$10144,5,FALSE))=0,"",VLOOKUP($B33,Database!$B$1:$IX$10144,5,FALSE)))</f>
        <v>2004</v>
      </c>
      <c r="G33" s="1" t="str">
        <f>IF($B33="","",HYPERLINK(IF(LEN(VLOOKUP($B33,Database!$B$1:$IX$10144,6,FALSE))=0,"",VLOOKUP($B33,Database!$B$1:$IX$10144,6,FALSE))))</f>
        <v>http://ajp.psychiatryonline.org/cgi/reprint/161/1/99</v>
      </c>
      <c r="H33" s="22">
        <f>IF($B33="","",IF(LEN(VLOOKUP($B33,Database!$B$1:$IX$10144,7,FALSE))=0,"",VLOOKUP($B33,Database!$B$1:$IX$10144,7,FALSE)))</f>
        <v>24</v>
      </c>
      <c r="I33" s="22">
        <f>IF($B33="","",IF(LEN(VLOOKUP($B33,Database!$B$1:$IX$10144,8,FALSE))=0,"",VLOOKUP($B33,Database!$B$1:$IX$10144,8,FALSE)))</f>
        <v>19</v>
      </c>
      <c r="J33" t="s">
        <v>1724</v>
      </c>
      <c r="L33">
        <v>10956</v>
      </c>
      <c r="M33">
        <v>1344</v>
      </c>
      <c r="N33">
        <v>12797</v>
      </c>
      <c r="O33">
        <v>1072</v>
      </c>
      <c r="P33">
        <v>10778</v>
      </c>
      <c r="Q33">
        <v>1559</v>
      </c>
      <c r="R33">
        <v>12234</v>
      </c>
      <c r="S33">
        <v>1142</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c r="AC33" s="22"/>
      <c r="AD33" s="22">
        <f>IF(OR($B33="",AD$22=""),"",IF(LEN(VLOOKUP($B33,Database!$B$1:$IX$10144,AD$22,FALSE))=0,"",VLOOKUP($B33,Database!$B$1:$IX$10144,AD$22,FALSE)))</f>
        <v>66.239999999999995</v>
      </c>
      <c r="AE33" s="22">
        <f>IF(OR($B33="",AE$22=""),"",IF(LEN(VLOOKUP($B33,Database!$B$1:$IX$10144,AE$22,FALSE))=0,"",VLOOKUP($B33,Database!$B$1:$IX$10144,AE$22,FALSE)))</f>
        <v>7.25</v>
      </c>
      <c r="AF33" s="22">
        <f>IF(OR($B33="",AF$22=""),"",IF(LEN(VLOOKUP($B33,Database!$B$1:$IX$10144,AF$22,FALSE))=0,"",VLOOKUP($B33,Database!$B$1:$IX$10144,AF$22,FALSE)))</f>
        <v>18</v>
      </c>
      <c r="AG33" s="22">
        <f>IF(OR($B33="",AG$22=""),"",IF(LEN(VLOOKUP($B33,Database!$B$1:$IX$10144,AG$22,FALSE))=0,"",VLOOKUP($B33,Database!$B$1:$IX$10144,AG$22,FALSE)))</f>
        <v>15</v>
      </c>
      <c r="AH33" s="22">
        <f>IF(OR($B33="",AH$22=""),"",IF(LEN(VLOOKUP($B33,Database!$B$1:$IX$10144,AH$22,FALSE))=0,"",VLOOKUP($B33,Database!$B$1:$IX$10144,AH$22,FALSE)))</f>
        <v>1.5</v>
      </c>
      <c r="AI33" s="22">
        <f>IF(OR($B33="",AI$22=""),"",IF(LEN(VLOOKUP($B33,Database!$B$1:$IX$10144,AI$22,FALSE))=0,"",VLOOKUP($B33,Database!$B$1:$IX$10144,AI$22,FALSE)))</f>
        <v>1.4</v>
      </c>
      <c r="AJ33" s="22" t="str">
        <f>IF(OR($B33="",AJ$22=""),"",IF(LEN(VLOOKUP($B33,Database!$B$1:$IX$10144,AJ$22,FALSE))=0,"",VLOOKUP($B33,Database!$B$1:$IX$10144,AJ$22,FALSE)))</f>
        <v/>
      </c>
      <c r="AK33" s="22">
        <f>IF(OR($B33="",AK$22=""),"",IF(LEN(VLOOKUP($B33,Database!$B$1:$IX$10144,AK$22,FALSE))=0,"",VLOOKUP($B33,Database!$B$1:$IX$10144,AK$22,FALSE)))</f>
        <v>35</v>
      </c>
      <c r="AL33" s="22" t="str">
        <f>IF(OR($B33="",AL$22=""),"",IF(LEN(VLOOKUP($B33,Database!$B$1:$IX$10144,AL$22,FALSE))=0,"",VLOOKUP($B33,Database!$B$1:$IX$10144,AL$22,FALSE)))</f>
        <v>ns</v>
      </c>
      <c r="AM33" s="22">
        <f>IF(OR($B33="",AM$22=""),"",IF(LEN(VLOOKUP($B33,Database!$B$1:$IX$10144,AM$22,FALSE))=0,"",VLOOKUP($B33,Database!$B$1:$IX$10144,AM$22,FALSE)))</f>
        <v>0</v>
      </c>
      <c r="AN33" s="22">
        <f>IF(OR($B33="",AN$22=""),"",IF(LEN(VLOOKUP($B33,Database!$B$1:$IX$10144,AN$22,FALSE))=0,"",VLOOKUP($B33,Database!$B$1:$IX$10144,AN$22,FALSE)))</f>
        <v>0</v>
      </c>
      <c r="AO33" s="22"/>
      <c r="AP33" s="22">
        <f>IF(OR($B33="",AP$22=""),"",IF(LEN(VLOOKUP($B33,Database!$B$1:$IX$10144,AP$22,FALSE))=0,"",VLOOKUP($B33,Database!$B$1:$IX$10144,AP$22,FALSE)))</f>
        <v>100</v>
      </c>
      <c r="AQ33" s="22" t="str">
        <f>IF(OR($B33="",AQ$22=""),"",IF(LEN(VLOOKUP($B33,Database!$B$1:$IX$10144,AQ$22,FALSE))=0,"",VLOOKUP($B33,Database!$B$1:$IX$10144,AQ$22,FALSE)))</f>
        <v>Ballmaier M, Toga AW, Blanton RE, Sowell ER, Lavretsky H, Peterson J, Pham D, Kumar A.</v>
      </c>
    </row>
    <row r="34" spans="1:51">
      <c r="A34" s="10" t="s">
        <v>1195</v>
      </c>
      <c r="B34">
        <v>11082470</v>
      </c>
      <c r="C34" s="1" t="str">
        <f>IF($B34="","",HYPERLINK(IF(LEN(VLOOKUP($B34,Database!$B$1:$IX$10144,2,FALSE))=0,"",VLOOKUP($B34,Database!$B$1:$IX$10144,2,FALSE))))</f>
        <v/>
      </c>
      <c r="D34" s="1" t="str">
        <f t="shared" si="1"/>
        <v>http://www.ncbi.nlm.nih.gov/pubmed/11082470</v>
      </c>
      <c r="E34" s="22" t="str">
        <f>IF($B34="","",IF(LEN(VLOOKUP($B34,Database!$B$1:$IX$10144,4,FALSE))=0,"",VLOOKUP($B34,Database!$B$1:$IX$10144,4,FALSE)))</f>
        <v>Lai T</v>
      </c>
      <c r="F34" s="22">
        <f>IF($B34="","",IF(LEN(VLOOKUP($B34,Database!$B$1:$IX$10144,5,FALSE))=0,"",VLOOKUP($B34,Database!$B$1:$IX$10144,5,FALSE)))</f>
        <v>2000</v>
      </c>
      <c r="G34" s="1" t="str">
        <f>IF($B34="","",HYPERLINK(IF(LEN(VLOOKUP($B34,Database!$B$1:$IX$10144,6,FALSE))=0,"",VLOOKUP($B34,Database!$B$1:$IX$10144,6,FALSE))))</f>
        <v>http://dx.doi.org/10.1016/S0006-3223(00)01042-8</v>
      </c>
      <c r="H34" s="22">
        <f>IF($B34="","",IF(LEN(VLOOKUP($B34,Database!$B$1:$IX$10144,7,FALSE))=0,"",VLOOKUP($B34,Database!$B$1:$IX$10144,7,FALSE)))</f>
        <v>20</v>
      </c>
      <c r="I34" s="22">
        <f>IF($B34="","",IF(LEN(VLOOKUP($B34,Database!$B$1:$IX$10144,8,FALSE))=0,"",VLOOKUP($B34,Database!$B$1:$IX$10144,8,FALSE)))</f>
        <v>20</v>
      </c>
      <c r="J34" s="13" t="s">
        <v>729</v>
      </c>
      <c r="L34">
        <v>5.99</v>
      </c>
      <c r="M34">
        <v>1.1499999999999999</v>
      </c>
      <c r="N34">
        <v>6.84</v>
      </c>
      <c r="O34">
        <v>1.54</v>
      </c>
      <c r="P34">
        <v>6.15</v>
      </c>
      <c r="Q34">
        <v>1.1299999999999999</v>
      </c>
      <c r="R34">
        <v>7.26</v>
      </c>
      <c r="S34">
        <v>1.23</v>
      </c>
      <c r="T34">
        <v>12.14</v>
      </c>
      <c r="U34">
        <v>2.13</v>
      </c>
      <c r="V34">
        <v>14.11</v>
      </c>
      <c r="W34">
        <v>2.5099999999999998</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66.650000000000006</v>
      </c>
      <c r="AC34" s="22">
        <f>IF(OR($B34="",AC$22=""),"",IF(LEN(VLOOKUP($B34,Database!$B$1:$IX$10144,AC$22,FALSE))=0,"",VLOOKUP($B34,Database!$B$1:$IX$10144,AC$22,FALSE)))</f>
        <v>5.65</v>
      </c>
      <c r="AD34" s="22">
        <f>IF(OR($B34="",AD$22=""),"",IF(LEN(VLOOKUP($B34,Database!$B$1:$IX$10144,AD$22,FALSE))=0,"",VLOOKUP($B34,Database!$B$1:$IX$10144,AD$22,FALSE)))</f>
        <v>71.790000000000006</v>
      </c>
      <c r="AE34" s="22">
        <f>IF(OR($B34="",AE$22=""),"",IF(LEN(VLOOKUP($B34,Database!$B$1:$IX$10144,AE$22,FALSE))=0,"",VLOOKUP($B34,Database!$B$1:$IX$10144,AE$22,FALSE)))</f>
        <v>4.4400000000000004</v>
      </c>
      <c r="AF34" s="22">
        <f>IF(OR($B34="",AF$22=""),"",IF(LEN(VLOOKUP($B34,Database!$B$1:$IX$10144,AF$22,FALSE))=0,"",VLOOKUP($B34,Database!$B$1:$IX$10144,AF$22,FALSE)))</f>
        <v>11</v>
      </c>
      <c r="AG34" s="22">
        <f>IF(OR($B34="",AG$22=""),"",IF(LEN(VLOOKUP($B34,Database!$B$1:$IX$10144,AG$22,FALSE))=0,"",VLOOKUP($B34,Database!$B$1:$IX$10144,AG$22,FALSE)))</f>
        <v>14</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f>IF(OR($B34="",AK$22=""),"",IF(LEN(VLOOKUP($B34,Database!$B$1:$IX$10144,AK$22,FALSE))=0,"",VLOOKUP($B34,Database!$B$1:$IX$10144,AK$22,FALSE)))</f>
        <v>44.75</v>
      </c>
      <c r="AL34" s="22" t="str">
        <f>IF(OR($B34="",AL$22=""),"",IF(LEN(VLOOKUP($B34,Database!$B$1:$IX$10144,AL$22,FALSE))=0,"",VLOOKUP($B34,Database!$B$1:$IX$10144,AL$22,FALSE)))</f>
        <v>ns</v>
      </c>
      <c r="AM34" s="22">
        <f>IF(OR($B34="",AM$22=""),"",IF(LEN(VLOOKUP($B34,Database!$B$1:$IX$10144,AM$22,FALSE))=0,"",VLOOKUP($B34,Database!$B$1:$IX$10144,AM$22,FALSE)))</f>
        <v>75</v>
      </c>
      <c r="AN34" s="22" t="str">
        <f>IF(OR($B34="",AN$22=""),"",IF(LEN(VLOOKUP($B34,Database!$B$1:$IX$10144,AN$22,FALSE))=0,"",VLOOKUP($B34,Database!$B$1:$IX$10144,AN$22,FALSE)))</f>
        <v>ns</v>
      </c>
      <c r="AO34" s="22"/>
      <c r="AP34" s="22" t="str">
        <f>IF(OR($B34="",AP$22=""),"",IF(LEN(VLOOKUP($B34,Database!$B$1:$IX$10144,AP$22,FALSE))=0,"",VLOOKUP($B34,Database!$B$1:$IX$10144,AP$22,FALSE)))</f>
        <v>ns</v>
      </c>
      <c r="AQ34" s="22" t="str">
        <f>IF(OR($B34="",AQ$22=""),"",IF(LEN(VLOOKUP($B34,Database!$B$1:$IX$10144,AQ$22,FALSE))=0,"",VLOOKUP($B34,Database!$B$1:$IX$10144,AQ$22,FALSE)))</f>
        <v>Lai T, Payne ME, Byrum CE, Steffens DC, Krishnan KR.</v>
      </c>
    </row>
    <row r="35" spans="1:51">
      <c r="A35" s="10" t="s">
        <v>260</v>
      </c>
      <c r="B35">
        <v>15545334</v>
      </c>
      <c r="C35" s="1" t="str">
        <f>IF($B35="","",HYPERLINK(IF(LEN(VLOOKUP($B35,Database!$B$1:$IX$10144,2,FALSE))=0,"",VLOOKUP($B35,Database!$B$1:$IX$10144,2,FALSE))))</f>
        <v/>
      </c>
      <c r="D35" s="1" t="str">
        <f t="shared" si="1"/>
        <v>http://www.ncbi.nlm.nih.gov/pubmed/15545334</v>
      </c>
      <c r="E35" s="22" t="str">
        <f>IF($B35="","",IF(LEN(VLOOKUP($B35,Database!$B$1:$IX$10144,4,FALSE))=0,"",VLOOKUP($B35,Database!$B$1:$IX$10144,4,FALSE)))</f>
        <v>Lavretsky H</v>
      </c>
      <c r="F35" s="22">
        <f>IF($B35="","",IF(LEN(VLOOKUP($B35,Database!$B$1:$IX$10144,5,FALSE))=0,"",VLOOKUP($B35,Database!$B$1:$IX$10144,5,FALSE)))</f>
        <v>2004</v>
      </c>
      <c r="G35" s="1" t="str">
        <f>IF($B35="","",HYPERLINK(IF(LEN(VLOOKUP($B35,Database!$B$1:$IX$10144,6,FALSE))=0,"",VLOOKUP($B35,Database!$B$1:$IX$10144,6,FALSE))))</f>
        <v>http://journals.lww.com/ajgponline/Abstract/2004/11000/Sex_Differences_in_Brain_Structure_in_Geriatric.12.aspx</v>
      </c>
      <c r="H35" s="83">
        <v>32</v>
      </c>
      <c r="I35" s="83">
        <v>20</v>
      </c>
      <c r="J35" t="s">
        <v>242</v>
      </c>
      <c r="K35" t="s">
        <v>2109</v>
      </c>
      <c r="L35">
        <v>8.7299999999999999E-3</v>
      </c>
      <c r="M35">
        <v>1.8E-3</v>
      </c>
      <c r="N35">
        <v>9.8600000000000007E-3</v>
      </c>
      <c r="O35">
        <v>1E-3</v>
      </c>
      <c r="P35">
        <v>8.6800000000000002E-3</v>
      </c>
      <c r="Q35">
        <v>1.6999999999999999E-3</v>
      </c>
      <c r="R35">
        <v>9.6600000000000002E-3</v>
      </c>
      <c r="S35">
        <v>9.7000000000000005E-4</v>
      </c>
      <c r="T35">
        <v>1.72E-2</v>
      </c>
      <c r="U35">
        <v>3.0999999999999999E-3</v>
      </c>
      <c r="V35">
        <v>1.9400000000000001E-2</v>
      </c>
      <c r="W35">
        <v>2E-3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70.5</v>
      </c>
      <c r="AC35" s="22">
        <f>IF(OR($B35="",AC$22=""),"",IF(LEN(VLOOKUP($B35,Database!$B$1:$IX$10144,AC$22,FALSE))=0,"",VLOOKUP($B35,Database!$B$1:$IX$10144,AC$22,FALSE)))</f>
        <v>7.6</v>
      </c>
      <c r="AD35" s="22">
        <f>IF(OR($B35="",AD$22=""),"",IF(LEN(VLOOKUP($B35,Database!$B$1:$IX$10144,AD$22,FALSE))=0,"",VLOOKUP($B35,Database!$B$1:$IX$10144,AD$22,FALSE)))</f>
        <v>72.2</v>
      </c>
      <c r="AE35" s="22">
        <f>IF(OR($B35="",AE$22=""),"",IF(LEN(VLOOKUP($B35,Database!$B$1:$IX$10144,AE$22,FALSE))=0,"",VLOOKUP($B35,Database!$B$1:$IX$10144,AE$22,FALSE)))</f>
        <v>7.3</v>
      </c>
      <c r="AF35" s="22">
        <f>IF(OR($B35="",AF$22=""),"",IF(LEN(VLOOKUP($B35,Database!$B$1:$IX$10144,AF$22,FALSE))=0,"",VLOOKUP($B35,Database!$B$1:$IX$10144,AF$22,FALSE)))</f>
        <v>32</v>
      </c>
      <c r="AG35" s="22">
        <f>IF(OR($B35="",AG$22=""),"",IF(LEN(VLOOKUP($B35,Database!$B$1:$IX$10144,AG$22,FALSE))=0,"",VLOOKUP($B35,Database!$B$1:$IX$10144,AG$22,FALSE)))</f>
        <v>20</v>
      </c>
      <c r="AH35" s="22">
        <f>IF(OR($B35="",AH$22=""),"",IF(LEN(VLOOKUP($B35,Database!$B$1:$IX$10144,AH$22,FALSE))=0,"",VLOOKUP($B35,Database!$B$1:$IX$10144,AH$22,FALSE)))</f>
        <v>1.5</v>
      </c>
      <c r="AI35" s="22">
        <f>IF(OR($B35="",AI$22=""),"",IF(LEN(VLOOKUP($B35,Database!$B$1:$IX$10144,AI$22,FALSE))=0,"",VLOOKUP($B35,Database!$B$1:$IX$10144,AI$22,FALSE)))</f>
        <v>1.4</v>
      </c>
      <c r="AJ35" s="22" t="str">
        <f>IF(OR($B35="",AJ$22=""),"",IF(LEN(VLOOKUP($B35,Database!$B$1:$IX$10144,AJ$22,FALSE))=0,"",VLOOKUP($B35,Database!$B$1:$IX$10144,AJ$22,FALSE)))</f>
        <v/>
      </c>
      <c r="AK35" s="22">
        <f>IF(OR($B35="",AK$22=""),"",IF(LEN(VLOOKUP($B35,Database!$B$1:$IX$10144,AK$22,FALSE))=0,"",VLOOKUP($B35,Database!$B$1:$IX$10144,AK$22,FALSE)))</f>
        <v>48.5</v>
      </c>
      <c r="AL35" s="22" t="str">
        <f>IF(OR($B35="",AL$22=""),"",IF(LEN(VLOOKUP($B35,Database!$B$1:$IX$10144,AL$22,FALSE))=0,"",VLOOKUP($B35,Database!$B$1:$IX$10144,AL$22,FALSE)))</f>
        <v>ns</v>
      </c>
      <c r="AM35" s="22">
        <f>IF(OR($B35="",AM$22=""),"",IF(LEN(VLOOKUP($B35,Database!$B$1:$IX$10144,AM$22,FALSE))=0,"",VLOOKUP($B35,Database!$B$1:$IX$10144,AM$22,FALSE)))</f>
        <v>0</v>
      </c>
      <c r="AN35" s="22">
        <f>IF(OR($B35="",AN$22=""),"",IF(LEN(VLOOKUP($B35,Database!$B$1:$IX$10144,AN$22,FALSE))=0,"",VLOOKUP($B35,Database!$B$1:$IX$10144,AN$22,FALSE)))</f>
        <v>0</v>
      </c>
      <c r="AO35" s="22"/>
      <c r="AP35" s="22">
        <f>IF(OR($B35="",AP$22=""),"",IF(LEN(VLOOKUP($B35,Database!$B$1:$IX$10144,AP$22,FALSE))=0,"",VLOOKUP($B35,Database!$B$1:$IX$10144,AP$22,FALSE)))</f>
        <v>100</v>
      </c>
      <c r="AQ35" s="22" t="str">
        <f>IF(OR($B35="",AQ$22=""),"",IF(LEN(VLOOKUP($B35,Database!$B$1:$IX$10144,AQ$22,FALSE))=0,"",VLOOKUP($B35,Database!$B$1:$IX$10144,AQ$22,FALSE)))</f>
        <v>Lavretsky H, Kurbanyan K, Ballmaier M, Mintz J, Toga A, Kumar A.</v>
      </c>
    </row>
    <row r="36" spans="1:51">
      <c r="A36" s="10" t="s">
        <v>260</v>
      </c>
      <c r="B36">
        <v>15545334</v>
      </c>
      <c r="C36" s="1" t="str">
        <f>IF($B36="","",HYPERLINK(IF(LEN(VLOOKUP($B36,Database!$B$1:$IX$10144,2,FALSE))=0,"",VLOOKUP($B36,Database!$B$1:$IX$10144,2,FALSE))))</f>
        <v/>
      </c>
      <c r="D36" s="1" t="str">
        <f t="shared" si="1"/>
        <v>http://www.ncbi.nlm.nih.gov/pubmed/15545334</v>
      </c>
      <c r="E36" s="22" t="str">
        <f>IF($B36="","",IF(LEN(VLOOKUP($B36,Database!$B$1:$IX$10144,4,FALSE))=0,"",VLOOKUP($B36,Database!$B$1:$IX$10144,4,FALSE)))</f>
        <v>Lavretsky H</v>
      </c>
      <c r="F36" s="22">
        <f>IF($B36="","",IF(LEN(VLOOKUP($B36,Database!$B$1:$IX$10144,5,FALSE))=0,"",VLOOKUP($B36,Database!$B$1:$IX$10144,5,FALSE)))</f>
        <v>2004</v>
      </c>
      <c r="G36" s="1" t="str">
        <f>IF($B36="","",HYPERLINK(IF(LEN(VLOOKUP($B36,Database!$B$1:$IX$10144,6,FALSE))=0,"",VLOOKUP($B36,Database!$B$1:$IX$10144,6,FALSE))))</f>
        <v>http://journals.lww.com/ajgponline/Abstract/2004/11000/Sex_Differences_in_Brain_Structure_in_Geriatric.12.aspx</v>
      </c>
      <c r="H36" s="83">
        <v>9</v>
      </c>
      <c r="I36" s="83">
        <v>21</v>
      </c>
      <c r="J36" t="s">
        <v>242</v>
      </c>
      <c r="K36" t="s">
        <v>2110</v>
      </c>
      <c r="L36">
        <v>8.1799999999999998E-3</v>
      </c>
      <c r="M36">
        <v>7.2999999999999996E-4</v>
      </c>
      <c r="N36">
        <v>9.4000000000000004E-3</v>
      </c>
      <c r="O36">
        <v>8.4999999999999995E-4</v>
      </c>
      <c r="P36">
        <v>8.4700000000000001E-3</v>
      </c>
      <c r="Q36">
        <v>9.2000000000000003E-4</v>
      </c>
      <c r="R36">
        <v>9.4299999999999991E-3</v>
      </c>
      <c r="S36">
        <v>1E-3</v>
      </c>
      <c r="T36">
        <v>1.67E-2</v>
      </c>
      <c r="U36">
        <v>1.4E-3</v>
      </c>
      <c r="V36">
        <v>1.8800000000000001E-2</v>
      </c>
      <c r="W36">
        <v>1.6999999999999999E-3</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70.5</v>
      </c>
      <c r="AC36" s="22">
        <f>IF(OR($B36="",AC$22=""),"",IF(LEN(VLOOKUP($B36,Database!$B$1:$IX$10144,AC$22,FALSE))=0,"",VLOOKUP($B36,Database!$B$1:$IX$10144,AC$22,FALSE)))</f>
        <v>7.6</v>
      </c>
      <c r="AD36" s="22">
        <f>IF(OR($B36="",AD$22=""),"",IF(LEN(VLOOKUP($B36,Database!$B$1:$IX$10144,AD$22,FALSE))=0,"",VLOOKUP($B36,Database!$B$1:$IX$10144,AD$22,FALSE)))</f>
        <v>72.2</v>
      </c>
      <c r="AE36" s="22">
        <f>IF(OR($B36="",AE$22=""),"",IF(LEN(VLOOKUP($B36,Database!$B$1:$IX$10144,AE$22,FALSE))=0,"",VLOOKUP($B36,Database!$B$1:$IX$10144,AE$22,FALSE)))</f>
        <v>7.3</v>
      </c>
      <c r="AF36" s="22">
        <f>IF(OR($B36="",AF$22=""),"",IF(LEN(VLOOKUP($B36,Database!$B$1:$IX$10144,AF$22,FALSE))=0,"",VLOOKUP($B36,Database!$B$1:$IX$10144,AF$22,FALSE)))</f>
        <v>32</v>
      </c>
      <c r="AG36" s="22">
        <f>IF(OR($B36="",AG$22=""),"",IF(LEN(VLOOKUP($B36,Database!$B$1:$IX$10144,AG$22,FALSE))=0,"",VLOOKUP($B36,Database!$B$1:$IX$10144,AG$22,FALSE)))</f>
        <v>20</v>
      </c>
      <c r="AH36" s="22">
        <f>IF(OR($B36="",AH$22=""),"",IF(LEN(VLOOKUP($B36,Database!$B$1:$IX$10144,AH$22,FALSE))=0,"",VLOOKUP($B36,Database!$B$1:$IX$10144,AH$22,FALSE)))</f>
        <v>1.5</v>
      </c>
      <c r="AI36" s="22">
        <f>IF(OR($B36="",AI$22=""),"",IF(LEN(VLOOKUP($B36,Database!$B$1:$IX$10144,AI$22,FALSE))=0,"",VLOOKUP($B36,Database!$B$1:$IX$10144,AI$22,FALSE)))</f>
        <v>1.4</v>
      </c>
      <c r="AJ36" s="22" t="str">
        <f>IF(OR($B36="",AJ$22=""),"",IF(LEN(VLOOKUP($B36,Database!$B$1:$IX$10144,AJ$22,FALSE))=0,"",VLOOKUP($B36,Database!$B$1:$IX$10144,AJ$22,FALSE)))</f>
        <v/>
      </c>
      <c r="AK36" s="22">
        <f>IF(OR($B36="",AK$22=""),"",IF(LEN(VLOOKUP($B36,Database!$B$1:$IX$10144,AK$22,FALSE))=0,"",VLOOKUP($B36,Database!$B$1:$IX$10144,AK$22,FALSE)))</f>
        <v>48.5</v>
      </c>
      <c r="AL36" s="22" t="str">
        <f>IF(OR($B36="",AL$22=""),"",IF(LEN(VLOOKUP($B36,Database!$B$1:$IX$10144,AL$22,FALSE))=0,"",VLOOKUP($B36,Database!$B$1:$IX$10144,AL$22,FALSE)))</f>
        <v>ns</v>
      </c>
      <c r="AM36" s="22">
        <f>IF(OR($B36="",AM$22=""),"",IF(LEN(VLOOKUP($B36,Database!$B$1:$IX$10144,AM$22,FALSE))=0,"",VLOOKUP($B36,Database!$B$1:$IX$10144,AM$22,FALSE)))</f>
        <v>0</v>
      </c>
      <c r="AN36" s="22">
        <f>IF(OR($B36="",AN$22=""),"",IF(LEN(VLOOKUP($B36,Database!$B$1:$IX$10144,AN$22,FALSE))=0,"",VLOOKUP($B36,Database!$B$1:$IX$10144,AN$22,FALSE)))</f>
        <v>0</v>
      </c>
      <c r="AO36" s="22"/>
      <c r="AP36" s="22">
        <f>IF(OR($B36="",AP$22=""),"",IF(LEN(VLOOKUP($B36,Database!$B$1:$IX$10144,AP$22,FALSE))=0,"",VLOOKUP($B36,Database!$B$1:$IX$10144,AP$22,FALSE)))</f>
        <v>100</v>
      </c>
      <c r="AQ36" s="22" t="str">
        <f>IF(OR($B36="",AQ$22=""),"",IF(LEN(VLOOKUP($B36,Database!$B$1:$IX$10144,AQ$22,FALSE))=0,"",VLOOKUP($B36,Database!$B$1:$IX$10144,AQ$22,FALSE)))</f>
        <v>Lavretsky H, Kurbanyan K, Ballmaier M, Mintz J, Toga A, Kumar A.</v>
      </c>
    </row>
    <row r="37" spans="1:51">
      <c r="A37" s="7" t="s">
        <v>42</v>
      </c>
      <c r="B37">
        <v>16086609</v>
      </c>
      <c r="C37" s="1" t="str">
        <f>IF($B37="","",HYPERLINK(IF(LEN(VLOOKUP($B37,Database!$B$1:$IX$10144,2,FALSE))=0,"",VLOOKUP($B37,Database!$B$1:$IX$10144,2,FALSE))))</f>
        <v/>
      </c>
      <c r="D37" s="1" t="str">
        <f t="shared" si="1"/>
        <v>http://www.ncbi.nlm.nih.gov/pubmed/16086609</v>
      </c>
      <c r="E37" s="22" t="str">
        <f>IF($B37="","",IF(LEN(VLOOKUP($B37,Database!$B$1:$IX$10144,4,FALSE))=0,"",VLOOKUP($B37,Database!$B$1:$IX$10144,4,FALSE)))</f>
        <v>Lavretsky H</v>
      </c>
      <c r="F37" s="22">
        <f>IF($B37="","",IF(LEN(VLOOKUP($B37,Database!$B$1:$IX$10144,5,FALSE))=0,"",VLOOKUP($B37,Database!$B$1:$IX$10144,5,FALSE)))</f>
        <v>2005</v>
      </c>
      <c r="G37" s="1" t="str">
        <f>IF($B37="","",HYPERLINK(IF(LEN(VLOOKUP($B37,Database!$B$1:$IX$10144,6,FALSE))=0,"",VLOOKUP($B37,Database!$B$1:$IX$10144,6,FALSE))))</f>
        <v>http://www.psychiatrist.com/privatepdf/2005/v66n08/v66n0801.pdf</v>
      </c>
      <c r="H37" s="83">
        <v>11</v>
      </c>
      <c r="I37" s="83">
        <v>20.5</v>
      </c>
      <c r="J37" t="s">
        <v>242</v>
      </c>
      <c r="K37" t="s">
        <v>587</v>
      </c>
      <c r="L37">
        <v>8.9999999999999993E-3</v>
      </c>
      <c r="M37">
        <v>1.1000000000000001E-3</v>
      </c>
      <c r="N37">
        <v>9.5999999999999992E-3</v>
      </c>
      <c r="O37">
        <v>8.9999999999999998E-4</v>
      </c>
      <c r="P37">
        <v>9.1000000000000004E-3</v>
      </c>
      <c r="Q37">
        <v>1E-3</v>
      </c>
      <c r="R37">
        <v>9.4999999999999998E-3</v>
      </c>
      <c r="S37">
        <v>1E-4</v>
      </c>
      <c r="T37">
        <v>1.7999999999999999E-2</v>
      </c>
      <c r="U37">
        <v>2E-3</v>
      </c>
      <c r="V37">
        <v>1.9E-2</v>
      </c>
      <c r="W37">
        <v>2E-3</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70.5</v>
      </c>
      <c r="AC37" s="22">
        <f>IF(OR($B37="",AC$22=""),"",IF(LEN(VLOOKUP($B37,Database!$B$1:$IX$10144,AC$22,FALSE))=0,"",VLOOKUP($B37,Database!$B$1:$IX$10144,AC$22,FALSE)))</f>
        <v>7.6</v>
      </c>
      <c r="AD37" s="22">
        <f>IF(OR($B37="",AD$22=""),"",IF(LEN(VLOOKUP($B37,Database!$B$1:$IX$10144,AD$22,FALSE))=0,"",VLOOKUP($B37,Database!$B$1:$IX$10144,AD$22,FALSE)))</f>
        <v>72.2</v>
      </c>
      <c r="AE37" s="22">
        <f>IF(OR($B37="",AE$22=""),"",IF(LEN(VLOOKUP($B37,Database!$B$1:$IX$10144,AE$22,FALSE))=0,"",VLOOKUP($B37,Database!$B$1:$IX$10144,AE$22,FALSE)))</f>
        <v>7.3</v>
      </c>
      <c r="AF37" s="22">
        <f>IF(OR($B37="",AF$22=""),"",IF(LEN(VLOOKUP($B37,Database!$B$1:$IX$10144,AF$22,FALSE))=0,"",VLOOKUP($B37,Database!$B$1:$IX$10144,AF$22,FALSE)))</f>
        <v>32</v>
      </c>
      <c r="AG37" s="22">
        <f>IF(OR($B37="",AG$22=""),"",IF(LEN(VLOOKUP($B37,Database!$B$1:$IX$10144,AG$22,FALSE))=0,"",VLOOKUP($B37,Database!$B$1:$IX$10144,AG$22,FALSE)))</f>
        <v>20</v>
      </c>
      <c r="AH37" s="22">
        <f>IF(OR($B37="",AH$22=""),"",IF(LEN(VLOOKUP($B37,Database!$B$1:$IX$10144,AH$22,FALSE))=0,"",VLOOKUP($B37,Database!$B$1:$IX$10144,AH$22,FALSE)))</f>
        <v>1.5</v>
      </c>
      <c r="AI37" s="22">
        <f>IF(OR($B37="",AI$22=""),"",IF(LEN(VLOOKUP($B37,Database!$B$1:$IX$10144,AI$22,FALSE))=0,"",VLOOKUP($B37,Database!$B$1:$IX$10144,AI$22,FALSE)))</f>
        <v>1.4</v>
      </c>
      <c r="AJ37" s="22" t="str">
        <f>IF(OR($B37="",AJ$22=""),"",IF(LEN(VLOOKUP($B37,Database!$B$1:$IX$10144,AJ$22,FALSE))=0,"",VLOOKUP($B37,Database!$B$1:$IX$10144,AJ$22,FALSE)))</f>
        <v/>
      </c>
      <c r="AK37" s="22" t="str">
        <f>IF(OR($B37="",AK$22=""),"",IF(LEN(VLOOKUP($B37,Database!$B$1:$IX$10144,AK$22,FALSE))=0,"",VLOOKUP($B37,Database!$B$1:$IX$10144,AK$22,FALSE)))</f>
        <v>age of onset split depending on antidepressant exposure</v>
      </c>
      <c r="AL37" s="22">
        <f>IF(OR($B37="",AL$22=""),"",IF(LEN(VLOOKUP($B37,Database!$B$1:$IX$10144,AL$22,FALSE))=0,"",VLOOKUP($B37,Database!$B$1:$IX$10144,AL$22,FALSE)))</f>
        <v>17.7</v>
      </c>
      <c r="AM37" s="22">
        <f>IF(OR($B37="",AM$22=""),"",IF(LEN(VLOOKUP($B37,Database!$B$1:$IX$10144,AM$22,FALSE))=0,"",VLOOKUP($B37,Database!$B$1:$IX$10144,AM$22,FALSE)))</f>
        <v>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100</v>
      </c>
      <c r="AQ37" s="22" t="str">
        <f>IF(OR($B37="",AQ$22=""),"",IF(LEN(VLOOKUP($B37,Database!$B$1:$IX$10144,AQ$22,FALSE))=0,"",VLOOKUP($B37,Database!$B$1:$IX$10144,AQ$22,FALSE)))</f>
        <v>Lavretsky H, Roybal DJ, Ballmaier M, Toga AW, Kumar A.</v>
      </c>
    </row>
    <row r="38" spans="1:51">
      <c r="A38" s="7" t="s">
        <v>43</v>
      </c>
      <c r="B38">
        <v>16086609</v>
      </c>
      <c r="C38" s="1" t="str">
        <f>IF($B38="","",HYPERLINK(IF(LEN(VLOOKUP($B38,Database!$B$1:$IX$10144,2,FALSE))=0,"",VLOOKUP($B38,Database!$B$1:$IX$10144,2,FALSE))))</f>
        <v/>
      </c>
      <c r="D38" s="1" t="str">
        <f t="shared" si="1"/>
        <v>http://www.ncbi.nlm.nih.gov/pubmed/16086609</v>
      </c>
      <c r="E38" s="22" t="str">
        <f>IF($B38="","",IF(LEN(VLOOKUP($B38,Database!$B$1:$IX$10144,4,FALSE))=0,"",VLOOKUP($B38,Database!$B$1:$IX$10144,4,FALSE)))</f>
        <v>Lavretsky H</v>
      </c>
      <c r="F38" s="22">
        <f>IF($B38="","",IF(LEN(VLOOKUP($B38,Database!$B$1:$IX$10144,5,FALSE))=0,"",VLOOKUP($B38,Database!$B$1:$IX$10144,5,FALSE)))</f>
        <v>2005</v>
      </c>
      <c r="G38" s="1" t="str">
        <f>IF($B38="","",HYPERLINK(IF(LEN(VLOOKUP($B38,Database!$B$1:$IX$10144,6,FALSE))=0,"",VLOOKUP($B38,Database!$B$1:$IX$10144,6,FALSE))))</f>
        <v>http://www.psychiatrist.com/privatepdf/2005/v66n08/v66n0801.pdf</v>
      </c>
      <c r="H38" s="83">
        <v>30</v>
      </c>
      <c r="I38" s="83">
        <v>20.5</v>
      </c>
      <c r="J38" t="s">
        <v>242</v>
      </c>
      <c r="K38" t="s">
        <v>588</v>
      </c>
      <c r="L38">
        <v>8.5000000000000006E-3</v>
      </c>
      <c r="M38">
        <v>1.6999999999999999E-3</v>
      </c>
      <c r="N38">
        <v>9.5999999999999992E-3</v>
      </c>
      <c r="O38">
        <v>8.9999999999999998E-4</v>
      </c>
      <c r="P38">
        <v>8.5000000000000006E-3</v>
      </c>
      <c r="Q38">
        <v>1.6999999999999999E-3</v>
      </c>
      <c r="R38">
        <v>9.4999999999999998E-3</v>
      </c>
      <c r="S38">
        <v>1E-4</v>
      </c>
      <c r="T38">
        <v>1.7000000000000001E-2</v>
      </c>
      <c r="U38">
        <v>3.0000000000000001E-3</v>
      </c>
      <c r="V38">
        <v>1.9E-2</v>
      </c>
      <c r="W38">
        <v>2E-3</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70.5</v>
      </c>
      <c r="AC38" s="22">
        <f>IF(OR($B38="",AC$22=""),"",IF(LEN(VLOOKUP($B38,Database!$B$1:$IX$10144,AC$22,FALSE))=0,"",VLOOKUP($B38,Database!$B$1:$IX$10144,AC$22,FALSE)))</f>
        <v>7.6</v>
      </c>
      <c r="AD38" s="22">
        <f>IF(OR($B38="",AD$22=""),"",IF(LEN(VLOOKUP($B38,Database!$B$1:$IX$10144,AD$22,FALSE))=0,"",VLOOKUP($B38,Database!$B$1:$IX$10144,AD$22,FALSE)))</f>
        <v>72.2</v>
      </c>
      <c r="AE38" s="22">
        <f>IF(OR($B38="",AE$22=""),"",IF(LEN(VLOOKUP($B38,Database!$B$1:$IX$10144,AE$22,FALSE))=0,"",VLOOKUP($B38,Database!$B$1:$IX$10144,AE$22,FALSE)))</f>
        <v>7.3</v>
      </c>
      <c r="AF38" s="22">
        <f>IF(OR($B38="",AF$22=""),"",IF(LEN(VLOOKUP($B38,Database!$B$1:$IX$10144,AF$22,FALSE))=0,"",VLOOKUP($B38,Database!$B$1:$IX$10144,AF$22,FALSE)))</f>
        <v>32</v>
      </c>
      <c r="AG38" s="22">
        <f>IF(OR($B38="",AG$22=""),"",IF(LEN(VLOOKUP($B38,Database!$B$1:$IX$10144,AG$22,FALSE))=0,"",VLOOKUP($B38,Database!$B$1:$IX$10144,AG$22,FALSE)))</f>
        <v>20</v>
      </c>
      <c r="AH38" s="22">
        <f>IF(OR($B38="",AH$22=""),"",IF(LEN(VLOOKUP($B38,Database!$B$1:$IX$10144,AH$22,FALSE))=0,"",VLOOKUP($B38,Database!$B$1:$IX$10144,AH$22,FALSE)))</f>
        <v>1.5</v>
      </c>
      <c r="AI38" s="22">
        <f>IF(OR($B38="",AI$22=""),"",IF(LEN(VLOOKUP($B38,Database!$B$1:$IX$10144,AI$22,FALSE))=0,"",VLOOKUP($B38,Database!$B$1:$IX$10144,AI$22,FALSE)))</f>
        <v>1.4</v>
      </c>
      <c r="AJ38" s="22" t="str">
        <f>IF(OR($B38="",AJ$22=""),"",IF(LEN(VLOOKUP($B38,Database!$B$1:$IX$10144,AJ$22,FALSE))=0,"",VLOOKUP($B38,Database!$B$1:$IX$10144,AJ$22,FALSE)))</f>
        <v/>
      </c>
      <c r="AK38" s="22" t="str">
        <f>IF(OR($B38="",AK$22=""),"",IF(LEN(VLOOKUP($B38,Database!$B$1:$IX$10144,AK$22,FALSE))=0,"",VLOOKUP($B38,Database!$B$1:$IX$10144,AK$22,FALSE)))</f>
        <v>age of onset split depending on antidepressant exposure</v>
      </c>
      <c r="AL38" s="22">
        <f>IF(OR($B38="",AL$22=""),"",IF(LEN(VLOOKUP($B38,Database!$B$1:$IX$10144,AL$22,FALSE))=0,"",VLOOKUP($B38,Database!$B$1:$IX$10144,AL$22,FALSE)))</f>
        <v>17.7</v>
      </c>
      <c r="AM38" s="22">
        <f>IF(OR($B38="",AM$22=""),"",IF(LEN(VLOOKUP($B38,Database!$B$1:$IX$10144,AM$22,FALSE))=0,"",VLOOKUP($B38,Database!$B$1:$IX$10144,AM$22,FALSE)))</f>
        <v>0</v>
      </c>
      <c r="AN38" s="22">
        <f>IF(OR($B38="",AN$22=""),"",IF(LEN(VLOOKUP($B38,Database!$B$1:$IX$10144,AN$22,FALSE))=0,"",VLOOKUP($B38,Database!$B$1:$IX$10144,AN$22,FALSE)))</f>
        <v>0</v>
      </c>
      <c r="AO38" s="22">
        <f>IF(OR($B38="",AO$22=""),"",IF(LEN(VLOOKUP($B38,Database!$B$1:$IX$10144,AO$22,FALSE))=0,"",VLOOKUP($B38,Database!$B$1:$IX$10144,AO$22,FALSE)))</f>
        <v>0</v>
      </c>
      <c r="AP38" s="22">
        <f>IF(OR($B38="",AP$22=""),"",IF(LEN(VLOOKUP($B38,Database!$B$1:$IX$10144,AP$22,FALSE))=0,"",VLOOKUP($B38,Database!$B$1:$IX$10144,AP$22,FALSE)))</f>
        <v>100</v>
      </c>
      <c r="AQ38" s="22" t="str">
        <f>IF(OR($B38="",AQ$22=""),"",IF(LEN(VLOOKUP($B38,Database!$B$1:$IX$10144,AQ$22,FALSE))=0,"",VLOOKUP($B38,Database!$B$1:$IX$10144,AQ$22,FALSE)))</f>
        <v>Lavretsky H, Roybal DJ, Ballmaier M, Toga AW, Kumar A.</v>
      </c>
    </row>
    <row r="39" spans="1:51">
      <c r="A39" s="10" t="s">
        <v>1195</v>
      </c>
      <c r="B39">
        <v>12946881</v>
      </c>
      <c r="C39" s="1" t="str">
        <f>IF($B39="","",HYPERLINK(IF(LEN(VLOOKUP($B39,Database!$B$1:$IX$10144,2,FALSE))=0,"",VLOOKUP($B39,Database!$B$1:$IX$10144,2,FALSE))))</f>
        <v/>
      </c>
      <c r="D39" s="1" t="str">
        <f t="shared" si="1"/>
        <v>http://www.ncbi.nlm.nih.gov/pubmed/12946881</v>
      </c>
      <c r="E39" s="22" t="str">
        <f>IF($B39="","",IF(LEN(VLOOKUP($B39,Database!$B$1:$IX$10144,4,FALSE))=0,"",VLOOKUP($B39,Database!$B$1:$IX$10144,4,FALSE)))</f>
        <v>Lee SH</v>
      </c>
      <c r="F39" s="22">
        <f>IF($B39="","",IF(LEN(VLOOKUP($B39,Database!$B$1:$IX$10144,5,FALSE))=0,"",VLOOKUP($B39,Database!$B$1:$IX$10144,5,FALSE)))</f>
        <v>2003</v>
      </c>
      <c r="G39" s="1" t="str">
        <f>IF($B39="","",HYPERLINK(IF(LEN(VLOOKUP($B39,Database!$B$1:$IX$10144,6,FALSE))=0,"",VLOOKUP($B39,Database!$B$1:$IX$10144,6,FALSE))))</f>
        <v>http://dx.doi.org/10.1016/S0006-3223(03)00063-5</v>
      </c>
      <c r="H39" s="22">
        <f>IF($B39="","",IF(LEN(VLOOKUP($B39,Database!$B$1:$IX$10144,7,FALSE))=0,"",VLOOKUP($B39,Database!$B$1:$IX$10144,7,FALSE)))</f>
        <v>41</v>
      </c>
      <c r="I39" s="22">
        <f>IF($B39="","",IF(LEN(VLOOKUP($B39,Database!$B$1:$IX$10144,8,FALSE))=0,"",VLOOKUP($B39,Database!$B$1:$IX$10144,8,FALSE)))</f>
        <v>41</v>
      </c>
      <c r="J39" t="s">
        <v>730</v>
      </c>
      <c r="L39" s="65">
        <v>4.4999999999999997E-3</v>
      </c>
      <c r="M39" s="65">
        <v>8.9999999999999998E-4</v>
      </c>
      <c r="N39" s="65">
        <v>5.1000000000000004E-3</v>
      </c>
      <c r="O39" s="65">
        <v>1.1000000000000001E-3</v>
      </c>
      <c r="P39" s="65">
        <v>4.7000000000000002E-3</v>
      </c>
      <c r="Q39" s="65">
        <v>8.9999999999999998E-4</v>
      </c>
      <c r="R39" s="65">
        <v>5.4999999999999997E-3</v>
      </c>
      <c r="S39" s="65">
        <v>1.1000000000000001E-3</v>
      </c>
      <c r="T39" s="65">
        <v>9.1999999999999998E-3</v>
      </c>
      <c r="U39" s="65">
        <v>1.6000000000000001E-3</v>
      </c>
      <c r="V39" s="65">
        <v>1.06E-2</v>
      </c>
      <c r="W39" s="65">
        <v>2E-3</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68.73</v>
      </c>
      <c r="AC39" s="22">
        <f>IF(OR($B39="",AC$22=""),"",IF(LEN(VLOOKUP($B39,Database!$B$1:$IX$10144,AC$22,FALSE))=0,"",VLOOKUP($B39,Database!$B$1:$IX$10144,AC$22,FALSE)))</f>
        <v>6.98</v>
      </c>
      <c r="AD39" s="22">
        <f>IF(OR($B39="",AD$22=""),"",IF(LEN(VLOOKUP($B39,Database!$B$1:$IX$10144,AD$22,FALSE))=0,"",VLOOKUP($B39,Database!$B$1:$IX$10144,AD$22,FALSE)))</f>
        <v>71.150000000000006</v>
      </c>
      <c r="AE39" s="22">
        <f>IF(OR($B39="",AE$22=""),"",IF(LEN(VLOOKUP($B39,Database!$B$1:$IX$10144,AE$22,FALSE))=0,"",VLOOKUP($B39,Database!$B$1:$IX$10144,AE$22,FALSE)))</f>
        <v>6.25</v>
      </c>
      <c r="AF39" s="22">
        <f>IF(OR($B39="",AF$22=""),"",IF(LEN(VLOOKUP($B39,Database!$B$1:$IX$10144,AF$22,FALSE))=0,"",VLOOKUP($B39,Database!$B$1:$IX$10144,AF$22,FALSE)))</f>
        <v>21</v>
      </c>
      <c r="AG39" s="22">
        <f>IF(OR($B39="",AG$22=""),"",IF(LEN(VLOOKUP($B39,Database!$B$1:$IX$10144,AG$22,FALSE))=0,"",VLOOKUP($B39,Database!$B$1:$IX$10144,AG$22,FALSE)))</f>
        <v>34</v>
      </c>
      <c r="AH39" s="22">
        <f>IF(OR($B39="",AH$22=""),"",IF(LEN(VLOOKUP($B39,Database!$B$1:$IX$10144,AH$22,FALSE))=0,"",VLOOKUP($B39,Database!$B$1:$IX$10144,AH$22,FALSE)))</f>
        <v>1.5</v>
      </c>
      <c r="AI39" s="22" t="str">
        <f>IF(OR($B39="",AI$22=""),"",IF(LEN(VLOOKUP($B39,Database!$B$1:$IX$10144,AI$22,FALSE))=0,"",VLOOKUP($B39,Database!$B$1:$IX$10144,AI$22,FALSE)))</f>
        <v>ns</v>
      </c>
      <c r="AJ39" s="22" t="str">
        <f>IF(OR($B39="",AJ$22=""),"",IF(LEN(VLOOKUP($B39,Database!$B$1:$IX$10144,AJ$22,FALSE))=0,"",VLOOKUP($B39,Database!$B$1:$IX$10144,AJ$22,FALSE)))</f>
        <v/>
      </c>
      <c r="AK39" s="22">
        <f>IF(OR($B39="",AK$22=""),"",IF(LEN(VLOOKUP($B39,Database!$B$1:$IX$10144,AK$22,FALSE))=0,"",VLOOKUP($B39,Database!$B$1:$IX$10144,AK$22,FALSE)))</f>
        <v>47.92</v>
      </c>
      <c r="AL39" s="22">
        <f>IF(OR($B39="",AL$22=""),"",IF(LEN(VLOOKUP($B39,Database!$B$1:$IX$10144,AL$22,FALSE))=0,"",VLOOKUP($B39,Database!$B$1:$IX$10144,AL$22,FALSE)))</f>
        <v>20.2</v>
      </c>
      <c r="AM39" s="22">
        <f>IF(OR($B39="",AM$22=""),"",IF(LEN(VLOOKUP($B39,Database!$B$1:$IX$10144,AM$22,FALSE))=0,"",VLOOKUP($B39,Database!$B$1:$IX$10144,AM$22,FALSE)))</f>
        <v>56.09756097560976</v>
      </c>
      <c r="AN39" s="22" t="str">
        <f>IF(OR($B39="",AN$22=""),"",IF(LEN(VLOOKUP($B39,Database!$B$1:$IX$10144,AN$22,FALSE))=0,"",VLOOKUP($B39,Database!$B$1:$IX$10144,AN$22,FALSE)))</f>
        <v>ns</v>
      </c>
      <c r="AO39" s="22"/>
      <c r="AP39" s="22" t="str">
        <f>IF(OR($B39="",AP$22=""),"",IF(LEN(VLOOKUP($B39,Database!$B$1:$IX$10144,AP$22,FALSE))=0,"",VLOOKUP($B39,Database!$B$1:$IX$10144,AP$22,FALSE)))</f>
        <v>ns</v>
      </c>
      <c r="AQ39" s="22" t="str">
        <f>IF(OR($B39="",AQ$22=""),"",IF(LEN(VLOOKUP($B39,Database!$B$1:$IX$10144,AQ$22,FALSE))=0,"",VLOOKUP($B39,Database!$B$1:$IX$10144,AQ$22,FALSE)))</f>
        <v>Lee SH, Payne ME, Steffens DC, McQuoid DR, Lai TJ, Provenzale JM, Krishnan KR.</v>
      </c>
    </row>
    <row r="40" spans="1:51">
      <c r="A40" s="10" t="s">
        <v>2266</v>
      </c>
      <c r="B40">
        <v>17389903</v>
      </c>
      <c r="C40" s="1" t="str">
        <f>IF($B40="","",HYPERLINK(IF(LEN(VLOOKUP($B40,Database!$B$1:$IX$10144,2,FALSE))=0,"",VLOOKUP($B40,Database!$B$1:$IX$10144,2,FALSE))))</f>
        <v/>
      </c>
      <c r="D40" s="1" t="str">
        <f t="shared" si="1"/>
        <v>http://www.ncbi.nlm.nih.gov/pubmed/17389903</v>
      </c>
      <c r="E40" s="22" t="str">
        <f>IF($B40="","",IF(LEN(VLOOKUP($B40,Database!$B$1:$IX$10144,4,FALSE))=0,"",VLOOKUP($B40,Database!$B$1:$IX$10144,4,FALSE)))</f>
        <v>Monkul ES</v>
      </c>
      <c r="F40" s="22">
        <f>IF($B40="","",IF(LEN(VLOOKUP($B40,Database!$B$1:$IX$10144,5,FALSE))=0,"",VLOOKUP($B40,Database!$B$1:$IX$10144,5,FALSE)))</f>
        <v>2007</v>
      </c>
      <c r="G40" s="1" t="str">
        <f>IF($B40="","",HYPERLINK(IF(LEN(VLOOKUP($B40,Database!$B$1:$IX$10144,6,FALSE))=0,"",VLOOKUP($B40,Database!$B$1:$IX$10144,6,FALSE))))</f>
        <v>http://www.nature.com/mp/journal/v12/n4/pdf/4001919a.pdf</v>
      </c>
      <c r="H40" s="83">
        <v>7</v>
      </c>
      <c r="I40" s="83">
        <v>8.5</v>
      </c>
      <c r="J40" t="s">
        <v>590</v>
      </c>
      <c r="K40" t="s">
        <v>589</v>
      </c>
      <c r="L40">
        <v>5.32</v>
      </c>
      <c r="M40">
        <v>0.59</v>
      </c>
      <c r="N40">
        <v>7.17</v>
      </c>
      <c r="O40">
        <v>1.51</v>
      </c>
      <c r="P40">
        <v>6.06</v>
      </c>
      <c r="Q40">
        <v>1.06</v>
      </c>
      <c r="R40">
        <v>8.09</v>
      </c>
      <c r="S40">
        <v>1.46</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f>IF(OR($B40="",AD$22=""),"",IF(LEN(VLOOKUP($B40,Database!$B$1:$IX$10144,AD$22,FALSE))=0,"",VLOOKUP($B40,Database!$B$1:$IX$10144,AD$22,FALSE)))</f>
        <v>31.3</v>
      </c>
      <c r="AE40" s="22">
        <f>IF(OR($B40="",AE$22=""),"",IF(LEN(VLOOKUP($B40,Database!$B$1:$IX$10144,AE$22,FALSE))=0,"",VLOOKUP($B40,Database!$B$1:$IX$10144,AE$22,FALSE)))</f>
        <v>8.3000000000000007</v>
      </c>
      <c r="AF40" s="22">
        <f>IF(OR($B40="",AF$22=""),"",IF(LEN(VLOOKUP($B40,Database!$B$1:$IX$10144,AF$22,FALSE))=0,"",VLOOKUP($B40,Database!$B$1:$IX$10144,AF$22,FALSE)))</f>
        <v>17</v>
      </c>
      <c r="AG40" s="22">
        <f>IF(OR($B40="",AG$22=""),"",IF(LEN(VLOOKUP($B40,Database!$B$1:$IX$10144,AG$22,FALSE))=0,"",VLOOKUP($B40,Database!$B$1:$IX$10144,AG$22,FALSE)))</f>
        <v>17</v>
      </c>
      <c r="AH40" s="22">
        <f>IF(OR($B40="",AH$22=""),"",IF(LEN(VLOOKUP($B40,Database!$B$1:$IX$10144,AH$22,FALSE))=0,"",VLOOKUP($B40,Database!$B$1:$IX$10144,AH$22,FALSE)))</f>
        <v>1.5</v>
      </c>
      <c r="AI40" s="22">
        <f>IF(OR($B40="",AI$22=""),"",IF(LEN(VLOOKUP($B40,Database!$B$1:$IX$10144,AI$22,FALSE))=0,"",VLOOKUP($B40,Database!$B$1:$IX$10144,AI$22,FALSE)))</f>
        <v>1.5</v>
      </c>
      <c r="AJ40" s="22" t="str">
        <f>IF(OR($B40="",AJ$22=""),"",IF(LEN(VLOOKUP($B40,Database!$B$1:$IX$10144,AJ$22,FALSE))=0,"",VLOOKUP($B40,Database!$B$1:$IX$10144,AJ$22,FALSE)))</f>
        <v/>
      </c>
      <c r="AK40" s="22" t="str">
        <f>IF(OR($B40="",AK$22=""),"",IF(LEN(VLOOKUP($B40,Database!$B$1:$IX$10144,AK$22,FALSE))=0,"",VLOOKUP($B40,Database!$B$1:$IX$10144,AK$22,FALSE)))</f>
        <v>split depending on group (suicidal=16, nonsuicidal=26.9)</v>
      </c>
      <c r="AL40" s="22" t="str">
        <f>IF(OR($B40="",AL$22=""),"",IF(LEN(VLOOKUP($B40,Database!$B$1:$IX$10144,AL$22,FALSE))=0,"",VLOOKUP($B40,Database!$B$1:$IX$10144,AL$22,FALSE)))</f>
        <v>split depending on group (suicidal =13.7, non-suicidal = 10.9)</v>
      </c>
      <c r="AM40" s="22">
        <f>IF(OR($B40="",AM$22=""),"",IF(LEN(VLOOKUP($B40,Database!$B$1:$IX$10144,AM$22,FALSE))=0,"",VLOOKUP($B40,Database!$B$1:$IX$10144,AM$22,FALSE)))</f>
        <v>0</v>
      </c>
      <c r="AN40" s="22">
        <f>IF(OR($B40="",AN$22=""),"",IF(LEN(VLOOKUP($B40,Database!$B$1:$IX$10144,AN$22,FALSE))=0,"",VLOOKUP($B40,Database!$B$1:$IX$10144,AN$22,FALSE)))</f>
        <v>0</v>
      </c>
      <c r="AO40" s="22"/>
      <c r="AP40" s="22">
        <f>IF(OR($B40="",AP$22=""),"",IF(LEN(VLOOKUP($B40,Database!$B$1:$IX$10144,AP$22,FALSE))=0,"",VLOOKUP($B40,Database!$B$1:$IX$10144,AP$22,FALSE)))</f>
        <v>100</v>
      </c>
      <c r="AQ40" s="22" t="str">
        <f>IF(OR($B40="",AQ$22=""),"",IF(LEN(VLOOKUP($B40,Database!$B$1:$IX$10144,AQ$22,FALSE))=0,"",VLOOKUP($B40,Database!$B$1:$IX$10144,AQ$22,FALSE)))</f>
        <v>Monkul ES, Hatch JP, Nicoletti MA, Spence S, Brambilla P, Lacerda AL, Sassi RB, Mallinger AG, Keshavan MS, Soares JC.</v>
      </c>
    </row>
    <row r="41" spans="1:51">
      <c r="A41" s="10" t="s">
        <v>2266</v>
      </c>
      <c r="B41">
        <v>17389903</v>
      </c>
      <c r="C41" s="1" t="str">
        <f>IF($B41="","",HYPERLINK(IF(LEN(VLOOKUP($B41,Database!$B$1:$IX$10144,2,FALSE))=0,"",VLOOKUP($B41,Database!$B$1:$IX$10144,2,FALSE))))</f>
        <v/>
      </c>
      <c r="D41" s="1" t="str">
        <f t="shared" si="1"/>
        <v>http://www.ncbi.nlm.nih.gov/pubmed/17389903</v>
      </c>
      <c r="E41" s="22" t="str">
        <f>IF($B41="","",IF(LEN(VLOOKUP($B41,Database!$B$1:$IX$10144,4,FALSE))=0,"",VLOOKUP($B41,Database!$B$1:$IX$10144,4,FALSE)))</f>
        <v>Monkul ES</v>
      </c>
      <c r="F41" s="22">
        <f>IF($B41="","",IF(LEN(VLOOKUP($B41,Database!$B$1:$IX$10144,5,FALSE))=0,"",VLOOKUP($B41,Database!$B$1:$IX$10144,5,FALSE)))</f>
        <v>2007</v>
      </c>
      <c r="G41" s="1" t="str">
        <f>IF($B41="","",HYPERLINK(IF(LEN(VLOOKUP($B41,Database!$B$1:$IX$10144,6,FALSE))=0,"",VLOOKUP($B41,Database!$B$1:$IX$10144,6,FALSE))))</f>
        <v>http://www.nature.com/mp/journal/v12/n4/pdf/4001919a.pdf</v>
      </c>
      <c r="H41" s="83">
        <v>10</v>
      </c>
      <c r="I41" s="83">
        <v>8.5</v>
      </c>
      <c r="J41" t="s">
        <v>590</v>
      </c>
      <c r="K41" t="s">
        <v>1158</v>
      </c>
      <c r="L41">
        <v>6.1</v>
      </c>
      <c r="M41">
        <v>1.38</v>
      </c>
      <c r="N41">
        <v>7.17</v>
      </c>
      <c r="O41">
        <v>1.51</v>
      </c>
      <c r="P41">
        <v>6.84</v>
      </c>
      <c r="Q41">
        <v>1.31</v>
      </c>
      <c r="R41">
        <v>8.09</v>
      </c>
      <c r="S41">
        <v>1.46</v>
      </c>
      <c r="X41" s="151"/>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f>IF(OR($B41="",AD$22=""),"",IF(LEN(VLOOKUP($B41,Database!$B$1:$IX$10144,AD$22,FALSE))=0,"",VLOOKUP($B41,Database!$B$1:$IX$10144,AD$22,FALSE)))</f>
        <v>31.3</v>
      </c>
      <c r="AE41" s="22">
        <f>IF(OR($B41="",AE$22=""),"",IF(LEN(VLOOKUP($B41,Database!$B$1:$IX$10144,AE$22,FALSE))=0,"",VLOOKUP($B41,Database!$B$1:$IX$10144,AE$22,FALSE)))</f>
        <v>8.3000000000000007</v>
      </c>
      <c r="AF41" s="22">
        <f>IF(OR($B41="",AF$22=""),"",IF(LEN(VLOOKUP($B41,Database!$B$1:$IX$10144,AF$22,FALSE))=0,"",VLOOKUP($B41,Database!$B$1:$IX$10144,AF$22,FALSE)))</f>
        <v>17</v>
      </c>
      <c r="AG41" s="22">
        <f>IF(OR($B41="",AG$22=""),"",IF(LEN(VLOOKUP($B41,Database!$B$1:$IX$10144,AG$22,FALSE))=0,"",VLOOKUP($B41,Database!$B$1:$IX$10144,AG$22,FALSE)))</f>
        <v>17</v>
      </c>
      <c r="AH41" s="22">
        <f>IF(OR($B41="",AH$22=""),"",IF(LEN(VLOOKUP($B41,Database!$B$1:$IX$10144,AH$22,FALSE))=0,"",VLOOKUP($B41,Database!$B$1:$IX$10144,AH$22,FALSE)))</f>
        <v>1.5</v>
      </c>
      <c r="AI41" s="22">
        <f>IF(OR($B41="",AI$22=""),"",IF(LEN(VLOOKUP($B41,Database!$B$1:$IX$10144,AI$22,FALSE))=0,"",VLOOKUP($B41,Database!$B$1:$IX$10144,AI$22,FALSE)))</f>
        <v>1.5</v>
      </c>
      <c r="AJ41" s="22" t="str">
        <f>IF(OR($B41="",AJ$22=""),"",IF(LEN(VLOOKUP($B41,Database!$B$1:$IX$10144,AJ$22,FALSE))=0,"",VLOOKUP($B41,Database!$B$1:$IX$10144,AJ$22,FALSE)))</f>
        <v/>
      </c>
      <c r="AK41" s="22" t="str">
        <f>IF(OR($B41="",AK$22=""),"",IF(LEN(VLOOKUP($B41,Database!$B$1:$IX$10144,AK$22,FALSE))=0,"",VLOOKUP($B41,Database!$B$1:$IX$10144,AK$22,FALSE)))</f>
        <v>split depending on group (suicidal=16, nonsuicidal=26.9)</v>
      </c>
      <c r="AL41" s="22" t="str">
        <f>IF(OR($B41="",AL$22=""),"",IF(LEN(VLOOKUP($B41,Database!$B$1:$IX$10144,AL$22,FALSE))=0,"",VLOOKUP($B41,Database!$B$1:$IX$10144,AL$22,FALSE)))</f>
        <v>split depending on group (suicidal =13.7, non-suicidal = 10.9)</v>
      </c>
      <c r="AM41" s="22">
        <f>IF(OR($B41="",AM$22=""),"",IF(LEN(VLOOKUP($B41,Database!$B$1:$IX$10144,AM$22,FALSE))=0,"",VLOOKUP($B41,Database!$B$1:$IX$10144,AM$22,FALSE)))</f>
        <v>0</v>
      </c>
      <c r="AN41" s="22">
        <f>IF(OR($B41="",AN$22=""),"",IF(LEN(VLOOKUP($B41,Database!$B$1:$IX$10144,AN$22,FALSE))=0,"",VLOOKUP($B41,Database!$B$1:$IX$10144,AN$22,FALSE)))</f>
        <v>0</v>
      </c>
      <c r="AO41" s="22"/>
      <c r="AP41" s="22">
        <f>IF(OR($B41="",AP$22=""),"",IF(LEN(VLOOKUP($B41,Database!$B$1:$IX$10144,AP$22,FALSE))=0,"",VLOOKUP($B41,Database!$B$1:$IX$10144,AP$22,FALSE)))</f>
        <v>100</v>
      </c>
      <c r="AQ41" s="22" t="str">
        <f>IF(OR($B41="",AQ$22=""),"",IF(LEN(VLOOKUP($B41,Database!$B$1:$IX$10144,AQ$22,FALSE))=0,"",VLOOKUP($B41,Database!$B$1:$IX$10144,AQ$22,FALSE)))</f>
        <v>Monkul ES, Hatch JP, Nicoletti MA, Spence S, Brambilla P, Lacerda AL, Sassi RB, Mallinger AG, Keshavan MS, Soares JC.</v>
      </c>
    </row>
    <row r="42" spans="1:51">
      <c r="A42" s="10"/>
      <c r="C42" s="1"/>
      <c r="D42" s="1"/>
      <c r="E42" s="22"/>
      <c r="F42" s="22"/>
      <c r="G42" s="1"/>
      <c r="H42" s="83"/>
      <c r="I42" s="83"/>
      <c r="X42" s="151"/>
      <c r="Y42" s="22"/>
      <c r="Z42" s="22"/>
      <c r="AA42" s="22"/>
      <c r="AB42" s="22"/>
      <c r="AC42" s="22"/>
      <c r="AD42" s="22"/>
      <c r="AE42" s="22"/>
      <c r="AF42" s="22"/>
      <c r="AG42" s="22"/>
      <c r="AH42" s="22"/>
      <c r="AI42" s="22"/>
      <c r="AJ42" s="22"/>
      <c r="AK42" s="22"/>
      <c r="AL42" s="22"/>
      <c r="AM42" s="22"/>
      <c r="AN42" s="22"/>
      <c r="AO42" s="22"/>
      <c r="AP42" s="22"/>
      <c r="AQ42" s="22"/>
    </row>
    <row r="43" spans="1:51">
      <c r="I43" s="22" t="str">
        <f>IF($B43="","",IF(LEN(VLOOKUP($B43,Database!$B$1:$IX$10144,8,FALSE))=0,"",VLOOKUP($B43,Database!$B$1:$IX$10144,8,FALSE)))</f>
        <v/>
      </c>
      <c r="AF43" t="s">
        <v>602</v>
      </c>
      <c r="AJ43" t="s">
        <v>329</v>
      </c>
      <c r="AN43" t="s">
        <v>330</v>
      </c>
    </row>
    <row r="44" spans="1:51" ht="45" customHeight="1">
      <c r="E44" s="60" t="s">
        <v>617</v>
      </c>
      <c r="F44" s="60" t="s">
        <v>740</v>
      </c>
      <c r="G44" s="60" t="s">
        <v>244</v>
      </c>
      <c r="H44" s="60" t="s">
        <v>245</v>
      </c>
      <c r="I44" s="60" t="s">
        <v>246</v>
      </c>
      <c r="J44" s="60" t="s">
        <v>593</v>
      </c>
      <c r="K44" s="60" t="s">
        <v>1039</v>
      </c>
      <c r="L44" s="60" t="s">
        <v>594</v>
      </c>
      <c r="M44" s="60" t="s">
        <v>1299</v>
      </c>
      <c r="N44" s="61" t="s">
        <v>595</v>
      </c>
      <c r="O44" s="61" t="s">
        <v>596</v>
      </c>
      <c r="P44" s="61" t="s">
        <v>597</v>
      </c>
      <c r="Q44" s="61" t="s">
        <v>598</v>
      </c>
      <c r="R44" s="61" t="s">
        <v>599</v>
      </c>
      <c r="S44" s="61" t="s">
        <v>600</v>
      </c>
      <c r="T44" s="61" t="s">
        <v>601</v>
      </c>
      <c r="U44" s="61" t="s">
        <v>484</v>
      </c>
      <c r="V44" s="61" t="s">
        <v>485</v>
      </c>
      <c r="W44" s="61" t="s">
        <v>486</v>
      </c>
      <c r="AF44" s="61" t="s">
        <v>1517</v>
      </c>
      <c r="AG44" s="62" t="s">
        <v>834</v>
      </c>
      <c r="AH44" s="62" t="s">
        <v>835</v>
      </c>
      <c r="AJ44" s="61" t="s">
        <v>836</v>
      </c>
      <c r="AK44" s="61" t="s">
        <v>837</v>
      </c>
      <c r="AL44" s="61" t="s">
        <v>487</v>
      </c>
      <c r="AN44" t="s">
        <v>488</v>
      </c>
      <c r="AO44" t="s">
        <v>489</v>
      </c>
      <c r="AP44" t="s">
        <v>490</v>
      </c>
      <c r="AQ44" t="s">
        <v>491</v>
      </c>
      <c r="AR44" t="s">
        <v>492</v>
      </c>
      <c r="AS44" t="s">
        <v>493</v>
      </c>
      <c r="AT44" t="s">
        <v>494</v>
      </c>
      <c r="AU44" t="s">
        <v>495</v>
      </c>
      <c r="AV44" t="s">
        <v>496</v>
      </c>
      <c r="AW44" t="s">
        <v>497</v>
      </c>
      <c r="AX44" t="s">
        <v>498</v>
      </c>
      <c r="AY44" t="s">
        <v>499</v>
      </c>
    </row>
    <row r="45" spans="1:51">
      <c r="E45" t="str">
        <f t="shared" ref="E45:F49" si="2">E24</f>
        <v>Janssen J</v>
      </c>
      <c r="F45">
        <f t="shared" si="2"/>
        <v>2004</v>
      </c>
      <c r="G45">
        <v>5</v>
      </c>
      <c r="H45">
        <f t="shared" ref="H45:I49" si="3">H24</f>
        <v>28</v>
      </c>
      <c r="I45">
        <f t="shared" si="3"/>
        <v>41</v>
      </c>
      <c r="J45">
        <f t="shared" ref="J45:M47" si="4">IF($D$4="Total",T24,IF($D$4="Left",L24,IF($D$4="Right",P24,"error")))</f>
        <v>6.41</v>
      </c>
      <c r="K45">
        <f t="shared" si="4"/>
        <v>2.36</v>
      </c>
      <c r="L45">
        <f t="shared" si="4"/>
        <v>6.68</v>
      </c>
      <c r="M45">
        <f t="shared" si="4"/>
        <v>1.8</v>
      </c>
      <c r="N45">
        <f>IF($D$3=1,SQRT((((I45-1)*(M45)^2)+((H45-1)*(K45)^2))/(H45+I45-2)),M45)</f>
        <v>2.0442098791099572</v>
      </c>
      <c r="O45" s="59">
        <f>IF($D$6=1,LN(J45/L45),IF($D$5=1,(1-3/(4*(H45+I45)-9))*((J45-L45)/N45),(J45-L45)/N45))</f>
        <v>-0.13059632225780424</v>
      </c>
      <c r="P45" s="63">
        <f>IF($D$6=1,(K45^2)/(H45*J45^2)+(M45^2)/(I45*L45^2),(IF($D$5=1,((H45+I45)/(H45*I45))+(O45*O45)/(2*(H45+I45-3.94)),((H45+I45)/(H45*I45))+((O45^2)/(2*(H45+I45-2))))))</f>
        <v>6.0235604004883855E-2</v>
      </c>
      <c r="Q45" s="59">
        <f>$R$66*SQRT(P45)</f>
        <v>0.4810416783867712</v>
      </c>
      <c r="R45" s="59">
        <f>1/P45</f>
        <v>16.601477091836262</v>
      </c>
      <c r="S45" s="59">
        <f>O45*R45</f>
        <v>-2.1680918522410031</v>
      </c>
      <c r="T45" s="59">
        <f>R45*(O45^2)</f>
        <v>0.28314482221978576</v>
      </c>
      <c r="U45" s="23">
        <f>R45^2</f>
        <v>275.60904163076418</v>
      </c>
      <c r="V45" s="59">
        <f>1/((1/R45)+$I$63)</f>
        <v>8.8472622718093241</v>
      </c>
      <c r="W45" s="59">
        <f>V45*O45</f>
        <v>-1.1554199147485238</v>
      </c>
      <c r="AF45" s="59">
        <f>IF($D$6=1,100*((EXP(O45))-1),O45)</f>
        <v>-0.13059632225780424</v>
      </c>
      <c r="AG45" s="59">
        <f>IF($D$6=1,100*(EXP(O45+Q45)-EXP(O45)),Q45)</f>
        <v>0.4810416783867712</v>
      </c>
      <c r="AH45" s="59">
        <f>IF($D$6=1,100*(EXP(O45)-EXP(O45-Q45)),Q45)</f>
        <v>0.4810416783867712</v>
      </c>
      <c r="AJ45">
        <f>SQRT(P45)</f>
        <v>0.24542942774835266</v>
      </c>
      <c r="AK45">
        <f>1/AJ45</f>
        <v>4.0744910224267601</v>
      </c>
      <c r="AL45">
        <f>O45/AJ45</f>
        <v>-0.53211354260137533</v>
      </c>
      <c r="AN45" t="str">
        <f t="shared" ref="AN45:AO49" si="5">E45</f>
        <v>Janssen J</v>
      </c>
      <c r="AO45">
        <f t="shared" si="5"/>
        <v>2004</v>
      </c>
      <c r="AP45" t="str">
        <f>CONCATENATE(AN45," ",AO45)</f>
        <v>Janssen J 2004</v>
      </c>
      <c r="AQ45">
        <f>INT(H45)</f>
        <v>28</v>
      </c>
      <c r="AR45">
        <f t="shared" ref="AR45:AS49" si="6">J45</f>
        <v>6.41</v>
      </c>
      <c r="AS45">
        <f t="shared" si="6"/>
        <v>2.36</v>
      </c>
      <c r="AT45">
        <f>INT(I45)</f>
        <v>41</v>
      </c>
      <c r="AU45">
        <f t="shared" ref="AU45:AV49" si="7">L45</f>
        <v>6.68</v>
      </c>
      <c r="AV45">
        <f t="shared" si="7"/>
        <v>1.8</v>
      </c>
      <c r="AW45" s="65">
        <f>O45</f>
        <v>-0.13059632225780424</v>
      </c>
      <c r="AX45">
        <f>SQRT(P45)</f>
        <v>0.24542942774835266</v>
      </c>
      <c r="AY45" t="str">
        <f>$F$5</f>
        <v>H Correction</v>
      </c>
    </row>
    <row r="46" spans="1:51">
      <c r="E46" t="str">
        <f t="shared" si="2"/>
        <v>Lacerda AL</v>
      </c>
      <c r="F46">
        <f t="shared" si="2"/>
        <v>2004</v>
      </c>
      <c r="G46">
        <v>4</v>
      </c>
      <c r="H46">
        <f t="shared" si="3"/>
        <v>31</v>
      </c>
      <c r="I46">
        <f t="shared" si="3"/>
        <v>34</v>
      </c>
      <c r="J46">
        <f t="shared" si="4"/>
        <v>6.52</v>
      </c>
      <c r="K46">
        <f t="shared" si="4"/>
        <v>1.21</v>
      </c>
      <c r="L46">
        <f t="shared" si="4"/>
        <v>6.98</v>
      </c>
      <c r="M46">
        <f t="shared" si="4"/>
        <v>1.87</v>
      </c>
      <c r="N46">
        <f>IF($D$3=1,SQRT((((I46-1)*(M46)^2)+((H46-1)*(K46)^2))/(H46+I46-2)),M46)</f>
        <v>1.5902515524281058</v>
      </c>
      <c r="O46" s="59">
        <f>IF($D$6=1,LN(J46/L46),IF($D$5=1,(1-3/(4*(H46+I46)-9))*((J46-L46)/N46),(J46-L46)/N46))</f>
        <v>-0.28580509249490016</v>
      </c>
      <c r="P46" s="63">
        <f>IF($D$6=1,(K46^2)/(H46*J46^2)+(M46^2)/(I46*L46^2),(IF($D$5=1,((H46+I46)/(H46*I46))+(O46*O46)/(2*(H46+I46-3.94)),((H46+I46)/(H46*I46))+((O46^2)/(2*(H46+I46-2))))))</f>
        <v>6.2338716798952247E-2</v>
      </c>
      <c r="Q46" s="59">
        <f>$R$66*SQRT(P46)</f>
        <v>0.48936736145237042</v>
      </c>
      <c r="R46" s="59">
        <f>1/P46</f>
        <v>16.041395321387292</v>
      </c>
      <c r="S46" s="59">
        <f>O46*R46</f>
        <v>-4.5847124735763538</v>
      </c>
      <c r="T46" s="59">
        <f>R46*(O46^2)</f>
        <v>1.3103341725730122</v>
      </c>
      <c r="U46" s="23">
        <f>R46^2</f>
        <v>257.32636385702608</v>
      </c>
      <c r="V46" s="59">
        <f>1/((1/R46)+$I$63)</f>
        <v>8.68565019841677</v>
      </c>
      <c r="W46" s="59">
        <f>V46*O46</f>
        <v>-2.4824030583368528</v>
      </c>
      <c r="AF46" s="59">
        <f>IF($D$6=1,100*((EXP(O46))-1),O46)</f>
        <v>-0.28580509249490016</v>
      </c>
      <c r="AG46" s="59">
        <f>IF($D$6=1,100*(EXP(O46+Q46)-EXP(O46)),Q46)</f>
        <v>0.48936736145237042</v>
      </c>
      <c r="AH46" s="59">
        <f>IF($D$6=1,100*(EXP(O46)-EXP(O46-Q46)),Q46)</f>
        <v>0.48936736145237042</v>
      </c>
      <c r="AJ46">
        <f>SQRT(P46)</f>
        <v>0.24967722523080124</v>
      </c>
      <c r="AK46">
        <f>1/AJ46</f>
        <v>4.0051710726743357</v>
      </c>
      <c r="AL46">
        <f>O46/AJ46</f>
        <v>-1.144698288883587</v>
      </c>
      <c r="AN46" t="str">
        <f t="shared" si="5"/>
        <v>Lacerda AL</v>
      </c>
      <c r="AO46">
        <f t="shared" si="5"/>
        <v>2004</v>
      </c>
      <c r="AP46" t="str">
        <f>CONCATENATE(AN46," ",AO46)</f>
        <v>Lacerda AL 2004</v>
      </c>
      <c r="AQ46">
        <f>INT(H46)</f>
        <v>31</v>
      </c>
      <c r="AR46">
        <f t="shared" si="6"/>
        <v>6.52</v>
      </c>
      <c r="AS46">
        <f t="shared" si="6"/>
        <v>1.21</v>
      </c>
      <c r="AT46">
        <f>INT(I46)</f>
        <v>34</v>
      </c>
      <c r="AU46">
        <f t="shared" si="7"/>
        <v>6.98</v>
      </c>
      <c r="AV46">
        <f t="shared" si="7"/>
        <v>1.87</v>
      </c>
      <c r="AW46" s="65">
        <f>O46</f>
        <v>-0.28580509249490016</v>
      </c>
      <c r="AX46">
        <f>SQRT(P46)</f>
        <v>0.24967722523080124</v>
      </c>
    </row>
    <row r="47" spans="1:51">
      <c r="E47" t="str">
        <f t="shared" si="2"/>
        <v>Lavretsky H</v>
      </c>
      <c r="F47">
        <f t="shared" si="2"/>
        <v>2007</v>
      </c>
      <c r="G47">
        <v>3</v>
      </c>
      <c r="H47">
        <f t="shared" si="3"/>
        <v>43</v>
      </c>
      <c r="I47">
        <f t="shared" si="3"/>
        <v>41</v>
      </c>
      <c r="J47">
        <f t="shared" si="4"/>
        <v>8.6E-3</v>
      </c>
      <c r="K47">
        <f t="shared" si="4"/>
        <v>1.6000000000000001E-3</v>
      </c>
      <c r="L47">
        <f t="shared" si="4"/>
        <v>9.5999999999999992E-3</v>
      </c>
      <c r="M47">
        <f t="shared" si="4"/>
        <v>1E-3</v>
      </c>
      <c r="N47">
        <f>IF($D$3=1,SQRT((((I47-1)*(M47)^2)+((H47-1)*(K47)^2))/(H47+I47-2)),M47)</f>
        <v>1.3412771489307877E-3</v>
      </c>
      <c r="O47" s="59">
        <f>IF($D$6=1,LN(J47/L47),IF($D$5=1,(1-3/(4*(H47+I47)-9))*((J47-L47)/N47),(J47-L47)/N47))</f>
        <v>-0.73871808586557974</v>
      </c>
      <c r="P47" s="63">
        <f>IF($D$6=1,(K47^2)/(H47*J47^2)+(M47^2)/(I47*L47^2),(IF($D$5=1,((H47+I47)/(H47*I47))+(O47*O47)/(2*(H47+I47-3.94)),((H47+I47)/(H47*I47))+((O47^2)/(2*(H47+I47-2))))))</f>
        <v>5.1054154348463658E-2</v>
      </c>
      <c r="Q47" s="59">
        <f>$R$66*SQRT(P47)</f>
        <v>0.44286526093729456</v>
      </c>
      <c r="R47" s="59">
        <f>1/P47</f>
        <v>19.587044634499804</v>
      </c>
      <c r="S47" s="59">
        <f>O47*R47</f>
        <v>-14.46930412016137</v>
      </c>
      <c r="T47" s="59">
        <f>R47*(O47^2)</f>
        <v>10.688736643452552</v>
      </c>
      <c r="U47" s="23">
        <f>R47^2</f>
        <v>383.65231751388757</v>
      </c>
      <c r="V47" s="59">
        <f>1/((1/R47)+$I$63)</f>
        <v>9.629470864782542</v>
      </c>
      <c r="W47" s="59">
        <f>V47*O47</f>
        <v>-7.1134642851305285</v>
      </c>
      <c r="AF47" s="59">
        <f>IF($D$6=1,100*((EXP(O47))-1),O47)</f>
        <v>-0.73871808586557974</v>
      </c>
      <c r="AG47" s="59">
        <f>IF($D$6=1,100*(EXP(O47+Q47)-EXP(O47)),Q47)</f>
        <v>0.44286526093729456</v>
      </c>
      <c r="AH47" s="59">
        <f>IF($D$6=1,100*(EXP(O47)-EXP(O47-Q47)),Q47)</f>
        <v>0.44286526093729456</v>
      </c>
      <c r="AJ47">
        <f>SQRT(P47)</f>
        <v>0.22595166374351763</v>
      </c>
      <c r="AK47">
        <f>1/AJ47</f>
        <v>4.4257253229837712</v>
      </c>
      <c r="AL47">
        <f>O47/AJ47</f>
        <v>-3.2693633391613961</v>
      </c>
      <c r="AN47" t="str">
        <f t="shared" si="5"/>
        <v>Lavretsky H</v>
      </c>
      <c r="AO47">
        <f t="shared" si="5"/>
        <v>2007</v>
      </c>
      <c r="AP47" t="str">
        <f>CONCATENATE(AN47," ",AO47)</f>
        <v>Lavretsky H 2007</v>
      </c>
      <c r="AQ47">
        <f>INT(H47)</f>
        <v>43</v>
      </c>
      <c r="AR47">
        <f t="shared" si="6"/>
        <v>8.6E-3</v>
      </c>
      <c r="AS47">
        <f t="shared" si="6"/>
        <v>1.6000000000000001E-3</v>
      </c>
      <c r="AT47">
        <f>INT(I47)</f>
        <v>41</v>
      </c>
      <c r="AU47">
        <f t="shared" si="7"/>
        <v>9.5999999999999992E-3</v>
      </c>
      <c r="AV47">
        <f t="shared" si="7"/>
        <v>1E-3</v>
      </c>
      <c r="AW47" s="65">
        <f>O47</f>
        <v>-0.73871808586557974</v>
      </c>
      <c r="AX47">
        <f>SQRT(P47)</f>
        <v>0.22595166374351763</v>
      </c>
    </row>
    <row r="48" spans="1:51">
      <c r="E48" t="str">
        <f t="shared" si="2"/>
        <v>Taylor WD</v>
      </c>
      <c r="F48">
        <f t="shared" si="2"/>
        <v>2007</v>
      </c>
      <c r="G48">
        <v>2</v>
      </c>
      <c r="H48">
        <f t="shared" si="3"/>
        <v>226</v>
      </c>
      <c r="I48">
        <f t="shared" si="3"/>
        <v>144</v>
      </c>
      <c r="J48">
        <f t="shared" ref="J48:M49" si="8">IF($D$4="Total",T27,IF($D$4="Left",L27,IF($D$4="Right",P27,"error")))</f>
        <v>6.7</v>
      </c>
      <c r="K48">
        <f t="shared" si="8"/>
        <v>1.8</v>
      </c>
      <c r="L48">
        <f t="shared" si="8"/>
        <v>7.1</v>
      </c>
      <c r="M48">
        <f t="shared" si="8"/>
        <v>1.6</v>
      </c>
      <c r="N48">
        <f>IF($D$3=1,SQRT((((I48-1)*(M48)^2)+((H48-1)*(K48)^2))/(H48+I48-2)),M48)</f>
        <v>1.7250393820331227</v>
      </c>
      <c r="O48" s="59">
        <f>IF($D$6=1,LN(J48/L48),IF($D$5=1,(1-3/(4*(H48+I48)-9))*((J48-L48)/N48),(J48-L48)/N48))</f>
        <v>-0.23140586387399834</v>
      </c>
      <c r="P48" s="63">
        <f>IF($D$6=1,(K48^2)/(H48*J48^2)+(M48^2)/(I48*L48^2),(IF($D$5=1,((H48+I48)/(H48*I48))+(O48*O48)/(2*(H48+I48-3.94)),((H48+I48)/(H48*I48))+((O48^2)/(2*(H48+I48-2))))))</f>
        <v>1.1442365141029627E-2</v>
      </c>
      <c r="Q48" s="59">
        <f>$R$66*SQRT(P48)</f>
        <v>0.20965922332628109</v>
      </c>
      <c r="R48" s="59">
        <f>1/P48</f>
        <v>87.394519199027783</v>
      </c>
      <c r="S48" s="59">
        <f>O48*R48</f>
        <v>-20.223604213103759</v>
      </c>
      <c r="T48" s="59">
        <f>R48*(O48^2)</f>
        <v>4.6798606035791073</v>
      </c>
      <c r="U48" s="23">
        <f>R48^2</f>
        <v>7637.8019860292361</v>
      </c>
      <c r="V48" s="59">
        <f>1/((1/R48)+$I$63)</f>
        <v>15.567575885066457</v>
      </c>
      <c r="W48" s="59">
        <f>V48*O48</f>
        <v>-3.6024283461078279</v>
      </c>
      <c r="AF48" s="59">
        <f>IF($D$6=1,100*((EXP(O48))-1),O48)</f>
        <v>-0.23140586387399834</v>
      </c>
      <c r="AG48" s="59">
        <f>IF($D$6=1,100*(EXP(O48+Q48)-EXP(O48)),Q48)</f>
        <v>0.20965922332628109</v>
      </c>
      <c r="AH48" s="59">
        <f>IF($D$6=1,100*(EXP(O48)-EXP(O48-Q48)),Q48)</f>
        <v>0.20965922332628109</v>
      </c>
      <c r="AJ48">
        <f>SQRT(P48)</f>
        <v>0.10696899149300056</v>
      </c>
      <c r="AK48">
        <f>1/AJ48</f>
        <v>9.3485035807356773</v>
      </c>
      <c r="AL48">
        <f>O48/AJ48</f>
        <v>-2.1632985470293065</v>
      </c>
      <c r="AN48" t="str">
        <f t="shared" si="5"/>
        <v>Taylor WD</v>
      </c>
      <c r="AO48">
        <f t="shared" si="5"/>
        <v>2007</v>
      </c>
      <c r="AP48" t="str">
        <f>CONCATENATE(AN48," ",AO48)</f>
        <v>Taylor WD 2007</v>
      </c>
      <c r="AQ48">
        <f>INT(H48)</f>
        <v>226</v>
      </c>
      <c r="AR48">
        <f t="shared" si="6"/>
        <v>6.7</v>
      </c>
      <c r="AS48">
        <f t="shared" si="6"/>
        <v>1.8</v>
      </c>
      <c r="AT48">
        <f>INT(I48)</f>
        <v>144</v>
      </c>
      <c r="AU48">
        <f t="shared" si="7"/>
        <v>7.1</v>
      </c>
      <c r="AV48">
        <f t="shared" si="7"/>
        <v>1.6</v>
      </c>
      <c r="AW48" s="65">
        <f>O48</f>
        <v>-0.23140586387399834</v>
      </c>
      <c r="AX48">
        <f>SQRT(P48)</f>
        <v>0.10696899149300056</v>
      </c>
    </row>
    <row r="49" spans="5:50">
      <c r="E49" t="str">
        <f t="shared" si="2"/>
        <v>Chen HH</v>
      </c>
      <c r="F49">
        <f t="shared" si="2"/>
        <v>2008</v>
      </c>
      <c r="G49">
        <v>1</v>
      </c>
      <c r="H49">
        <f t="shared" si="3"/>
        <v>27</v>
      </c>
      <c r="I49">
        <f t="shared" si="3"/>
        <v>26</v>
      </c>
      <c r="J49">
        <f t="shared" si="8"/>
        <v>8.6</v>
      </c>
      <c r="K49">
        <f t="shared" si="8"/>
        <v>2.1</v>
      </c>
      <c r="L49">
        <f t="shared" si="8"/>
        <v>8</v>
      </c>
      <c r="M49">
        <f t="shared" si="8"/>
        <v>1.7</v>
      </c>
      <c r="N49">
        <f>IF($D$3=1,SQRT((((I49-1)*(M49)^2)+((H49-1)*(K49)^2))/(H49+I49-2)),M49)</f>
        <v>1.9143933662610495</v>
      </c>
      <c r="O49" s="59">
        <f>IF($D$6=1,LN(J49/L49),IF($D$5=1,(1-3/(4*(H49+I49)-9))*((J49-L49)/N49),(J49-L49)/N49))</f>
        <v>0.30878345868938845</v>
      </c>
      <c r="P49" s="63">
        <f>IF($D$6=1,(K49^2)/(H49*J49^2)+(M49^2)/(I49*L49^2),(IF($D$5=1,((H49+I49)/(H49*I49))+(O49*O49)/(2*(H49+I49-3.94)),((H49+I49)/(H49*I49))+((O49^2)/(2*(H49+I49-2))))))</f>
        <v>7.6470316472486838E-2</v>
      </c>
      <c r="Q49" s="59">
        <f>$R$66*SQRT(P49)</f>
        <v>0.5420040292845667</v>
      </c>
      <c r="R49" s="59">
        <f>1/P49</f>
        <v>13.076969550136344</v>
      </c>
      <c r="S49" s="59">
        <f>O49*R49</f>
        <v>4.0379518868669164</v>
      </c>
      <c r="T49" s="59">
        <f>R49*(O49^2)</f>
        <v>1.2468527496481085</v>
      </c>
      <c r="U49" s="23">
        <f>R49^2</f>
        <v>171.00713261519311</v>
      </c>
      <c r="V49" s="59">
        <f>1/((1/R49)+$I$63)</f>
        <v>7.7361042706643328</v>
      </c>
      <c r="W49" s="59">
        <f>V49*O49</f>
        <v>2.3887810334774815</v>
      </c>
      <c r="AF49" s="59">
        <f>IF($D$6=1,100*((EXP(O49))-1),O49)</f>
        <v>0.30878345868938845</v>
      </c>
      <c r="AG49" s="59">
        <f>IF($D$6=1,100*(EXP(O49+Q49)-EXP(O49)),Q49)</f>
        <v>0.5420040292845667</v>
      </c>
      <c r="AH49" s="59">
        <f>IF($D$6=1,100*(EXP(O49)-EXP(O49-Q49)),Q49)</f>
        <v>0.5420040292845667</v>
      </c>
      <c r="AJ49">
        <f>SQRT(P49)</f>
        <v>0.27653266800232995</v>
      </c>
      <c r="AK49">
        <f>1/AJ49</f>
        <v>3.6162092790844316</v>
      </c>
      <c r="AL49">
        <f>O49/AJ49</f>
        <v>1.1166256085403508</v>
      </c>
      <c r="AN49" t="str">
        <f t="shared" si="5"/>
        <v>Chen HH</v>
      </c>
      <c r="AO49">
        <f t="shared" si="5"/>
        <v>2008</v>
      </c>
      <c r="AP49" t="str">
        <f>CONCATENATE(AN49," ",AO49)</f>
        <v>Chen HH 2008</v>
      </c>
      <c r="AQ49">
        <f>INT(H49)</f>
        <v>27</v>
      </c>
      <c r="AR49">
        <f t="shared" si="6"/>
        <v>8.6</v>
      </c>
      <c r="AS49">
        <f t="shared" si="6"/>
        <v>2.1</v>
      </c>
      <c r="AT49">
        <f>INT(I49)</f>
        <v>26</v>
      </c>
      <c r="AU49">
        <f t="shared" si="7"/>
        <v>8</v>
      </c>
      <c r="AV49">
        <f t="shared" si="7"/>
        <v>1.7</v>
      </c>
      <c r="AW49" s="65">
        <f>O49</f>
        <v>0.30878345868938845</v>
      </c>
      <c r="AX49">
        <f>SQRT(P49)</f>
        <v>0.27653266800232995</v>
      </c>
    </row>
    <row r="50" spans="5:50">
      <c r="U50" s="23"/>
    </row>
    <row r="51" spans="5:50">
      <c r="L51" t="s">
        <v>500</v>
      </c>
      <c r="N51" s="7"/>
      <c r="O51" s="66">
        <f>COUNT(O45:O49)</f>
        <v>5</v>
      </c>
      <c r="Q51" t="s">
        <v>885</v>
      </c>
      <c r="R51" s="59">
        <f t="shared" ref="R51:W51" si="9">SUM(R45:R49)</f>
        <v>152.70140579688749</v>
      </c>
      <c r="S51" s="59">
        <f t="shared" si="9"/>
        <v>-37.407760772215575</v>
      </c>
      <c r="T51" s="59">
        <f t="shared" si="9"/>
        <v>18.208928991472568</v>
      </c>
      <c r="U51" s="23">
        <f t="shared" si="9"/>
        <v>8725.3968416461084</v>
      </c>
      <c r="V51" s="59">
        <f t="shared" si="9"/>
        <v>50.466063490739423</v>
      </c>
      <c r="W51" s="59">
        <f t="shared" si="9"/>
        <v>-11.964934570846252</v>
      </c>
    </row>
    <row r="52" spans="5:50">
      <c r="L52" t="s">
        <v>501</v>
      </c>
      <c r="N52" s="7"/>
      <c r="O52" s="2">
        <v>0</v>
      </c>
    </row>
    <row r="53" spans="5:50">
      <c r="N53" s="7"/>
      <c r="O53" s="7"/>
    </row>
    <row r="54" spans="5:50">
      <c r="G54" s="67" t="s">
        <v>502</v>
      </c>
      <c r="H54" s="40"/>
      <c r="I54" s="40">
        <f>S51/R51</f>
        <v>-0.24497325729910246</v>
      </c>
      <c r="J54" s="40"/>
      <c r="K54" s="68" t="s">
        <v>879</v>
      </c>
      <c r="L54" s="40"/>
      <c r="M54" s="42"/>
      <c r="N54" s="7"/>
      <c r="O54" s="69" t="s">
        <v>503</v>
      </c>
      <c r="P54" s="70">
        <f>T51-((S51^2)/R51)</f>
        <v>9.0450279868373311</v>
      </c>
      <c r="Q54" s="71" t="s">
        <v>824</v>
      </c>
      <c r="R54" s="28"/>
      <c r="S54" s="29"/>
      <c r="T54" s="30"/>
      <c r="U54" s="31"/>
      <c r="AF54" s="2" t="s">
        <v>1518</v>
      </c>
    </row>
    <row r="55" spans="5:50">
      <c r="G55" s="43" t="s">
        <v>504</v>
      </c>
      <c r="H55" s="31"/>
      <c r="I55" s="31">
        <f>1/R51</f>
        <v>6.5487281847956833E-3</v>
      </c>
      <c r="J55" s="31"/>
      <c r="K55" s="31"/>
      <c r="L55" s="31"/>
      <c r="M55" s="44"/>
      <c r="N55" s="7"/>
      <c r="O55" s="30" t="s">
        <v>505</v>
      </c>
      <c r="P55" s="31">
        <f>CHIDIST(P54,I59-1)</f>
        <v>5.9983797005887296E-2</v>
      </c>
      <c r="Q55" s="31"/>
      <c r="R55" s="31"/>
      <c r="S55" s="34"/>
      <c r="T55" s="30"/>
      <c r="U55" s="31"/>
      <c r="AF55" s="2"/>
    </row>
    <row r="56" spans="5:50">
      <c r="G56" s="72" t="s">
        <v>506</v>
      </c>
      <c r="H56" s="31"/>
      <c r="I56" s="31">
        <f>$R$66*SQRT(I55)</f>
        <v>0.1586114566943734</v>
      </c>
      <c r="J56" s="31"/>
      <c r="K56" s="31" t="s">
        <v>507</v>
      </c>
      <c r="L56" s="31"/>
      <c r="M56" s="44">
        <f>ABS(I54/SQRT(I55))</f>
        <v>3.0271935855896692</v>
      </c>
      <c r="N56" s="7"/>
      <c r="O56" s="35" t="s">
        <v>508</v>
      </c>
      <c r="P56" s="37">
        <f>IF(((P54-(I59-1))/P54)&lt;0,0,100*((P54-(I59-1))/P54))</f>
        <v>55.776809028994137</v>
      </c>
      <c r="Q56" s="36"/>
      <c r="R56" s="36"/>
      <c r="S56" s="38"/>
      <c r="T56" s="30"/>
      <c r="U56" s="31"/>
      <c r="AF56" s="2" t="s">
        <v>1535</v>
      </c>
      <c r="AH56">
        <f>IF($D$6=1,100*((EXP(I54))-1),I54)</f>
        <v>-0.24497325729910246</v>
      </c>
    </row>
    <row r="57" spans="5:50">
      <c r="G57" s="45" t="s">
        <v>509</v>
      </c>
      <c r="H57" s="46"/>
      <c r="I57" s="46">
        <v>-2</v>
      </c>
      <c r="J57" s="46"/>
      <c r="K57" s="46" t="s">
        <v>825</v>
      </c>
      <c r="L57" s="46"/>
      <c r="M57" s="47">
        <f>2*(1-NORMDIST(M56,0,1,1))</f>
        <v>2.4683582464906095E-3</v>
      </c>
      <c r="N57" s="7"/>
      <c r="O57" s="7"/>
      <c r="AF57" s="79" t="s">
        <v>834</v>
      </c>
      <c r="AH57">
        <f>IF($D$6=1,100*(EXP(I54+I56)-EXP(I54)),I56)</f>
        <v>0.1586114566943734</v>
      </c>
    </row>
    <row r="58" spans="5:50">
      <c r="G58" s="40"/>
      <c r="H58" s="40"/>
      <c r="I58" s="40"/>
      <c r="J58" s="40"/>
      <c r="K58" s="40"/>
      <c r="L58" s="40"/>
      <c r="M58" s="40"/>
      <c r="N58" s="7"/>
      <c r="O58" s="7"/>
      <c r="AF58" s="79" t="s">
        <v>835</v>
      </c>
      <c r="AH58">
        <f>IF($D$6=1,100*(EXP(I54)-EXP(I54-I56)),I56)</f>
        <v>0.1586114566943734</v>
      </c>
    </row>
    <row r="59" spans="5:50">
      <c r="G59" s="73" t="s">
        <v>1110</v>
      </c>
      <c r="H59" s="74"/>
      <c r="I59" s="74">
        <f>O51</f>
        <v>5</v>
      </c>
      <c r="J59" s="74"/>
      <c r="K59" s="75" t="s">
        <v>1167</v>
      </c>
      <c r="L59" s="74"/>
      <c r="M59" s="76"/>
      <c r="N59" s="77"/>
      <c r="O59" s="101" t="s">
        <v>1513</v>
      </c>
      <c r="P59" s="102"/>
      <c r="Q59" s="103"/>
      <c r="AF59" s="7"/>
    </row>
    <row r="60" spans="5:50">
      <c r="G60" s="77" t="s">
        <v>1531</v>
      </c>
      <c r="H60" s="31"/>
      <c r="I60" s="31">
        <f>R51/I59</f>
        <v>30.540281159377496</v>
      </c>
      <c r="J60" s="31"/>
      <c r="K60" s="31"/>
      <c r="L60" s="31"/>
      <c r="M60" s="78"/>
      <c r="N60" s="77"/>
      <c r="O60" s="104" t="s">
        <v>1514</v>
      </c>
      <c r="P60" s="31"/>
      <c r="Q60" s="105">
        <f>INDEX(LINEST(AL45:AL49,AK45:AK49,TRUE,TRUE),1,2)</f>
        <v>0.32812991886333576</v>
      </c>
      <c r="AF60" s="2" t="s">
        <v>1687</v>
      </c>
      <c r="AH60">
        <f>IF($D$6=1,100*((EXP(I65))-1),I65)</f>
        <v>-0.23708872345555207</v>
      </c>
    </row>
    <row r="61" spans="5:50">
      <c r="G61" s="77" t="s">
        <v>1532</v>
      </c>
      <c r="H61" s="31"/>
      <c r="I61" s="31">
        <f>(1/(I59-1))*(U51-(I59*I60^2))</f>
        <v>1015.4632437942421</v>
      </c>
      <c r="J61" s="31"/>
      <c r="K61" s="31"/>
      <c r="L61" s="31"/>
      <c r="M61" s="78"/>
      <c r="N61" s="77"/>
      <c r="O61" s="104" t="s">
        <v>1516</v>
      </c>
      <c r="P61" s="31"/>
      <c r="Q61" s="105">
        <f>INDEX(LINEST(AL45:AL49,AK45:AK49,TRUE,TRUE),2,2)</f>
        <v>1.993788584177568</v>
      </c>
      <c r="AF61" s="79" t="s">
        <v>834</v>
      </c>
      <c r="AG61" s="7"/>
      <c r="AH61">
        <f>IF($D$6=1,100*(EXP(I65+I67)-EXP(I65)),I67)</f>
        <v>0.27590295789915492</v>
      </c>
    </row>
    <row r="62" spans="5:50">
      <c r="G62" s="77" t="s">
        <v>1669</v>
      </c>
      <c r="H62" s="31"/>
      <c r="I62" s="31">
        <f>(I59-1)*(I60-(I61/(I59*I60)))</f>
        <v>95.561153576472378</v>
      </c>
      <c r="J62" s="31"/>
      <c r="K62" s="31"/>
      <c r="L62" s="31"/>
      <c r="M62" s="78"/>
      <c r="N62" s="77"/>
      <c r="O62" s="104" t="s">
        <v>1349</v>
      </c>
      <c r="P62" s="31"/>
      <c r="Q62" s="105">
        <f>ABS(Q60/Q61)</f>
        <v>0.16457608467985507</v>
      </c>
      <c r="AF62" s="79" t="s">
        <v>835</v>
      </c>
      <c r="AH62">
        <f>IF($D$6=1,100*(EXP(I65)-EXP(I65-I67)),I67)</f>
        <v>0.27590295789915492</v>
      </c>
    </row>
    <row r="63" spans="5:50">
      <c r="G63" s="77" t="s">
        <v>1685</v>
      </c>
      <c r="H63" s="31"/>
      <c r="I63" s="31">
        <f>IF(P54&gt;(I59-1),(P54-(I59-1))/I62,0)</f>
        <v>5.2793711649787384E-2</v>
      </c>
      <c r="J63" s="31"/>
      <c r="K63" s="31"/>
      <c r="L63" s="31"/>
      <c r="M63" s="78"/>
      <c r="N63" s="77"/>
      <c r="O63" s="106" t="s">
        <v>1515</v>
      </c>
      <c r="P63" s="107"/>
      <c r="Q63" s="108">
        <f>TDIST(Q62,I59-2,2)</f>
        <v>0.87974157626974481</v>
      </c>
    </row>
    <row r="64" spans="5:50">
      <c r="G64" s="77"/>
      <c r="H64" s="31"/>
      <c r="I64" s="31"/>
      <c r="J64" s="31"/>
      <c r="K64" s="31"/>
      <c r="L64" s="31"/>
      <c r="M64" s="78"/>
      <c r="N64" s="77"/>
    </row>
    <row r="65" spans="7:18">
      <c r="G65" s="77" t="s">
        <v>1686</v>
      </c>
      <c r="H65" s="31"/>
      <c r="I65" s="31">
        <f>W51/V51</f>
        <v>-0.23708872345555207</v>
      </c>
      <c r="J65" s="31"/>
      <c r="N65" s="77"/>
    </row>
    <row r="66" spans="7:18">
      <c r="G66" s="77" t="s">
        <v>504</v>
      </c>
      <c r="H66" s="31"/>
      <c r="I66" s="31">
        <f>1/V51</f>
        <v>1.9815296276942646E-2</v>
      </c>
      <c r="J66" s="31"/>
      <c r="N66" s="77"/>
      <c r="O66" t="s">
        <v>805</v>
      </c>
      <c r="R66">
        <v>1.96</v>
      </c>
    </row>
    <row r="67" spans="7:18">
      <c r="G67" s="80" t="s">
        <v>506</v>
      </c>
      <c r="H67" s="31"/>
      <c r="I67" s="31">
        <f>$R$66*SQRT(I66)</f>
        <v>0.27590295789915492</v>
      </c>
      <c r="J67" s="31"/>
      <c r="K67" s="31" t="s">
        <v>507</v>
      </c>
      <c r="L67" s="31"/>
      <c r="M67" s="78">
        <f>ABS(I65/(SQRT(I66)))</f>
        <v>1.6842657342685392</v>
      </c>
      <c r="N67" s="77"/>
    </row>
    <row r="68" spans="7:18">
      <c r="G68" s="81" t="s">
        <v>509</v>
      </c>
      <c r="H68" s="82"/>
      <c r="I68" s="82">
        <v>-3</v>
      </c>
      <c r="J68" s="82"/>
      <c r="K68" s="31" t="s">
        <v>825</v>
      </c>
      <c r="L68" s="31"/>
      <c r="M68" s="78">
        <f>2*(1-NORMDIST(M67,0,1,1))</f>
        <v>9.2130324448367995E-2</v>
      </c>
      <c r="N68" s="77"/>
    </row>
    <row r="69" spans="7:18">
      <c r="G69" s="74"/>
      <c r="H69" s="74"/>
      <c r="I69" s="74"/>
      <c r="J69" s="74"/>
      <c r="K69" s="74"/>
      <c r="L69" s="74"/>
      <c r="M69" s="74"/>
      <c r="N69" s="31"/>
      <c r="O69" s="7"/>
    </row>
  </sheetData>
  <phoneticPr fontId="10" type="noConversion"/>
  <conditionalFormatting sqref="D17 D13 F13">
    <cfRule type="cellIs" dxfId="42" priority="0" stopIfTrue="1" operator="lessThan">
      <formula>0.05</formula>
    </cfRule>
  </conditionalFormatting>
  <conditionalFormatting sqref="D21">
    <cfRule type="cellIs" dxfId="4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59.xml><?xml version="1.0" encoding="utf-8"?>
<worksheet xmlns="http://schemas.openxmlformats.org/spreadsheetml/2006/main" xmlns:r="http://schemas.openxmlformats.org/officeDocument/2006/relationships">
  <sheetPr published="0" codeName="Sheet106" enableFormatConditionsCalculation="0"/>
  <dimension ref="A1:BM66"/>
  <sheetViews>
    <sheetView zoomScale="80" zoomScaleNormal="80" zoomScalePageLayoutView="80" workbookViewId="0"/>
  </sheetViews>
  <sheetFormatPr defaultColWidth="8.77734375" defaultRowHeight="13.2"/>
  <cols>
    <col min="1" max="1" width="6.33203125" customWidth="1"/>
    <col min="2" max="2" width="9.44140625" customWidth="1"/>
    <col min="3" max="3" width="8.109375" customWidth="1"/>
    <col min="4" max="4" width="9.6640625" customWidth="1"/>
    <col min="5" max="5" width="14.33203125" customWidth="1"/>
    <col min="6" max="6" width="6.44140625" customWidth="1"/>
    <col min="7" max="11" width="5.6640625" customWidth="1"/>
    <col min="12" max="12" width="6.109375" customWidth="1"/>
    <col min="13" max="13" width="6.44140625" customWidth="1"/>
    <col min="14" max="15" width="5.6640625" customWidth="1"/>
    <col min="16" max="17" width="6.44140625" customWidth="1"/>
    <col min="18" max="18" width="6.109375" customWidth="1"/>
    <col min="19" max="19" width="5.6640625" customWidth="1"/>
    <col min="20" max="20" width="6.33203125" customWidth="1"/>
    <col min="21" max="22" width="5.6640625" customWidth="1"/>
    <col min="23" max="23" width="6.109375" customWidth="1"/>
    <col min="24" max="24" width="9.6640625" customWidth="1"/>
    <col min="25" max="25" width="7.33203125" customWidth="1"/>
    <col min="26" max="38" width="5.6640625" customWidth="1"/>
    <col min="39" max="39" width="13" customWidth="1"/>
    <col min="40" max="40" width="7.33203125" customWidth="1"/>
    <col min="41" max="48" width="5.6640625" customWidth="1"/>
    <col min="49" max="49" width="6.6640625" customWidth="1"/>
    <col min="50" max="50" width="7.33203125" customWidth="1"/>
    <col min="51" max="53" width="5.6640625" customWidth="1"/>
  </cols>
  <sheetData>
    <row r="1" spans="2:30">
      <c r="B1" s="4" t="s">
        <v>855</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I56-O49</f>
        <v>6</v>
      </c>
      <c r="AD7" s="89"/>
    </row>
    <row r="8" spans="2:30">
      <c r="B8" t="s">
        <v>822</v>
      </c>
      <c r="D8">
        <f>SUM(H24:H30)</f>
        <v>424</v>
      </c>
      <c r="E8" t="s">
        <v>298</v>
      </c>
      <c r="F8">
        <f>Summary!C78</f>
        <v>0.8</v>
      </c>
      <c r="AD8" s="89"/>
    </row>
    <row r="9" spans="2:30">
      <c r="B9" t="s">
        <v>823</v>
      </c>
      <c r="D9">
        <f>SUM(I24:I30)</f>
        <v>318</v>
      </c>
      <c r="AD9" s="89"/>
    </row>
    <row r="11" spans="2:30">
      <c r="B11" s="27" t="s">
        <v>516</v>
      </c>
      <c r="C11" s="28"/>
      <c r="D11" s="109">
        <f>P51</f>
        <v>14.002549784409076</v>
      </c>
      <c r="E11" s="110" t="s">
        <v>1513</v>
      </c>
      <c r="F11" s="103"/>
    </row>
    <row r="12" spans="2:30">
      <c r="B12" s="30" t="s">
        <v>826</v>
      </c>
      <c r="C12" s="31"/>
      <c r="D12" s="112">
        <f>P53</f>
        <v>57.150661184003738</v>
      </c>
      <c r="E12" s="31"/>
      <c r="F12" s="105"/>
    </row>
    <row r="13" spans="2:30">
      <c r="B13" s="35" t="s">
        <v>825</v>
      </c>
      <c r="C13" s="36"/>
      <c r="D13" s="113">
        <f>P52</f>
        <v>2.9607694344443675E-2</v>
      </c>
      <c r="E13" s="111" t="s">
        <v>825</v>
      </c>
      <c r="F13" s="115">
        <f>Q60</f>
        <v>0.40984673390596338</v>
      </c>
    </row>
    <row r="15" spans="2:30">
      <c r="B15" s="39" t="s">
        <v>879</v>
      </c>
      <c r="C15" s="40"/>
      <c r="D15" s="41">
        <f>AH53</f>
        <v>-0.32651023969923376</v>
      </c>
      <c r="E15" s="116"/>
    </row>
    <row r="16" spans="2:30">
      <c r="B16" s="43" t="s">
        <v>1165</v>
      </c>
      <c r="C16" s="31"/>
      <c r="D16" s="33">
        <f>AH53-AH55</f>
        <v>-0.47647224660035881</v>
      </c>
      <c r="E16" s="117">
        <f>AH53+AH54</f>
        <v>-0.17654823279810872</v>
      </c>
    </row>
    <row r="17" spans="1:65">
      <c r="B17" s="45" t="s">
        <v>1166</v>
      </c>
      <c r="C17" s="46"/>
      <c r="D17" s="123">
        <f>M54</f>
        <v>1.9769228006172312E-5</v>
      </c>
      <c r="E17" s="118"/>
    </row>
    <row r="18" spans="1:65">
      <c r="D18" s="48"/>
      <c r="F18" s="49"/>
    </row>
    <row r="19" spans="1:65">
      <c r="B19" s="50" t="s">
        <v>1167</v>
      </c>
      <c r="C19" s="51"/>
      <c r="D19" s="52">
        <f>AH57</f>
        <v>-0.37808107676834923</v>
      </c>
      <c r="E19" s="120"/>
      <c r="F19" s="33"/>
      <c r="G19" s="31"/>
    </row>
    <row r="20" spans="1:65">
      <c r="B20" s="53" t="s">
        <v>1165</v>
      </c>
      <c r="C20" s="31"/>
      <c r="D20" s="33">
        <f>AH57-AH59</f>
        <v>-0.64427046465124582</v>
      </c>
      <c r="E20" s="121">
        <f>AH57+AH58</f>
        <v>-0.11189168888545259</v>
      </c>
      <c r="F20" s="31"/>
      <c r="G20" s="31"/>
    </row>
    <row r="21" spans="1:65">
      <c r="B21" s="54" t="s">
        <v>1440</v>
      </c>
      <c r="C21" s="55"/>
      <c r="D21" s="114">
        <f>M65</f>
        <v>5.3713152953815957E-3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15576058</v>
      </c>
      <c r="C24" s="1" t="str">
        <f>IF($B24="","",HYPERLINK(IF(LEN(VLOOKUP($B24,Database!$B$1:$IX$10144,2,FALSE))=0,"",VLOOKUP($B24,Database!$B$1:$IX$10144,2,FALSE))))</f>
        <v/>
      </c>
      <c r="D24" s="1" t="str">
        <f t="shared" ref="D24:D31" si="0">IF($B24="","",HYPERLINK(CONCATENATE("http://www.ncbi.nlm.nih.gov/pubmed/",B24)))</f>
        <v>http://www.ncbi.nlm.nih.gov/pubmed/15576058</v>
      </c>
      <c r="E24" s="22" t="str">
        <f>IF($B24="","",IF(LEN(VLOOKUP($B24,Database!$B$1:$IX$10144,4,FALSE))=0,"",VLOOKUP($B24,Database!$B$1:$IX$10144,4,FALSE)))</f>
        <v>Janssen J</v>
      </c>
      <c r="F24" s="22">
        <f>IF($B24="","",IF(LEN(VLOOKUP($B24,Database!$B$1:$IX$10144,5,FALSE))=0,"",VLOOKUP($B24,Database!$B$1:$IX$10144,5,FALSE)))</f>
        <v>2004</v>
      </c>
      <c r="G24" s="1" t="str">
        <f>IF($B24="","",HYPERLINK(IF(LEN(VLOOKUP($B24,Database!$B$1:$IX$10144,6,FALSE))=0,"",VLOOKUP($B24,Database!$B$1:$IX$10144,6,FALSE))))</f>
        <v>http://dx.doi.org/10.1016/j.biopsych.2004.09.011</v>
      </c>
      <c r="H24" s="22">
        <f>IF($B24="","",IF(LEN(VLOOKUP($B24,Database!$B$1:$IX$10144,7,FALSE))=0,"",VLOOKUP($B24,Database!$B$1:$IX$10144,7,FALSE)))</f>
        <v>28</v>
      </c>
      <c r="I24" s="22">
        <f>IF($B24="","",IF(LEN(VLOOKUP($B24,Database!$B$1:$IX$10144,8,FALSE))=0,"",VLOOKUP($B24,Database!$B$1:$IX$10144,8,FALSE)))</f>
        <v>41</v>
      </c>
      <c r="J24" t="s">
        <v>1725</v>
      </c>
      <c r="L24">
        <v>6.21</v>
      </c>
      <c r="M24">
        <v>2.27</v>
      </c>
      <c r="N24">
        <v>6.42</v>
      </c>
      <c r="O24">
        <v>1.59</v>
      </c>
      <c r="P24">
        <v>6.41</v>
      </c>
      <c r="Q24">
        <v>2.36</v>
      </c>
      <c r="R24">
        <v>6.68</v>
      </c>
      <c r="S24">
        <v>1.8</v>
      </c>
      <c r="T24">
        <v>12.63</v>
      </c>
      <c r="U24">
        <v>4.5599999999999996</v>
      </c>
      <c r="V24">
        <v>13.1</v>
      </c>
      <c r="W24">
        <v>3.33</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64.040000000000006</v>
      </c>
      <c r="AC24" s="22">
        <f>IF(OR($B24="",AC$22=""),"",IF(LEN(VLOOKUP($B24,Database!$B$1:$IX$10144,AC$22,FALSE))=0,"",VLOOKUP($B24,Database!$B$1:$IX$10144,AC$22,FALSE)))</f>
        <v>10.9</v>
      </c>
      <c r="AD24" s="22">
        <f>IF(OR($B24="",AD$22=""),"",IF(LEN(VLOOKUP($B24,Database!$B$1:$IX$10144,AD$22,FALSE))=0,"",VLOOKUP($B24,Database!$B$1:$IX$10144,AD$22,FALSE)))</f>
        <v>62.37</v>
      </c>
      <c r="AE24" s="22">
        <f>IF(OR($B24="",AE$22=""),"",IF(LEN(VLOOKUP($B24,Database!$B$1:$IX$10144,AE$22,FALSE))=0,"",VLOOKUP($B24,Database!$B$1:$IX$10144,AE$22,FALSE)))</f>
        <v>11.38</v>
      </c>
      <c r="AF24" s="22">
        <f>IF(OR($B24="",AF$22=""),"",IF(LEN(VLOOKUP($B24,Database!$B$1:$IX$10144,AF$22,FALSE))=0,"",VLOOKUP($B24,Database!$B$1:$IX$10144,AF$22,FALSE)))</f>
        <v>28</v>
      </c>
      <c r="AG24" s="22">
        <f>IF(OR($B24="",AG$22=""),"",IF(LEN(VLOOKUP($B24,Database!$B$1:$IX$10144,AG$22,FALSE))=0,"",VLOOKUP($B24,Database!$B$1:$IX$10144,AG$22,FALSE)))</f>
        <v>41</v>
      </c>
      <c r="AH24" s="22">
        <f>IF(OR($B24="",AH$22=""),"",IF(LEN(VLOOKUP($B24,Database!$B$1:$IX$10144,AH$22,FALSE))=0,"",VLOOKUP($B24,Database!$B$1:$IX$10144,AH$22,FALSE)))</f>
        <v>1.5</v>
      </c>
      <c r="AI24" s="22">
        <f>IF(OR($B24="",AI$22=""),"",IF(LEN(VLOOKUP($B24,Database!$B$1:$IX$10144,AI$22,FALSE))=0,"",VLOOKUP($B24,Database!$B$1:$IX$10144,AI$22,FALSE)))</f>
        <v>1.2</v>
      </c>
      <c r="AJ24" s="22" t="str">
        <f>IF(OR($B24="",AJ$22=""),"",IF(LEN(VLOOKUP($B24,Database!$B$1:$IX$10144,AJ$22,FALSE))=0,"",VLOOKUP($B24,Database!$B$1:$IX$10144,AJ$22,FALSE)))</f>
        <v/>
      </c>
      <c r="AK24" s="22">
        <f>IF(OR($B24="",AK$22=""),"",IF(LEN(VLOOKUP($B24,Database!$B$1:$IX$10144,AK$22,FALSE))=0,"",VLOOKUP($B24,Database!$B$1:$IX$10144,AK$22,FALSE)))</f>
        <v>33.04</v>
      </c>
      <c r="AL24" s="22" t="str">
        <f>IF(OR($B24="",AL$22=""),"",IF(LEN(VLOOKUP($B24,Database!$B$1:$IX$10144,AL$22,FALSE))=0,"",VLOOKUP($B24,Database!$B$1:$IX$10144,AL$22,FALSE)))</f>
        <v>ns</v>
      </c>
      <c r="AM24" s="22">
        <f>IF(OR($B24="",AM$22=""),"",IF(LEN(VLOOKUP($B24,Database!$B$1:$IX$10144,AM$22,FALSE))=0,"",VLOOKUP($B24,Database!$B$1:$IX$10144,AM$22,FALSE)))</f>
        <v>60.714285714285708</v>
      </c>
      <c r="AN24" s="22">
        <f>IF(OR($B24="",AN$22=""),"",IF(LEN(VLOOKUP($B24,Database!$B$1:$IX$10144,AN$22,FALSE))=0,"",VLOOKUP($B24,Database!$B$1:$IX$10144,AN$22,FALSE)))</f>
        <v>25</v>
      </c>
      <c r="AO24" s="22"/>
      <c r="AP24" s="22">
        <f>IF(OR($B24="",AP$22=""),"",IF(LEN(VLOOKUP($B24,Database!$B$1:$IX$10144,AP$22,FALSE))=0,"",VLOOKUP($B24,Database!$B$1:$IX$10144,AP$22,FALSE)))</f>
        <v>21.428571428571427</v>
      </c>
      <c r="AQ24" s="22" t="str">
        <f>IF(OR($B24="",AQ$22=""),"",IF(LEN(VLOOKUP($B24,Database!$B$1:$IX$10144,AQ$22,FALSE))=0,"",VLOOKUP($B24,Database!$B$1:$IX$10144,AQ$22,FALSE)))</f>
        <v>Janssen J, Hulshoff Pol HE, Lampe IK, Schnack HG, de Leeuw FE, Kahn RS, Heeren TJ.</v>
      </c>
      <c r="AR24" s="13"/>
      <c r="AX24" s="13"/>
      <c r="AY24" s="13"/>
      <c r="AZ24" s="13"/>
      <c r="BA24" s="13"/>
      <c r="BC24" s="23"/>
      <c r="BF24" s="136"/>
      <c r="BG24" s="136"/>
      <c r="BH24" s="136"/>
      <c r="BI24" s="136"/>
    </row>
    <row r="25" spans="1:65">
      <c r="A25" t="s">
        <v>2265</v>
      </c>
      <c r="B25">
        <v>14960287</v>
      </c>
      <c r="C25" s="1" t="str">
        <f>IF($B25="","",HYPERLINK(IF(LEN(VLOOKUP($B25,Database!$B$1:$IX$10144,2,FALSE))=0,"",VLOOKUP($B25,Database!$B$1:$IX$10144,2,FALSE))))</f>
        <v/>
      </c>
      <c r="D25" s="1" t="str">
        <f t="shared" si="0"/>
        <v>http://www.ncbi.nlm.nih.gov/pubmed/14960287</v>
      </c>
      <c r="E25" s="22" t="str">
        <f>IF($B25="","",IF(LEN(VLOOKUP($B25,Database!$B$1:$IX$10144,4,FALSE))=0,"",VLOOKUP($B25,Database!$B$1:$IX$10144,4,FALSE)))</f>
        <v>Lacerda AL</v>
      </c>
      <c r="F25" s="22">
        <f>IF($B25="","",IF(LEN(VLOOKUP($B25,Database!$B$1:$IX$10144,5,FALSE))=0,"",VLOOKUP($B25,Database!$B$1:$IX$10144,5,FALSE)))</f>
        <v>2004</v>
      </c>
      <c r="G25" s="1" t="str">
        <f>IF($B25="","",HYPERLINK(IF(LEN(VLOOKUP($B25,Database!$B$1:$IX$10144,6,FALSE))=0,"",VLOOKUP($B25,Database!$B$1:$IX$10144,6,FALSE))))</f>
        <v>http://dx.doi.org/10.1016/j.biopsych.2003.08.021</v>
      </c>
      <c r="H25" s="22">
        <f>IF($B25="","",IF(LEN(VLOOKUP($B25,Database!$B$1:$IX$10144,7,FALSE))=0,"",VLOOKUP($B25,Database!$B$1:$IX$10144,7,FALSE)))</f>
        <v>31</v>
      </c>
      <c r="I25" s="22">
        <f>IF($B25="","",IF(LEN(VLOOKUP($B25,Database!$B$1:$IX$10144,8,FALSE))=0,"",VLOOKUP($B25,Database!$B$1:$IX$10144,8,FALSE)))</f>
        <v>34</v>
      </c>
      <c r="J25" t="s">
        <v>1649</v>
      </c>
      <c r="L25">
        <v>5.89</v>
      </c>
      <c r="M25">
        <v>1.0900000000000001</v>
      </c>
      <c r="N25">
        <v>6.42</v>
      </c>
      <c r="O25">
        <v>1.82</v>
      </c>
      <c r="P25">
        <v>6.52</v>
      </c>
      <c r="Q25">
        <v>1.21</v>
      </c>
      <c r="R25">
        <v>6.98</v>
      </c>
      <c r="S25">
        <v>1.87</v>
      </c>
      <c r="T25">
        <v>12.41</v>
      </c>
      <c r="U25">
        <v>2.2200000000000002</v>
      </c>
      <c r="V25">
        <v>13.4</v>
      </c>
      <c r="W25">
        <v>3.6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39.26</v>
      </c>
      <c r="AC25" s="22">
        <f>IF(OR($B25="",AC$22=""),"",IF(LEN(VLOOKUP($B25,Database!$B$1:$IX$10144,AC$22,FALSE))=0,"",VLOOKUP($B25,Database!$B$1:$IX$10144,AC$22,FALSE)))</f>
        <v>11.9</v>
      </c>
      <c r="AD25" s="22">
        <f>IF(OR($B25="",AD$22=""),"",IF(LEN(VLOOKUP($B25,Database!$B$1:$IX$10144,AD$22,FALSE))=0,"",VLOOKUP($B25,Database!$B$1:$IX$10144,AD$22,FALSE)))</f>
        <v>37.03</v>
      </c>
      <c r="AE25" s="22">
        <f>IF(OR($B25="",AE$22=""),"",IF(LEN(VLOOKUP($B25,Database!$B$1:$IX$10144,AE$22,FALSE))=0,"",VLOOKUP($B25,Database!$B$1:$IX$10144,AE$22,FALSE)))</f>
        <v>11.88</v>
      </c>
      <c r="AF25" s="22">
        <f>IF(OR($B25="",AF$22=""),"",IF(LEN(VLOOKUP($B25,Database!$B$1:$IX$10144,AF$22,FALSE))=0,"",VLOOKUP($B25,Database!$B$1:$IX$10144,AF$22,FALSE)))</f>
        <v>24</v>
      </c>
      <c r="AG25" s="22">
        <f>IF(OR($B25="",AG$22=""),"",IF(LEN(VLOOKUP($B25,Database!$B$1:$IX$10144,AG$22,FALSE))=0,"",VLOOKUP($B25,Database!$B$1:$IX$10144,AG$22,FALSE)))</f>
        <v>22</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27.94</v>
      </c>
      <c r="AL25" s="22">
        <f>IF(OR($B25="",AL$22=""),"",IF(LEN(VLOOKUP($B25,Database!$B$1:$IX$10144,AL$22,FALSE))=0,"",VLOOKUP($B25,Database!$B$1:$IX$10144,AL$22,FALSE)))</f>
        <v>14.07</v>
      </c>
      <c r="AM25" s="22" t="str">
        <f>IF(OR($B25="",AM$22=""),"",IF(LEN(VLOOKUP($B25,Database!$B$1:$IX$10144,AM$22,FALSE))=0,"",VLOOKUP($B25,Database!$B$1:$IX$10144,AM$22,FALSE)))</f>
        <v>ns</v>
      </c>
      <c r="AN25" s="22" t="str">
        <f>IF(OR($B25="",AN$22=""),"",IF(LEN(VLOOKUP($B25,Database!$B$1:$IX$10144,AN$22,FALSE))=0,"",VLOOKUP($B25,Database!$B$1:$IX$10144,AN$22,FALSE)))</f>
        <v>ns</v>
      </c>
      <c r="AO25" s="22"/>
      <c r="AP25" s="22">
        <f>IF(OR($B25="",AP$22=""),"",IF(LEN(VLOOKUP($B25,Database!$B$1:$IX$10144,AP$22,FALSE))=0,"",VLOOKUP($B25,Database!$B$1:$IX$10144,AP$22,FALSE)))</f>
        <v>100</v>
      </c>
      <c r="AQ25" s="22" t="str">
        <f>IF(OR($B25="",AQ$22=""),"",IF(LEN(VLOOKUP($B25,Database!$B$1:$IX$10144,AQ$22,FALSE))=0,"",VLOOKUP($B25,Database!$B$1:$IX$10144,AQ$22,FALSE)))</f>
        <v>Lacerda AL, Keshavan MS, Hardan AY, Yorbik O, Brambilla P, Sassi RB, Nicoletti M, Mallinger AG, Frank E, Kupfer DJ, Soares JC.</v>
      </c>
      <c r="AR25" s="13"/>
      <c r="AX25" s="13"/>
      <c r="AY25" s="13"/>
      <c r="AZ25" s="13"/>
      <c r="BA25" s="13"/>
      <c r="BC25" s="23"/>
      <c r="BF25" s="136"/>
      <c r="BG25" s="136"/>
      <c r="BH25" s="136"/>
      <c r="BI25" s="136"/>
    </row>
    <row r="26" spans="1:65">
      <c r="B26">
        <v>15545334</v>
      </c>
      <c r="C26" s="1" t="str">
        <f>IF($B26="","",HYPERLINK(IF(LEN(VLOOKUP($B26,Database!$B$1:$IX$10144,2,FALSE))=0,"",VLOOKUP($B26,Database!$B$1:$IX$10144,2,FALSE))))</f>
        <v/>
      </c>
      <c r="D26" s="1" t="str">
        <f t="shared" si="0"/>
        <v>http://www.ncbi.nlm.nih.gov/pubmed/15545334</v>
      </c>
      <c r="E26" s="22" t="str">
        <f>IF($B26="","",IF(LEN(VLOOKUP($B26,Database!$B$1:$IX$10144,4,FALSE))=0,"",VLOOKUP($B26,Database!$B$1:$IX$10144,4,FALSE)))</f>
        <v>Lavretsky H</v>
      </c>
      <c r="F26" s="22">
        <f>IF($B26="","",IF(LEN(VLOOKUP($B26,Database!$B$1:$IX$10144,5,FALSE))=0,"",VLOOKUP($B26,Database!$B$1:$IX$10144,5,FALSE)))</f>
        <v>2004</v>
      </c>
      <c r="G26" s="1" t="str">
        <f>IF($B26="","",HYPERLINK(IF(LEN(VLOOKUP($B26,Database!$B$1:$IX$10144,6,FALSE))=0,"",VLOOKUP($B26,Database!$B$1:$IX$10144,6,FALSE))))</f>
        <v>http://journals.lww.com/ajgponline/Abstract/2004/11000/Sex_Differences_in_Brain_Structure_in_Geriatric.12.aspx</v>
      </c>
      <c r="H26" s="83">
        <v>32</v>
      </c>
      <c r="I26" s="83">
        <v>20</v>
      </c>
      <c r="J26" t="s">
        <v>242</v>
      </c>
      <c r="K26" t="s">
        <v>2109</v>
      </c>
      <c r="L26">
        <v>8.7299999999999999E-3</v>
      </c>
      <c r="M26">
        <v>1.8E-3</v>
      </c>
      <c r="N26">
        <v>9.8600000000000007E-3</v>
      </c>
      <c r="O26">
        <v>1E-3</v>
      </c>
      <c r="P26">
        <v>8.6800000000000002E-3</v>
      </c>
      <c r="Q26">
        <v>1.6999999999999999E-3</v>
      </c>
      <c r="R26">
        <v>9.6600000000000002E-3</v>
      </c>
      <c r="S26">
        <v>9.7000000000000005E-4</v>
      </c>
      <c r="T26">
        <v>1.72E-2</v>
      </c>
      <c r="U26">
        <v>3.0999999999999999E-3</v>
      </c>
      <c r="V26">
        <v>1.9400000000000001E-2</v>
      </c>
      <c r="W26">
        <v>2E-3</v>
      </c>
      <c r="Y26" s="22" t="str">
        <f>IF(OR($B26="",Y$22=""),"",IF(LEN(VLOOKUP($B26,Database!$B$1:$IX$10144,Y$22,FALSE))=0,"",VLOOKUP($B26,Database!$B$1:$IX$10144,Y$22,FALSE)))</f>
        <v>DSM-IV</v>
      </c>
      <c r="Z26" s="22" t="str">
        <f>IF(OR($B26="",Z$22=""),"",IF(LEN(VLOOKUP($B26,Database!$B$1:$IX$10144,Z$22,FALSE))=0,"",VLOOKUP($B26,Database!$B$1:$IX$10144,Z$22,FALSE)))</f>
        <v>MRI</v>
      </c>
      <c r="AA26" s="214" t="s">
        <v>1368</v>
      </c>
      <c r="AB26" s="22">
        <f>IF(OR($B26="",AB$22=""),"",IF(LEN(VLOOKUP($B26,Database!$B$1:$IX$10144,AB$22,FALSE))=0,"",VLOOKUP($B26,Database!$B$1:$IX$10144,AB$22,FALSE)))</f>
        <v>70.5</v>
      </c>
      <c r="AC26" s="22">
        <f>IF(OR($B26="",AC$22=""),"",IF(LEN(VLOOKUP($B26,Database!$B$1:$IX$10144,AC$22,FALSE))=0,"",VLOOKUP($B26,Database!$B$1:$IX$10144,AC$22,FALSE)))</f>
        <v>7.6</v>
      </c>
      <c r="AD26" s="22">
        <f>IF(OR($B26="",AD$22=""),"",IF(LEN(VLOOKUP($B26,Database!$B$1:$IX$10144,AD$22,FALSE))=0,"",VLOOKUP($B26,Database!$B$1:$IX$10144,AD$22,FALSE)))</f>
        <v>72.2</v>
      </c>
      <c r="AE26" s="22">
        <f>IF(OR($B26="",AE$22=""),"",IF(LEN(VLOOKUP($B26,Database!$B$1:$IX$10144,AE$22,FALSE))=0,"",VLOOKUP($B26,Database!$B$1:$IX$10144,AE$22,FALSE)))</f>
        <v>7.3</v>
      </c>
      <c r="AF26" s="22">
        <f>IF(OR($B26="",AF$22=""),"",IF(LEN(VLOOKUP($B26,Database!$B$1:$IX$10144,AF$22,FALSE))=0,"",VLOOKUP($B26,Database!$B$1:$IX$10144,AF$22,FALSE)))</f>
        <v>32</v>
      </c>
      <c r="AG26" s="22">
        <f>IF(OR($B26="",AG$22=""),"",IF(LEN(VLOOKUP($B26,Database!$B$1:$IX$10144,AG$22,FALSE))=0,"",VLOOKUP($B26,Database!$B$1:$IX$10144,AG$22,FALSE)))</f>
        <v>20</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48.5</v>
      </c>
      <c r="AL26" s="22" t="str">
        <f>IF(OR($B26="",AL$22=""),"",IF(LEN(VLOOKUP($B26,Database!$B$1:$IX$10144,AL$22,FALSE))=0,"",VLOOKUP($B26,Database!$B$1:$IX$10144,AL$22,FALSE)))</f>
        <v>ns</v>
      </c>
      <c r="AM26" s="22">
        <f>IF(OR($B26="",AM$22=""),"",IF(LEN(VLOOKUP($B26,Database!$B$1:$IX$10144,AM$22,FALSE))=0,"",VLOOKUP($B26,Database!$B$1:$IX$10144,AM$22,FALSE)))</f>
        <v>0</v>
      </c>
      <c r="AN26" s="22">
        <f>IF(OR($B26="",AN$22=""),"",IF(LEN(VLOOKUP($B26,Database!$B$1:$IX$10144,AN$22,FALSE))=0,"",VLOOKUP($B26,Database!$B$1:$IX$10144,AN$22,FALSE)))</f>
        <v>0</v>
      </c>
      <c r="AO26" s="22"/>
      <c r="AP26" s="22">
        <f>IF(OR($B26="",AP$22=""),"",IF(LEN(VLOOKUP($B26,Database!$B$1:$IX$10144,AP$22,FALSE))=0,"",VLOOKUP($B26,Database!$B$1:$IX$10144,AP$22,FALSE)))</f>
        <v>100</v>
      </c>
      <c r="AQ26" s="22" t="str">
        <f>IF(OR($B26="",AQ$22=""),"",IF(LEN(VLOOKUP($B26,Database!$B$1:$IX$10144,AQ$22,FALSE))=0,"",VLOOKUP($B26,Database!$B$1:$IX$10144,AQ$22,FALSE)))</f>
        <v>Lavretsky H, Kurbanyan K, Ballmaier M, Mintz J, Toga A, Kumar A.</v>
      </c>
      <c r="AR26" s="13"/>
      <c r="AU26" s="22"/>
      <c r="AX26" s="13"/>
      <c r="AY26" s="13"/>
      <c r="AZ26" s="13"/>
      <c r="BA26" s="13"/>
      <c r="BC26" s="23"/>
      <c r="BF26" s="136"/>
      <c r="BG26" s="136"/>
      <c r="BH26" s="136"/>
      <c r="BI26" s="136"/>
    </row>
    <row r="27" spans="1:65">
      <c r="B27">
        <v>15545334</v>
      </c>
      <c r="C27" s="1" t="str">
        <f>IF($B27="","",HYPERLINK(IF(LEN(VLOOKUP($B27,Database!$B$1:$IX$10144,2,FALSE))=0,"",VLOOKUP($B27,Database!$B$1:$IX$10144,2,FALSE))))</f>
        <v/>
      </c>
      <c r="D27" s="1" t="str">
        <f t="shared" si="0"/>
        <v>http://www.ncbi.nlm.nih.gov/pubmed/15545334</v>
      </c>
      <c r="E27" s="22" t="str">
        <f>IF($B27="","",IF(LEN(VLOOKUP($B27,Database!$B$1:$IX$10144,4,FALSE))=0,"",VLOOKUP($B27,Database!$B$1:$IX$10144,4,FALSE)))</f>
        <v>Lavretsky H</v>
      </c>
      <c r="F27" s="22">
        <f>IF($B27="","",IF(LEN(VLOOKUP($B27,Database!$B$1:$IX$10144,5,FALSE))=0,"",VLOOKUP($B27,Database!$B$1:$IX$10144,5,FALSE)))</f>
        <v>2004</v>
      </c>
      <c r="G27" s="1" t="str">
        <f>IF($B27="","",HYPERLINK(IF(LEN(VLOOKUP($B27,Database!$B$1:$IX$10144,6,FALSE))=0,"",VLOOKUP($B27,Database!$B$1:$IX$10144,6,FALSE))))</f>
        <v>http://journals.lww.com/ajgponline/Abstract/2004/11000/Sex_Differences_in_Brain_Structure_in_Geriatric.12.aspx</v>
      </c>
      <c r="H27" s="83">
        <v>9</v>
      </c>
      <c r="I27" s="83">
        <v>21</v>
      </c>
      <c r="J27" t="s">
        <v>242</v>
      </c>
      <c r="K27" t="s">
        <v>2110</v>
      </c>
      <c r="L27">
        <v>8.1799999999999998E-3</v>
      </c>
      <c r="M27">
        <v>7.2999999999999996E-4</v>
      </c>
      <c r="N27">
        <v>9.4000000000000004E-3</v>
      </c>
      <c r="O27">
        <v>8.4999999999999995E-4</v>
      </c>
      <c r="P27">
        <v>8.4700000000000001E-3</v>
      </c>
      <c r="Q27">
        <v>9.2000000000000003E-4</v>
      </c>
      <c r="R27">
        <v>9.4299999999999991E-3</v>
      </c>
      <c r="S27">
        <v>1E-3</v>
      </c>
      <c r="T27">
        <v>1.67E-2</v>
      </c>
      <c r="U27">
        <v>1.4E-3</v>
      </c>
      <c r="V27">
        <v>1.8800000000000001E-2</v>
      </c>
      <c r="W27">
        <v>1.6999999999999999E-3</v>
      </c>
      <c r="Y27" s="22" t="str">
        <f>IF(OR($B27="",Y$22=""),"",IF(LEN(VLOOKUP($B27,Database!$B$1:$IX$10144,Y$22,FALSE))=0,"",VLOOKUP($B27,Database!$B$1:$IX$10144,Y$22,FALSE)))</f>
        <v>DSM-IV</v>
      </c>
      <c r="Z27" s="22" t="str">
        <f>IF(OR($B27="",Z$22=""),"",IF(LEN(VLOOKUP($B27,Database!$B$1:$IX$10144,Z$22,FALSE))=0,"",VLOOKUP($B27,Database!$B$1:$IX$10144,Z$22,FALSE)))</f>
        <v>MRI</v>
      </c>
      <c r="AA27" s="214" t="s">
        <v>1367</v>
      </c>
      <c r="AB27" s="22">
        <f>IF(OR($B27="",AB$22=""),"",IF(LEN(VLOOKUP($B27,Database!$B$1:$IX$10144,AB$22,FALSE))=0,"",VLOOKUP($B27,Database!$B$1:$IX$10144,AB$22,FALSE)))</f>
        <v>70.5</v>
      </c>
      <c r="AC27" s="22">
        <f>IF(OR($B27="",AC$22=""),"",IF(LEN(VLOOKUP($B27,Database!$B$1:$IX$10144,AC$22,FALSE))=0,"",VLOOKUP($B27,Database!$B$1:$IX$10144,AC$22,FALSE)))</f>
        <v>7.6</v>
      </c>
      <c r="AD27" s="22">
        <f>IF(OR($B27="",AD$22=""),"",IF(LEN(VLOOKUP($B27,Database!$B$1:$IX$10144,AD$22,FALSE))=0,"",VLOOKUP($B27,Database!$B$1:$IX$10144,AD$22,FALSE)))</f>
        <v>72.2</v>
      </c>
      <c r="AE27" s="22">
        <f>IF(OR($B27="",AE$22=""),"",IF(LEN(VLOOKUP($B27,Database!$B$1:$IX$10144,AE$22,FALSE))=0,"",VLOOKUP($B27,Database!$B$1:$IX$10144,AE$22,FALSE)))</f>
        <v>7.3</v>
      </c>
      <c r="AF27" s="214">
        <v>0</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1.4</v>
      </c>
      <c r="AJ27" s="22" t="str">
        <f>IF(OR($B27="",AJ$22=""),"",IF(LEN(VLOOKUP($B27,Database!$B$1:$IX$10144,AJ$22,FALSE))=0,"",VLOOKUP($B27,Database!$B$1:$IX$10144,AJ$22,FALSE)))</f>
        <v/>
      </c>
      <c r="AK27" s="22">
        <f>IF(OR($B27="",AK$22=""),"",IF(LEN(VLOOKUP($B27,Database!$B$1:$IX$10144,AK$22,FALSE))=0,"",VLOOKUP($B27,Database!$B$1:$IX$10144,AK$22,FALSE)))</f>
        <v>48.5</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c r="AP27" s="22">
        <f>IF(OR($B27="",AP$22=""),"",IF(LEN(VLOOKUP($B27,Database!$B$1:$IX$10144,AP$22,FALSE))=0,"",VLOOKUP($B27,Database!$B$1:$IX$10144,AP$22,FALSE)))</f>
        <v>100</v>
      </c>
      <c r="AQ27" s="22" t="str">
        <f>IF(OR($B27="",AQ$22=""),"",IF(LEN(VLOOKUP($B27,Database!$B$1:$IX$10144,AQ$22,FALSE))=0,"",VLOOKUP($B27,Database!$B$1:$IX$10144,AQ$22,FALSE)))</f>
        <v>Lavretsky H, Kurbanyan K, Ballmaier M, Mintz J, Toga A, Kumar A.</v>
      </c>
      <c r="AR27" s="13"/>
      <c r="AU27" s="22"/>
      <c r="AX27" s="13"/>
      <c r="AY27" s="13"/>
      <c r="AZ27" s="13"/>
      <c r="BA27" s="13"/>
      <c r="BC27" s="23"/>
      <c r="BF27" s="136"/>
      <c r="BG27" s="136"/>
      <c r="BH27" s="136"/>
      <c r="BI27" s="136"/>
    </row>
    <row r="28" spans="1:65">
      <c r="A28" s="10"/>
      <c r="B28">
        <v>17335636</v>
      </c>
      <c r="C28" s="1" t="str">
        <f>IF($B28="","",HYPERLINK(IF(LEN(VLOOKUP($B28,Database!$B$1:$IX$10144,2,FALSE))=0,"",VLOOKUP($B28,Database!$B$1:$IX$10144,2,FALSE))))</f>
        <v/>
      </c>
      <c r="D28" s="1" t="str">
        <f t="shared" si="0"/>
        <v>http://www.ncbi.nlm.nih.gov/pubmed/17335636</v>
      </c>
      <c r="E28" s="22" t="str">
        <f>IF($B28="","",IF(LEN(VLOOKUP($B28,Database!$B$1:$IX$10144,4,FALSE))=0,"",VLOOKUP($B28,Database!$B$1:$IX$10144,4,FALSE)))</f>
        <v>Taylor WD</v>
      </c>
      <c r="F28" s="22">
        <f>IF($B28="","",IF(LEN(VLOOKUP($B28,Database!$B$1:$IX$10144,5,FALSE))=0,"",VLOOKUP($B28,Database!$B$1:$IX$10144,5,FALSE)))</f>
        <v>2007</v>
      </c>
      <c r="G28" s="1" t="str">
        <f>IF($B28="","",HYPERLINK(IF(LEN(VLOOKUP($B28,Database!$B$1:$IX$10144,6,FALSE))=0,"",VLOOKUP($B28,Database!$B$1:$IX$10144,6,FALSE))))</f>
        <v>http://dx.doi.org/10.1017/S0033291707000128</v>
      </c>
      <c r="H28" s="22">
        <f>IF($B28="","",IF(LEN(VLOOKUP($B28,Database!$B$1:$IX$10144,7,FALSE))=0,"",VLOOKUP($B28,Database!$B$1:$IX$10144,7,FALSE)))</f>
        <v>226</v>
      </c>
      <c r="I28" s="22">
        <f>IF($B28="","",IF(LEN(VLOOKUP($B28,Database!$B$1:$IX$10144,8,FALSE))=0,"",VLOOKUP($B28,Database!$B$1:$IX$10144,8,FALSE)))</f>
        <v>144</v>
      </c>
      <c r="J28" t="s">
        <v>1650</v>
      </c>
      <c r="L28">
        <v>6.3</v>
      </c>
      <c r="M28">
        <v>1.6</v>
      </c>
      <c r="N28">
        <v>6.7</v>
      </c>
      <c r="O28">
        <v>1.5</v>
      </c>
      <c r="P28">
        <v>6.7</v>
      </c>
      <c r="Q28">
        <v>1.8</v>
      </c>
      <c r="R28">
        <v>7.1</v>
      </c>
      <c r="S28">
        <v>1.6</v>
      </c>
      <c r="T28">
        <v>13</v>
      </c>
      <c r="U28">
        <v>3.1</v>
      </c>
      <c r="V28">
        <v>13.8</v>
      </c>
      <c r="W28">
        <v>2.9</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70</v>
      </c>
      <c r="AC28" s="22">
        <f>IF(OR($B28="",AC$22=""),"",IF(LEN(VLOOKUP($B28,Database!$B$1:$IX$10144,AC$22,FALSE))=0,"",VLOOKUP($B28,Database!$B$1:$IX$10144,AC$22,FALSE)))</f>
        <v>7.4</v>
      </c>
      <c r="AD28" s="22">
        <f>IF(OR($B28="",AD$22=""),"",IF(LEN(VLOOKUP($B28,Database!$B$1:$IX$10144,AD$22,FALSE))=0,"",VLOOKUP($B28,Database!$B$1:$IX$10144,AD$22,FALSE)))</f>
        <v>70.3</v>
      </c>
      <c r="AE28" s="22">
        <f>IF(OR($B28="",AE$22=""),"",IF(LEN(VLOOKUP($B28,Database!$B$1:$IX$10144,AE$22,FALSE))=0,"",VLOOKUP($B28,Database!$B$1:$IX$10144,AE$22,FALSE)))</f>
        <v>6.5</v>
      </c>
      <c r="AF28" s="22">
        <f>IF(OR($B28="",AF$22=""),"",IF(LEN(VLOOKUP($B28,Database!$B$1:$IX$10144,AF$22,FALSE))=0,"",VLOOKUP($B28,Database!$B$1:$IX$10144,AF$22,FALSE)))</f>
        <v>150</v>
      </c>
      <c r="AG28" s="22">
        <f>IF(OR($B28="",AG$22=""),"",IF(LEN(VLOOKUP($B28,Database!$B$1:$IX$10144,AG$22,FALSE))=0,"",VLOOKUP($B28,Database!$B$1:$IX$10144,AG$22,FALSE)))</f>
        <v>100</v>
      </c>
      <c r="AH28" s="22">
        <f>IF(OR($B28="",AH$22=""),"",IF(LEN(VLOOKUP($B28,Database!$B$1:$IX$10144,AH$22,FALSE))=0,"",VLOOKUP($B28,Database!$B$1:$IX$10144,AH$22,FALSE)))</f>
        <v>1.5</v>
      </c>
      <c r="AI28" s="22">
        <f>IF(OR($B28="",AI$22=""),"",IF(LEN(VLOOKUP($B28,Database!$B$1:$IX$10144,AI$22,FALSE))=0,"",VLOOKUP($B28,Database!$B$1:$IX$10144,AI$22,FALSE)))</f>
        <v>3</v>
      </c>
      <c r="AJ28" s="22" t="str">
        <f>IF(OR($B28="",AJ$22=""),"",IF(LEN(VLOOKUP($B28,Database!$B$1:$IX$10144,AJ$22,FALSE))=0,"",VLOOKUP($B28,Database!$B$1:$IX$10144,AJ$22,FALSE)))</f>
        <v/>
      </c>
      <c r="AK28" s="22">
        <f>IF(OR($B28="",AK$22=""),"",IF(LEN(VLOOKUP($B28,Database!$B$1:$IX$10144,AK$22,FALSE))=0,"",VLOOKUP($B28,Database!$B$1:$IX$10144,AK$22,FALSE)))</f>
        <v>45.4</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c r="AP28" s="22" t="str">
        <f>IF(OR($B28="",AP$22=""),"",IF(LEN(VLOOKUP($B28,Database!$B$1:$IX$10144,AP$22,FALSE))=0,"",VLOOKUP($B28,Database!$B$1:$IX$10144,AP$22,FALSE)))</f>
        <v>ns</v>
      </c>
      <c r="AQ28" s="22" t="str">
        <f>IF(OR($B28="",AQ$22=""),"",IF(LEN(VLOOKUP($B28,Database!$B$1:$IX$10144,AQ$22,FALSE))=0,"",VLOOKUP($B28,Database!$B$1:$IX$10144,AQ$22,FALSE)))</f>
        <v>Taylor WD, Macfall JR, Payne ME, McQuoid DR, Steffens DC, Provenzale JM, Krishnan KR.</v>
      </c>
      <c r="AR28" s="13"/>
      <c r="AX28" s="13"/>
      <c r="AY28" s="13"/>
      <c r="AZ28" s="13"/>
      <c r="BA28" s="13"/>
      <c r="BC28" s="23"/>
      <c r="BF28" s="136"/>
      <c r="BG28" s="136"/>
      <c r="BH28" s="136"/>
      <c r="BI28" s="136"/>
    </row>
    <row r="29" spans="1:65">
      <c r="B29">
        <v>19108659</v>
      </c>
      <c r="C29" s="1" t="str">
        <f>IF($B29="","",HYPERLINK(IF(LEN(VLOOKUP($B29,Database!$B$1:$IX$10144,2,FALSE))=0,"",VLOOKUP($B29,Database!$B$1:$IX$10144,2,FALSE))))</f>
        <v/>
      </c>
      <c r="D29" s="1" t="str">
        <f t="shared" si="0"/>
        <v>http://www.ncbi.nlm.nih.gov/pubmed/19108659</v>
      </c>
      <c r="E29" s="22" t="str">
        <f>IF($B29="","",IF(LEN(VLOOKUP($B29,Database!$B$1:$IX$10144,4,FALSE))=0,"",VLOOKUP($B29,Database!$B$1:$IX$10144,4,FALSE)))</f>
        <v>Chen HH</v>
      </c>
      <c r="F29" s="22">
        <f>IF($B29="","",IF(LEN(VLOOKUP($B29,Database!$B$1:$IX$10144,5,FALSE))=0,"",VLOOKUP($B29,Database!$B$1:$IX$10144,5,FALSE)))</f>
        <v>2008</v>
      </c>
      <c r="G29" s="1" t="str">
        <f>IF($B29="","",HYPERLINK(IF(LEN(VLOOKUP($B29,Database!$B$1:$IX$10144,6,FALSE))=0,"",VLOOKUP($B29,Database!$B$1:$IX$10144,6,FALSE))))</f>
        <v>http://dx.doi.org/10.1089/cap.2008.053</v>
      </c>
      <c r="H29" s="22">
        <f>IF($B29="","",IF(LEN(VLOOKUP($B29,Database!$B$1:$IX$10144,7,FALSE))=0,"",VLOOKUP($B29,Database!$B$1:$IX$10144,7,FALSE)))</f>
        <v>27</v>
      </c>
      <c r="I29" s="22">
        <f>IF($B29="","",IF(LEN(VLOOKUP($B29,Database!$B$1:$IX$10144,8,FALSE))=0,"",VLOOKUP($B29,Database!$B$1:$IX$10144,8,FALSE)))</f>
        <v>26</v>
      </c>
      <c r="J29" t="s">
        <v>531</v>
      </c>
      <c r="L29">
        <v>7.9</v>
      </c>
      <c r="M29">
        <v>2.2000000000000002</v>
      </c>
      <c r="N29">
        <v>7.6</v>
      </c>
      <c r="O29">
        <v>1.7</v>
      </c>
      <c r="P29">
        <v>8.6</v>
      </c>
      <c r="Q29">
        <v>2.1</v>
      </c>
      <c r="R29">
        <v>8</v>
      </c>
      <c r="S29">
        <v>1.7</v>
      </c>
      <c r="T29">
        <v>16.5</v>
      </c>
      <c r="U29">
        <v>4.2</v>
      </c>
      <c r="V29">
        <v>15.6</v>
      </c>
      <c r="W29">
        <v>3.3</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14.4</v>
      </c>
      <c r="AC29" s="22">
        <f>IF(OR($B29="",AC$22=""),"",IF(LEN(VLOOKUP($B29,Database!$B$1:$IX$10144,AC$22,FALSE))=0,"",VLOOKUP($B29,Database!$B$1:$IX$10144,AC$22,FALSE)))</f>
        <v>2.2000000000000002</v>
      </c>
      <c r="AD29" s="22">
        <f>IF(OR($B29="",AD$22=""),"",IF(LEN(VLOOKUP($B29,Database!$B$1:$IX$10144,AD$22,FALSE))=0,"",VLOOKUP($B29,Database!$B$1:$IX$10144,AD$22,FALSE)))</f>
        <v>14.4</v>
      </c>
      <c r="AE29" s="22">
        <f>IF(OR($B29="",AE$22=""),"",IF(LEN(VLOOKUP($B29,Database!$B$1:$IX$10144,AE$22,FALSE))=0,"",VLOOKUP($B29,Database!$B$1:$IX$10144,AE$22,FALSE)))</f>
        <v>2.4</v>
      </c>
      <c r="AF29" s="22">
        <f>IF(OR($B29="",AF$22=""),"",IF(LEN(VLOOKUP($B29,Database!$B$1:$IX$10144,AF$22,FALSE))=0,"",VLOOKUP($B29,Database!$B$1:$IX$10144,AF$22,FALSE)))</f>
        <v>17</v>
      </c>
      <c r="AG29" s="22">
        <f>IF(OR($B29="",AG$22=""),"",IF(LEN(VLOOKUP($B29,Database!$B$1:$IX$10144,AG$22,FALSE))=0,"",VLOOKUP($B29,Database!$B$1:$IX$10144,AG$22,FALSE)))</f>
        <v>14</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11.75</v>
      </c>
      <c r="AL29" s="22">
        <f>IF(OR($B29="",AL$22=""),"",IF(LEN(VLOOKUP($B29,Database!$B$1:$IX$10144,AL$22,FALSE))=0,"",VLOOKUP($B29,Database!$B$1:$IX$10144,AL$22,FALSE)))</f>
        <v>20.100000000000001</v>
      </c>
      <c r="AM29" s="22">
        <f>IF(OR($B29="",AM$22=""),"",IF(LEN(VLOOKUP($B29,Database!$B$1:$IX$10144,AM$22,FALSE))=0,"",VLOOKUP($B29,Database!$B$1:$IX$10144,AM$22,FALSE)))</f>
        <v>0</v>
      </c>
      <c r="AN29" s="22">
        <f>IF(OR($B29="",AN$22=""),"",IF(LEN(VLOOKUP($B29,Database!$B$1:$IX$10144,AN$22,FALSE))=0,"",VLOOKUP($B29,Database!$B$1:$IX$10144,AN$22,FALSE)))</f>
        <v>0</v>
      </c>
      <c r="AO29" s="22"/>
      <c r="AP29" s="22">
        <f>IF(OR($B29="",AP$22=""),"",IF(LEN(VLOOKUP($B29,Database!$B$1:$IX$10144,AP$22,FALSE))=0,"",VLOOKUP($B29,Database!$B$1:$IX$10144,AP$22,FALSE)))</f>
        <v>100</v>
      </c>
      <c r="AQ29" s="22" t="str">
        <f>IF(OR($B29="",AQ$22=""),"",IF(LEN(VLOOKUP($B29,Database!$B$1:$IX$10144,AQ$22,FALSE))=0,"",VLOOKUP($B29,Database!$B$1:$IX$10144,AQ$22,FALSE)))</f>
        <v>Chen HH, Rosenberg DR, MacMaster FP, Easter PC, Caetano SC, Nicoletti M, Hatch JP, Nery FG, Soares JC.</v>
      </c>
      <c r="AR29" s="13"/>
      <c r="AX29" s="13"/>
      <c r="AY29" s="13"/>
      <c r="AZ29" s="13"/>
      <c r="BA29" s="13"/>
      <c r="BC29" s="23"/>
      <c r="BF29" s="136"/>
      <c r="BG29" s="136"/>
      <c r="BH29" s="136"/>
      <c r="BI29" s="136"/>
    </row>
    <row r="30" spans="1:65">
      <c r="B30">
        <v>18075490</v>
      </c>
      <c r="C30" s="1" t="str">
        <f>IF($B30="","",HYPERLINK(IF(LEN(VLOOKUP($B30,Database!$B$1:$IX$10144,2,FALSE))=0,"",VLOOKUP($B30,Database!$B$1:$IX$10144,2,FALSE))))</f>
        <v/>
      </c>
      <c r="D30" s="1" t="str">
        <f t="shared" si="0"/>
        <v>http://www.ncbi.nlm.nih.gov/pubmed/18075490</v>
      </c>
      <c r="E30" s="22" t="str">
        <f>IF($B30="","",IF(LEN(VLOOKUP($B30,Database!$B$1:$IX$10144,4,FALSE))=0,"",VLOOKUP($B30,Database!$B$1:$IX$10144,4,FALSE)))</f>
        <v>Andreescu C</v>
      </c>
      <c r="F30" s="22">
        <f>IF($B30="","",IF(LEN(VLOOKUP($B30,Database!$B$1:$IX$10144,5,FALSE))=0,"",VLOOKUP($B30,Database!$B$1:$IX$10144,5,FALSE)))</f>
        <v>2008</v>
      </c>
      <c r="G30" s="1" t="str">
        <f>IF($B30="","",HYPERLINK(IF(LEN(VLOOKUP($B30,Database!$B$1:$IX$10144,6,FALSE))=0,"",VLOOKUP($B30,Database!$B$1:$IX$10144,6,FALSE))))</f>
        <v>http://www.nature.com/npp/journal/v33/n11/pdf/1301655a.pdf</v>
      </c>
      <c r="H30" s="22">
        <f>IF($B30="","",IF(LEN(VLOOKUP($B30,Database!$B$1:$IX$10144,7,FALSE))=0,"",VLOOKUP($B30,Database!$B$1:$IX$10144,7,FALSE)))</f>
        <v>71</v>
      </c>
      <c r="I30" s="22">
        <f>IF($B30="","",IF(LEN(VLOOKUP($B30,Database!$B$1:$IX$10144,8,FALSE))=0,"",VLOOKUP($B30,Database!$B$1:$IX$10144,8,FALSE)))</f>
        <v>32</v>
      </c>
      <c r="J30" t="s">
        <v>1837</v>
      </c>
      <c r="T30">
        <v>1.89</v>
      </c>
      <c r="U30">
        <v>0.27</v>
      </c>
      <c r="V30">
        <v>2.08</v>
      </c>
      <c r="W30">
        <v>0.38</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72.2</v>
      </c>
      <c r="AC30" s="22">
        <f>IF(OR($B30="",AC$22=""),"",IF(LEN(VLOOKUP($B30,Database!$B$1:$IX$10144,AC$22,FALSE))=0,"",VLOOKUP($B30,Database!$B$1:$IX$10144,AC$22,FALSE)))</f>
        <v>6.2</v>
      </c>
      <c r="AD30" s="22">
        <f>IF(OR($B30="",AD$22=""),"",IF(LEN(VLOOKUP($B30,Database!$B$1:$IX$10144,AD$22,FALSE))=0,"",VLOOKUP($B30,Database!$B$1:$IX$10144,AD$22,FALSE)))</f>
        <v>71</v>
      </c>
      <c r="AE30" s="22">
        <f>IF(OR($B30="",AE$22=""),"",IF(LEN(VLOOKUP($B30,Database!$B$1:$IX$10144,AE$22,FALSE))=0,"",VLOOKUP($B30,Database!$B$1:$IX$10144,AE$22,FALSE)))</f>
        <v>6.7</v>
      </c>
      <c r="AF30" s="22">
        <f>IF(OR($B30="",AF$22=""),"",IF(LEN(VLOOKUP($B30,Database!$B$1:$IX$10144,AF$22,FALSE))=0,"",VLOOKUP($B30,Database!$B$1:$IX$10144,AF$22,FALSE)))</f>
        <v>49</v>
      </c>
      <c r="AG30" s="22">
        <f>IF(OR($B30="",AG$22=""),"",IF(LEN(VLOOKUP($B30,Database!$B$1:$IX$10144,AG$22,FALSE))=0,"",VLOOKUP($B30,Database!$B$1:$IX$10144,AG$22,FALSE)))</f>
        <v>17</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52.3</v>
      </c>
      <c r="AL30" s="22">
        <f>IF(OR($B30="",AL$22=""),"",IF(LEN(VLOOKUP($B30,Database!$B$1:$IX$10144,AL$22,FALSE))=0,"",VLOOKUP($B30,Database!$B$1:$IX$10144,AL$22,FALSE)))</f>
        <v>18.3</v>
      </c>
      <c r="AM30" s="22">
        <f>IF(OR($B30="",AM$22=""),"",IF(LEN(VLOOKUP($B30,Database!$B$1:$IX$10144,AM$22,FALSE))=0,"",VLOOKUP($B30,Database!$B$1:$IX$10144,AM$22,FALSE)))</f>
        <v>16.901408450704224</v>
      </c>
      <c r="AN30" s="22" t="str">
        <f>IF(OR($B30="",AN$22=""),"",IF(LEN(VLOOKUP($B30,Database!$B$1:$IX$10144,AN$22,FALSE))=0,"",VLOOKUP($B30,Database!$B$1:$IX$10144,AN$22,FALSE)))</f>
        <v>ns</v>
      </c>
      <c r="AO30" s="22">
        <f>IF(OR($B30="",AO$22=""),"",IF(LEN(VLOOKUP($B30,Database!$B$1:$IX$10144,AO$22,FALSE))=0,"",VLOOKUP($B30,Database!$B$1:$IX$10144,AO$22,FALSE)))</f>
        <v>1.4084507042253522</v>
      </c>
      <c r="AP30" s="22" t="str">
        <f>IF(OR($B30="",AP$22=""),"",IF(LEN(VLOOKUP($B30,Database!$B$1:$IX$10144,AP$22,FALSE))=0,"",VLOOKUP($B30,Database!$B$1:$IX$10144,AP$22,FALSE)))</f>
        <v>ns</v>
      </c>
      <c r="AQ30" s="22" t="str">
        <f>IF(OR($B30="",AQ$22=""),"",IF(LEN(VLOOKUP($B30,Database!$B$1:$IX$10144,AQ$22,FALSE))=0,"",VLOOKUP($B30,Database!$B$1:$IX$10144,AQ$22,FALSE)))</f>
        <v>Andreescu C, Butters MA, Begley A, Rajji T, Wu M, Meltzer CC, Reynolds CF 3rd, Aizenstein H.</v>
      </c>
      <c r="AR30" s="13"/>
      <c r="AX30" s="13"/>
      <c r="AY30" s="13"/>
      <c r="AZ30" s="13"/>
      <c r="BA30" s="13"/>
      <c r="BC30" s="23"/>
      <c r="BF30" s="136"/>
      <c r="BG30" s="136"/>
      <c r="BH30" s="136"/>
      <c r="BI30" s="136"/>
    </row>
    <row r="31" spans="1:65">
      <c r="A31" s="4" t="s">
        <v>397</v>
      </c>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1">
      <c r="A33" s="10" t="s">
        <v>1195</v>
      </c>
      <c r="B33">
        <v>11082470</v>
      </c>
      <c r="C33" s="1" t="str">
        <f>IF($B33="","",HYPERLINK(IF(LEN(VLOOKUP($B33,Database!$B$1:$IX$10144,2,FALSE))=0,"",VLOOKUP($B33,Database!$B$1:$IX$10144,2,FALSE))))</f>
        <v/>
      </c>
      <c r="D33" s="1" t="str">
        <f>IF($B33="","",HYPERLINK(CONCATENATE("http://www.ncbi.nlm.nih.gov/pubmed/",B33)))</f>
        <v>http://www.ncbi.nlm.nih.gov/pubmed/11082470</v>
      </c>
      <c r="E33" s="22" t="str">
        <f>IF($B33="","",IF(LEN(VLOOKUP($B33,Database!$B$1:$IX$10144,4,FALSE))=0,"",VLOOKUP($B33,Database!$B$1:$IX$10144,4,FALSE)))</f>
        <v>Lai T</v>
      </c>
      <c r="F33" s="22">
        <f>IF($B33="","",IF(LEN(VLOOKUP($B33,Database!$B$1:$IX$10144,5,FALSE))=0,"",VLOOKUP($B33,Database!$B$1:$IX$10144,5,FALSE)))</f>
        <v>2000</v>
      </c>
      <c r="G33" s="1" t="str">
        <f>IF($B33="","",HYPERLINK(IF(LEN(VLOOKUP($B33,Database!$B$1:$IX$10144,6,FALSE))=0,"",VLOOKUP($B33,Database!$B$1:$IX$10144,6,FALSE))))</f>
        <v>http://dx.doi.org/10.1016/S0006-3223(00)01042-8</v>
      </c>
      <c r="H33" s="22">
        <f>IF($B33="","",IF(LEN(VLOOKUP($B33,Database!$B$1:$IX$10144,7,FALSE))=0,"",VLOOKUP($B33,Database!$B$1:$IX$10144,7,FALSE)))</f>
        <v>20</v>
      </c>
      <c r="I33" s="22">
        <f>IF($B33="","",IF(LEN(VLOOKUP($B33,Database!$B$1:$IX$10144,8,FALSE))=0,"",VLOOKUP($B33,Database!$B$1:$IX$10144,8,FALSE)))</f>
        <v>20</v>
      </c>
      <c r="J33" s="13" t="s">
        <v>729</v>
      </c>
      <c r="L33">
        <v>5.99</v>
      </c>
      <c r="M33">
        <v>1.1499999999999999</v>
      </c>
      <c r="N33">
        <v>6.84</v>
      </c>
      <c r="O33">
        <v>1.54</v>
      </c>
      <c r="P33">
        <v>6.15</v>
      </c>
      <c r="Q33">
        <v>1.1299999999999999</v>
      </c>
      <c r="R33">
        <v>7.26</v>
      </c>
      <c r="S33">
        <v>1.23</v>
      </c>
      <c r="T33">
        <v>12.14</v>
      </c>
      <c r="U33">
        <v>2.13</v>
      </c>
      <c r="V33">
        <v>14.11</v>
      </c>
      <c r="W33">
        <v>2.5099999999999998</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66.650000000000006</v>
      </c>
      <c r="AC33" s="22">
        <f>IF(OR($B33="",AC$22=""),"",IF(LEN(VLOOKUP($B33,Database!$B$1:$IX$10144,AC$22,FALSE))=0,"",VLOOKUP($B33,Database!$B$1:$IX$10144,AC$22,FALSE)))</f>
        <v>5.65</v>
      </c>
      <c r="AD33" s="22">
        <f>IF(OR($B33="",AD$22=""),"",IF(LEN(VLOOKUP($B33,Database!$B$1:$IX$10144,AD$22,FALSE))=0,"",VLOOKUP($B33,Database!$B$1:$IX$10144,AD$22,FALSE)))</f>
        <v>71.790000000000006</v>
      </c>
      <c r="AE33" s="22">
        <f>IF(OR($B33="",AE$22=""),"",IF(LEN(VLOOKUP($B33,Database!$B$1:$IX$10144,AE$22,FALSE))=0,"",VLOOKUP($B33,Database!$B$1:$IX$10144,AE$22,FALSE)))</f>
        <v>4.4400000000000004</v>
      </c>
      <c r="AF33" s="22">
        <f>IF(OR($B33="",AF$22=""),"",IF(LEN(VLOOKUP($B33,Database!$B$1:$IX$10144,AF$22,FALSE))=0,"",VLOOKUP($B33,Database!$B$1:$IX$10144,AF$22,FALSE)))</f>
        <v>11</v>
      </c>
      <c r="AG33" s="22">
        <f>IF(OR($B33="",AG$22=""),"",IF(LEN(VLOOKUP($B33,Database!$B$1:$IX$10144,AG$22,FALSE))=0,"",VLOOKUP($B33,Database!$B$1:$IX$10144,AG$22,FALSE)))</f>
        <v>14</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f>IF(OR($B33="",AK$22=""),"",IF(LEN(VLOOKUP($B33,Database!$B$1:$IX$10144,AK$22,FALSE))=0,"",VLOOKUP($B33,Database!$B$1:$IX$10144,AK$22,FALSE)))</f>
        <v>44.75</v>
      </c>
      <c r="AL33" s="22" t="str">
        <f>IF(OR($B33="",AL$22=""),"",IF(LEN(VLOOKUP($B33,Database!$B$1:$IX$10144,AL$22,FALSE))=0,"",VLOOKUP($B33,Database!$B$1:$IX$10144,AL$22,FALSE)))</f>
        <v>ns</v>
      </c>
      <c r="AM33" s="22">
        <f>IF(OR($B33="",AM$22=""),"",IF(LEN(VLOOKUP($B33,Database!$B$1:$IX$10144,AM$22,FALSE))=0,"",VLOOKUP($B33,Database!$B$1:$IX$10144,AM$22,FALSE)))</f>
        <v>75</v>
      </c>
      <c r="AN33" s="22" t="str">
        <f>IF(OR($B33="",AN$22=""),"",IF(LEN(VLOOKUP($B33,Database!$B$1:$IX$10144,AN$22,FALSE))=0,"",VLOOKUP($B33,Database!$B$1:$IX$10144,AN$22,FALSE)))</f>
        <v>ns</v>
      </c>
      <c r="AO33" s="22"/>
      <c r="AP33" s="22" t="str">
        <f>IF(OR($B33="",AP$22=""),"",IF(LEN(VLOOKUP($B33,Database!$B$1:$IX$10144,AP$22,FALSE))=0,"",VLOOKUP($B33,Database!$B$1:$IX$10144,AP$22,FALSE)))</f>
        <v>ns</v>
      </c>
      <c r="AQ33" s="22" t="str">
        <f>IF(OR($B33="",AQ$22=""),"",IF(LEN(VLOOKUP($B33,Database!$B$1:$IX$10144,AQ$22,FALSE))=0,"",VLOOKUP($B33,Database!$B$1:$IX$10144,AQ$22,FALSE)))</f>
        <v>Lai T, Payne ME, Byrum CE, Steffens DC, Krishnan KR.</v>
      </c>
    </row>
    <row r="34" spans="1:51">
      <c r="A34" s="10" t="s">
        <v>1195</v>
      </c>
      <c r="B34">
        <v>12946881</v>
      </c>
      <c r="C34" s="1" t="str">
        <f>IF($B34="","",HYPERLINK(IF(LEN(VLOOKUP($B34,Database!$B$1:$IX$10144,2,FALSE))=0,"",VLOOKUP($B34,Database!$B$1:$IX$10144,2,FALSE))))</f>
        <v/>
      </c>
      <c r="D34" s="1" t="str">
        <f>IF($B34="","",HYPERLINK(CONCATENATE("http://www.ncbi.nlm.nih.gov/pubmed/",B34)))</f>
        <v>http://www.ncbi.nlm.nih.gov/pubmed/12946881</v>
      </c>
      <c r="E34" s="22" t="str">
        <f>IF($B34="","",IF(LEN(VLOOKUP($B34,Database!$B$1:$IX$10144,4,FALSE))=0,"",VLOOKUP($B34,Database!$B$1:$IX$10144,4,FALSE)))</f>
        <v>Lee SH</v>
      </c>
      <c r="F34" s="22">
        <f>IF($B34="","",IF(LEN(VLOOKUP($B34,Database!$B$1:$IX$10144,5,FALSE))=0,"",VLOOKUP($B34,Database!$B$1:$IX$10144,5,FALSE)))</f>
        <v>2003</v>
      </c>
      <c r="G34" s="1" t="str">
        <f>IF($B34="","",HYPERLINK(IF(LEN(VLOOKUP($B34,Database!$B$1:$IX$10144,6,FALSE))=0,"",VLOOKUP($B34,Database!$B$1:$IX$10144,6,FALSE))))</f>
        <v>http://dx.doi.org/10.1016/S0006-3223(03)00063-5</v>
      </c>
      <c r="H34" s="22">
        <f>IF($B34="","",IF(LEN(VLOOKUP($B34,Database!$B$1:$IX$10144,7,FALSE))=0,"",VLOOKUP($B34,Database!$B$1:$IX$10144,7,FALSE)))</f>
        <v>41</v>
      </c>
      <c r="I34" s="22">
        <f>IF($B34="","",IF(LEN(VLOOKUP($B34,Database!$B$1:$IX$10144,8,FALSE))=0,"",VLOOKUP($B34,Database!$B$1:$IX$10144,8,FALSE)))</f>
        <v>41</v>
      </c>
      <c r="J34" t="s">
        <v>730</v>
      </c>
      <c r="L34" s="65">
        <v>4.4999999999999997E-3</v>
      </c>
      <c r="M34" s="65">
        <v>8.9999999999999998E-4</v>
      </c>
      <c r="N34" s="65">
        <v>5.1000000000000004E-3</v>
      </c>
      <c r="O34" s="65">
        <v>1.1000000000000001E-3</v>
      </c>
      <c r="P34" s="65">
        <v>4.7000000000000002E-3</v>
      </c>
      <c r="Q34" s="65">
        <v>8.9999999999999998E-4</v>
      </c>
      <c r="R34" s="65">
        <v>5.4999999999999997E-3</v>
      </c>
      <c r="S34" s="65">
        <v>1.1000000000000001E-3</v>
      </c>
      <c r="T34" s="65">
        <v>9.1999999999999998E-3</v>
      </c>
      <c r="U34" s="65">
        <v>1.6000000000000001E-3</v>
      </c>
      <c r="V34" s="65">
        <v>1.06E-2</v>
      </c>
      <c r="W34" s="65">
        <v>2E-3</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68.73</v>
      </c>
      <c r="AC34" s="22">
        <f>IF(OR($B34="",AC$22=""),"",IF(LEN(VLOOKUP($B34,Database!$B$1:$IX$10144,AC$22,FALSE))=0,"",VLOOKUP($B34,Database!$B$1:$IX$10144,AC$22,FALSE)))</f>
        <v>6.98</v>
      </c>
      <c r="AD34" s="22">
        <f>IF(OR($B34="",AD$22=""),"",IF(LEN(VLOOKUP($B34,Database!$B$1:$IX$10144,AD$22,FALSE))=0,"",VLOOKUP($B34,Database!$B$1:$IX$10144,AD$22,FALSE)))</f>
        <v>71.150000000000006</v>
      </c>
      <c r="AE34" s="22">
        <f>IF(OR($B34="",AE$22=""),"",IF(LEN(VLOOKUP($B34,Database!$B$1:$IX$10144,AE$22,FALSE))=0,"",VLOOKUP($B34,Database!$B$1:$IX$10144,AE$22,FALSE)))</f>
        <v>6.25</v>
      </c>
      <c r="AF34" s="22">
        <f>IF(OR($B34="",AF$22=""),"",IF(LEN(VLOOKUP($B34,Database!$B$1:$IX$10144,AF$22,FALSE))=0,"",VLOOKUP($B34,Database!$B$1:$IX$10144,AF$22,FALSE)))</f>
        <v>21</v>
      </c>
      <c r="AG34" s="22">
        <f>IF(OR($B34="",AG$22=""),"",IF(LEN(VLOOKUP($B34,Database!$B$1:$IX$10144,AG$22,FALSE))=0,"",VLOOKUP($B34,Database!$B$1:$IX$10144,AG$22,FALSE)))</f>
        <v>34</v>
      </c>
      <c r="AH34" s="22">
        <f>IF(OR($B34="",AH$22=""),"",IF(LEN(VLOOKUP($B34,Database!$B$1:$IX$10144,AH$22,FALSE))=0,"",VLOOKUP($B34,Database!$B$1:$IX$10144,AH$22,FALSE)))</f>
        <v>1.5</v>
      </c>
      <c r="AI34" s="22" t="str">
        <f>IF(OR($B34="",AI$22=""),"",IF(LEN(VLOOKUP($B34,Database!$B$1:$IX$10144,AI$22,FALSE))=0,"",VLOOKUP($B34,Database!$B$1:$IX$10144,AI$22,FALSE)))</f>
        <v>ns</v>
      </c>
      <c r="AJ34" s="22" t="str">
        <f>IF(OR($B34="",AJ$22=""),"",IF(LEN(VLOOKUP($B34,Database!$B$1:$IX$10144,AJ$22,FALSE))=0,"",VLOOKUP($B34,Database!$B$1:$IX$10144,AJ$22,FALSE)))</f>
        <v/>
      </c>
      <c r="AK34" s="22">
        <f>IF(OR($B34="",AK$22=""),"",IF(LEN(VLOOKUP($B34,Database!$B$1:$IX$10144,AK$22,FALSE))=0,"",VLOOKUP($B34,Database!$B$1:$IX$10144,AK$22,FALSE)))</f>
        <v>47.92</v>
      </c>
      <c r="AL34" s="22">
        <f>IF(OR($B34="",AL$22=""),"",IF(LEN(VLOOKUP($B34,Database!$B$1:$IX$10144,AL$22,FALSE))=0,"",VLOOKUP($B34,Database!$B$1:$IX$10144,AL$22,FALSE)))</f>
        <v>20.2</v>
      </c>
      <c r="AM34" s="22">
        <f>IF(OR($B34="",AM$22=""),"",IF(LEN(VLOOKUP($B34,Database!$B$1:$IX$10144,AM$22,FALSE))=0,"",VLOOKUP($B34,Database!$B$1:$IX$10144,AM$22,FALSE)))</f>
        <v>56.09756097560976</v>
      </c>
      <c r="AN34" s="22" t="str">
        <f>IF(OR($B34="",AN$22=""),"",IF(LEN(VLOOKUP($B34,Database!$B$1:$IX$10144,AN$22,FALSE))=0,"",VLOOKUP($B34,Database!$B$1:$IX$10144,AN$22,FALSE)))</f>
        <v>ns</v>
      </c>
      <c r="AO34" s="22"/>
      <c r="AP34" s="22" t="str">
        <f>IF(OR($B34="",AP$22=""),"",IF(LEN(VLOOKUP($B34,Database!$B$1:$IX$10144,AP$22,FALSE))=0,"",VLOOKUP($B34,Database!$B$1:$IX$10144,AP$22,FALSE)))</f>
        <v>ns</v>
      </c>
      <c r="AQ34" s="22" t="str">
        <f>IF(OR($B34="",AQ$22=""),"",IF(LEN(VLOOKUP($B34,Database!$B$1:$IX$10144,AQ$22,FALSE))=0,"",VLOOKUP($B34,Database!$B$1:$IX$10144,AQ$22,FALSE)))</f>
        <v>Lee SH, Payne ME, Steffens DC, McQuoid DR, Lai TJ, Provenzale JM, Krishnan KR.</v>
      </c>
    </row>
    <row r="35" spans="1:51">
      <c r="A35" s="7" t="s">
        <v>41</v>
      </c>
      <c r="B35">
        <v>16086609</v>
      </c>
      <c r="C35" s="1" t="str">
        <f>IF($B35="","",HYPERLINK(IF(LEN(VLOOKUP($B35,Database!$B$1:$IX$10144,2,FALSE))=0,"",VLOOKUP($B35,Database!$B$1:$IX$10144,2,FALSE))))</f>
        <v/>
      </c>
      <c r="D35" s="1" t="str">
        <f>IF($B35="","",HYPERLINK(CONCATENATE("http://www.ncbi.nlm.nih.gov/pubmed/",B35)))</f>
        <v>http://www.ncbi.nlm.nih.gov/pubmed/16086609</v>
      </c>
      <c r="E35" s="22" t="str">
        <f>IF($B35="","",IF(LEN(VLOOKUP($B35,Database!$B$1:$IX$10144,4,FALSE))=0,"",VLOOKUP($B35,Database!$B$1:$IX$10144,4,FALSE)))</f>
        <v>Lavretsky H</v>
      </c>
      <c r="F35" s="22">
        <f>IF($B35="","",IF(LEN(VLOOKUP($B35,Database!$B$1:$IX$10144,5,FALSE))=0,"",VLOOKUP($B35,Database!$B$1:$IX$10144,5,FALSE)))</f>
        <v>2005</v>
      </c>
      <c r="G35" s="1" t="str">
        <f>IF($B35="","",HYPERLINK(IF(LEN(VLOOKUP($B35,Database!$B$1:$IX$10144,6,FALSE))=0,"",VLOOKUP($B35,Database!$B$1:$IX$10144,6,FALSE))))</f>
        <v>http://www.psychiatrist.com/privatepdf/2005/v66n08/v66n0801.pdf</v>
      </c>
      <c r="H35" s="83">
        <v>11</v>
      </c>
      <c r="I35" s="83">
        <v>20.5</v>
      </c>
      <c r="J35" t="s">
        <v>242</v>
      </c>
      <c r="K35" t="s">
        <v>587</v>
      </c>
      <c r="L35">
        <v>8.9999999999999993E-3</v>
      </c>
      <c r="M35">
        <v>1.1000000000000001E-3</v>
      </c>
      <c r="N35">
        <v>9.5999999999999992E-3</v>
      </c>
      <c r="O35">
        <v>8.9999999999999998E-4</v>
      </c>
      <c r="P35">
        <v>9.1000000000000004E-3</v>
      </c>
      <c r="Q35">
        <v>1E-3</v>
      </c>
      <c r="R35">
        <v>9.4999999999999998E-3</v>
      </c>
      <c r="S35">
        <v>1E-4</v>
      </c>
      <c r="T35">
        <v>1.7999999999999999E-2</v>
      </c>
      <c r="U35">
        <v>2E-3</v>
      </c>
      <c r="V35">
        <v>1.9E-2</v>
      </c>
      <c r="W35">
        <v>2E-3</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70.5</v>
      </c>
      <c r="AC35" s="22">
        <f>IF(OR($B35="",AC$22=""),"",IF(LEN(VLOOKUP($B35,Database!$B$1:$IX$10144,AC$22,FALSE))=0,"",VLOOKUP($B35,Database!$B$1:$IX$10144,AC$22,FALSE)))</f>
        <v>7.6</v>
      </c>
      <c r="AD35" s="22">
        <f>IF(OR($B35="",AD$22=""),"",IF(LEN(VLOOKUP($B35,Database!$B$1:$IX$10144,AD$22,FALSE))=0,"",VLOOKUP($B35,Database!$B$1:$IX$10144,AD$22,FALSE)))</f>
        <v>72.2</v>
      </c>
      <c r="AE35" s="22">
        <f>IF(OR($B35="",AE$22=""),"",IF(LEN(VLOOKUP($B35,Database!$B$1:$IX$10144,AE$22,FALSE))=0,"",VLOOKUP($B35,Database!$B$1:$IX$10144,AE$22,FALSE)))</f>
        <v>7.3</v>
      </c>
      <c r="AF35" s="22">
        <f>IF(OR($B35="",AF$22=""),"",IF(LEN(VLOOKUP($B35,Database!$B$1:$IX$10144,AF$22,FALSE))=0,"",VLOOKUP($B35,Database!$B$1:$IX$10144,AF$22,FALSE)))</f>
        <v>32</v>
      </c>
      <c r="AG35" s="22">
        <f>IF(OR($B35="",AG$22=""),"",IF(LEN(VLOOKUP($B35,Database!$B$1:$IX$10144,AG$22,FALSE))=0,"",VLOOKUP($B35,Database!$B$1:$IX$10144,AG$22,FALSE)))</f>
        <v>20</v>
      </c>
      <c r="AH35" s="22">
        <f>IF(OR($B35="",AH$22=""),"",IF(LEN(VLOOKUP($B35,Database!$B$1:$IX$10144,AH$22,FALSE))=0,"",VLOOKUP($B35,Database!$B$1:$IX$10144,AH$22,FALSE)))</f>
        <v>1.5</v>
      </c>
      <c r="AI35" s="22">
        <f>IF(OR($B35="",AI$22=""),"",IF(LEN(VLOOKUP($B35,Database!$B$1:$IX$10144,AI$22,FALSE))=0,"",VLOOKUP($B35,Database!$B$1:$IX$10144,AI$22,FALSE)))</f>
        <v>1.4</v>
      </c>
      <c r="AJ35" s="22" t="str">
        <f>IF(OR($B35="",AJ$22=""),"",IF(LEN(VLOOKUP($B35,Database!$B$1:$IX$10144,AJ$22,FALSE))=0,"",VLOOKUP($B35,Database!$B$1:$IX$10144,AJ$22,FALSE)))</f>
        <v/>
      </c>
      <c r="AK35" s="22" t="str">
        <f>IF(OR($B35="",AK$22=""),"",IF(LEN(VLOOKUP($B35,Database!$B$1:$IX$10144,AK$22,FALSE))=0,"",VLOOKUP($B35,Database!$B$1:$IX$10144,AK$22,FALSE)))</f>
        <v>age of onset split depending on antidepressant exposure</v>
      </c>
      <c r="AL35" s="22">
        <f>IF(OR($B35="",AL$22=""),"",IF(LEN(VLOOKUP($B35,Database!$B$1:$IX$10144,AL$22,FALSE))=0,"",VLOOKUP($B35,Database!$B$1:$IX$10144,AL$22,FALSE)))</f>
        <v>17.7</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f>IF(OR($B35="",AP$22=""),"",IF(LEN(VLOOKUP($B35,Database!$B$1:$IX$10144,AP$22,FALSE))=0,"",VLOOKUP($B35,Database!$B$1:$IX$10144,AP$22,FALSE)))</f>
        <v>100</v>
      </c>
      <c r="AQ35" s="22" t="str">
        <f>IF(OR($B35="",AQ$22=""),"",IF(LEN(VLOOKUP($B35,Database!$B$1:$IX$10144,AQ$22,FALSE))=0,"",VLOOKUP($B35,Database!$B$1:$IX$10144,AQ$22,FALSE)))</f>
        <v>Lavretsky H, Roybal DJ, Ballmaier M, Toga AW, Kumar A.</v>
      </c>
    </row>
    <row r="36" spans="1:51">
      <c r="A36" s="7" t="s">
        <v>41</v>
      </c>
      <c r="B36">
        <v>16086609</v>
      </c>
      <c r="C36" s="1" t="str">
        <f>IF($B36="","",HYPERLINK(IF(LEN(VLOOKUP($B36,Database!$B$1:$IX$10144,2,FALSE))=0,"",VLOOKUP($B36,Database!$B$1:$IX$10144,2,FALSE))))</f>
        <v/>
      </c>
      <c r="D36" s="1" t="str">
        <f>IF($B36="","",HYPERLINK(CONCATENATE("http://www.ncbi.nlm.nih.gov/pubmed/",B36)))</f>
        <v>http://www.ncbi.nlm.nih.gov/pubmed/16086609</v>
      </c>
      <c r="E36" s="22" t="str">
        <f>IF($B36="","",IF(LEN(VLOOKUP($B36,Database!$B$1:$IX$10144,4,FALSE))=0,"",VLOOKUP($B36,Database!$B$1:$IX$10144,4,FALSE)))</f>
        <v>Lavretsky H</v>
      </c>
      <c r="F36" s="22">
        <f>IF($B36="","",IF(LEN(VLOOKUP($B36,Database!$B$1:$IX$10144,5,FALSE))=0,"",VLOOKUP($B36,Database!$B$1:$IX$10144,5,FALSE)))</f>
        <v>2005</v>
      </c>
      <c r="G36" s="1" t="str">
        <f>IF($B36="","",HYPERLINK(IF(LEN(VLOOKUP($B36,Database!$B$1:$IX$10144,6,FALSE))=0,"",VLOOKUP($B36,Database!$B$1:$IX$10144,6,FALSE))))</f>
        <v>http://www.psychiatrist.com/privatepdf/2005/v66n08/v66n0801.pdf</v>
      </c>
      <c r="H36" s="83">
        <v>30</v>
      </c>
      <c r="I36" s="83">
        <v>20.5</v>
      </c>
      <c r="J36" t="s">
        <v>242</v>
      </c>
      <c r="K36" t="s">
        <v>588</v>
      </c>
      <c r="L36">
        <v>8.5000000000000006E-3</v>
      </c>
      <c r="M36">
        <v>1.6999999999999999E-3</v>
      </c>
      <c r="N36">
        <v>9.5999999999999992E-3</v>
      </c>
      <c r="O36">
        <v>8.9999999999999998E-4</v>
      </c>
      <c r="P36">
        <v>8.5000000000000006E-3</v>
      </c>
      <c r="Q36">
        <v>1.6999999999999999E-3</v>
      </c>
      <c r="R36">
        <v>9.4999999999999998E-3</v>
      </c>
      <c r="S36">
        <v>1E-4</v>
      </c>
      <c r="T36">
        <v>1.7000000000000001E-2</v>
      </c>
      <c r="U36">
        <v>3.0000000000000001E-3</v>
      </c>
      <c r="V36">
        <v>1.9E-2</v>
      </c>
      <c r="W36">
        <v>2E-3</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70.5</v>
      </c>
      <c r="AC36" s="22">
        <f>IF(OR($B36="",AC$22=""),"",IF(LEN(VLOOKUP($B36,Database!$B$1:$IX$10144,AC$22,FALSE))=0,"",VLOOKUP($B36,Database!$B$1:$IX$10144,AC$22,FALSE)))</f>
        <v>7.6</v>
      </c>
      <c r="AD36" s="22">
        <f>IF(OR($B36="",AD$22=""),"",IF(LEN(VLOOKUP($B36,Database!$B$1:$IX$10144,AD$22,FALSE))=0,"",VLOOKUP($B36,Database!$B$1:$IX$10144,AD$22,FALSE)))</f>
        <v>72.2</v>
      </c>
      <c r="AE36" s="22">
        <f>IF(OR($B36="",AE$22=""),"",IF(LEN(VLOOKUP($B36,Database!$B$1:$IX$10144,AE$22,FALSE))=0,"",VLOOKUP($B36,Database!$B$1:$IX$10144,AE$22,FALSE)))</f>
        <v>7.3</v>
      </c>
      <c r="AF36" s="22">
        <f>IF(OR($B36="",AF$22=""),"",IF(LEN(VLOOKUP($B36,Database!$B$1:$IX$10144,AF$22,FALSE))=0,"",VLOOKUP($B36,Database!$B$1:$IX$10144,AF$22,FALSE)))</f>
        <v>32</v>
      </c>
      <c r="AG36" s="22">
        <f>IF(OR($B36="",AG$22=""),"",IF(LEN(VLOOKUP($B36,Database!$B$1:$IX$10144,AG$22,FALSE))=0,"",VLOOKUP($B36,Database!$B$1:$IX$10144,AG$22,FALSE)))</f>
        <v>20</v>
      </c>
      <c r="AH36" s="22">
        <f>IF(OR($B36="",AH$22=""),"",IF(LEN(VLOOKUP($B36,Database!$B$1:$IX$10144,AH$22,FALSE))=0,"",VLOOKUP($B36,Database!$B$1:$IX$10144,AH$22,FALSE)))</f>
        <v>1.5</v>
      </c>
      <c r="AI36" s="22">
        <f>IF(OR($B36="",AI$22=""),"",IF(LEN(VLOOKUP($B36,Database!$B$1:$IX$10144,AI$22,FALSE))=0,"",VLOOKUP($B36,Database!$B$1:$IX$10144,AI$22,FALSE)))</f>
        <v>1.4</v>
      </c>
      <c r="AJ36" s="22" t="str">
        <f>IF(OR($B36="",AJ$22=""),"",IF(LEN(VLOOKUP($B36,Database!$B$1:$IX$10144,AJ$22,FALSE))=0,"",VLOOKUP($B36,Database!$B$1:$IX$10144,AJ$22,FALSE)))</f>
        <v/>
      </c>
      <c r="AK36" s="22" t="str">
        <f>IF(OR($B36="",AK$22=""),"",IF(LEN(VLOOKUP($B36,Database!$B$1:$IX$10144,AK$22,FALSE))=0,"",VLOOKUP($B36,Database!$B$1:$IX$10144,AK$22,FALSE)))</f>
        <v>age of onset split depending on antidepressant exposure</v>
      </c>
      <c r="AL36" s="22">
        <f>IF(OR($B36="",AL$22=""),"",IF(LEN(VLOOKUP($B36,Database!$B$1:$IX$10144,AL$22,FALSE))=0,"",VLOOKUP($B36,Database!$B$1:$IX$10144,AL$22,FALSE)))</f>
        <v>17.7</v>
      </c>
      <c r="AM36" s="22">
        <f>IF(OR($B36="",AM$22=""),"",IF(LEN(VLOOKUP($B36,Database!$B$1:$IX$10144,AM$22,FALSE))=0,"",VLOOKUP($B36,Database!$B$1:$IX$10144,AM$22,FALSE)))</f>
        <v>0</v>
      </c>
      <c r="AN36" s="22">
        <f>IF(OR($B36="",AN$22=""),"",IF(LEN(VLOOKUP($B36,Database!$B$1:$IX$10144,AN$22,FALSE))=0,"",VLOOKUP($B36,Database!$B$1:$IX$10144,AN$22,FALSE)))</f>
        <v>0</v>
      </c>
      <c r="AO36" s="22">
        <f>IF(OR($B36="",AO$22=""),"",IF(LEN(VLOOKUP($B36,Database!$B$1:$IX$10144,AO$22,FALSE))=0,"",VLOOKUP($B36,Database!$B$1:$IX$10144,AO$22,FALSE)))</f>
        <v>0</v>
      </c>
      <c r="AP36" s="22">
        <f>IF(OR($B36="",AP$22=""),"",IF(LEN(VLOOKUP($B36,Database!$B$1:$IX$10144,AP$22,FALSE))=0,"",VLOOKUP($B36,Database!$B$1:$IX$10144,AP$22,FALSE)))</f>
        <v>100</v>
      </c>
      <c r="AQ36" s="22" t="str">
        <f>IF(OR($B36="",AQ$22=""),"",IF(LEN(VLOOKUP($B36,Database!$B$1:$IX$10144,AQ$22,FALSE))=0,"",VLOOKUP($B36,Database!$B$1:$IX$10144,AQ$22,FALSE)))</f>
        <v>Lavretsky H, Roybal DJ, Ballmaier M, Toga AW, Kumar A.</v>
      </c>
    </row>
    <row r="37" spans="1:51">
      <c r="A37" s="10" t="s">
        <v>268</v>
      </c>
      <c r="B37">
        <v>18819162</v>
      </c>
      <c r="C37" s="1" t="str">
        <f>IF($B37="","",HYPERLINK(IF(LEN(VLOOKUP($B37,Database!$B$1:$IX$10144,2,FALSE))=0,"",VLOOKUP($B37,Database!$B$1:$IX$10144,2,FALSE))))</f>
        <v/>
      </c>
      <c r="D37" s="1" t="str">
        <f>IF($B37="","",HYPERLINK(CONCATENATE("http://www.ncbi.nlm.nih.gov/pubmed/",B37)))</f>
        <v>http://www.ncbi.nlm.nih.gov/pubmed/18819162</v>
      </c>
      <c r="E37" s="22" t="str">
        <f>IF($B37="","",IF(LEN(VLOOKUP($B37,Database!$B$1:$IX$10144,4,FALSE))=0,"",VLOOKUP($B37,Database!$B$1:$IX$10144,4,FALSE)))</f>
        <v>Elderkin-Thompson V (B)</v>
      </c>
      <c r="F37" s="22">
        <f>IF($B37="","",IF(LEN(VLOOKUP($B37,Database!$B$1:$IX$10144,5,FALSE))=0,"",VLOOKUP($B37,Database!$B$1:$IX$10144,5,FALSE)))</f>
        <v>2008</v>
      </c>
      <c r="G37" s="1" t="str">
        <f>IF($B37="","",HYPERLINK(IF(LEN(VLOOKUP($B37,Database!$B$1:$IX$10144,6,FALSE))=0,"",VLOOKUP($B37,Database!$B$1:$IX$10144,6,FALSE))))</f>
        <v>http://www3.interscience.wiley.com/cgi-bin/fulltext/121421785/PDFSTART</v>
      </c>
      <c r="H37" s="22">
        <f>IF($B37="","",IF(LEN(VLOOKUP($B37,Database!$B$1:$IX$10144,7,FALSE))=0,"",VLOOKUP($B37,Database!$B$1:$IX$10144,7,FALSE)))</f>
        <v>26</v>
      </c>
      <c r="I37" s="22">
        <f>IF($B37="","",IF(LEN(VLOOKUP($B37,Database!$B$1:$IX$10144,8,FALSE))=0,"",VLOOKUP($B37,Database!$B$1:$IX$10144,8,FALSE)))</f>
        <v>23</v>
      </c>
      <c r="J37" t="s">
        <v>1111</v>
      </c>
      <c r="T37">
        <v>1.72</v>
      </c>
      <c r="U37">
        <v>0.14299999999999999</v>
      </c>
      <c r="V37">
        <v>1.887</v>
      </c>
      <c r="W37">
        <v>0.14499999999999999</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70</v>
      </c>
      <c r="AC37" s="22">
        <f>IF(OR($B37="",AC$22=""),"",IF(LEN(VLOOKUP($B37,Database!$B$1:$IX$10144,AC$22,FALSE))=0,"",VLOOKUP($B37,Database!$B$1:$IX$10144,AC$22,FALSE)))</f>
        <v>7.7</v>
      </c>
      <c r="AD37" s="22">
        <f>IF(OR($B37="",AD$22=""),"",IF(LEN(VLOOKUP($B37,Database!$B$1:$IX$10144,AD$22,FALSE))=0,"",VLOOKUP($B37,Database!$B$1:$IX$10144,AD$22,FALSE)))</f>
        <v>71</v>
      </c>
      <c r="AE37" s="22">
        <f>IF(OR($B37="",AE$22=""),"",IF(LEN(VLOOKUP($B37,Database!$B$1:$IX$10144,AE$22,FALSE))=0,"",VLOOKUP($B37,Database!$B$1:$IX$10144,AE$22,FALSE)))</f>
        <v>7.9</v>
      </c>
      <c r="AF37" s="22">
        <f>IF(OR($B37="",AF$22=""),"",IF(LEN(VLOOKUP($B37,Database!$B$1:$IX$10144,AF$22,FALSE))=0,"",VLOOKUP($B37,Database!$B$1:$IX$10144,AF$22,FALSE)))</f>
        <v>11</v>
      </c>
      <c r="AG37" s="22">
        <f>IF(OR($B37="",AG$22=""),"",IF(LEN(VLOOKUP($B37,Database!$B$1:$IX$10144,AG$22,FALSE))=0,"",VLOOKUP($B37,Database!$B$1:$IX$10144,AG$22,FALSE)))</f>
        <v>21</v>
      </c>
      <c r="AH37" s="22">
        <f>IF(OR($B37="",AH$22=""),"",IF(LEN(VLOOKUP($B37,Database!$B$1:$IX$10144,AH$22,FALSE))=0,"",VLOOKUP($B37,Database!$B$1:$IX$10144,AH$22,FALSE)))</f>
        <v>1.5</v>
      </c>
      <c r="AI37" s="22">
        <f>IF(OR($B37="",AI$22=""),"",IF(LEN(VLOOKUP($B37,Database!$B$1:$IX$10144,AI$22,FALSE))=0,"",VLOOKUP($B37,Database!$B$1:$IX$10144,AI$22,FALSE)))</f>
        <v>1.4</v>
      </c>
      <c r="AJ37" s="22" t="str">
        <f>IF(OR($B37="",AJ$22=""),"",IF(LEN(VLOOKUP($B37,Database!$B$1:$IX$10144,AJ$22,FALSE))=0,"",VLOOKUP($B37,Database!$B$1:$IX$10144,AJ$22,FALSE)))</f>
        <v/>
      </c>
      <c r="AK37" s="22">
        <f>IF(OR($B37="",AK$22=""),"",IF(LEN(VLOOKUP($B37,Database!$B$1:$IX$10144,AK$22,FALSE))=0,"",VLOOKUP($B37,Database!$B$1:$IX$10144,AK$22,FALSE)))</f>
        <v>49.8</v>
      </c>
      <c r="AL37" s="22">
        <f>IF(OR($B37="",AL$22=""),"",IF(LEN(VLOOKUP($B37,Database!$B$1:$IX$10144,AL$22,FALSE))=0,"",VLOOKUP($B37,Database!$B$1:$IX$10144,AL$22,FALSE)))</f>
        <v>17.899999999999999</v>
      </c>
      <c r="AM37" s="22">
        <f>IF(OR($B37="",AM$22=""),"",IF(LEN(VLOOKUP($B37,Database!$B$1:$IX$10144,AM$22,FALSE))=0,"",VLOOKUP($B37,Database!$B$1:$IX$10144,AM$22,FALSE)))</f>
        <v>0</v>
      </c>
      <c r="AN37" s="22" t="str">
        <f>IF(OR($B37="",AN$22=""),"",IF(LEN(VLOOKUP($B37,Database!$B$1:$IX$10144,AN$22,FALSE))=0,"",VLOOKUP($B37,Database!$B$1:$IX$10144,AN$22,FALSE)))</f>
        <v>ns</v>
      </c>
      <c r="AO37" s="22">
        <f>IF(OR($B37="",AO$22=""),"",IF(LEN(VLOOKUP($B37,Database!$B$1:$IX$10144,AO$22,FALSE))=0,"",VLOOKUP($B37,Database!$B$1:$IX$10144,AO$22,FALSE)))</f>
        <v>0</v>
      </c>
      <c r="AP37" s="22" t="str">
        <f>IF(OR($B37="",AP$22=""),"",IF(LEN(VLOOKUP($B37,Database!$B$1:$IX$10144,AP$22,FALSE))=0,"",VLOOKUP($B37,Database!$B$1:$IX$10144,AP$22,FALSE)))</f>
        <v>ns</v>
      </c>
      <c r="AQ37" s="22" t="str">
        <f>IF(OR($B37="",AQ$22=""),"",IF(LEN(VLOOKUP($B37,Database!$B$1:$IX$10144,AQ$22,FALSE))=0,"",VLOOKUP($B37,Database!$B$1:$IX$10144,AQ$22,FALSE)))</f>
        <v>Elderkin-Thompson V, Hellemann G, Pham D, Kumar A.</v>
      </c>
    </row>
    <row r="38" spans="1:51">
      <c r="I38" s="22" t="str">
        <f>IF($B38="","",IF(LEN(VLOOKUP($B38,Database!$B$1:$IX$10144,8,FALSE))=0,"",VLOOKUP($B38,Database!$B$1:$IX$10144,8,FALSE)))</f>
        <v/>
      </c>
      <c r="AF38" t="s">
        <v>602</v>
      </c>
      <c r="AJ38" t="s">
        <v>329</v>
      </c>
      <c r="AN38" t="s">
        <v>330</v>
      </c>
    </row>
    <row r="39" spans="1:51" ht="45" customHeight="1">
      <c r="E39" s="60" t="s">
        <v>617</v>
      </c>
      <c r="F39" s="60" t="s">
        <v>740</v>
      </c>
      <c r="G39" s="60" t="s">
        <v>244</v>
      </c>
      <c r="H39" s="60" t="s">
        <v>245</v>
      </c>
      <c r="I39" s="60" t="s">
        <v>246</v>
      </c>
      <c r="J39" s="60" t="s">
        <v>593</v>
      </c>
      <c r="K39" s="60" t="s">
        <v>1039</v>
      </c>
      <c r="L39" s="60" t="s">
        <v>594</v>
      </c>
      <c r="M39" s="60" t="s">
        <v>1299</v>
      </c>
      <c r="N39" s="61" t="s">
        <v>595</v>
      </c>
      <c r="O39" s="61" t="s">
        <v>596</v>
      </c>
      <c r="P39" s="61" t="s">
        <v>597</v>
      </c>
      <c r="Q39" s="61" t="s">
        <v>598</v>
      </c>
      <c r="R39" s="61" t="s">
        <v>599</v>
      </c>
      <c r="S39" s="61" t="s">
        <v>600</v>
      </c>
      <c r="T39" s="61" t="s">
        <v>601</v>
      </c>
      <c r="U39" s="61" t="s">
        <v>484</v>
      </c>
      <c r="V39" s="61" t="s">
        <v>485</v>
      </c>
      <c r="W39" s="61" t="s">
        <v>486</v>
      </c>
      <c r="AF39" s="61" t="s">
        <v>1517</v>
      </c>
      <c r="AG39" s="62" t="s">
        <v>834</v>
      </c>
      <c r="AH39" s="62" t="s">
        <v>835</v>
      </c>
      <c r="AJ39" s="61" t="s">
        <v>836</v>
      </c>
      <c r="AK39" s="61" t="s">
        <v>837</v>
      </c>
      <c r="AL39" s="61" t="s">
        <v>487</v>
      </c>
      <c r="AN39" t="s">
        <v>488</v>
      </c>
      <c r="AO39" t="s">
        <v>489</v>
      </c>
      <c r="AP39" t="s">
        <v>490</v>
      </c>
      <c r="AQ39" t="s">
        <v>491</v>
      </c>
      <c r="AR39" t="s">
        <v>492</v>
      </c>
      <c r="AS39" t="s">
        <v>493</v>
      </c>
      <c r="AT39" t="s">
        <v>494</v>
      </c>
      <c r="AU39" t="s">
        <v>495</v>
      </c>
      <c r="AV39" t="s">
        <v>496</v>
      </c>
      <c r="AW39" t="s">
        <v>497</v>
      </c>
      <c r="AX39" t="s">
        <v>498</v>
      </c>
      <c r="AY39" t="s">
        <v>499</v>
      </c>
    </row>
    <row r="40" spans="1:51">
      <c r="E40" t="str">
        <f t="shared" ref="E40:F46" si="1">E24</f>
        <v>Janssen J</v>
      </c>
      <c r="F40">
        <f t="shared" si="1"/>
        <v>2004</v>
      </c>
      <c r="G40">
        <v>8</v>
      </c>
      <c r="H40">
        <f t="shared" ref="H40:I46" si="2">H24</f>
        <v>28</v>
      </c>
      <c r="I40">
        <f t="shared" si="2"/>
        <v>41</v>
      </c>
      <c r="J40">
        <f t="shared" ref="J40:M46" si="3">IF($D$4="Total",T24,IF($D$4="Left",L24,IF($D$4="Right",P24,"error")))</f>
        <v>12.63</v>
      </c>
      <c r="K40">
        <f t="shared" si="3"/>
        <v>4.5599999999999996</v>
      </c>
      <c r="L40">
        <f t="shared" si="3"/>
        <v>13.1</v>
      </c>
      <c r="M40">
        <f t="shared" si="3"/>
        <v>3.33</v>
      </c>
      <c r="N40">
        <f t="shared" ref="N40:N46" si="4">IF($D$3=1,SQRT((((I40-1)*(M40)^2)+((H40-1)*(K40)^2))/(H40+I40-2)),M40)</f>
        <v>3.8729509748680453</v>
      </c>
      <c r="O40" s="59">
        <f t="shared" ref="O40:O46" si="5">IF($D$6=1,LN(J40/L40),IF($D$5=1,(1-3/(4*(H40+I40)-9))*((J40-L40)/N40),(J40-L40)/N40))</f>
        <v>-0.11999095886810902</v>
      </c>
      <c r="P40" s="63">
        <f t="shared" ref="P40:P46" si="6">IF($D$6=1,(K40^2)/(H40*J40^2)+(M40^2)/(I40*L40^2),(IF($D$5=1,((H40+I40)/(H40*I40))+(O40*O40)/(2*(H40+I40-3.94)),((H40+I40)/(H40*I40))+((O40^2)/(2*(H40+I40-2))))))</f>
        <v>6.0215180017970417E-2</v>
      </c>
      <c r="Q40" s="59">
        <f t="shared" ref="Q40:Q46" si="7">$R$63*SQRT(P40)</f>
        <v>0.48096011846829373</v>
      </c>
      <c r="R40" s="59">
        <f t="shared" ref="R40:R46" si="8">1/P40</f>
        <v>16.607108036570899</v>
      </c>
      <c r="S40" s="59">
        <f t="shared" ref="S40:S46" si="9">O40*R40</f>
        <v>-1.9927028173344217</v>
      </c>
      <c r="T40" s="59">
        <f t="shared" ref="T40:T46" si="10">R40*(O40^2)</f>
        <v>0.23910632179113955</v>
      </c>
      <c r="U40" s="23">
        <f t="shared" ref="U40:U46" si="11">R40^2</f>
        <v>275.79603733833773</v>
      </c>
      <c r="V40" s="59">
        <f t="shared" ref="V40:V46" si="12">1/((1/R40)+$I$60)</f>
        <v>7.8319133265083174</v>
      </c>
      <c r="W40" s="59">
        <f t="shared" ref="W40:W46" si="13">V40*O40</f>
        <v>-0.93975878981965444</v>
      </c>
      <c r="AF40" s="59">
        <f t="shared" ref="AF40:AF46" si="14">IF($D$6=1,100*((EXP(O40))-1),O40)</f>
        <v>-0.11999095886810902</v>
      </c>
      <c r="AG40" s="59">
        <f t="shared" ref="AG40:AG46" si="15">IF($D$6=1,100*(EXP(O40+Q40)-EXP(O40)),Q40)</f>
        <v>0.48096011846829373</v>
      </c>
      <c r="AH40" s="59">
        <f t="shared" ref="AH40:AH46" si="16">IF($D$6=1,100*(EXP(O40)-EXP(O40-Q40)),Q40)</f>
        <v>0.48096011846829373</v>
      </c>
      <c r="AJ40">
        <f t="shared" ref="AJ40:AJ46" si="17">SQRT(P40)</f>
        <v>0.24538781554504782</v>
      </c>
      <c r="AK40">
        <f t="shared" ref="AK40:AK46" si="18">1/AJ40</f>
        <v>4.0751819636147415</v>
      </c>
      <c r="AL40">
        <f t="shared" ref="AL40:AL46" si="19">O40/AJ40</f>
        <v>-0.48898499137615625</v>
      </c>
      <c r="AN40" t="str">
        <f t="shared" ref="AN40:AO46" si="20">E40</f>
        <v>Janssen J</v>
      </c>
      <c r="AO40">
        <f t="shared" si="20"/>
        <v>2004</v>
      </c>
      <c r="AP40" t="str">
        <f t="shared" ref="AP40:AP46" si="21">CONCATENATE(AN40," ",AO40)</f>
        <v>Janssen J 2004</v>
      </c>
      <c r="AQ40">
        <f t="shared" ref="AQ40:AQ46" si="22">INT(H40)</f>
        <v>28</v>
      </c>
      <c r="AR40">
        <f t="shared" ref="AR40:AS46" si="23">J40</f>
        <v>12.63</v>
      </c>
      <c r="AS40">
        <f t="shared" si="23"/>
        <v>4.5599999999999996</v>
      </c>
      <c r="AT40">
        <f t="shared" ref="AT40:AT46" si="24">INT(I40)</f>
        <v>41</v>
      </c>
      <c r="AU40">
        <f t="shared" ref="AU40:AV46" si="25">L40</f>
        <v>13.1</v>
      </c>
      <c r="AV40">
        <f t="shared" si="25"/>
        <v>3.33</v>
      </c>
      <c r="AW40" s="65">
        <f t="shared" ref="AW40:AW46" si="26">O40</f>
        <v>-0.11999095886810902</v>
      </c>
      <c r="AX40">
        <f t="shared" ref="AX40:AX46" si="27">SQRT(P40)</f>
        <v>0.24538781554504782</v>
      </c>
      <c r="AY40" t="str">
        <f>$F$5</f>
        <v>H Correction</v>
      </c>
    </row>
    <row r="41" spans="1:51">
      <c r="E41" t="str">
        <f t="shared" si="1"/>
        <v>Lacerda AL</v>
      </c>
      <c r="F41">
        <f t="shared" si="1"/>
        <v>2004</v>
      </c>
      <c r="G41">
        <v>7</v>
      </c>
      <c r="H41">
        <f t="shared" si="2"/>
        <v>31</v>
      </c>
      <c r="I41">
        <f t="shared" si="2"/>
        <v>34</v>
      </c>
      <c r="J41">
        <f t="shared" si="3"/>
        <v>12.41</v>
      </c>
      <c r="K41">
        <f t="shared" si="3"/>
        <v>2.2200000000000002</v>
      </c>
      <c r="L41">
        <f t="shared" si="3"/>
        <v>13.4</v>
      </c>
      <c r="M41">
        <f t="shared" si="3"/>
        <v>3.6</v>
      </c>
      <c r="N41">
        <f t="shared" si="4"/>
        <v>3.0224871499195114</v>
      </c>
      <c r="O41" s="59">
        <f t="shared" si="5"/>
        <v>-0.32362993857669159</v>
      </c>
      <c r="P41" s="63">
        <f t="shared" si="6"/>
        <v>6.2527480197634974E-2</v>
      </c>
      <c r="Q41" s="59">
        <f t="shared" si="7"/>
        <v>0.4901077105364029</v>
      </c>
      <c r="R41" s="59">
        <f t="shared" si="8"/>
        <v>15.992968161186571</v>
      </c>
      <c r="S41" s="59">
        <f t="shared" si="9"/>
        <v>-5.1758033036637938</v>
      </c>
      <c r="T41" s="59">
        <f t="shared" si="10"/>
        <v>1.6750449052497511</v>
      </c>
      <c r="U41" s="23">
        <f t="shared" si="11"/>
        <v>255.77503060472736</v>
      </c>
      <c r="V41" s="59">
        <f t="shared" si="12"/>
        <v>7.6926023398124972</v>
      </c>
      <c r="W41" s="59">
        <f t="shared" si="13"/>
        <v>-2.4895564227284326</v>
      </c>
      <c r="AF41" s="59">
        <f t="shared" si="14"/>
        <v>-0.32362993857669159</v>
      </c>
      <c r="AG41" s="59">
        <f t="shared" si="15"/>
        <v>0.4901077105364029</v>
      </c>
      <c r="AH41" s="59">
        <f t="shared" si="16"/>
        <v>0.4901077105364029</v>
      </c>
      <c r="AJ41">
        <f t="shared" si="17"/>
        <v>0.25005495435530761</v>
      </c>
      <c r="AK41">
        <f t="shared" si="18"/>
        <v>3.9991209235513963</v>
      </c>
      <c r="AL41">
        <f t="shared" si="19"/>
        <v>-1.2942352588497006</v>
      </c>
      <c r="AN41" t="str">
        <f t="shared" si="20"/>
        <v>Lacerda AL</v>
      </c>
      <c r="AO41">
        <f t="shared" si="20"/>
        <v>2004</v>
      </c>
      <c r="AP41" t="str">
        <f t="shared" si="21"/>
        <v>Lacerda AL 2004</v>
      </c>
      <c r="AQ41">
        <f t="shared" si="22"/>
        <v>31</v>
      </c>
      <c r="AR41">
        <f t="shared" si="23"/>
        <v>12.41</v>
      </c>
      <c r="AS41">
        <f t="shared" si="23"/>
        <v>2.2200000000000002</v>
      </c>
      <c r="AT41">
        <f t="shared" si="24"/>
        <v>34</v>
      </c>
      <c r="AU41">
        <f t="shared" si="25"/>
        <v>13.4</v>
      </c>
      <c r="AV41">
        <f t="shared" si="25"/>
        <v>3.6</v>
      </c>
      <c r="AW41" s="65">
        <f t="shared" si="26"/>
        <v>-0.32362993857669159</v>
      </c>
      <c r="AX41">
        <f t="shared" si="27"/>
        <v>0.25005495435530761</v>
      </c>
    </row>
    <row r="42" spans="1:51">
      <c r="E42" t="str">
        <f t="shared" si="1"/>
        <v>Lavretsky H</v>
      </c>
      <c r="F42">
        <f t="shared" si="1"/>
        <v>2004</v>
      </c>
      <c r="G42">
        <v>6</v>
      </c>
      <c r="H42">
        <f t="shared" si="2"/>
        <v>32</v>
      </c>
      <c r="I42">
        <f t="shared" si="2"/>
        <v>20</v>
      </c>
      <c r="J42">
        <f t="shared" si="3"/>
        <v>1.72E-2</v>
      </c>
      <c r="K42">
        <f t="shared" si="3"/>
        <v>3.0999999999999999E-3</v>
      </c>
      <c r="L42">
        <f t="shared" si="3"/>
        <v>1.9400000000000001E-2</v>
      </c>
      <c r="M42">
        <f t="shared" si="3"/>
        <v>2E-3</v>
      </c>
      <c r="N42">
        <f t="shared" si="4"/>
        <v>2.734629773845081E-3</v>
      </c>
      <c r="O42" s="59">
        <f t="shared" si="5"/>
        <v>-0.79236838257909825</v>
      </c>
      <c r="P42" s="63">
        <f t="shared" si="6"/>
        <v>8.778191483261566E-2</v>
      </c>
      <c r="Q42" s="59">
        <f t="shared" si="7"/>
        <v>0.58070905281472607</v>
      </c>
      <c r="R42" s="59">
        <f t="shared" si="8"/>
        <v>11.391868153102156</v>
      </c>
      <c r="S42" s="59">
        <f t="shared" si="9"/>
        <v>-9.0265561430278947</v>
      </c>
      <c r="T42" s="59">
        <f t="shared" si="10"/>
        <v>7.1523576913104367</v>
      </c>
      <c r="U42" s="23">
        <f t="shared" si="11"/>
        <v>129.77466001766311</v>
      </c>
      <c r="V42" s="59">
        <f t="shared" si="12"/>
        <v>6.4412464325746175</v>
      </c>
      <c r="W42" s="59">
        <f t="shared" si="13"/>
        <v>-5.1038400175725362</v>
      </c>
      <c r="AF42" s="59">
        <f t="shared" si="14"/>
        <v>-0.79236838257909825</v>
      </c>
      <c r="AG42" s="59">
        <f t="shared" si="15"/>
        <v>0.58070905281472607</v>
      </c>
      <c r="AH42" s="59">
        <f t="shared" si="16"/>
        <v>0.58070905281472607</v>
      </c>
      <c r="AJ42">
        <f t="shared" si="17"/>
        <v>0.29628012898710515</v>
      </c>
      <c r="AK42">
        <f t="shared" si="18"/>
        <v>3.3751841658052015</v>
      </c>
      <c r="AL42">
        <f t="shared" si="19"/>
        <v>-2.6743892183656506</v>
      </c>
      <c r="AN42" t="str">
        <f t="shared" si="20"/>
        <v>Lavretsky H</v>
      </c>
      <c r="AO42">
        <f t="shared" si="20"/>
        <v>2004</v>
      </c>
      <c r="AP42" t="str">
        <f t="shared" si="21"/>
        <v>Lavretsky H 2004</v>
      </c>
      <c r="AQ42">
        <f t="shared" si="22"/>
        <v>32</v>
      </c>
      <c r="AR42">
        <f t="shared" si="23"/>
        <v>1.72E-2</v>
      </c>
      <c r="AS42">
        <f t="shared" si="23"/>
        <v>3.0999999999999999E-3</v>
      </c>
      <c r="AT42">
        <f t="shared" si="24"/>
        <v>20</v>
      </c>
      <c r="AU42">
        <f t="shared" si="25"/>
        <v>1.9400000000000001E-2</v>
      </c>
      <c r="AV42">
        <f t="shared" si="25"/>
        <v>2E-3</v>
      </c>
      <c r="AW42" s="65">
        <f t="shared" si="26"/>
        <v>-0.79236838257909825</v>
      </c>
      <c r="AX42">
        <f t="shared" si="27"/>
        <v>0.29628012898710515</v>
      </c>
    </row>
    <row r="43" spans="1:51">
      <c r="E43" t="str">
        <f t="shared" si="1"/>
        <v>Lavretsky H</v>
      </c>
      <c r="F43">
        <f t="shared" si="1"/>
        <v>2004</v>
      </c>
      <c r="G43">
        <v>5</v>
      </c>
      <c r="H43">
        <f t="shared" si="2"/>
        <v>9</v>
      </c>
      <c r="I43">
        <f t="shared" si="2"/>
        <v>21</v>
      </c>
      <c r="J43">
        <f t="shared" si="3"/>
        <v>1.67E-2</v>
      </c>
      <c r="K43">
        <f t="shared" si="3"/>
        <v>1.4E-3</v>
      </c>
      <c r="L43">
        <f t="shared" si="3"/>
        <v>1.8800000000000001E-2</v>
      </c>
      <c r="M43">
        <f t="shared" si="3"/>
        <v>1.6999999999999999E-3</v>
      </c>
      <c r="N43">
        <f t="shared" si="4"/>
        <v>1.6199647262473693E-3</v>
      </c>
      <c r="O43" s="59">
        <f t="shared" si="5"/>
        <v>-1.2612887244627822</v>
      </c>
      <c r="P43" s="63">
        <f t="shared" si="6"/>
        <v>0.1892529761986344</v>
      </c>
      <c r="Q43" s="59">
        <f t="shared" si="7"/>
        <v>0.85266302450890519</v>
      </c>
      <c r="R43" s="59">
        <f t="shared" si="8"/>
        <v>5.2839327554375108</v>
      </c>
      <c r="S43" s="59">
        <f t="shared" si="9"/>
        <v>-6.6645648052528923</v>
      </c>
      <c r="T43" s="59">
        <f t="shared" si="10"/>
        <v>8.4059404423169717</v>
      </c>
      <c r="U43" s="23">
        <f t="shared" si="11"/>
        <v>27.919945363985445</v>
      </c>
      <c r="V43" s="59">
        <f t="shared" si="12"/>
        <v>3.8952866450001817</v>
      </c>
      <c r="W43" s="59">
        <f t="shared" si="13"/>
        <v>-4.9130811238891896</v>
      </c>
      <c r="AF43" s="59">
        <f t="shared" si="14"/>
        <v>-1.2612887244627822</v>
      </c>
      <c r="AG43" s="59">
        <f t="shared" si="15"/>
        <v>0.85266302450890519</v>
      </c>
      <c r="AH43" s="59">
        <f t="shared" si="16"/>
        <v>0.85266302450890519</v>
      </c>
      <c r="AJ43">
        <f t="shared" si="17"/>
        <v>0.43503215536168632</v>
      </c>
      <c r="AK43">
        <f t="shared" si="18"/>
        <v>2.298680655384195</v>
      </c>
      <c r="AL43">
        <f t="shared" si="19"/>
        <v>-2.8992999917768034</v>
      </c>
      <c r="AN43" t="str">
        <f t="shared" si="20"/>
        <v>Lavretsky H</v>
      </c>
      <c r="AO43">
        <f t="shared" si="20"/>
        <v>2004</v>
      </c>
      <c r="AP43" t="str">
        <f t="shared" si="21"/>
        <v>Lavretsky H 2004</v>
      </c>
      <c r="AQ43">
        <f t="shared" si="22"/>
        <v>9</v>
      </c>
      <c r="AR43">
        <f t="shared" si="23"/>
        <v>1.67E-2</v>
      </c>
      <c r="AS43">
        <f t="shared" si="23"/>
        <v>1.4E-3</v>
      </c>
      <c r="AT43">
        <f t="shared" si="24"/>
        <v>21</v>
      </c>
      <c r="AU43">
        <f t="shared" si="25"/>
        <v>1.8800000000000001E-2</v>
      </c>
      <c r="AV43">
        <f t="shared" si="25"/>
        <v>1.6999999999999999E-3</v>
      </c>
      <c r="AW43" s="65">
        <f t="shared" si="26"/>
        <v>-1.2612887244627822</v>
      </c>
      <c r="AX43">
        <f t="shared" si="27"/>
        <v>0.43503215536168632</v>
      </c>
    </row>
    <row r="44" spans="1:51">
      <c r="E44" t="str">
        <f t="shared" si="1"/>
        <v>Taylor WD</v>
      </c>
      <c r="F44">
        <f t="shared" si="1"/>
        <v>2007</v>
      </c>
      <c r="G44">
        <v>4</v>
      </c>
      <c r="H44">
        <f t="shared" si="2"/>
        <v>226</v>
      </c>
      <c r="I44">
        <f t="shared" si="2"/>
        <v>144</v>
      </c>
      <c r="J44">
        <f t="shared" si="3"/>
        <v>13</v>
      </c>
      <c r="K44">
        <f t="shared" si="3"/>
        <v>3.1</v>
      </c>
      <c r="L44">
        <f t="shared" si="3"/>
        <v>13.8</v>
      </c>
      <c r="M44">
        <f t="shared" si="3"/>
        <v>2.9</v>
      </c>
      <c r="N44">
        <f t="shared" si="4"/>
        <v>3.0238544363401347</v>
      </c>
      <c r="O44" s="59">
        <f t="shared" si="5"/>
        <v>-0.26402344214636803</v>
      </c>
      <c r="P44" s="63">
        <f t="shared" si="6"/>
        <v>1.14644376211798E-2</v>
      </c>
      <c r="Q44" s="59">
        <f t="shared" si="7"/>
        <v>0.20986134366653694</v>
      </c>
      <c r="R44" s="59">
        <f t="shared" si="8"/>
        <v>87.226258543425217</v>
      </c>
      <c r="S44" s="59">
        <f t="shared" si="9"/>
        <v>-23.029777026184167</v>
      </c>
      <c r="T44" s="59">
        <f t="shared" si="10"/>
        <v>6.0804010023164903</v>
      </c>
      <c r="U44" s="23">
        <f t="shared" si="11"/>
        <v>7608.4201794844603</v>
      </c>
      <c r="V44" s="59">
        <f t="shared" si="12"/>
        <v>12.669136444228869</v>
      </c>
      <c r="W44" s="59">
        <f t="shared" si="13"/>
        <v>-3.3449490130273034</v>
      </c>
      <c r="AF44" s="59">
        <f t="shared" si="14"/>
        <v>-0.26402344214636803</v>
      </c>
      <c r="AG44" s="59">
        <f t="shared" si="15"/>
        <v>0.20986134366653694</v>
      </c>
      <c r="AH44" s="59">
        <f t="shared" si="16"/>
        <v>0.20986134366653694</v>
      </c>
      <c r="AJ44">
        <f t="shared" si="17"/>
        <v>0.10707211411558007</v>
      </c>
      <c r="AK44">
        <f t="shared" si="18"/>
        <v>9.3394999086367143</v>
      </c>
      <c r="AL44">
        <f t="shared" si="19"/>
        <v>-2.4658469138039552</v>
      </c>
      <c r="AN44" t="str">
        <f t="shared" si="20"/>
        <v>Taylor WD</v>
      </c>
      <c r="AO44">
        <f t="shared" si="20"/>
        <v>2007</v>
      </c>
      <c r="AP44" t="str">
        <f t="shared" si="21"/>
        <v>Taylor WD 2007</v>
      </c>
      <c r="AQ44">
        <f t="shared" si="22"/>
        <v>226</v>
      </c>
      <c r="AR44">
        <f t="shared" si="23"/>
        <v>13</v>
      </c>
      <c r="AS44">
        <f t="shared" si="23"/>
        <v>3.1</v>
      </c>
      <c r="AT44">
        <f t="shared" si="24"/>
        <v>144</v>
      </c>
      <c r="AU44">
        <f t="shared" si="25"/>
        <v>13.8</v>
      </c>
      <c r="AV44">
        <f t="shared" si="25"/>
        <v>2.9</v>
      </c>
      <c r="AW44" s="65">
        <f t="shared" si="26"/>
        <v>-0.26402344214636803</v>
      </c>
      <c r="AX44">
        <f t="shared" si="27"/>
        <v>0.10707211411558007</v>
      </c>
    </row>
    <row r="45" spans="1:51">
      <c r="E45" t="str">
        <f t="shared" si="1"/>
        <v>Chen HH</v>
      </c>
      <c r="F45">
        <f t="shared" si="1"/>
        <v>2008</v>
      </c>
      <c r="G45">
        <v>3</v>
      </c>
      <c r="H45">
        <f t="shared" si="2"/>
        <v>27</v>
      </c>
      <c r="I45">
        <f t="shared" si="2"/>
        <v>26</v>
      </c>
      <c r="J45">
        <f t="shared" si="3"/>
        <v>16.5</v>
      </c>
      <c r="K45">
        <f t="shared" si="3"/>
        <v>4.2</v>
      </c>
      <c r="L45">
        <f t="shared" si="3"/>
        <v>15.6</v>
      </c>
      <c r="M45">
        <f t="shared" si="3"/>
        <v>3.3</v>
      </c>
      <c r="N45">
        <f t="shared" si="4"/>
        <v>3.7856540347195269</v>
      </c>
      <c r="O45" s="59">
        <f t="shared" si="5"/>
        <v>0.23422623918005681</v>
      </c>
      <c r="P45" s="63">
        <f t="shared" si="6"/>
        <v>7.6057706472081751E-2</v>
      </c>
      <c r="Q45" s="59">
        <f t="shared" si="7"/>
        <v>0.54053980906418841</v>
      </c>
      <c r="R45" s="59">
        <f t="shared" si="8"/>
        <v>13.147911584305618</v>
      </c>
      <c r="S45" s="59">
        <f t="shared" si="9"/>
        <v>3.0795858834638072</v>
      </c>
      <c r="T45" s="59">
        <f t="shared" si="10"/>
        <v>0.72131981971572023</v>
      </c>
      <c r="U45" s="23">
        <f t="shared" si="11"/>
        <v>172.86757902871787</v>
      </c>
      <c r="V45" s="59">
        <f t="shared" si="12"/>
        <v>6.9674152906425642</v>
      </c>
      <c r="W45" s="59">
        <f t="shared" si="13"/>
        <v>1.6319514803328303</v>
      </c>
      <c r="AF45" s="59">
        <f t="shared" si="14"/>
        <v>0.23422623918005681</v>
      </c>
      <c r="AG45" s="59">
        <f t="shared" si="15"/>
        <v>0.54053980906418841</v>
      </c>
      <c r="AH45" s="59">
        <f t="shared" si="16"/>
        <v>0.54053980906418841</v>
      </c>
      <c r="AJ45">
        <f t="shared" si="17"/>
        <v>0.27578561686948388</v>
      </c>
      <c r="AK45">
        <f t="shared" si="18"/>
        <v>3.6260049068231579</v>
      </c>
      <c r="AL45">
        <f t="shared" si="19"/>
        <v>0.84930549257362054</v>
      </c>
      <c r="AN45" t="str">
        <f t="shared" si="20"/>
        <v>Chen HH</v>
      </c>
      <c r="AO45">
        <f t="shared" si="20"/>
        <v>2008</v>
      </c>
      <c r="AP45" t="str">
        <f t="shared" si="21"/>
        <v>Chen HH 2008</v>
      </c>
      <c r="AQ45">
        <f t="shared" si="22"/>
        <v>27</v>
      </c>
      <c r="AR45">
        <f t="shared" si="23"/>
        <v>16.5</v>
      </c>
      <c r="AS45">
        <f t="shared" si="23"/>
        <v>4.2</v>
      </c>
      <c r="AT45">
        <f t="shared" si="24"/>
        <v>26</v>
      </c>
      <c r="AU45">
        <f t="shared" si="25"/>
        <v>15.6</v>
      </c>
      <c r="AV45">
        <f t="shared" si="25"/>
        <v>3.3</v>
      </c>
      <c r="AW45" s="65">
        <f t="shared" si="26"/>
        <v>0.23422623918005681</v>
      </c>
      <c r="AX45">
        <f t="shared" si="27"/>
        <v>0.27578561686948388</v>
      </c>
    </row>
    <row r="46" spans="1:51">
      <c r="E46" t="str">
        <f t="shared" si="1"/>
        <v>Andreescu C</v>
      </c>
      <c r="F46">
        <f t="shared" si="1"/>
        <v>2008</v>
      </c>
      <c r="G46">
        <v>1</v>
      </c>
      <c r="H46">
        <f t="shared" si="2"/>
        <v>71</v>
      </c>
      <c r="I46">
        <f t="shared" si="2"/>
        <v>32</v>
      </c>
      <c r="J46">
        <f t="shared" si="3"/>
        <v>1.89</v>
      </c>
      <c r="K46">
        <f t="shared" si="3"/>
        <v>0.27</v>
      </c>
      <c r="L46">
        <f t="shared" si="3"/>
        <v>2.08</v>
      </c>
      <c r="M46">
        <f t="shared" si="3"/>
        <v>0.38</v>
      </c>
      <c r="N46">
        <f t="shared" si="4"/>
        <v>0.30797003840382825</v>
      </c>
      <c r="O46" s="59">
        <f t="shared" si="5"/>
        <v>-0.61235050304848948</v>
      </c>
      <c r="P46" s="63">
        <f t="shared" si="6"/>
        <v>4.7227163707828618E-2</v>
      </c>
      <c r="Q46" s="59">
        <f t="shared" si="7"/>
        <v>0.42594350810875659</v>
      </c>
      <c r="R46" s="59">
        <f t="shared" si="8"/>
        <v>21.174254845929585</v>
      </c>
      <c r="S46" s="59">
        <f t="shared" si="9"/>
        <v>-12.966065606581898</v>
      </c>
      <c r="T46" s="59">
        <f t="shared" si="10"/>
        <v>7.9397767967501425</v>
      </c>
      <c r="U46" s="23">
        <f t="shared" si="11"/>
        <v>448.34906828037253</v>
      </c>
      <c r="V46" s="59">
        <f t="shared" si="12"/>
        <v>8.7187983729538558</v>
      </c>
      <c r="W46" s="59">
        <f t="shared" si="13"/>
        <v>-5.3389605696566456</v>
      </c>
      <c r="AF46" s="59">
        <f t="shared" si="14"/>
        <v>-0.61235050304848948</v>
      </c>
      <c r="AG46" s="59">
        <f t="shared" si="15"/>
        <v>0.42594350810875659</v>
      </c>
      <c r="AH46" s="59">
        <f t="shared" si="16"/>
        <v>0.42594350810875659</v>
      </c>
      <c r="AJ46">
        <f t="shared" si="17"/>
        <v>0.21731811638201867</v>
      </c>
      <c r="AK46">
        <f t="shared" si="18"/>
        <v>4.6015491789102496</v>
      </c>
      <c r="AL46">
        <f t="shared" si="19"/>
        <v>-2.8177609545080546</v>
      </c>
      <c r="AN46" t="str">
        <f t="shared" si="20"/>
        <v>Andreescu C</v>
      </c>
      <c r="AO46">
        <f t="shared" si="20"/>
        <v>2008</v>
      </c>
      <c r="AP46" t="str">
        <f t="shared" si="21"/>
        <v>Andreescu C 2008</v>
      </c>
      <c r="AQ46">
        <f t="shared" si="22"/>
        <v>71</v>
      </c>
      <c r="AR46">
        <f t="shared" si="23"/>
        <v>1.89</v>
      </c>
      <c r="AS46">
        <f t="shared" si="23"/>
        <v>0.27</v>
      </c>
      <c r="AT46">
        <f t="shared" si="24"/>
        <v>32</v>
      </c>
      <c r="AU46">
        <f t="shared" si="25"/>
        <v>2.08</v>
      </c>
      <c r="AV46">
        <f t="shared" si="25"/>
        <v>0.38</v>
      </c>
      <c r="AW46" s="65">
        <f t="shared" si="26"/>
        <v>-0.61235050304848948</v>
      </c>
      <c r="AX46">
        <f t="shared" si="27"/>
        <v>0.21731811638201867</v>
      </c>
    </row>
    <row r="47" spans="1:51">
      <c r="U47" s="23"/>
    </row>
    <row r="48" spans="1:51">
      <c r="L48" t="s">
        <v>500</v>
      </c>
      <c r="N48" s="7"/>
      <c r="O48" s="66">
        <f>COUNT(O40:O46)</f>
        <v>7</v>
      </c>
      <c r="Q48" t="s">
        <v>885</v>
      </c>
      <c r="R48" s="59">
        <f t="shared" ref="R48:W48" si="28">SUM(R40:R46)</f>
        <v>170.82430207995756</v>
      </c>
      <c r="S48" s="59">
        <f t="shared" si="28"/>
        <v>-55.775883818581256</v>
      </c>
      <c r="T48" s="59">
        <f t="shared" si="28"/>
        <v>32.213946979450654</v>
      </c>
      <c r="U48" s="23">
        <f t="shared" si="28"/>
        <v>8918.9025001182654</v>
      </c>
      <c r="V48" s="59">
        <f t="shared" si="28"/>
        <v>54.216398851720903</v>
      </c>
      <c r="W48" s="59">
        <f t="shared" si="28"/>
        <v>-20.498194456360931</v>
      </c>
    </row>
    <row r="49" spans="7:34">
      <c r="L49" t="s">
        <v>501</v>
      </c>
      <c r="N49" s="7"/>
      <c r="O49" s="2">
        <v>1</v>
      </c>
    </row>
    <row r="50" spans="7:34">
      <c r="N50" s="7"/>
      <c r="O50" s="7"/>
    </row>
    <row r="51" spans="7:34">
      <c r="G51" s="67" t="s">
        <v>502</v>
      </c>
      <c r="H51" s="40"/>
      <c r="I51" s="40">
        <f>S48/R48</f>
        <v>-0.32651023969923376</v>
      </c>
      <c r="J51" s="40"/>
      <c r="K51" s="68" t="s">
        <v>879</v>
      </c>
      <c r="L51" s="40"/>
      <c r="M51" s="42"/>
      <c r="N51" s="7"/>
      <c r="O51" s="69" t="s">
        <v>503</v>
      </c>
      <c r="P51" s="70">
        <f>T48-((S48^2)/R48)</f>
        <v>14.002549784409076</v>
      </c>
      <c r="Q51" s="71" t="s">
        <v>824</v>
      </c>
      <c r="R51" s="28"/>
      <c r="S51" s="29"/>
      <c r="T51" s="30"/>
      <c r="U51" s="31"/>
      <c r="AF51" s="2" t="s">
        <v>1518</v>
      </c>
    </row>
    <row r="52" spans="7:34">
      <c r="G52" s="43" t="s">
        <v>504</v>
      </c>
      <c r="H52" s="31"/>
      <c r="I52" s="31">
        <f>1/R48</f>
        <v>5.8539680117172732E-3</v>
      </c>
      <c r="J52" s="31"/>
      <c r="K52" s="31"/>
      <c r="L52" s="31"/>
      <c r="M52" s="44"/>
      <c r="N52" s="7"/>
      <c r="O52" s="30" t="s">
        <v>505</v>
      </c>
      <c r="P52" s="31">
        <f>CHIDIST(P51,I56-1)</f>
        <v>2.9607694344443675E-2</v>
      </c>
      <c r="Q52" s="31"/>
      <c r="R52" s="31"/>
      <c r="S52" s="34"/>
      <c r="T52" s="30"/>
      <c r="U52" s="31"/>
      <c r="AF52" s="2"/>
    </row>
    <row r="53" spans="7:34">
      <c r="G53" s="72" t="s">
        <v>506</v>
      </c>
      <c r="H53" s="31"/>
      <c r="I53" s="31">
        <f>$R$63*SQRT(I52)</f>
        <v>0.14996200690112504</v>
      </c>
      <c r="J53" s="31"/>
      <c r="K53" s="31" t="s">
        <v>507</v>
      </c>
      <c r="L53" s="31"/>
      <c r="M53" s="44">
        <f>ABS(I51/SQRT(I52))</f>
        <v>4.2674813643461382</v>
      </c>
      <c r="N53" s="7"/>
      <c r="O53" s="35" t="s">
        <v>508</v>
      </c>
      <c r="P53" s="37">
        <f>IF(((P51-(I56-1))/P51)&lt;0,0,100*((P51-(I56-1))/P51))</f>
        <v>57.150661184003738</v>
      </c>
      <c r="Q53" s="36"/>
      <c r="R53" s="36"/>
      <c r="S53" s="38"/>
      <c r="T53" s="30"/>
      <c r="U53" s="31"/>
      <c r="AF53" s="2" t="s">
        <v>1535</v>
      </c>
      <c r="AH53">
        <f>IF($D$6=1,100*((EXP(I51))-1),I51)</f>
        <v>-0.32651023969923376</v>
      </c>
    </row>
    <row r="54" spans="7:34">
      <c r="G54" s="45" t="s">
        <v>509</v>
      </c>
      <c r="H54" s="46"/>
      <c r="I54" s="46">
        <v>-2</v>
      </c>
      <c r="J54" s="46"/>
      <c r="K54" s="46" t="s">
        <v>825</v>
      </c>
      <c r="L54" s="46"/>
      <c r="M54" s="47">
        <f>2*(1-NORMDIST(M53,0,1,1))</f>
        <v>1.9769228006172312E-5</v>
      </c>
      <c r="N54" s="7"/>
      <c r="O54" s="7"/>
      <c r="AF54" s="79" t="s">
        <v>834</v>
      </c>
      <c r="AH54">
        <f>IF($D$6=1,100*(EXP(I51+I53)-EXP(I51)),I53)</f>
        <v>0.14996200690112504</v>
      </c>
    </row>
    <row r="55" spans="7:34">
      <c r="G55" s="40"/>
      <c r="H55" s="40"/>
      <c r="I55" s="40"/>
      <c r="J55" s="40"/>
      <c r="K55" s="40"/>
      <c r="L55" s="40"/>
      <c r="M55" s="40"/>
      <c r="N55" s="7"/>
      <c r="O55" s="7"/>
      <c r="AF55" s="79" t="s">
        <v>835</v>
      </c>
      <c r="AH55">
        <f>IF($D$6=1,100*(EXP(I51)-EXP(I51-I53)),I53)</f>
        <v>0.14996200690112504</v>
      </c>
    </row>
    <row r="56" spans="7:34">
      <c r="G56" s="73" t="s">
        <v>1110</v>
      </c>
      <c r="H56" s="74"/>
      <c r="I56" s="74">
        <f>O48</f>
        <v>7</v>
      </c>
      <c r="J56" s="74"/>
      <c r="K56" s="75" t="s">
        <v>1167</v>
      </c>
      <c r="L56" s="74"/>
      <c r="M56" s="76"/>
      <c r="N56" s="77"/>
      <c r="O56" s="101" t="s">
        <v>1513</v>
      </c>
      <c r="P56" s="102"/>
      <c r="Q56" s="103"/>
      <c r="AF56" s="7"/>
    </row>
    <row r="57" spans="7:34">
      <c r="G57" s="77" t="s">
        <v>1531</v>
      </c>
      <c r="H57" s="31"/>
      <c r="I57" s="31">
        <f>R48/I56</f>
        <v>24.403471725708222</v>
      </c>
      <c r="J57" s="31"/>
      <c r="K57" s="31"/>
      <c r="L57" s="31"/>
      <c r="M57" s="78"/>
      <c r="N57" s="77"/>
      <c r="O57" s="104" t="s">
        <v>1514</v>
      </c>
      <c r="P57" s="31"/>
      <c r="Q57" s="105">
        <f>INDEX(LINEST(AL40:AL46,AK40:AK46,TRUE,TRUE),1,2)</f>
        <v>-1.243876221141972</v>
      </c>
      <c r="AF57" s="2" t="s">
        <v>1687</v>
      </c>
      <c r="AH57">
        <f>IF($D$6=1,100*((EXP(I62))-1),I62)</f>
        <v>-0.37808107676834923</v>
      </c>
    </row>
    <row r="58" spans="7:34">
      <c r="G58" s="77" t="s">
        <v>1532</v>
      </c>
      <c r="H58" s="31"/>
      <c r="I58" s="31">
        <f>(1/(I56-1))*(U48-(I56*I57^2))</f>
        <v>791.69941237436353</v>
      </c>
      <c r="J58" s="31"/>
      <c r="K58" s="31"/>
      <c r="L58" s="31"/>
      <c r="M58" s="78"/>
      <c r="N58" s="77"/>
      <c r="O58" s="104" t="s">
        <v>1516</v>
      </c>
      <c r="P58" s="31"/>
      <c r="Q58" s="105">
        <f>INDEX(LINEST(AL40:AL46,AK40:AK46,TRUE,TRUE),2,2)</f>
        <v>1.3835947837033293</v>
      </c>
      <c r="AF58" s="79" t="s">
        <v>834</v>
      </c>
      <c r="AG58" s="7"/>
      <c r="AH58">
        <f>IF($D$6=1,100*(EXP(I62+I64)-EXP(I62)),I64)</f>
        <v>0.26618938788289664</v>
      </c>
    </row>
    <row r="59" spans="7:34">
      <c r="G59" s="77" t="s">
        <v>1669</v>
      </c>
      <c r="H59" s="31"/>
      <c r="I59" s="31">
        <f>(I56-1)*(I57-(I58/(I56*I57)))</f>
        <v>118.61333214464003</v>
      </c>
      <c r="J59" s="31"/>
      <c r="K59" s="31"/>
      <c r="L59" s="31"/>
      <c r="M59" s="78"/>
      <c r="N59" s="77"/>
      <c r="O59" s="104" t="s">
        <v>1349</v>
      </c>
      <c r="P59" s="31"/>
      <c r="Q59" s="105">
        <f>ABS(Q57/Q58)</f>
        <v>0.89901771515256323</v>
      </c>
      <c r="AF59" s="79" t="s">
        <v>835</v>
      </c>
      <c r="AH59">
        <f>IF($D$6=1,100*(EXP(I62)-EXP(I62-I64)),I64)</f>
        <v>0.26618938788289664</v>
      </c>
    </row>
    <row r="60" spans="7:34">
      <c r="G60" s="77" t="s">
        <v>1685</v>
      </c>
      <c r="H60" s="31"/>
      <c r="I60" s="31">
        <f>IF(P51&gt;(I56-1),(P51-(I56-1))/I59,0)</f>
        <v>6.7467540450263805E-2</v>
      </c>
      <c r="J60" s="31"/>
      <c r="K60" s="31"/>
      <c r="L60" s="31"/>
      <c r="M60" s="78"/>
      <c r="N60" s="77"/>
      <c r="O60" s="106" t="s">
        <v>1515</v>
      </c>
      <c r="P60" s="107"/>
      <c r="Q60" s="108">
        <f>TDIST(Q59,I56-2,2)</f>
        <v>0.40984673390596338</v>
      </c>
    </row>
    <row r="61" spans="7:34">
      <c r="G61" s="77"/>
      <c r="H61" s="31"/>
      <c r="I61" s="31"/>
      <c r="J61" s="31"/>
      <c r="K61" s="31"/>
      <c r="L61" s="31"/>
      <c r="M61" s="78"/>
      <c r="N61" s="77"/>
    </row>
    <row r="62" spans="7:34">
      <c r="G62" s="77" t="s">
        <v>1686</v>
      </c>
      <c r="H62" s="31"/>
      <c r="I62" s="31">
        <f>W48/V48</f>
        <v>-0.37808107676834923</v>
      </c>
      <c r="J62" s="31"/>
      <c r="N62" s="77"/>
    </row>
    <row r="63" spans="7:34">
      <c r="G63" s="77" t="s">
        <v>504</v>
      </c>
      <c r="H63" s="31"/>
      <c r="I63" s="31">
        <f>1/V48</f>
        <v>1.8444603868562889E-2</v>
      </c>
      <c r="J63" s="31"/>
      <c r="N63" s="77"/>
      <c r="O63" t="s">
        <v>805</v>
      </c>
      <c r="R63">
        <v>1.96</v>
      </c>
    </row>
    <row r="64" spans="7:34">
      <c r="G64" s="80" t="s">
        <v>506</v>
      </c>
      <c r="H64" s="31"/>
      <c r="I64" s="31">
        <f>$R$63*SQRT(I63)</f>
        <v>0.26618938788289664</v>
      </c>
      <c r="J64" s="31"/>
      <c r="K64" s="31" t="s">
        <v>507</v>
      </c>
      <c r="L64" s="31"/>
      <c r="M64" s="78">
        <f>ABS(I62/(SQRT(I63)))</f>
        <v>2.7838784872669908</v>
      </c>
      <c r="N64" s="77"/>
    </row>
    <row r="65" spans="7:15">
      <c r="G65" s="81" t="s">
        <v>509</v>
      </c>
      <c r="H65" s="82"/>
      <c r="I65" s="82">
        <v>-3</v>
      </c>
      <c r="J65" s="82"/>
      <c r="K65" s="31" t="s">
        <v>825</v>
      </c>
      <c r="L65" s="31"/>
      <c r="M65" s="78">
        <f>2*(1-NORMDIST(M64,0,1,1))</f>
        <v>5.3713152953815957E-3</v>
      </c>
      <c r="N65" s="77"/>
    </row>
    <row r="66" spans="7:15">
      <c r="G66" s="74"/>
      <c r="H66" s="74"/>
      <c r="I66" s="74"/>
      <c r="J66" s="74"/>
      <c r="K66" s="74"/>
      <c r="L66" s="74"/>
      <c r="M66" s="74"/>
      <c r="N66" s="31"/>
      <c r="O66" s="7"/>
    </row>
  </sheetData>
  <phoneticPr fontId="10" type="noConversion"/>
  <conditionalFormatting sqref="D17 D13 F13">
    <cfRule type="cellIs" dxfId="40" priority="0" stopIfTrue="1" operator="lessThan">
      <formula>0.05</formula>
    </cfRule>
  </conditionalFormatting>
  <conditionalFormatting sqref="D21">
    <cfRule type="cellIs" dxfId="3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sheetPr published="0" codeName="Sheet72" enableFormatConditionsCalculation="0"/>
  <dimension ref="A1:BM7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1005</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I60-O53</f>
        <v>9</v>
      </c>
      <c r="AD7" s="89"/>
    </row>
    <row r="8" spans="2:30">
      <c r="B8" t="s">
        <v>822</v>
      </c>
      <c r="D8">
        <f>SUM(H24:H33)</f>
        <v>151</v>
      </c>
      <c r="AD8" s="89"/>
    </row>
    <row r="9" spans="2:30">
      <c r="B9" t="s">
        <v>823</v>
      </c>
      <c r="D9">
        <f>SUM(I24:I33)</f>
        <v>315</v>
      </c>
      <c r="AD9" s="89"/>
    </row>
    <row r="11" spans="2:30">
      <c r="B11" s="27" t="s">
        <v>516</v>
      </c>
      <c r="C11" s="28"/>
      <c r="D11" s="109">
        <f>P55</f>
        <v>16.230175393820275</v>
      </c>
      <c r="E11" s="110" t="s">
        <v>1513</v>
      </c>
      <c r="F11" s="103"/>
    </row>
    <row r="12" spans="2:30">
      <c r="B12" s="30" t="s">
        <v>826</v>
      </c>
      <c r="C12" s="31"/>
      <c r="D12" s="112">
        <f>P57</f>
        <v>44.547734194993375</v>
      </c>
      <c r="E12" s="31"/>
      <c r="F12" s="105"/>
    </row>
    <row r="13" spans="2:30">
      <c r="B13" s="35" t="s">
        <v>825</v>
      </c>
      <c r="C13" s="36"/>
      <c r="D13" s="113">
        <f>P56</f>
        <v>6.2227753536068235E-2</v>
      </c>
      <c r="E13" s="111" t="s">
        <v>825</v>
      </c>
      <c r="F13" s="115">
        <f>Q64</f>
        <v>0.20101225843482617</v>
      </c>
    </row>
    <row r="15" spans="2:30">
      <c r="B15" s="39" t="s">
        <v>879</v>
      </c>
      <c r="C15" s="40"/>
      <c r="D15" s="41">
        <f>AH57</f>
        <v>0.42486840628132411</v>
      </c>
      <c r="E15" s="116"/>
    </row>
    <row r="16" spans="2:30">
      <c r="B16" s="43" t="s">
        <v>1165</v>
      </c>
      <c r="C16" s="31"/>
      <c r="D16" s="33">
        <f>AH57-AH59</f>
        <v>0.2179814531908465</v>
      </c>
      <c r="E16" s="117">
        <f>AH57+AH58</f>
        <v>0.63175535937180172</v>
      </c>
    </row>
    <row r="17" spans="2:65">
      <c r="B17" s="45" t="s">
        <v>1166</v>
      </c>
      <c r="C17" s="46"/>
      <c r="D17" s="123">
        <f>M58</f>
        <v>5.6949469642297856E-5</v>
      </c>
      <c r="E17" s="118"/>
    </row>
    <row r="18" spans="2:65">
      <c r="D18" s="48"/>
      <c r="F18" s="49"/>
    </row>
    <row r="19" spans="2:65">
      <c r="B19" s="50" t="s">
        <v>1167</v>
      </c>
      <c r="C19" s="51"/>
      <c r="D19" s="52">
        <f>AH61</f>
        <v>0.47046499659908286</v>
      </c>
      <c r="E19" s="120"/>
      <c r="F19" s="33"/>
      <c r="G19" s="31"/>
    </row>
    <row r="20" spans="2:65">
      <c r="B20" s="53" t="s">
        <v>1165</v>
      </c>
      <c r="C20" s="31"/>
      <c r="D20" s="33">
        <f>AH61-AH63</f>
        <v>0.17835176834587441</v>
      </c>
      <c r="E20" s="121">
        <f>AH61+AH62</f>
        <v>0.76257822485229132</v>
      </c>
      <c r="F20" s="31"/>
      <c r="G20" s="31"/>
    </row>
    <row r="21" spans="2:65">
      <c r="B21" s="54" t="s">
        <v>1440</v>
      </c>
      <c r="C21" s="55"/>
      <c r="D21" s="114">
        <f>M69</f>
        <v>1.5956997897688119E-3</v>
      </c>
      <c r="E21" s="56"/>
      <c r="F21" s="119"/>
      <c r="G21" s="31"/>
      <c r="L21" s="4" t="s">
        <v>1511</v>
      </c>
      <c r="N21" s="4"/>
      <c r="O21" s="4"/>
      <c r="Q21" s="4" t="str">
        <f>IF(D6=1,F6,CONCATENATE(F6," with ",F5))</f>
        <v>Cohens Effect size with H Correction</v>
      </c>
    </row>
    <row r="22" spans="2: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2: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2:65">
      <c r="B24">
        <v>6574534</v>
      </c>
      <c r="C24" s="1" t="str">
        <f>IF($B24="","",HYPERLINK(IF(LEN(VLOOKUP($B24,Database!$B$1:$IX$10144,2,FALSE))=0,"",VLOOKUP($B24,Database!$B$1:$IX$10144,2,FALSE))))</f>
        <v/>
      </c>
      <c r="D24" s="1" t="str">
        <f t="shared" ref="D24:D34" si="0">IF($B24="","",HYPERLINK(CONCATENATE("http://www.ncbi.nlm.nih.gov/pubmed/",B24)))</f>
        <v>http://www.ncbi.nlm.nih.gov/pubmed/6574534</v>
      </c>
      <c r="E24" s="22" t="str">
        <f>IF($B24="","",IF(LEN(VLOOKUP($B24,Database!$B$1:$IX$10144,4,FALSE))=0,"",VLOOKUP($B24,Database!$B$1:$IX$10144,4,FALSE)))</f>
        <v>Scott ML</v>
      </c>
      <c r="F24" s="22">
        <f>IF($B24="","",IF(LEN(VLOOKUP($B24,Database!$B$1:$IX$10144,5,FALSE))=0,"",VLOOKUP($B24,Database!$B$1:$IX$10144,5,FALSE)))</f>
        <v>1983</v>
      </c>
      <c r="G24" s="1" t="str">
        <f>IF($B24="","",HYPERLINK(IF(LEN(VLOOKUP($B24,Database!$B$1:$IX$10144,6,FALSE))=0,"",VLOOKUP($B24,Database!$B$1:$IX$10144,6,FALSE))))</f>
        <v>http://dx.doi.org/10.1016/0165-1781(83)90095-1</v>
      </c>
      <c r="H24" s="22">
        <f>IF($B24="","",IF(LEN(VLOOKUP($B24,Database!$B$1:$IX$10144,7,FALSE))=0,"",VLOOKUP($B24,Database!$B$1:$IX$10144,7,FALSE)))</f>
        <v>10</v>
      </c>
      <c r="I24" s="22">
        <f>IF($B24="","",IF(LEN(VLOOKUP($B24,Database!$B$1:$IX$10144,8,FALSE))=0,"",VLOOKUP($B24,Database!$B$1:$IX$10144,8,FALSE)))</f>
        <v>10</v>
      </c>
      <c r="J24" t="s">
        <v>1487</v>
      </c>
      <c r="T24">
        <v>9.4499999999999993</v>
      </c>
      <c r="U24">
        <v>3.41</v>
      </c>
      <c r="V24">
        <v>4.16</v>
      </c>
      <c r="W24">
        <v>2.91</v>
      </c>
      <c r="Y24" s="22" t="str">
        <f>IF(OR($B24="",Y$22=""),"",IF(LEN(VLOOKUP($B24,Database!$B$1:$IX$10144,Y$22,FALSE))=0,"",VLOOKUP($B24,Database!$B$1:$IX$10144,Y$22,FALSE)))</f>
        <v>DSM-III</v>
      </c>
      <c r="Z24" s="22" t="str">
        <f>IF(OR($B24="",Z$22=""),"",IF(LEN(VLOOKUP($B24,Database!$B$1:$IX$10144,Z$22,FALSE))=0,"",VLOOKUP($B24,Database!$B$1:$IX$10144,Z$22,FALSE)))</f>
        <v>CT</v>
      </c>
      <c r="AA24" s="22" t="str">
        <f>IF(OR($B24="",AA$22=""),"",IF(LEN(VLOOKUP($B24,Database!$B$1:$IX$10144,AA$22,FALSE))=0,"",VLOOKUP($B24,Database!$B$1:$IX$10144,AA$22,FALSE)))</f>
        <v/>
      </c>
      <c r="AB24" s="22">
        <f>IF(OR($B24="",AB$22=""),"",IF(LEN(VLOOKUP($B24,Database!$B$1:$IX$10144,AB$22,FALSE))=0,"",VLOOKUP($B24,Database!$B$1:$IX$10144,AB$22,FALSE)))</f>
        <v>39.15</v>
      </c>
      <c r="AC24" s="22">
        <f>IF(OR($B24="",AC$22=""),"",IF(LEN(VLOOKUP($B24,Database!$B$1:$IX$10144,AC$22,FALSE))=0,"",VLOOKUP($B24,Database!$B$1:$IX$10144,AC$22,FALSE)))</f>
        <v>11.35</v>
      </c>
      <c r="AD24" s="22">
        <f>IF(OR($B24="",AD$22=""),"",IF(LEN(VLOOKUP($B24,Database!$B$1:$IX$10144,AD$22,FALSE))=0,"",VLOOKUP($B24,Database!$B$1:$IX$10144,AD$22,FALSE)))</f>
        <v>39.9</v>
      </c>
      <c r="AE24" s="22">
        <f>IF(OR($B24="",AE$22=""),"",IF(LEN(VLOOKUP($B24,Database!$B$1:$IX$10144,AE$22,FALSE))=0,"",VLOOKUP($B24,Database!$B$1:$IX$10144,AE$22,FALSE)))</f>
        <v>11.11</v>
      </c>
      <c r="AF24" s="22" t="str">
        <f>IF(OR($B24="",AF$22=""),"",IF(LEN(VLOOKUP($B24,Database!$B$1:$IX$10144,AF$22,FALSE))=0,"",VLOOKUP($B24,Database!$B$1:$IX$10144,AF$22,FALSE)))</f>
        <v>ns</v>
      </c>
      <c r="AG24" s="22" t="str">
        <f>IF(OR($B24="",AG$22=""),"",IF(LEN(VLOOKUP($B24,Database!$B$1:$IX$10144,AG$22,FALSE))=0,"",VLOOKUP($B24,Database!$B$1:$IX$10144,AG$22,FALSE)))</f>
        <v>ns</v>
      </c>
      <c r="AH24" s="22" t="str">
        <f>IF(OR($B24="",AH$22=""),"",IF(LEN(VLOOKUP($B24,Database!$B$1:$IX$10144,AH$22,FALSE))=0,"",VLOOKUP($B24,Database!$B$1:$IX$10144,AH$22,FALSE)))</f>
        <v/>
      </c>
      <c r="AI24" s="22" t="str">
        <f>IF(OR($B24="",AI$22=""),"",IF(LEN(VLOOKUP($B24,Database!$B$1:$IX$10144,AI$22,FALSE))=0,"",VLOOKUP($B24,Database!$B$1:$IX$10144,AI$22,FALSE)))</f>
        <v>ns</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Scott ML, Golden CJ, Ruedrich SL, Bishop RJ.</v>
      </c>
      <c r="AR24" s="13"/>
      <c r="BC24" s="23"/>
      <c r="BF24" s="136"/>
      <c r="BG24" s="136"/>
      <c r="BH24" s="136"/>
      <c r="BI24" s="136"/>
    </row>
    <row r="25" spans="2:65">
      <c r="B25">
        <v>3381925</v>
      </c>
      <c r="C25" s="1" t="str">
        <f>IF($B25="","",HYPERLINK(IF(LEN(VLOOKUP($B25,Database!$B$1:$IX$10144,2,FALSE))=0,"",VLOOKUP($B25,Database!$B$1:$IX$10144,2,FALSE))))</f>
        <v/>
      </c>
      <c r="D25" s="1" t="str">
        <f t="shared" si="0"/>
        <v>http://www.ncbi.nlm.nih.gov/pubmed/3381925</v>
      </c>
      <c r="E25" s="22" t="str">
        <f>IF($B25="","",IF(LEN(VLOOKUP($B25,Database!$B$1:$IX$10144,4,FALSE))=0,"",VLOOKUP($B25,Database!$B$1:$IX$10144,4,FALSE)))</f>
        <v>Iacono WG</v>
      </c>
      <c r="F25" s="22">
        <f>IF($B25="","",IF(LEN(VLOOKUP($B25,Database!$B$1:$IX$10144,5,FALSE))=0,"",VLOOKUP($B25,Database!$B$1:$IX$10144,5,FALSE)))</f>
        <v>1988</v>
      </c>
      <c r="G25" s="1" t="str">
        <f>IF($B25="","",HYPERLINK(IF(LEN(VLOOKUP($B25,Database!$B$1:$IX$10144,6,FALSE))=0,"",VLOOKUP($B25,Database!$B$1:$IX$10144,6,FALSE))))</f>
        <v>http://ajp.psychiatryonline.org/cgi/reprint/145/7/820</v>
      </c>
      <c r="H25" s="22">
        <f>IF($B25="","",IF(LEN(VLOOKUP($B25,Database!$B$1:$IX$10144,7,FALSE))=0,"",VLOOKUP($B25,Database!$B$1:$IX$10144,7,FALSE)))</f>
        <v>16</v>
      </c>
      <c r="I25" s="22">
        <f>IF($B25="","",IF(LEN(VLOOKUP($B25,Database!$B$1:$IX$10144,8,FALSE))=0,"",VLOOKUP($B25,Database!$B$1:$IX$10144,8,FALSE)))</f>
        <v>44</v>
      </c>
      <c r="J25" t="s">
        <v>1488</v>
      </c>
      <c r="T25">
        <v>6.36</v>
      </c>
      <c r="U25">
        <v>2.96</v>
      </c>
      <c r="V25">
        <v>6.39</v>
      </c>
      <c r="W25">
        <v>2.76</v>
      </c>
      <c r="Y25" s="22" t="str">
        <f>IF(OR($B25="",Y$22=""),"",IF(LEN(VLOOKUP($B25,Database!$B$1:$IX$10144,Y$22,FALSE))=0,"",VLOOKUP($B25,Database!$B$1:$IX$10144,Y$22,FALSE)))</f>
        <v>DSM-III</v>
      </c>
      <c r="Z25" s="22" t="str">
        <f>IF(OR($B25="",Z$22=""),"",IF(LEN(VLOOKUP($B25,Database!$B$1:$IX$10144,Z$22,FALSE))=0,"",VLOOKUP($B25,Database!$B$1:$IX$10144,Z$22,FALSE)))</f>
        <v>CT</v>
      </c>
      <c r="AA25" s="22" t="str">
        <f>IF(OR($B25="",AA$22=""),"",IF(LEN(VLOOKUP($B25,Database!$B$1:$IX$10144,AA$22,FALSE))=0,"",VLOOKUP($B25,Database!$B$1:$IX$10144,AA$22,FALSE)))</f>
        <v/>
      </c>
      <c r="AB25" s="22">
        <f>IF(OR($B25="",AB$22=""),"",IF(LEN(VLOOKUP($B25,Database!$B$1:$IX$10144,AB$22,FALSE))=0,"",VLOOKUP($B25,Database!$B$1:$IX$10144,AB$22,FALSE)))</f>
        <v>22.6</v>
      </c>
      <c r="AC25" s="22">
        <f>IF(OR($B25="",AC$22=""),"",IF(LEN(VLOOKUP($B25,Database!$B$1:$IX$10144,AC$22,FALSE))=0,"",VLOOKUP($B25,Database!$B$1:$IX$10144,AC$22,FALSE)))</f>
        <v>4</v>
      </c>
      <c r="AD25" s="22">
        <f>IF(OR($B25="",AD$22=""),"",IF(LEN(VLOOKUP($B25,Database!$B$1:$IX$10144,AD$22,FALSE))=0,"",VLOOKUP($B25,Database!$B$1:$IX$10144,AD$22,FALSE)))</f>
        <v>23.2</v>
      </c>
      <c r="AE25" s="22">
        <f>IF(OR($B25="",AE$22=""),"",IF(LEN(VLOOKUP($B25,Database!$B$1:$IX$10144,AE$22,FALSE))=0,"",VLOOKUP($B25,Database!$B$1:$IX$10144,AE$22,FALSE)))</f>
        <v>5.6</v>
      </c>
      <c r="AF25" s="22">
        <f>IF(OR($B25="",AF$22=""),"",IF(LEN(VLOOKUP($B25,Database!$B$1:$IX$10144,AF$22,FALSE))=0,"",VLOOKUP($B25,Database!$B$1:$IX$10144,AF$22,FALSE)))</f>
        <v>5</v>
      </c>
      <c r="AG25" s="22">
        <f>IF(OR($B25="",AG$22=""),"",IF(LEN(VLOOKUP($B25,Database!$B$1:$IX$10144,AG$22,FALSE))=0,"",VLOOKUP($B25,Database!$B$1:$IX$10144,AG$22,FALSE)))</f>
        <v>15</v>
      </c>
      <c r="AH25" s="22" t="str">
        <f>IF(OR($B25="",AH$22=""),"",IF(LEN(VLOOKUP($B25,Database!$B$1:$IX$10144,AH$22,FALSE))=0,"",VLOOKUP($B25,Database!$B$1:$IX$10144,AH$22,FALSE)))</f>
        <v/>
      </c>
      <c r="AI25" s="22">
        <f>IF(OR($B25="",AI$22=""),"",IF(LEN(VLOOKUP($B25,Database!$B$1:$IX$10144,AI$22,FALSE))=0,"",VLOOKUP($B25,Database!$B$1:$IX$10144,AI$22,FALSE)))</f>
        <v>8</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Iacono WG, Smith GN, Moreau M, Beiser M, Fleming JA, Lin TY, Flak B.</v>
      </c>
      <c r="AR25" s="13"/>
      <c r="BC25" s="23"/>
      <c r="BF25" s="136"/>
      <c r="BG25" s="136"/>
      <c r="BH25" s="136"/>
      <c r="BI25" s="136"/>
    </row>
    <row r="26" spans="2:65">
      <c r="B26">
        <v>2798631</v>
      </c>
      <c r="C26" s="1" t="str">
        <f>IF($B26="","",HYPERLINK(IF(LEN(VLOOKUP($B26,Database!$B$1:$IX$10144,2,FALSE))=0,"",VLOOKUP($B26,Database!$B$1:$IX$10144,2,FALSE))))</f>
        <v/>
      </c>
      <c r="D26" s="1" t="str">
        <f t="shared" si="0"/>
        <v>http://www.ncbi.nlm.nih.gov/pubmed/2798631</v>
      </c>
      <c r="E26" s="22" t="str">
        <f>IF($B26="","",IF(LEN(VLOOKUP($B26,Database!$B$1:$IX$10144,4,FALSE))=0,"",VLOOKUP($B26,Database!$B$1:$IX$10144,4,FALSE)))</f>
        <v>Pearlson GD</v>
      </c>
      <c r="F26" s="22">
        <f>IF($B26="","",IF(LEN(VLOOKUP($B26,Database!$B$1:$IX$10144,5,FALSE))=0,"",VLOOKUP($B26,Database!$B$1:$IX$10144,5,FALSE)))</f>
        <v>1989</v>
      </c>
      <c r="G26" s="1" t="str">
        <f>IF($B26="","",HYPERLINK(IF(LEN(VLOOKUP($B26,Database!$B$1:$IX$10144,6,FALSE))=0,"",VLOOKUP($B26,Database!$B$1:$IX$10144,6,FALSE))))</f>
        <v>http://dx.doi.org/10.1017/S003329170002417X</v>
      </c>
      <c r="H26" s="22">
        <f>IF($B26="","",IF(LEN(VLOOKUP($B26,Database!$B$1:$IX$10144,7,FALSE))=0,"",VLOOKUP($B26,Database!$B$1:$IX$10144,7,FALSE)))</f>
        <v>11</v>
      </c>
      <c r="I26" s="22">
        <f>IF($B26="","",IF(LEN(VLOOKUP($B26,Database!$B$1:$IX$10144,8,FALSE))=0,"",VLOOKUP($B26,Database!$B$1:$IX$10144,8,FALSE)))</f>
        <v>31</v>
      </c>
      <c r="J26" t="s">
        <v>721</v>
      </c>
      <c r="T26">
        <v>11</v>
      </c>
      <c r="U26">
        <v>4.3099999999999996</v>
      </c>
      <c r="V26">
        <v>8.6</v>
      </c>
      <c r="W26">
        <v>2.78</v>
      </c>
      <c r="X26" s="151"/>
      <c r="Y26" s="22" t="str">
        <f>IF(OR($B26="",Y$22=""),"",IF(LEN(VLOOKUP($B26,Database!$B$1:$IX$10144,Y$22,FALSE))=0,"",VLOOKUP($B26,Database!$B$1:$IX$10144,Y$22,FALSE)))</f>
        <v>DSM-III</v>
      </c>
      <c r="Z26" s="22" t="str">
        <f>IF(OR($B26="",Z$22=""),"",IF(LEN(VLOOKUP($B26,Database!$B$1:$IX$10144,Z$22,FALSE))=0,"",VLOOKUP($B26,Database!$B$1:$IX$10144,Z$22,FALSE)))</f>
        <v>CT</v>
      </c>
      <c r="AA26" s="22" t="str">
        <f>IF(OR($B26="",AA$22=""),"",IF(LEN(VLOOKUP($B26,Database!$B$1:$IX$10144,AA$22,FALSE))=0,"",VLOOKUP($B26,Database!$B$1:$IX$10144,AA$22,FALSE)))</f>
        <v/>
      </c>
      <c r="AB26" s="22">
        <f>IF(OR($B26="",AB$22=""),"",IF(LEN(VLOOKUP($B26,Database!$B$1:$IX$10144,AB$22,FALSE))=0,"",VLOOKUP($B26,Database!$B$1:$IX$10144,AB$22,FALSE)))</f>
        <v>70</v>
      </c>
      <c r="AC26" s="22">
        <f>IF(OR($B26="",AC$22=""),"",IF(LEN(VLOOKUP($B26,Database!$B$1:$IX$10144,AC$22,FALSE))=0,"",VLOOKUP($B26,Database!$B$1:$IX$10144,AC$22,FALSE)))</f>
        <v>6.96</v>
      </c>
      <c r="AD26" s="22">
        <f>IF(OR($B26="",AD$22=""),"",IF(LEN(VLOOKUP($B26,Database!$B$1:$IX$10144,AD$22,FALSE))=0,"",VLOOKUP($B26,Database!$B$1:$IX$10144,AD$22,FALSE)))</f>
        <v>68.3</v>
      </c>
      <c r="AE26" s="22">
        <f>IF(OR($B26="",AE$22=""),"",IF(LEN(VLOOKUP($B26,Database!$B$1:$IX$10144,AE$22,FALSE))=0,"",VLOOKUP($B26,Database!$B$1:$IX$10144,AE$22,FALSE)))</f>
        <v>6.68</v>
      </c>
      <c r="AF26" s="22">
        <f>IF(OR($B26="",AF$22=""),"",IF(LEN(VLOOKUP($B26,Database!$B$1:$IX$10144,AF$22,FALSE))=0,"",VLOOKUP($B26,Database!$B$1:$IX$10144,AF$22,FALSE)))</f>
        <v>6</v>
      </c>
      <c r="AG26" s="22">
        <f>IF(OR($B26="",AG$22=""),"",IF(LEN(VLOOKUP($B26,Database!$B$1:$IX$10144,AG$22,FALSE))=0,"",VLOOKUP($B26,Database!$B$1:$IX$10144,AG$22,FALSE)))</f>
        <v>16</v>
      </c>
      <c r="AH26" s="22" t="str">
        <f>IF(OR($B26="",AH$22=""),"",IF(LEN(VLOOKUP($B26,Database!$B$1:$IX$10144,AH$22,FALSE))=0,"",VLOOKUP($B26,Database!$B$1:$IX$10144,AH$22,FALSE)))</f>
        <v/>
      </c>
      <c r="AI26" s="22">
        <f>IF(OR($B26="",AI$22=""),"",IF(LEN(VLOOKUP($B26,Database!$B$1:$IX$10144,AI$22,FALSE))=0,"",VLOOKUP($B26,Database!$B$1:$IX$10144,AI$22,FALSE)))</f>
        <v>8</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12.5</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Pearlson GD, Rabins PV, Kim WS, Speedie LJ, Moberg PJ, Burns A, Bascom MJ.</v>
      </c>
      <c r="AR26" s="13"/>
      <c r="BC26" s="23"/>
      <c r="BF26" s="136"/>
      <c r="BG26" s="136"/>
      <c r="BH26" s="136"/>
      <c r="BI26" s="136"/>
    </row>
    <row r="27" spans="2:65">
      <c r="B27">
        <v>2356874</v>
      </c>
      <c r="C27" s="1" t="str">
        <f>IF($B27="","",HYPERLINK(IF(LEN(VLOOKUP($B27,Database!$B$1:$IX$10144,2,FALSE))=0,"",VLOOKUP($B27,Database!$B$1:$IX$10144,2,FALSE))))</f>
        <v/>
      </c>
      <c r="D27" s="1" t="str">
        <f t="shared" si="0"/>
        <v>http://www.ncbi.nlm.nih.gov/pubmed/2356874</v>
      </c>
      <c r="E27" s="22" t="str">
        <f>IF($B27="","",IF(LEN(VLOOKUP($B27,Database!$B$1:$IX$10144,4,FALSE))=0,"",VLOOKUP($B27,Database!$B$1:$IX$10144,4,FALSE)))</f>
        <v>Andreasen NC</v>
      </c>
      <c r="F27" s="22">
        <f>IF($B27="","",IF(LEN(VLOOKUP($B27,Database!$B$1:$IX$10144,5,FALSE))=0,"",VLOOKUP($B27,Database!$B$1:$IX$10144,5,FALSE)))</f>
        <v>1990</v>
      </c>
      <c r="G27" s="1" t="str">
        <f>IF($B27="","",HYPERLINK(IF(LEN(VLOOKUP($B27,Database!$B$1:$IX$10144,6,FALSE))=0,"",VLOOKUP($B27,Database!$B$1:$IX$10144,6,FALSE))))</f>
        <v>http://ajp.psychiatryonline.org/cgi/reprint/147/7/893</v>
      </c>
      <c r="H27" s="83">
        <v>26</v>
      </c>
      <c r="I27" s="22">
        <f>IF($B27="","",IF(LEN(VLOOKUP($B27,Database!$B$1:$IX$10144,8,FALSE))=0,"",VLOOKUP($B27,Database!$B$1:$IX$10144,8,FALSE)))</f>
        <v>75</v>
      </c>
      <c r="J27" t="s">
        <v>1489</v>
      </c>
      <c r="T27">
        <v>6.22</v>
      </c>
      <c r="U27">
        <v>3.17</v>
      </c>
      <c r="V27">
        <v>5.75</v>
      </c>
      <c r="W27">
        <v>2.5099999999999998</v>
      </c>
      <c r="Y27" s="22" t="str">
        <f>IF(OR($B27="",Y$22=""),"",IF(LEN(VLOOKUP($B27,Database!$B$1:$IX$10144,Y$22,FALSE))=0,"",VLOOKUP($B27,Database!$B$1:$IX$10144,Y$22,FALSE)))</f>
        <v>DSM-III</v>
      </c>
      <c r="Z27" s="22" t="str">
        <f>IF(OR($B27="",Z$22=""),"",IF(LEN(VLOOKUP($B27,Database!$B$1:$IX$10144,Z$22,FALSE))=0,"",VLOOKUP($B27,Database!$B$1:$IX$10144,Z$22,FALSE)))</f>
        <v>CT</v>
      </c>
      <c r="AA27" s="22" t="str">
        <f>IF(OR($B27="",AA$22=""),"",IF(LEN(VLOOKUP($B27,Database!$B$1:$IX$10144,AA$22,FALSE))=0,"",VLOOKUP($B27,Database!$B$1:$IX$10144,AA$22,FALSE)))</f>
        <v/>
      </c>
      <c r="AB27" s="22">
        <f>IF(OR($B27="",AB$22=""),"",IF(LEN(VLOOKUP($B27,Database!$B$1:$IX$10144,AB$22,FALSE))=0,"",VLOOKUP($B27,Database!$B$1:$IX$10144,AB$22,FALSE)))</f>
        <v>37.26</v>
      </c>
      <c r="AC27" s="22">
        <f>IF(OR($B27="",AC$22=""),"",IF(LEN(VLOOKUP($B27,Database!$B$1:$IX$10144,AC$22,FALSE))=0,"",VLOOKUP($B27,Database!$B$1:$IX$10144,AC$22,FALSE)))</f>
        <v>13.27</v>
      </c>
      <c r="AD27" s="22">
        <f>IF(OR($B27="",AD$22=""),"",IF(LEN(VLOOKUP($B27,Database!$B$1:$IX$10144,AD$22,FALSE))=0,"",VLOOKUP($B27,Database!$B$1:$IX$10144,AD$22,FALSE)))</f>
        <v>34.89</v>
      </c>
      <c r="AE27" s="22">
        <f>IF(OR($B27="",AE$22=""),"",IF(LEN(VLOOKUP($B27,Database!$B$1:$IX$10144,AE$22,FALSE))=0,"",VLOOKUP($B27,Database!$B$1:$IX$10144,AE$22,FALSE)))</f>
        <v>13.67</v>
      </c>
      <c r="AF27" s="22">
        <f>IF(OR($B27="",AF$22=""),"",IF(LEN(VLOOKUP($B27,Database!$B$1:$IX$10144,AF$22,FALSE))=0,"",VLOOKUP($B27,Database!$B$1:$IX$10144,AF$22,FALSE)))</f>
        <v>15</v>
      </c>
      <c r="AG27" s="22">
        <f>IF(OR($B27="",AG$22=""),"",IF(LEN(VLOOKUP($B27,Database!$B$1:$IX$10144,AG$22,FALSE))=0,"",VLOOKUP($B27,Database!$B$1:$IX$10144,AG$22,FALSE)))</f>
        <v>39</v>
      </c>
      <c r="AH27" s="22" t="str">
        <f>IF(OR($B27="",AH$22=""),"",IF(LEN(VLOOKUP($B27,Database!$B$1:$IX$10144,AH$22,FALSE))=0,"",VLOOKUP($B27,Database!$B$1:$IX$10144,AH$22,FALSE)))</f>
        <v/>
      </c>
      <c r="AI27" s="22">
        <f>IF(OR($B27="",AI$22=""),"",IF(LEN(VLOOKUP($B27,Database!$B$1:$IX$10144,AI$22,FALSE))=0,"",VLOOKUP($B27,Database!$B$1:$IX$10144,AI$22,FALSE)))</f>
        <v>8</v>
      </c>
      <c r="AJ27" s="22" t="str">
        <f>IF(OR($B27="",AJ$22=""),"",IF(LEN(VLOOKUP($B27,Database!$B$1:$IX$10144,AJ$22,FALSE))=0,"",VLOOKUP($B27,Database!$B$1:$IX$10144,AJ$22,FALSE)))</f>
        <v/>
      </c>
      <c r="AK27" s="22">
        <f>IF(OR($B27="",AK$22=""),"",IF(LEN(VLOOKUP($B27,Database!$B$1:$IX$10144,AK$22,FALSE))=0,"",VLOOKUP($B27,Database!$B$1:$IX$10144,AK$22,FALSE)))</f>
        <v>24.85</v>
      </c>
      <c r="AL27" s="22" t="str">
        <f>IF(OR($B27="",AL$22=""),"",IF(LEN(VLOOKUP($B27,Database!$B$1:$IX$10144,AL$22,FALSE))=0,"",VLOOKUP($B27,Database!$B$1:$IX$10144,AL$22,FALSE)))</f>
        <v>ns</v>
      </c>
      <c r="AM27" s="22">
        <f>IF(OR($B27="",AM$22=""),"",IF(LEN(VLOOKUP($B27,Database!$B$1:$IX$10144,AM$22,FALSE))=0,"",VLOOKUP($B27,Database!$B$1:$IX$10144,AM$22,FALSE)))</f>
        <v>77.777777777777786</v>
      </c>
      <c r="AN27" s="22">
        <f>IF(OR($B27="",AN$22=""),"",IF(LEN(VLOOKUP($B27,Database!$B$1:$IX$10144,AN$22,FALSE))=0,"",VLOOKUP($B27,Database!$B$1:$IX$10144,AN$22,FALSE)))</f>
        <v>51.851851851851848</v>
      </c>
      <c r="AO27" s="22">
        <f>IF(OR($B27="",AO$22=""),"",IF(LEN(VLOOKUP($B27,Database!$B$1:$IX$10144,AO$22,FALSE))=0,"",VLOOKUP($B27,Database!$B$1:$IX$10144,AO$22,FALSE)))</f>
        <v>66.666666666666657</v>
      </c>
      <c r="AP27" s="22" t="str">
        <f>IF(OR($B27="",AP$22=""),"",IF(LEN(VLOOKUP($B27,Database!$B$1:$IX$10144,AP$22,FALSE))=0,"",VLOOKUP($B27,Database!$B$1:$IX$10144,AP$22,FALSE)))</f>
        <v>ns</v>
      </c>
      <c r="AQ27" s="22" t="str">
        <f>IF(OR($B27="",AQ$22=""),"",IF(LEN(VLOOKUP($B27,Database!$B$1:$IX$10144,AQ$22,FALSE))=0,"",VLOOKUP($B27,Database!$B$1:$IX$10144,AQ$22,FALSE)))</f>
        <v>Andreasen NC, Swayze V 2nd, Flaum M, Alliger R, Cohen G.</v>
      </c>
      <c r="AR27" s="163"/>
      <c r="BC27" s="23"/>
      <c r="BF27" s="136"/>
      <c r="BG27" s="136"/>
      <c r="BH27" s="136"/>
      <c r="BI27" s="136"/>
    </row>
    <row r="28" spans="2:65">
      <c r="B28">
        <v>2320698</v>
      </c>
      <c r="C28" s="1" t="str">
        <f>IF($B28="","",HYPERLINK(IF(LEN(VLOOKUP($B28,Database!$B$1:$IX$10144,2,FALSE))=0,"",VLOOKUP($B28,Database!$B$1:$IX$10144,2,FALSE))))</f>
        <v/>
      </c>
      <c r="D28" s="1" t="str">
        <f t="shared" si="0"/>
        <v>http://www.ncbi.nlm.nih.gov/pubmed/2320698</v>
      </c>
      <c r="E28" s="22" t="str">
        <f>IF($B28="","",IF(LEN(VLOOKUP($B28,Database!$B$1:$IX$10144,4,FALSE))=0,"",VLOOKUP($B28,Database!$B$1:$IX$10144,4,FALSE)))</f>
        <v>Harvey I</v>
      </c>
      <c r="F28" s="22">
        <f>IF($B28="","",IF(LEN(VLOOKUP($B28,Database!$B$1:$IX$10144,5,FALSE))=0,"",VLOOKUP($B28,Database!$B$1:$IX$10144,5,FALSE)))</f>
        <v>1990</v>
      </c>
      <c r="G28" s="1" t="str">
        <f>IF($B28="","",HYPERLINK(IF(LEN(VLOOKUP($B28,Database!$B$1:$IX$10144,6,FALSE))=0,"",VLOOKUP($B28,Database!$B$1:$IX$10144,6,FALSE))))</f>
        <v>http://dx.doi.org/10.1017/S0033291700013222</v>
      </c>
      <c r="H28" s="22">
        <f>IF($B28="","",IF(LEN(VLOOKUP($B28,Database!$B$1:$IX$10144,7,FALSE))=0,"",VLOOKUP($B28,Database!$B$1:$IX$10144,7,FALSE)))</f>
        <v>5</v>
      </c>
      <c r="I28" s="22">
        <f>IF($B28="","",IF(LEN(VLOOKUP($B28,Database!$B$1:$IX$10144,8,FALSE))=0,"",VLOOKUP($B28,Database!$B$1:$IX$10144,8,FALSE)))</f>
        <v>50</v>
      </c>
      <c r="J28" t="s">
        <v>1828</v>
      </c>
      <c r="T28">
        <v>4.4800000000000004</v>
      </c>
      <c r="U28">
        <v>5.6</v>
      </c>
      <c r="V28">
        <v>4.68</v>
      </c>
      <c r="W28">
        <v>2.7</v>
      </c>
      <c r="Y28" s="22" t="str">
        <f>IF(OR($B28="",Y$22=""),"",IF(LEN(VLOOKUP($B28,Database!$B$1:$IX$10144,Y$22,FALSE))=0,"",VLOOKUP($B28,Database!$B$1:$IX$10144,Y$22,FALSE)))</f>
        <v>RDC</v>
      </c>
      <c r="Z28" s="22" t="str">
        <f>IF(OR($B28="",Z$22=""),"",IF(LEN(VLOOKUP($B28,Database!$B$1:$IX$10144,Z$22,FALSE))=0,"",VLOOKUP($B28,Database!$B$1:$IX$10144,Z$22,FALSE)))</f>
        <v>CT</v>
      </c>
      <c r="AA28" s="22" t="str">
        <f>IF(OR($B28="",AA$22=""),"",IF(LEN(VLOOKUP($B28,Database!$B$1:$IX$10144,AA$22,FALSE))=0,"",VLOOKUP($B28,Database!$B$1:$IX$10144,AA$22,FALSE)))</f>
        <v/>
      </c>
      <c r="AB28" s="22" t="str">
        <f>IF(OR($B28="",AB$22=""),"",IF(LEN(VLOOKUP($B28,Database!$B$1:$IX$10144,AB$22,FALSE))=0,"",VLOOKUP($B28,Database!$B$1:$IX$10144,AB$22,FALSE)))</f>
        <v>ns</v>
      </c>
      <c r="AC28" s="22" t="str">
        <f>IF(OR($B28="",AC$22=""),"",IF(LEN(VLOOKUP($B28,Database!$B$1:$IX$10144,AC$22,FALSE))=0,"",VLOOKUP($B28,Database!$B$1:$IX$10144,AC$22,FALSE)))</f>
        <v>ns</v>
      </c>
      <c r="AD28" s="22">
        <f>IF(OR($B28="",AD$22=""),"",IF(LEN(VLOOKUP($B28,Database!$B$1:$IX$10144,AD$22,FALSE))=0,"",VLOOKUP($B28,Database!$B$1:$IX$10144,AD$22,FALSE)))</f>
        <v>31</v>
      </c>
      <c r="AE28" s="22" t="str">
        <f>IF(OR($B28="",AE$22=""),"",IF(LEN(VLOOKUP($B28,Database!$B$1:$IX$10144,AE$22,FALSE))=0,"",VLOOKUP($B28,Database!$B$1:$IX$10144,AE$22,FALSE)))</f>
        <v>ns</v>
      </c>
      <c r="AF28" s="22" t="str">
        <f>IF(OR($B28="",AF$22=""),"",IF(LEN(VLOOKUP($B28,Database!$B$1:$IX$10144,AF$22,FALSE))=0,"",VLOOKUP($B28,Database!$B$1:$IX$10144,AF$22,FALSE)))</f>
        <v>ns</v>
      </c>
      <c r="AG28" s="22" t="str">
        <f>IF(OR($B28="",AG$22=""),"",IF(LEN(VLOOKUP($B28,Database!$B$1:$IX$10144,AG$22,FALSE))=0,"",VLOOKUP($B28,Database!$B$1:$IX$10144,AG$22,FALSE)))</f>
        <v>ns</v>
      </c>
      <c r="AH28" s="22" t="str">
        <f>IF(OR($B28="",AH$22=""),"",IF(LEN(VLOOKUP($B28,Database!$B$1:$IX$10144,AH$22,FALSE))=0,"",VLOOKUP($B28,Database!$B$1:$IX$10144,AH$22,FALSE)))</f>
        <v/>
      </c>
      <c r="AI28" s="22">
        <f>IF(OR($B28="",AI$22=""),"",IF(LEN(VLOOKUP($B28,Database!$B$1:$IX$10144,AI$22,FALSE))=0,"",VLOOKUP($B28,Database!$B$1:$IX$10144,AI$22,FALSE)))</f>
        <v>10</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Harvey I, Williams M, Toone BK, Lewis SW, Turner SW, McGuffin P.</v>
      </c>
      <c r="AR28" s="163"/>
      <c r="BC28" s="23"/>
      <c r="BF28" s="136"/>
      <c r="BG28" s="136"/>
      <c r="BH28" s="136"/>
      <c r="BI28" s="136"/>
    </row>
    <row r="29" spans="2:65">
      <c r="B29">
        <v>1486107</v>
      </c>
      <c r="C29" s="1" t="str">
        <f>IF($B29="","",HYPERLINK(IF(LEN(VLOOKUP($B29,Database!$B$1:$IX$10144,2,FALSE))=0,"",VLOOKUP($B29,Database!$B$1:$IX$10144,2,FALSE))))</f>
        <v/>
      </c>
      <c r="D29" s="1" t="str">
        <f t="shared" si="0"/>
        <v>http://www.ncbi.nlm.nih.gov/pubmed/1486107</v>
      </c>
      <c r="E29" s="22" t="str">
        <f>IF($B29="","",IF(LEN(VLOOKUP($B29,Database!$B$1:$IX$10144,4,FALSE))=0,"",VLOOKUP($B29,Database!$B$1:$IX$10144,4,FALSE)))</f>
        <v>Lauer CJ</v>
      </c>
      <c r="F29" s="22">
        <f>IF($B29="","",IF(LEN(VLOOKUP($B29,Database!$B$1:$IX$10144,5,FALSE))=0,"",VLOOKUP($B29,Database!$B$1:$IX$10144,5,FALSE)))</f>
        <v>1992</v>
      </c>
      <c r="G29" s="1" t="str">
        <f>IF($B29="","",HYPERLINK(IF(LEN(VLOOKUP($B29,Database!$B$1:$IX$10144,6,FALSE))=0,"",VLOOKUP($B29,Database!$B$1:$IX$10144,6,FALSE))))</f>
        <v>http://www.springerlink.com/content/b5pt42j150468506/fulltext.pdf</v>
      </c>
      <c r="H29" s="22">
        <f>IF($B29="","",IF(LEN(VLOOKUP($B29,Database!$B$1:$IX$10144,7,FALSE))=0,"",VLOOKUP($B29,Database!$B$1:$IX$10144,7,FALSE)))</f>
        <v>14</v>
      </c>
      <c r="I29" s="22">
        <f>IF($B29="","",IF(LEN(VLOOKUP($B29,Database!$B$1:$IX$10144,8,FALSE))=0,"",VLOOKUP($B29,Database!$B$1:$IX$10144,8,FALSE)))</f>
        <v>12</v>
      </c>
      <c r="J29" t="s">
        <v>1676</v>
      </c>
      <c r="K29" s="10"/>
      <c r="T29">
        <v>5.3</v>
      </c>
      <c r="U29">
        <v>3.8</v>
      </c>
      <c r="V29">
        <v>3.13</v>
      </c>
      <c r="W29" s="13">
        <v>0.39</v>
      </c>
      <c r="Y29" s="22" t="str">
        <f>IF(OR($B29="",Y$22=""),"",IF(LEN(VLOOKUP($B29,Database!$B$1:$IX$10144,Y$22,FALSE))=0,"",VLOOKUP($B29,Database!$B$1:$IX$10144,Y$22,FALSE)))</f>
        <v>DSM-III-R</v>
      </c>
      <c r="Z29" s="22" t="str">
        <f>IF(OR($B29="",Z$22=""),"",IF(LEN(VLOOKUP($B29,Database!$B$1:$IX$10144,Z$22,FALSE))=0,"",VLOOKUP($B29,Database!$B$1:$IX$10144,Z$22,FALSE)))</f>
        <v>CT</v>
      </c>
      <c r="AA29" s="22" t="str">
        <f>IF(OR($B29="",AA$22=""),"",IF(LEN(VLOOKUP($B29,Database!$B$1:$IX$10144,AA$22,FALSE))=0,"",VLOOKUP($B29,Database!$B$1:$IX$10144,AA$22,FALSE)))</f>
        <v/>
      </c>
      <c r="AB29" s="22">
        <f>IF(OR($B29="",AB$22=""),"",IF(LEN(VLOOKUP($B29,Database!$B$1:$IX$10144,AB$22,FALSE))=0,"",VLOOKUP($B29,Database!$B$1:$IX$10144,AB$22,FALSE)))</f>
        <v>40.700000000000003</v>
      </c>
      <c r="AC29" s="22">
        <f>IF(OR($B29="",AC$22=""),"",IF(LEN(VLOOKUP($B29,Database!$B$1:$IX$10144,AC$22,FALSE))=0,"",VLOOKUP($B29,Database!$B$1:$IX$10144,AC$22,FALSE)))</f>
        <v>11.2</v>
      </c>
      <c r="AD29" s="22">
        <f>IF(OR($B29="",AD$22=""),"",IF(LEN(VLOOKUP($B29,Database!$B$1:$IX$10144,AD$22,FALSE))=0,"",VLOOKUP($B29,Database!$B$1:$IX$10144,AD$22,FALSE)))</f>
        <v>36.4</v>
      </c>
      <c r="AE29" s="22">
        <f>IF(OR($B29="",AE$22=""),"",IF(LEN(VLOOKUP($B29,Database!$B$1:$IX$10144,AE$22,FALSE))=0,"",VLOOKUP($B29,Database!$B$1:$IX$10144,AE$22,FALSE)))</f>
        <v>12.6</v>
      </c>
      <c r="AF29" s="22" t="str">
        <f>IF(OR($B29="",AF$22=""),"",IF(LEN(VLOOKUP($B29,Database!$B$1:$IX$10144,AF$22,FALSE))=0,"",VLOOKUP($B29,Database!$B$1:$IX$10144,AF$22,FALSE)))</f>
        <v>ns</v>
      </c>
      <c r="AG29" s="22">
        <f>IF(OR($B29="",AG$22=""),"",IF(LEN(VLOOKUP($B29,Database!$B$1:$IX$10144,AG$22,FALSE))=0,"",VLOOKUP($B29,Database!$B$1:$IX$10144,AG$22,FALSE)))</f>
        <v>5</v>
      </c>
      <c r="AH29" s="22" t="str">
        <f>IF(OR($B29="",AH$22=""),"",IF(LEN(VLOOKUP($B29,Database!$B$1:$IX$10144,AH$22,FALSE))=0,"",VLOOKUP($B29,Database!$B$1:$IX$10144,AH$22,FALSE)))</f>
        <v/>
      </c>
      <c r="AI29" s="22">
        <f>IF(OR($B29="",AI$22=""),"",IF(LEN(VLOOKUP($B29,Database!$B$1:$IX$10144,AI$22,FALSE))=0,"",VLOOKUP($B29,Database!$B$1:$IX$10144,AI$22,FALSE)))</f>
        <v>10</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Lauer CJ, Wiegand M, Krieg JC.</v>
      </c>
      <c r="AR29" s="163"/>
      <c r="BC29" s="23"/>
      <c r="BF29" s="136"/>
      <c r="BG29" s="136"/>
      <c r="BH29" s="136"/>
      <c r="BI29" s="136"/>
    </row>
    <row r="30" spans="2:65">
      <c r="B30">
        <v>7480387</v>
      </c>
      <c r="C30" s="1" t="str">
        <f>IF($B30="","",HYPERLINK(IF(LEN(VLOOKUP($B30,Database!$B$1:$IX$10144,2,FALSE))=0,"",VLOOKUP($B30,Database!$B$1:$IX$10144,2,FALSE))))</f>
        <v/>
      </c>
      <c r="D30" s="1" t="str">
        <f t="shared" si="0"/>
        <v>http://www.ncbi.nlm.nih.gov/pubmed/7480387</v>
      </c>
      <c r="E30" s="22" t="str">
        <f>IF($B30="","",IF(LEN(VLOOKUP($B30,Database!$B$1:$IX$10144,4,FALSE))=0,"",VLOOKUP($B30,Database!$B$1:$IX$10144,4,FALSE)))</f>
        <v>Wurthmann C</v>
      </c>
      <c r="F30" s="22">
        <f>IF($B30="","",IF(LEN(VLOOKUP($B30,Database!$B$1:$IX$10144,5,FALSE))=0,"",VLOOKUP($B30,Database!$B$1:$IX$10144,5,FALSE)))</f>
        <v>1995</v>
      </c>
      <c r="G30" s="1" t="str">
        <f>IF($B30="","",HYPERLINK(IF(LEN(VLOOKUP($B30,Database!$B$1:$IX$10144,6,FALSE))=0,"",VLOOKUP($B30,Database!$B$1:$IX$10144,6,FALSE))))</f>
        <v>http://dx.doi.org/10.1016/0925-4927(95)02592-L</v>
      </c>
      <c r="H30" s="22">
        <f>IF($B30="","",IF(LEN(VLOOKUP($B30,Database!$B$1:$IX$10144,7,FALSE))=0,"",VLOOKUP($B30,Database!$B$1:$IX$10144,7,FALSE)))</f>
        <v>34</v>
      </c>
      <c r="I30" s="83">
        <v>42</v>
      </c>
      <c r="J30" t="s">
        <v>1067</v>
      </c>
      <c r="T30">
        <v>9.76</v>
      </c>
      <c r="U30">
        <v>3.04</v>
      </c>
      <c r="V30">
        <v>8.18</v>
      </c>
      <c r="W30">
        <v>2.91</v>
      </c>
      <c r="Y30" s="22" t="str">
        <f>IF(OR($B30="",Y$22=""),"",IF(LEN(VLOOKUP($B30,Database!$B$1:$IX$10144,Y$22,FALSE))=0,"",VLOOKUP($B30,Database!$B$1:$IX$10144,Y$22,FALSE)))</f>
        <v>DSM-III-R</v>
      </c>
      <c r="Z30" s="22" t="str">
        <f>IF(OR($B30="",Z$22=""),"",IF(LEN(VLOOKUP($B30,Database!$B$1:$IX$10144,Z$22,FALSE))=0,"",VLOOKUP($B30,Database!$B$1:$IX$10144,Z$22,FALSE)))</f>
        <v>CT</v>
      </c>
      <c r="AA30" s="22" t="str">
        <f>IF(OR($B30="",AA$22=""),"",IF(LEN(VLOOKUP($B30,Database!$B$1:$IX$10144,AA$22,FALSE))=0,"",VLOOKUP($B30,Database!$B$1:$IX$10144,AA$22,FALSE)))</f>
        <v/>
      </c>
      <c r="AB30" s="22">
        <f>IF(OR($B30="",AB$22=""),"",IF(LEN(VLOOKUP($B30,Database!$B$1:$IX$10144,AB$22,FALSE))=0,"",VLOOKUP($B30,Database!$B$1:$IX$10144,AB$22,FALSE)))</f>
        <v>70.7</v>
      </c>
      <c r="AC30" s="22">
        <f>IF(OR($B30="",AC$22=""),"",IF(LEN(VLOOKUP($B30,Database!$B$1:$IX$10144,AC$22,FALSE))=0,"",VLOOKUP($B30,Database!$B$1:$IX$10144,AC$22,FALSE)))</f>
        <v>6.1</v>
      </c>
      <c r="AD30" s="22">
        <f>IF(OR($B30="",AD$22=""),"",IF(LEN(VLOOKUP($B30,Database!$B$1:$IX$10144,AD$22,FALSE))=0,"",VLOOKUP($B30,Database!$B$1:$IX$10144,AD$22,FALSE)))</f>
        <v>70.8</v>
      </c>
      <c r="AE30" s="22">
        <f>IF(OR($B30="",AE$22=""),"",IF(LEN(VLOOKUP($B30,Database!$B$1:$IX$10144,AE$22,FALSE))=0,"",VLOOKUP($B30,Database!$B$1:$IX$10144,AE$22,FALSE)))</f>
        <v>6.8</v>
      </c>
      <c r="AF30" s="22">
        <f>IF(OR($B30="",AF$22=""),"",IF(LEN(VLOOKUP($B30,Database!$B$1:$IX$10144,AF$22,FALSE))=0,"",VLOOKUP($B30,Database!$B$1:$IX$10144,AF$22,FALSE)))</f>
        <v>28</v>
      </c>
      <c r="AG30" s="22">
        <f>IF(OR($B30="",AG$22=""),"",IF(LEN(VLOOKUP($B30,Database!$B$1:$IX$10144,AG$22,FALSE))=0,"",VLOOKUP($B30,Database!$B$1:$IX$10144,AG$22,FALSE)))</f>
        <v>33</v>
      </c>
      <c r="AH30" s="22" t="str">
        <f>IF(OR($B30="",AH$22=""),"",IF(LEN(VLOOKUP($B30,Database!$B$1:$IX$10144,AH$22,FALSE))=0,"",VLOOKUP($B30,Database!$B$1:$IX$10144,AH$22,FALSE)))</f>
        <v/>
      </c>
      <c r="AI30" s="22" t="str">
        <f>IF(OR($B30="",AI$22=""),"",IF(LEN(VLOOKUP($B30,Database!$B$1:$IX$10144,AI$22,FALSE))=0,"",VLOOKUP($B30,Database!$B$1:$IX$10144,AI$22,FALSE)))</f>
        <v>ns</v>
      </c>
      <c r="AJ30" s="22" t="str">
        <f>IF(OR($B30="",AJ$22=""),"",IF(LEN(VLOOKUP($B30,Database!$B$1:$IX$10144,AJ$22,FALSE))=0,"",VLOOKUP($B30,Database!$B$1:$IX$10144,AJ$22,FALSE)))</f>
        <v/>
      </c>
      <c r="AK30" s="22" t="str">
        <f>IF(OR($B30="",AK$22=""),"",IF(LEN(VLOOKUP($B30,Database!$B$1:$IX$10144,AK$22,FALSE))=0,"",VLOOKUP($B30,Database!$B$1:$IX$10144,AK$22,FALSE)))</f>
        <v>ns</v>
      </c>
      <c r="AL30" s="22">
        <f>IF(OR($B30="",AL$22=""),"",IF(LEN(VLOOKUP($B30,Database!$B$1:$IX$10144,AL$22,FALSE))=0,"",VLOOKUP($B30,Database!$B$1:$IX$10144,AL$22,FALSE)))</f>
        <v>20</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Wurthmann C, Bogerts B, Falkai P.</v>
      </c>
      <c r="AR30" s="163"/>
      <c r="BC30" s="23"/>
      <c r="BF30" s="136"/>
      <c r="BG30" s="136"/>
      <c r="BH30" s="136"/>
      <c r="BI30" s="136"/>
    </row>
    <row r="31" spans="2:65">
      <c r="B31">
        <v>8876012</v>
      </c>
      <c r="C31" s="1" t="str">
        <f>IF($B31="","",HYPERLINK(IF(LEN(VLOOKUP($B31,Database!$B$1:$IX$10144,2,FALSE))=0,"",VLOOKUP($B31,Database!$B$1:$IX$10144,2,FALSE))))</f>
        <v/>
      </c>
      <c r="D31" s="1" t="str">
        <f>IF($B31="","",HYPERLINK(CONCATENATE("http://www.ncbi.nlm.nih.gov/pubmed/",B31)))</f>
        <v>http://www.ncbi.nlm.nih.gov/pubmed/8876012</v>
      </c>
      <c r="E31" s="22" t="str">
        <f>IF($B31="","",IF(LEN(VLOOKUP($B31,Database!$B$1:$IX$10144,4,FALSE))=0,"",VLOOKUP($B31,Database!$B$1:$IX$10144,4,FALSE)))</f>
        <v>Elkis H</v>
      </c>
      <c r="F31" s="22">
        <f>IF($B31="","",IF(LEN(VLOOKUP($B31,Database!$B$1:$IX$10144,5,FALSE))=0,"",VLOOKUP($B31,Database!$B$1:$IX$10144,5,FALSE)))</f>
        <v>1996</v>
      </c>
      <c r="G31" s="1" t="str">
        <f>IF($B31="","",HYPERLINK(IF(LEN(VLOOKUP($B31,Database!$B$1:$IX$10144,6,FALSE))=0,"",VLOOKUP($B31,Database!$B$1:$IX$10144,6,FALSE))))</f>
        <v>http://dx.doi.org/10.1016/0925-4927(96)02744-8</v>
      </c>
      <c r="H31" s="83">
        <v>8</v>
      </c>
      <c r="I31" s="83">
        <v>17</v>
      </c>
      <c r="J31" t="s">
        <v>860</v>
      </c>
      <c r="K31" t="s">
        <v>861</v>
      </c>
      <c r="T31">
        <v>5.31</v>
      </c>
      <c r="U31">
        <v>1.64</v>
      </c>
      <c r="V31">
        <v>5.56</v>
      </c>
      <c r="W31">
        <v>2.84</v>
      </c>
      <c r="Y31" s="22" t="str">
        <f>IF(OR($B31="",Y$22=""),"",IF(LEN(VLOOKUP($B31,Database!$B$1:$IX$10144,Y$22,FALSE))=0,"",VLOOKUP($B31,Database!$B$1:$IX$10144,Y$22,FALSE)))</f>
        <v>DSM-III-R</v>
      </c>
      <c r="Z31" s="22" t="str">
        <f>IF(OR($B31="",Z$22=""),"",IF(LEN(VLOOKUP($B31,Database!$B$1:$IX$10144,Z$22,FALSE))=0,"",VLOOKUP($B31,Database!$B$1:$IX$10144,Z$22,FALSE)))</f>
        <v>CT</v>
      </c>
      <c r="AA31" s="22" t="str">
        <f>IF(OR($B31="",AA$22=""),"",IF(LEN(VLOOKUP($B31,Database!$B$1:$IX$10144,AA$22,FALSE))=0,"",VLOOKUP($B31,Database!$B$1:$IX$10144,AA$22,FALSE)))</f>
        <v/>
      </c>
      <c r="AB31" s="22">
        <f>IF(OR($B31="",AB$22=""),"",IF(LEN(VLOOKUP($B31,Database!$B$1:$IX$10144,AB$22,FALSE))=0,"",VLOOKUP($B31,Database!$B$1:$IX$10144,AB$22,FALSE)))</f>
        <v>38.700000000000003</v>
      </c>
      <c r="AC31" s="22">
        <f>IF(OR($B31="",AC$22=""),"",IF(LEN(VLOOKUP($B31,Database!$B$1:$IX$10144,AC$22,FALSE))=0,"",VLOOKUP($B31,Database!$B$1:$IX$10144,AC$22,FALSE)))</f>
        <v>12.8</v>
      </c>
      <c r="AD31" s="22">
        <f>IF(OR($B31="",AD$22=""),"",IF(LEN(VLOOKUP($B31,Database!$B$1:$IX$10144,AD$22,FALSE))=0,"",VLOOKUP($B31,Database!$B$1:$IX$10144,AD$22,FALSE)))</f>
        <v>33.299999999999997</v>
      </c>
      <c r="AE31" s="22">
        <f>IF(OR($B31="",AE$22=""),"",IF(LEN(VLOOKUP($B31,Database!$B$1:$IX$10144,AE$22,FALSE))=0,"",VLOOKUP($B31,Database!$B$1:$IX$10144,AE$22,FALSE)))</f>
        <v>10.4</v>
      </c>
      <c r="AF31" s="214">
        <v>0</v>
      </c>
      <c r="AG31" s="214">
        <v>0</v>
      </c>
      <c r="AH31" s="22" t="str">
        <f>IF(OR($B31="",AH$22=""),"",IF(LEN(VLOOKUP($B31,Database!$B$1:$IX$10144,AH$22,FALSE))=0,"",VLOOKUP($B31,Database!$B$1:$IX$10144,AH$22,FALSE)))</f>
        <v/>
      </c>
      <c r="AI31" s="22">
        <f>IF(OR($B31="",AI$22=""),"",IF(LEN(VLOOKUP($B31,Database!$B$1:$IX$10144,AI$22,FALSE))=0,"",VLOOKUP($B31,Database!$B$1:$IX$10144,AI$22,FALSE)))</f>
        <v>8</v>
      </c>
      <c r="AJ31" s="22" t="str">
        <f>IF(OR($B31="",AJ$22=""),"",IF(LEN(VLOOKUP($B31,Database!$B$1:$IX$10144,AJ$22,FALSE))=0,"",VLOOKUP($B31,Database!$B$1:$IX$10144,AJ$22,FALSE)))</f>
        <v/>
      </c>
      <c r="AK31" s="22">
        <f>IF(OR($B31="",AK$22=""),"",IF(LEN(VLOOKUP($B31,Database!$B$1:$IX$10144,AK$22,FALSE))=0,"",VLOOKUP($B31,Database!$B$1:$IX$10144,AK$22,FALSE)))</f>
        <v>29.7</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Elkis H, Friedman L, Buckley PF, Lee HS, Lys C, Kaufman B, Meltzer HY.</v>
      </c>
      <c r="AR31" s="163"/>
      <c r="AU31" s="13"/>
      <c r="BC31" s="23"/>
      <c r="BF31" s="136"/>
      <c r="BG31" s="136"/>
      <c r="BH31" s="136"/>
      <c r="BI31" s="136"/>
    </row>
    <row r="32" spans="2:65">
      <c r="B32">
        <v>8876012</v>
      </c>
      <c r="C32" s="1" t="str">
        <f>IF($B32="","",HYPERLINK(IF(LEN(VLOOKUP($B32,Database!$B$1:$IX$10144,2,FALSE))=0,"",VLOOKUP($B32,Database!$B$1:$IX$10144,2,FALSE))))</f>
        <v/>
      </c>
      <c r="D32" s="1" t="str">
        <f>IF($B32="","",HYPERLINK(CONCATENATE("http://www.ncbi.nlm.nih.gov/pubmed/",B32)))</f>
        <v>http://www.ncbi.nlm.nih.gov/pubmed/8876012</v>
      </c>
      <c r="E32" s="22" t="str">
        <f>IF($B32="","",IF(LEN(VLOOKUP($B32,Database!$B$1:$IX$10144,4,FALSE))=0,"",VLOOKUP($B32,Database!$B$1:$IX$10144,4,FALSE)))</f>
        <v>Elkis H</v>
      </c>
      <c r="F32" s="22">
        <f>IF($B32="","",IF(LEN(VLOOKUP($B32,Database!$B$1:$IX$10144,5,FALSE))=0,"",VLOOKUP($B32,Database!$B$1:$IX$10144,5,FALSE)))</f>
        <v>1996</v>
      </c>
      <c r="G32" s="1" t="str">
        <f>IF($B32="","",HYPERLINK(IF(LEN(VLOOKUP($B32,Database!$B$1:$IX$10144,6,FALSE))=0,"",VLOOKUP($B32,Database!$B$1:$IX$10144,6,FALSE))))</f>
        <v>http://dx.doi.org/10.1016/0925-4927(96)02744-8</v>
      </c>
      <c r="H32" s="83">
        <v>16</v>
      </c>
      <c r="I32" s="83">
        <v>23</v>
      </c>
      <c r="J32" t="s">
        <v>1828</v>
      </c>
      <c r="K32" t="s">
        <v>862</v>
      </c>
      <c r="T32">
        <v>6.65</v>
      </c>
      <c r="U32">
        <v>1.84</v>
      </c>
      <c r="V32">
        <v>5.52</v>
      </c>
      <c r="W32">
        <v>2.4300000000000002</v>
      </c>
      <c r="Y32" s="22" t="str">
        <f>IF(OR($B32="",Y$22=""),"",IF(LEN(VLOOKUP($B32,Database!$B$1:$IX$10144,Y$22,FALSE))=0,"",VLOOKUP($B32,Database!$B$1:$IX$10144,Y$22,FALSE)))</f>
        <v>DSM-III-R</v>
      </c>
      <c r="Z32" s="22" t="str">
        <f>IF(OR($B32="",Z$22=""),"",IF(LEN(VLOOKUP($B32,Database!$B$1:$IX$10144,Z$22,FALSE))=0,"",VLOOKUP($B32,Database!$B$1:$IX$10144,Z$22,FALSE)))</f>
        <v>CT</v>
      </c>
      <c r="AA32" s="22" t="str">
        <f>IF(OR($B32="",AA$22=""),"",IF(LEN(VLOOKUP($B32,Database!$B$1:$IX$10144,AA$22,FALSE))=0,"",VLOOKUP($B32,Database!$B$1:$IX$10144,AA$22,FALSE)))</f>
        <v/>
      </c>
      <c r="AB32" s="22">
        <f>IF(OR($B32="",AB$22=""),"",IF(LEN(VLOOKUP($B32,Database!$B$1:$IX$10144,AB$22,FALSE))=0,"",VLOOKUP($B32,Database!$B$1:$IX$10144,AB$22,FALSE)))</f>
        <v>38.700000000000003</v>
      </c>
      <c r="AC32" s="22">
        <f>IF(OR($B32="",AC$22=""),"",IF(LEN(VLOOKUP($B32,Database!$B$1:$IX$10144,AC$22,FALSE))=0,"",VLOOKUP($B32,Database!$B$1:$IX$10144,AC$22,FALSE)))</f>
        <v>12.8</v>
      </c>
      <c r="AD32" s="22">
        <f>IF(OR($B32="",AD$22=""),"",IF(LEN(VLOOKUP($B32,Database!$B$1:$IX$10144,AD$22,FALSE))=0,"",VLOOKUP($B32,Database!$B$1:$IX$10144,AD$22,FALSE)))</f>
        <v>33.299999999999997</v>
      </c>
      <c r="AE32" s="22">
        <f>IF(OR($B32="",AE$22=""),"",IF(LEN(VLOOKUP($B32,Database!$B$1:$IX$10144,AE$22,FALSE))=0,"",VLOOKUP($B32,Database!$B$1:$IX$10144,AE$22,FALSE)))</f>
        <v>10.4</v>
      </c>
      <c r="AF32" s="22">
        <f>IF(OR($B32="",AF$22=""),"",IF(LEN(VLOOKUP($B32,Database!$B$1:$IX$10144,AF$22,FALSE))=0,"",VLOOKUP($B32,Database!$B$1:$IX$10144,AF$22,FALSE)))</f>
        <v>16</v>
      </c>
      <c r="AG32" s="22">
        <f>IF(OR($B32="",AG$22=""),"",IF(LEN(VLOOKUP($B32,Database!$B$1:$IX$10144,AG$22,FALSE))=0,"",VLOOKUP($B32,Database!$B$1:$IX$10144,AG$22,FALSE)))</f>
        <v>23</v>
      </c>
      <c r="AH32" s="22" t="str">
        <f>IF(OR($B32="",AH$22=""),"",IF(LEN(VLOOKUP($B32,Database!$B$1:$IX$10144,AH$22,FALSE))=0,"",VLOOKUP($B32,Database!$B$1:$IX$10144,AH$22,FALSE)))</f>
        <v/>
      </c>
      <c r="AI32" s="22">
        <f>IF(OR($B32="",AI$22=""),"",IF(LEN(VLOOKUP($B32,Database!$B$1:$IX$10144,AI$22,FALSE))=0,"",VLOOKUP($B32,Database!$B$1:$IX$10144,AI$22,FALSE)))</f>
        <v>8</v>
      </c>
      <c r="AJ32" s="22" t="str">
        <f>IF(OR($B32="",AJ$22=""),"",IF(LEN(VLOOKUP($B32,Database!$B$1:$IX$10144,AJ$22,FALSE))=0,"",VLOOKUP($B32,Database!$B$1:$IX$10144,AJ$22,FALSE)))</f>
        <v/>
      </c>
      <c r="AK32" s="22">
        <f>IF(OR($B32="",AK$22=""),"",IF(LEN(VLOOKUP($B32,Database!$B$1:$IX$10144,AK$22,FALSE))=0,"",VLOOKUP($B32,Database!$B$1:$IX$10144,AK$22,FALSE)))</f>
        <v>29.7</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Elkis H, Friedman L, Buckley PF, Lee HS, Lys C, Kaufman B, Meltzer HY.</v>
      </c>
      <c r="AR32" s="163"/>
      <c r="AU32" s="13"/>
      <c r="BC32" s="23"/>
      <c r="BF32" s="136"/>
      <c r="BG32" s="136"/>
      <c r="BH32" s="136"/>
      <c r="BI32" s="136"/>
    </row>
    <row r="33" spans="1:61">
      <c r="B33">
        <v>8886297</v>
      </c>
      <c r="C33" s="1" t="str">
        <f>IF($B33="","",HYPERLINK(IF(LEN(VLOOKUP($B33,Database!$B$1:$IX$10144,2,FALSE))=0,"",VLOOKUP($B33,Database!$B$1:$IX$10144,2,FALSE))))</f>
        <v/>
      </c>
      <c r="D33" s="1" t="str">
        <f t="shared" si="0"/>
        <v>http://www.ncbi.nlm.nih.gov/pubmed/8886297</v>
      </c>
      <c r="E33" s="22" t="str">
        <f>IF($B33="","",IF(LEN(VLOOKUP($B33,Database!$B$1:$IX$10144,4,FALSE))=0,"",VLOOKUP($B33,Database!$B$1:$IX$10144,4,FALSE)))</f>
        <v>Marchesi C</v>
      </c>
      <c r="F33" s="22">
        <f>IF($B33="","",IF(LEN(VLOOKUP($B33,Database!$B$1:$IX$10144,5,FALSE))=0,"",VLOOKUP($B33,Database!$B$1:$IX$10144,5,FALSE)))</f>
        <v>1996</v>
      </c>
      <c r="G33" s="1" t="str">
        <f>IF($B33="","",HYPERLINK(IF(LEN(VLOOKUP($B33,Database!$B$1:$IX$10144,6,FALSE))=0,"",VLOOKUP($B33,Database!$B$1:$IX$10144,6,FALSE))))</f>
        <v>http://dx.doi.org/10.1016/0006-3223(95)00477-7</v>
      </c>
      <c r="H33" s="22">
        <f>IF($B33="","",IF(LEN(VLOOKUP($B33,Database!$B$1:$IX$10144,7,FALSE))=0,"",VLOOKUP($B33,Database!$B$1:$IX$10144,7,FALSE)))</f>
        <v>11</v>
      </c>
      <c r="I33" s="22">
        <f>IF($B33="","",IF(LEN(VLOOKUP($B33,Database!$B$1:$IX$10144,8,FALSE))=0,"",VLOOKUP($B33,Database!$B$1:$IX$10144,8,FALSE)))</f>
        <v>11</v>
      </c>
      <c r="J33" t="s">
        <v>1828</v>
      </c>
      <c r="T33">
        <v>11.1</v>
      </c>
      <c r="U33">
        <v>1.6</v>
      </c>
      <c r="V33">
        <v>8.6999999999999993</v>
      </c>
      <c r="W33">
        <v>1.8</v>
      </c>
      <c r="Y33" s="22" t="str">
        <f>IF(OR($B33="",Y$22=""),"",IF(LEN(VLOOKUP($B33,Database!$B$1:$IX$10144,Y$22,FALSE))=0,"",VLOOKUP($B33,Database!$B$1:$IX$10144,Y$22,FALSE)))</f>
        <v>DSM-III-R</v>
      </c>
      <c r="Z33" s="22" t="str">
        <f>IF(OR($B33="",Z$22=""),"",IF(LEN(VLOOKUP($B33,Database!$B$1:$IX$10144,Z$22,FALSE))=0,"",VLOOKUP($B33,Database!$B$1:$IX$10144,Z$22,FALSE)))</f>
        <v>CT</v>
      </c>
      <c r="AA33" s="22" t="str">
        <f>IF(OR($B33="",AA$22=""),"",IF(LEN(VLOOKUP($B33,Database!$B$1:$IX$10144,AA$22,FALSE))=0,"",VLOOKUP($B33,Database!$B$1:$IX$10144,AA$22,FALSE)))</f>
        <v/>
      </c>
      <c r="AB33" s="22">
        <f>IF(OR($B33="",AB$22=""),"",IF(LEN(VLOOKUP($B33,Database!$B$1:$IX$10144,AB$22,FALSE))=0,"",VLOOKUP($B33,Database!$B$1:$IX$10144,AB$22,FALSE)))</f>
        <v>64.8</v>
      </c>
      <c r="AC33" s="22">
        <f>IF(OR($B33="",AC$22=""),"",IF(LEN(VLOOKUP($B33,Database!$B$1:$IX$10144,AC$22,FALSE))=0,"",VLOOKUP($B33,Database!$B$1:$IX$10144,AC$22,FALSE)))</f>
        <v>7.3</v>
      </c>
      <c r="AD33" s="22">
        <f>IF(OR($B33="",AD$22=""),"",IF(LEN(VLOOKUP($B33,Database!$B$1:$IX$10144,AD$22,FALSE))=0,"",VLOOKUP($B33,Database!$B$1:$IX$10144,AD$22,FALSE)))</f>
        <v>66.5</v>
      </c>
      <c r="AE33" s="22">
        <f>IF(OR($B33="",AE$22=""),"",IF(LEN(VLOOKUP($B33,Database!$B$1:$IX$10144,AE$22,FALSE))=0,"",VLOOKUP($B33,Database!$B$1:$IX$10144,AE$22,FALSE)))</f>
        <v>4.3</v>
      </c>
      <c r="AF33" s="22">
        <f>IF(OR($B33="",AF$22=""),"",IF(LEN(VLOOKUP($B33,Database!$B$1:$IX$10144,AF$22,FALSE))=0,"",VLOOKUP($B33,Database!$B$1:$IX$10144,AF$22,FALSE)))</f>
        <v>0</v>
      </c>
      <c r="AG33" s="22">
        <f>IF(OR($B33="",AG$22=""),"",IF(LEN(VLOOKUP($B33,Database!$B$1:$IX$10144,AG$22,FALSE))=0,"",VLOOKUP($B33,Database!$B$1:$IX$10144,AG$22,FALSE)))</f>
        <v>0</v>
      </c>
      <c r="AH33" s="22" t="str">
        <f>IF(OR($B33="",AH$22=""),"",IF(LEN(VLOOKUP($B33,Database!$B$1:$IX$10144,AH$22,FALSE))=0,"",VLOOKUP($B33,Database!$B$1:$IX$10144,AH$22,FALSE)))</f>
        <v/>
      </c>
      <c r="AI33" s="22" t="str">
        <f>IF(OR($B33="",AI$22=""),"",IF(LEN(VLOOKUP($B33,Database!$B$1:$IX$10144,AI$22,FALSE))=0,"",VLOOKUP($B33,Database!$B$1:$IX$10144,AI$22,FALSE)))</f>
        <v>ns</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f>IF(OR($B33="",AM$22=""),"",IF(LEN(VLOOKUP($B33,Database!$B$1:$IX$10144,AM$22,FALSE))=0,"",VLOOKUP($B33,Database!$B$1:$IX$10144,AM$22,FALSE)))</f>
        <v>0</v>
      </c>
      <c r="AN33" s="22" t="str">
        <f>IF(OR($B33="",AN$22=""),"",IF(LEN(VLOOKUP($B33,Database!$B$1:$IX$10144,AN$22,FALSE))=0,"",VLOOKUP($B33,Database!$B$1:$IX$10144,AN$22,FALSE)))</f>
        <v>ns</v>
      </c>
      <c r="AO33" s="22">
        <f>IF(OR($B33="",AO$22=""),"",IF(LEN(VLOOKUP($B33,Database!$B$1:$IX$10144,AO$22,FALSE))=0,"",VLOOKUP($B33,Database!$B$1:$IX$10144,AO$22,FALSE)))</f>
        <v>0</v>
      </c>
      <c r="AP33" s="22" t="str">
        <f>IF(OR($B33="",AP$22=""),"",IF(LEN(VLOOKUP($B33,Database!$B$1:$IX$10144,AP$22,FALSE))=0,"",VLOOKUP($B33,Database!$B$1:$IX$10144,AP$22,FALSE)))</f>
        <v>ns</v>
      </c>
      <c r="AQ33" s="22" t="str">
        <f>IF(OR($B33="",AQ$22=""),"",IF(LEN(VLOOKUP($B33,Database!$B$1:$IX$10144,AQ$22,FALSE))=0,"",VLOOKUP($B33,Database!$B$1:$IX$10144,AQ$22,FALSE)))</f>
        <v>Marchesi C, Silvestrini C, Ponari O, Volpi R, Chiodera P, Coiro V.</v>
      </c>
      <c r="AR33" s="163"/>
      <c r="BC33" s="23"/>
      <c r="BF33" s="136"/>
      <c r="BG33" s="136"/>
      <c r="BH33" s="136"/>
      <c r="BI33" s="136"/>
    </row>
    <row r="34" spans="1:61">
      <c r="A34" s="4" t="s">
        <v>1510</v>
      </c>
      <c r="C34" s="1" t="str">
        <f>IF($B34="","",HYPERLINK(IF(LEN(VLOOKUP($B34,Database!$B$1:$IX$10144,2,FALSE))=0,"",VLOOKUP($B34,Database!$B$1:$IX$10144,2,FALSE))))</f>
        <v/>
      </c>
      <c r="D34" s="1" t="str">
        <f t="shared" si="0"/>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Y34" s="22" t="str">
        <f>IF(OR($B34="",Y$22=""),"",IF(LEN(VLOOKUP($B34,Database!$B$1:$IX$10144,Y$22,FALSE))=0,"",VLOOKUP($B34,Database!$B$1:$IX$10144,Y$22,FALSE)))</f>
        <v/>
      </c>
      <c r="Z34" s="22" t="str">
        <f>IF(OR($B34="",Z$22=""),"",IF(LEN(VLOOKUP($B34,Database!$B$1:$IX$10144,Z$22,FALSE))=0,"",VLOOKUP($B34,Database!$B$1:$IX$10144,Z$22,FALSE)))</f>
        <v/>
      </c>
      <c r="AA34" s="22" t="str">
        <f>IF(OR($B34="",AA$22=""),"",IF(LEN(VLOOKUP($B34,Database!$B$1:$IX$10144,AA$22,FALSE))=0,"",VLOOKUP($B34,Database!$B$1:$IX$10144,AA$22,FALSE)))</f>
        <v/>
      </c>
      <c r="AB34" s="22" t="str">
        <f>IF(OR($B34="",AB$22=""),"",IF(LEN(VLOOKUP($B34,Database!$B$1:$IX$10144,AB$22,FALSE))=0,"",VLOOKUP($B34,Database!$B$1:$IX$10144,AB$22,FALSE)))</f>
        <v/>
      </c>
      <c r="AC34" s="22" t="str">
        <f>IF(OR($B34="",AC$22=""),"",IF(LEN(VLOOKUP($B34,Database!$B$1:$IX$10144,AC$22,FALSE))=0,"",VLOOKUP($B34,Database!$B$1:$IX$10144,AC$22,FALSE)))</f>
        <v/>
      </c>
      <c r="AD34" s="22" t="str">
        <f>IF(OR($B34="",AD$22=""),"",IF(LEN(VLOOKUP($B34,Database!$B$1:$IX$10144,AD$22,FALSE))=0,"",VLOOKUP($B34,Database!$B$1:$IX$10144,AD$22,FALSE)))</f>
        <v/>
      </c>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t="str">
        <f>IF(OR($B34="",AO$22=""),"",IF(LEN(VLOOKUP($B34,Database!$B$1:$IX$10144,AO$22,FALSE))=0,"",VLOOKUP($B34,Database!$B$1:$IX$10144,AO$22,FALSE)))</f>
        <v/>
      </c>
      <c r="AP34" s="22" t="str">
        <f>IF(OR($B34="",AP$22=""),"",IF(LEN(VLOOKUP($B34,Database!$B$1:$IX$10144,AP$22,FALSE))=0,"",VLOOKUP($B34,Database!$B$1:$IX$10144,AP$22,FALSE)))</f>
        <v/>
      </c>
      <c r="AQ34" s="22" t="str">
        <f>IF(OR($B34="",AQ$22=""),"",IF(LEN(VLOOKUP($B34,Database!$B$1:$IX$10144,AQ$22,FALSE))=0,"",VLOOKUP($B34,Database!$B$1:$IX$10144,AQ$22,FALSE)))</f>
        <v/>
      </c>
    </row>
    <row r="35" spans="1:61">
      <c r="A35" s="10" t="s">
        <v>1675</v>
      </c>
      <c r="B35">
        <v>1827478</v>
      </c>
      <c r="C35" s="1" t="str">
        <f>IF($B35="","",HYPERLINK(IF(LEN(VLOOKUP($B35,Database!$B$1:$IX$10144,2,FALSE))=0,"",VLOOKUP($B35,Database!$B$1:$IX$10144,2,FALSE))))</f>
        <v/>
      </c>
      <c r="D35" s="1" t="str">
        <f>IF($B35="","",HYPERLINK(CONCATENATE("http://www.ncbi.nlm.nih.gov/pubmed/",B35)))</f>
        <v>http://www.ncbi.nlm.nih.gov/pubmed/1827478</v>
      </c>
      <c r="E35" s="22" t="str">
        <f>IF($B35="","",IF(LEN(VLOOKUP($B35,Database!$B$1:$IX$10144,4,FALSE))=0,"",VLOOKUP($B35,Database!$B$1:$IX$10144,4,FALSE)))</f>
        <v>Van den Bossche B</v>
      </c>
      <c r="F35" s="22">
        <f>IF($B35="","",IF(LEN(VLOOKUP($B35,Database!$B$1:$IX$10144,5,FALSE))=0,"",VLOOKUP($B35,Database!$B$1:$IX$10144,5,FALSE)))</f>
        <v>1991</v>
      </c>
      <c r="G35" s="1" t="str">
        <f>IF($B35="","",HYPERLINK(IF(LEN(VLOOKUP($B35,Database!$B$1:$IX$10144,6,FALSE))=0,"",VLOOKUP($B35,Database!$B$1:$IX$10144,6,FALSE))))</f>
        <v>http://dx.doi.org/10.1016/0165-0327(91)90020-S</v>
      </c>
      <c r="H35" s="22">
        <f>IF($B35="","",IF(LEN(VLOOKUP($B35,Database!$B$1:$IX$10144,7,FALSE))=0,"",VLOOKUP($B35,Database!$B$1:$IX$10144,7,FALSE)))</f>
        <v>22</v>
      </c>
      <c r="I35" s="22">
        <f>IF($B35="","",IF(LEN(VLOOKUP($B35,Database!$B$1:$IX$10144,8,FALSE))=0,"",VLOOKUP($B35,Database!$B$1:$IX$10144,8,FALSE)))</f>
        <v>10</v>
      </c>
      <c r="Y35" s="22" t="str">
        <f>IF(OR($B35="",Y$22=""),"",IF(LEN(VLOOKUP($B35,Database!$B$1:$IX$10144,Y$22,FALSE))=0,"",VLOOKUP($B35,Database!$B$1:$IX$10144,Y$22,FALSE)))</f>
        <v>DSM-III-R</v>
      </c>
      <c r="Z35" s="22" t="str">
        <f>IF(OR($B35="",Z$22=""),"",IF(LEN(VLOOKUP($B35,Database!$B$1:$IX$10144,Z$22,FALSE))=0,"",VLOOKUP($B35,Database!$B$1:$IX$10144,Z$22,FALSE)))</f>
        <v>CT</v>
      </c>
      <c r="AA35" s="22" t="str">
        <f>IF(OR($B35="",AA$22=""),"",IF(LEN(VLOOKUP($B35,Database!$B$1:$IX$10144,AA$22,FALSE))=0,"",VLOOKUP($B35,Database!$B$1:$IX$10144,AA$22,FALSE)))</f>
        <v/>
      </c>
      <c r="AB35" s="22">
        <f>IF(OR($B35="",AB$22=""),"",IF(LEN(VLOOKUP($B35,Database!$B$1:$IX$10144,AB$22,FALSE))=0,"",VLOOKUP($B35,Database!$B$1:$IX$10144,AB$22,FALSE)))</f>
        <v>51.2</v>
      </c>
      <c r="AC35" s="22">
        <f>IF(OR($B35="",AC$22=""),"",IF(LEN(VLOOKUP($B35,Database!$B$1:$IX$10144,AC$22,FALSE))=0,"",VLOOKUP($B35,Database!$B$1:$IX$10144,AC$22,FALSE)))</f>
        <v>13.9</v>
      </c>
      <c r="AD35" s="22">
        <f>IF(OR($B35="",AD$22=""),"",IF(LEN(VLOOKUP($B35,Database!$B$1:$IX$10144,AD$22,FALSE))=0,"",VLOOKUP($B35,Database!$B$1:$IX$10144,AD$22,FALSE)))</f>
        <v>49.1</v>
      </c>
      <c r="AE35" s="22">
        <f>IF(OR($B35="",AE$22=""),"",IF(LEN(VLOOKUP($B35,Database!$B$1:$IX$10144,AE$22,FALSE))=0,"",VLOOKUP($B35,Database!$B$1:$IX$10144,AE$22,FALSE)))</f>
        <v>15.7</v>
      </c>
      <c r="AF35" s="22">
        <f>IF(OR($B35="",AF$22=""),"",IF(LEN(VLOOKUP($B35,Database!$B$1:$IX$10144,AF$22,FALSE))=0,"",VLOOKUP($B35,Database!$B$1:$IX$10144,AF$22,FALSE)))</f>
        <v>16</v>
      </c>
      <c r="AG35" s="22">
        <f>IF(OR($B35="",AG$22=""),"",IF(LEN(VLOOKUP($B35,Database!$B$1:$IX$10144,AG$22,FALSE))=0,"",VLOOKUP($B35,Database!$B$1:$IX$10144,AG$22,FALSE)))</f>
        <v>6</v>
      </c>
      <c r="AH35" s="22" t="str">
        <f>IF(OR($B35="",AH$22=""),"",IF(LEN(VLOOKUP($B35,Database!$B$1:$IX$10144,AH$22,FALSE))=0,"",VLOOKUP($B35,Database!$B$1:$IX$10144,AH$22,FALSE)))</f>
        <v/>
      </c>
      <c r="AI35" s="22">
        <f>IF(OR($B35="",AI$22=""),"",IF(LEN(VLOOKUP($B35,Database!$B$1:$IX$10144,AI$22,FALSE))=0,"",VLOOKUP($B35,Database!$B$1:$IX$10144,AI$22,FALSE)))</f>
        <v>10</v>
      </c>
      <c r="AJ35" s="22" t="str">
        <f>IF(OR($B35="",AJ$22=""),"",IF(LEN(VLOOKUP($B35,Database!$B$1:$IX$10144,AJ$22,FALSE))=0,"",VLOOKUP($B35,Database!$B$1:$IX$10144,AJ$22,FALSE)))</f>
        <v/>
      </c>
      <c r="AK35" s="22" t="str">
        <f>IF(OR($B35="",AK$22=""),"",IF(LEN(VLOOKUP($B35,Database!$B$1:$IX$10144,AK$22,FALSE))=0,"",VLOOKUP($B35,Database!$B$1:$IX$10144,AK$22,FALSE)))</f>
        <v>ns</v>
      </c>
      <c r="AL35" s="22">
        <f>IF(OR($B35="",AL$22=""),"",IF(LEN(VLOOKUP($B35,Database!$B$1:$IX$10144,AL$22,FALSE))=0,"",VLOOKUP($B35,Database!$B$1:$IX$10144,AL$22,FALSE)))</f>
        <v>24.4</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t="str">
        <f>IF(OR($B35="",AP$22=""),"",IF(LEN(VLOOKUP($B35,Database!$B$1:$IX$10144,AP$22,FALSE))=0,"",VLOOKUP($B35,Database!$B$1:$IX$10144,AP$22,FALSE)))</f>
        <v>ns</v>
      </c>
      <c r="AQ35" s="22" t="str">
        <f>IF(OR($B35="",AQ$22=""),"",IF(LEN(VLOOKUP($B35,Database!$B$1:$IX$10144,AQ$22,FALSE))=0,"",VLOOKUP($B35,Database!$B$1:$IX$10144,AQ$22,FALSE)))</f>
        <v>Van den Bossche B, Maes M, Brussaard C, Schotte C, Cosyns P, De Moor J, De Schepper A.</v>
      </c>
    </row>
    <row r="36" spans="1:61">
      <c r="A36" s="10" t="s">
        <v>726</v>
      </c>
      <c r="B36">
        <v>1319168</v>
      </c>
      <c r="C36" s="1" t="str">
        <f>IF($B36="","",HYPERLINK(IF(LEN(VLOOKUP($B36,Database!$B$1:$IX$10144,2,FALSE))=0,"",VLOOKUP($B36,Database!$B$1:$IX$10144,2,FALSE))))</f>
        <v/>
      </c>
      <c r="D36" s="1" t="str">
        <f>IF($B36="","",HYPERLINK(CONCATENATE("http://www.ncbi.nlm.nih.gov/pubmed/",B36)))</f>
        <v>http://www.ncbi.nlm.nih.gov/pubmed/1319168</v>
      </c>
      <c r="E36" s="22" t="str">
        <f>IF($B36="","",IF(LEN(VLOOKUP($B36,Database!$B$1:$IX$10144,4,FALSE))=0,"",VLOOKUP($B36,Database!$B$1:$IX$10144,4,FALSE)))</f>
        <v>Risch SC</v>
      </c>
      <c r="F36" s="22">
        <f>IF($B36="","",IF(LEN(VLOOKUP($B36,Database!$B$1:$IX$10144,5,FALSE))=0,"",VLOOKUP($B36,Database!$B$1:$IX$10144,5,FALSE)))</f>
        <v>1992</v>
      </c>
      <c r="G36" s="1" t="str">
        <f>IF($B36="","",HYPERLINK(IF(LEN(VLOOKUP($B36,Database!$B$1:$IX$10144,6,FALSE))=0,"",VLOOKUP($B36,Database!$B$1:$IX$10144,6,FALSE))))</f>
        <v>Not available on internet</v>
      </c>
      <c r="H36" s="22">
        <f>IF($B36="","",IF(LEN(VLOOKUP($B36,Database!$B$1:$IX$10144,7,FALSE))=0,"",VLOOKUP($B36,Database!$B$1:$IX$10144,7,FALSE)))</f>
        <v>12</v>
      </c>
      <c r="I36" s="22">
        <f>IF($B36="","",IF(LEN(VLOOKUP($B36,Database!$B$1:$IX$10144,8,FALSE))=0,"",VLOOKUP($B36,Database!$B$1:$IX$10144,8,FALSE)))</f>
        <v>68</v>
      </c>
      <c r="Y36" s="22" t="str">
        <f>IF(OR($B36="",Y$22=""),"",IF(LEN(VLOOKUP($B36,Database!$B$1:$IX$10144,Y$22,FALSE))=0,"",VLOOKUP($B36,Database!$B$1:$IX$10144,Y$22,FALSE)))</f>
        <v>RDC</v>
      </c>
      <c r="Z36" s="22" t="str">
        <f>IF(OR($B36="",Z$22=""),"",IF(LEN(VLOOKUP($B36,Database!$B$1:$IX$10144,Z$22,FALSE))=0,"",VLOOKUP($B36,Database!$B$1:$IX$10144,Z$22,FALSE)))</f>
        <v>MRI</v>
      </c>
      <c r="AA36" s="22" t="str">
        <f>IF(OR($B36="",AA$22=""),"",IF(LEN(VLOOKUP($B36,Database!$B$1:$IX$10144,AA$22,FALSE))=0,"",VLOOKUP($B36,Database!$B$1:$IX$10144,AA$22,FALSE)))</f>
        <v/>
      </c>
      <c r="AB36" s="22" t="str">
        <f>IF(OR($B36="",AB$22=""),"",IF(LEN(VLOOKUP($B36,Database!$B$1:$IX$10144,AB$22,FALSE))=0,"",VLOOKUP($B36,Database!$B$1:$IX$10144,AB$22,FALSE)))</f>
        <v/>
      </c>
      <c r="AC36" s="22" t="str">
        <f>IF(OR($B36="",AC$22=""),"",IF(LEN(VLOOKUP($B36,Database!$B$1:$IX$10144,AC$22,FALSE))=0,"",VLOOKUP($B36,Database!$B$1:$IX$10144,AC$22,FALSE)))</f>
        <v/>
      </c>
      <c r="AD36" s="22" t="str">
        <f>IF(OR($B36="",AD$22=""),"",IF(LEN(VLOOKUP($B36,Database!$B$1:$IX$10144,AD$22,FALSE))=0,"",VLOOKUP($B36,Database!$B$1:$IX$10144,AD$22,FALSE)))</f>
        <v/>
      </c>
      <c r="AE36" s="22" t="str">
        <f>IF(OR($B36="",AE$22=""),"",IF(LEN(VLOOKUP($B36,Database!$B$1:$IX$10144,AE$22,FALSE))=0,"",VLOOKUP($B36,Database!$B$1:$IX$10144,AE$22,FALSE)))</f>
        <v/>
      </c>
      <c r="AF36" s="22" t="str">
        <f>IF(OR($B36="",AF$22=""),"",IF(LEN(VLOOKUP($B36,Database!$B$1:$IX$10144,AF$22,FALSE))=0,"",VLOOKUP($B36,Database!$B$1:$IX$10144,AF$22,FALSE)))</f>
        <v/>
      </c>
      <c r="AG36" s="22" t="str">
        <f>IF(OR($B36="",AG$22=""),"",IF(LEN(VLOOKUP($B36,Database!$B$1:$IX$10144,AG$22,FALSE))=0,"",VLOOKUP($B36,Database!$B$1:$IX$10144,AG$22,FALSE)))</f>
        <v/>
      </c>
      <c r="AH36" s="22">
        <f>IF(OR($B36="",AH$22=""),"",IF(LEN(VLOOKUP($B36,Database!$B$1:$IX$10144,AH$22,FALSE))=0,"",VLOOKUP($B36,Database!$B$1:$IX$10144,AH$22,FALSE)))</f>
        <v>1.5</v>
      </c>
      <c r="AI36" s="22">
        <f>IF(OR($B36="",AI$22=""),"",IF(LEN(VLOOKUP($B36,Database!$B$1:$IX$10144,AI$22,FALSE))=0,"",VLOOKUP($B36,Database!$B$1:$IX$10144,AI$22,FALSE)))</f>
        <v>8</v>
      </c>
      <c r="AJ36" s="22" t="str">
        <f>IF(OR($B36="",AJ$22=""),"",IF(LEN(VLOOKUP($B36,Database!$B$1:$IX$10144,AJ$22,FALSE))=0,"",VLOOKUP($B36,Database!$B$1:$IX$10144,AJ$22,FALSE)))</f>
        <v/>
      </c>
      <c r="AK36" s="22" t="str">
        <f>IF(OR($B36="",AK$22=""),"",IF(LEN(VLOOKUP($B36,Database!$B$1:$IX$10144,AK$22,FALSE))=0,"",VLOOKUP($B36,Database!$B$1:$IX$10144,AK$22,FALSE)))</f>
        <v>ns</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Risch SC, Lewine RJ, Kalin NH, Jewart RD, Risby ED, Caudle JM, Stipetic M, Turner J, Eccard MB, Pollard WE.</v>
      </c>
    </row>
    <row r="37" spans="1:61">
      <c r="A37" s="10" t="s">
        <v>1372</v>
      </c>
      <c r="B37">
        <v>8080344</v>
      </c>
      <c r="C37" s="1" t="str">
        <f>IF($B37="","",HYPERLINK(IF(LEN(VLOOKUP($B37,Database!$B$1:$IX$10144,2,FALSE))=0,"",VLOOKUP($B37,Database!$B$1:$IX$10144,2,FALSE))))</f>
        <v/>
      </c>
      <c r="D37" s="1" t="str">
        <f>IF($B37="","",HYPERLINK(CONCATENATE("http://www.ncbi.nlm.nih.gov/pubmed/",B37)))</f>
        <v>http://www.ncbi.nlm.nih.gov/pubmed/8080344</v>
      </c>
      <c r="E37" s="22" t="str">
        <f>IF($B37="","",IF(LEN(VLOOKUP($B37,Database!$B$1:$IX$10144,4,FALSE))=0,"",VLOOKUP($B37,Database!$B$1:$IX$10144,4,FALSE)))</f>
        <v>Lesser IM</v>
      </c>
      <c r="F37" s="22">
        <f>IF($B37="","",IF(LEN(VLOOKUP($B37,Database!$B$1:$IX$10144,5,FALSE))=0,"",VLOOKUP($B37,Database!$B$1:$IX$10144,5,FALSE)))</f>
        <v>1994</v>
      </c>
      <c r="G37" s="1" t="str">
        <f>IF($B37="","",HYPERLINK(IF(LEN(VLOOKUP($B37,Database!$B$1:$IX$10144,6,FALSE))=0,"",VLOOKUP($B37,Database!$B$1:$IX$10144,6,FALSE))))</f>
        <v>http://archpsyc.ama-assn.org/cgi/reprint/51/9/677</v>
      </c>
      <c r="H37" s="22">
        <f>IF($B37="","",IF(LEN(VLOOKUP($B37,Database!$B$1:$IX$10144,7,FALSE))=0,"",VLOOKUP($B37,Database!$B$1:$IX$10144,7,FALSE)))</f>
        <v>39</v>
      </c>
      <c r="I37" s="22">
        <f>IF($B37="","",IF(LEN(VLOOKUP($B37,Database!$B$1:$IX$10144,8,FALSE))=0,"",VLOOKUP($B37,Database!$B$1:$IX$10144,8,FALSE)))</f>
        <v>20</v>
      </c>
      <c r="Y37" s="22" t="str">
        <f>IF(OR($B37="",Y$22=""),"",IF(LEN(VLOOKUP($B37,Database!$B$1:$IX$10144,Y$22,FALSE))=0,"",VLOOKUP($B37,Database!$B$1:$IX$10144,Y$22,FALSE)))</f>
        <v>DSM-III-R</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60.9</v>
      </c>
      <c r="AC37" s="22">
        <f>IF(OR($B37="",AC$22=""),"",IF(LEN(VLOOKUP($B37,Database!$B$1:$IX$10144,AC$22,FALSE))=0,"",VLOOKUP($B37,Database!$B$1:$IX$10144,AC$22,FALSE)))</f>
        <v>8.1</v>
      </c>
      <c r="AD37" s="22">
        <f>IF(OR($B37="",AD$22=""),"",IF(LEN(VLOOKUP($B37,Database!$B$1:$IX$10144,AD$22,FALSE))=0,"",VLOOKUP($B37,Database!$B$1:$IX$10144,AD$22,FALSE)))</f>
        <v>69.099999999999994</v>
      </c>
      <c r="AE37" s="22">
        <f>IF(OR($B37="",AE$22=""),"",IF(LEN(VLOOKUP($B37,Database!$B$1:$IX$10144,AE$22,FALSE))=0,"",VLOOKUP($B37,Database!$B$1:$IX$10144,AE$22,FALSE)))</f>
        <v>6.5</v>
      </c>
      <c r="AF37" s="22">
        <f>IF(OR($B37="",AF$22=""),"",IF(LEN(VLOOKUP($B37,Database!$B$1:$IX$10144,AF$22,FALSE))=0,"",VLOOKUP($B37,Database!$B$1:$IX$10144,AF$22,FALSE)))</f>
        <v>17</v>
      </c>
      <c r="AG37" s="22">
        <f>IF(OR($B37="",AG$22=""),"",IF(LEN(VLOOKUP($B37,Database!$B$1:$IX$10144,AG$22,FALSE))=0,"",VLOOKUP($B37,Database!$B$1:$IX$10144,AG$22,FALSE)))</f>
        <v>12</v>
      </c>
      <c r="AH37" s="22">
        <f>IF(OR($B37="",AH$22=""),"",IF(LEN(VLOOKUP($B37,Database!$B$1:$IX$10144,AH$22,FALSE))=0,"",VLOOKUP($B37,Database!$B$1:$IX$10144,AH$22,FALSE)))</f>
        <v>1.5</v>
      </c>
      <c r="AI37" s="22">
        <f>IF(OR($B37="",AI$22=""),"",IF(LEN(VLOOKUP($B37,Database!$B$1:$IX$10144,AI$22,FALSE))=0,"",VLOOKUP($B37,Database!$B$1:$IX$10144,AI$22,FALSE)))</f>
        <v>10</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split into male and female</v>
      </c>
      <c r="AM37" s="22">
        <f>IF(OR($B37="",AM$22=""),"",IF(LEN(VLOOKUP($B37,Database!$B$1:$IX$10144,AM$22,FALSE))=0,"",VLOOKUP($B37,Database!$B$1:$IX$10144,AM$22,FALSE)))</f>
        <v>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100</v>
      </c>
      <c r="AQ37" s="22" t="str">
        <f>IF(OR($B37="",AQ$22=""),"",IF(LEN(VLOOKUP($B37,Database!$B$1:$IX$10144,AQ$22,FALSE))=0,"",VLOOKUP($B37,Database!$B$1:$IX$10144,AQ$22,FALSE)))</f>
        <v>Lesser IM, Mena I, Boone KB, Miller BL, Mehringer CM, Wohl M.</v>
      </c>
    </row>
    <row r="38" spans="1:61">
      <c r="A38" s="10" t="s">
        <v>1070</v>
      </c>
      <c r="B38">
        <v>12823084</v>
      </c>
      <c r="C38" s="1" t="str">
        <f>IF($B38="","",HYPERLINK(IF(LEN(VLOOKUP($B38,Database!$B$1:$IX$10144,2,FALSE))=0,"",VLOOKUP($B38,Database!$B$1:$IX$10144,2,FALSE))))</f>
        <v/>
      </c>
      <c r="D38" s="1" t="str">
        <f>IF($B38="","",HYPERLINK(CONCATENATE("http://www.ncbi.nlm.nih.gov/pubmed/",B38)))</f>
        <v>http://www.ncbi.nlm.nih.gov/pubmed/12823084</v>
      </c>
      <c r="E38" s="22" t="str">
        <f>IF($B38="","",IF(LEN(VLOOKUP($B38,Database!$B$1:$IX$10144,4,FALSE))=0,"",VLOOKUP($B38,Database!$B$1:$IX$10144,4,FALSE)))</f>
        <v>Cardoner N</v>
      </c>
      <c r="F38" s="22">
        <f>IF($B38="","",IF(LEN(VLOOKUP($B38,Database!$B$1:$IX$10144,5,FALSE))=0,"",VLOOKUP($B38,Database!$B$1:$IX$10144,5,FALSE)))</f>
        <v>2003</v>
      </c>
      <c r="G38" s="1" t="str">
        <f>IF($B38="","",HYPERLINK(IF(LEN(VLOOKUP($B38,Database!$B$1:$IX$10144,6,FALSE))=0,"",VLOOKUP($B38,Database!$B$1:$IX$10144,6,FALSE))))</f>
        <v>http://www.psychiatrist.com/abstracts/abstracts.asp?abstract=200306/060310.htm</v>
      </c>
      <c r="H38" s="22">
        <f>IF($B38="","",IF(LEN(VLOOKUP($B38,Database!$B$1:$IX$10144,7,FALSE))=0,"",VLOOKUP($B38,Database!$B$1:$IX$10144,7,FALSE)))</f>
        <v>55</v>
      </c>
      <c r="I38" s="22">
        <f>IF($B38="","",IF(LEN(VLOOKUP($B38,Database!$B$1:$IX$10144,8,FALSE))=0,"",VLOOKUP($B38,Database!$B$1:$IX$10144,8,FALSE)))</f>
        <v>37</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60.6</v>
      </c>
      <c r="AC38" s="22">
        <f>IF(OR($B38="",AC$22=""),"",IF(LEN(VLOOKUP($B38,Database!$B$1:$IX$10144,AC$22,FALSE))=0,"",VLOOKUP($B38,Database!$B$1:$IX$10144,AC$22,FALSE)))</f>
        <v>9.4</v>
      </c>
      <c r="AD38" s="22">
        <f>IF(OR($B38="",AD$22=""),"",IF(LEN(VLOOKUP($B38,Database!$B$1:$IX$10144,AD$22,FALSE))=0,"",VLOOKUP($B38,Database!$B$1:$IX$10144,AD$22,FALSE)))</f>
        <v>58.6</v>
      </c>
      <c r="AE38" s="22">
        <f>IF(OR($B38="",AE$22=""),"",IF(LEN(VLOOKUP($B38,Database!$B$1:$IX$10144,AE$22,FALSE))=0,"",VLOOKUP($B38,Database!$B$1:$IX$10144,AE$22,FALSE)))</f>
        <v>7.3</v>
      </c>
      <c r="AF38" s="22">
        <f>IF(OR($B38="",AF$22=""),"",IF(LEN(VLOOKUP($B38,Database!$B$1:$IX$10144,AF$22,FALSE))=0,"",VLOOKUP($B38,Database!$B$1:$IX$10144,AF$22,FALSE)))</f>
        <v>33</v>
      </c>
      <c r="AG38" s="22">
        <f>IF(OR($B38="",AG$22=""),"",IF(LEN(VLOOKUP($B38,Database!$B$1:$IX$10144,AG$22,FALSE))=0,"",VLOOKUP($B38,Database!$B$1:$IX$10144,AG$22,FALSE)))</f>
        <v>22</v>
      </c>
      <c r="AH38" s="22">
        <f>IF(OR($B38="",AH$22=""),"",IF(LEN(VLOOKUP($B38,Database!$B$1:$IX$10144,AH$22,FALSE))=0,"",VLOOKUP($B38,Database!$B$1:$IX$10144,AH$22,FALSE)))</f>
        <v>1.5</v>
      </c>
      <c r="AI38" s="22">
        <f>IF(OR($B38="",AI$22=""),"",IF(LEN(VLOOKUP($B38,Database!$B$1:$IX$10144,AI$22,FALSE))=0,"",VLOOKUP($B38,Database!$B$1:$IX$10144,AI$22,FALSE)))</f>
        <v>2.2999999999999998</v>
      </c>
      <c r="AJ38" s="22" t="str">
        <f>IF(OR($B38="",AJ$22=""),"",IF(LEN(VLOOKUP($B38,Database!$B$1:$IX$10144,AJ$22,FALSE))=0,"",VLOOKUP($B38,Database!$B$1:$IX$10144,AJ$22,FALSE)))</f>
        <v/>
      </c>
      <c r="AK38" s="22">
        <f>IF(OR($B38="",AK$22=""),"",IF(LEN(VLOOKUP($B38,Database!$B$1:$IX$10144,AK$22,FALSE))=0,"",VLOOKUP($B38,Database!$B$1:$IX$10144,AK$22,FALSE)))</f>
        <v>50.5</v>
      </c>
      <c r="AL38" s="22">
        <f>IF(OR($B38="",AL$22=""),"",IF(LEN(VLOOKUP($B38,Database!$B$1:$IX$10144,AL$22,FALSE))=0,"",VLOOKUP($B38,Database!$B$1:$IX$10144,AL$22,FALSE)))</f>
        <v>28.9</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Cardoner N, Pujol J, Vallejo J, Urretavizcaya M, Deus J, Lopez-Sala A, Benlloch L, Menchon JM.</v>
      </c>
    </row>
    <row r="39" spans="1:61">
      <c r="I39" s="22" t="str">
        <f>IF($B39="","",IF(LEN(VLOOKUP($B39,Database!$B$1:$IX$10144,8,FALSE))=0,"",VLOOKUP($B39,Database!$B$1:$IX$10144,8,FALSE)))</f>
        <v/>
      </c>
      <c r="AF39" t="s">
        <v>602</v>
      </c>
      <c r="AJ39" t="s">
        <v>329</v>
      </c>
      <c r="AN39" t="s">
        <v>330</v>
      </c>
    </row>
    <row r="40" spans="1:61" ht="45" customHeight="1">
      <c r="E40" s="60" t="s">
        <v>617</v>
      </c>
      <c r="F40" s="60" t="s">
        <v>740</v>
      </c>
      <c r="G40" s="60" t="s">
        <v>244</v>
      </c>
      <c r="H40" s="60" t="s">
        <v>245</v>
      </c>
      <c r="I40" s="60" t="s">
        <v>246</v>
      </c>
      <c r="J40" s="60" t="s">
        <v>593</v>
      </c>
      <c r="K40" s="60" t="s">
        <v>1039</v>
      </c>
      <c r="L40" s="60" t="s">
        <v>594</v>
      </c>
      <c r="M40" s="60" t="s">
        <v>1299</v>
      </c>
      <c r="N40" s="61" t="s">
        <v>595</v>
      </c>
      <c r="O40" s="61" t="s">
        <v>596</v>
      </c>
      <c r="P40" s="61" t="s">
        <v>597</v>
      </c>
      <c r="Q40" s="61" t="s">
        <v>598</v>
      </c>
      <c r="R40" s="61" t="s">
        <v>599</v>
      </c>
      <c r="S40" s="61" t="s">
        <v>600</v>
      </c>
      <c r="T40" s="61" t="s">
        <v>601</v>
      </c>
      <c r="U40" s="61" t="s">
        <v>484</v>
      </c>
      <c r="V40" s="61" t="s">
        <v>485</v>
      </c>
      <c r="W40" s="61" t="s">
        <v>486</v>
      </c>
      <c r="AF40" s="61" t="s">
        <v>1517</v>
      </c>
      <c r="AG40" s="62" t="s">
        <v>834</v>
      </c>
      <c r="AH40" s="62" t="s">
        <v>835</v>
      </c>
      <c r="AJ40" s="61" t="s">
        <v>836</v>
      </c>
      <c r="AK40" s="61" t="s">
        <v>837</v>
      </c>
      <c r="AL40" s="61" t="s">
        <v>487</v>
      </c>
      <c r="AN40" t="s">
        <v>488</v>
      </c>
      <c r="AO40" t="s">
        <v>489</v>
      </c>
      <c r="AP40" t="s">
        <v>490</v>
      </c>
      <c r="AQ40" t="s">
        <v>491</v>
      </c>
      <c r="AR40" t="s">
        <v>492</v>
      </c>
      <c r="AS40" t="s">
        <v>493</v>
      </c>
      <c r="AT40" t="s">
        <v>494</v>
      </c>
      <c r="AU40" t="s">
        <v>495</v>
      </c>
      <c r="AV40" t="s">
        <v>496</v>
      </c>
      <c r="AW40" t="s">
        <v>497</v>
      </c>
      <c r="AX40" t="s">
        <v>498</v>
      </c>
      <c r="AY40" t="s">
        <v>499</v>
      </c>
    </row>
    <row r="41" spans="1:61">
      <c r="E41" t="str">
        <f t="shared" ref="E41:F50" si="1">E24</f>
        <v>Scott ML</v>
      </c>
      <c r="F41">
        <f t="shared" si="1"/>
        <v>1983</v>
      </c>
      <c r="G41">
        <v>10</v>
      </c>
      <c r="H41">
        <f t="shared" ref="H41:I50" si="2">H24</f>
        <v>10</v>
      </c>
      <c r="I41">
        <f t="shared" si="2"/>
        <v>10</v>
      </c>
      <c r="J41">
        <f t="shared" ref="J41:J50" si="3">IF($D$4="Total",T24,IF($D$4="Left",L24,IF($D$4="Right",P24,"error")))</f>
        <v>9.4499999999999993</v>
      </c>
      <c r="K41">
        <f t="shared" ref="K41:K50" si="4">IF($D$4="Total",U24,IF($D$4="Left",M24,IF($D$4="Right",Q24,"error")))</f>
        <v>3.41</v>
      </c>
      <c r="L41">
        <f t="shared" ref="L41:L50" si="5">IF($D$4="Total",V24,IF($D$4="Left",N24,IF($D$4="Right",R24,"error")))</f>
        <v>4.16</v>
      </c>
      <c r="M41">
        <f t="shared" ref="M41:M50" si="6">IF($D$4="Total",W24,IF($D$4="Left",O24,IF($D$4="Right",S24,"error")))</f>
        <v>2.91</v>
      </c>
      <c r="N41">
        <f t="shared" ref="N41:N47" si="7">IF($D$3=1,SQRT((((I41-1)*(M41)^2)+((H41-1)*(K41)^2))/(H41+I41-2)),M41)</f>
        <v>3.1698738145232221</v>
      </c>
      <c r="O41" s="59">
        <f t="shared" ref="O41:O47" si="8">IF($D$6=1,LN(J41/L41),IF($D$5=1,(1-3/(4*(H41+I41)-9))*((J41-L41)/N41),(J41-L41)/N41))</f>
        <v>1.59832194266745</v>
      </c>
      <c r="P41" s="63">
        <f t="shared" ref="P41:P47" si="9">IF($D$6=1,(K41^2)/(H41*J41^2)+(M41^2)/(I41*L41^2),(IF($D$5=1,((H41+I41)/(H41*I41))+(O41*O41)/(2*(H41+I41-3.94)),((H41+I41)/(H41*I41))+((O41^2)/(2*(H41+I41-2))))))</f>
        <v>0.27953402965168905</v>
      </c>
      <c r="Q41" s="59">
        <f t="shared" ref="Q41:Q50" si="10">$R$67*SQRT(P41)</f>
        <v>1.0362711654339942</v>
      </c>
      <c r="R41" s="59">
        <f t="shared" ref="R41:R47" si="11">1/P41</f>
        <v>3.5773819783088352</v>
      </c>
      <c r="S41" s="59">
        <f t="shared" ref="S41:S47" si="12">O41*R41</f>
        <v>5.7178081132341028</v>
      </c>
      <c r="T41" s="59">
        <f t="shared" ref="T41:T47" si="13">R41*(O41^2)</f>
        <v>9.1388981713440387</v>
      </c>
      <c r="U41" s="23">
        <f t="shared" ref="U41:U47" si="14">R41^2</f>
        <v>12.797661818728836</v>
      </c>
      <c r="V41" s="59">
        <f t="shared" ref="V41:V47" si="15">1/((1/R41)+$I$64)</f>
        <v>2.6825195280484682</v>
      </c>
      <c r="W41" s="59">
        <f t="shared" ref="W41:W47" si="16">V41*O41</f>
        <v>4.2875298233137986</v>
      </c>
      <c r="AF41" s="59">
        <f t="shared" ref="AF41:AF47" si="17">IF($D$6=1,100*((EXP(O41))-1),O41)</f>
        <v>1.59832194266745</v>
      </c>
      <c r="AG41" s="59">
        <f t="shared" ref="AG41:AG47" si="18">IF($D$6=1,100*(EXP(O41+Q41)-EXP(O41)),Q41)</f>
        <v>1.0362711654339942</v>
      </c>
      <c r="AH41" s="59">
        <f t="shared" ref="AH41:AH47" si="19">IF($D$6=1,100*(EXP(O41)-EXP(O41-Q41)),Q41)</f>
        <v>1.0362711654339942</v>
      </c>
      <c r="AJ41">
        <f t="shared" ref="AJ41:AJ47" si="20">SQRT(P41)</f>
        <v>0.52870977828265009</v>
      </c>
      <c r="AK41">
        <f t="shared" ref="AK41:AK50" si="21">1/AJ41</f>
        <v>1.8913968325840127</v>
      </c>
      <c r="AL41">
        <f t="shared" ref="AL41:AL47" si="22">O41/AJ41</f>
        <v>3.023061059810741</v>
      </c>
      <c r="AN41" t="str">
        <f t="shared" ref="AN41:AN47" si="23">E41</f>
        <v>Scott ML</v>
      </c>
      <c r="AO41">
        <f t="shared" ref="AO41:AO47" si="24">F41</f>
        <v>1983</v>
      </c>
      <c r="AP41" t="str">
        <f t="shared" ref="AP41:AP47" si="25">CONCATENATE(AN41," ",AO41)</f>
        <v>Scott ML 1983</v>
      </c>
      <c r="AQ41">
        <f t="shared" ref="AQ41:AQ47" si="26">INT(H41)</f>
        <v>10</v>
      </c>
      <c r="AR41">
        <f t="shared" ref="AR41:AR47" si="27">J41</f>
        <v>9.4499999999999993</v>
      </c>
      <c r="AS41">
        <f t="shared" ref="AS41:AS47" si="28">K41</f>
        <v>3.41</v>
      </c>
      <c r="AT41">
        <f t="shared" ref="AT41:AT47" si="29">INT(I41)</f>
        <v>10</v>
      </c>
      <c r="AU41">
        <f t="shared" ref="AU41:AU47" si="30">L41</f>
        <v>4.16</v>
      </c>
      <c r="AV41">
        <f t="shared" ref="AV41:AV47" si="31">M41</f>
        <v>2.91</v>
      </c>
      <c r="AW41" s="65">
        <f t="shared" ref="AW41:AW47" si="32">O41</f>
        <v>1.59832194266745</v>
      </c>
      <c r="AX41">
        <f t="shared" ref="AX41:AX47" si="33">SQRT(P41)</f>
        <v>0.52870977828265009</v>
      </c>
      <c r="AY41" t="str">
        <f>$F$3</f>
        <v>Pooled SD</v>
      </c>
    </row>
    <row r="42" spans="1:61">
      <c r="E42" t="str">
        <f t="shared" si="1"/>
        <v>Iacono WG</v>
      </c>
      <c r="F42">
        <f t="shared" si="1"/>
        <v>1988</v>
      </c>
      <c r="G42">
        <v>9</v>
      </c>
      <c r="H42">
        <f t="shared" si="2"/>
        <v>16</v>
      </c>
      <c r="I42">
        <f t="shared" si="2"/>
        <v>44</v>
      </c>
      <c r="J42">
        <f t="shared" si="3"/>
        <v>6.36</v>
      </c>
      <c r="K42">
        <f t="shared" si="4"/>
        <v>2.96</v>
      </c>
      <c r="L42">
        <f t="shared" si="5"/>
        <v>6.39</v>
      </c>
      <c r="M42">
        <f t="shared" si="6"/>
        <v>2.76</v>
      </c>
      <c r="N42">
        <f t="shared" si="7"/>
        <v>2.8130876397591162</v>
      </c>
      <c r="O42" s="59">
        <f t="shared" si="8"/>
        <v>-1.0525939253326819E-2</v>
      </c>
      <c r="P42" s="63">
        <f t="shared" si="9"/>
        <v>8.5228260913119719E-2</v>
      </c>
      <c r="Q42" s="59">
        <f t="shared" si="10"/>
        <v>0.57220004117776913</v>
      </c>
      <c r="R42" s="59">
        <f t="shared" si="11"/>
        <v>11.733197290267174</v>
      </c>
      <c r="S42" s="59">
        <f t="shared" si="12"/>
        <v>-0.12350292192465112</v>
      </c>
      <c r="T42" s="59">
        <f t="shared" si="13"/>
        <v>1.2999842537872426E-3</v>
      </c>
      <c r="U42" s="23">
        <f t="shared" si="14"/>
        <v>137.66791865233296</v>
      </c>
      <c r="V42" s="59">
        <f t="shared" si="15"/>
        <v>5.6029284037773444</v>
      </c>
      <c r="W42" s="59">
        <f t="shared" si="16"/>
        <v>-5.8976084018899727E-2</v>
      </c>
      <c r="AF42" s="59">
        <f t="shared" si="17"/>
        <v>-1.0525939253326819E-2</v>
      </c>
      <c r="AG42" s="59">
        <f t="shared" si="18"/>
        <v>0.57220004117776913</v>
      </c>
      <c r="AH42" s="59">
        <f t="shared" si="19"/>
        <v>0.57220004117776913</v>
      </c>
      <c r="AJ42">
        <f t="shared" si="20"/>
        <v>0.29193879651926996</v>
      </c>
      <c r="AK42">
        <f t="shared" si="21"/>
        <v>3.4253754962437584</v>
      </c>
      <c r="AL42">
        <f t="shared" si="22"/>
        <v>-3.6055294393296008E-2</v>
      </c>
      <c r="AN42" t="str">
        <f t="shared" si="23"/>
        <v>Iacono WG</v>
      </c>
      <c r="AO42">
        <f t="shared" si="24"/>
        <v>1988</v>
      </c>
      <c r="AP42" t="str">
        <f t="shared" si="25"/>
        <v>Iacono WG 1988</v>
      </c>
      <c r="AQ42">
        <f t="shared" si="26"/>
        <v>16</v>
      </c>
      <c r="AR42">
        <f t="shared" si="27"/>
        <v>6.36</v>
      </c>
      <c r="AS42">
        <f t="shared" si="28"/>
        <v>2.96</v>
      </c>
      <c r="AT42">
        <f t="shared" si="29"/>
        <v>44</v>
      </c>
      <c r="AU42">
        <f t="shared" si="30"/>
        <v>6.39</v>
      </c>
      <c r="AV42">
        <f t="shared" si="31"/>
        <v>2.76</v>
      </c>
      <c r="AW42" s="65">
        <f t="shared" si="32"/>
        <v>-1.0525939253326819E-2</v>
      </c>
      <c r="AX42">
        <f t="shared" si="33"/>
        <v>0.29193879651926996</v>
      </c>
      <c r="AY42" t="str">
        <f>$F$4</f>
        <v>Total</v>
      </c>
    </row>
    <row r="43" spans="1:61">
      <c r="E43" t="str">
        <f t="shared" si="1"/>
        <v>Pearlson GD</v>
      </c>
      <c r="F43">
        <f t="shared" si="1"/>
        <v>1989</v>
      </c>
      <c r="G43">
        <v>8</v>
      </c>
      <c r="H43">
        <f t="shared" si="2"/>
        <v>11</v>
      </c>
      <c r="I43">
        <f t="shared" si="2"/>
        <v>31</v>
      </c>
      <c r="J43">
        <f t="shared" si="3"/>
        <v>11</v>
      </c>
      <c r="K43">
        <f t="shared" si="4"/>
        <v>4.3099999999999996</v>
      </c>
      <c r="L43">
        <f t="shared" si="5"/>
        <v>8.6</v>
      </c>
      <c r="M43">
        <f t="shared" si="6"/>
        <v>2.78</v>
      </c>
      <c r="N43">
        <f t="shared" si="7"/>
        <v>3.2311491763767264</v>
      </c>
      <c r="O43" s="59">
        <f t="shared" si="8"/>
        <v>0.72875526711909844</v>
      </c>
      <c r="P43" s="63">
        <f t="shared" si="9"/>
        <v>0.13014408973097177</v>
      </c>
      <c r="Q43" s="59">
        <f t="shared" si="10"/>
        <v>0.70707958187922604</v>
      </c>
      <c r="R43" s="59">
        <f t="shared" si="11"/>
        <v>7.6837911123521376</v>
      </c>
      <c r="S43" s="59">
        <f t="shared" si="12"/>
        <v>5.5996032445695363</v>
      </c>
      <c r="T43" s="59">
        <f t="shared" si="13"/>
        <v>4.080740358257243</v>
      </c>
      <c r="U43" s="23">
        <f t="shared" si="14"/>
        <v>59.040645858261698</v>
      </c>
      <c r="V43" s="59">
        <f t="shared" si="15"/>
        <v>4.4763974474535555</v>
      </c>
      <c r="W43" s="59">
        <f t="shared" si="16"/>
        <v>3.2621982175502664</v>
      </c>
      <c r="AF43" s="59">
        <f t="shared" si="17"/>
        <v>0.72875526711909844</v>
      </c>
      <c r="AG43" s="59">
        <f t="shared" si="18"/>
        <v>0.70707958187922604</v>
      </c>
      <c r="AH43" s="59">
        <f t="shared" si="19"/>
        <v>0.70707958187922604</v>
      </c>
      <c r="AJ43">
        <f t="shared" si="20"/>
        <v>0.36075488871389083</v>
      </c>
      <c r="AK43">
        <f t="shared" si="21"/>
        <v>2.7719652076373791</v>
      </c>
      <c r="AL43">
        <f t="shared" si="22"/>
        <v>2.0200842453366255</v>
      </c>
      <c r="AN43" t="str">
        <f t="shared" si="23"/>
        <v>Pearlson GD</v>
      </c>
      <c r="AO43">
        <f t="shared" si="24"/>
        <v>1989</v>
      </c>
      <c r="AP43" t="str">
        <f t="shared" si="25"/>
        <v>Pearlson GD 1989</v>
      </c>
      <c r="AQ43">
        <f t="shared" si="26"/>
        <v>11</v>
      </c>
      <c r="AR43">
        <f t="shared" si="27"/>
        <v>11</v>
      </c>
      <c r="AS43">
        <f t="shared" si="28"/>
        <v>4.3099999999999996</v>
      </c>
      <c r="AT43">
        <f t="shared" si="29"/>
        <v>31</v>
      </c>
      <c r="AU43">
        <f t="shared" si="30"/>
        <v>8.6</v>
      </c>
      <c r="AV43">
        <f t="shared" si="31"/>
        <v>2.78</v>
      </c>
      <c r="AW43" s="65">
        <f t="shared" si="32"/>
        <v>0.72875526711909844</v>
      </c>
      <c r="AX43">
        <f t="shared" si="33"/>
        <v>0.36075488871389083</v>
      </c>
    </row>
    <row r="44" spans="1:61">
      <c r="E44" t="str">
        <f t="shared" si="1"/>
        <v>Andreasen NC</v>
      </c>
      <c r="F44">
        <f t="shared" si="1"/>
        <v>1990</v>
      </c>
      <c r="G44">
        <v>7</v>
      </c>
      <c r="H44">
        <f t="shared" si="2"/>
        <v>26</v>
      </c>
      <c r="I44">
        <f t="shared" si="2"/>
        <v>75</v>
      </c>
      <c r="J44">
        <f t="shared" si="3"/>
        <v>6.22</v>
      </c>
      <c r="K44">
        <f t="shared" si="4"/>
        <v>3.17</v>
      </c>
      <c r="L44">
        <f t="shared" si="5"/>
        <v>5.75</v>
      </c>
      <c r="M44">
        <f t="shared" si="6"/>
        <v>2.5099999999999998</v>
      </c>
      <c r="N44">
        <f t="shared" si="7"/>
        <v>2.6919819216827339</v>
      </c>
      <c r="O44" s="59">
        <f t="shared" si="8"/>
        <v>0.17326653496070793</v>
      </c>
      <c r="P44" s="63">
        <f t="shared" si="9"/>
        <v>5.1949525061600055E-2</v>
      </c>
      <c r="Q44" s="59">
        <f t="shared" si="10"/>
        <v>0.44673179367114979</v>
      </c>
      <c r="R44" s="59">
        <f t="shared" si="11"/>
        <v>19.249454134840168</v>
      </c>
      <c r="S44" s="59">
        <f t="shared" si="12"/>
        <v>3.3352862178288278</v>
      </c>
      <c r="T44" s="59">
        <f t="shared" si="13"/>
        <v>0.57789348606540591</v>
      </c>
      <c r="U44" s="23">
        <f t="shared" si="14"/>
        <v>370.54148448931522</v>
      </c>
      <c r="V44" s="59">
        <f t="shared" si="15"/>
        <v>6.8870826360745427</v>
      </c>
      <c r="W44" s="59">
        <f t="shared" si="16"/>
        <v>1.1933009443406943</v>
      </c>
      <c r="AF44" s="59">
        <f t="shared" si="17"/>
        <v>0.17326653496070793</v>
      </c>
      <c r="AG44" s="59">
        <f t="shared" si="18"/>
        <v>0.44673179367114979</v>
      </c>
      <c r="AH44" s="59">
        <f t="shared" si="19"/>
        <v>0.44673179367114979</v>
      </c>
      <c r="AJ44">
        <f t="shared" si="20"/>
        <v>0.22792438452609684</v>
      </c>
      <c r="AK44">
        <f t="shared" si="21"/>
        <v>4.3874199861467753</v>
      </c>
      <c r="AL44">
        <f t="shared" si="22"/>
        <v>0.7601930584170089</v>
      </c>
      <c r="AN44" t="str">
        <f t="shared" si="23"/>
        <v>Andreasen NC</v>
      </c>
      <c r="AO44">
        <f t="shared" si="24"/>
        <v>1990</v>
      </c>
      <c r="AP44" t="str">
        <f t="shared" si="25"/>
        <v>Andreasen NC 1990</v>
      </c>
      <c r="AQ44">
        <f t="shared" si="26"/>
        <v>26</v>
      </c>
      <c r="AR44">
        <f t="shared" si="27"/>
        <v>6.22</v>
      </c>
      <c r="AS44">
        <f t="shared" si="28"/>
        <v>3.17</v>
      </c>
      <c r="AT44">
        <f t="shared" si="29"/>
        <v>75</v>
      </c>
      <c r="AU44">
        <f t="shared" si="30"/>
        <v>5.75</v>
      </c>
      <c r="AV44">
        <f t="shared" si="31"/>
        <v>2.5099999999999998</v>
      </c>
      <c r="AW44" s="65">
        <f t="shared" si="32"/>
        <v>0.17326653496070793</v>
      </c>
      <c r="AX44">
        <f t="shared" si="33"/>
        <v>0.22792438452609684</v>
      </c>
      <c r="AY44" t="str">
        <f>$F$6</f>
        <v>Cohens Effect size</v>
      </c>
    </row>
    <row r="45" spans="1:61">
      <c r="E45" t="str">
        <f t="shared" si="1"/>
        <v>Harvey I</v>
      </c>
      <c r="F45">
        <f t="shared" si="1"/>
        <v>1990</v>
      </c>
      <c r="G45">
        <v>6</v>
      </c>
      <c r="H45">
        <f t="shared" si="2"/>
        <v>5</v>
      </c>
      <c r="I45">
        <f t="shared" si="2"/>
        <v>50</v>
      </c>
      <c r="J45">
        <f t="shared" si="3"/>
        <v>4.4800000000000004</v>
      </c>
      <c r="K45">
        <f t="shared" si="4"/>
        <v>5.6</v>
      </c>
      <c r="L45">
        <f t="shared" si="5"/>
        <v>4.68</v>
      </c>
      <c r="M45">
        <f t="shared" si="6"/>
        <v>2.7</v>
      </c>
      <c r="N45">
        <f t="shared" si="7"/>
        <v>3.0177149921065949</v>
      </c>
      <c r="O45" s="59">
        <f t="shared" si="8"/>
        <v>-6.5333008126998271E-2</v>
      </c>
      <c r="P45" s="63">
        <f t="shared" si="9"/>
        <v>0.22004179790394557</v>
      </c>
      <c r="Q45" s="59">
        <f t="shared" si="10"/>
        <v>0.91940881593978496</v>
      </c>
      <c r="R45" s="59">
        <f t="shared" si="11"/>
        <v>4.5445911164411052</v>
      </c>
      <c r="S45" s="59">
        <f t="shared" si="12"/>
        <v>-0.2969118083443309</v>
      </c>
      <c r="T45" s="59">
        <f t="shared" si="13"/>
        <v>1.9398141587561923E-2</v>
      </c>
      <c r="U45" s="23">
        <f t="shared" si="14"/>
        <v>20.653308415635411</v>
      </c>
      <c r="V45" s="59">
        <f t="shared" si="15"/>
        <v>3.1919141496628933</v>
      </c>
      <c r="W45" s="59">
        <f t="shared" si="16"/>
        <v>-0.20853735308060659</v>
      </c>
      <c r="AF45" s="59">
        <f t="shared" si="17"/>
        <v>-6.5333008126998271E-2</v>
      </c>
      <c r="AG45" s="59">
        <f t="shared" si="18"/>
        <v>0.91940881593978496</v>
      </c>
      <c r="AH45" s="59">
        <f t="shared" si="19"/>
        <v>0.91940881593978496</v>
      </c>
      <c r="AJ45">
        <f t="shared" si="20"/>
        <v>0.46908613058152293</v>
      </c>
      <c r="AK45">
        <f t="shared" si="21"/>
        <v>2.131804661886521</v>
      </c>
      <c r="AL45">
        <f t="shared" si="22"/>
        <v>-0.1392772113002049</v>
      </c>
      <c r="AN45" t="str">
        <f t="shared" si="23"/>
        <v>Harvey I</v>
      </c>
      <c r="AO45">
        <f t="shared" si="24"/>
        <v>1990</v>
      </c>
      <c r="AP45" t="str">
        <f t="shared" si="25"/>
        <v>Harvey I 1990</v>
      </c>
      <c r="AQ45">
        <f t="shared" si="26"/>
        <v>5</v>
      </c>
      <c r="AR45">
        <f t="shared" si="27"/>
        <v>4.4800000000000004</v>
      </c>
      <c r="AS45">
        <f t="shared" si="28"/>
        <v>5.6</v>
      </c>
      <c r="AT45">
        <f t="shared" si="29"/>
        <v>50</v>
      </c>
      <c r="AU45">
        <f t="shared" si="30"/>
        <v>4.68</v>
      </c>
      <c r="AV45">
        <f t="shared" si="31"/>
        <v>2.7</v>
      </c>
      <c r="AW45" s="65">
        <f t="shared" si="32"/>
        <v>-6.5333008126998271E-2</v>
      </c>
      <c r="AX45">
        <f t="shared" si="33"/>
        <v>0.46908613058152293</v>
      </c>
    </row>
    <row r="46" spans="1:61">
      <c r="E46" t="str">
        <f t="shared" si="1"/>
        <v>Lauer CJ</v>
      </c>
      <c r="F46">
        <f t="shared" si="1"/>
        <v>1992</v>
      </c>
      <c r="G46">
        <v>5</v>
      </c>
      <c r="H46">
        <f t="shared" si="2"/>
        <v>14</v>
      </c>
      <c r="I46">
        <f t="shared" si="2"/>
        <v>12</v>
      </c>
      <c r="J46">
        <f t="shared" si="3"/>
        <v>5.3</v>
      </c>
      <c r="K46">
        <f t="shared" si="4"/>
        <v>3.8</v>
      </c>
      <c r="L46">
        <f t="shared" si="5"/>
        <v>3.13</v>
      </c>
      <c r="M46">
        <f t="shared" si="6"/>
        <v>0.39</v>
      </c>
      <c r="N46">
        <f t="shared" si="7"/>
        <v>2.8091598684778813</v>
      </c>
      <c r="O46" s="59">
        <f t="shared" si="8"/>
        <v>0.74807906370568766</v>
      </c>
      <c r="P46" s="63">
        <f t="shared" si="9"/>
        <v>0.16744600008272931</v>
      </c>
      <c r="Q46" s="59">
        <f t="shared" si="10"/>
        <v>0.80203525727851444</v>
      </c>
      <c r="R46" s="59">
        <f t="shared" si="11"/>
        <v>5.9720745763167491</v>
      </c>
      <c r="S46" s="59">
        <f t="shared" si="12"/>
        <v>4.4675839574315752</v>
      </c>
      <c r="T46" s="59">
        <f t="shared" si="13"/>
        <v>3.3421060239019638</v>
      </c>
      <c r="U46" s="23">
        <f t="shared" si="14"/>
        <v>35.665674745088879</v>
      </c>
      <c r="V46" s="59">
        <f t="shared" si="15"/>
        <v>3.8358878841322279</v>
      </c>
      <c r="W46" s="59">
        <f t="shared" si="16"/>
        <v>2.8695474168416282</v>
      </c>
      <c r="AF46" s="59">
        <f t="shared" si="17"/>
        <v>0.74807906370568766</v>
      </c>
      <c r="AG46" s="59">
        <f t="shared" si="18"/>
        <v>0.80203525727851444</v>
      </c>
      <c r="AH46" s="59">
        <f t="shared" si="19"/>
        <v>0.80203525727851444</v>
      </c>
      <c r="AJ46">
        <f t="shared" si="20"/>
        <v>0.40920166187679308</v>
      </c>
      <c r="AK46">
        <f t="shared" si="21"/>
        <v>2.4437828414809588</v>
      </c>
      <c r="AL46">
        <f t="shared" si="22"/>
        <v>1.8281427799551007</v>
      </c>
      <c r="AN46" t="str">
        <f t="shared" si="23"/>
        <v>Lauer CJ</v>
      </c>
      <c r="AO46">
        <f t="shared" si="24"/>
        <v>1992</v>
      </c>
      <c r="AP46" t="str">
        <f t="shared" si="25"/>
        <v>Lauer CJ 1992</v>
      </c>
      <c r="AQ46">
        <f t="shared" si="26"/>
        <v>14</v>
      </c>
      <c r="AR46">
        <f t="shared" si="27"/>
        <v>5.3</v>
      </c>
      <c r="AS46">
        <f t="shared" si="28"/>
        <v>3.8</v>
      </c>
      <c r="AT46">
        <f t="shared" si="29"/>
        <v>12</v>
      </c>
      <c r="AU46">
        <f t="shared" si="30"/>
        <v>3.13</v>
      </c>
      <c r="AV46">
        <f t="shared" si="31"/>
        <v>0.39</v>
      </c>
      <c r="AW46" s="65">
        <f t="shared" si="32"/>
        <v>0.74807906370568766</v>
      </c>
      <c r="AX46">
        <f t="shared" si="33"/>
        <v>0.40920166187679308</v>
      </c>
    </row>
    <row r="47" spans="1:61">
      <c r="E47" t="str">
        <f t="shared" si="1"/>
        <v>Wurthmann C</v>
      </c>
      <c r="F47">
        <f t="shared" si="1"/>
        <v>1995</v>
      </c>
      <c r="G47">
        <v>4</v>
      </c>
      <c r="H47">
        <f t="shared" si="2"/>
        <v>34</v>
      </c>
      <c r="I47">
        <f t="shared" si="2"/>
        <v>42</v>
      </c>
      <c r="J47">
        <f t="shared" si="3"/>
        <v>9.76</v>
      </c>
      <c r="K47">
        <f t="shared" si="4"/>
        <v>3.04</v>
      </c>
      <c r="L47">
        <f t="shared" si="5"/>
        <v>8.18</v>
      </c>
      <c r="M47">
        <f t="shared" si="6"/>
        <v>2.91</v>
      </c>
      <c r="N47">
        <f t="shared" si="7"/>
        <v>2.9686763362126882</v>
      </c>
      <c r="O47" s="59">
        <f t="shared" si="8"/>
        <v>0.52681128768150898</v>
      </c>
      <c r="P47" s="63">
        <f t="shared" si="9"/>
        <v>5.5146976364619661E-2</v>
      </c>
      <c r="Q47" s="59">
        <f t="shared" si="10"/>
        <v>0.46027450983334162</v>
      </c>
      <c r="R47" s="59">
        <f t="shared" si="11"/>
        <v>18.133360447329338</v>
      </c>
      <c r="S47" s="59">
        <f t="shared" si="12"/>
        <v>9.5528589672505113</v>
      </c>
      <c r="T47" s="59">
        <f t="shared" si="13"/>
        <v>5.032553933577093</v>
      </c>
      <c r="U47" s="23">
        <f t="shared" si="14"/>
        <v>328.81876111276802</v>
      </c>
      <c r="V47" s="59">
        <f t="shared" si="15"/>
        <v>6.7386892106229936</v>
      </c>
      <c r="W47" s="59">
        <f t="shared" si="16"/>
        <v>3.5500175403337906</v>
      </c>
      <c r="AF47" s="59">
        <f t="shared" si="17"/>
        <v>0.52681128768150898</v>
      </c>
      <c r="AG47" s="59">
        <f t="shared" si="18"/>
        <v>0.46027450983334162</v>
      </c>
      <c r="AH47" s="59">
        <f t="shared" si="19"/>
        <v>0.46027450983334162</v>
      </c>
      <c r="AJ47">
        <f t="shared" si="20"/>
        <v>0.2348339335884396</v>
      </c>
      <c r="AK47">
        <f t="shared" si="21"/>
        <v>4.2583283630233755</v>
      </c>
      <c r="AL47">
        <f t="shared" si="22"/>
        <v>2.2433354482950367</v>
      </c>
      <c r="AN47" t="str">
        <f t="shared" si="23"/>
        <v>Wurthmann C</v>
      </c>
      <c r="AO47">
        <f t="shared" si="24"/>
        <v>1995</v>
      </c>
      <c r="AP47" t="str">
        <f t="shared" si="25"/>
        <v>Wurthmann C 1995</v>
      </c>
      <c r="AQ47">
        <f t="shared" si="26"/>
        <v>34</v>
      </c>
      <c r="AR47">
        <f t="shared" si="27"/>
        <v>9.76</v>
      </c>
      <c r="AS47">
        <f t="shared" si="28"/>
        <v>3.04</v>
      </c>
      <c r="AT47">
        <f t="shared" si="29"/>
        <v>42</v>
      </c>
      <c r="AU47">
        <f t="shared" si="30"/>
        <v>8.18</v>
      </c>
      <c r="AV47">
        <f t="shared" si="31"/>
        <v>2.91</v>
      </c>
      <c r="AW47" s="65">
        <f t="shared" si="32"/>
        <v>0.52681128768150898</v>
      </c>
      <c r="AX47">
        <f t="shared" si="33"/>
        <v>0.2348339335884396</v>
      </c>
    </row>
    <row r="48" spans="1:61">
      <c r="E48" t="str">
        <f t="shared" si="1"/>
        <v>Elkis H</v>
      </c>
      <c r="F48">
        <f t="shared" si="1"/>
        <v>1996</v>
      </c>
      <c r="G48">
        <v>3</v>
      </c>
      <c r="H48">
        <f t="shared" si="2"/>
        <v>8</v>
      </c>
      <c r="I48">
        <f t="shared" si="2"/>
        <v>17</v>
      </c>
      <c r="J48">
        <f t="shared" si="3"/>
        <v>5.31</v>
      </c>
      <c r="K48">
        <f t="shared" si="4"/>
        <v>1.64</v>
      </c>
      <c r="L48">
        <f t="shared" si="5"/>
        <v>5.56</v>
      </c>
      <c r="M48">
        <f t="shared" si="6"/>
        <v>2.84</v>
      </c>
      <c r="N48">
        <f>IF($D$3=1,SQRT((((I48-1)*(M48)^2)+((H48-1)*(K48)^2))/(H48+I48-2)),M48)</f>
        <v>2.5356312994906265</v>
      </c>
      <c r="O48" s="59">
        <f>IF($D$6=1,LN(J48/L48),IF($D$5=1,(1-3/(4*(H48+I48)-9))*((J48-L48)/N48),(J48-L48)/N48))</f>
        <v>-9.5344398772332417E-2</v>
      </c>
      <c r="P48" s="63">
        <f>IF($D$6=1,(K48^2)/(H48*J48^2)+(M48^2)/(I48*L48^2),(IF($D$5=1,((H48+I48)/(H48*I48))+(O48*O48)/(2*(H48+I48-3.94)),((H48+I48)/(H48*I48))+((O48^2)/(2*(H48+I48-2))))))</f>
        <v>0.18403935453942991</v>
      </c>
      <c r="Q48" s="59">
        <f t="shared" si="10"/>
        <v>0.84083624113062228</v>
      </c>
      <c r="R48" s="59">
        <f>1/P48</f>
        <v>5.4336204476622028</v>
      </c>
      <c r="S48" s="59">
        <f>O48*R48</f>
        <v>-0.51806527473940445</v>
      </c>
      <c r="T48" s="59">
        <f>R48*(O48^2)</f>
        <v>4.9394622144851734E-2</v>
      </c>
      <c r="U48" s="23">
        <f>R48^2</f>
        <v>29.524231169252797</v>
      </c>
      <c r="V48" s="59">
        <f>1/((1/R48)+$I$64)</f>
        <v>3.6063432446953256</v>
      </c>
      <c r="W48" s="59">
        <f>V48*O48</f>
        <v>-0.34384462843213831</v>
      </c>
      <c r="AF48" s="59">
        <f>IF($D$6=1,100*((EXP(O48))-1),O48)</f>
        <v>-9.5344398772332417E-2</v>
      </c>
      <c r="AG48" s="59">
        <f>IF($D$6=1,100*(EXP(O48+Q48)-EXP(O48)),Q48)</f>
        <v>0.84083624113062228</v>
      </c>
      <c r="AH48" s="59">
        <f>IF($D$6=1,100*(EXP(O48)-EXP(O48-Q48)),Q48)</f>
        <v>0.84083624113062228</v>
      </c>
      <c r="AJ48">
        <f>SQRT(P48)</f>
        <v>0.42899808220950114</v>
      </c>
      <c r="AK48">
        <f t="shared" si="21"/>
        <v>2.3310127515014161</v>
      </c>
      <c r="AL48">
        <f>O48/AJ48</f>
        <v>-0.22224900932254282</v>
      </c>
      <c r="AN48" t="str">
        <f t="shared" ref="AN48:AO50" si="34">E48</f>
        <v>Elkis H</v>
      </c>
      <c r="AO48">
        <f t="shared" si="34"/>
        <v>1996</v>
      </c>
      <c r="AP48" t="str">
        <f>CONCATENATE(AN48," ",AO48)</f>
        <v>Elkis H 1996</v>
      </c>
      <c r="AQ48">
        <f>INT(H48)</f>
        <v>8</v>
      </c>
      <c r="AR48">
        <f t="shared" ref="AR48:AS50" si="35">J48</f>
        <v>5.31</v>
      </c>
      <c r="AS48">
        <f t="shared" si="35"/>
        <v>1.64</v>
      </c>
      <c r="AT48">
        <f>INT(I48)</f>
        <v>17</v>
      </c>
      <c r="AU48">
        <f t="shared" ref="AU48:AV50" si="36">L48</f>
        <v>5.56</v>
      </c>
      <c r="AV48">
        <f t="shared" si="36"/>
        <v>2.84</v>
      </c>
      <c r="AW48" s="65">
        <f>O48</f>
        <v>-9.5344398772332417E-2</v>
      </c>
      <c r="AX48">
        <f>SQRT(P48)</f>
        <v>0.42899808220950114</v>
      </c>
    </row>
    <row r="49" spans="5:50">
      <c r="E49" t="str">
        <f t="shared" si="1"/>
        <v>Elkis H</v>
      </c>
      <c r="F49">
        <f t="shared" si="1"/>
        <v>1996</v>
      </c>
      <c r="G49">
        <v>2</v>
      </c>
      <c r="H49">
        <f t="shared" si="2"/>
        <v>16</v>
      </c>
      <c r="I49">
        <f t="shared" si="2"/>
        <v>23</v>
      </c>
      <c r="J49">
        <f t="shared" si="3"/>
        <v>6.65</v>
      </c>
      <c r="K49">
        <f t="shared" si="4"/>
        <v>1.84</v>
      </c>
      <c r="L49">
        <f t="shared" si="5"/>
        <v>5.52</v>
      </c>
      <c r="M49">
        <f t="shared" si="6"/>
        <v>2.4300000000000002</v>
      </c>
      <c r="N49">
        <f>IF($D$3=1,SQRT((((I49-1)*(M49)^2)+((H49-1)*(K49)^2))/(H49+I49-2)),M49)</f>
        <v>2.2098783138811426</v>
      </c>
      <c r="O49" s="59">
        <f>IF($D$6=1,LN(J49/L49),IF($D$5=1,(1-3/(4*(H49+I49)-9))*((J49-L49)/N49),(J49-L49)/N49))</f>
        <v>0.50090485460537493</v>
      </c>
      <c r="P49" s="63">
        <f>IF($D$6=1,(K49^2)/(H49*J49^2)+(M49^2)/(I49*L49^2),(IF($D$5=1,((H49+I49)/(H49*I49))+(O49*O49)/(2*(H49+I49-3.94)),((H49+I49)/(H49*I49))+((O49^2)/(2*(H49+I49-2))))))</f>
        <v>0.1095564935188412</v>
      </c>
      <c r="Q49" s="59">
        <f t="shared" si="10"/>
        <v>0.64874665741102688</v>
      </c>
      <c r="R49" s="59">
        <f>1/P49</f>
        <v>9.127710899473275</v>
      </c>
      <c r="S49" s="59">
        <f>O49*R49</f>
        <v>4.5721147009805572</v>
      </c>
      <c r="T49" s="59">
        <f>R49*(O49^2)</f>
        <v>2.2901944495337632</v>
      </c>
      <c r="U49" s="23">
        <f>R49^2</f>
        <v>83.315106264363223</v>
      </c>
      <c r="V49" s="59">
        <f>1/((1/R49)+$I$64)</f>
        <v>4.9308125697136465</v>
      </c>
      <c r="W49" s="59">
        <f>V49*O49</f>
        <v>2.4698679533187691</v>
      </c>
      <c r="AF49" s="59">
        <f>IF($D$6=1,100*((EXP(O49))-1),O49)</f>
        <v>0.50090485460537493</v>
      </c>
      <c r="AG49" s="59">
        <f>IF($D$6=1,100*(EXP(O49+Q49)-EXP(O49)),Q49)</f>
        <v>0.64874665741102688</v>
      </c>
      <c r="AH49" s="59">
        <f>IF($D$6=1,100*(EXP(O49)-EXP(O49-Q49)),Q49)</f>
        <v>0.64874665741102688</v>
      </c>
      <c r="AJ49">
        <f>SQRT(P49)</f>
        <v>0.33099319255664639</v>
      </c>
      <c r="AK49">
        <f t="shared" si="21"/>
        <v>3.021210171350758</v>
      </c>
      <c r="AL49">
        <f>O49/AJ49</f>
        <v>1.5133388416127311</v>
      </c>
      <c r="AN49" t="str">
        <f t="shared" si="34"/>
        <v>Elkis H</v>
      </c>
      <c r="AO49">
        <f t="shared" si="34"/>
        <v>1996</v>
      </c>
      <c r="AP49" t="str">
        <f>CONCATENATE(AN49," ",AO49)</f>
        <v>Elkis H 1996</v>
      </c>
      <c r="AQ49">
        <f>INT(H49)</f>
        <v>16</v>
      </c>
      <c r="AR49">
        <f t="shared" si="35"/>
        <v>6.65</v>
      </c>
      <c r="AS49">
        <f t="shared" si="35"/>
        <v>1.84</v>
      </c>
      <c r="AT49">
        <f>INT(I49)</f>
        <v>23</v>
      </c>
      <c r="AU49">
        <f t="shared" si="36"/>
        <v>5.52</v>
      </c>
      <c r="AV49">
        <f t="shared" si="36"/>
        <v>2.4300000000000002</v>
      </c>
      <c r="AW49" s="65">
        <f>O49</f>
        <v>0.50090485460537493</v>
      </c>
      <c r="AX49">
        <f>SQRT(P49)</f>
        <v>0.33099319255664639</v>
      </c>
    </row>
    <row r="50" spans="5:50">
      <c r="E50" t="str">
        <f t="shared" si="1"/>
        <v>Marchesi C</v>
      </c>
      <c r="F50">
        <f t="shared" si="1"/>
        <v>1996</v>
      </c>
      <c r="G50">
        <v>1</v>
      </c>
      <c r="H50">
        <f t="shared" si="2"/>
        <v>11</v>
      </c>
      <c r="I50">
        <f t="shared" si="2"/>
        <v>11</v>
      </c>
      <c r="J50">
        <f t="shared" si="3"/>
        <v>11.1</v>
      </c>
      <c r="K50">
        <f t="shared" si="4"/>
        <v>1.6</v>
      </c>
      <c r="L50">
        <f t="shared" si="5"/>
        <v>8.6999999999999993</v>
      </c>
      <c r="M50">
        <f t="shared" si="6"/>
        <v>1.8</v>
      </c>
      <c r="N50">
        <f>IF($D$3=1,SQRT((((I50-1)*(M50)^2)+((H50-1)*(K50)^2))/(H50+I50-2)),M50)</f>
        <v>1.7029386365926404</v>
      </c>
      <c r="O50" s="59">
        <f>IF($D$6=1,LN(J50/L50),IF($D$5=1,(1-3/(4*(H50+I50)-9))*((J50-L50)/N50),(J50-L50)/N50))</f>
        <v>1.3558097220187586</v>
      </c>
      <c r="P50" s="63">
        <f>IF($D$6=1,(K50^2)/(H50*J50^2)+(M50^2)/(I50*L50^2),(IF($D$5=1,((H50+I50)/(H50*I50))+(O50*O50)/(2*(H50+I50-3.94)),((H50+I50)/(H50*I50))+((O50^2)/(2*(H50+I50-2))))))</f>
        <v>0.23271020846050142</v>
      </c>
      <c r="Q50" s="59">
        <f t="shared" si="10"/>
        <v>0.94550491105116008</v>
      </c>
      <c r="R50" s="59">
        <f>1/P50</f>
        <v>4.2971900829599097</v>
      </c>
      <c r="S50" s="59">
        <f>O50*R50</f>
        <v>5.8261720918396414</v>
      </c>
      <c r="T50" s="59">
        <f>R50*(O50^2)</f>
        <v>7.8991807642705538</v>
      </c>
      <c r="U50" s="23">
        <f>R50^2</f>
        <v>18.465842609088995</v>
      </c>
      <c r="V50" s="59">
        <f>1/((1/R50)+$I$64)</f>
        <v>3.0678606665245796</v>
      </c>
      <c r="W50" s="59">
        <f>V50*O50</f>
        <v>4.1594353174729735</v>
      </c>
      <c r="AF50" s="59">
        <f>IF($D$6=1,100*((EXP(O50))-1),O50)</f>
        <v>1.3558097220187586</v>
      </c>
      <c r="AG50" s="59">
        <f>IF($D$6=1,100*(EXP(O50+Q50)-EXP(O50)),Q50)</f>
        <v>0.94550491105116008</v>
      </c>
      <c r="AH50" s="59">
        <f>IF($D$6=1,100*(EXP(O50)-EXP(O50-Q50)),Q50)</f>
        <v>0.94550491105116008</v>
      </c>
      <c r="AJ50">
        <f>SQRT(P50)</f>
        <v>0.48240046482202048</v>
      </c>
      <c r="AK50">
        <f t="shared" si="21"/>
        <v>2.0729664934484373</v>
      </c>
      <c r="AL50">
        <f>O50/AJ50</f>
        <v>2.8105481252365263</v>
      </c>
      <c r="AN50" t="str">
        <f t="shared" si="34"/>
        <v>Marchesi C</v>
      </c>
      <c r="AO50">
        <f t="shared" si="34"/>
        <v>1996</v>
      </c>
      <c r="AP50" t="str">
        <f>CONCATENATE(AN50," ",AO50)</f>
        <v>Marchesi C 1996</v>
      </c>
      <c r="AQ50">
        <f>INT(H50)</f>
        <v>11</v>
      </c>
      <c r="AR50">
        <f t="shared" si="35"/>
        <v>11.1</v>
      </c>
      <c r="AS50">
        <f t="shared" si="35"/>
        <v>1.6</v>
      </c>
      <c r="AT50">
        <f>INT(I50)</f>
        <v>11</v>
      </c>
      <c r="AU50">
        <f t="shared" si="36"/>
        <v>8.6999999999999993</v>
      </c>
      <c r="AV50">
        <f t="shared" si="36"/>
        <v>1.8</v>
      </c>
      <c r="AW50" s="65">
        <f>O50</f>
        <v>1.3558097220187586</v>
      </c>
      <c r="AX50">
        <f>SQRT(P50)</f>
        <v>0.48240046482202048</v>
      </c>
    </row>
    <row r="51" spans="5:50">
      <c r="U51" s="23"/>
    </row>
    <row r="52" spans="5:50">
      <c r="L52" t="s">
        <v>500</v>
      </c>
      <c r="N52" s="7"/>
      <c r="O52" s="66">
        <f>COUNT(O41:O50)</f>
        <v>10</v>
      </c>
      <c r="Q52" t="s">
        <v>885</v>
      </c>
      <c r="R52" s="59">
        <f t="shared" ref="R52:W52" si="37">SUM(R41:R50)</f>
        <v>89.752372085950896</v>
      </c>
      <c r="S52" s="59">
        <f t="shared" si="37"/>
        <v>38.13294728812636</v>
      </c>
      <c r="T52" s="59">
        <f t="shared" si="37"/>
        <v>32.431659934936263</v>
      </c>
      <c r="U52" s="23">
        <f t="shared" si="37"/>
        <v>1096.4906351348359</v>
      </c>
      <c r="V52" s="59">
        <f t="shared" si="37"/>
        <v>45.020435740705572</v>
      </c>
      <c r="W52" s="59">
        <f t="shared" si="37"/>
        <v>21.180539147640275</v>
      </c>
    </row>
    <row r="53" spans="5:50">
      <c r="L53" t="s">
        <v>501</v>
      </c>
      <c r="N53" s="7"/>
      <c r="O53" s="2">
        <v>1</v>
      </c>
    </row>
    <row r="54" spans="5:50">
      <c r="N54" s="7"/>
      <c r="O54" s="7"/>
    </row>
    <row r="55" spans="5:50">
      <c r="G55" s="67" t="s">
        <v>502</v>
      </c>
      <c r="H55" s="40"/>
      <c r="I55" s="40">
        <f>S52/R52</f>
        <v>0.42486840628132411</v>
      </c>
      <c r="J55" s="40"/>
      <c r="K55" s="68" t="s">
        <v>879</v>
      </c>
      <c r="L55" s="40"/>
      <c r="M55" s="42"/>
      <c r="N55" s="7"/>
      <c r="O55" s="69" t="s">
        <v>503</v>
      </c>
      <c r="P55" s="70">
        <f>T52-((S52^2)/R52)</f>
        <v>16.230175393820275</v>
      </c>
      <c r="Q55" s="71" t="s">
        <v>824</v>
      </c>
      <c r="R55" s="28"/>
      <c r="S55" s="29"/>
      <c r="T55" s="30"/>
      <c r="U55" s="31"/>
      <c r="AF55" s="2" t="s">
        <v>1518</v>
      </c>
    </row>
    <row r="56" spans="5:50">
      <c r="G56" s="43" t="s">
        <v>504</v>
      </c>
      <c r="H56" s="31"/>
      <c r="I56" s="31">
        <f>1/R52</f>
        <v>1.1141766805253405E-2</v>
      </c>
      <c r="J56" s="31"/>
      <c r="K56" s="31"/>
      <c r="L56" s="31"/>
      <c r="M56" s="44"/>
      <c r="N56" s="7"/>
      <c r="O56" s="30" t="s">
        <v>505</v>
      </c>
      <c r="P56" s="31">
        <f>CHIDIST(P55,I60-1)</f>
        <v>6.2227753536068235E-2</v>
      </c>
      <c r="Q56" s="31"/>
      <c r="R56" s="31"/>
      <c r="S56" s="34"/>
      <c r="T56" s="30"/>
      <c r="U56" s="31"/>
      <c r="AF56" s="2"/>
    </row>
    <row r="57" spans="5:50">
      <c r="G57" s="72" t="s">
        <v>506</v>
      </c>
      <c r="H57" s="31"/>
      <c r="I57" s="31">
        <f>$R$67*SQRT(I56)</f>
        <v>0.20688695309047761</v>
      </c>
      <c r="J57" s="31"/>
      <c r="K57" s="31" t="s">
        <v>507</v>
      </c>
      <c r="L57" s="31"/>
      <c r="M57" s="44">
        <f>ABS(I55/SQRT(I56))</f>
        <v>4.0251067738776802</v>
      </c>
      <c r="N57" s="7"/>
      <c r="O57" s="35" t="s">
        <v>508</v>
      </c>
      <c r="P57" s="37">
        <f>IF(((P55-(I60-1))/P55)&lt;0,0,100*((P55-(I60-1))/P55))</f>
        <v>44.547734194993375</v>
      </c>
      <c r="Q57" s="36"/>
      <c r="R57" s="36"/>
      <c r="S57" s="38"/>
      <c r="T57" s="30"/>
      <c r="U57" s="31"/>
      <c r="AF57" s="2" t="s">
        <v>1535</v>
      </c>
      <c r="AH57">
        <f>IF($D$6=1,100*((EXP(I55))-1),I55)</f>
        <v>0.42486840628132411</v>
      </c>
    </row>
    <row r="58" spans="5:50">
      <c r="G58" s="45" t="s">
        <v>509</v>
      </c>
      <c r="H58" s="46"/>
      <c r="I58" s="46">
        <v>-2</v>
      </c>
      <c r="J58" s="46"/>
      <c r="K58" s="46" t="s">
        <v>825</v>
      </c>
      <c r="L58" s="46"/>
      <c r="M58" s="47">
        <f>2*(1-NORMDIST(M57,0,1,1))</f>
        <v>5.6949469642297856E-5</v>
      </c>
      <c r="N58" s="7"/>
      <c r="O58" s="7"/>
      <c r="AF58" s="79" t="s">
        <v>834</v>
      </c>
      <c r="AH58">
        <f>IF($D$6=1,100*(EXP(I55+I57)-EXP(I55)),I57)</f>
        <v>0.20688695309047761</v>
      </c>
    </row>
    <row r="59" spans="5:50">
      <c r="G59" s="40"/>
      <c r="H59" s="40"/>
      <c r="I59" s="40"/>
      <c r="J59" s="40"/>
      <c r="K59" s="40"/>
      <c r="L59" s="40"/>
      <c r="M59" s="40"/>
      <c r="N59" s="7"/>
      <c r="O59" s="7"/>
      <c r="AF59" s="79" t="s">
        <v>835</v>
      </c>
      <c r="AH59">
        <f>IF($D$6=1,100*(EXP(I55)-EXP(I55-I57)),I57)</f>
        <v>0.20688695309047761</v>
      </c>
    </row>
    <row r="60" spans="5:50">
      <c r="G60" s="73" t="s">
        <v>1110</v>
      </c>
      <c r="H60" s="74"/>
      <c r="I60" s="74">
        <f>O52</f>
        <v>10</v>
      </c>
      <c r="J60" s="74"/>
      <c r="K60" s="75" t="s">
        <v>1167</v>
      </c>
      <c r="L60" s="74"/>
      <c r="M60" s="76"/>
      <c r="N60" s="77"/>
      <c r="O60" s="101" t="s">
        <v>1513</v>
      </c>
      <c r="P60" s="102"/>
      <c r="Q60" s="103"/>
      <c r="AF60" s="7"/>
    </row>
    <row r="61" spans="5:50">
      <c r="G61" s="77" t="s">
        <v>1531</v>
      </c>
      <c r="H61" s="31"/>
      <c r="I61" s="31">
        <f>R52/I60</f>
        <v>8.9752372085950896</v>
      </c>
      <c r="J61" s="31"/>
      <c r="K61" s="31"/>
      <c r="L61" s="31"/>
      <c r="M61" s="78"/>
      <c r="N61" s="77"/>
      <c r="O61" s="104" t="s">
        <v>1514</v>
      </c>
      <c r="P61" s="31"/>
      <c r="Q61" s="105">
        <f>INDEX(LINEST(AL41:AL50,AK41:AK50,TRUE,TRUE),1,2)</f>
        <v>1.9903408819439239</v>
      </c>
      <c r="AF61" s="2" t="s">
        <v>1687</v>
      </c>
      <c r="AH61">
        <f>IF($D$6=1,100*((EXP(I66))-1),I66)</f>
        <v>0.47046499659908286</v>
      </c>
    </row>
    <row r="62" spans="5:50">
      <c r="G62" s="77" t="s">
        <v>1532</v>
      </c>
      <c r="H62" s="31"/>
      <c r="I62" s="31">
        <f>(1/(I60-1))*(U52-(I60*I61^2))</f>
        <v>32.326867292148677</v>
      </c>
      <c r="J62" s="31"/>
      <c r="K62" s="31"/>
      <c r="L62" s="31"/>
      <c r="M62" s="78"/>
      <c r="N62" s="77"/>
      <c r="O62" s="104" t="s">
        <v>1516</v>
      </c>
      <c r="P62" s="31"/>
      <c r="Q62" s="105">
        <f>INDEX(LINEST(AL41:AL50,AK41:AK50,TRUE,TRUE),2,2)</f>
        <v>1.4284794142617558</v>
      </c>
      <c r="AF62" s="79" t="s">
        <v>834</v>
      </c>
      <c r="AG62" s="7"/>
      <c r="AH62">
        <f>IF($D$6=1,100*(EXP(I66+I68)-EXP(I66)),I68)</f>
        <v>0.29211322825320846</v>
      </c>
    </row>
    <row r="63" spans="5:50">
      <c r="G63" s="77" t="s">
        <v>1669</v>
      </c>
      <c r="H63" s="31"/>
      <c r="I63" s="31">
        <f>(I60-1)*(I61-(I62/(I60*I61)))</f>
        <v>77.53552912513436</v>
      </c>
      <c r="J63" s="31"/>
      <c r="K63" s="31"/>
      <c r="L63" s="31"/>
      <c r="M63" s="78"/>
      <c r="N63" s="77"/>
      <c r="O63" s="104" t="s">
        <v>1349</v>
      </c>
      <c r="P63" s="31"/>
      <c r="Q63" s="105">
        <f>ABS(Q61/Q62)</f>
        <v>1.393328361663889</v>
      </c>
      <c r="AF63" s="79" t="s">
        <v>835</v>
      </c>
      <c r="AH63">
        <f>IF($D$6=1,100*(EXP(I66)-EXP(I66-I68)),I68)</f>
        <v>0.29211322825320846</v>
      </c>
    </row>
    <row r="64" spans="5:50">
      <c r="G64" s="77" t="s">
        <v>1685</v>
      </c>
      <c r="H64" s="31"/>
      <c r="I64" s="31">
        <f>IF(P55&gt;(I60-1),(P55-(I60-1))/I63,0)</f>
        <v>9.3249836241544398E-2</v>
      </c>
      <c r="J64" s="31"/>
      <c r="K64" s="31"/>
      <c r="L64" s="31"/>
      <c r="M64" s="78"/>
      <c r="N64" s="77"/>
      <c r="O64" s="106" t="s">
        <v>1515</v>
      </c>
      <c r="P64" s="107"/>
      <c r="Q64" s="108">
        <f>TDIST(Q63,I60-2,2)</f>
        <v>0.20101225843482617</v>
      </c>
    </row>
    <row r="65" spans="7:18">
      <c r="G65" s="77"/>
      <c r="H65" s="31"/>
      <c r="I65" s="31"/>
      <c r="J65" s="31"/>
      <c r="K65" s="31"/>
      <c r="L65" s="31"/>
      <c r="M65" s="78"/>
      <c r="N65" s="77"/>
    </row>
    <row r="66" spans="7:18">
      <c r="G66" s="77" t="s">
        <v>1686</v>
      </c>
      <c r="H66" s="31"/>
      <c r="I66" s="31">
        <f>W52/V52</f>
        <v>0.47046499659908286</v>
      </c>
      <c r="J66" s="31"/>
      <c r="N66" s="77"/>
    </row>
    <row r="67" spans="7:18">
      <c r="G67" s="77" t="s">
        <v>504</v>
      </c>
      <c r="H67" s="31"/>
      <c r="I67" s="31">
        <f>1/V52</f>
        <v>2.2212135079266733E-2</v>
      </c>
      <c r="J67" s="31"/>
      <c r="N67" s="77"/>
      <c r="O67" t="s">
        <v>805</v>
      </c>
      <c r="R67">
        <v>1.96</v>
      </c>
    </row>
    <row r="68" spans="7:18">
      <c r="G68" s="80" t="s">
        <v>506</v>
      </c>
      <c r="H68" s="31"/>
      <c r="I68" s="31">
        <f>$R$67*SQRT(I67)</f>
        <v>0.29211322825320846</v>
      </c>
      <c r="J68" s="31"/>
      <c r="K68" s="31" t="s">
        <v>507</v>
      </c>
      <c r="L68" s="31"/>
      <c r="M68" s="78">
        <f>ABS(I66/(SQRT(I67)))</f>
        <v>3.1566916666125828</v>
      </c>
      <c r="N68" s="77"/>
    </row>
    <row r="69" spans="7:18">
      <c r="G69" s="81" t="s">
        <v>509</v>
      </c>
      <c r="H69" s="82"/>
      <c r="I69" s="82">
        <v>-3</v>
      </c>
      <c r="J69" s="82"/>
      <c r="K69" s="31" t="s">
        <v>825</v>
      </c>
      <c r="L69" s="31"/>
      <c r="M69" s="78">
        <f>2*(1-NORMDIST(M68,0,1,1))</f>
        <v>1.5956997897688119E-3</v>
      </c>
      <c r="N69" s="77"/>
    </row>
    <row r="70" spans="7:18">
      <c r="G70" s="74"/>
      <c r="H70" s="74"/>
      <c r="I70" s="74"/>
      <c r="J70" s="74"/>
      <c r="K70" s="74"/>
      <c r="L70" s="74"/>
      <c r="M70" s="74"/>
      <c r="N70" s="31"/>
      <c r="O70" s="7"/>
    </row>
  </sheetData>
  <phoneticPr fontId="10" type="noConversion"/>
  <conditionalFormatting sqref="D17 D13 F13">
    <cfRule type="cellIs" dxfId="144" priority="0" stopIfTrue="1" operator="lessThan">
      <formula>0.05</formula>
    </cfRule>
  </conditionalFormatting>
  <conditionalFormatting sqref="D21">
    <cfRule type="cellIs" dxfId="14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0.xml><?xml version="1.0" encoding="utf-8"?>
<worksheet xmlns="http://schemas.openxmlformats.org/spreadsheetml/2006/main" xmlns:r="http://schemas.openxmlformats.org/officeDocument/2006/relationships">
  <sheetPr published="0" codeName="Sheet77"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2271</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86</v>
      </c>
      <c r="AD8" s="89"/>
    </row>
    <row r="9" spans="2:30">
      <c r="B9" t="s">
        <v>823</v>
      </c>
      <c r="D9">
        <f>SUM(I24:I26)</f>
        <v>101</v>
      </c>
      <c r="AD9" s="89"/>
    </row>
    <row r="11" spans="2:30">
      <c r="B11" s="27" t="s">
        <v>516</v>
      </c>
      <c r="C11" s="28"/>
      <c r="D11" s="109">
        <f>P40</f>
        <v>4.1547264850541525</v>
      </c>
      <c r="E11" s="110" t="s">
        <v>1513</v>
      </c>
      <c r="F11" s="103"/>
    </row>
    <row r="12" spans="2:30">
      <c r="B12" s="30" t="s">
        <v>826</v>
      </c>
      <c r="C12" s="31"/>
      <c r="D12" s="112">
        <f>P42</f>
        <v>51.862053803189603</v>
      </c>
      <c r="E12" s="31"/>
      <c r="F12" s="105"/>
    </row>
    <row r="13" spans="2:30">
      <c r="B13" s="35" t="s">
        <v>825</v>
      </c>
      <c r="C13" s="36"/>
      <c r="D13" s="113">
        <f>P41</f>
        <v>0.12526005754439584</v>
      </c>
      <c r="E13" s="111" t="s">
        <v>825</v>
      </c>
      <c r="F13" s="115">
        <f>Q49</f>
        <v>0.14836505384366219</v>
      </c>
    </row>
    <row r="15" spans="2:30">
      <c r="B15" s="39" t="s">
        <v>879</v>
      </c>
      <c r="C15" s="40"/>
      <c r="D15" s="41">
        <f>AH42</f>
        <v>-0.13434644630037115</v>
      </c>
      <c r="E15" s="116"/>
    </row>
    <row r="16" spans="2:30">
      <c r="B16" s="43" t="s">
        <v>1165</v>
      </c>
      <c r="C16" s="31"/>
      <c r="D16" s="33">
        <f>AH42-AH44</f>
        <v>-0.42510404268274082</v>
      </c>
      <c r="E16" s="117">
        <f>AH42+AH43</f>
        <v>0.15641115008199849</v>
      </c>
    </row>
    <row r="17" spans="1:65">
      <c r="B17" s="45" t="s">
        <v>1166</v>
      </c>
      <c r="C17" s="46"/>
      <c r="D17" s="123">
        <f>M43</f>
        <v>0.36513130059676691</v>
      </c>
      <c r="E17" s="118"/>
    </row>
    <row r="18" spans="1:65">
      <c r="D18" s="48"/>
      <c r="F18" s="49"/>
    </row>
    <row r="19" spans="1:65">
      <c r="B19" s="50" t="s">
        <v>1167</v>
      </c>
      <c r="C19" s="51"/>
      <c r="D19" s="52">
        <f>AH46</f>
        <v>-0.11917689320257341</v>
      </c>
      <c r="E19" s="120"/>
      <c r="F19" s="33"/>
      <c r="G19" s="31"/>
    </row>
    <row r="20" spans="1:65">
      <c r="B20" s="53" t="s">
        <v>1165</v>
      </c>
      <c r="C20" s="31"/>
      <c r="D20" s="33">
        <f>AH46-AH48</f>
        <v>-0.53932190901957433</v>
      </c>
      <c r="E20" s="121">
        <f>AH46+AH47</f>
        <v>0.30096812261442751</v>
      </c>
      <c r="F20" s="31"/>
      <c r="G20" s="31"/>
    </row>
    <row r="21" spans="1:65">
      <c r="B21" s="54" t="s">
        <v>1440</v>
      </c>
      <c r="C21" s="55"/>
      <c r="D21" s="114">
        <f>M54</f>
        <v>0.57823350107497307</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t="s">
        <v>2267</v>
      </c>
      <c r="B24">
        <v>14960287</v>
      </c>
      <c r="C24" s="1" t="str">
        <f>IF($B24="","",HYPERLINK(IF(LEN(VLOOKUP($B24,Database!$B$1:$IX$10144,2,FALSE))=0,"",VLOOKUP($B24,Database!$B$1:$IX$10144,2,FALSE))))</f>
        <v/>
      </c>
      <c r="D24" s="1" t="str">
        <f>IF($B24="","",HYPERLINK(CONCATENATE("http://www.ncbi.nlm.nih.gov/pubmed/",B24)))</f>
        <v>http://www.ncbi.nlm.nih.gov/pubmed/14960287</v>
      </c>
      <c r="E24" s="22" t="str">
        <f>IF($B24="","",IF(LEN(VLOOKUP($B24,Database!$B$1:$IX$10144,4,FALSE))=0,"",VLOOKUP($B24,Database!$B$1:$IX$10144,4,FALSE)))</f>
        <v>Lacerda AL</v>
      </c>
      <c r="F24" s="22">
        <f>IF($B24="","",IF(LEN(VLOOKUP($B24,Database!$B$1:$IX$10144,5,FALSE))=0,"",VLOOKUP($B24,Database!$B$1:$IX$10144,5,FALSE)))</f>
        <v>2004</v>
      </c>
      <c r="G24" s="1" t="str">
        <f>IF($B24="","",HYPERLINK(IF(LEN(VLOOKUP($B24,Database!$B$1:$IX$10144,6,FALSE))=0,"",VLOOKUP($B24,Database!$B$1:$IX$10144,6,FALSE))))</f>
        <v>http://dx.doi.org/10.1016/j.biopsych.2003.08.021</v>
      </c>
      <c r="H24" s="22">
        <f>IF($B24="","",IF(LEN(VLOOKUP($B24,Database!$B$1:$IX$10144,7,FALSE))=0,"",VLOOKUP($B24,Database!$B$1:$IX$10144,7,FALSE)))</f>
        <v>31</v>
      </c>
      <c r="I24" s="22">
        <f>IF($B24="","",IF(LEN(VLOOKUP($B24,Database!$B$1:$IX$10144,8,FALSE))=0,"",VLOOKUP($B24,Database!$B$1:$IX$10144,8,FALSE)))</f>
        <v>34</v>
      </c>
      <c r="J24" t="s">
        <v>759</v>
      </c>
      <c r="L24">
        <v>2.5099999999999998</v>
      </c>
      <c r="M24">
        <v>0.52</v>
      </c>
      <c r="N24">
        <v>2.72</v>
      </c>
      <c r="O24">
        <v>0.69</v>
      </c>
      <c r="P24">
        <v>2.9</v>
      </c>
      <c r="Q24">
        <v>0.63</v>
      </c>
      <c r="R24">
        <v>3.17</v>
      </c>
      <c r="S24">
        <v>0.79</v>
      </c>
      <c r="T24">
        <v>5.41</v>
      </c>
      <c r="U24">
        <v>1.1200000000000001</v>
      </c>
      <c r="V24">
        <v>5.89</v>
      </c>
      <c r="W24">
        <v>1.46</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37.03</v>
      </c>
      <c r="AE24" s="22">
        <f>IF(OR($B24="",AE$22=""),"",IF(LEN(VLOOKUP($B24,Database!$B$1:$IX$10144,AE$22,FALSE))=0,"",VLOOKUP($B24,Database!$B$1:$IX$10144,AE$22,FALSE)))</f>
        <v>11.88</v>
      </c>
      <c r="AF24" s="22">
        <f>IF(OR($B24="",AF$22=""),"",IF(LEN(VLOOKUP($B24,Database!$B$1:$IX$10144,AF$22,FALSE))=0,"",VLOOKUP($B24,Database!$B$1:$IX$10144,AF$22,FALSE)))</f>
        <v>24</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27.94</v>
      </c>
      <c r="AL24" s="22">
        <f>IF(OR($B24="",AL$22=""),"",IF(LEN(VLOOKUP($B24,Database!$B$1:$IX$10144,AL$22,FALSE))=0,"",VLOOKUP($B24,Database!$B$1:$IX$10144,AL$22,FALSE)))</f>
        <v>14.07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f>IF(OR($B24="",AP$22=""),"",IF(LEN(VLOOKUP($B24,Database!$B$1:$IX$10144,AP$22,FALSE))=0,"",VLOOKUP($B24,Database!$B$1:$IX$10144,AP$22,FALSE)))</f>
        <v>100</v>
      </c>
      <c r="AQ24" s="22" t="str">
        <f>IF(OR($B24="",AQ$22=""),"",IF(LEN(VLOOKUP($B24,Database!$B$1:$IX$10144,AQ$22,FALSE))=0,"",VLOOKUP($B24,Database!$B$1:$IX$10144,AQ$22,FALSE)))</f>
        <v>Lacerda AL, Keshavan MS, Hardan AY, Yorbik O, Brambilla P, Sassi RB, Nicoletti M, Mallinger AG, Frank E, Kupfer DJ, Soares JC.</v>
      </c>
      <c r="AR24" s="13"/>
      <c r="AX24" s="13"/>
      <c r="AY24" s="13"/>
      <c r="AZ24" s="13"/>
      <c r="BA24" s="13"/>
      <c r="BC24" s="23"/>
      <c r="BF24" s="136"/>
      <c r="BG24" s="136"/>
      <c r="BH24" s="136"/>
      <c r="BI24" s="136"/>
    </row>
    <row r="25" spans="1:65">
      <c r="B25">
        <v>15576058</v>
      </c>
      <c r="C25" s="1" t="str">
        <f>IF($B25="","",HYPERLINK(IF(LEN(VLOOKUP($B25,Database!$B$1:$IX$10144,2,FALSE))=0,"",VLOOKUP($B25,Database!$B$1:$IX$10144,2,FALSE))))</f>
        <v/>
      </c>
      <c r="D25" s="1" t="str">
        <f>IF($B25="","",HYPERLINK(CONCATENATE("http://www.ncbi.nlm.nih.gov/pubmed/",B25)))</f>
        <v>http://www.ncbi.nlm.nih.gov/pubmed/15576058</v>
      </c>
      <c r="E25" s="22" t="str">
        <f>IF($B25="","",IF(LEN(VLOOKUP($B25,Database!$B$1:$IX$10144,4,FALSE))=0,"",VLOOKUP($B25,Database!$B$1:$IX$10144,4,FALSE)))</f>
        <v>Janssen J</v>
      </c>
      <c r="F25" s="22">
        <f>IF($B25="","",IF(LEN(VLOOKUP($B25,Database!$B$1:$IX$10144,5,FALSE))=0,"",VLOOKUP($B25,Database!$B$1:$IX$10144,5,FALSE)))</f>
        <v>2004</v>
      </c>
      <c r="G25" s="1" t="str">
        <f>IF($B25="","",HYPERLINK(IF(LEN(VLOOKUP($B25,Database!$B$1:$IX$10144,6,FALSE))=0,"",VLOOKUP($B25,Database!$B$1:$IX$10144,6,FALSE))))</f>
        <v>http://dx.doi.org/10.1016/j.biopsych.2004.09.011</v>
      </c>
      <c r="H25" s="22">
        <f>IF($B25="","",IF(LEN(VLOOKUP($B25,Database!$B$1:$IX$10144,7,FALSE))=0,"",VLOOKUP($B25,Database!$B$1:$IX$10144,7,FALSE)))</f>
        <v>28</v>
      </c>
      <c r="I25" s="22">
        <f>IF($B25="","",IF(LEN(VLOOKUP($B25,Database!$B$1:$IX$10144,8,FALSE))=0,"",VLOOKUP($B25,Database!$B$1:$IX$10144,8,FALSE)))</f>
        <v>41</v>
      </c>
      <c r="J25" t="s">
        <v>1214</v>
      </c>
      <c r="T25">
        <v>4.6399999999999997</v>
      </c>
      <c r="U25">
        <v>1.26</v>
      </c>
      <c r="V25">
        <v>5</v>
      </c>
      <c r="W25">
        <v>1.21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c r="AC25" s="22"/>
      <c r="AD25" s="22">
        <f>IF(OR($B25="",AD$22=""),"",IF(LEN(VLOOKUP($B25,Database!$B$1:$IX$10144,AD$22,FALSE))=0,"",VLOOKUP($B25,Database!$B$1:$IX$10144,AD$22,FALSE)))</f>
        <v>62.37</v>
      </c>
      <c r="AE25" s="22">
        <f>IF(OR($B25="",AE$22=""),"",IF(LEN(VLOOKUP($B25,Database!$B$1:$IX$10144,AE$22,FALSE))=0,"",VLOOKUP($B25,Database!$B$1:$IX$10144,AE$22,FALSE)))</f>
        <v>11.38</v>
      </c>
      <c r="AF25" s="22">
        <f>IF(OR($B25="",AF$22=""),"",IF(LEN(VLOOKUP($B25,Database!$B$1:$IX$10144,AF$22,FALSE))=0,"",VLOOKUP($B25,Database!$B$1:$IX$10144,AF$22,FALSE)))</f>
        <v>28</v>
      </c>
      <c r="AG25" s="22">
        <f>IF(OR($B25="",AG$22=""),"",IF(LEN(VLOOKUP($B25,Database!$B$1:$IX$10144,AG$22,FALSE))=0,"",VLOOKUP($B25,Database!$B$1:$IX$10144,AG$22,FALSE)))</f>
        <v>41</v>
      </c>
      <c r="AH25" s="22">
        <f>IF(OR($B25="",AH$22=""),"",IF(LEN(VLOOKUP($B25,Database!$B$1:$IX$10144,AH$22,FALSE))=0,"",VLOOKUP($B25,Database!$B$1:$IX$10144,AH$22,FALSE)))</f>
        <v>1.5</v>
      </c>
      <c r="AI25" s="22">
        <f>IF(OR($B25="",AI$22=""),"",IF(LEN(VLOOKUP($B25,Database!$B$1:$IX$10144,AI$22,FALSE))=0,"",VLOOKUP($B25,Database!$B$1:$IX$10144,AI$22,FALSE)))</f>
        <v>1.2</v>
      </c>
      <c r="AJ25" s="22" t="str">
        <f>IF(OR($B25="",AJ$22=""),"",IF(LEN(VLOOKUP($B25,Database!$B$1:$IX$10144,AJ$22,FALSE))=0,"",VLOOKUP($B25,Database!$B$1:$IX$10144,AJ$22,FALSE)))</f>
        <v/>
      </c>
      <c r="AK25" s="22">
        <f>IF(OR($B25="",AK$22=""),"",IF(LEN(VLOOKUP($B25,Database!$B$1:$IX$10144,AK$22,FALSE))=0,"",VLOOKUP($B25,Database!$B$1:$IX$10144,AK$22,FALSE)))</f>
        <v>33.04</v>
      </c>
      <c r="AL25" s="22" t="str">
        <f>IF(OR($B25="",AL$22=""),"",IF(LEN(VLOOKUP($B25,Database!$B$1:$IX$10144,AL$22,FALSE))=0,"",VLOOKUP($B25,Database!$B$1:$IX$10144,AL$22,FALSE)))</f>
        <v>ns</v>
      </c>
      <c r="AM25" s="22">
        <f>IF(OR($B25="",AM$22=""),"",IF(LEN(VLOOKUP($B25,Database!$B$1:$IX$10144,AM$22,FALSE))=0,"",VLOOKUP($B25,Database!$B$1:$IX$10144,AM$22,FALSE)))</f>
        <v>60.714285714285708</v>
      </c>
      <c r="AN25" s="22">
        <f>IF(OR($B25="",AN$22=""),"",IF(LEN(VLOOKUP($B25,Database!$B$1:$IX$10144,AN$22,FALSE))=0,"",VLOOKUP($B25,Database!$B$1:$IX$10144,AN$22,FALSE)))</f>
        <v>25</v>
      </c>
      <c r="AO25" s="22">
        <f>IF(OR($B25="",AO$22=""),"",IF(LEN(VLOOKUP($B25,Database!$B$1:$IX$10144,AO$22,FALSE))=0,"",VLOOKUP($B25,Database!$B$1:$IX$10144,AO$22,FALSE)))</f>
        <v>14.285714285714285</v>
      </c>
      <c r="AP25" s="22">
        <f>IF(OR($B25="",AP$22=""),"",IF(LEN(VLOOKUP($B25,Database!$B$1:$IX$10144,AP$22,FALSE))=0,"",VLOOKUP($B25,Database!$B$1:$IX$10144,AP$22,FALSE)))</f>
        <v>21.428571428571427</v>
      </c>
      <c r="AQ25" s="22" t="str">
        <f>IF(OR($B25="",AQ$22=""),"",IF(LEN(VLOOKUP($B25,Database!$B$1:$IX$10144,AQ$22,FALSE))=0,"",VLOOKUP($B25,Database!$B$1:$IX$10144,AQ$22,FALSE)))</f>
        <v>Janssen J, Hulshoff Pol HE, Lampe IK, Schnack HG, de Leeuw FE, Kahn RS, Heeren TJ.</v>
      </c>
      <c r="AR25" s="13"/>
      <c r="AX25" s="13"/>
      <c r="AY25" s="13"/>
      <c r="AZ25" s="13"/>
      <c r="BA25" s="13"/>
      <c r="BC25" s="23"/>
      <c r="BF25" s="136"/>
      <c r="BG25" s="136"/>
      <c r="BH25" s="136"/>
      <c r="BI25" s="136"/>
    </row>
    <row r="26" spans="1:65">
      <c r="B26">
        <v>19108659</v>
      </c>
      <c r="C26" s="1" t="str">
        <f>IF($B26="","",HYPERLINK(IF(LEN(VLOOKUP($B26,Database!$B$1:$IX$10144,2,FALSE))=0,"",VLOOKUP($B26,Database!$B$1:$IX$10144,2,FALSE))))</f>
        <v/>
      </c>
      <c r="D26" s="1" t="str">
        <f>IF($B26="","",HYPERLINK(CONCATENATE("http://www.ncbi.nlm.nih.gov/pubmed/",B26)))</f>
        <v>http://www.ncbi.nlm.nih.gov/pubmed/19108659</v>
      </c>
      <c r="E26" s="22" t="str">
        <f>IF($B26="","",IF(LEN(VLOOKUP($B26,Database!$B$1:$IX$10144,4,FALSE))=0,"",VLOOKUP($B26,Database!$B$1:$IX$10144,4,FALSE)))</f>
        <v>Chen HH</v>
      </c>
      <c r="F26" s="22">
        <f>IF($B26="","",IF(LEN(VLOOKUP($B26,Database!$B$1:$IX$10144,5,FALSE))=0,"",VLOOKUP($B26,Database!$B$1:$IX$10144,5,FALSE)))</f>
        <v>2008</v>
      </c>
      <c r="G26" s="1" t="str">
        <f>IF($B26="","",HYPERLINK(IF(LEN(VLOOKUP($B26,Database!$B$1:$IX$10144,6,FALSE))=0,"",VLOOKUP($B26,Database!$B$1:$IX$10144,6,FALSE))))</f>
        <v>http://dx.doi.org/10.1089/cap.2008.053</v>
      </c>
      <c r="H26" s="22">
        <f>IF($B26="","",IF(LEN(VLOOKUP($B26,Database!$B$1:$IX$10144,7,FALSE))=0,"",VLOOKUP($B26,Database!$B$1:$IX$10144,7,FALSE)))</f>
        <v>27</v>
      </c>
      <c r="I26" s="22">
        <f>IF($B26="","",IF(LEN(VLOOKUP($B26,Database!$B$1:$IX$10144,8,FALSE))=0,"",VLOOKUP($B26,Database!$B$1:$IX$10144,8,FALSE)))</f>
        <v>26</v>
      </c>
      <c r="J26" t="s">
        <v>127</v>
      </c>
      <c r="T26">
        <v>6.9</v>
      </c>
      <c r="U26">
        <v>1.4</v>
      </c>
      <c r="V26">
        <v>6.4</v>
      </c>
      <c r="W26">
        <v>1.5</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14.4</v>
      </c>
      <c r="AC26" s="22">
        <f>IF(OR($B26="",AC$22=""),"",IF(LEN(VLOOKUP($B26,Database!$B$1:$IX$10144,AC$22,FALSE))=0,"",VLOOKUP($B26,Database!$B$1:$IX$10144,AC$22,FALSE)))</f>
        <v>2.2000000000000002</v>
      </c>
      <c r="AD26" s="22">
        <f>IF(OR($B26="",AD$22=""),"",IF(LEN(VLOOKUP($B26,Database!$B$1:$IX$10144,AD$22,FALSE))=0,"",VLOOKUP($B26,Database!$B$1:$IX$10144,AD$22,FALSE)))</f>
        <v>14.4</v>
      </c>
      <c r="AE26" s="22">
        <f>IF(OR($B26="",AE$22=""),"",IF(LEN(VLOOKUP($B26,Database!$B$1:$IX$10144,AE$22,FALSE))=0,"",VLOOKUP($B26,Database!$B$1:$IX$10144,AE$22,FALSE)))</f>
        <v>2.4</v>
      </c>
      <c r="AF26" s="22">
        <f>IF(OR($B26="",AF$22=""),"",IF(LEN(VLOOKUP($B26,Database!$B$1:$IX$10144,AF$22,FALSE))=0,"",VLOOKUP($B26,Database!$B$1:$IX$10144,AF$22,FALSE)))</f>
        <v>17</v>
      </c>
      <c r="AG26" s="22">
        <f>IF(OR($B26="",AG$22=""),"",IF(LEN(VLOOKUP($B26,Database!$B$1:$IX$10144,AG$22,FALSE))=0,"",VLOOKUP($B26,Database!$B$1:$IX$10144,AG$22,FALSE)))</f>
        <v>14</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11.75</v>
      </c>
      <c r="AL26" s="22">
        <f>IF(OR($B26="",AL$22=""),"",IF(LEN(VLOOKUP($B26,Database!$B$1:$IX$10144,AL$22,FALSE))=0,"",VLOOKUP($B26,Database!$B$1:$IX$10144,AL$22,FALSE)))</f>
        <v>20.100000000000001</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Chen HH, Rosenberg DR, MacMaster FP, Easter PC, Caetano SC, Nicoletti M, Hatch JP, Nery FG, Soares JC.</v>
      </c>
      <c r="AR26" s="13"/>
      <c r="AX26" s="13"/>
      <c r="AY26" s="13"/>
      <c r="AZ26" s="13"/>
      <c r="BA26" s="13"/>
      <c r="BC26" s="23"/>
      <c r="BF26" s="136"/>
      <c r="BG26" s="136"/>
      <c r="BH26" s="136"/>
      <c r="BI26" s="136"/>
    </row>
    <row r="27" spans="1:65">
      <c r="B27" s="13"/>
      <c r="C27" s="1" t="str">
        <f>IF($B27="","",HYPERLINK(IF(LEN(VLOOKUP($B27,Database!$B$1:$IX$10144,2,FALSE))=0,"",VLOOKUP($B27,Database!$B$1:$IX$10144,2,FALSE))))</f>
        <v/>
      </c>
      <c r="D27" s="1" t="str">
        <f>IF($B27="","",HYPERLINK(CONCATENATE("http://www.ncbi.nlm.nih.gov/pubmed/",B27)))</f>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c r="AX27" s="13"/>
      <c r="AY27" s="13"/>
      <c r="AZ27" s="13"/>
      <c r="BA27" s="13"/>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10" t="s">
        <v>356</v>
      </c>
      <c r="B29">
        <v>14532909</v>
      </c>
      <c r="C29" s="1" t="str">
        <f>IF($B29="","",HYPERLINK(IF(LEN(VLOOKUP($B29,Database!$B$1:$IX$10144,2,FALSE))=0,"",VLOOKUP($B29,Database!$B$1:$IX$10144,2,FALSE))))</f>
        <v/>
      </c>
      <c r="D29" s="1" t="str">
        <f>IF($B29="","",HYPERLINK(CONCATENATE("http://www.ncbi.nlm.nih.gov/pubmed/",B29)))</f>
        <v>http://www.ncbi.nlm.nih.gov/pubmed/14532909</v>
      </c>
      <c r="E29" s="22" t="str">
        <f>IF($B29="","",IF(LEN(VLOOKUP($B29,Database!$B$1:$IX$10144,4,FALSE))=0,"",VLOOKUP($B29,Database!$B$1:$IX$10144,4,FALSE)))</f>
        <v>Steffens DC (B)</v>
      </c>
      <c r="F29" s="22">
        <f>IF($B29="","",IF(LEN(VLOOKUP($B29,Database!$B$1:$IX$10144,5,FALSE))=0,"",VLOOKUP($B29,Database!$B$1:$IX$10144,5,FALSE)))</f>
        <v>2003</v>
      </c>
      <c r="G29" s="1" t="str">
        <f>IF($B29="","",HYPERLINK(IF(LEN(VLOOKUP($B29,Database!$B$1:$IX$10144,6,FALSE))=0,"",VLOOKUP($B29,Database!$B$1:$IX$10144,6,FALSE))))</f>
        <v>http://www.nature.com/npp/journal/v28/n12/pdf/1300285a.pdf</v>
      </c>
      <c r="H29" s="22">
        <f>IF($B29="","",IF(LEN(VLOOKUP($B29,Database!$B$1:$IX$10144,7,FALSE))=0,"",VLOOKUP($B29,Database!$B$1:$IX$10144,7,FALSE)))</f>
        <v>30</v>
      </c>
      <c r="I29" s="22">
        <f>IF($B29="","",IF(LEN(VLOOKUP($B29,Database!$B$1:$IX$10144,8,FALSE))=0,"",VLOOKUP($B29,Database!$B$1:$IX$10144,8,FALSE)))</f>
        <v>40</v>
      </c>
      <c r="K29" s="96"/>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69.599999999999994</v>
      </c>
      <c r="AC29" s="22">
        <f>IF(OR($B29="",AC$22=""),"",IF(LEN(VLOOKUP($B29,Database!$B$1:$IX$10144,AC$22,FALSE))=0,"",VLOOKUP($B29,Database!$B$1:$IX$10144,AC$22,FALSE)))</f>
        <v>7.15</v>
      </c>
      <c r="AD29" s="22">
        <f>IF(OR($B29="",AD$22=""),"",IF(LEN(VLOOKUP($B29,Database!$B$1:$IX$10144,AD$22,FALSE))=0,"",VLOOKUP($B29,Database!$B$1:$IX$10144,AD$22,FALSE)))</f>
        <v>70.900000000000006</v>
      </c>
      <c r="AE29" s="22">
        <f>IF(OR($B29="",AE$22=""),"",IF(LEN(VLOOKUP($B29,Database!$B$1:$IX$10144,AE$22,FALSE))=0,"",VLOOKUP($B29,Database!$B$1:$IX$10144,AE$22,FALSE)))</f>
        <v>6.13</v>
      </c>
      <c r="AF29" s="22">
        <f>IF(OR($B29="",AF$22=""),"",IF(LEN(VLOOKUP($B29,Database!$B$1:$IX$10144,AF$22,FALSE))=0,"",VLOOKUP($B29,Database!$B$1:$IX$10144,AF$22,FALSE)))</f>
        <v>16</v>
      </c>
      <c r="AG29" s="22">
        <f>IF(OR($B29="",AG$22=""),"",IF(LEN(VLOOKUP($B29,Database!$B$1:$IX$10144,AG$22,FALSE))=0,"",VLOOKUP($B29,Database!$B$1:$IX$10144,AG$22,FALSE)))</f>
        <v>33</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Steffens DC, McQuoid DR, Welsh-Bohmer KA, Krishnan KR.</v>
      </c>
    </row>
    <row r="30" spans="1:65">
      <c r="A30" s="10" t="s">
        <v>356</v>
      </c>
      <c r="B30">
        <v>12547470</v>
      </c>
      <c r="C30" s="1" t="str">
        <f>IF($B30="","",HYPERLINK(IF(LEN(VLOOKUP($B30,Database!$B$1:$IX$10144,2,FALSE))=0,"",VLOOKUP($B30,Database!$B$1:$IX$10144,2,FALSE))))</f>
        <v/>
      </c>
      <c r="D30" s="1" t="str">
        <f>IF($B30="","",HYPERLINK(CONCATENATE("http://www.ncbi.nlm.nih.gov/pubmed/",B30)))</f>
        <v>http://www.ncbi.nlm.nih.gov/pubmed/12547470</v>
      </c>
      <c r="E30" s="22" t="str">
        <f>IF($B30="","",IF(LEN(VLOOKUP($B30,Database!$B$1:$IX$10144,4,FALSE))=0,"",VLOOKUP($B30,Database!$B$1:$IX$10144,4,FALSE)))</f>
        <v>Taylor WD (A)</v>
      </c>
      <c r="F30" s="22">
        <f>IF($B30="","",IF(LEN(VLOOKUP($B30,Database!$B$1:$IX$10144,5,FALSE))=0,"",VLOOKUP($B30,Database!$B$1:$IX$10144,5,FALSE)))</f>
        <v>2003</v>
      </c>
      <c r="G30" s="1" t="str">
        <f>IF($B30="","",HYPERLINK(IF(LEN(VLOOKUP($B30,Database!$B$1:$IX$10144,6,FALSE))=0,"",VLOOKUP($B30,Database!$B$1:$IX$10144,6,FALSE))))</f>
        <v>http://dx.doi.org/10.1016/S0006-3223(02)01490-7</v>
      </c>
      <c r="H30" s="22">
        <f>IF($B30="","",IF(LEN(VLOOKUP($B30,Database!$B$1:$IX$10144,7,FALSE))=0,"",VLOOKUP($B30,Database!$B$1:$IX$10144,7,FALSE)))</f>
        <v>41</v>
      </c>
      <c r="I30" s="22">
        <f>IF($B30="","",IF(LEN(VLOOKUP($B30,Database!$B$1:$IX$10144,8,FALSE))=0,"",VLOOKUP($B30,Database!$B$1:$IX$10144,8,FALSE)))</f>
        <v>40</v>
      </c>
      <c r="K30" s="10"/>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68.73</v>
      </c>
      <c r="AC30" s="22">
        <f>IF(OR($B30="",AC$22=""),"",IF(LEN(VLOOKUP($B30,Database!$B$1:$IX$10144,AC$22,FALSE))=0,"",VLOOKUP($B30,Database!$B$1:$IX$10144,AC$22,FALSE)))</f>
        <v>6.98</v>
      </c>
      <c r="AD30" s="22">
        <f>IF(OR($B30="",AD$22=""),"",IF(LEN(VLOOKUP($B30,Database!$B$1:$IX$10144,AD$22,FALSE))=0,"",VLOOKUP($B30,Database!$B$1:$IX$10144,AD$22,FALSE)))</f>
        <v>71.42</v>
      </c>
      <c r="AE30" s="22">
        <f>IF(OR($B30="",AE$22=""),"",IF(LEN(VLOOKUP($B30,Database!$B$1:$IX$10144,AE$22,FALSE))=0,"",VLOOKUP($B30,Database!$B$1:$IX$10144,AE$22,FALSE)))</f>
        <v>6.07</v>
      </c>
      <c r="AF30" s="22">
        <f>IF(OR($B30="",AF$22=""),"",IF(LEN(VLOOKUP($B30,Database!$B$1:$IX$10144,AF$22,FALSE))=0,"",VLOOKUP($B30,Database!$B$1:$IX$10144,AF$22,FALSE)))</f>
        <v>21</v>
      </c>
      <c r="AG30" s="22">
        <f>IF(OR($B30="",AG$22=""),"",IF(LEN(VLOOKUP($B30,Database!$B$1:$IX$10144,AG$22,FALSE))=0,"",VLOOKUP($B30,Database!$B$1:$IX$10144,AG$22,FALSE)))</f>
        <v>33</v>
      </c>
      <c r="AH30" s="22">
        <f>IF(OR($B30="",AH$22=""),"",IF(LEN(VLOOKUP($B30,Database!$B$1:$IX$10144,AH$22,FALSE))=0,"",VLOOKUP($B30,Database!$B$1:$IX$10144,AH$22,FALSE)))</f>
        <v>1.5</v>
      </c>
      <c r="AI30" s="22">
        <f>IF(OR($B30="",AI$22=""),"",IF(LEN(VLOOKUP($B30,Database!$B$1:$IX$10144,AI$22,FALSE))=0,"",VLOOKUP($B30,Database!$B$1:$IX$10144,AI$22,FALSE)))</f>
        <v>3</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Taylor WD, Steffens DC, McQuoid DR, Payne ME, Lee SH, Lai TJ, Krishnan KR.</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5" si="0">E24</f>
        <v>Lacerda AL</v>
      </c>
      <c r="F33">
        <f t="shared" si="0"/>
        <v>2004</v>
      </c>
      <c r="G33">
        <v>3</v>
      </c>
      <c r="H33">
        <f t="shared" ref="H33:I35" si="1">H24</f>
        <v>31</v>
      </c>
      <c r="I33">
        <f t="shared" si="1"/>
        <v>34</v>
      </c>
      <c r="J33">
        <f t="shared" ref="J33:M35" si="2">IF($D$4="Total",T24,IF($D$4="Left",L24,IF($D$4="Right",P24,"error")))</f>
        <v>5.41</v>
      </c>
      <c r="K33">
        <f t="shared" si="2"/>
        <v>1.1200000000000001</v>
      </c>
      <c r="L33">
        <f t="shared" si="2"/>
        <v>5.89</v>
      </c>
      <c r="M33">
        <f t="shared" si="2"/>
        <v>1.46</v>
      </c>
      <c r="N33">
        <f>IF($D$3=1,SQRT((((I33-1)*(M33)^2)+((H33-1)*(K33)^2))/(H33+I33-2)),M33)</f>
        <v>1.3091545799811855</v>
      </c>
      <c r="O33" s="59">
        <f>IF($D$6=1,LN(J33/L33),IF($D$5=1,(1-3/(4*(H33+I33)-9))*((J33-L33)/N33),(J33-L33)/N33))</f>
        <v>-0.36226657681172131</v>
      </c>
      <c r="P33" s="63">
        <f>IF($D$6=1,(K33^2)/(H33*J33^2)+(M33^2)/(I33*L33^2),(IF($D$5=1,((H33+I33)/(H33*I33))+(O33*O33)/(2*(H33+I33-3.94)),((H33+I33)/(H33*I33))+((O33^2)/(2*(H33+I33-2))))))</f>
        <v>6.2744485893112614E-2</v>
      </c>
      <c r="Q33" s="59">
        <f>$R$52*SQRT(P33)</f>
        <v>0.49095744928352131</v>
      </c>
      <c r="R33" s="59">
        <f>1/P33</f>
        <v>15.93765548901834</v>
      </c>
      <c r="S33" s="59">
        <f>O33*R33</f>
        <v>-5.7736798964112142</v>
      </c>
      <c r="T33" s="59">
        <f>R33*(O33^2)</f>
        <v>2.0916112516795442</v>
      </c>
      <c r="U33" s="23">
        <f>R33^2</f>
        <v>254.00886248663642</v>
      </c>
      <c r="V33" s="59">
        <f>1/((1/R33)+$I$49)</f>
        <v>7.4502570394343959</v>
      </c>
      <c r="W33" s="59">
        <f>V33*O33</f>
        <v>-2.6989791140433281</v>
      </c>
      <c r="AF33" s="59">
        <f>IF($D$6=1,100*((EXP(O33))-1),O33)</f>
        <v>-0.36226657681172131</v>
      </c>
      <c r="AG33" s="59">
        <f>IF($D$6=1,100*(EXP(O33+Q33)-EXP(O33)),Q33)</f>
        <v>0.49095744928352131</v>
      </c>
      <c r="AH33" s="59">
        <f>IF($D$6=1,100*(EXP(O33)-EXP(O33-Q33)),Q33)</f>
        <v>0.49095744928352131</v>
      </c>
      <c r="AJ33">
        <f>SQRT(P33)</f>
        <v>0.25048849453240885</v>
      </c>
      <c r="AK33">
        <f>1/AJ33</f>
        <v>3.9921993298203859</v>
      </c>
      <c r="AL33">
        <f>O33/AJ33</f>
        <v>-1.4462403851640793</v>
      </c>
      <c r="AN33" t="str">
        <f t="shared" ref="AN33:AO35" si="3">E33</f>
        <v>Lacerda AL</v>
      </c>
      <c r="AO33">
        <f t="shared" si="3"/>
        <v>2004</v>
      </c>
      <c r="AP33" t="str">
        <f>CONCATENATE(AN33," ",AO33)</f>
        <v>Lacerda AL 2004</v>
      </c>
      <c r="AQ33">
        <f>INT(H33)</f>
        <v>31</v>
      </c>
      <c r="AR33">
        <f t="shared" ref="AR33:AS35" si="4">J33</f>
        <v>5.41</v>
      </c>
      <c r="AS33">
        <f t="shared" si="4"/>
        <v>1.1200000000000001</v>
      </c>
      <c r="AT33">
        <f>INT(I33)</f>
        <v>34</v>
      </c>
      <c r="AU33">
        <f t="shared" ref="AU33:AV35" si="5">L33</f>
        <v>5.89</v>
      </c>
      <c r="AV33">
        <f t="shared" si="5"/>
        <v>1.46</v>
      </c>
      <c r="AW33" s="65">
        <f>O33</f>
        <v>-0.36226657681172131</v>
      </c>
      <c r="AX33">
        <f>SQRT(P33)</f>
        <v>0.25048849453240885</v>
      </c>
      <c r="AY33" t="str">
        <f>$F$6</f>
        <v>Cohens Effect size</v>
      </c>
    </row>
    <row r="34" spans="5:51">
      <c r="E34" t="str">
        <f t="shared" si="0"/>
        <v>Janssen J</v>
      </c>
      <c r="F34">
        <f t="shared" si="0"/>
        <v>2004</v>
      </c>
      <c r="G34">
        <v>2</v>
      </c>
      <c r="H34">
        <f t="shared" si="1"/>
        <v>28</v>
      </c>
      <c r="I34">
        <f t="shared" si="1"/>
        <v>41</v>
      </c>
      <c r="J34">
        <f t="shared" si="2"/>
        <v>4.6399999999999997</v>
      </c>
      <c r="K34">
        <f t="shared" si="2"/>
        <v>1.26</v>
      </c>
      <c r="L34">
        <f t="shared" si="2"/>
        <v>5</v>
      </c>
      <c r="M34">
        <f t="shared" si="2"/>
        <v>1.21</v>
      </c>
      <c r="N34">
        <f>IF($D$3=1,SQRT((((I34-1)*(M34)^2)+((H34-1)*(K34)^2))/(H34+I34-2)),M34)</f>
        <v>1.2303936998848857</v>
      </c>
      <c r="O34" s="59">
        <f>IF($D$6=1,LN(J34/L34),IF($D$5=1,(1-3/(4*(H34+I34)-9))*((J34-L34)/N34),(J34-L34)/N34))</f>
        <v>-0.28930175456285118</v>
      </c>
      <c r="P34" s="63">
        <f>IF($D$6=1,(K34^2)/(H34*J34^2)+(M34^2)/(I34*L34^2),(IF($D$5=1,((H34+I34)/(H34*I34))+(O34*O34)/(2*(H34+I34-3.94)),((H34+I34)/(H34*I34))+((O34^2)/(2*(H34+I34-2))))))</f>
        <v>6.0747747455589973E-2</v>
      </c>
      <c r="Q34" s="59">
        <f>$R$52*SQRT(P34)</f>
        <v>0.48308233938469997</v>
      </c>
      <c r="R34" s="59">
        <f>1/P34</f>
        <v>16.461515725024313</v>
      </c>
      <c r="S34" s="59">
        <f>O34*R34</f>
        <v>-4.7623453820134989</v>
      </c>
      <c r="T34" s="59">
        <f>R34*(O34^2)</f>
        <v>1.3777548748507971</v>
      </c>
      <c r="U34" s="23">
        <f>R34^2</f>
        <v>270.98149996522272</v>
      </c>
      <c r="V34" s="59">
        <f>1/((1/R34)+$I$49)</f>
        <v>7.5627623145955845</v>
      </c>
      <c r="W34" s="59">
        <f>V34*O34</f>
        <v>-2.1879204069543121</v>
      </c>
      <c r="AF34" s="59">
        <f>IF($D$6=1,100*((EXP(O34))-1),O34)</f>
        <v>-0.28930175456285118</v>
      </c>
      <c r="AG34" s="59">
        <f>IF($D$6=1,100*(EXP(O34+Q34)-EXP(O34)),Q34)</f>
        <v>0.48308233938469997</v>
      </c>
      <c r="AH34" s="59">
        <f>IF($D$6=1,100*(EXP(O34)-EXP(O34-Q34)),Q34)</f>
        <v>0.48308233938469997</v>
      </c>
      <c r="AJ34">
        <f>SQRT(P34)</f>
        <v>0.24647058131872449</v>
      </c>
      <c r="AK34">
        <f>1/AJ34</f>
        <v>4.057279350134066</v>
      </c>
      <c r="AL34">
        <f>O34/AJ34</f>
        <v>-1.1737780347454099</v>
      </c>
      <c r="AN34" t="str">
        <f t="shared" si="3"/>
        <v>Janssen J</v>
      </c>
      <c r="AO34">
        <f t="shared" si="3"/>
        <v>2004</v>
      </c>
      <c r="AP34" t="str">
        <f>CONCATENATE(AN34," ",AO34)</f>
        <v>Janssen J 2004</v>
      </c>
      <c r="AQ34">
        <f>INT(H34)</f>
        <v>28</v>
      </c>
      <c r="AR34">
        <f t="shared" si="4"/>
        <v>4.6399999999999997</v>
      </c>
      <c r="AS34">
        <f t="shared" si="4"/>
        <v>1.26</v>
      </c>
      <c r="AT34">
        <f>INT(I34)</f>
        <v>41</v>
      </c>
      <c r="AU34">
        <f t="shared" si="5"/>
        <v>5</v>
      </c>
      <c r="AV34">
        <f t="shared" si="5"/>
        <v>1.21</v>
      </c>
      <c r="AW34" s="65">
        <f>O34</f>
        <v>-0.28930175456285118</v>
      </c>
      <c r="AX34">
        <f>SQRT(P34)</f>
        <v>0.24647058131872449</v>
      </c>
    </row>
    <row r="35" spans="5:51">
      <c r="E35" t="str">
        <f t="shared" si="0"/>
        <v>Chen HH</v>
      </c>
      <c r="F35">
        <f t="shared" si="0"/>
        <v>2008</v>
      </c>
      <c r="G35">
        <v>1</v>
      </c>
      <c r="H35">
        <f t="shared" si="1"/>
        <v>27</v>
      </c>
      <c r="I35">
        <f t="shared" si="1"/>
        <v>26</v>
      </c>
      <c r="J35">
        <f t="shared" si="2"/>
        <v>6.9</v>
      </c>
      <c r="K35">
        <f t="shared" si="2"/>
        <v>1.4</v>
      </c>
      <c r="L35">
        <f t="shared" si="2"/>
        <v>6.4</v>
      </c>
      <c r="M35">
        <f t="shared" si="2"/>
        <v>1.5</v>
      </c>
      <c r="N35">
        <f>IF($D$3=1,SQRT((((I35-1)*(M35)^2)+((H35-1)*(K35)^2))/(H35+I35-2)),M35)</f>
        <v>1.4498816719805441</v>
      </c>
      <c r="O35" s="59">
        <f>IF($D$6=1,LN(J35/L35),IF($D$5=1,(1-3/(4*(H35+I35)-9))*((J35-L35)/N35),(J35-L35)/N35))</f>
        <v>0.33975933826759486</v>
      </c>
      <c r="P35" s="63">
        <f>IF($D$6=1,(K35^2)/(H35*J35^2)+(M35^2)/(I35*L35^2),(IF($D$5=1,((H35+I35)/(H35*I35))+(O35*O35)/(2*(H35+I35-3.94)),((H35+I35)/(H35*I35))+((O35^2)/(2*(H35+I35-2))))))</f>
        <v>7.6675057438445396E-2</v>
      </c>
      <c r="Q35" s="59">
        <f>$R$52*SQRT(P35)</f>
        <v>0.54272912272655116</v>
      </c>
      <c r="R35" s="59">
        <f>1/P35</f>
        <v>13.042050875577084</v>
      </c>
      <c r="S35" s="59">
        <f>O35*R35</f>
        <v>4.431158575138376</v>
      </c>
      <c r="T35" s="59">
        <f>R35*(O35^2)</f>
        <v>1.5055275052477932</v>
      </c>
      <c r="U35" s="23">
        <f>R35^2</f>
        <v>170.09509104114099</v>
      </c>
      <c r="V35" s="59">
        <f>1/((1/R35)+$I$49)</f>
        <v>6.7497275315810361</v>
      </c>
      <c r="W35" s="59">
        <f>V35*O35</f>
        <v>2.2932829596165392</v>
      </c>
      <c r="AF35" s="59">
        <f>IF($D$6=1,100*((EXP(O35))-1),O35)</f>
        <v>0.33975933826759486</v>
      </c>
      <c r="AG35" s="59">
        <f>IF($D$6=1,100*(EXP(O35+Q35)-EXP(O35)),Q35)</f>
        <v>0.54272912272655116</v>
      </c>
      <c r="AH35" s="59">
        <f>IF($D$6=1,100*(EXP(O35)-EXP(O35-Q35)),Q35)</f>
        <v>0.54272912272655116</v>
      </c>
      <c r="AJ35">
        <f>SQRT(P35)</f>
        <v>0.2769026136359955</v>
      </c>
      <c r="AK35">
        <f>1/AJ35</f>
        <v>3.6113779746209178</v>
      </c>
      <c r="AL35">
        <f>O35/AJ35</f>
        <v>1.2269993908913701</v>
      </c>
      <c r="AN35" t="str">
        <f t="shared" si="3"/>
        <v>Chen HH</v>
      </c>
      <c r="AO35">
        <f t="shared" si="3"/>
        <v>2008</v>
      </c>
      <c r="AP35" t="str">
        <f>CONCATENATE(AN35," ",AO35)</f>
        <v>Chen HH 2008</v>
      </c>
      <c r="AQ35">
        <f>INT(H35)</f>
        <v>27</v>
      </c>
      <c r="AR35">
        <f t="shared" si="4"/>
        <v>6.9</v>
      </c>
      <c r="AS35">
        <f t="shared" si="4"/>
        <v>1.4</v>
      </c>
      <c r="AT35">
        <f>INT(I35)</f>
        <v>26</v>
      </c>
      <c r="AU35">
        <f t="shared" si="5"/>
        <v>6.4</v>
      </c>
      <c r="AV35">
        <f t="shared" si="5"/>
        <v>1.5</v>
      </c>
      <c r="AW35" s="65">
        <f>O35</f>
        <v>0.33975933826759486</v>
      </c>
      <c r="AX35">
        <f>SQRT(P35)</f>
        <v>0.2769026136359955</v>
      </c>
      <c r="AY35" t="str">
        <f>$F$5</f>
        <v>H Correction</v>
      </c>
    </row>
    <row r="36" spans="5:51">
      <c r="U36" s="23"/>
    </row>
    <row r="37" spans="5:51">
      <c r="L37" t="s">
        <v>500</v>
      </c>
      <c r="N37" s="7"/>
      <c r="O37" s="66">
        <f>COUNT(O33:O35)</f>
        <v>3</v>
      </c>
      <c r="Q37" t="s">
        <v>885</v>
      </c>
      <c r="R37" s="59">
        <f t="shared" ref="R37:W37" si="6">SUM(R33:R35)</f>
        <v>45.441222089619735</v>
      </c>
      <c r="S37" s="59">
        <f t="shared" si="6"/>
        <v>-6.1048667032863371</v>
      </c>
      <c r="T37" s="59">
        <f t="shared" si="6"/>
        <v>4.9748936317781345</v>
      </c>
      <c r="U37" s="23">
        <f t="shared" si="6"/>
        <v>695.08545349300016</v>
      </c>
      <c r="V37" s="59">
        <f t="shared" si="6"/>
        <v>21.762746885611016</v>
      </c>
      <c r="W37" s="59">
        <f t="shared" si="6"/>
        <v>-2.5936165613811011</v>
      </c>
    </row>
    <row r="38" spans="5:51">
      <c r="L38" t="s">
        <v>501</v>
      </c>
      <c r="N38" s="7"/>
      <c r="O38" s="2">
        <v>0</v>
      </c>
    </row>
    <row r="39" spans="5:51">
      <c r="N39" s="7"/>
      <c r="O39" s="7"/>
    </row>
    <row r="40" spans="5:51">
      <c r="G40" s="67" t="s">
        <v>502</v>
      </c>
      <c r="H40" s="40"/>
      <c r="I40" s="40">
        <f>S37/R37</f>
        <v>-0.13434644630037115</v>
      </c>
      <c r="J40" s="40"/>
      <c r="K40" s="68" t="s">
        <v>879</v>
      </c>
      <c r="L40" s="40"/>
      <c r="M40" s="42"/>
      <c r="N40" s="7"/>
      <c r="O40" s="69" t="s">
        <v>503</v>
      </c>
      <c r="P40" s="70">
        <f>T37-((S37^2)/R37)</f>
        <v>4.1547264850541525</v>
      </c>
      <c r="Q40" s="71" t="s">
        <v>824</v>
      </c>
      <c r="R40" s="28"/>
      <c r="S40" s="29"/>
      <c r="T40" s="30"/>
      <c r="U40" s="31"/>
      <c r="AF40" s="2" t="s">
        <v>1518</v>
      </c>
    </row>
    <row r="41" spans="5:51">
      <c r="G41" s="43" t="s">
        <v>504</v>
      </c>
      <c r="H41" s="31"/>
      <c r="I41" s="31">
        <f>1/R37</f>
        <v>2.2006450399326579E-2</v>
      </c>
      <c r="J41" s="31"/>
      <c r="K41" s="31"/>
      <c r="L41" s="31"/>
      <c r="M41" s="44"/>
      <c r="N41" s="7"/>
      <c r="O41" s="30" t="s">
        <v>505</v>
      </c>
      <c r="P41" s="31">
        <f>CHIDIST(P40,I45-1)</f>
        <v>0.12526005754439584</v>
      </c>
      <c r="Q41" s="31"/>
      <c r="R41" s="31"/>
      <c r="S41" s="34"/>
      <c r="T41" s="30"/>
      <c r="U41" s="31"/>
      <c r="AF41" s="2"/>
    </row>
    <row r="42" spans="5:51">
      <c r="G42" s="72" t="s">
        <v>506</v>
      </c>
      <c r="H42" s="31"/>
      <c r="I42" s="31">
        <f>$R$52*SQRT(I41)</f>
        <v>0.29075759638236964</v>
      </c>
      <c r="J42" s="31"/>
      <c r="K42" s="31" t="s">
        <v>507</v>
      </c>
      <c r="L42" s="31"/>
      <c r="M42" s="44">
        <f>ABS(I40/SQRT(I41))</f>
        <v>0.90563080045015143</v>
      </c>
      <c r="N42" s="7"/>
      <c r="O42" s="35" t="s">
        <v>508</v>
      </c>
      <c r="P42" s="37">
        <f>IF(((P40-(I45-1))/P40)&lt;0,0,100*((P40-(I45-1))/P40))</f>
        <v>51.862053803189603</v>
      </c>
      <c r="Q42" s="36"/>
      <c r="R42" s="36"/>
      <c r="S42" s="38"/>
      <c r="T42" s="30"/>
      <c r="U42" s="31"/>
      <c r="AF42" s="2" t="s">
        <v>1535</v>
      </c>
      <c r="AH42">
        <f>IF($D$6=1,100*((EXP(I40))-1),I40)</f>
        <v>-0.13434644630037115</v>
      </c>
    </row>
    <row r="43" spans="5:51">
      <c r="G43" s="45" t="s">
        <v>509</v>
      </c>
      <c r="H43" s="46"/>
      <c r="I43" s="46">
        <v>-2</v>
      </c>
      <c r="J43" s="46"/>
      <c r="K43" s="46" t="s">
        <v>825</v>
      </c>
      <c r="L43" s="46"/>
      <c r="M43" s="47">
        <f>2*(1-NORMDIST(M42,0,1,1))</f>
        <v>0.36513130059676691</v>
      </c>
      <c r="N43" s="7"/>
      <c r="O43" s="7"/>
      <c r="AF43" s="79" t="s">
        <v>834</v>
      </c>
      <c r="AH43">
        <f>IF($D$6=1,100*(EXP(I40+I42)-EXP(I40)),I42)</f>
        <v>0.29075759638236964</v>
      </c>
    </row>
    <row r="44" spans="5:51">
      <c r="G44" s="40"/>
      <c r="H44" s="40"/>
      <c r="I44" s="40"/>
      <c r="J44" s="40"/>
      <c r="K44" s="40"/>
      <c r="L44" s="40"/>
      <c r="M44" s="40"/>
      <c r="N44" s="7"/>
      <c r="O44" s="7"/>
      <c r="AF44" s="79" t="s">
        <v>835</v>
      </c>
      <c r="AH44">
        <f>IF($D$6=1,100*(EXP(I40)-EXP(I40-I42)),I42)</f>
        <v>0.29075759638236964</v>
      </c>
    </row>
    <row r="45" spans="5:51">
      <c r="G45" s="73" t="s">
        <v>1110</v>
      </c>
      <c r="H45" s="74"/>
      <c r="I45" s="74">
        <f>O37</f>
        <v>3</v>
      </c>
      <c r="J45" s="74"/>
      <c r="K45" s="75" t="s">
        <v>1167</v>
      </c>
      <c r="L45" s="74"/>
      <c r="M45" s="76"/>
      <c r="N45" s="77"/>
      <c r="O45" s="101" t="s">
        <v>1513</v>
      </c>
      <c r="P45" s="102"/>
      <c r="Q45" s="103"/>
      <c r="AF45" s="7"/>
    </row>
    <row r="46" spans="5:51">
      <c r="G46" s="77" t="s">
        <v>1531</v>
      </c>
      <c r="H46" s="31"/>
      <c r="I46" s="31">
        <f>R37/I45</f>
        <v>15.147074029873245</v>
      </c>
      <c r="J46" s="31"/>
      <c r="K46" s="31"/>
      <c r="L46" s="31"/>
      <c r="M46" s="78"/>
      <c r="N46" s="77"/>
      <c r="O46" s="104" t="s">
        <v>1514</v>
      </c>
      <c r="P46" s="31"/>
      <c r="Q46" s="105">
        <f>INDEX(LINEST(AL33:AL35,AK33:AK35,TRUE,TRUE),1,2)</f>
        <v>22.659443910528314</v>
      </c>
      <c r="AF46" s="2" t="s">
        <v>1687</v>
      </c>
      <c r="AH46">
        <f>IF($D$6=1,100*((EXP(I51))-1),I51)</f>
        <v>-0.11917689320257341</v>
      </c>
    </row>
    <row r="47" spans="5:51">
      <c r="G47" s="77" t="s">
        <v>1532</v>
      </c>
      <c r="H47" s="31"/>
      <c r="I47" s="31">
        <f>(1/(I45-1))*(U37-(I45*I46^2))</f>
        <v>3.391949246809304</v>
      </c>
      <c r="J47" s="31"/>
      <c r="K47" s="31"/>
      <c r="L47" s="31"/>
      <c r="M47" s="78"/>
      <c r="N47" s="77"/>
      <c r="O47" s="104" t="s">
        <v>1516</v>
      </c>
      <c r="P47" s="31"/>
      <c r="Q47" s="105">
        <f>INDEX(LINEST(AL33:AL35,AK33:AK35,TRUE,TRUE),2,2)</f>
        <v>5.3785415889731292</v>
      </c>
      <c r="AF47" s="79" t="s">
        <v>834</v>
      </c>
      <c r="AG47" s="7"/>
      <c r="AH47">
        <f>IF($D$6=1,100*(EXP(I51+I53)-EXP(I51)),I53)</f>
        <v>0.42014501581700092</v>
      </c>
    </row>
    <row r="48" spans="5:51">
      <c r="G48" s="77" t="s">
        <v>1669</v>
      </c>
      <c r="H48" s="31"/>
      <c r="I48" s="31">
        <f>(I45-1)*(I46-(I47/(I45*I46)))</f>
        <v>30.144858534032608</v>
      </c>
      <c r="J48" s="31"/>
      <c r="K48" s="31"/>
      <c r="L48" s="31"/>
      <c r="M48" s="78"/>
      <c r="N48" s="77"/>
      <c r="O48" s="104" t="s">
        <v>1349</v>
      </c>
      <c r="P48" s="31"/>
      <c r="Q48" s="105">
        <f>ABS(Q46/Q47)</f>
        <v>4.2129345912252125</v>
      </c>
      <c r="AF48" s="79" t="s">
        <v>835</v>
      </c>
      <c r="AH48">
        <f>IF($D$6=1,100*(EXP(I51)-EXP(I51-I53)),I53)</f>
        <v>0.42014501581700092</v>
      </c>
    </row>
    <row r="49" spans="7:18">
      <c r="G49" s="77" t="s">
        <v>1685</v>
      </c>
      <c r="H49" s="31"/>
      <c r="I49" s="31">
        <f>IF(P40&gt;(I45-1),(P40-(I45-1))/I48,0)</f>
        <v>7.1479071053577287E-2</v>
      </c>
      <c r="J49" s="31"/>
      <c r="K49" s="31"/>
      <c r="L49" s="31"/>
      <c r="M49" s="78"/>
      <c r="N49" s="77"/>
      <c r="O49" s="106" t="s">
        <v>1515</v>
      </c>
      <c r="P49" s="107"/>
      <c r="Q49" s="108">
        <f>TDIST(Q48,I45-2,2)</f>
        <v>0.14836505384366219</v>
      </c>
    </row>
    <row r="50" spans="7:18">
      <c r="G50" s="77"/>
      <c r="H50" s="31"/>
      <c r="I50" s="31"/>
      <c r="J50" s="31"/>
      <c r="K50" s="31"/>
      <c r="L50" s="31"/>
      <c r="M50" s="78"/>
      <c r="N50" s="77"/>
    </row>
    <row r="51" spans="7:18">
      <c r="G51" s="77" t="s">
        <v>1686</v>
      </c>
      <c r="H51" s="31"/>
      <c r="I51" s="31">
        <f>W37/V37</f>
        <v>-0.11917689320257341</v>
      </c>
      <c r="J51" s="31"/>
      <c r="N51" s="77"/>
    </row>
    <row r="52" spans="7:18">
      <c r="G52" s="77" t="s">
        <v>504</v>
      </c>
      <c r="H52" s="31"/>
      <c r="I52" s="31">
        <f>1/V37</f>
        <v>4.5950081818999372E-2</v>
      </c>
      <c r="J52" s="31"/>
      <c r="N52" s="77"/>
      <c r="O52" t="s">
        <v>805</v>
      </c>
      <c r="R52">
        <v>1.96</v>
      </c>
    </row>
    <row r="53" spans="7:18">
      <c r="G53" s="80" t="s">
        <v>506</v>
      </c>
      <c r="H53" s="31"/>
      <c r="I53" s="31">
        <f>$R$52*SQRT(I52)</f>
        <v>0.42014501581700092</v>
      </c>
      <c r="J53" s="31"/>
      <c r="K53" s="31" t="s">
        <v>507</v>
      </c>
      <c r="L53" s="31"/>
      <c r="M53" s="78">
        <f>ABS(I51/(SQRT(I52)))</f>
        <v>0.55596687306362169</v>
      </c>
      <c r="N53" s="77"/>
    </row>
    <row r="54" spans="7:18">
      <c r="G54" s="81" t="s">
        <v>509</v>
      </c>
      <c r="H54" s="82"/>
      <c r="I54" s="82">
        <v>-3</v>
      </c>
      <c r="J54" s="82"/>
      <c r="K54" s="31" t="s">
        <v>825</v>
      </c>
      <c r="L54" s="31"/>
      <c r="M54" s="78">
        <f>2*(1-NORMDIST(M53,0,1,1))</f>
        <v>0.57823350107497307</v>
      </c>
      <c r="N54" s="77"/>
    </row>
    <row r="55" spans="7:18">
      <c r="G55" s="74"/>
      <c r="H55" s="74"/>
      <c r="I55" s="74"/>
      <c r="J55" s="74"/>
      <c r="K55" s="74"/>
      <c r="L55" s="74"/>
      <c r="M55" s="74"/>
      <c r="N55" s="31"/>
      <c r="O55" s="7"/>
    </row>
  </sheetData>
  <phoneticPr fontId="10" type="noConversion"/>
  <conditionalFormatting sqref="D17 D13 F13">
    <cfRule type="cellIs" dxfId="38" priority="0" stopIfTrue="1" operator="lessThan">
      <formula>0.05</formula>
    </cfRule>
  </conditionalFormatting>
  <conditionalFormatting sqref="D21">
    <cfRule type="cellIs" dxfId="3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1.xml><?xml version="1.0" encoding="utf-8"?>
<worksheet xmlns="http://schemas.openxmlformats.org/spreadsheetml/2006/main" xmlns:r="http://schemas.openxmlformats.org/officeDocument/2006/relationships">
  <sheetPr published="0" codeName="Sheet118"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2278</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86</v>
      </c>
      <c r="E8" t="s">
        <v>298</v>
      </c>
      <c r="F8">
        <f>Summary!C78</f>
        <v>0.8</v>
      </c>
      <c r="AD8" s="89"/>
    </row>
    <row r="9" spans="2:30">
      <c r="B9" t="s">
        <v>823</v>
      </c>
      <c r="D9">
        <f>SUM(I24:I26)</f>
        <v>101</v>
      </c>
      <c r="AD9" s="89"/>
    </row>
    <row r="11" spans="2:30">
      <c r="B11" s="27" t="s">
        <v>516</v>
      </c>
      <c r="C11" s="28"/>
      <c r="D11" s="109">
        <f>P40</f>
        <v>5.8573565450748211</v>
      </c>
      <c r="E11" s="110" t="s">
        <v>1513</v>
      </c>
      <c r="F11" s="103"/>
    </row>
    <row r="12" spans="2:30">
      <c r="B12" s="30" t="s">
        <v>826</v>
      </c>
      <c r="C12" s="31"/>
      <c r="D12" s="112">
        <f>P42</f>
        <v>65.85490426254303</v>
      </c>
      <c r="E12" s="31"/>
      <c r="F12" s="105"/>
    </row>
    <row r="13" spans="2:30">
      <c r="B13" s="35" t="s">
        <v>825</v>
      </c>
      <c r="C13" s="36"/>
      <c r="D13" s="113">
        <f>P41</f>
        <v>5.3467661141058755E-2</v>
      </c>
      <c r="E13" s="111" t="s">
        <v>825</v>
      </c>
      <c r="F13" s="115">
        <f>Q49</f>
        <v>0.5693591952213759</v>
      </c>
    </row>
    <row r="15" spans="2:30">
      <c r="B15" s="39" t="s">
        <v>879</v>
      </c>
      <c r="C15" s="40"/>
      <c r="D15" s="41">
        <f>AH42</f>
        <v>-3.2911500667733982E-2</v>
      </c>
      <c r="E15" s="116"/>
    </row>
    <row r="16" spans="2:30">
      <c r="B16" s="43" t="s">
        <v>1165</v>
      </c>
      <c r="C16" s="31"/>
      <c r="D16" s="33">
        <f>AH42-AH44</f>
        <v>-0.32409159934254134</v>
      </c>
      <c r="E16" s="117">
        <f>AH42+AH43</f>
        <v>0.25826859800707341</v>
      </c>
    </row>
    <row r="17" spans="1:65">
      <c r="B17" s="45" t="s">
        <v>1166</v>
      </c>
      <c r="C17" s="46"/>
      <c r="D17" s="123">
        <f>M43</f>
        <v>0.82467599936528568</v>
      </c>
      <c r="E17" s="118"/>
    </row>
    <row r="18" spans="1:65">
      <c r="D18" s="48"/>
      <c r="F18" s="49"/>
    </row>
    <row r="19" spans="1:65">
      <c r="B19" s="50" t="s">
        <v>1167</v>
      </c>
      <c r="C19" s="51"/>
      <c r="D19" s="52">
        <f>AH46</f>
        <v>-1.7432782827394844E-2</v>
      </c>
      <c r="E19" s="120"/>
      <c r="F19" s="33"/>
      <c r="G19" s="31"/>
    </row>
    <row r="20" spans="1:65">
      <c r="B20" s="53" t="s">
        <v>1165</v>
      </c>
      <c r="C20" s="31"/>
      <c r="D20" s="33">
        <f>AH46-AH48</f>
        <v>-0.5172573832489763</v>
      </c>
      <c r="E20" s="121">
        <f>AH46+AH47</f>
        <v>0.48239181759418664</v>
      </c>
      <c r="F20" s="31"/>
      <c r="G20" s="31"/>
    </row>
    <row r="21" spans="1:65">
      <c r="B21" s="54" t="s">
        <v>1440</v>
      </c>
      <c r="C21" s="55"/>
      <c r="D21" s="114">
        <f>M54</f>
        <v>0.94549867304467505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t="s">
        <v>2267</v>
      </c>
      <c r="B24">
        <v>14960287</v>
      </c>
      <c r="C24" s="1" t="str">
        <f>IF($B24="","",HYPERLINK(IF(LEN(VLOOKUP($B24,Database!$B$1:$IX$10144,2,FALSE))=0,"",VLOOKUP($B24,Database!$B$1:$IX$10144,2,FALSE))))</f>
        <v/>
      </c>
      <c r="D24" s="1" t="str">
        <f>IF($B24="","",HYPERLINK(CONCATENATE("http://www.ncbi.nlm.nih.gov/pubmed/",B24)))</f>
        <v>http://www.ncbi.nlm.nih.gov/pubmed/14960287</v>
      </c>
      <c r="E24" s="22" t="str">
        <f>IF($B24="","",IF(LEN(VLOOKUP($B24,Database!$B$1:$IX$10144,4,FALSE))=0,"",VLOOKUP($B24,Database!$B$1:$IX$10144,4,FALSE)))</f>
        <v>Lacerda AL</v>
      </c>
      <c r="F24" s="22">
        <f>IF($B24="","",IF(LEN(VLOOKUP($B24,Database!$B$1:$IX$10144,5,FALSE))=0,"",VLOOKUP($B24,Database!$B$1:$IX$10144,5,FALSE)))</f>
        <v>2004</v>
      </c>
      <c r="G24" s="1" t="str">
        <f>IF($B24="","",HYPERLINK(IF(LEN(VLOOKUP($B24,Database!$B$1:$IX$10144,6,FALSE))=0,"",VLOOKUP($B24,Database!$B$1:$IX$10144,6,FALSE))))</f>
        <v>http://dx.doi.org/10.1016/j.biopsych.2003.08.021</v>
      </c>
      <c r="H24" s="22">
        <f>IF($B24="","",IF(LEN(VLOOKUP($B24,Database!$B$1:$IX$10144,7,FALSE))=0,"",VLOOKUP($B24,Database!$B$1:$IX$10144,7,FALSE)))</f>
        <v>31</v>
      </c>
      <c r="I24" s="22">
        <f>IF($B24="","",IF(LEN(VLOOKUP($B24,Database!$B$1:$IX$10144,8,FALSE))=0,"",VLOOKUP($B24,Database!$B$1:$IX$10144,8,FALSE)))</f>
        <v>34</v>
      </c>
      <c r="J24" t="s">
        <v>2279</v>
      </c>
      <c r="L24">
        <v>2.5299999999999998</v>
      </c>
      <c r="M24">
        <v>0.5</v>
      </c>
      <c r="N24">
        <v>2.84</v>
      </c>
      <c r="O24">
        <v>0.73</v>
      </c>
      <c r="P24">
        <v>2.57</v>
      </c>
      <c r="Q24">
        <v>0.42</v>
      </c>
      <c r="R24">
        <v>2.84</v>
      </c>
      <c r="S24">
        <v>0.75</v>
      </c>
      <c r="T24">
        <v>5.0999999999999996</v>
      </c>
      <c r="U24">
        <v>0.87</v>
      </c>
      <c r="V24">
        <v>5.68</v>
      </c>
      <c r="W24">
        <v>1.41</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37.03</v>
      </c>
      <c r="AE24" s="22">
        <f>IF(OR($B24="",AE$22=""),"",IF(LEN(VLOOKUP($B24,Database!$B$1:$IX$10144,AE$22,FALSE))=0,"",VLOOKUP($B24,Database!$B$1:$IX$10144,AE$22,FALSE)))</f>
        <v>11.88</v>
      </c>
      <c r="AF24" s="22">
        <f>IF(OR($B24="",AF$22=""),"",IF(LEN(VLOOKUP($B24,Database!$B$1:$IX$10144,AF$22,FALSE))=0,"",VLOOKUP($B24,Database!$B$1:$IX$10144,AF$22,FALSE)))</f>
        <v>24</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f>IF(OR($B24="",AK$22=""),"",IF(LEN(VLOOKUP($B24,Database!$B$1:$IX$10144,AK$22,FALSE))=0,"",VLOOKUP($B24,Database!$B$1:$IX$10144,AK$22,FALSE)))</f>
        <v>27.94</v>
      </c>
      <c r="AL24" s="22">
        <f>IF(OR($B24="",AL$22=""),"",IF(LEN(VLOOKUP($B24,Database!$B$1:$IX$10144,AL$22,FALSE))=0,"",VLOOKUP($B24,Database!$B$1:$IX$10144,AL$22,FALSE)))</f>
        <v>14.07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f>IF(OR($B24="",AP$22=""),"",IF(LEN(VLOOKUP($B24,Database!$B$1:$IX$10144,AP$22,FALSE))=0,"",VLOOKUP($B24,Database!$B$1:$IX$10144,AP$22,FALSE)))</f>
        <v>100</v>
      </c>
      <c r="AQ24" s="22" t="str">
        <f>IF(OR($B24="",AQ$22=""),"",IF(LEN(VLOOKUP($B24,Database!$B$1:$IX$10144,AQ$22,FALSE))=0,"",VLOOKUP($B24,Database!$B$1:$IX$10144,AQ$22,FALSE)))</f>
        <v>Lacerda AL, Keshavan MS, Hardan AY, Yorbik O, Brambilla P, Sassi RB, Nicoletti M, Mallinger AG, Frank E, Kupfer DJ, Soares JC.</v>
      </c>
      <c r="AR24" s="13"/>
      <c r="AX24" s="13"/>
      <c r="AY24" s="13"/>
      <c r="AZ24" s="13"/>
      <c r="BA24" s="13"/>
      <c r="BC24" s="23"/>
      <c r="BF24" s="136"/>
      <c r="BG24" s="136"/>
      <c r="BH24" s="136"/>
      <c r="BI24" s="136"/>
    </row>
    <row r="25" spans="1:65">
      <c r="B25">
        <v>15576058</v>
      </c>
      <c r="C25" s="1" t="str">
        <f>IF($B25="","",HYPERLINK(IF(LEN(VLOOKUP($B25,Database!$B$1:$IX$10144,2,FALSE))=0,"",VLOOKUP($B25,Database!$B$1:$IX$10144,2,FALSE))))</f>
        <v/>
      </c>
      <c r="D25" s="1" t="str">
        <f>IF($B25="","",HYPERLINK(CONCATENATE("http://www.ncbi.nlm.nih.gov/pubmed/",B25)))</f>
        <v>http://www.ncbi.nlm.nih.gov/pubmed/15576058</v>
      </c>
      <c r="E25" s="22" t="str">
        <f>IF($B25="","",IF(LEN(VLOOKUP($B25,Database!$B$1:$IX$10144,4,FALSE))=0,"",VLOOKUP($B25,Database!$B$1:$IX$10144,4,FALSE)))</f>
        <v>Janssen J</v>
      </c>
      <c r="F25" s="22">
        <f>IF($B25="","",IF(LEN(VLOOKUP($B25,Database!$B$1:$IX$10144,5,FALSE))=0,"",VLOOKUP($B25,Database!$B$1:$IX$10144,5,FALSE)))</f>
        <v>2004</v>
      </c>
      <c r="G25" s="1" t="str">
        <f>IF($B25="","",HYPERLINK(IF(LEN(VLOOKUP($B25,Database!$B$1:$IX$10144,6,FALSE))=0,"",VLOOKUP($B25,Database!$B$1:$IX$10144,6,FALSE))))</f>
        <v>http://dx.doi.org/10.1016/j.biopsych.2004.09.011</v>
      </c>
      <c r="H25" s="22">
        <f>IF($B25="","",IF(LEN(VLOOKUP($B25,Database!$B$1:$IX$10144,7,FALSE))=0,"",VLOOKUP($B25,Database!$B$1:$IX$10144,7,FALSE)))</f>
        <v>28</v>
      </c>
      <c r="I25" s="22">
        <f>IF($B25="","",IF(LEN(VLOOKUP($B25,Database!$B$1:$IX$10144,8,FALSE))=0,"",VLOOKUP($B25,Database!$B$1:$IX$10144,8,FALSE)))</f>
        <v>41</v>
      </c>
      <c r="J25" t="s">
        <v>2085</v>
      </c>
      <c r="T25">
        <v>4.5999999999999996</v>
      </c>
      <c r="U25">
        <v>1.08</v>
      </c>
      <c r="V25">
        <v>4.54</v>
      </c>
      <c r="W25">
        <v>1.32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c r="AC25" s="22"/>
      <c r="AD25" s="22">
        <f>IF(OR($B25="",AD$22=""),"",IF(LEN(VLOOKUP($B25,Database!$B$1:$IX$10144,AD$22,FALSE))=0,"",VLOOKUP($B25,Database!$B$1:$IX$10144,AD$22,FALSE)))</f>
        <v>62.37</v>
      </c>
      <c r="AE25" s="22">
        <f>IF(OR($B25="",AE$22=""),"",IF(LEN(VLOOKUP($B25,Database!$B$1:$IX$10144,AE$22,FALSE))=0,"",VLOOKUP($B25,Database!$B$1:$IX$10144,AE$22,FALSE)))</f>
        <v>11.38</v>
      </c>
      <c r="AF25" s="22">
        <f>IF(OR($B25="",AF$22=""),"",IF(LEN(VLOOKUP($B25,Database!$B$1:$IX$10144,AF$22,FALSE))=0,"",VLOOKUP($B25,Database!$B$1:$IX$10144,AF$22,FALSE)))</f>
        <v>28</v>
      </c>
      <c r="AG25" s="22">
        <f>IF(OR($B25="",AG$22=""),"",IF(LEN(VLOOKUP($B25,Database!$B$1:$IX$10144,AG$22,FALSE))=0,"",VLOOKUP($B25,Database!$B$1:$IX$10144,AG$22,FALSE)))</f>
        <v>41</v>
      </c>
      <c r="AH25" s="22">
        <f>IF(OR($B25="",AH$22=""),"",IF(LEN(VLOOKUP($B25,Database!$B$1:$IX$10144,AH$22,FALSE))=0,"",VLOOKUP($B25,Database!$B$1:$IX$10144,AH$22,FALSE)))</f>
        <v>1.5</v>
      </c>
      <c r="AI25" s="22">
        <f>IF(OR($B25="",AI$22=""),"",IF(LEN(VLOOKUP($B25,Database!$B$1:$IX$10144,AI$22,FALSE))=0,"",VLOOKUP($B25,Database!$B$1:$IX$10144,AI$22,FALSE)))</f>
        <v>1.2</v>
      </c>
      <c r="AJ25" s="22" t="str">
        <f>IF(OR($B25="",AJ$22=""),"",IF(LEN(VLOOKUP($B25,Database!$B$1:$IX$10144,AJ$22,FALSE))=0,"",VLOOKUP($B25,Database!$B$1:$IX$10144,AJ$22,FALSE)))</f>
        <v/>
      </c>
      <c r="AK25" s="22">
        <f>IF(OR($B25="",AK$22=""),"",IF(LEN(VLOOKUP($B25,Database!$B$1:$IX$10144,AK$22,FALSE))=0,"",VLOOKUP($B25,Database!$B$1:$IX$10144,AK$22,FALSE)))</f>
        <v>33.04</v>
      </c>
      <c r="AL25" s="22" t="str">
        <f>IF(OR($B25="",AL$22=""),"",IF(LEN(VLOOKUP($B25,Database!$B$1:$IX$10144,AL$22,FALSE))=0,"",VLOOKUP($B25,Database!$B$1:$IX$10144,AL$22,FALSE)))</f>
        <v>ns</v>
      </c>
      <c r="AM25" s="22">
        <f>IF(OR($B25="",AM$22=""),"",IF(LEN(VLOOKUP($B25,Database!$B$1:$IX$10144,AM$22,FALSE))=0,"",VLOOKUP($B25,Database!$B$1:$IX$10144,AM$22,FALSE)))</f>
        <v>60.714285714285708</v>
      </c>
      <c r="AN25" s="22">
        <f>IF(OR($B25="",AN$22=""),"",IF(LEN(VLOOKUP($B25,Database!$B$1:$IX$10144,AN$22,FALSE))=0,"",VLOOKUP($B25,Database!$B$1:$IX$10144,AN$22,FALSE)))</f>
        <v>25</v>
      </c>
      <c r="AO25" s="22">
        <f>IF(OR($B25="",AO$22=""),"",IF(LEN(VLOOKUP($B25,Database!$B$1:$IX$10144,AO$22,FALSE))=0,"",VLOOKUP($B25,Database!$B$1:$IX$10144,AO$22,FALSE)))</f>
        <v>14.285714285714285</v>
      </c>
      <c r="AP25" s="22">
        <f>IF(OR($B25="",AP$22=""),"",IF(LEN(VLOOKUP($B25,Database!$B$1:$IX$10144,AP$22,FALSE))=0,"",VLOOKUP($B25,Database!$B$1:$IX$10144,AP$22,FALSE)))</f>
        <v>21.428571428571427</v>
      </c>
      <c r="AQ25" s="22" t="str">
        <f>IF(OR($B25="",AQ$22=""),"",IF(LEN(VLOOKUP($B25,Database!$B$1:$IX$10144,AQ$22,FALSE))=0,"",VLOOKUP($B25,Database!$B$1:$IX$10144,AQ$22,FALSE)))</f>
        <v>Janssen J, Hulshoff Pol HE, Lampe IK, Schnack HG, de Leeuw FE, Kahn RS, Heeren TJ.</v>
      </c>
      <c r="AR25" s="13"/>
      <c r="AX25" s="13"/>
      <c r="AY25" s="13"/>
      <c r="AZ25" s="13"/>
      <c r="BA25" s="13"/>
      <c r="BC25" s="23"/>
      <c r="BF25" s="136"/>
      <c r="BG25" s="136"/>
      <c r="BH25" s="136"/>
      <c r="BI25" s="136"/>
    </row>
    <row r="26" spans="1:65">
      <c r="B26">
        <v>19108659</v>
      </c>
      <c r="C26" s="1" t="str">
        <f>IF($B26="","",HYPERLINK(IF(LEN(VLOOKUP($B26,Database!$B$1:$IX$10144,2,FALSE))=0,"",VLOOKUP($B26,Database!$B$1:$IX$10144,2,FALSE))))</f>
        <v/>
      </c>
      <c r="D26" s="1" t="str">
        <f>IF($B26="","",HYPERLINK(CONCATENATE("http://www.ncbi.nlm.nih.gov/pubmed/",B26)))</f>
        <v>http://www.ncbi.nlm.nih.gov/pubmed/19108659</v>
      </c>
      <c r="E26" s="22" t="str">
        <f>IF($B26="","",IF(LEN(VLOOKUP($B26,Database!$B$1:$IX$10144,4,FALSE))=0,"",VLOOKUP($B26,Database!$B$1:$IX$10144,4,FALSE)))</f>
        <v>Chen HH</v>
      </c>
      <c r="F26" s="22">
        <f>IF($B26="","",IF(LEN(VLOOKUP($B26,Database!$B$1:$IX$10144,5,FALSE))=0,"",VLOOKUP($B26,Database!$B$1:$IX$10144,5,FALSE)))</f>
        <v>2008</v>
      </c>
      <c r="G26" s="1" t="str">
        <f>IF($B26="","",HYPERLINK(IF(LEN(VLOOKUP($B26,Database!$B$1:$IX$10144,6,FALSE))=0,"",VLOOKUP($B26,Database!$B$1:$IX$10144,6,FALSE))))</f>
        <v>http://dx.doi.org/10.1089/cap.2008.053</v>
      </c>
      <c r="H26" s="22">
        <f>IF($B26="","",IF(LEN(VLOOKUP($B26,Database!$B$1:$IX$10144,7,FALSE))=0,"",VLOOKUP($B26,Database!$B$1:$IX$10144,7,FALSE)))</f>
        <v>27</v>
      </c>
      <c r="I26" s="22">
        <f>IF($B26="","",IF(LEN(VLOOKUP($B26,Database!$B$1:$IX$10144,8,FALSE))=0,"",VLOOKUP($B26,Database!$B$1:$IX$10144,8,FALSE)))</f>
        <v>26</v>
      </c>
      <c r="J26" t="s">
        <v>128</v>
      </c>
      <c r="L26">
        <v>3</v>
      </c>
      <c r="M26">
        <v>0.9</v>
      </c>
      <c r="N26">
        <v>2.8</v>
      </c>
      <c r="O26">
        <v>0.7</v>
      </c>
      <c r="P26">
        <v>3.2</v>
      </c>
      <c r="Q26">
        <v>0.8</v>
      </c>
      <c r="R26">
        <v>2.8</v>
      </c>
      <c r="S26">
        <v>0.6</v>
      </c>
      <c r="T26">
        <f>L26+P26</f>
        <v>6.2</v>
      </c>
      <c r="U26">
        <f>2*SQRT(0.25*(M26^2+Q26^2+2*$F$8*M26*Q26))</f>
        <v>1.6130716041143369</v>
      </c>
      <c r="V26">
        <f>N26+R26</f>
        <v>5.6</v>
      </c>
      <c r="W26">
        <f>2*SQRT(0.25*(O26^2+S26^2+2*$F$8*O26*S26))</f>
        <v>1.2336936410632908</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14.4</v>
      </c>
      <c r="AC26" s="22">
        <f>IF(OR($B26="",AC$22=""),"",IF(LEN(VLOOKUP($B26,Database!$B$1:$IX$10144,AC$22,FALSE))=0,"",VLOOKUP($B26,Database!$B$1:$IX$10144,AC$22,FALSE)))</f>
        <v>2.2000000000000002</v>
      </c>
      <c r="AD26" s="22">
        <f>IF(OR($B26="",AD$22=""),"",IF(LEN(VLOOKUP($B26,Database!$B$1:$IX$10144,AD$22,FALSE))=0,"",VLOOKUP($B26,Database!$B$1:$IX$10144,AD$22,FALSE)))</f>
        <v>14.4</v>
      </c>
      <c r="AE26" s="22">
        <f>IF(OR($B26="",AE$22=""),"",IF(LEN(VLOOKUP($B26,Database!$B$1:$IX$10144,AE$22,FALSE))=0,"",VLOOKUP($B26,Database!$B$1:$IX$10144,AE$22,FALSE)))</f>
        <v>2.4</v>
      </c>
      <c r="AF26" s="22">
        <f>IF(OR($B26="",AF$22=""),"",IF(LEN(VLOOKUP($B26,Database!$B$1:$IX$10144,AF$22,FALSE))=0,"",VLOOKUP($B26,Database!$B$1:$IX$10144,AF$22,FALSE)))</f>
        <v>17</v>
      </c>
      <c r="AG26" s="22">
        <f>IF(OR($B26="",AG$22=""),"",IF(LEN(VLOOKUP($B26,Database!$B$1:$IX$10144,AG$22,FALSE))=0,"",VLOOKUP($B26,Database!$B$1:$IX$10144,AG$22,FALSE)))</f>
        <v>14</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f>IF(OR($B26="",AK$22=""),"",IF(LEN(VLOOKUP($B26,Database!$B$1:$IX$10144,AK$22,FALSE))=0,"",VLOOKUP($B26,Database!$B$1:$IX$10144,AK$22,FALSE)))</f>
        <v>11.75</v>
      </c>
      <c r="AL26" s="22">
        <f>IF(OR($B26="",AL$22=""),"",IF(LEN(VLOOKUP($B26,Database!$B$1:$IX$10144,AL$22,FALSE))=0,"",VLOOKUP($B26,Database!$B$1:$IX$10144,AL$22,FALSE)))</f>
        <v>20.100000000000001</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Chen HH, Rosenberg DR, MacMaster FP, Easter PC, Caetano SC, Nicoletti M, Hatch JP, Nery FG, Soares JC.</v>
      </c>
      <c r="AR26" s="13"/>
      <c r="AX26" s="13"/>
      <c r="AY26" s="13"/>
      <c r="AZ26" s="13"/>
      <c r="BA26" s="13"/>
      <c r="BC26" s="23"/>
      <c r="BF26" s="136"/>
      <c r="BG26" s="136"/>
      <c r="BH26" s="136"/>
      <c r="BI26" s="136"/>
    </row>
    <row r="27" spans="1:65">
      <c r="B27" s="13"/>
      <c r="C27" s="1" t="str">
        <f>IF($B27="","",HYPERLINK(IF(LEN(VLOOKUP($B27,Database!$B$1:$IX$10144,2,FALSE))=0,"",VLOOKUP($B27,Database!$B$1:$IX$10144,2,FALSE))))</f>
        <v/>
      </c>
      <c r="D27" s="1" t="str">
        <f>IF($B27="","",HYPERLINK(CONCATENATE("http://www.ncbi.nlm.nih.gov/pubmed/",B27)))</f>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c r="AX27" s="13"/>
      <c r="AY27" s="13"/>
      <c r="AZ27" s="13"/>
      <c r="BA27" s="13"/>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7" t="s">
        <v>44</v>
      </c>
      <c r="B29">
        <v>14532909</v>
      </c>
      <c r="C29" s="1" t="str">
        <f>IF($B29="","",HYPERLINK(IF(LEN(VLOOKUP($B29,Database!$B$1:$IX$10144,2,FALSE))=0,"",VLOOKUP($B29,Database!$B$1:$IX$10144,2,FALSE))))</f>
        <v/>
      </c>
      <c r="D29" s="1" t="str">
        <f>IF($B29="","",HYPERLINK(CONCATENATE("http://www.ncbi.nlm.nih.gov/pubmed/",B29)))</f>
        <v>http://www.ncbi.nlm.nih.gov/pubmed/14532909</v>
      </c>
      <c r="E29" s="22" t="str">
        <f>IF($B29="","",IF(LEN(VLOOKUP($B29,Database!$B$1:$IX$10144,4,FALSE))=0,"",VLOOKUP($B29,Database!$B$1:$IX$10144,4,FALSE)))</f>
        <v>Steffens DC (B)</v>
      </c>
      <c r="F29" s="22">
        <f>IF($B29="","",IF(LEN(VLOOKUP($B29,Database!$B$1:$IX$10144,5,FALSE))=0,"",VLOOKUP($B29,Database!$B$1:$IX$10144,5,FALSE)))</f>
        <v>2003</v>
      </c>
      <c r="G29" s="1" t="str">
        <f>IF($B29="","",HYPERLINK(IF(LEN(VLOOKUP($B29,Database!$B$1:$IX$10144,6,FALSE))=0,"",VLOOKUP($B29,Database!$B$1:$IX$10144,6,FALSE))))</f>
        <v>http://www.nature.com/npp/journal/v28/n12/pdf/1300285a.pdf</v>
      </c>
      <c r="H29" s="22">
        <f>IF($B29="","",IF(LEN(VLOOKUP($B29,Database!$B$1:$IX$10144,7,FALSE))=0,"",VLOOKUP($B29,Database!$B$1:$IX$10144,7,FALSE)))</f>
        <v>30</v>
      </c>
      <c r="I29" s="22">
        <f>IF($B29="","",IF(LEN(VLOOKUP($B29,Database!$B$1:$IX$10144,8,FALSE))=0,"",VLOOKUP($B29,Database!$B$1:$IX$10144,8,FALSE)))</f>
        <v>40</v>
      </c>
      <c r="K29" s="96"/>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69.599999999999994</v>
      </c>
      <c r="AC29" s="22">
        <f>IF(OR($B29="",AC$22=""),"",IF(LEN(VLOOKUP($B29,Database!$B$1:$IX$10144,AC$22,FALSE))=0,"",VLOOKUP($B29,Database!$B$1:$IX$10144,AC$22,FALSE)))</f>
        <v>7.15</v>
      </c>
      <c r="AD29" s="22">
        <f>IF(OR($B29="",AD$22=""),"",IF(LEN(VLOOKUP($B29,Database!$B$1:$IX$10144,AD$22,FALSE))=0,"",VLOOKUP($B29,Database!$B$1:$IX$10144,AD$22,FALSE)))</f>
        <v>70.900000000000006</v>
      </c>
      <c r="AE29" s="22">
        <f>IF(OR($B29="",AE$22=""),"",IF(LEN(VLOOKUP($B29,Database!$B$1:$IX$10144,AE$22,FALSE))=0,"",VLOOKUP($B29,Database!$B$1:$IX$10144,AE$22,FALSE)))</f>
        <v>6.13</v>
      </c>
      <c r="AF29" s="22">
        <f>IF(OR($B29="",AF$22=""),"",IF(LEN(VLOOKUP($B29,Database!$B$1:$IX$10144,AF$22,FALSE))=0,"",VLOOKUP($B29,Database!$B$1:$IX$10144,AF$22,FALSE)))</f>
        <v>16</v>
      </c>
      <c r="AG29" s="22">
        <f>IF(OR($B29="",AG$22=""),"",IF(LEN(VLOOKUP($B29,Database!$B$1:$IX$10144,AG$22,FALSE))=0,"",VLOOKUP($B29,Database!$B$1:$IX$10144,AG$22,FALSE)))</f>
        <v>33</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Steffens DC, McQuoid DR, Welsh-Bohmer KA, Krishnan KR.</v>
      </c>
    </row>
    <row r="30" spans="1:65">
      <c r="A30" s="7" t="s">
        <v>45</v>
      </c>
      <c r="B30">
        <v>12547470</v>
      </c>
      <c r="C30" s="1" t="str">
        <f>IF($B30="","",HYPERLINK(IF(LEN(VLOOKUP($B30,Database!$B$1:$IX$10144,2,FALSE))=0,"",VLOOKUP($B30,Database!$B$1:$IX$10144,2,FALSE))))</f>
        <v/>
      </c>
      <c r="D30" s="1" t="str">
        <f>IF($B30="","",HYPERLINK(CONCATENATE("http://www.ncbi.nlm.nih.gov/pubmed/",B30)))</f>
        <v>http://www.ncbi.nlm.nih.gov/pubmed/12547470</v>
      </c>
      <c r="E30" s="22" t="str">
        <f>IF($B30="","",IF(LEN(VLOOKUP($B30,Database!$B$1:$IX$10144,4,FALSE))=0,"",VLOOKUP($B30,Database!$B$1:$IX$10144,4,FALSE)))</f>
        <v>Taylor WD (A)</v>
      </c>
      <c r="F30" s="22">
        <f>IF($B30="","",IF(LEN(VLOOKUP($B30,Database!$B$1:$IX$10144,5,FALSE))=0,"",VLOOKUP($B30,Database!$B$1:$IX$10144,5,FALSE)))</f>
        <v>2003</v>
      </c>
      <c r="G30" s="1" t="str">
        <f>IF($B30="","",HYPERLINK(IF(LEN(VLOOKUP($B30,Database!$B$1:$IX$10144,6,FALSE))=0,"",VLOOKUP($B30,Database!$B$1:$IX$10144,6,FALSE))))</f>
        <v>http://dx.doi.org/10.1016/S0006-3223(02)01490-7</v>
      </c>
      <c r="H30" s="22">
        <f>IF($B30="","",IF(LEN(VLOOKUP($B30,Database!$B$1:$IX$10144,7,FALSE))=0,"",VLOOKUP($B30,Database!$B$1:$IX$10144,7,FALSE)))</f>
        <v>41</v>
      </c>
      <c r="I30" s="22">
        <f>IF($B30="","",IF(LEN(VLOOKUP($B30,Database!$B$1:$IX$10144,8,FALSE))=0,"",VLOOKUP($B30,Database!$B$1:$IX$10144,8,FALSE)))</f>
        <v>40</v>
      </c>
      <c r="K30" s="10"/>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68.73</v>
      </c>
      <c r="AC30" s="22">
        <f>IF(OR($B30="",AC$22=""),"",IF(LEN(VLOOKUP($B30,Database!$B$1:$IX$10144,AC$22,FALSE))=0,"",VLOOKUP($B30,Database!$B$1:$IX$10144,AC$22,FALSE)))</f>
        <v>6.98</v>
      </c>
      <c r="AD30" s="22">
        <f>IF(OR($B30="",AD$22=""),"",IF(LEN(VLOOKUP($B30,Database!$B$1:$IX$10144,AD$22,FALSE))=0,"",VLOOKUP($B30,Database!$B$1:$IX$10144,AD$22,FALSE)))</f>
        <v>71.42</v>
      </c>
      <c r="AE30" s="22">
        <f>IF(OR($B30="",AE$22=""),"",IF(LEN(VLOOKUP($B30,Database!$B$1:$IX$10144,AE$22,FALSE))=0,"",VLOOKUP($B30,Database!$B$1:$IX$10144,AE$22,FALSE)))</f>
        <v>6.07</v>
      </c>
      <c r="AF30" s="22">
        <f>IF(OR($B30="",AF$22=""),"",IF(LEN(VLOOKUP($B30,Database!$B$1:$IX$10144,AF$22,FALSE))=0,"",VLOOKUP($B30,Database!$B$1:$IX$10144,AF$22,FALSE)))</f>
        <v>21</v>
      </c>
      <c r="AG30" s="22">
        <f>IF(OR($B30="",AG$22=""),"",IF(LEN(VLOOKUP($B30,Database!$B$1:$IX$10144,AG$22,FALSE))=0,"",VLOOKUP($B30,Database!$B$1:$IX$10144,AG$22,FALSE)))</f>
        <v>33</v>
      </c>
      <c r="AH30" s="22">
        <f>IF(OR($B30="",AH$22=""),"",IF(LEN(VLOOKUP($B30,Database!$B$1:$IX$10144,AH$22,FALSE))=0,"",VLOOKUP($B30,Database!$B$1:$IX$10144,AH$22,FALSE)))</f>
        <v>1.5</v>
      </c>
      <c r="AI30" s="22">
        <f>IF(OR($B30="",AI$22=""),"",IF(LEN(VLOOKUP($B30,Database!$B$1:$IX$10144,AI$22,FALSE))=0,"",VLOOKUP($B30,Database!$B$1:$IX$10144,AI$22,FALSE)))</f>
        <v>3</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Taylor WD, Steffens DC, McQuoid DR, Payne ME, Lee SH, Lai TJ, Krishnan KR.</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5" si="0">E24</f>
        <v>Lacerda AL</v>
      </c>
      <c r="F33">
        <f t="shared" si="0"/>
        <v>2004</v>
      </c>
      <c r="G33">
        <v>3</v>
      </c>
      <c r="H33">
        <f t="shared" ref="H33:I35" si="1">H24</f>
        <v>31</v>
      </c>
      <c r="I33">
        <f t="shared" si="1"/>
        <v>34</v>
      </c>
      <c r="J33">
        <f t="shared" ref="J33:M35" si="2">IF($D$4="Total",T24,IF($D$4="Left",L24,IF($D$4="Right",P24,"error")))</f>
        <v>5.0999999999999996</v>
      </c>
      <c r="K33">
        <f t="shared" si="2"/>
        <v>0.87</v>
      </c>
      <c r="L33">
        <f t="shared" si="2"/>
        <v>5.68</v>
      </c>
      <c r="M33">
        <f t="shared" si="2"/>
        <v>1.41</v>
      </c>
      <c r="N33">
        <f>IF($D$3=1,SQRT((((I33-1)*(M33)^2)+((H33-1)*(K33)^2))/(H33+I33-2)),M33)</f>
        <v>1.1839823840388359</v>
      </c>
      <c r="O33" s="59">
        <f>IF($D$6=1,LN(J33/L33),IF($D$5=1,(1-3/(4*(H33+I33)-9))*((J33-L33)/N33),(J33-L33)/N33))</f>
        <v>-0.48401710769445716</v>
      </c>
      <c r="P33" s="63">
        <f>IF($D$6=1,(K33^2)/(H33*J33^2)+(M33^2)/(I33*L33^2),(IF($D$5=1,((H33+I33)/(H33*I33))+(O33*O33)/(2*(H33+I33-3.94)),((H33+I33)/(H33*I33))+((O33^2)/(2*(H33+I33-2))))))</f>
        <v>6.3588209180584165E-2</v>
      </c>
      <c r="Q33" s="59">
        <f>$R$52*SQRT(P33)</f>
        <v>0.49424737165525945</v>
      </c>
      <c r="R33" s="59">
        <f>1/P33</f>
        <v>15.726185921671419</v>
      </c>
      <c r="S33" s="59">
        <f>O33*R33</f>
        <v>-7.6117430248726912</v>
      </c>
      <c r="T33" s="59">
        <f>R33*(O33^2)</f>
        <v>3.6842138434123388</v>
      </c>
      <c r="U33" s="23">
        <f>R33^2</f>
        <v>247.31292364297636</v>
      </c>
      <c r="V33" s="59">
        <f>1/((1/R33)+$I$49)</f>
        <v>5.2088976900560251</v>
      </c>
      <c r="W33" s="59">
        <f>V33*O33</f>
        <v>-2.5211955942172564</v>
      </c>
      <c r="AF33" s="59">
        <f>IF($D$6=1,100*((EXP(O33))-1),O33)</f>
        <v>-0.48401710769445716</v>
      </c>
      <c r="AG33" s="59">
        <f>IF($D$6=1,100*(EXP(O33+Q33)-EXP(O33)),Q33)</f>
        <v>0.49424737165525945</v>
      </c>
      <c r="AH33" s="59">
        <f>IF($D$6=1,100*(EXP(O33)-EXP(O33-Q33)),Q33)</f>
        <v>0.49424737165525945</v>
      </c>
      <c r="AJ33">
        <f>SQRT(P33)</f>
        <v>0.25216702635472421</v>
      </c>
      <c r="AK33">
        <f>1/AJ33</f>
        <v>3.9656255397694089</v>
      </c>
      <c r="AL33">
        <f>O33/AJ33</f>
        <v>-1.9194306039584599</v>
      </c>
      <c r="AN33" t="str">
        <f t="shared" ref="AN33:AO35" si="3">E33</f>
        <v>Lacerda AL</v>
      </c>
      <c r="AO33">
        <f t="shared" si="3"/>
        <v>2004</v>
      </c>
      <c r="AP33" t="str">
        <f>CONCATENATE(AN33," ",AO33)</f>
        <v>Lacerda AL 2004</v>
      </c>
      <c r="AQ33">
        <f>INT(H33)</f>
        <v>31</v>
      </c>
      <c r="AR33">
        <f t="shared" ref="AR33:AS35" si="4">J33</f>
        <v>5.0999999999999996</v>
      </c>
      <c r="AS33">
        <f t="shared" si="4"/>
        <v>0.87</v>
      </c>
      <c r="AT33">
        <f>INT(I33)</f>
        <v>34</v>
      </c>
      <c r="AU33">
        <f t="shared" ref="AU33:AV35" si="5">L33</f>
        <v>5.68</v>
      </c>
      <c r="AV33">
        <f t="shared" si="5"/>
        <v>1.41</v>
      </c>
      <c r="AW33" s="65">
        <f>O33</f>
        <v>-0.48401710769445716</v>
      </c>
      <c r="AX33">
        <f>SQRT(P33)</f>
        <v>0.25216702635472421</v>
      </c>
      <c r="AY33" t="str">
        <f>$F$6</f>
        <v>Cohens Effect size</v>
      </c>
    </row>
    <row r="34" spans="5:51">
      <c r="E34" t="str">
        <f t="shared" si="0"/>
        <v>Janssen J</v>
      </c>
      <c r="F34">
        <f t="shared" si="0"/>
        <v>2004</v>
      </c>
      <c r="G34">
        <v>2</v>
      </c>
      <c r="H34">
        <f t="shared" si="1"/>
        <v>28</v>
      </c>
      <c r="I34">
        <f t="shared" si="1"/>
        <v>41</v>
      </c>
      <c r="J34">
        <f t="shared" si="2"/>
        <v>4.5999999999999996</v>
      </c>
      <c r="K34">
        <f t="shared" si="2"/>
        <v>1.08</v>
      </c>
      <c r="L34">
        <f t="shared" si="2"/>
        <v>4.54</v>
      </c>
      <c r="M34">
        <f t="shared" si="2"/>
        <v>1.32</v>
      </c>
      <c r="N34">
        <f>IF($D$3=1,SQRT((((I34-1)*(M34)^2)+((H34-1)*(K34)^2))/(H34+I34-2)),M34)</f>
        <v>1.2289347407470119</v>
      </c>
      <c r="O34" s="59">
        <f>IF($D$6=1,LN(J34/L34),IF($D$5=1,(1-3/(4*(H34+I34)-9))*((J34-L34)/N34),(J34-L34)/N34))</f>
        <v>4.8274201004820987E-2</v>
      </c>
      <c r="P34" s="63">
        <f>IF($D$6=1,(K34^2)/(H34*J34^2)+(M34^2)/(I34*L34^2),(IF($D$5=1,((H34+I34)/(H34*I34))+(O34*O34)/(2*(H34+I34-3.94)),((H34+I34)/(H34*I34))+((O34^2)/(2*(H34+I34-2))))))</f>
        <v>6.0122439226951097E-2</v>
      </c>
      <c r="Q34" s="59">
        <f>$R$52*SQRT(P34)</f>
        <v>0.48058959886191394</v>
      </c>
      <c r="R34" s="59">
        <f>1/P34</f>
        <v>16.632725033413646</v>
      </c>
      <c r="S34" s="59">
        <f>O34*R34</f>
        <v>0.80293151152092823</v>
      </c>
      <c r="T34" s="59">
        <f>R34*(O34^2)</f>
        <v>3.8760877180266023E-2</v>
      </c>
      <c r="U34" s="23">
        <f>R34^2</f>
        <v>276.64754203714494</v>
      </c>
      <c r="V34" s="59">
        <f>1/((1/R34)+$I$49)</f>
        <v>5.3046619086118927</v>
      </c>
      <c r="W34" s="59">
        <f>V34*O34</f>
        <v>0.25607831523894786</v>
      </c>
      <c r="AF34" s="59">
        <f>IF($D$6=1,100*((EXP(O34))-1),O34)</f>
        <v>4.8274201004820987E-2</v>
      </c>
      <c r="AG34" s="59">
        <f>IF($D$6=1,100*(EXP(O34+Q34)-EXP(O34)),Q34)</f>
        <v>0.48058959886191394</v>
      </c>
      <c r="AH34" s="59">
        <f>IF($D$6=1,100*(EXP(O34)-EXP(O34-Q34)),Q34)</f>
        <v>0.48058959886191394</v>
      </c>
      <c r="AJ34">
        <f>SQRT(P34)</f>
        <v>0.24519877492954792</v>
      </c>
      <c r="AK34">
        <f>1/AJ34</f>
        <v>4.0783238019330499</v>
      </c>
      <c r="AL34">
        <f>O34/AJ34</f>
        <v>0.19687782297726178</v>
      </c>
      <c r="AN34" t="str">
        <f t="shared" si="3"/>
        <v>Janssen J</v>
      </c>
      <c r="AO34">
        <f t="shared" si="3"/>
        <v>2004</v>
      </c>
      <c r="AP34" t="str">
        <f>CONCATENATE(AN34," ",AO34)</f>
        <v>Janssen J 2004</v>
      </c>
      <c r="AQ34">
        <f>INT(H34)</f>
        <v>28</v>
      </c>
      <c r="AR34">
        <f t="shared" si="4"/>
        <v>4.5999999999999996</v>
      </c>
      <c r="AS34">
        <f t="shared" si="4"/>
        <v>1.08</v>
      </c>
      <c r="AT34">
        <f>INT(I34)</f>
        <v>41</v>
      </c>
      <c r="AU34">
        <f t="shared" si="5"/>
        <v>4.54</v>
      </c>
      <c r="AV34">
        <f t="shared" si="5"/>
        <v>1.32</v>
      </c>
      <c r="AW34" s="65">
        <f>O34</f>
        <v>4.8274201004820987E-2</v>
      </c>
      <c r="AX34">
        <f>SQRT(P34)</f>
        <v>0.24519877492954792</v>
      </c>
    </row>
    <row r="35" spans="5:51">
      <c r="E35" t="str">
        <f t="shared" si="0"/>
        <v>Chen HH</v>
      </c>
      <c r="F35">
        <f t="shared" si="0"/>
        <v>2008</v>
      </c>
      <c r="G35">
        <v>1</v>
      </c>
      <c r="H35">
        <f t="shared" si="1"/>
        <v>27</v>
      </c>
      <c r="I35">
        <f t="shared" si="1"/>
        <v>26</v>
      </c>
      <c r="J35">
        <f t="shared" si="2"/>
        <v>6.2</v>
      </c>
      <c r="K35">
        <f t="shared" si="2"/>
        <v>1.6130716041143369</v>
      </c>
      <c r="L35">
        <f t="shared" si="2"/>
        <v>5.6</v>
      </c>
      <c r="M35">
        <f t="shared" si="2"/>
        <v>1.2336936410632908</v>
      </c>
      <c r="N35">
        <f>IF($D$3=1,SQRT((((I35-1)*(M35)^2)+((H35-1)*(K35)^2))/(H35+I35-2)),M35)</f>
        <v>1.4396486499469647</v>
      </c>
      <c r="O35" s="59">
        <f>IF($D$6=1,LN(J35/L35),IF($D$5=1,(1-3/(4*(H35+I35)-9))*((J35-L35)/N35),(J35-L35)/N35))</f>
        <v>0.41060921701130737</v>
      </c>
      <c r="P35" s="63">
        <f>IF($D$6=1,(K35^2)/(H35*J35^2)+(M35^2)/(I35*L35^2),(IF($D$5=1,((H35+I35)/(H35*I35))+(O35*O35)/(2*(H35+I35-3.94)),((H35+I35)/(H35*I35))+((O35^2)/(2*(H35+I35-2))))))</f>
        <v>7.7216878893343527E-2</v>
      </c>
      <c r="Q35" s="59">
        <f>$R$52*SQRT(P35)</f>
        <v>0.54464333462980019</v>
      </c>
      <c r="R35" s="59">
        <f>1/P35</f>
        <v>12.95053638960542</v>
      </c>
      <c r="S35" s="59">
        <f>O35*R35</f>
        <v>5.3176096068123249</v>
      </c>
      <c r="T35" s="59">
        <f>R35*(O35^2)</f>
        <v>2.1834595170250148</v>
      </c>
      <c r="U35" s="23">
        <f>R35^2</f>
        <v>167.71639277849417</v>
      </c>
      <c r="V35" s="59">
        <f>1/((1/R35)+$I$49)</f>
        <v>4.863627117283702</v>
      </c>
      <c r="W35" s="59">
        <f>V35*O35</f>
        <v>1.997050122462823</v>
      </c>
      <c r="AF35" s="59">
        <f>IF($D$6=1,100*((EXP(O35))-1),O35)</f>
        <v>0.41060921701130737</v>
      </c>
      <c r="AG35" s="59">
        <f>IF($D$6=1,100*(EXP(O35+Q35)-EXP(O35)),Q35)</f>
        <v>0.54464333462980019</v>
      </c>
      <c r="AH35" s="59">
        <f>IF($D$6=1,100*(EXP(O35)-EXP(O35-Q35)),Q35)</f>
        <v>0.54464333462980019</v>
      </c>
      <c r="AJ35">
        <f>SQRT(P35)</f>
        <v>0.27787925236214295</v>
      </c>
      <c r="AK35">
        <f>1/AJ35</f>
        <v>3.59868536963228</v>
      </c>
      <c r="AL35">
        <f>O35/AJ35</f>
        <v>1.4776533818947577</v>
      </c>
      <c r="AN35" t="str">
        <f t="shared" si="3"/>
        <v>Chen HH</v>
      </c>
      <c r="AO35">
        <f t="shared" si="3"/>
        <v>2008</v>
      </c>
      <c r="AP35" t="str">
        <f>CONCATENATE(AN35," ",AO35)</f>
        <v>Chen HH 2008</v>
      </c>
      <c r="AQ35">
        <f>INT(H35)</f>
        <v>27</v>
      </c>
      <c r="AR35">
        <f t="shared" si="4"/>
        <v>6.2</v>
      </c>
      <c r="AS35">
        <f t="shared" si="4"/>
        <v>1.6130716041143369</v>
      </c>
      <c r="AT35">
        <f>INT(I35)</f>
        <v>26</v>
      </c>
      <c r="AU35">
        <f t="shared" si="5"/>
        <v>5.6</v>
      </c>
      <c r="AV35">
        <f t="shared" si="5"/>
        <v>1.2336936410632908</v>
      </c>
      <c r="AW35" s="65">
        <f>O35</f>
        <v>0.41060921701130737</v>
      </c>
      <c r="AX35">
        <f>SQRT(P35)</f>
        <v>0.27787925236214295</v>
      </c>
      <c r="AY35" t="str">
        <f>$F$5</f>
        <v>H Correction</v>
      </c>
    </row>
    <row r="36" spans="5:51">
      <c r="U36" s="23"/>
    </row>
    <row r="37" spans="5:51">
      <c r="L37" t="s">
        <v>500</v>
      </c>
      <c r="N37" s="7"/>
      <c r="O37" s="66">
        <f>COUNT(O33:O35)</f>
        <v>3</v>
      </c>
      <c r="Q37" t="s">
        <v>885</v>
      </c>
      <c r="R37" s="59">
        <f t="shared" ref="R37:W37" si="6">SUM(R33:R35)</f>
        <v>45.309447344690483</v>
      </c>
      <c r="S37" s="59">
        <f t="shared" si="6"/>
        <v>-1.4912019065394384</v>
      </c>
      <c r="T37" s="59">
        <f t="shared" si="6"/>
        <v>5.9064342376176198</v>
      </c>
      <c r="U37" s="23">
        <f t="shared" si="6"/>
        <v>691.67685845861547</v>
      </c>
      <c r="V37" s="59">
        <f t="shared" si="6"/>
        <v>15.37718671595162</v>
      </c>
      <c r="W37" s="59">
        <f t="shared" si="6"/>
        <v>-0.26806715651548552</v>
      </c>
    </row>
    <row r="38" spans="5:51">
      <c r="L38" t="s">
        <v>501</v>
      </c>
      <c r="N38" s="7"/>
      <c r="O38" s="2">
        <v>0</v>
      </c>
    </row>
    <row r="39" spans="5:51">
      <c r="N39" s="7"/>
      <c r="O39" s="7"/>
    </row>
    <row r="40" spans="5:51">
      <c r="G40" s="67" t="s">
        <v>502</v>
      </c>
      <c r="H40" s="40"/>
      <c r="I40" s="40">
        <f>S37/R37</f>
        <v>-3.2911500667733982E-2</v>
      </c>
      <c r="J40" s="40"/>
      <c r="K40" s="68" t="s">
        <v>879</v>
      </c>
      <c r="L40" s="40"/>
      <c r="M40" s="42"/>
      <c r="N40" s="7"/>
      <c r="O40" s="69" t="s">
        <v>503</v>
      </c>
      <c r="P40" s="70">
        <f>T37-((S37^2)/R37)</f>
        <v>5.8573565450748211</v>
      </c>
      <c r="Q40" s="71" t="s">
        <v>824</v>
      </c>
      <c r="R40" s="28"/>
      <c r="S40" s="29"/>
      <c r="T40" s="30"/>
      <c r="U40" s="31"/>
      <c r="AF40" s="2" t="s">
        <v>1518</v>
      </c>
    </row>
    <row r="41" spans="5:51">
      <c r="G41" s="43" t="s">
        <v>504</v>
      </c>
      <c r="H41" s="31"/>
      <c r="I41" s="31">
        <f>1/R37</f>
        <v>2.2070452380328658E-2</v>
      </c>
      <c r="J41" s="31"/>
      <c r="K41" s="31"/>
      <c r="L41" s="31"/>
      <c r="M41" s="44"/>
      <c r="N41" s="7"/>
      <c r="O41" s="30" t="s">
        <v>505</v>
      </c>
      <c r="P41" s="31">
        <f>CHIDIST(P40,I45-1)</f>
        <v>5.3467661141058755E-2</v>
      </c>
      <c r="Q41" s="31"/>
      <c r="R41" s="31"/>
      <c r="S41" s="34"/>
      <c r="T41" s="30"/>
      <c r="U41" s="31"/>
      <c r="AF41" s="2"/>
    </row>
    <row r="42" spans="5:51">
      <c r="G42" s="72" t="s">
        <v>506</v>
      </c>
      <c r="H42" s="31"/>
      <c r="I42" s="31">
        <f>$R$52*SQRT(I41)</f>
        <v>0.29118009867480737</v>
      </c>
      <c r="J42" s="31"/>
      <c r="K42" s="31" t="s">
        <v>507</v>
      </c>
      <c r="L42" s="31"/>
      <c r="M42" s="44">
        <f>ABS(I40/SQRT(I41))</f>
        <v>0.22153485627051767</v>
      </c>
      <c r="N42" s="7"/>
      <c r="O42" s="35" t="s">
        <v>508</v>
      </c>
      <c r="P42" s="37">
        <f>IF(((P40-(I45-1))/P40)&lt;0,0,100*((P40-(I45-1))/P40))</f>
        <v>65.85490426254303</v>
      </c>
      <c r="Q42" s="36"/>
      <c r="R42" s="36"/>
      <c r="S42" s="38"/>
      <c r="T42" s="30"/>
      <c r="U42" s="31"/>
      <c r="AF42" s="2" t="s">
        <v>1535</v>
      </c>
      <c r="AH42">
        <f>IF($D$6=1,100*((EXP(I40))-1),I40)</f>
        <v>-3.2911500667733982E-2</v>
      </c>
    </row>
    <row r="43" spans="5:51">
      <c r="G43" s="45" t="s">
        <v>509</v>
      </c>
      <c r="H43" s="46"/>
      <c r="I43" s="46">
        <v>-2</v>
      </c>
      <c r="J43" s="46"/>
      <c r="K43" s="46" t="s">
        <v>825</v>
      </c>
      <c r="L43" s="46"/>
      <c r="M43" s="47">
        <f>2*(1-NORMDIST(M42,0,1,1))</f>
        <v>0.82467599936528568</v>
      </c>
      <c r="N43" s="7"/>
      <c r="O43" s="7"/>
      <c r="AF43" s="79" t="s">
        <v>834</v>
      </c>
      <c r="AH43">
        <f>IF($D$6=1,100*(EXP(I40+I42)-EXP(I40)),I42)</f>
        <v>0.29118009867480737</v>
      </c>
    </row>
    <row r="44" spans="5:51">
      <c r="G44" s="40"/>
      <c r="H44" s="40"/>
      <c r="I44" s="40"/>
      <c r="J44" s="40"/>
      <c r="K44" s="40"/>
      <c r="L44" s="40"/>
      <c r="M44" s="40"/>
      <c r="N44" s="7"/>
      <c r="O44" s="7"/>
      <c r="AF44" s="79" t="s">
        <v>835</v>
      </c>
      <c r="AH44">
        <f>IF($D$6=1,100*(EXP(I40)-EXP(I40-I42)),I42)</f>
        <v>0.29118009867480737</v>
      </c>
    </row>
    <row r="45" spans="5:51">
      <c r="G45" s="73" t="s">
        <v>1110</v>
      </c>
      <c r="H45" s="74"/>
      <c r="I45" s="74">
        <f>O37</f>
        <v>3</v>
      </c>
      <c r="J45" s="74"/>
      <c r="K45" s="75" t="s">
        <v>1167</v>
      </c>
      <c r="L45" s="74"/>
      <c r="M45" s="76"/>
      <c r="N45" s="77"/>
      <c r="O45" s="101" t="s">
        <v>1513</v>
      </c>
      <c r="P45" s="102"/>
      <c r="Q45" s="103"/>
      <c r="AF45" s="7"/>
    </row>
    <row r="46" spans="5:51">
      <c r="G46" s="77" t="s">
        <v>1531</v>
      </c>
      <c r="H46" s="31"/>
      <c r="I46" s="31">
        <f>R37/I45</f>
        <v>15.103149114896828</v>
      </c>
      <c r="J46" s="31"/>
      <c r="K46" s="31"/>
      <c r="L46" s="31"/>
      <c r="M46" s="78"/>
      <c r="N46" s="77"/>
      <c r="O46" s="104" t="s">
        <v>1514</v>
      </c>
      <c r="P46" s="31"/>
      <c r="Q46" s="105">
        <f>INDEX(LINEST(AL33:AL35,AK33:AK35,TRUE,TRUE),1,2)</f>
        <v>16.601163340658395</v>
      </c>
      <c r="AF46" s="2" t="s">
        <v>1687</v>
      </c>
      <c r="AH46">
        <f>IF($D$6=1,100*((EXP(I51))-1),I51)</f>
        <v>-1.7432782827394844E-2</v>
      </c>
    </row>
    <row r="47" spans="5:51">
      <c r="G47" s="77" t="s">
        <v>1532</v>
      </c>
      <c r="H47" s="31"/>
      <c r="I47" s="31">
        <f>(1/(I45-1))*(U37-(I45*I46^2))</f>
        <v>3.6807594490944666</v>
      </c>
      <c r="J47" s="31"/>
      <c r="K47" s="31"/>
      <c r="L47" s="31"/>
      <c r="M47" s="78"/>
      <c r="N47" s="77"/>
      <c r="O47" s="104" t="s">
        <v>1516</v>
      </c>
      <c r="P47" s="31"/>
      <c r="Q47" s="105">
        <f>INDEX(LINEST(AL33:AL35,AK33:AK35,TRUE,TRUE),2,2)</f>
        <v>20.678947510529817</v>
      </c>
      <c r="AF47" s="79" t="s">
        <v>834</v>
      </c>
      <c r="AG47" s="7"/>
      <c r="AH47">
        <f>IF($D$6=1,100*(EXP(I51+I53)-EXP(I51)),I53)</f>
        <v>0.4998246004215815</v>
      </c>
    </row>
    <row r="48" spans="5:51">
      <c r="G48" s="77" t="s">
        <v>1669</v>
      </c>
      <c r="H48" s="31"/>
      <c r="I48" s="31">
        <f>(I45-1)*(I46-(I47/(I45*I46)))</f>
        <v>30.04382617750429</v>
      </c>
      <c r="J48" s="31"/>
      <c r="K48" s="31"/>
      <c r="L48" s="31"/>
      <c r="M48" s="78"/>
      <c r="N48" s="77"/>
      <c r="O48" s="104" t="s">
        <v>1349</v>
      </c>
      <c r="P48" s="31"/>
      <c r="Q48" s="105">
        <f>ABS(Q46/Q47)</f>
        <v>0.80280504277139852</v>
      </c>
      <c r="AF48" s="79" t="s">
        <v>835</v>
      </c>
      <c r="AH48">
        <f>IF($D$6=1,100*(EXP(I51)-EXP(I51-I53)),I53)</f>
        <v>0.4998246004215815</v>
      </c>
    </row>
    <row r="49" spans="7:18">
      <c r="G49" s="77" t="s">
        <v>1685</v>
      </c>
      <c r="H49" s="31"/>
      <c r="I49" s="31">
        <f>IF(P40&gt;(I45-1),(P40-(I45-1))/I48,0)</f>
        <v>0.12839098862724307</v>
      </c>
      <c r="J49" s="31"/>
      <c r="K49" s="31"/>
      <c r="L49" s="31"/>
      <c r="M49" s="78"/>
      <c r="N49" s="77"/>
      <c r="O49" s="106" t="s">
        <v>1515</v>
      </c>
      <c r="P49" s="107"/>
      <c r="Q49" s="108">
        <f>TDIST(Q48,I45-2,2)</f>
        <v>0.5693591952213759</v>
      </c>
    </row>
    <row r="50" spans="7:18">
      <c r="G50" s="77"/>
      <c r="H50" s="31"/>
      <c r="I50" s="31"/>
      <c r="J50" s="31"/>
      <c r="K50" s="31"/>
      <c r="L50" s="31"/>
      <c r="M50" s="78"/>
      <c r="N50" s="77"/>
    </row>
    <row r="51" spans="7:18">
      <c r="G51" s="77" t="s">
        <v>1686</v>
      </c>
      <c r="H51" s="31"/>
      <c r="I51" s="31">
        <f>W37/V37</f>
        <v>-1.7432782827394844E-2</v>
      </c>
      <c r="J51" s="31"/>
      <c r="N51" s="77"/>
    </row>
    <row r="52" spans="7:18">
      <c r="G52" s="77" t="s">
        <v>504</v>
      </c>
      <c r="H52" s="31"/>
      <c r="I52" s="31">
        <f>1/V37</f>
        <v>6.5031401287638901E-2</v>
      </c>
      <c r="J52" s="31"/>
      <c r="N52" s="77"/>
      <c r="O52" t="s">
        <v>805</v>
      </c>
      <c r="R52">
        <v>1.96</v>
      </c>
    </row>
    <row r="53" spans="7:18">
      <c r="G53" s="80" t="s">
        <v>506</v>
      </c>
      <c r="H53" s="31"/>
      <c r="I53" s="31">
        <f>$R$52*SQRT(I52)</f>
        <v>0.4998246004215815</v>
      </c>
      <c r="J53" s="31"/>
      <c r="K53" s="31" t="s">
        <v>507</v>
      </c>
      <c r="L53" s="31"/>
      <c r="M53" s="78">
        <f>ABS(I51/(SQRT(I52)))</f>
        <v>6.8360489485460252E-2</v>
      </c>
      <c r="N53" s="77"/>
    </row>
    <row r="54" spans="7:18">
      <c r="G54" s="81" t="s">
        <v>509</v>
      </c>
      <c r="H54" s="82"/>
      <c r="I54" s="82">
        <v>-3</v>
      </c>
      <c r="J54" s="82"/>
      <c r="K54" s="31" t="s">
        <v>825</v>
      </c>
      <c r="L54" s="31"/>
      <c r="M54" s="78">
        <f>2*(1-NORMDIST(M53,0,1,1))</f>
        <v>0.94549867304467505</v>
      </c>
      <c r="N54" s="77"/>
    </row>
    <row r="55" spans="7:18">
      <c r="G55" s="74"/>
      <c r="H55" s="74"/>
      <c r="I55" s="74"/>
      <c r="J55" s="74"/>
      <c r="K55" s="74"/>
      <c r="L55" s="74"/>
      <c r="M55" s="74"/>
      <c r="N55" s="31"/>
      <c r="O55" s="7"/>
    </row>
  </sheetData>
  <phoneticPr fontId="10" type="noConversion"/>
  <conditionalFormatting sqref="D17 D13 F13">
    <cfRule type="cellIs" dxfId="36" priority="0" stopIfTrue="1" operator="lessThan">
      <formula>0.05</formula>
    </cfRule>
  </conditionalFormatting>
  <conditionalFormatting sqref="D21">
    <cfRule type="cellIs" dxfId="3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2.xml><?xml version="1.0" encoding="utf-8"?>
<worksheet xmlns="http://schemas.openxmlformats.org/spreadsheetml/2006/main" xmlns:r="http://schemas.openxmlformats.org/officeDocument/2006/relationships">
  <sheetPr published="0" codeName="Sheet32" enableFormatConditionsCalculation="0"/>
  <dimension ref="A1:BM6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736</v>
      </c>
      <c r="D1" s="10"/>
      <c r="F1" s="1" t="s">
        <v>733</v>
      </c>
    </row>
    <row r="3" spans="2:30">
      <c r="B3" t="s">
        <v>1509</v>
      </c>
      <c r="D3">
        <f>Summary!C75</f>
        <v>1</v>
      </c>
      <c r="E3" t="s">
        <v>1834</v>
      </c>
      <c r="F3" s="24" t="str">
        <f>IF(D3=1,"Pooled SD","Control SD only")</f>
        <v>Pooled SD</v>
      </c>
    </row>
    <row r="4" spans="2:30">
      <c r="B4" t="s">
        <v>1642</v>
      </c>
      <c r="D4" s="25" t="s">
        <v>1643</v>
      </c>
      <c r="E4" t="s">
        <v>1834</v>
      </c>
      <c r="F4" s="26" t="str">
        <f>IF($D$4="Total","Total",IF($D$4="Left","Left",IF($D$4="Right","Right","Error: enter Total, Left or Right")))</f>
        <v>Left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I55-O48</f>
        <v>6</v>
      </c>
      <c r="AD7" s="89"/>
    </row>
    <row r="8" spans="2:30">
      <c r="B8" t="s">
        <v>822</v>
      </c>
      <c r="D8">
        <f>SUM(H24:H30)</f>
        <v>171</v>
      </c>
      <c r="AD8" s="89"/>
    </row>
    <row r="9" spans="2:30">
      <c r="B9" t="s">
        <v>823</v>
      </c>
      <c r="D9">
        <f>SUM(I24:I30)</f>
        <v>173</v>
      </c>
      <c r="AD9" s="89"/>
    </row>
    <row r="11" spans="2:30">
      <c r="B11" s="27" t="s">
        <v>516</v>
      </c>
      <c r="C11" s="28"/>
      <c r="D11" s="109">
        <f>P50</f>
        <v>17.026518649031125</v>
      </c>
      <c r="E11" s="110" t="s">
        <v>1513</v>
      </c>
      <c r="F11" s="103"/>
    </row>
    <row r="12" spans="2:30">
      <c r="B12" s="30" t="s">
        <v>826</v>
      </c>
      <c r="C12" s="31"/>
      <c r="D12" s="112">
        <f>P52</f>
        <v>64.760852622438918</v>
      </c>
      <c r="E12" s="31"/>
      <c r="F12" s="105"/>
    </row>
    <row r="13" spans="2:30">
      <c r="B13" s="35" t="s">
        <v>825</v>
      </c>
      <c r="C13" s="36"/>
      <c r="D13" s="113">
        <f>P51</f>
        <v>9.1862769021725174E-3</v>
      </c>
      <c r="E13" s="111" t="s">
        <v>825</v>
      </c>
      <c r="F13" s="115">
        <f>Q59</f>
        <v>3.7772581661597332E-2</v>
      </c>
    </row>
    <row r="15" spans="2:30">
      <c r="B15" s="39" t="s">
        <v>879</v>
      </c>
      <c r="C15" s="40"/>
      <c r="D15" s="41">
        <f>AH52</f>
        <v>-0.1198533933838586</v>
      </c>
      <c r="E15" s="116"/>
    </row>
    <row r="16" spans="2:30">
      <c r="B16" s="43" t="s">
        <v>1165</v>
      </c>
      <c r="C16" s="31"/>
      <c r="D16" s="33">
        <f>AH52-AH54</f>
        <v>-0.34120486612775236</v>
      </c>
      <c r="E16" s="117">
        <f>AH52+AH53</f>
        <v>0.10149807936003517</v>
      </c>
    </row>
    <row r="17" spans="1:65">
      <c r="B17" s="45" t="s">
        <v>1166</v>
      </c>
      <c r="C17" s="46"/>
      <c r="D17" s="123">
        <f>M53</f>
        <v>0.28856932214151421</v>
      </c>
      <c r="E17" s="118"/>
    </row>
    <row r="18" spans="1:65">
      <c r="D18" s="48"/>
      <c r="F18" s="49"/>
    </row>
    <row r="19" spans="1:65">
      <c r="B19" s="50" t="s">
        <v>1167</v>
      </c>
      <c r="C19" s="51"/>
      <c r="D19" s="52">
        <f>AH56</f>
        <v>-0.34797138663360683</v>
      </c>
      <c r="E19" s="120"/>
      <c r="F19" s="33"/>
      <c r="G19" s="31"/>
    </row>
    <row r="20" spans="1:65">
      <c r="B20" s="53" t="s">
        <v>1165</v>
      </c>
      <c r="C20" s="31"/>
      <c r="D20" s="33">
        <f>AH56-AH58</f>
        <v>-0.7776669620103307</v>
      </c>
      <c r="E20" s="121">
        <f>AH56+AH57</f>
        <v>8.1724188743117043E-2</v>
      </c>
      <c r="F20" s="31"/>
      <c r="G20" s="31"/>
    </row>
    <row r="21" spans="1:65">
      <c r="B21" s="54" t="s">
        <v>1440</v>
      </c>
      <c r="C21" s="55"/>
      <c r="D21" s="114">
        <f>M64</f>
        <v>0.11246150584124948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9126739</v>
      </c>
      <c r="C24" s="1" t="str">
        <f>IF($B24="","",HYPERLINK(IF(LEN(VLOOKUP($B24,Database!$B$1:$IX$10144,2,FALSE))=0,"",VLOOKUP($B24,Database!$B$1:$IX$10144,2,FALSE))))</f>
        <v/>
      </c>
      <c r="D24" s="1" t="str">
        <f t="shared" ref="D24:D33" si="0">IF($B24="","",HYPERLINK(CONCATENATE("http://www.ncbi.nlm.nih.gov/pubmed/",B24)))</f>
        <v>http://www.ncbi.nlm.nih.gov/pubmed/9126739</v>
      </c>
      <c r="E24" s="22" t="str">
        <f>IF($B24="","",IF(LEN(VLOOKUP($B24,Database!$B$1:$IX$10144,4,FALSE))=0,"",VLOOKUP($B24,Database!$B$1:$IX$10144,4,FALSE)))</f>
        <v>Drevets WC</v>
      </c>
      <c r="F24" s="22">
        <f>IF($B24="","",IF(LEN(VLOOKUP($B24,Database!$B$1:$IX$10144,5,FALSE))=0,"",VLOOKUP($B24,Database!$B$1:$IX$10144,5,FALSE)))</f>
        <v>1997</v>
      </c>
      <c r="G24" s="1" t="str">
        <f>IF($B24="","",HYPERLINK(IF(LEN(VLOOKUP($B24,Database!$B$1:$IX$10144,6,FALSE))=0,"",VLOOKUP($B24,Database!$B$1:$IX$10144,6,FALSE))))</f>
        <v>http://www.nature.com/nature/journal/v386/n6627/pdf/386824a0.pdf</v>
      </c>
      <c r="H24" s="22">
        <f>IF($B24="","",IF(LEN(VLOOKUP($B24,Database!$B$1:$IX$10144,7,FALSE))=0,"",VLOOKUP($B24,Database!$B$1:$IX$10144,7,FALSE)))</f>
        <v>17</v>
      </c>
      <c r="I24" s="22">
        <f>IF($B24="","",IF(LEN(VLOOKUP($B24,Database!$B$1:$IX$10144,8,FALSE))=0,"",VLOOKUP($B24,Database!$B$1:$IX$10144,8,FALSE)))</f>
        <v>21</v>
      </c>
      <c r="J24" t="s">
        <v>1618</v>
      </c>
      <c r="L24" s="126">
        <v>1.1E-4</v>
      </c>
      <c r="M24" s="126">
        <v>5.1E-5</v>
      </c>
      <c r="N24" s="126">
        <v>1.8000000000000001E-4</v>
      </c>
      <c r="O24" s="126">
        <v>7.3999999999999996E-5</v>
      </c>
      <c r="X24" s="151"/>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35</v>
      </c>
      <c r="AC24" s="22">
        <f>IF(OR($B24="",AC$22=""),"",IF(LEN(VLOOKUP($B24,Database!$B$1:$IX$10144,AC$22,FALSE))=0,"",VLOOKUP($B24,Database!$B$1:$IX$10144,AC$22,FALSE)))</f>
        <v>9.4</v>
      </c>
      <c r="AD24" s="22">
        <f>IF(OR($B24="",AD$22=""),"",IF(LEN(VLOOKUP($B24,Database!$B$1:$IX$10144,AD$22,FALSE))=0,"",VLOOKUP($B24,Database!$B$1:$IX$10144,AD$22,FALSE)))</f>
        <v>34</v>
      </c>
      <c r="AE24" s="22">
        <f>IF(OR($B24="",AE$22=""),"",IF(LEN(VLOOKUP($B24,Database!$B$1:$IX$10144,AE$22,FALSE))=0,"",VLOOKUP($B24,Database!$B$1:$IX$10144,AE$22,FALSE)))</f>
        <v>8.1999999999999993</v>
      </c>
      <c r="AF24" s="22">
        <f>IF(OR($B24="",AF$22=""),"",IF(LEN(VLOOKUP($B24,Database!$B$1:$IX$10144,AF$22,FALSE))=0,"",VLOOKUP($B24,Database!$B$1:$IX$10144,AF$22,FALSE)))</f>
        <v>10</v>
      </c>
      <c r="AG24" s="22">
        <f>IF(OR($B24="",AG$22=""),"",IF(LEN(VLOOKUP($B24,Database!$B$1:$IX$10144,AG$22,FALSE))=0,"",VLOOKUP($B24,Database!$B$1:$IX$10144,AG$22,FALSE)))</f>
        <v>11</v>
      </c>
      <c r="AH24" s="22">
        <f>IF(OR($B24="",AH$22=""),"",IF(LEN(VLOOKUP($B24,Database!$B$1:$IX$10144,AH$22,FALSE))=0,"",VLOOKUP($B24,Database!$B$1:$IX$10144,AH$22,FALSE)))</f>
        <v>1.5</v>
      </c>
      <c r="AI24" s="22">
        <f>IF(OR($B24="",AI$22=""),"",IF(LEN(VLOOKUP($B24,Database!$B$1:$IX$10144,AI$22,FALSE))=0,"",VLOOKUP($B24,Database!$B$1:$IX$10144,AI$22,FALSE)))</f>
        <v>1</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25.5</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Drevets WC, Price JL, Simpson JR Jr, Todd RD, Reich T, Vannier M, Raichle ME.</v>
      </c>
      <c r="AR24" s="13"/>
      <c r="AX24" s="13"/>
      <c r="AY24" s="13"/>
      <c r="AZ24" s="13"/>
      <c r="BA24" s="13"/>
      <c r="BC24" s="23"/>
      <c r="BF24" s="136"/>
      <c r="BG24" s="136"/>
      <c r="BH24" s="136"/>
      <c r="BI24" s="136"/>
    </row>
    <row r="25" spans="1:65">
      <c r="B25">
        <v>11958786</v>
      </c>
      <c r="C25" s="1" t="str">
        <f>IF($B25="","",HYPERLINK(IF(LEN(VLOOKUP($B25,Database!$B$1:$IX$10144,2,FALSE))=0,"",VLOOKUP($B25,Database!$B$1:$IX$10144,2,FALSE))))</f>
        <v/>
      </c>
      <c r="D25" s="1" t="str">
        <f t="shared" si="0"/>
        <v>http://www.ncbi.nlm.nih.gov/pubmed/11958786</v>
      </c>
      <c r="E25" s="22" t="str">
        <f>IF($B25="","",IF(LEN(VLOOKUP($B25,Database!$B$1:$IX$10144,4,FALSE))=0,"",VLOOKUP($B25,Database!$B$1:$IX$10144,4,FALSE)))</f>
        <v>Botteron KN</v>
      </c>
      <c r="F25" s="22">
        <f>IF($B25="","",IF(LEN(VLOOKUP($B25,Database!$B$1:$IX$10144,5,FALSE))=0,"",VLOOKUP($B25,Database!$B$1:$IX$10144,5,FALSE)))</f>
        <v>2002</v>
      </c>
      <c r="G25" s="1" t="str">
        <f>IF($B25="","",HYPERLINK(IF(LEN(VLOOKUP($B25,Database!$B$1:$IX$10144,6,FALSE))=0,"",VLOOKUP($B25,Database!$B$1:$IX$10144,6,FALSE))))</f>
        <v>http://dx.doi.org/10.1016/S0006-3223(01)01280-X</v>
      </c>
      <c r="H25" s="83">
        <v>30</v>
      </c>
      <c r="I25" s="83">
        <v>8</v>
      </c>
      <c r="J25" t="s">
        <v>1570</v>
      </c>
      <c r="K25" t="s">
        <v>1569</v>
      </c>
      <c r="L25">
        <v>0.28999999999999998</v>
      </c>
      <c r="M25">
        <v>0.11</v>
      </c>
      <c r="N25">
        <v>0.36</v>
      </c>
      <c r="O25">
        <v>0.14000000000000001</v>
      </c>
      <c r="P25">
        <v>0.33</v>
      </c>
      <c r="Q25">
        <v>0.11</v>
      </c>
      <c r="R25">
        <v>0.36</v>
      </c>
      <c r="S25">
        <v>0.14000000000000001</v>
      </c>
      <c r="X25" s="142"/>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t="str">
        <f>IF(OR($B25="",AB$22=""),"",IF(LEN(VLOOKUP($B25,Database!$B$1:$IX$10144,AB$22,FALSE))=0,"",VLOOKUP($B25,Database!$B$1:$IX$10144,AB$22,FALSE)))</f>
        <v/>
      </c>
      <c r="AC25" s="22" t="str">
        <f>IF(OR($B25="",AC$22=""),"",IF(LEN(VLOOKUP($B25,Database!$B$1:$IX$10144,AC$22,FALSE))=0,"",VLOOKUP($B25,Database!$B$1:$IX$10144,AC$22,FALSE)))</f>
        <v/>
      </c>
      <c r="AD25" s="22" t="str">
        <f>IF(OR($B25="",AD$22=""),"",IF(LEN(VLOOKUP($B25,Database!$B$1:$IX$10144,AD$22,FALSE))=0,"",VLOOKUP($B25,Database!$B$1:$IX$10144,AD$22,FALSE)))</f>
        <v/>
      </c>
      <c r="AE25" s="22" t="str">
        <f>IF(OR($B25="",AE$22=""),"",IF(LEN(VLOOKUP($B25,Database!$B$1:$IX$10144,AE$22,FALSE))=0,"",VLOOKUP($B25,Database!$B$1:$IX$10144,AE$22,FALSE)))</f>
        <v/>
      </c>
      <c r="AF25" s="22">
        <f>IF(OR($B25="",AF$22=""),"",IF(LEN(VLOOKUP($B25,Database!$B$1:$IX$10144,AF$22,FALSE))=0,"",VLOOKUP($B25,Database!$B$1:$IX$10144,AF$22,FALSE)))</f>
        <v>48</v>
      </c>
      <c r="AG25" s="22">
        <f>IF(OR($B25="",AG$22=""),"",IF(LEN(VLOOKUP($B25,Database!$B$1:$IX$10144,AG$22,FALSE))=0,"",VLOOKUP($B25,Database!$B$1:$IX$10144,AG$22,FALSE)))</f>
        <v>48</v>
      </c>
      <c r="AH25" s="22">
        <f>IF(OR($B25="",AH$22=""),"",IF(LEN(VLOOKUP($B25,Database!$B$1:$IX$10144,AH$22,FALSE))=0,"",VLOOKUP($B25,Database!$B$1:$IX$10144,AH$22,FALSE)))</f>
        <v>1.5</v>
      </c>
      <c r="AI25" s="22">
        <f>IF(OR($B25="",AI$22=""),"",IF(LEN(VLOOKUP($B25,Database!$B$1:$IX$10144,AI$22,FALSE))=0,"",VLOOKUP($B25,Database!$B$1:$IX$10144,AI$22,FALSE)))</f>
        <v>1</v>
      </c>
      <c r="AJ25" s="22" t="str">
        <f>IF(OR($B25="",AJ$22=""),"",IF(LEN(VLOOKUP($B25,Database!$B$1:$IX$10144,AJ$22,FALSE))=0,"",VLOOKUP($B25,Database!$B$1:$IX$10144,AJ$22,FALSE)))</f>
        <v/>
      </c>
      <c r="AK25" s="22">
        <f>IF(OR($B25="",AK$22=""),"",IF(LEN(VLOOKUP($B25,Database!$B$1:$IX$10144,AK$22,FALSE))=0,"",VLOOKUP($B25,Database!$B$1:$IX$10144,AK$22,FALSE)))</f>
        <v>15.2</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Botteron KN, Raichle ME, Drevets WC, Heath AC, Todd RD.</v>
      </c>
      <c r="AR25" s="13"/>
      <c r="AX25" s="13"/>
      <c r="AY25" s="13"/>
      <c r="AZ25" s="13"/>
      <c r="BA25" s="13"/>
      <c r="BC25" s="23"/>
      <c r="BF25" s="136"/>
      <c r="BG25" s="136"/>
      <c r="BH25" s="136"/>
      <c r="BI25" s="136"/>
    </row>
    <row r="26" spans="1:65">
      <c r="B26">
        <v>12431853</v>
      </c>
      <c r="C26" s="1" t="str">
        <f>IF($B26="","",HYPERLINK(IF(LEN(VLOOKUP($B26,Database!$B$1:$IX$10144,2,FALSE))=0,"",VLOOKUP($B26,Database!$B$1:$IX$10144,2,FALSE))))</f>
        <v/>
      </c>
      <c r="D26" s="1" t="str">
        <f t="shared" si="0"/>
        <v>http://www.ncbi.nlm.nih.gov/pubmed/12431853</v>
      </c>
      <c r="E26" s="22" t="str">
        <f>IF($B26="","",IF(LEN(VLOOKUP($B26,Database!$B$1:$IX$10144,4,FALSE))=0,"",VLOOKUP($B26,Database!$B$1:$IX$10144,4,FALSE)))</f>
        <v>Brambilla P</v>
      </c>
      <c r="F26" s="22">
        <f>IF($B26="","",IF(LEN(VLOOKUP($B26,Database!$B$1:$IX$10144,5,FALSE))=0,"",VLOOKUP($B26,Database!$B$1:$IX$10144,5,FALSE)))</f>
        <v>2002</v>
      </c>
      <c r="G26" s="1" t="str">
        <f>IF($B26="","",HYPERLINK(IF(LEN(VLOOKUP($B26,Database!$B$1:$IX$10144,6,FALSE))=0,"",VLOOKUP($B26,Database!$B$1:$IX$10144,6,FALSE))))</f>
        <v>http://www.nature.com/npp/journal/v27/n5/pdf/1395942a.pdf</v>
      </c>
      <c r="H26" s="22">
        <f>IF($B26="","",IF(LEN(VLOOKUP($B26,Database!$B$1:$IX$10144,7,FALSE))=0,"",VLOOKUP($B26,Database!$B$1:$IX$10144,7,FALSE)))</f>
        <v>18</v>
      </c>
      <c r="I26" s="22">
        <f>IF($B26="","",IF(LEN(VLOOKUP($B26,Database!$B$1:$IX$10144,8,FALSE))=0,"",VLOOKUP($B26,Database!$B$1:$IX$10144,8,FALSE)))</f>
        <v>38</v>
      </c>
      <c r="J26" t="s">
        <v>1571</v>
      </c>
      <c r="L26">
        <v>300.2</v>
      </c>
      <c r="M26">
        <v>82.3</v>
      </c>
      <c r="N26">
        <v>290</v>
      </c>
      <c r="O26">
        <v>77</v>
      </c>
      <c r="P26">
        <v>295.39999999999998</v>
      </c>
      <c r="Q26">
        <v>62.1</v>
      </c>
      <c r="R26">
        <v>313.7</v>
      </c>
      <c r="S26">
        <v>76.2</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37</v>
      </c>
      <c r="AE26" s="22">
        <f>IF(OR($B26="",AE$22=""),"",IF(LEN(VLOOKUP($B26,Database!$B$1:$IX$10144,AE$22,FALSE))=0,"",VLOOKUP($B26,Database!$B$1:$IX$10144,AE$22,FALSE)))</f>
        <v>10</v>
      </c>
      <c r="AF26" s="22">
        <f>IF(OR($B26="",AF$22=""),"",IF(LEN(VLOOKUP($B26,Database!$B$1:$IX$10144,AF$22,FALSE))=0,"",VLOOKUP($B26,Database!$B$1:$IX$10144,AF$22,FALSE)))</f>
        <v>17</v>
      </c>
      <c r="AG26" s="22">
        <f>IF(OR($B26="",AG$22=""),"",IF(LEN(VLOOKUP($B26,Database!$B$1:$IX$10144,AG$22,FALSE))=0,"",VLOOKUP($B26,Database!$B$1:$IX$10144,AG$22,FALSE)))</f>
        <v>14</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Brambilla P, Nicoletti MA, Harenski K, Sassi RB, Mallinger AG, Frank E, Kupfer DJ, Keshavan MS, Soares JC.</v>
      </c>
      <c r="AR26" s="13"/>
      <c r="AX26" s="13"/>
      <c r="AY26" s="13"/>
      <c r="AZ26" s="13"/>
      <c r="BA26" s="13"/>
      <c r="BC26" s="23"/>
      <c r="BF26" s="136"/>
      <c r="BG26" s="136"/>
      <c r="BH26" s="136"/>
      <c r="BI26" s="136"/>
    </row>
    <row r="27" spans="1:65">
      <c r="A27" s="2"/>
      <c r="B27">
        <v>14997169</v>
      </c>
      <c r="C27" s="1" t="str">
        <f>IF($B27="","",HYPERLINK(IF(LEN(VLOOKUP($B27,Database!$B$1:$IX$10144,2,FALSE))=0,"",VLOOKUP($B27,Database!$B$1:$IX$10144,2,FALSE))))</f>
        <v/>
      </c>
      <c r="D27" s="1" t="str">
        <f t="shared" si="0"/>
        <v>http://www.ncbi.nlm.nih.gov/pubmed/14997169</v>
      </c>
      <c r="E27" s="22" t="str">
        <f>IF($B27="","",IF(LEN(VLOOKUP($B27,Database!$B$1:$IX$10144,4,FALSE))=0,"",VLOOKUP($B27,Database!$B$1:$IX$10144,4,FALSE)))</f>
        <v>Hastings RS</v>
      </c>
      <c r="F27" s="22">
        <f>IF($B27="","",IF(LEN(VLOOKUP($B27,Database!$B$1:$IX$10144,5,FALSE))=0,"",VLOOKUP($B27,Database!$B$1:$IX$10144,5,FALSE)))</f>
        <v>2004</v>
      </c>
      <c r="G27" s="1" t="str">
        <f>IF($B27="","",HYPERLINK(IF(LEN(VLOOKUP($B27,Database!$B$1:$IX$10144,6,FALSE))=0,"",VLOOKUP($B27,Database!$B$1:$IX$10144,6,FALSE))))</f>
        <v>http://www.nature.com/npp/journal/v29/n5/pdf/1300371a.pdf</v>
      </c>
      <c r="H27" s="83">
        <v>8</v>
      </c>
      <c r="I27" s="83">
        <v>8</v>
      </c>
      <c r="J27" t="s">
        <v>104</v>
      </c>
      <c r="K27" t="s">
        <v>1367</v>
      </c>
      <c r="L27">
        <v>639</v>
      </c>
      <c r="M27">
        <v>105</v>
      </c>
      <c r="N27">
        <v>817</v>
      </c>
      <c r="O27">
        <v>193</v>
      </c>
      <c r="P27">
        <v>729</v>
      </c>
      <c r="Q27">
        <v>104</v>
      </c>
      <c r="R27">
        <v>827</v>
      </c>
      <c r="S27">
        <v>150</v>
      </c>
      <c r="Y27" s="22" t="str">
        <f>IF(OR($B27="",Y$22=""),"",IF(LEN(VLOOKUP($B27,Database!$B$1:$IX$10144,Y$22,FALSE))=0,"",VLOOKUP($B27,Database!$B$1:$IX$10144,Y$22,FALSE)))</f>
        <v>DSM-III-R</v>
      </c>
      <c r="Z27" s="22" t="str">
        <f>IF(OR($B27="",Z$22=""),"",IF(LEN(VLOOKUP($B27,Database!$B$1:$IX$10144,Z$22,FALSE))=0,"",VLOOKUP($B27,Database!$B$1:$IX$10144,Z$22,FALSE)))</f>
        <v>MRI</v>
      </c>
      <c r="AA27" s="214" t="s">
        <v>1367</v>
      </c>
      <c r="AB27" s="22">
        <f>IF(OR($B27="",AB$22=""),"",IF(LEN(VLOOKUP($B27,Database!$B$1:$IX$10144,AB$22,FALSE))=0,"",VLOOKUP($B27,Database!$B$1:$IX$10144,AB$22,FALSE)))</f>
        <v>38.9</v>
      </c>
      <c r="AC27" s="22">
        <f>IF(OR($B27="",AC$22=""),"",IF(LEN(VLOOKUP($B27,Database!$B$1:$IX$10144,AC$22,FALSE))=0,"",VLOOKUP($B27,Database!$B$1:$IX$10144,AC$22,FALSE)))</f>
        <v>11.4</v>
      </c>
      <c r="AD27" s="22">
        <f>IF(OR($B27="",AD$22=""),"",IF(LEN(VLOOKUP($B27,Database!$B$1:$IX$10144,AD$22,FALSE))=0,"",VLOOKUP($B27,Database!$B$1:$IX$10144,AD$22,FALSE)))</f>
        <v>34.799999999999997</v>
      </c>
      <c r="AE27" s="22">
        <f>IF(OR($B27="",AE$22=""),"",IF(LEN(VLOOKUP($B27,Database!$B$1:$IX$10144,AE$22,FALSE))=0,"",VLOOKUP($B27,Database!$B$1:$IX$10144,AE$22,FALSE)))</f>
        <v>13.6</v>
      </c>
      <c r="AF27" s="214">
        <v>0</v>
      </c>
      <c r="AG27" s="214">
        <v>0</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23</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Hastings RS, Parsey RV, Oquendo MA, Arango V, Mann JJ.</v>
      </c>
      <c r="AR27" s="13"/>
      <c r="AU27" s="22"/>
      <c r="AX27" s="13"/>
      <c r="AY27" s="13"/>
      <c r="AZ27" s="13"/>
      <c r="BA27" s="13"/>
      <c r="BC27" s="23"/>
      <c r="BF27" s="136"/>
      <c r="BG27" s="136"/>
      <c r="BH27" s="136"/>
      <c r="BI27" s="136"/>
    </row>
    <row r="28" spans="1:65">
      <c r="A28" s="2"/>
      <c r="B28">
        <v>14997169</v>
      </c>
      <c r="C28" s="1" t="str">
        <f>IF($B28="","",HYPERLINK(IF(LEN(VLOOKUP($B28,Database!$B$1:$IX$10144,2,FALSE))=0,"",VLOOKUP($B28,Database!$B$1:$IX$10144,2,FALSE))))</f>
        <v/>
      </c>
      <c r="D28" s="1" t="str">
        <f t="shared" si="0"/>
        <v>http://www.ncbi.nlm.nih.gov/pubmed/14997169</v>
      </c>
      <c r="E28" s="22" t="str">
        <f>IF($B28="","",IF(LEN(VLOOKUP($B28,Database!$B$1:$IX$10144,4,FALSE))=0,"",VLOOKUP($B28,Database!$B$1:$IX$10144,4,FALSE)))</f>
        <v>Hastings RS</v>
      </c>
      <c r="F28" s="22">
        <f>IF($B28="","",IF(LEN(VLOOKUP($B28,Database!$B$1:$IX$10144,5,FALSE))=0,"",VLOOKUP($B28,Database!$B$1:$IX$10144,5,FALSE)))</f>
        <v>2004</v>
      </c>
      <c r="G28" s="1" t="str">
        <f>IF($B28="","",HYPERLINK(IF(LEN(VLOOKUP($B28,Database!$B$1:$IX$10144,6,FALSE))=0,"",VLOOKUP($B28,Database!$B$1:$IX$10144,6,FALSE))))</f>
        <v>http://www.nature.com/npp/journal/v29/n5/pdf/1300371a.pdf</v>
      </c>
      <c r="H28" s="83">
        <v>10</v>
      </c>
      <c r="I28" s="83">
        <v>10</v>
      </c>
      <c r="J28" t="s">
        <v>104</v>
      </c>
      <c r="K28" t="s">
        <v>1368</v>
      </c>
      <c r="L28">
        <v>636</v>
      </c>
      <c r="M28">
        <v>156</v>
      </c>
      <c r="N28">
        <v>715</v>
      </c>
      <c r="O28">
        <v>160</v>
      </c>
      <c r="P28">
        <v>680</v>
      </c>
      <c r="Q28">
        <v>188</v>
      </c>
      <c r="R28">
        <v>769</v>
      </c>
      <c r="S28">
        <v>158</v>
      </c>
      <c r="Y28" s="22" t="str">
        <f>IF(OR($B28="",Y$22=""),"",IF(LEN(VLOOKUP($B28,Database!$B$1:$IX$10144,Y$22,FALSE))=0,"",VLOOKUP($B28,Database!$B$1:$IX$10144,Y$22,FALSE)))</f>
        <v>DSM-III-R</v>
      </c>
      <c r="Z28" s="22" t="str">
        <f>IF(OR($B28="",Z$22=""),"",IF(LEN(VLOOKUP($B28,Database!$B$1:$IX$10144,Z$22,FALSE))=0,"",VLOOKUP($B28,Database!$B$1:$IX$10144,Z$22,FALSE)))</f>
        <v>MRI</v>
      </c>
      <c r="AA28" s="214" t="s">
        <v>1368</v>
      </c>
      <c r="AB28" s="22">
        <f>IF(OR($B28="",AB$22=""),"",IF(LEN(VLOOKUP($B28,Database!$B$1:$IX$10144,AB$22,FALSE))=0,"",VLOOKUP($B28,Database!$B$1:$IX$10144,AB$22,FALSE)))</f>
        <v>38.9</v>
      </c>
      <c r="AC28" s="22">
        <f>IF(OR($B28="",AC$22=""),"",IF(LEN(VLOOKUP($B28,Database!$B$1:$IX$10144,AC$22,FALSE))=0,"",VLOOKUP($B28,Database!$B$1:$IX$10144,AC$22,FALSE)))</f>
        <v>11.4</v>
      </c>
      <c r="AD28" s="22">
        <f>IF(OR($B28="",AD$22=""),"",IF(LEN(VLOOKUP($B28,Database!$B$1:$IX$10144,AD$22,FALSE))=0,"",VLOOKUP($B28,Database!$B$1:$IX$10144,AD$22,FALSE)))</f>
        <v>34.799999999999997</v>
      </c>
      <c r="AE28" s="22">
        <f>IF(OR($B28="",AE$22=""),"",IF(LEN(VLOOKUP($B28,Database!$B$1:$IX$10144,AE$22,FALSE))=0,"",VLOOKUP($B28,Database!$B$1:$IX$10144,AE$22,FALSE)))</f>
        <v>13.6</v>
      </c>
      <c r="AF28" s="22">
        <f>IF(OR($B28="",AF$22=""),"",IF(LEN(VLOOKUP($B28,Database!$B$1:$IX$10144,AF$22,FALSE))=0,"",VLOOKUP($B28,Database!$B$1:$IX$10144,AF$22,FALSE)))</f>
        <v>10</v>
      </c>
      <c r="AG28" s="22">
        <f>IF(OR($B28="",AG$22=""),"",IF(LEN(VLOOKUP($B28,Database!$B$1:$IX$10144,AG$22,FALSE))=0,"",VLOOKUP($B28,Database!$B$1:$IX$10144,AG$22,FALSE)))</f>
        <v>10</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t="str">
        <f>IF(OR($B28="",AK$22=""),"",IF(LEN(VLOOKUP($B28,Database!$B$1:$IX$10144,AK$22,FALSE))=0,"",VLOOKUP($B28,Database!$B$1:$IX$10144,AK$22,FALSE)))</f>
        <v>ns</v>
      </c>
      <c r="AL28" s="22">
        <f>IF(OR($B28="",AL$22=""),"",IF(LEN(VLOOKUP($B28,Database!$B$1:$IX$10144,AL$22,FALSE))=0,"",VLOOKUP($B28,Database!$B$1:$IX$10144,AL$22,FALSE)))</f>
        <v>23</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Hastings RS, Parsey RV, Oquendo MA, Arango V, Mann JJ.</v>
      </c>
      <c r="AR28" s="13"/>
      <c r="AU28" s="22"/>
      <c r="AX28" s="13"/>
      <c r="AY28" s="13"/>
      <c r="AZ28" s="13"/>
      <c r="BA28" s="13"/>
      <c r="BC28" s="23"/>
      <c r="BF28" s="136"/>
      <c r="BG28" s="136"/>
      <c r="BH28" s="136"/>
      <c r="BI28" s="136"/>
    </row>
    <row r="29" spans="1:65">
      <c r="A29" s="10"/>
      <c r="B29">
        <v>16135631</v>
      </c>
      <c r="C29" s="1" t="str">
        <f>IF($B29="","",HYPERLINK(IF(LEN(VLOOKUP($B29,Database!$B$1:$IX$10144,2,FALSE))=0,"",VLOOKUP($B29,Database!$B$1:$IX$10144,2,FALSE))))</f>
        <v/>
      </c>
      <c r="D29" s="1" t="str">
        <f>IF($B29="","",HYPERLINK(CONCATENATE("http://www.ncbi.nlm.nih.gov/pubmed/",B29)))</f>
        <v>http://www.ncbi.nlm.nih.gov/pubmed/16135631</v>
      </c>
      <c r="E29" s="22" t="str">
        <f>IF($B29="","",IF(LEN(VLOOKUP($B29,Database!$B$1:$IX$10144,4,FALSE))=0,"",VLOOKUP($B29,Database!$B$1:$IX$10144,4,FALSE)))</f>
        <v>Coryell W</v>
      </c>
      <c r="F29" s="22">
        <f>IF($B29="","",IF(LEN(VLOOKUP($B29,Database!$B$1:$IX$10144,5,FALSE))=0,"",VLOOKUP($B29,Database!$B$1:$IX$10144,5,FALSE)))</f>
        <v>2005</v>
      </c>
      <c r="G29" s="1" t="str">
        <f>IF($B29="","",HYPERLINK(IF(LEN(VLOOKUP($B29,Database!$B$1:$IX$10144,6,FALSE))=0,"",VLOOKUP($B29,Database!$B$1:$IX$10144,6,FALSE))))</f>
        <v>http://ajp.psychiatryonline.org/cgi/reprint/162/9/1706</v>
      </c>
      <c r="H29" s="22">
        <f>IF($B29="","",IF(LEN(VLOOKUP($B29,Database!$B$1:$IX$10144,7,FALSE))=0,"",VLOOKUP($B29,Database!$B$1:$IX$10144,7,FALSE)))</f>
        <v>10</v>
      </c>
      <c r="I29" s="22">
        <f>IF($B29="","",IF(LEN(VLOOKUP($B29,Database!$B$1:$IX$10144,8,FALSE))=0,"",VLOOKUP($B29,Database!$B$1:$IX$10144,8,FALSE)))</f>
        <v>10</v>
      </c>
      <c r="J29" t="s">
        <v>2269</v>
      </c>
      <c r="L29">
        <v>315</v>
      </c>
      <c r="M29">
        <v>117</v>
      </c>
      <c r="N29">
        <v>333</v>
      </c>
      <c r="O29">
        <v>134</v>
      </c>
      <c r="P29">
        <v>301</v>
      </c>
      <c r="Q29">
        <v>158</v>
      </c>
      <c r="R29">
        <v>321</v>
      </c>
      <c r="S29">
        <v>87</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21.9</v>
      </c>
      <c r="AC29" s="22">
        <f>IF(OR($B29="",AC$22=""),"",IF(LEN(VLOOKUP($B29,Database!$B$1:$IX$10144,AC$22,FALSE))=0,"",VLOOKUP($B29,Database!$B$1:$IX$10144,AC$22,FALSE)))</f>
        <v>4.9000000000000004</v>
      </c>
      <c r="AD29" s="22">
        <f>IF(OR($B29="",AD$22=""),"",IF(LEN(VLOOKUP($B29,Database!$B$1:$IX$10144,AD$22,FALSE))=0,"",VLOOKUP($B29,Database!$B$1:$IX$10144,AD$22,FALSE)))</f>
        <v>22.1</v>
      </c>
      <c r="AE29" s="22">
        <f>IF(OR($B29="",AE$22=""),"",IF(LEN(VLOOKUP($B29,Database!$B$1:$IX$10144,AE$22,FALSE))=0,"",VLOOKUP($B29,Database!$B$1:$IX$10144,AE$22,FALSE)))</f>
        <v>6</v>
      </c>
      <c r="AF29" s="22">
        <f>IF(OR($B29="",AF$22=""),"",IF(LEN(VLOOKUP($B29,Database!$B$1:$IX$10144,AF$22,FALSE))=0,"",VLOOKUP($B29,Database!$B$1:$IX$10144,AF$22,FALSE)))</f>
        <v>4</v>
      </c>
      <c r="AG29" s="22">
        <f>IF(OR($B29="",AG$22=""),"",IF(LEN(VLOOKUP($B29,Database!$B$1:$IX$10144,AG$22,FALSE))=0,"",VLOOKUP($B29,Database!$B$1:$IX$10144,AG$22,FALSE)))</f>
        <v>4</v>
      </c>
      <c r="AH29" s="22">
        <f>IF(OR($B29="",AH$22=""),"",IF(LEN(VLOOKUP($B29,Database!$B$1:$IX$10144,AH$22,FALSE))=0,"",VLOOKUP($B29,Database!$B$1:$IX$10144,AH$22,FALSE)))</f>
        <v>1.5</v>
      </c>
      <c r="AI29" s="22">
        <f>IF(OR($B29="",AI$22=""),"",IF(LEN(VLOOKUP($B29,Database!$B$1:$IX$10144,AI$22,FALSE))=0,"",VLOOKUP($B29,Database!$B$1:$IX$10144,AI$22,FALSE)))</f>
        <v>1</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Coryell W, Nopoulos P, Drevets W, Wilson T, Andreasen NC.</v>
      </c>
      <c r="AR29" s="13"/>
      <c r="AX29" s="13"/>
      <c r="AY29" s="13"/>
      <c r="AZ29" s="13"/>
      <c r="BA29" s="13"/>
      <c r="BC29" s="23"/>
      <c r="BF29" s="136"/>
      <c r="BG29" s="136"/>
      <c r="BH29" s="136"/>
      <c r="BI29" s="136"/>
    </row>
    <row r="30" spans="1:65">
      <c r="B30">
        <v>18406580</v>
      </c>
      <c r="C30" s="1" t="str">
        <f>IF($B30="","",HYPERLINK(IF(LEN(VLOOKUP($B30,Database!$B$1:$IX$10144,2,FALSE))=0,"",VLOOKUP($B30,Database!$B$1:$IX$10144,2,FALSE))))</f>
        <v/>
      </c>
      <c r="D30" s="1" t="str">
        <f t="shared" si="0"/>
        <v>http://www.ncbi.nlm.nih.gov/pubmed/18406580</v>
      </c>
      <c r="E30" s="22" t="str">
        <f>IF($B30="","",IF(LEN(VLOOKUP($B30,Database!$B$1:$IX$10144,4,FALSE))=0,"",VLOOKUP($B30,Database!$B$1:$IX$10144,4,FALSE)))</f>
        <v>Frodl T (A)</v>
      </c>
      <c r="F30" s="22">
        <f>IF($B30="","",IF(LEN(VLOOKUP($B30,Database!$B$1:$IX$10144,5,FALSE))=0,"",VLOOKUP($B30,Database!$B$1:$IX$10144,5,FALSE)))</f>
        <v>2008</v>
      </c>
      <c r="G30" s="1" t="str">
        <f>IF($B30="","",HYPERLINK(IF(LEN(VLOOKUP($B30,Database!$B$1:$IX$10144,6,FALSE))=0,"",VLOOKUP($B30,Database!$B$1:$IX$10144,6,FALSE))))</f>
        <v>http://dx.doi.org/10.1016/j.pscychresns.2007.04.012</v>
      </c>
      <c r="H30" s="22">
        <f>IF($B30="","",IF(LEN(VLOOKUP($B30,Database!$B$1:$IX$10144,7,FALSE))=0,"",VLOOKUP($B30,Database!$B$1:$IX$10144,7,FALSE)))</f>
        <v>78</v>
      </c>
      <c r="I30" s="22">
        <f>IF($B30="","",IF(LEN(VLOOKUP($B30,Database!$B$1:$IX$10144,8,FALSE))=0,"",VLOOKUP($B30,Database!$B$1:$IX$10144,8,FALSE)))</f>
        <v>78</v>
      </c>
      <c r="J30" t="s">
        <v>414</v>
      </c>
      <c r="L30">
        <v>0.56999999999999995</v>
      </c>
      <c r="M30">
        <v>0.24</v>
      </c>
      <c r="N30">
        <v>0.52</v>
      </c>
      <c r="O30">
        <v>0.25</v>
      </c>
      <c r="P30">
        <v>0.56999999999999995</v>
      </c>
      <c r="Q30">
        <v>0.17</v>
      </c>
      <c r="R30">
        <v>0.54</v>
      </c>
      <c r="S30">
        <v>0.2</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44.7</v>
      </c>
      <c r="AC30" s="22">
        <f>IF(OR($B30="",AC$22=""),"",IF(LEN(VLOOKUP($B30,Database!$B$1:$IX$10144,AC$22,FALSE))=0,"",VLOOKUP($B30,Database!$B$1:$IX$10144,AC$22,FALSE)))</f>
        <v>12.2</v>
      </c>
      <c r="AD30" s="22">
        <f>IF(OR($B30="",AD$22=""),"",IF(LEN(VLOOKUP($B30,Database!$B$1:$IX$10144,AD$22,FALSE))=0,"",VLOOKUP($B30,Database!$B$1:$IX$10144,AD$22,FALSE)))</f>
        <v>44.1</v>
      </c>
      <c r="AE30" s="22">
        <f>IF(OR($B30="",AE$22=""),"",IF(LEN(VLOOKUP($B30,Database!$B$1:$IX$10144,AE$22,FALSE))=0,"",VLOOKUP($B30,Database!$B$1:$IX$10144,AE$22,FALSE)))</f>
        <v>11.6</v>
      </c>
      <c r="AF30" s="22">
        <f>IF(OR($B30="",AF$22=""),"",IF(LEN(VLOOKUP($B30,Database!$B$1:$IX$10144,AF$22,FALSE))=0,"",VLOOKUP($B30,Database!$B$1:$IX$10144,AF$22,FALSE)))</f>
        <v>40</v>
      </c>
      <c r="AG30" s="22">
        <f>IF(OR($B30="",AG$22=""),"",IF(LEN(VLOOKUP($B30,Database!$B$1:$IX$10144,AG$22,FALSE))=0,"",VLOOKUP($B30,Database!$B$1:$IX$10144,AG$22,FALSE)))</f>
        <v>40</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39.6</v>
      </c>
      <c r="AL30" s="22">
        <f>IF(OR($B30="",AL$22=""),"",IF(LEN(VLOOKUP($B30,Database!$B$1:$IX$10144,AL$22,FALSE))=0,"",VLOOKUP($B30,Database!$B$1:$IX$10144,AL$22,FALSE)))</f>
        <v>23.5</v>
      </c>
      <c r="AM30" s="22" t="str">
        <f>IF(OR($B30="",AM$22=""),"",IF(LEN(VLOOKUP($B30,Database!$B$1:$IX$10144,AM$22,FALSE))=0,"",VLOOKUP($B30,Database!$B$1:$IX$10144,AM$22,FALSE)))</f>
        <v>ns</v>
      </c>
      <c r="AN30" s="22">
        <f>IF(OR($B30="",AN$22=""),"",IF(LEN(VLOOKUP($B30,Database!$B$1:$IX$10144,AN$22,FALSE))=0,"",VLOOKUP($B30,Database!$B$1:$IX$10144,AN$22,FALSE)))</f>
        <v>11.538461538461538</v>
      </c>
      <c r="AO30" s="22">
        <f>IF(OR($B30="",AO$22=""),"",IF(LEN(VLOOKUP($B30,Database!$B$1:$IX$10144,AO$22,FALSE))=0,"",VLOOKUP($B30,Database!$B$1:$IX$10144,AO$22,FALSE)))</f>
        <v>10.256410256410255</v>
      </c>
      <c r="AP30" s="22">
        <f>IF(OR($B30="",AP$22=""),"",IF(LEN(VLOOKUP($B30,Database!$B$1:$IX$10144,AP$22,FALSE))=0,"",VLOOKUP($B30,Database!$B$1:$IX$10144,AP$22,FALSE)))</f>
        <v>10.256410256410255</v>
      </c>
      <c r="AQ30" s="22" t="str">
        <f>IF(OR($B30="",AQ$22=""),"",IF(LEN(VLOOKUP($B30,Database!$B$1:$IX$10144,AQ$22,FALSE))=0,"",VLOOKUP($B30,Database!$B$1:$IX$10144,AQ$22,FALSE)))</f>
        <v>Frodl T, Jäger M, Born C, Ritter S, Kraft E, Zetzsche T, Bottlender R, Leinsinger G, Reiser M, Möller HJ, Meisenzahl E.</v>
      </c>
      <c r="AR30" s="13"/>
      <c r="AX30" s="13"/>
      <c r="AY30" s="13"/>
      <c r="AZ30" s="13"/>
      <c r="BA30" s="13"/>
      <c r="BC30" s="23"/>
      <c r="BF30" s="136"/>
      <c r="BG30" s="136"/>
      <c r="BH30" s="136"/>
      <c r="BI30" s="136"/>
    </row>
    <row r="31" spans="1:65">
      <c r="B31" s="13"/>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4" t="s">
        <v>1510</v>
      </c>
      <c r="C32" s="1" t="str">
        <f>IF($B32="","",HYPERLINK(IF(LEN(VLOOKUP($B32,Database!$B$1:$IX$10144,2,FALSE))=0,"",VLOOKUP($B32,Database!$B$1:$IX$10144,2,FALSE))))</f>
        <v/>
      </c>
      <c r="D32" s="1" t="str">
        <f t="shared" si="0"/>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1:51">
      <c r="A33" s="7" t="s">
        <v>46</v>
      </c>
      <c r="B33">
        <v>11958777</v>
      </c>
      <c r="C33" s="1" t="str">
        <f>IF($B33="","",HYPERLINK(IF(LEN(VLOOKUP($B33,Database!$B$1:$IX$10144,2,FALSE))=0,"",VLOOKUP($B33,Database!$B$1:$IX$10144,2,FALSE))))</f>
        <v/>
      </c>
      <c r="D33" s="1" t="str">
        <f t="shared" si="0"/>
        <v>http://www.ncbi.nlm.nih.gov/pubmed/11958777</v>
      </c>
      <c r="E33" s="22" t="str">
        <f>IF($B33="","",IF(LEN(VLOOKUP($B33,Database!$B$1:$IX$10144,4,FALSE))=0,"",VLOOKUP($B33,Database!$B$1:$IX$10144,4,FALSE)))</f>
        <v>Bremner JD</v>
      </c>
      <c r="F33" s="22">
        <f>IF($B33="","",IF(LEN(VLOOKUP($B33,Database!$B$1:$IX$10144,5,FALSE))=0,"",VLOOKUP($B33,Database!$B$1:$IX$10144,5,FALSE)))</f>
        <v>2002</v>
      </c>
      <c r="G33" s="1" t="str">
        <f>IF($B33="","",HYPERLINK(IF(LEN(VLOOKUP($B33,Database!$B$1:$IX$10144,6,FALSE))=0,"",VLOOKUP($B33,Database!$B$1:$IX$10144,6,FALSE))))</f>
        <v>http://dx.doi.org/10.1016/S0006-3223(01)01336-1</v>
      </c>
      <c r="H33" s="22">
        <f>IF($B33="","",IF(LEN(VLOOKUP($B33,Database!$B$1:$IX$10144,7,FALSE))=0,"",VLOOKUP($B33,Database!$B$1:$IX$10144,7,FALSE)))</f>
        <v>15</v>
      </c>
      <c r="I33" s="22">
        <f>IF($B33="","",IF(LEN(VLOOKUP($B33,Database!$B$1:$IX$10144,8,FALSE))=0,"",VLOOKUP($B33,Database!$B$1:$IX$10144,8,FALSE)))</f>
        <v>20</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43</v>
      </c>
      <c r="AC33" s="22">
        <f>IF(OR($B33="",AC$22=""),"",IF(LEN(VLOOKUP($B33,Database!$B$1:$IX$10144,AC$22,FALSE))=0,"",VLOOKUP($B33,Database!$B$1:$IX$10144,AC$22,FALSE)))</f>
        <v>8</v>
      </c>
      <c r="AD33" s="22">
        <f>IF(OR($B33="",AD$22=""),"",IF(LEN(VLOOKUP($B33,Database!$B$1:$IX$10144,AD$22,FALSE))=0,"",VLOOKUP($B33,Database!$B$1:$IX$10144,AD$22,FALSE)))</f>
        <v>45</v>
      </c>
      <c r="AE33" s="22">
        <f>IF(OR($B33="",AE$22=""),"",IF(LEN(VLOOKUP($B33,Database!$B$1:$IX$10144,AE$22,FALSE))=0,"",VLOOKUP($B33,Database!$B$1:$IX$10144,AE$22,FALSE)))</f>
        <v>11</v>
      </c>
      <c r="AF33" s="22">
        <f>IF(OR($B33="",AF$22=""),"",IF(LEN(VLOOKUP($B33,Database!$B$1:$IX$10144,AF$22,FALSE))=0,"",VLOOKUP($B33,Database!$B$1:$IX$10144,AF$22,FALSE)))</f>
        <v>5</v>
      </c>
      <c r="AG33" s="22">
        <f>IF(OR($B33="",AG$22=""),"",IF(LEN(VLOOKUP($B33,Database!$B$1:$IX$10144,AG$22,FALSE))=0,"",VLOOKUP($B33,Database!$B$1:$IX$10144,AG$22,FALSE)))</f>
        <v>9</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f>IF(OR($B33="",AM$22=""),"",IF(LEN(VLOOKUP($B33,Database!$B$1:$IX$10144,AM$22,FALSE))=0,"",VLOOKUP($B33,Database!$B$1:$IX$10144,AM$22,FALSE)))</f>
        <v>100</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Bremner JD, Vythilingam M, Vermetten E, Nazeer A, Adil J, Khan S, Staib LH, Charney DS.</v>
      </c>
    </row>
    <row r="34" spans="1:51">
      <c r="A34" s="7" t="s">
        <v>47</v>
      </c>
      <c r="B34">
        <v>18368034</v>
      </c>
      <c r="C34" s="1" t="str">
        <f>IF($B34="","",HYPERLINK(IF(LEN(VLOOKUP($B34,Database!$B$1:$IX$10144,2,FALSE))=0,"",VLOOKUP($B34,Database!$B$1:$IX$10144,2,FALSE))))</f>
        <v/>
      </c>
      <c r="D34" s="1" t="str">
        <f>IF($B34="","",HYPERLINK(CONCATENATE("http://www.ncbi.nlm.nih.gov/pubmed/",B34)))</f>
        <v>http://www.ncbi.nlm.nih.gov/pubmed/18368034</v>
      </c>
      <c r="E34" s="22" t="str">
        <f>IF($B34="","",IF(LEN(VLOOKUP($B34,Database!$B$1:$IX$10144,4,FALSE))=0,"",VLOOKUP($B34,Database!$B$1:$IX$10144,4,FALSE)))</f>
        <v>Yucel K</v>
      </c>
      <c r="F34" s="22">
        <f>IF($B34="","",IF(LEN(VLOOKUP($B34,Database!$B$1:$IX$10144,5,FALSE))=0,"",VLOOKUP($B34,Database!$B$1:$IX$10144,5,FALSE)))</f>
        <v>2008</v>
      </c>
      <c r="G34" s="1" t="str">
        <f>IF($B34="","",HYPERLINK(IF(LEN(VLOOKUP($B34,Database!$B$1:$IX$10144,6,FALSE))=0,"",VLOOKUP($B34,Database!$B$1:$IX$10144,6,FALSE))))</f>
        <v>http://dx.doi.org/10.1038/npp.2008.40</v>
      </c>
      <c r="H34" s="22">
        <f>IF($B34="","",IF(LEN(VLOOKUP($B34,Database!$B$1:$IX$10144,7,FALSE))=0,"",VLOOKUP($B34,Database!$B$1:$IX$10144,7,FALSE)))</f>
        <v>65</v>
      </c>
      <c r="I34" s="22">
        <f>IF($B34="","",IF(LEN(VLOOKUP($B34,Database!$B$1:$IX$10144,8,FALSE))=0,"",VLOOKUP($B34,Database!$B$1:$IX$10144,8,FALSE)))</f>
        <v>93</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28.8</v>
      </c>
      <c r="AC34" s="22">
        <f>IF(OR($B34="",AC$22=""),"",IF(LEN(VLOOKUP($B34,Database!$B$1:$IX$10144,AC$22,FALSE))=0,"",VLOOKUP($B34,Database!$B$1:$IX$10144,AC$22,FALSE)))</f>
        <v>10.3</v>
      </c>
      <c r="AD34" s="22">
        <f>IF(OR($B34="",AD$22=""),"",IF(LEN(VLOOKUP($B34,Database!$B$1:$IX$10144,AD$22,FALSE))=0,"",VLOOKUP($B34,Database!$B$1:$IX$10144,AD$22,FALSE)))</f>
        <v>28.4</v>
      </c>
      <c r="AE34" s="22">
        <f>IF(OR($B34="",AE$22=""),"",IF(LEN(VLOOKUP($B34,Database!$B$1:$IX$10144,AE$22,FALSE))=0,"",VLOOKUP($B34,Database!$B$1:$IX$10144,AE$22,FALSE)))</f>
        <v>10.7</v>
      </c>
      <c r="AF34" s="22">
        <f>IF(OR($B34="",AF$22=""),"",IF(LEN(VLOOKUP($B34,Database!$B$1:$IX$10144,AF$22,FALSE))=0,"",VLOOKUP($B34,Database!$B$1:$IX$10144,AF$22,FALSE)))</f>
        <v>30</v>
      </c>
      <c r="AG34" s="22">
        <f>IF(OR($B34="",AG$22=""),"",IF(LEN(VLOOKUP($B34,Database!$B$1:$IX$10144,AG$22,FALSE))=0,"",VLOOKUP($B34,Database!$B$1:$IX$10144,AG$22,FALSE)))</f>
        <v>56</v>
      </c>
      <c r="AH34" s="22">
        <f>IF(OR($B34="",AH$22=""),"",IF(LEN(VLOOKUP($B34,Database!$B$1:$IX$10144,AH$22,FALSE))=0,"",VLOOKUP($B34,Database!$B$1:$IX$10144,AH$22,FALSE)))</f>
        <v>1</v>
      </c>
      <c r="AI34" s="22">
        <f>IF(OR($B34="",AI$22=""),"",IF(LEN(VLOOKUP($B34,Database!$B$1:$IX$10144,AI$22,FALSE))=0,"",VLOOKUP($B34,Database!$B$1:$IX$10144,AI$22,FALSE)))</f>
        <v>1.2</v>
      </c>
      <c r="AJ34" s="22" t="str">
        <f>IF(OR($B34="",AJ$22=""),"",IF(LEN(VLOOKUP($B34,Database!$B$1:$IX$10144,AJ$22,FALSE))=0,"",VLOOKUP($B34,Database!$B$1:$IX$10144,AJ$22,FALSE)))</f>
        <v/>
      </c>
      <c r="AK34" s="22">
        <f>IF(OR($B34="",AK$22=""),"",IF(LEN(VLOOKUP($B34,Database!$B$1:$IX$10144,AK$22,FALSE))=0,"",VLOOKUP($B34,Database!$B$1:$IX$10144,AK$22,FALSE)))</f>
        <v>20.9</v>
      </c>
      <c r="AL34" s="22">
        <f>IF(OR($B34="",AL$22=""),"",IF(LEN(VLOOKUP($B34,Database!$B$1:$IX$10144,AL$22,FALSE))=0,"",VLOOKUP($B34,Database!$B$1:$IX$10144,AL$22,FALSE)))</f>
        <v>16.2</v>
      </c>
      <c r="AM34" s="22" t="str">
        <f>IF(OR($B34="",AM$22=""),"",IF(LEN(VLOOKUP($B34,Database!$B$1:$IX$10144,AM$22,FALSE))=0,"",VLOOKUP($B34,Database!$B$1:$IX$10144,AM$22,FALSE)))</f>
        <v>ns</v>
      </c>
      <c r="AN34" s="22" t="str">
        <f>IF(OR($B34="",AN$22=""),"",IF(LEN(VLOOKUP($B34,Database!$B$1:$IX$10144,AN$22,FALSE))=0,"",VLOOKUP($B34,Database!$B$1:$IX$10144,AN$22,FALSE)))</f>
        <v>ns</v>
      </c>
      <c r="AO34" s="22">
        <f>IF(OR($B34="",AO$22=""),"",IF(LEN(VLOOKUP($B34,Database!$B$1:$IX$10144,AO$22,FALSE))=0,"",VLOOKUP($B34,Database!$B$1:$IX$10144,AO$22,FALSE)))</f>
        <v>4.6153846153846159</v>
      </c>
      <c r="AP34" s="22">
        <f>IF(OR($B34="",AP$22=""),"",IF(LEN(VLOOKUP($B34,Database!$B$1:$IX$10144,AP$22,FALSE))=0,"",VLOOKUP($B34,Database!$B$1:$IX$10144,AP$22,FALSE)))</f>
        <v>29.230769230769234</v>
      </c>
      <c r="AQ34" s="22" t="str">
        <f>IF(OR($B34="",AQ$22=""),"",IF(LEN(VLOOKUP($B34,Database!$B$1:$IX$10144,AQ$22,FALSE))=0,"",VLOOKUP($B34,Database!$B$1:$IX$10144,AQ$22,FALSE)))</f>
        <v>Yucel K, McKinnon MC, Chahal R, Taylor VH, Macdonald K, Joffe R, MacQueen GM</v>
      </c>
    </row>
    <row r="35" spans="1:51">
      <c r="A35" s="7" t="s">
        <v>47</v>
      </c>
      <c r="B35" s="2">
        <v>19464154</v>
      </c>
      <c r="C35" s="1" t="str">
        <f>IF($B35="","",HYPERLINK(IF(LEN(VLOOKUP($B35,Database!$B$1:$IX$10144,2,FALSE))=0,"",VLOOKUP($B35,Database!$B$1:$IX$10144,2,FALSE))))</f>
        <v/>
      </c>
      <c r="D35" s="1" t="str">
        <f>IF($B35="","",HYPERLINK(CONCATENATE("http://www.ncbi.nlm.nih.gov/pubmed/",B35)))</f>
        <v>http://www.ncbi.nlm.nih.gov/pubmed/19464154</v>
      </c>
      <c r="E35" s="22" t="str">
        <f>IF($B35="","",IF(LEN(VLOOKUP($B35,Database!$B$1:$IX$10144,4,FALSE))=0,"",VLOOKUP($B35,Database!$B$1:$IX$10144,4,FALSE)))</f>
        <v>Yucel K</v>
      </c>
      <c r="F35" s="22">
        <f>IF($B35="","",IF(LEN(VLOOKUP($B35,Database!$B$1:$IX$10144,5,FALSE))=0,"",VLOOKUP($B35,Database!$B$1:$IX$10144,5,FALSE)))</f>
        <v>2009</v>
      </c>
      <c r="G35" s="1" t="str">
        <f>IF($B35="","",HYPERLINK(IF(LEN(VLOOKUP($B35,Database!$B$1:$IX$10144,6,FALSE))=0,"",VLOOKUP($B35,Database!$B$1:$IX$10144,6,FALSE))))</f>
        <v>http://dx.doi.org/10.1016/j.pscychresns.2008.07.013</v>
      </c>
      <c r="H35" s="22">
        <f>IF($B35="","",IF(LEN(VLOOKUP($B35,Database!$B$1:$IX$10144,7,FALSE))=0,"",VLOOKUP($B35,Database!$B$1:$IX$10144,7,FALSE)))</f>
        <v>40</v>
      </c>
      <c r="I35" s="22">
        <f>IF($B35="","",IF(LEN(VLOOKUP($B35,Database!$B$1:$IX$10144,8,FALSE))=0,"",VLOOKUP($B35,Database!$B$1:$IX$10144,8,FALSE)))</f>
        <v>40</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41.4</v>
      </c>
      <c r="AC35" s="22">
        <f>IF(OR($B35="",AC$22=""),"",IF(LEN(VLOOKUP($B35,Database!$B$1:$IX$10144,AC$22,FALSE))=0,"",VLOOKUP($B35,Database!$B$1:$IX$10144,AC$22,FALSE)))</f>
        <v>12.5</v>
      </c>
      <c r="AD35" s="22">
        <f>IF(OR($B35="",AD$22=""),"",IF(LEN(VLOOKUP($B35,Database!$B$1:$IX$10144,AD$22,FALSE))=0,"",VLOOKUP($B35,Database!$B$1:$IX$10144,AD$22,FALSE)))</f>
        <v>37.200000000000003</v>
      </c>
      <c r="AE35" s="22">
        <f>IF(OR($B35="",AE$22=""),"",IF(LEN(VLOOKUP($B35,Database!$B$1:$IX$10144,AE$22,FALSE))=0,"",VLOOKUP($B35,Database!$B$1:$IX$10144,AE$22,FALSE)))</f>
        <v>10.1</v>
      </c>
      <c r="AF35" s="22">
        <f>IF(OR($B35="",AF$22=""),"",IF(LEN(VLOOKUP($B35,Database!$B$1:$IX$10144,AF$22,FALSE))=0,"",VLOOKUP($B35,Database!$B$1:$IX$10144,AF$22,FALSE)))</f>
        <v>27</v>
      </c>
      <c r="AG35" s="22">
        <f>IF(OR($B35="",AG$22=""),"",IF(LEN(VLOOKUP($B35,Database!$B$1:$IX$10144,AG$22,FALSE))=0,"",VLOOKUP($B35,Database!$B$1:$IX$10144,AG$22,FALSE)))</f>
        <v>25</v>
      </c>
      <c r="AH35" s="22">
        <f>IF(OR($B35="",AH$22=""),"",IF(LEN(VLOOKUP($B35,Database!$B$1:$IX$10144,AH$22,FALSE))=0,"",VLOOKUP($B35,Database!$B$1:$IX$10144,AH$22,FALSE)))</f>
        <v>1</v>
      </c>
      <c r="AI35" s="22">
        <f>IF(OR($B35="",AI$22=""),"",IF(LEN(VLOOKUP($B35,Database!$B$1:$IX$10144,AI$22,FALSE))=0,"",VLOOKUP($B35,Database!$B$1:$IX$10144,AI$22,FALSE)))</f>
        <v>1.2</v>
      </c>
      <c r="AJ35" s="22" t="str">
        <f>IF(OR($B35="",AJ$22=""),"",IF(LEN(VLOOKUP($B35,Database!$B$1:$IX$10144,AJ$22,FALSE))=0,"",VLOOKUP($B35,Database!$B$1:$IX$10144,AJ$22,FALSE)))</f>
        <v/>
      </c>
      <c r="AK35" s="22">
        <f>IF(OR($B35="",AK$22=""),"",IF(LEN(VLOOKUP($B35,Database!$B$1:$IX$10144,AK$22,FALSE))=0,"",VLOOKUP($B35,Database!$B$1:$IX$10144,AK$22,FALSE)))</f>
        <v>27.1</v>
      </c>
      <c r="AL35" s="22">
        <f>IF(OR($B35="",AL$22=""),"",IF(LEN(VLOOKUP($B35,Database!$B$1:$IX$10144,AL$22,FALSE))=0,"",VLOOKUP($B35,Database!$B$1:$IX$10144,AL$22,FALSE)))</f>
        <v>11.1</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Yucel K, M C Kinnon M, Chahal R, Taylor V, Macdonald K, Joffe R, Macqueen G.</v>
      </c>
    </row>
    <row r="36" spans="1:51">
      <c r="B36" s="2"/>
      <c r="C36" s="1"/>
      <c r="D36" s="1"/>
      <c r="E36" s="22"/>
      <c r="F36" s="22"/>
      <c r="G36" s="1"/>
      <c r="H36" s="22"/>
      <c r="I36" s="22"/>
      <c r="K36" s="10"/>
      <c r="Y36" s="22"/>
      <c r="Z36" s="22"/>
      <c r="AA36" s="22"/>
      <c r="AB36" s="22"/>
      <c r="AC36" s="22"/>
      <c r="AD36" s="22"/>
      <c r="AE36" s="22"/>
      <c r="AF36" s="22"/>
      <c r="AG36" s="22"/>
      <c r="AH36" s="22"/>
      <c r="AI36" s="22"/>
      <c r="AJ36" s="22"/>
      <c r="AK36" s="22"/>
      <c r="AL36" s="22"/>
      <c r="AM36" s="22"/>
      <c r="AN36" s="22"/>
      <c r="AO36" s="22"/>
      <c r="AP36" s="22"/>
      <c r="AQ36" s="22"/>
    </row>
    <row r="37" spans="1:51">
      <c r="I37" s="22" t="str">
        <f>IF($B37="","",IF(LEN(VLOOKUP($B37,Database!$B$1:$IX$10144,8,FALSE))=0,"",VLOOKUP($B37,Database!$B$1:$IX$10144,8,FALSE)))</f>
        <v/>
      </c>
      <c r="AF37" t="s">
        <v>602</v>
      </c>
      <c r="AJ37" t="s">
        <v>329</v>
      </c>
      <c r="AN37" t="s">
        <v>330</v>
      </c>
    </row>
    <row r="38" spans="1:51" ht="45" customHeight="1">
      <c r="E38" s="60" t="s">
        <v>617</v>
      </c>
      <c r="F38" s="60" t="s">
        <v>740</v>
      </c>
      <c r="G38" s="60" t="s">
        <v>244</v>
      </c>
      <c r="H38" s="60" t="s">
        <v>245</v>
      </c>
      <c r="I38" s="60" t="s">
        <v>246</v>
      </c>
      <c r="J38" s="60" t="s">
        <v>593</v>
      </c>
      <c r="K38" s="60" t="s">
        <v>1039</v>
      </c>
      <c r="L38" s="60" t="s">
        <v>594</v>
      </c>
      <c r="M38" s="60" t="s">
        <v>1299</v>
      </c>
      <c r="N38" s="61" t="s">
        <v>595</v>
      </c>
      <c r="O38" s="61" t="s">
        <v>596</v>
      </c>
      <c r="P38" s="61" t="s">
        <v>597</v>
      </c>
      <c r="Q38" s="61" t="s">
        <v>598</v>
      </c>
      <c r="R38" s="61" t="s">
        <v>599</v>
      </c>
      <c r="S38" s="61" t="s">
        <v>600</v>
      </c>
      <c r="T38" s="61" t="s">
        <v>601</v>
      </c>
      <c r="U38" s="61" t="s">
        <v>484</v>
      </c>
      <c r="V38" s="61" t="s">
        <v>485</v>
      </c>
      <c r="W38" s="61" t="s">
        <v>486</v>
      </c>
      <c r="AF38" s="61" t="s">
        <v>1517</v>
      </c>
      <c r="AG38" s="62" t="s">
        <v>834</v>
      </c>
      <c r="AH38" s="62" t="s">
        <v>835</v>
      </c>
      <c r="AJ38" s="61" t="s">
        <v>836</v>
      </c>
      <c r="AK38" s="61" t="s">
        <v>837</v>
      </c>
      <c r="AL38" s="61" t="s">
        <v>487</v>
      </c>
      <c r="AN38" t="s">
        <v>488</v>
      </c>
      <c r="AO38" t="s">
        <v>489</v>
      </c>
      <c r="AP38" t="s">
        <v>490</v>
      </c>
      <c r="AQ38" t="s">
        <v>491</v>
      </c>
      <c r="AR38" t="s">
        <v>492</v>
      </c>
      <c r="AS38" t="s">
        <v>493</v>
      </c>
      <c r="AT38" t="s">
        <v>494</v>
      </c>
      <c r="AU38" t="s">
        <v>495</v>
      </c>
      <c r="AV38" t="s">
        <v>496</v>
      </c>
      <c r="AW38" t="s">
        <v>497</v>
      </c>
      <c r="AX38" t="s">
        <v>498</v>
      </c>
      <c r="AY38" t="s">
        <v>499</v>
      </c>
    </row>
    <row r="39" spans="1:51">
      <c r="E39" t="str">
        <f t="shared" ref="E39:F45" si="1">E24</f>
        <v>Drevets WC</v>
      </c>
      <c r="F39">
        <f t="shared" si="1"/>
        <v>1997</v>
      </c>
      <c r="G39">
        <v>7</v>
      </c>
      <c r="H39">
        <f t="shared" ref="H39:I45" si="2">H24</f>
        <v>17</v>
      </c>
      <c r="I39">
        <f t="shared" si="2"/>
        <v>21</v>
      </c>
      <c r="J39">
        <f t="shared" ref="J39:M45" si="3">IF($D$4="Total",T24,IF($D$4="Left",L24,IF($D$4="Right",P24,"error")))</f>
        <v>1.1E-4</v>
      </c>
      <c r="K39">
        <f t="shared" si="3"/>
        <v>5.1E-5</v>
      </c>
      <c r="L39">
        <f t="shared" si="3"/>
        <v>1.8000000000000001E-4</v>
      </c>
      <c r="M39">
        <f t="shared" si="3"/>
        <v>7.3999999999999996E-5</v>
      </c>
      <c r="N39">
        <f t="shared" ref="N39:N45" si="4">IF($D$3=1,SQRT((((I39-1)*(M39)^2)+((H39-1)*(K39)^2))/(H39+I39-2)),M39)</f>
        <v>6.4793689679028325E-5</v>
      </c>
      <c r="O39" s="59">
        <f t="shared" ref="O39:O45" si="5">IF($D$6=1,LN(J39/L39),IF($D$5=1,(1-3/(4*(H39+I39)-9))*((J39-L39)/N39),(J39-L39)/N39))</f>
        <v>-1.0576873900985764</v>
      </c>
      <c r="P39" s="63">
        <f t="shared" ref="P39:P45" si="6">IF($D$6=1,(K39^2)/(H39*J39^2)+(M39^2)/(I39*L39^2),(IF($D$5=1,((H39+I39)/(H39*I39))+(O39*O39)/(2*(H39+I39-3.94)),((H39+I39)/(H39*I39))+((O39^2)/(2*(H39+I39-2))))))</f>
        <v>0.12286510514551488</v>
      </c>
      <c r="Q39" s="59">
        <f t="shared" ref="Q39:Q45" si="7">$R$62*SQRT(P39)</f>
        <v>0.68702153381608788</v>
      </c>
      <c r="R39" s="59">
        <f t="shared" ref="R39:R45" si="8">1/P39</f>
        <v>8.1390074001536341</v>
      </c>
      <c r="S39" s="59">
        <f t="shared" ref="S39:S45" si="9">O39*R39</f>
        <v>-8.608525495061496</v>
      </c>
      <c r="T39" s="59">
        <f t="shared" ref="T39:T45" si="10">R39*(O39^2)</f>
        <v>9.1051288634686482</v>
      </c>
      <c r="U39" s="23">
        <f t="shared" ref="U39:U45" si="11">R39^2</f>
        <v>66.243441459755616</v>
      </c>
      <c r="V39" s="59">
        <f t="shared" ref="V39:V45" si="12">1/((1/R39)+$I$59)</f>
        <v>3.1008230493077895</v>
      </c>
      <c r="W39" s="59">
        <f t="shared" ref="W39:W45" si="13">V39*O39</f>
        <v>-3.279701438179865</v>
      </c>
      <c r="AF39" s="59">
        <f t="shared" ref="AF39:AF45" si="14">IF($D$6=1,100*((EXP(O39))-1),O39)</f>
        <v>-1.0576873900985764</v>
      </c>
      <c r="AG39" s="59">
        <f t="shared" ref="AG39:AG45" si="15">IF($D$6=1,100*(EXP(O39+Q39)-EXP(O39)),Q39)</f>
        <v>0.68702153381608788</v>
      </c>
      <c r="AH39" s="59">
        <f t="shared" ref="AH39:AH45" si="16">IF($D$6=1,100*(EXP(O39)-EXP(O39-Q39)),Q39)</f>
        <v>0.68702153381608788</v>
      </c>
      <c r="AJ39">
        <f t="shared" ref="AJ39:AJ45" si="17">SQRT(P39)</f>
        <v>0.35052119072249383</v>
      </c>
      <c r="AK39">
        <f t="shared" ref="AK39:AK45" si="18">1/AJ39</f>
        <v>2.8528945652010407</v>
      </c>
      <c r="AL39">
        <f t="shared" ref="AL39:AL45" si="19">O39/AJ39</f>
        <v>-3.0174706068939012</v>
      </c>
      <c r="AN39" t="str">
        <f t="shared" ref="AN39:AO45" si="20">E39</f>
        <v>Drevets WC</v>
      </c>
      <c r="AO39">
        <f t="shared" si="20"/>
        <v>1997</v>
      </c>
      <c r="AP39" t="str">
        <f t="shared" ref="AP39:AP45" si="21">CONCATENATE(AN39," ",AO39)</f>
        <v>Drevets WC 1997</v>
      </c>
      <c r="AQ39">
        <f t="shared" ref="AQ39:AQ45" si="22">INT(H39)</f>
        <v>17</v>
      </c>
      <c r="AR39">
        <f t="shared" ref="AR39:AS45" si="23">J39</f>
        <v>1.1E-4</v>
      </c>
      <c r="AS39">
        <f t="shared" si="23"/>
        <v>5.1E-5</v>
      </c>
      <c r="AT39">
        <f t="shared" ref="AT39:AT45" si="24">INT(I39)</f>
        <v>21</v>
      </c>
      <c r="AU39">
        <f t="shared" ref="AU39:AV45" si="25">L39</f>
        <v>1.8000000000000001E-4</v>
      </c>
      <c r="AV39">
        <f t="shared" si="25"/>
        <v>7.3999999999999996E-5</v>
      </c>
      <c r="AW39" s="65">
        <f t="shared" ref="AW39:AW45" si="26">O39</f>
        <v>-1.0576873900985764</v>
      </c>
      <c r="AX39">
        <f t="shared" ref="AX39:AX45" si="27">SQRT(P39)</f>
        <v>0.35052119072249383</v>
      </c>
      <c r="AY39" t="str">
        <f>$F$3</f>
        <v>Pooled SD</v>
      </c>
    </row>
    <row r="40" spans="1:51">
      <c r="E40" t="str">
        <f t="shared" si="1"/>
        <v>Botteron KN</v>
      </c>
      <c r="F40">
        <f t="shared" si="1"/>
        <v>2002</v>
      </c>
      <c r="G40">
        <v>6</v>
      </c>
      <c r="H40">
        <f t="shared" si="2"/>
        <v>30</v>
      </c>
      <c r="I40">
        <f t="shared" si="2"/>
        <v>8</v>
      </c>
      <c r="J40">
        <f t="shared" si="3"/>
        <v>0.28999999999999998</v>
      </c>
      <c r="K40">
        <f t="shared" si="3"/>
        <v>0.11</v>
      </c>
      <c r="L40">
        <f t="shared" si="3"/>
        <v>0.36</v>
      </c>
      <c r="M40">
        <f t="shared" si="3"/>
        <v>0.14000000000000001</v>
      </c>
      <c r="N40">
        <f t="shared" si="4"/>
        <v>0.11644025649805712</v>
      </c>
      <c r="O40" s="59">
        <f t="shared" si="5"/>
        <v>-0.58855477128403644</v>
      </c>
      <c r="P40" s="63">
        <f t="shared" si="6"/>
        <v>0.16341842902918188</v>
      </c>
      <c r="Q40" s="59">
        <f t="shared" si="7"/>
        <v>0.79233088855509415</v>
      </c>
      <c r="R40" s="59">
        <f t="shared" si="8"/>
        <v>6.1192608810443803</v>
      </c>
      <c r="S40" s="59">
        <f t="shared" si="9"/>
        <v>-3.6015201882704266</v>
      </c>
      <c r="T40" s="59">
        <f t="shared" si="10"/>
        <v>2.1196918906823408</v>
      </c>
      <c r="U40" s="23">
        <f t="shared" si="11"/>
        <v>37.445353730280047</v>
      </c>
      <c r="V40" s="59">
        <f t="shared" si="12"/>
        <v>2.7544540806248317</v>
      </c>
      <c r="W40" s="59">
        <f t="shared" si="13"/>
        <v>-1.6211470914345287</v>
      </c>
      <c r="AF40" s="59">
        <f t="shared" si="14"/>
        <v>-0.58855477128403644</v>
      </c>
      <c r="AG40" s="59">
        <f t="shared" si="15"/>
        <v>0.79233088855509415</v>
      </c>
      <c r="AH40" s="59">
        <f t="shared" si="16"/>
        <v>0.79233088855509415</v>
      </c>
      <c r="AJ40">
        <f t="shared" si="17"/>
        <v>0.40425045334443582</v>
      </c>
      <c r="AK40">
        <f t="shared" si="18"/>
        <v>2.4737139852950625</v>
      </c>
      <c r="AL40">
        <f t="shared" si="19"/>
        <v>-1.4559161688374578</v>
      </c>
      <c r="AN40" t="str">
        <f t="shared" si="20"/>
        <v>Botteron KN</v>
      </c>
      <c r="AO40">
        <f t="shared" si="20"/>
        <v>2002</v>
      </c>
      <c r="AP40" t="str">
        <f t="shared" si="21"/>
        <v>Botteron KN 2002</v>
      </c>
      <c r="AQ40">
        <f t="shared" si="22"/>
        <v>30</v>
      </c>
      <c r="AR40">
        <f t="shared" si="23"/>
        <v>0.28999999999999998</v>
      </c>
      <c r="AS40">
        <f t="shared" si="23"/>
        <v>0.11</v>
      </c>
      <c r="AT40">
        <f t="shared" si="24"/>
        <v>8</v>
      </c>
      <c r="AU40">
        <f t="shared" si="25"/>
        <v>0.36</v>
      </c>
      <c r="AV40">
        <f t="shared" si="25"/>
        <v>0.14000000000000001</v>
      </c>
      <c r="AW40" s="65">
        <f t="shared" si="26"/>
        <v>-0.58855477128403644</v>
      </c>
      <c r="AX40">
        <f t="shared" si="27"/>
        <v>0.40425045334443582</v>
      </c>
      <c r="AY40" t="str">
        <f>$F$4</f>
        <v>Left</v>
      </c>
    </row>
    <row r="41" spans="1:51">
      <c r="E41" t="str">
        <f t="shared" si="1"/>
        <v>Brambilla P</v>
      </c>
      <c r="F41">
        <f t="shared" si="1"/>
        <v>2002</v>
      </c>
      <c r="G41">
        <v>5</v>
      </c>
      <c r="H41">
        <f t="shared" si="2"/>
        <v>18</v>
      </c>
      <c r="I41">
        <f t="shared" si="2"/>
        <v>38</v>
      </c>
      <c r="J41">
        <f t="shared" si="3"/>
        <v>300.2</v>
      </c>
      <c r="K41">
        <f t="shared" si="3"/>
        <v>82.3</v>
      </c>
      <c r="L41">
        <f t="shared" si="3"/>
        <v>290</v>
      </c>
      <c r="M41">
        <f t="shared" si="3"/>
        <v>77</v>
      </c>
      <c r="N41">
        <f t="shared" si="4"/>
        <v>78.707020017276733</v>
      </c>
      <c r="O41" s="59">
        <f t="shared" si="5"/>
        <v>0.12778624341763811</v>
      </c>
      <c r="P41" s="63">
        <f t="shared" si="6"/>
        <v>8.2028176800338415E-2</v>
      </c>
      <c r="Q41" s="59">
        <f t="shared" si="7"/>
        <v>0.56135500709994568</v>
      </c>
      <c r="R41" s="59">
        <f t="shared" si="8"/>
        <v>12.190932908749891</v>
      </c>
      <c r="S41" s="59">
        <f t="shared" si="9"/>
        <v>1.5578335201656086</v>
      </c>
      <c r="T41" s="59">
        <f t="shared" si="10"/>
        <v>0.19906969341203853</v>
      </c>
      <c r="U41" s="23">
        <f t="shared" si="11"/>
        <v>148.61884518564108</v>
      </c>
      <c r="V41" s="59">
        <f t="shared" si="12"/>
        <v>3.5504039105240115</v>
      </c>
      <c r="W41" s="59">
        <f t="shared" si="13"/>
        <v>0.45369277834115557</v>
      </c>
      <c r="AF41" s="59">
        <f t="shared" si="14"/>
        <v>0.12778624341763811</v>
      </c>
      <c r="AG41" s="59">
        <f t="shared" si="15"/>
        <v>0.56135500709994568</v>
      </c>
      <c r="AH41" s="59">
        <f t="shared" si="16"/>
        <v>0.56135500709994568</v>
      </c>
      <c r="AJ41">
        <f t="shared" si="17"/>
        <v>0.28640561586731922</v>
      </c>
      <c r="AK41">
        <f t="shared" si="18"/>
        <v>3.491551647727682</v>
      </c>
      <c r="AL41">
        <f t="shared" si="19"/>
        <v>0.44617226876178501</v>
      </c>
      <c r="AN41" t="str">
        <f t="shared" si="20"/>
        <v>Brambilla P</v>
      </c>
      <c r="AO41">
        <f t="shared" si="20"/>
        <v>2002</v>
      </c>
      <c r="AP41" t="str">
        <f t="shared" si="21"/>
        <v>Brambilla P 2002</v>
      </c>
      <c r="AQ41">
        <f t="shared" si="22"/>
        <v>18</v>
      </c>
      <c r="AR41">
        <f t="shared" si="23"/>
        <v>300.2</v>
      </c>
      <c r="AS41">
        <f t="shared" si="23"/>
        <v>82.3</v>
      </c>
      <c r="AT41">
        <f t="shared" si="24"/>
        <v>38</v>
      </c>
      <c r="AU41">
        <f t="shared" si="25"/>
        <v>290</v>
      </c>
      <c r="AV41">
        <f t="shared" si="25"/>
        <v>77</v>
      </c>
      <c r="AW41" s="65">
        <f t="shared" si="26"/>
        <v>0.12778624341763811</v>
      </c>
      <c r="AX41">
        <f t="shared" si="27"/>
        <v>0.28640561586731922</v>
      </c>
      <c r="AY41" t="str">
        <f>$F$6</f>
        <v>Cohens Effect size</v>
      </c>
    </row>
    <row r="42" spans="1:51">
      <c r="E42" t="str">
        <f t="shared" si="1"/>
        <v>Hastings RS</v>
      </c>
      <c r="F42">
        <f t="shared" si="1"/>
        <v>2004</v>
      </c>
      <c r="G42">
        <v>4</v>
      </c>
      <c r="H42">
        <f t="shared" si="2"/>
        <v>8</v>
      </c>
      <c r="I42">
        <f t="shared" si="2"/>
        <v>8</v>
      </c>
      <c r="J42">
        <f t="shared" si="3"/>
        <v>639</v>
      </c>
      <c r="K42">
        <f t="shared" si="3"/>
        <v>105</v>
      </c>
      <c r="L42">
        <f t="shared" si="3"/>
        <v>817</v>
      </c>
      <c r="M42">
        <f t="shared" si="3"/>
        <v>193</v>
      </c>
      <c r="N42">
        <f t="shared" si="4"/>
        <v>155.36087023443193</v>
      </c>
      <c r="O42" s="59">
        <f t="shared" si="5"/>
        <v>-1.0832258395371137</v>
      </c>
      <c r="P42" s="63">
        <f t="shared" si="6"/>
        <v>0.29864752153569174</v>
      </c>
      <c r="Q42" s="59">
        <f t="shared" si="7"/>
        <v>1.0711135881555762</v>
      </c>
      <c r="R42" s="59">
        <f t="shared" si="8"/>
        <v>3.3484289267088014</v>
      </c>
      <c r="S42" s="59">
        <f t="shared" si="9"/>
        <v>-3.6271047352644978</v>
      </c>
      <c r="T42" s="59">
        <f t="shared" si="10"/>
        <v>3.9289735719459267</v>
      </c>
      <c r="U42" s="23">
        <f t="shared" si="11"/>
        <v>11.211976277220256</v>
      </c>
      <c r="V42" s="59">
        <f t="shared" si="12"/>
        <v>2.006914063008189</v>
      </c>
      <c r="W42" s="59">
        <f t="shared" si="13"/>
        <v>-2.1739411707808856</v>
      </c>
      <c r="AF42" s="59">
        <f t="shared" si="14"/>
        <v>-1.0832258395371137</v>
      </c>
      <c r="AG42" s="59">
        <f t="shared" si="15"/>
        <v>1.0711135881555762</v>
      </c>
      <c r="AH42" s="59">
        <f t="shared" si="16"/>
        <v>1.0711135881555762</v>
      </c>
      <c r="AJ42">
        <f t="shared" si="17"/>
        <v>0.54648652456917157</v>
      </c>
      <c r="AK42">
        <f t="shared" si="18"/>
        <v>1.8298712869239742</v>
      </c>
      <c r="AL42">
        <f t="shared" si="19"/>
        <v>-1.9821638610230805</v>
      </c>
      <c r="AN42" t="str">
        <f t="shared" si="20"/>
        <v>Hastings RS</v>
      </c>
      <c r="AO42">
        <f t="shared" si="20"/>
        <v>2004</v>
      </c>
      <c r="AP42" t="str">
        <f t="shared" si="21"/>
        <v>Hastings RS 2004</v>
      </c>
      <c r="AQ42">
        <f t="shared" si="22"/>
        <v>8</v>
      </c>
      <c r="AR42">
        <f t="shared" si="23"/>
        <v>639</v>
      </c>
      <c r="AS42">
        <f t="shared" si="23"/>
        <v>105</v>
      </c>
      <c r="AT42">
        <f t="shared" si="24"/>
        <v>8</v>
      </c>
      <c r="AU42">
        <f t="shared" si="25"/>
        <v>817</v>
      </c>
      <c r="AV42">
        <f t="shared" si="25"/>
        <v>193</v>
      </c>
      <c r="AW42" s="65">
        <f t="shared" si="26"/>
        <v>-1.0832258395371137</v>
      </c>
      <c r="AX42">
        <f t="shared" si="27"/>
        <v>0.54648652456917157</v>
      </c>
      <c r="AY42" t="str">
        <f>$F$5</f>
        <v>H Correction</v>
      </c>
    </row>
    <row r="43" spans="1:51">
      <c r="E43" t="str">
        <f t="shared" si="1"/>
        <v>Hastings RS</v>
      </c>
      <c r="F43">
        <f t="shared" si="1"/>
        <v>2004</v>
      </c>
      <c r="G43">
        <v>3</v>
      </c>
      <c r="H43">
        <f t="shared" si="2"/>
        <v>10</v>
      </c>
      <c r="I43">
        <f t="shared" si="2"/>
        <v>10</v>
      </c>
      <c r="J43">
        <f t="shared" si="3"/>
        <v>636</v>
      </c>
      <c r="K43">
        <f t="shared" si="3"/>
        <v>156</v>
      </c>
      <c r="L43">
        <f t="shared" si="3"/>
        <v>715</v>
      </c>
      <c r="M43">
        <f t="shared" si="3"/>
        <v>160</v>
      </c>
      <c r="N43">
        <f t="shared" si="4"/>
        <v>158.01265772082945</v>
      </c>
      <c r="O43" s="59">
        <f t="shared" si="5"/>
        <v>-0.4788348789415498</v>
      </c>
      <c r="P43" s="63">
        <f t="shared" si="6"/>
        <v>0.20713832009000527</v>
      </c>
      <c r="Q43" s="59">
        <f t="shared" si="7"/>
        <v>0.89204404064920706</v>
      </c>
      <c r="R43" s="59">
        <f t="shared" si="8"/>
        <v>4.8276919478997531</v>
      </c>
      <c r="S43" s="59">
        <f t="shared" si="9"/>
        <v>-2.311667289439673</v>
      </c>
      <c r="T43" s="59">
        <f t="shared" si="10"/>
        <v>1.1069069266919864</v>
      </c>
      <c r="U43" s="23">
        <f t="shared" si="11"/>
        <v>23.306609543816112</v>
      </c>
      <c r="V43" s="59">
        <f t="shared" si="12"/>
        <v>2.4584023706798761</v>
      </c>
      <c r="W43" s="59">
        <f t="shared" si="13"/>
        <v>-1.1771688015541175</v>
      </c>
      <c r="AF43" s="59">
        <f t="shared" si="14"/>
        <v>-0.4788348789415498</v>
      </c>
      <c r="AG43" s="59">
        <f t="shared" si="15"/>
        <v>0.89204404064920706</v>
      </c>
      <c r="AH43" s="59">
        <f t="shared" si="16"/>
        <v>0.89204404064920706</v>
      </c>
      <c r="AJ43">
        <f t="shared" si="17"/>
        <v>0.45512451053530972</v>
      </c>
      <c r="AK43">
        <f t="shared" si="18"/>
        <v>2.1972009348031309</v>
      </c>
      <c r="AL43">
        <f t="shared" si="19"/>
        <v>-1.0520964436267173</v>
      </c>
      <c r="AN43" t="str">
        <f t="shared" si="20"/>
        <v>Hastings RS</v>
      </c>
      <c r="AO43">
        <f t="shared" si="20"/>
        <v>2004</v>
      </c>
      <c r="AP43" t="str">
        <f t="shared" si="21"/>
        <v>Hastings RS 2004</v>
      </c>
      <c r="AQ43">
        <f t="shared" si="22"/>
        <v>10</v>
      </c>
      <c r="AR43">
        <f t="shared" si="23"/>
        <v>636</v>
      </c>
      <c r="AS43">
        <f t="shared" si="23"/>
        <v>156</v>
      </c>
      <c r="AT43">
        <f t="shared" si="24"/>
        <v>10</v>
      </c>
      <c r="AU43">
        <f t="shared" si="25"/>
        <v>715</v>
      </c>
      <c r="AV43">
        <f t="shared" si="25"/>
        <v>160</v>
      </c>
      <c r="AW43" s="65">
        <f t="shared" si="26"/>
        <v>-0.4788348789415498</v>
      </c>
      <c r="AX43">
        <f t="shared" si="27"/>
        <v>0.45512451053530972</v>
      </c>
    </row>
    <row r="44" spans="1:51">
      <c r="E44" t="str">
        <f t="shared" si="1"/>
        <v>Coryell W</v>
      </c>
      <c r="F44">
        <f t="shared" si="1"/>
        <v>2005</v>
      </c>
      <c r="G44">
        <v>2</v>
      </c>
      <c r="H44">
        <f t="shared" si="2"/>
        <v>10</v>
      </c>
      <c r="I44">
        <f t="shared" si="2"/>
        <v>10</v>
      </c>
      <c r="J44">
        <f t="shared" si="3"/>
        <v>315</v>
      </c>
      <c r="K44">
        <f t="shared" si="3"/>
        <v>117</v>
      </c>
      <c r="L44">
        <f t="shared" si="3"/>
        <v>333</v>
      </c>
      <c r="M44">
        <f t="shared" si="3"/>
        <v>134</v>
      </c>
      <c r="N44">
        <f t="shared" si="4"/>
        <v>125.78751925370021</v>
      </c>
      <c r="O44" s="59">
        <f t="shared" si="5"/>
        <v>-0.13705204397065959</v>
      </c>
      <c r="P44" s="63">
        <f t="shared" si="6"/>
        <v>0.20058478402106275</v>
      </c>
      <c r="Q44" s="59">
        <f t="shared" si="7"/>
        <v>0.8778191763087172</v>
      </c>
      <c r="R44" s="59">
        <f t="shared" si="8"/>
        <v>4.9854230213942516</v>
      </c>
      <c r="S44" s="59">
        <f t="shared" si="9"/>
        <v>-0.6832624151404636</v>
      </c>
      <c r="T44" s="59">
        <f t="shared" si="10"/>
        <v>9.3642510563329881E-2</v>
      </c>
      <c r="U44" s="23">
        <f t="shared" si="11"/>
        <v>24.854442702247788</v>
      </c>
      <c r="V44" s="59">
        <f t="shared" si="12"/>
        <v>2.4986588343744418</v>
      </c>
      <c r="W44" s="59">
        <f t="shared" si="13"/>
        <v>-0.34244630043636304</v>
      </c>
      <c r="AF44" s="59">
        <f t="shared" si="14"/>
        <v>-0.13705204397065959</v>
      </c>
      <c r="AG44" s="59">
        <f t="shared" si="15"/>
        <v>0.8778191763087172</v>
      </c>
      <c r="AH44" s="59">
        <f t="shared" si="16"/>
        <v>0.8778191763087172</v>
      </c>
      <c r="AJ44">
        <f t="shared" si="17"/>
        <v>0.447866926688121</v>
      </c>
      <c r="AK44">
        <f t="shared" si="18"/>
        <v>2.2328060868320496</v>
      </c>
      <c r="AL44">
        <f t="shared" si="19"/>
        <v>-0.30601063799046246</v>
      </c>
      <c r="AN44" t="str">
        <f t="shared" si="20"/>
        <v>Coryell W</v>
      </c>
      <c r="AO44">
        <f t="shared" si="20"/>
        <v>2005</v>
      </c>
      <c r="AP44" t="str">
        <f t="shared" si="21"/>
        <v>Coryell W 2005</v>
      </c>
      <c r="AQ44">
        <f t="shared" si="22"/>
        <v>10</v>
      </c>
      <c r="AR44">
        <f t="shared" si="23"/>
        <v>315</v>
      </c>
      <c r="AS44">
        <f t="shared" si="23"/>
        <v>117</v>
      </c>
      <c r="AT44">
        <f t="shared" si="24"/>
        <v>10</v>
      </c>
      <c r="AU44">
        <f t="shared" si="25"/>
        <v>333</v>
      </c>
      <c r="AV44">
        <f t="shared" si="25"/>
        <v>134</v>
      </c>
      <c r="AW44" s="65">
        <f t="shared" si="26"/>
        <v>-0.13705204397065959</v>
      </c>
      <c r="AX44">
        <f t="shared" si="27"/>
        <v>0.447866926688121</v>
      </c>
    </row>
    <row r="45" spans="1:51">
      <c r="E45" t="str">
        <f t="shared" si="1"/>
        <v>Frodl T (A)</v>
      </c>
      <c r="F45">
        <f t="shared" si="1"/>
        <v>2008</v>
      </c>
      <c r="G45">
        <v>1</v>
      </c>
      <c r="H45">
        <f t="shared" si="2"/>
        <v>78</v>
      </c>
      <c r="I45">
        <f t="shared" si="2"/>
        <v>78</v>
      </c>
      <c r="J45">
        <f t="shared" si="3"/>
        <v>0.56999999999999995</v>
      </c>
      <c r="K45">
        <f t="shared" si="3"/>
        <v>0.24</v>
      </c>
      <c r="L45">
        <f t="shared" si="3"/>
        <v>0.52</v>
      </c>
      <c r="M45">
        <f t="shared" si="3"/>
        <v>0.25</v>
      </c>
      <c r="N45">
        <f t="shared" si="4"/>
        <v>0.24505101509685692</v>
      </c>
      <c r="O45" s="59">
        <f t="shared" si="5"/>
        <v>0.20304383371482604</v>
      </c>
      <c r="P45" s="63">
        <f t="shared" si="6"/>
        <v>2.5776586598574021E-2</v>
      </c>
      <c r="Q45" s="59">
        <f t="shared" si="7"/>
        <v>0.3146797341378722</v>
      </c>
      <c r="R45" s="59">
        <f t="shared" si="8"/>
        <v>38.794896142506346</v>
      </c>
      <c r="S45" s="59">
        <f t="shared" si="9"/>
        <v>7.8770644413430047</v>
      </c>
      <c r="T45" s="59">
        <f t="shared" si="10"/>
        <v>1.5993893625890181</v>
      </c>
      <c r="U45" s="23">
        <f t="shared" si="11"/>
        <v>1505.0439667078538</v>
      </c>
      <c r="V45" s="59">
        <f t="shared" si="12"/>
        <v>4.4364292117154802</v>
      </c>
      <c r="W45" s="59">
        <f t="shared" si="13"/>
        <v>0.90078959515115475</v>
      </c>
      <c r="AF45" s="59">
        <f t="shared" si="14"/>
        <v>0.20304383371482604</v>
      </c>
      <c r="AG45" s="59">
        <f t="shared" si="15"/>
        <v>0.3146797341378722</v>
      </c>
      <c r="AH45" s="59">
        <f t="shared" si="16"/>
        <v>0.3146797341378722</v>
      </c>
      <c r="AJ45">
        <f t="shared" si="17"/>
        <v>0.16055088476422053</v>
      </c>
      <c r="AK45">
        <f t="shared" si="18"/>
        <v>6.2285549000154399</v>
      </c>
      <c r="AL45">
        <f t="shared" si="19"/>
        <v>1.2646696654023999</v>
      </c>
      <c r="AN45" t="str">
        <f t="shared" si="20"/>
        <v>Frodl T (A)</v>
      </c>
      <c r="AO45">
        <f t="shared" si="20"/>
        <v>2008</v>
      </c>
      <c r="AP45" t="str">
        <f t="shared" si="21"/>
        <v>Frodl T (A) 2008</v>
      </c>
      <c r="AQ45">
        <f t="shared" si="22"/>
        <v>78</v>
      </c>
      <c r="AR45">
        <f t="shared" si="23"/>
        <v>0.56999999999999995</v>
      </c>
      <c r="AS45">
        <f t="shared" si="23"/>
        <v>0.24</v>
      </c>
      <c r="AT45">
        <f t="shared" si="24"/>
        <v>78</v>
      </c>
      <c r="AU45">
        <f t="shared" si="25"/>
        <v>0.52</v>
      </c>
      <c r="AV45">
        <f t="shared" si="25"/>
        <v>0.25</v>
      </c>
      <c r="AW45" s="65">
        <f t="shared" si="26"/>
        <v>0.20304383371482604</v>
      </c>
      <c r="AX45">
        <f t="shared" si="27"/>
        <v>0.16055088476422053</v>
      </c>
    </row>
    <row r="46" spans="1:51">
      <c r="U46" s="23"/>
    </row>
    <row r="47" spans="1:51">
      <c r="L47" t="s">
        <v>500</v>
      </c>
      <c r="N47" s="7"/>
      <c r="O47" s="66">
        <f>COUNT(O39:O45)</f>
        <v>7</v>
      </c>
      <c r="Q47" t="s">
        <v>885</v>
      </c>
      <c r="R47" s="59">
        <f t="shared" ref="R47:W47" si="28">SUM(R39:R45)</f>
        <v>78.405641228457057</v>
      </c>
      <c r="S47" s="59">
        <f t="shared" si="28"/>
        <v>-9.3971821616679456</v>
      </c>
      <c r="T47" s="59">
        <f t="shared" si="28"/>
        <v>18.15280281935329</v>
      </c>
      <c r="U47" s="23">
        <f t="shared" si="28"/>
        <v>1816.7246356068147</v>
      </c>
      <c r="V47" s="59">
        <f t="shared" si="28"/>
        <v>20.806085520234621</v>
      </c>
      <c r="W47" s="59">
        <f t="shared" si="28"/>
        <v>-7.2399224288934505</v>
      </c>
    </row>
    <row r="48" spans="1:51">
      <c r="L48" t="s">
        <v>501</v>
      </c>
      <c r="N48" s="7"/>
      <c r="O48" s="2">
        <v>1</v>
      </c>
    </row>
    <row r="49" spans="7:34">
      <c r="N49" s="7"/>
      <c r="O49" s="7"/>
    </row>
    <row r="50" spans="7:34">
      <c r="G50" s="67" t="s">
        <v>502</v>
      </c>
      <c r="H50" s="40"/>
      <c r="I50" s="40">
        <f>S47/R47</f>
        <v>-0.1198533933838586</v>
      </c>
      <c r="J50" s="40"/>
      <c r="K50" s="68" t="s">
        <v>879</v>
      </c>
      <c r="L50" s="40"/>
      <c r="M50" s="42"/>
      <c r="N50" s="7"/>
      <c r="O50" s="69" t="s">
        <v>503</v>
      </c>
      <c r="P50" s="70">
        <f>T47-((S47^2)/R47)</f>
        <v>17.026518649031125</v>
      </c>
      <c r="Q50" s="71" t="s">
        <v>824</v>
      </c>
      <c r="R50" s="28"/>
      <c r="S50" s="29"/>
      <c r="T50" s="30"/>
      <c r="U50" s="31"/>
      <c r="AF50" s="2" t="s">
        <v>1518</v>
      </c>
    </row>
    <row r="51" spans="7:34">
      <c r="G51" s="43" t="s">
        <v>504</v>
      </c>
      <c r="H51" s="31"/>
      <c r="I51" s="31">
        <f>1/R47</f>
        <v>1.2754184320567146E-2</v>
      </c>
      <c r="J51" s="31"/>
      <c r="K51" s="31"/>
      <c r="L51" s="31"/>
      <c r="M51" s="44"/>
      <c r="N51" s="7"/>
      <c r="O51" s="30" t="s">
        <v>505</v>
      </c>
      <c r="P51" s="31">
        <f>CHIDIST(P50,I55-1)</f>
        <v>9.1862769021725174E-3</v>
      </c>
      <c r="Q51" s="31"/>
      <c r="R51" s="31"/>
      <c r="S51" s="34"/>
      <c r="T51" s="30"/>
      <c r="U51" s="31"/>
      <c r="AF51" s="2"/>
    </row>
    <row r="52" spans="7:34">
      <c r="G52" s="72" t="s">
        <v>506</v>
      </c>
      <c r="H52" s="31"/>
      <c r="I52" s="31">
        <f>$R$62*SQRT(I51)</f>
        <v>0.22135147274389377</v>
      </c>
      <c r="J52" s="31"/>
      <c r="K52" s="31" t="s">
        <v>507</v>
      </c>
      <c r="L52" s="31"/>
      <c r="M52" s="44">
        <f>ABS(I50/SQRT(I51))</f>
        <v>1.0612653628203301</v>
      </c>
      <c r="N52" s="7"/>
      <c r="O52" s="35" t="s">
        <v>508</v>
      </c>
      <c r="P52" s="37">
        <f>IF(((P50-(I55-1))/P50)&lt;0,0,100*((P50-(I55-1))/P50))</f>
        <v>64.760852622438918</v>
      </c>
      <c r="Q52" s="36"/>
      <c r="R52" s="36"/>
      <c r="S52" s="38"/>
      <c r="T52" s="30"/>
      <c r="U52" s="31"/>
      <c r="AF52" s="2" t="s">
        <v>1535</v>
      </c>
      <c r="AH52">
        <f>IF($D$6=1,100*((EXP(I50))-1),I50)</f>
        <v>-0.1198533933838586</v>
      </c>
    </row>
    <row r="53" spans="7:34">
      <c r="G53" s="45" t="s">
        <v>509</v>
      </c>
      <c r="H53" s="46"/>
      <c r="I53" s="46">
        <v>-2</v>
      </c>
      <c r="J53" s="46"/>
      <c r="K53" s="46" t="s">
        <v>825</v>
      </c>
      <c r="L53" s="46"/>
      <c r="M53" s="47">
        <f>2*(1-NORMDIST(M52,0,1,1))</f>
        <v>0.28856932214151421</v>
      </c>
      <c r="N53" s="7"/>
      <c r="O53" s="7"/>
      <c r="AF53" s="79" t="s">
        <v>834</v>
      </c>
      <c r="AH53">
        <f>IF($D$6=1,100*(EXP(I50+I52)-EXP(I50)),I52)</f>
        <v>0.22135147274389377</v>
      </c>
    </row>
    <row r="54" spans="7:34">
      <c r="G54" s="40"/>
      <c r="H54" s="40"/>
      <c r="I54" s="40"/>
      <c r="J54" s="40"/>
      <c r="K54" s="40"/>
      <c r="L54" s="40"/>
      <c r="M54" s="40"/>
      <c r="N54" s="7"/>
      <c r="O54" s="7"/>
      <c r="AF54" s="79" t="s">
        <v>835</v>
      </c>
      <c r="AH54">
        <f>IF($D$6=1,100*(EXP(I50)-EXP(I50-I52)),I52)</f>
        <v>0.22135147274389377</v>
      </c>
    </row>
    <row r="55" spans="7:34">
      <c r="G55" s="73" t="s">
        <v>1110</v>
      </c>
      <c r="H55" s="74"/>
      <c r="I55" s="74">
        <f>O47</f>
        <v>7</v>
      </c>
      <c r="J55" s="74"/>
      <c r="K55" s="75" t="s">
        <v>1167</v>
      </c>
      <c r="L55" s="74"/>
      <c r="M55" s="76"/>
      <c r="N55" s="77"/>
      <c r="O55" s="101" t="s">
        <v>1513</v>
      </c>
      <c r="P55" s="102"/>
      <c r="Q55" s="103"/>
      <c r="AF55" s="7"/>
    </row>
    <row r="56" spans="7:34">
      <c r="G56" s="77" t="s">
        <v>1531</v>
      </c>
      <c r="H56" s="31"/>
      <c r="I56" s="31">
        <f>R47/I55</f>
        <v>11.200805889779579</v>
      </c>
      <c r="J56" s="31"/>
      <c r="K56" s="31"/>
      <c r="L56" s="31"/>
      <c r="M56" s="78"/>
      <c r="N56" s="77"/>
      <c r="O56" s="104" t="s">
        <v>1514</v>
      </c>
      <c r="P56" s="31"/>
      <c r="Q56" s="105">
        <f>INDEX(LINEST(AL39:AL45,AK39:AK45,TRUE,TRUE),1,2)</f>
        <v>-2.9332502546913273</v>
      </c>
      <c r="AF56" s="2" t="s">
        <v>1687</v>
      </c>
      <c r="AH56">
        <f>IF($D$6=1,100*((EXP(I61))-1),I61)</f>
        <v>-0.34797138663360683</v>
      </c>
    </row>
    <row r="57" spans="7:34">
      <c r="G57" s="77" t="s">
        <v>1532</v>
      </c>
      <c r="H57" s="31"/>
      <c r="I57" s="31">
        <f>(1/(I55-1))*(U47-(I55*I56^2))</f>
        <v>156.41971125719471</v>
      </c>
      <c r="J57" s="31"/>
      <c r="K57" s="31"/>
      <c r="L57" s="31"/>
      <c r="M57" s="78"/>
      <c r="N57" s="77"/>
      <c r="O57" s="104" t="s">
        <v>1516</v>
      </c>
      <c r="P57" s="31"/>
      <c r="Q57" s="105">
        <f>INDEX(LINEST(AL39:AL45,AK39:AK45,TRUE,TRUE),2,2)</f>
        <v>1.0457419528902705</v>
      </c>
      <c r="AF57" s="79" t="s">
        <v>834</v>
      </c>
      <c r="AG57" s="7"/>
      <c r="AH57">
        <f>IF($D$6=1,100*(EXP(I61+I63)-EXP(I61)),I63)</f>
        <v>0.42969557537672387</v>
      </c>
    </row>
    <row r="58" spans="7:34">
      <c r="G58" s="77" t="s">
        <v>1669</v>
      </c>
      <c r="H58" s="31"/>
      <c r="I58" s="31">
        <f>(I55-1)*(I56-(I57/(I55*I56)))</f>
        <v>55.234800366212554</v>
      </c>
      <c r="J58" s="31"/>
      <c r="K58" s="31"/>
      <c r="L58" s="31"/>
      <c r="M58" s="78"/>
      <c r="N58" s="77"/>
      <c r="O58" s="104" t="s">
        <v>1349</v>
      </c>
      <c r="P58" s="31"/>
      <c r="Q58" s="105">
        <f>ABS(Q56/Q57)</f>
        <v>2.8049465229775596</v>
      </c>
      <c r="AF58" s="79" t="s">
        <v>835</v>
      </c>
      <c r="AH58">
        <f>IF($D$6=1,100*(EXP(I61)-EXP(I61-I63)),I63)</f>
        <v>0.42969557537672387</v>
      </c>
    </row>
    <row r="59" spans="7:34">
      <c r="G59" s="77" t="s">
        <v>1685</v>
      </c>
      <c r="H59" s="31"/>
      <c r="I59" s="31">
        <f>IF(P50&gt;(I55-1),(P50-(I55-1))/I58,0)</f>
        <v>0.19962991765923191</v>
      </c>
      <c r="J59" s="31"/>
      <c r="K59" s="31"/>
      <c r="L59" s="31"/>
      <c r="M59" s="78"/>
      <c r="N59" s="77"/>
      <c r="O59" s="106" t="s">
        <v>1515</v>
      </c>
      <c r="P59" s="107"/>
      <c r="Q59" s="108">
        <f>TDIST(Q58,I55-2,2)</f>
        <v>3.7772581661597332E-2</v>
      </c>
    </row>
    <row r="60" spans="7:34">
      <c r="G60" s="77"/>
      <c r="H60" s="31"/>
      <c r="I60" s="31"/>
      <c r="J60" s="31"/>
      <c r="K60" s="31"/>
      <c r="L60" s="31"/>
      <c r="M60" s="78"/>
      <c r="N60" s="77"/>
    </row>
    <row r="61" spans="7:34">
      <c r="G61" s="77" t="s">
        <v>1686</v>
      </c>
      <c r="H61" s="31"/>
      <c r="I61" s="31">
        <f>W47/V47</f>
        <v>-0.34797138663360683</v>
      </c>
      <c r="J61" s="31"/>
      <c r="N61" s="77"/>
    </row>
    <row r="62" spans="7:34">
      <c r="G62" s="77" t="s">
        <v>504</v>
      </c>
      <c r="H62" s="31"/>
      <c r="I62" s="31">
        <f>1/V47</f>
        <v>4.8062861177200593E-2</v>
      </c>
      <c r="J62" s="31"/>
      <c r="N62" s="77"/>
      <c r="O62" t="s">
        <v>805</v>
      </c>
      <c r="R62">
        <v>1.96</v>
      </c>
    </row>
    <row r="63" spans="7:34">
      <c r="G63" s="80" t="s">
        <v>506</v>
      </c>
      <c r="H63" s="31"/>
      <c r="I63" s="31">
        <f>$R$62*SQRT(I62)</f>
        <v>0.42969557537672387</v>
      </c>
      <c r="J63" s="31"/>
      <c r="K63" s="31" t="s">
        <v>507</v>
      </c>
      <c r="L63" s="31"/>
      <c r="M63" s="78">
        <f>ABS(I61/(SQRT(I62)))</f>
        <v>1.5872258335541936</v>
      </c>
      <c r="N63" s="77"/>
    </row>
    <row r="64" spans="7:34">
      <c r="G64" s="81" t="s">
        <v>509</v>
      </c>
      <c r="H64" s="82"/>
      <c r="I64" s="82">
        <v>-3</v>
      </c>
      <c r="J64" s="82"/>
      <c r="K64" s="31" t="s">
        <v>825</v>
      </c>
      <c r="L64" s="31"/>
      <c r="M64" s="78">
        <f>2*(1-NORMDIST(M63,0,1,1))</f>
        <v>0.11246150584124948</v>
      </c>
      <c r="N64" s="77"/>
    </row>
    <row r="65" spans="7:15">
      <c r="G65" s="74"/>
      <c r="H65" s="74"/>
      <c r="I65" s="74"/>
      <c r="J65" s="74"/>
      <c r="K65" s="74"/>
      <c r="L65" s="74"/>
      <c r="M65" s="74"/>
      <c r="N65" s="31"/>
      <c r="O65" s="7"/>
    </row>
  </sheetData>
  <phoneticPr fontId="10" type="noConversion"/>
  <conditionalFormatting sqref="D17 D13 F13">
    <cfRule type="cellIs" dxfId="34" priority="0" stopIfTrue="1" operator="lessThan">
      <formula>0.05</formula>
    </cfRule>
  </conditionalFormatting>
  <conditionalFormatting sqref="D21">
    <cfRule type="cellIs" dxfId="3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3.xml><?xml version="1.0" encoding="utf-8"?>
<worksheet xmlns="http://schemas.openxmlformats.org/spreadsheetml/2006/main" xmlns:r="http://schemas.openxmlformats.org/officeDocument/2006/relationships">
  <sheetPr published="0" codeName="Sheet41" enableFormatConditionsCalculation="0"/>
  <dimension ref="A1:BM6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2409</v>
      </c>
      <c r="D1" s="10"/>
      <c r="F1" s="1" t="s">
        <v>733</v>
      </c>
    </row>
    <row r="3" spans="2:30">
      <c r="B3" t="s">
        <v>1509</v>
      </c>
      <c r="D3">
        <f>Summary!C75</f>
        <v>1</v>
      </c>
      <c r="E3" t="s">
        <v>1834</v>
      </c>
      <c r="F3" s="24" t="str">
        <f>IF(D3=1,"Pooled SD","Control SD only")</f>
        <v>Pooled SD</v>
      </c>
    </row>
    <row r="4" spans="2:30">
      <c r="B4" t="s">
        <v>1642</v>
      </c>
      <c r="D4" s="25" t="s">
        <v>1441</v>
      </c>
      <c r="E4" t="s">
        <v>1834</v>
      </c>
      <c r="F4" s="26" t="str">
        <f>IF($D$4="Total","Total",IF($D$4="Left","Left",IF($D$4="Right","Right","Error: enter Total, Left or Right")))</f>
        <v>Right</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I52-O45</f>
        <v>5</v>
      </c>
      <c r="AD7" s="89"/>
    </row>
    <row r="8" spans="2:30">
      <c r="B8" t="s">
        <v>822</v>
      </c>
      <c r="D8">
        <f>SUM(H24:H29)</f>
        <v>154</v>
      </c>
      <c r="AD8" s="89"/>
    </row>
    <row r="9" spans="2:30">
      <c r="B9" t="s">
        <v>823</v>
      </c>
      <c r="D9">
        <f>SUM(I24:I29)</f>
        <v>152</v>
      </c>
      <c r="AD9" s="89"/>
    </row>
    <row r="11" spans="2:30">
      <c r="B11" s="27" t="s">
        <v>516</v>
      </c>
      <c r="C11" s="28"/>
      <c r="D11" s="109">
        <f>P47</f>
        <v>5.0974310627583863</v>
      </c>
      <c r="E11" s="110" t="s">
        <v>1513</v>
      </c>
      <c r="F11" s="103"/>
    </row>
    <row r="12" spans="2:30">
      <c r="B12" s="30" t="s">
        <v>826</v>
      </c>
      <c r="C12" s="31"/>
      <c r="D12" s="112">
        <f>P49</f>
        <v>1.9113757804438691</v>
      </c>
      <c r="E12" s="31"/>
      <c r="F12" s="105"/>
    </row>
    <row r="13" spans="2:30">
      <c r="B13" s="35" t="s">
        <v>825</v>
      </c>
      <c r="C13" s="36"/>
      <c r="D13" s="113">
        <f>P48</f>
        <v>0.40410579405259989</v>
      </c>
      <c r="E13" s="111" t="s">
        <v>825</v>
      </c>
      <c r="F13" s="115">
        <f>Q56</f>
        <v>8.9567823034950745E-3</v>
      </c>
    </row>
    <row r="15" spans="2:30">
      <c r="B15" s="39" t="s">
        <v>879</v>
      </c>
      <c r="C15" s="40"/>
      <c r="D15" s="41">
        <f>AH49</f>
        <v>-5.832631982696318E-2</v>
      </c>
      <c r="E15" s="116"/>
    </row>
    <row r="16" spans="2:30">
      <c r="B16" s="43" t="s">
        <v>1165</v>
      </c>
      <c r="C16" s="31"/>
      <c r="D16" s="33">
        <f>AH49-AH51</f>
        <v>-0.2913269008302759</v>
      </c>
      <c r="E16" s="117">
        <f>AH49+AH50</f>
        <v>0.17467426117634952</v>
      </c>
    </row>
    <row r="17" spans="1:65">
      <c r="B17" s="45" t="s">
        <v>1166</v>
      </c>
      <c r="C17" s="46"/>
      <c r="D17" s="123">
        <f>M50</f>
        <v>0.62368053808873247</v>
      </c>
      <c r="E17" s="118"/>
    </row>
    <row r="18" spans="1:65">
      <c r="D18" s="48"/>
      <c r="F18" s="49"/>
    </row>
    <row r="19" spans="1:65">
      <c r="B19" s="50" t="s">
        <v>1167</v>
      </c>
      <c r="C19" s="51"/>
      <c r="D19" s="52">
        <f>AH53</f>
        <v>-6.6205143843077408E-2</v>
      </c>
      <c r="E19" s="120"/>
      <c r="F19" s="33"/>
      <c r="G19" s="31"/>
    </row>
    <row r="20" spans="1:65">
      <c r="B20" s="53" t="s">
        <v>1165</v>
      </c>
      <c r="C20" s="31"/>
      <c r="D20" s="33">
        <f>AH53-AH55</f>
        <v>-0.30515364153882307</v>
      </c>
      <c r="E20" s="121">
        <f>AH53+AH54</f>
        <v>0.17274335385266826</v>
      </c>
      <c r="F20" s="31"/>
      <c r="G20" s="31"/>
    </row>
    <row r="21" spans="1:65">
      <c r="B21" s="54" t="s">
        <v>1440</v>
      </c>
      <c r="C21" s="55"/>
      <c r="D21" s="114">
        <f>M61</f>
        <v>0.58709220682725261</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11958786</v>
      </c>
      <c r="C24" s="1" t="str">
        <f>IF($B24="","",HYPERLINK(IF(LEN(VLOOKUP($B24,Database!$B$1:$IX$10144,2,FALSE))=0,"",VLOOKUP($B24,Database!$B$1:$IX$10144,2,FALSE))))</f>
        <v/>
      </c>
      <c r="D24" s="1" t="str">
        <f t="shared" ref="D24:D32" si="0">IF($B24="","",HYPERLINK(CONCATENATE("http://www.ncbi.nlm.nih.gov/pubmed/",B24)))</f>
        <v>http://www.ncbi.nlm.nih.gov/pubmed/11958786</v>
      </c>
      <c r="E24" s="22" t="str">
        <f>IF($B24="","",IF(LEN(VLOOKUP($B24,Database!$B$1:$IX$10144,4,FALSE))=0,"",VLOOKUP($B24,Database!$B$1:$IX$10144,4,FALSE)))</f>
        <v>Botteron KN</v>
      </c>
      <c r="F24" s="22">
        <f>IF($B24="","",IF(LEN(VLOOKUP($B24,Database!$B$1:$IX$10144,5,FALSE))=0,"",VLOOKUP($B24,Database!$B$1:$IX$10144,5,FALSE)))</f>
        <v>2002</v>
      </c>
      <c r="G24" s="1" t="str">
        <f>IF($B24="","",HYPERLINK(IF(LEN(VLOOKUP($B24,Database!$B$1:$IX$10144,6,FALSE))=0,"",VLOOKUP($B24,Database!$B$1:$IX$10144,6,FALSE))))</f>
        <v>http://dx.doi.org/10.1016/S0006-3223(01)01280-X</v>
      </c>
      <c r="H24" s="83">
        <v>30</v>
      </c>
      <c r="I24" s="83">
        <v>8</v>
      </c>
      <c r="J24" t="s">
        <v>1570</v>
      </c>
      <c r="K24" t="s">
        <v>1569</v>
      </c>
      <c r="L24">
        <v>0.28999999999999998</v>
      </c>
      <c r="M24">
        <v>0.11</v>
      </c>
      <c r="N24">
        <v>0.36</v>
      </c>
      <c r="O24">
        <v>0.14000000000000001</v>
      </c>
      <c r="P24">
        <v>0.33</v>
      </c>
      <c r="Q24">
        <v>0.11</v>
      </c>
      <c r="R24">
        <v>0.36</v>
      </c>
      <c r="S24">
        <v>0.14000000000000001</v>
      </c>
      <c r="X24" s="142"/>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t="str">
        <f>IF(OR($B24="",AB$22=""),"",IF(LEN(VLOOKUP($B24,Database!$B$1:$IX$10144,AB$22,FALSE))=0,"",VLOOKUP($B24,Database!$B$1:$IX$10144,AB$22,FALSE)))</f>
        <v/>
      </c>
      <c r="AC24" s="22" t="str">
        <f>IF(OR($B24="",AC$22=""),"",IF(LEN(VLOOKUP($B24,Database!$B$1:$IX$10144,AC$22,FALSE))=0,"",VLOOKUP($B24,Database!$B$1:$IX$10144,AC$22,FALSE)))</f>
        <v/>
      </c>
      <c r="AD24" s="22" t="str">
        <f>IF(OR($B24="",AD$22=""),"",IF(LEN(VLOOKUP($B24,Database!$B$1:$IX$10144,AD$22,FALSE))=0,"",VLOOKUP($B24,Database!$B$1:$IX$10144,AD$22,FALSE)))</f>
        <v/>
      </c>
      <c r="AE24" s="22" t="str">
        <f>IF(OR($B24="",AE$22=""),"",IF(LEN(VLOOKUP($B24,Database!$B$1:$IX$10144,AE$22,FALSE))=0,"",VLOOKUP($B24,Database!$B$1:$IX$10144,AE$22,FALSE)))</f>
        <v/>
      </c>
      <c r="AF24" s="22">
        <f>IF(OR($B24="",AF$22=""),"",IF(LEN(VLOOKUP($B24,Database!$B$1:$IX$10144,AF$22,FALSE))=0,"",VLOOKUP($B24,Database!$B$1:$IX$10144,AF$22,FALSE)))</f>
        <v>48</v>
      </c>
      <c r="AG24" s="22">
        <f>IF(OR($B24="",AG$22=""),"",IF(LEN(VLOOKUP($B24,Database!$B$1:$IX$10144,AG$22,FALSE))=0,"",VLOOKUP($B24,Database!$B$1:$IX$10144,AG$22,FALSE)))</f>
        <v>48</v>
      </c>
      <c r="AH24" s="22">
        <f>IF(OR($B24="",AH$22=""),"",IF(LEN(VLOOKUP($B24,Database!$B$1:$IX$10144,AH$22,FALSE))=0,"",VLOOKUP($B24,Database!$B$1:$IX$10144,AH$22,FALSE)))</f>
        <v>1.5</v>
      </c>
      <c r="AI24" s="22">
        <f>IF(OR($B24="",AI$22=""),"",IF(LEN(VLOOKUP($B24,Database!$B$1:$IX$10144,AI$22,FALSE))=0,"",VLOOKUP($B24,Database!$B$1:$IX$10144,AI$22,FALSE)))</f>
        <v>1</v>
      </c>
      <c r="AJ24" s="22" t="str">
        <f>IF(OR($B24="",AJ$22=""),"",IF(LEN(VLOOKUP($B24,Database!$B$1:$IX$10144,AJ$22,FALSE))=0,"",VLOOKUP($B24,Database!$B$1:$IX$10144,AJ$22,FALSE)))</f>
        <v/>
      </c>
      <c r="AK24" s="22">
        <f>IF(OR($B24="",AK$22=""),"",IF(LEN(VLOOKUP($B24,Database!$B$1:$IX$10144,AK$22,FALSE))=0,"",VLOOKUP($B24,Database!$B$1:$IX$10144,AK$22,FALSE)))</f>
        <v>15.2</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Botteron KN, Raichle ME, Drevets WC, Heath AC, Todd RD.</v>
      </c>
      <c r="AR24" s="13"/>
      <c r="AX24" s="13"/>
      <c r="AY24" s="13"/>
      <c r="AZ24" s="13"/>
      <c r="BA24" s="13"/>
      <c r="BC24" s="23"/>
      <c r="BF24" s="136"/>
      <c r="BG24" s="136"/>
      <c r="BH24" s="136"/>
      <c r="BI24" s="136"/>
    </row>
    <row r="25" spans="1:65">
      <c r="B25">
        <v>12431853</v>
      </c>
      <c r="C25" s="1" t="str">
        <f>IF($B25="","",HYPERLINK(IF(LEN(VLOOKUP($B25,Database!$B$1:$IX$10144,2,FALSE))=0,"",VLOOKUP($B25,Database!$B$1:$IX$10144,2,FALSE))))</f>
        <v/>
      </c>
      <c r="D25" s="1" t="str">
        <f t="shared" si="0"/>
        <v>http://www.ncbi.nlm.nih.gov/pubmed/12431853</v>
      </c>
      <c r="E25" s="22" t="str">
        <f>IF($B25="","",IF(LEN(VLOOKUP($B25,Database!$B$1:$IX$10144,4,FALSE))=0,"",VLOOKUP($B25,Database!$B$1:$IX$10144,4,FALSE)))</f>
        <v>Brambilla P</v>
      </c>
      <c r="F25" s="22">
        <f>IF($B25="","",IF(LEN(VLOOKUP($B25,Database!$B$1:$IX$10144,5,FALSE))=0,"",VLOOKUP($B25,Database!$B$1:$IX$10144,5,FALSE)))</f>
        <v>2002</v>
      </c>
      <c r="G25" s="1" t="str">
        <f>IF($B25="","",HYPERLINK(IF(LEN(VLOOKUP($B25,Database!$B$1:$IX$10144,6,FALSE))=0,"",VLOOKUP($B25,Database!$B$1:$IX$10144,6,FALSE))))</f>
        <v>http://www.nature.com/npp/journal/v27/n5/pdf/1395942a.pdf</v>
      </c>
      <c r="H25" s="22">
        <f>IF($B25="","",IF(LEN(VLOOKUP($B25,Database!$B$1:$IX$10144,7,FALSE))=0,"",VLOOKUP($B25,Database!$B$1:$IX$10144,7,FALSE)))</f>
        <v>18</v>
      </c>
      <c r="I25" s="22">
        <f>IF($B25="","",IF(LEN(VLOOKUP($B25,Database!$B$1:$IX$10144,8,FALSE))=0,"",VLOOKUP($B25,Database!$B$1:$IX$10144,8,FALSE)))</f>
        <v>38</v>
      </c>
      <c r="J25" t="s">
        <v>1571</v>
      </c>
      <c r="L25">
        <v>300.2</v>
      </c>
      <c r="M25">
        <v>82.3</v>
      </c>
      <c r="N25">
        <v>290</v>
      </c>
      <c r="O25">
        <v>77</v>
      </c>
      <c r="P25">
        <v>295.39999999999998</v>
      </c>
      <c r="Q25">
        <v>62.1</v>
      </c>
      <c r="R25">
        <v>313.7</v>
      </c>
      <c r="S25">
        <v>76.2</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c r="AC25" s="22"/>
      <c r="AD25" s="22">
        <f>IF(OR($B25="",AD$22=""),"",IF(LEN(VLOOKUP($B25,Database!$B$1:$IX$10144,AD$22,FALSE))=0,"",VLOOKUP($B25,Database!$B$1:$IX$10144,AD$22,FALSE)))</f>
        <v>37</v>
      </c>
      <c r="AE25" s="22">
        <f>IF(OR($B25="",AE$22=""),"",IF(LEN(VLOOKUP($B25,Database!$B$1:$IX$10144,AE$22,FALSE))=0,"",VLOOKUP($B25,Database!$B$1:$IX$10144,AE$22,FALSE)))</f>
        <v>10</v>
      </c>
      <c r="AF25" s="22">
        <f>IF(OR($B25="",AF$22=""),"",IF(LEN(VLOOKUP($B25,Database!$B$1:$IX$10144,AF$22,FALSE))=0,"",VLOOKUP($B25,Database!$B$1:$IX$10144,AF$22,FALSE)))</f>
        <v>17</v>
      </c>
      <c r="AG25" s="22">
        <f>IF(OR($B25="",AG$22=""),"",IF(LEN(VLOOKUP($B25,Database!$B$1:$IX$10144,AG$22,FALSE))=0,"",VLOOKUP($B25,Database!$B$1:$IX$10144,AG$22,FALSE)))</f>
        <v>14</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Brambilla P, Nicoletti MA, Harenski K, Sassi RB, Mallinger AG, Frank E, Kupfer DJ, Keshavan MS, Soares JC.</v>
      </c>
      <c r="AR25" s="13"/>
      <c r="AX25" s="13"/>
      <c r="AY25" s="13"/>
      <c r="AZ25" s="13"/>
      <c r="BA25" s="13"/>
      <c r="BC25" s="23"/>
      <c r="BF25" s="136"/>
      <c r="BG25" s="136"/>
      <c r="BH25" s="136"/>
      <c r="BI25" s="136"/>
    </row>
    <row r="26" spans="1:65">
      <c r="A26" s="2"/>
      <c r="B26">
        <v>14997169</v>
      </c>
      <c r="C26" s="1" t="str">
        <f>IF($B26="","",HYPERLINK(IF(LEN(VLOOKUP($B26,Database!$B$1:$IX$10144,2,FALSE))=0,"",VLOOKUP($B26,Database!$B$1:$IX$10144,2,FALSE))))</f>
        <v/>
      </c>
      <c r="D26" s="1" t="str">
        <f t="shared" si="0"/>
        <v>http://www.ncbi.nlm.nih.gov/pubmed/14997169</v>
      </c>
      <c r="E26" s="22" t="str">
        <f>IF($B26="","",IF(LEN(VLOOKUP($B26,Database!$B$1:$IX$10144,4,FALSE))=0,"",VLOOKUP($B26,Database!$B$1:$IX$10144,4,FALSE)))</f>
        <v>Hastings RS</v>
      </c>
      <c r="F26" s="22">
        <f>IF($B26="","",IF(LEN(VLOOKUP($B26,Database!$B$1:$IX$10144,5,FALSE))=0,"",VLOOKUP($B26,Database!$B$1:$IX$10144,5,FALSE)))</f>
        <v>2004</v>
      </c>
      <c r="G26" s="1" t="str">
        <f>IF($B26="","",HYPERLINK(IF(LEN(VLOOKUP($B26,Database!$B$1:$IX$10144,6,FALSE))=0,"",VLOOKUP($B26,Database!$B$1:$IX$10144,6,FALSE))))</f>
        <v>http://www.nature.com/npp/journal/v29/n5/pdf/1300371a.pdf</v>
      </c>
      <c r="H26" s="83">
        <v>8</v>
      </c>
      <c r="I26" s="83">
        <v>8</v>
      </c>
      <c r="J26" t="s">
        <v>104</v>
      </c>
      <c r="K26" t="s">
        <v>1367</v>
      </c>
      <c r="L26">
        <v>639</v>
      </c>
      <c r="M26">
        <v>105</v>
      </c>
      <c r="N26">
        <v>817</v>
      </c>
      <c r="O26">
        <v>193</v>
      </c>
      <c r="P26">
        <v>729</v>
      </c>
      <c r="Q26">
        <v>104</v>
      </c>
      <c r="R26">
        <v>827</v>
      </c>
      <c r="S26">
        <v>150</v>
      </c>
      <c r="Y26" s="22" t="str">
        <f>IF(OR($B26="",Y$22=""),"",IF(LEN(VLOOKUP($B26,Database!$B$1:$IX$10144,Y$22,FALSE))=0,"",VLOOKUP($B26,Database!$B$1:$IX$10144,Y$22,FALSE)))</f>
        <v>DSM-III-R</v>
      </c>
      <c r="Z26" s="22" t="str">
        <f>IF(OR($B26="",Z$22=""),"",IF(LEN(VLOOKUP($B26,Database!$B$1:$IX$10144,Z$22,FALSE))=0,"",VLOOKUP($B26,Database!$B$1:$IX$10144,Z$22,FALSE)))</f>
        <v>MRI</v>
      </c>
      <c r="AA26" s="214" t="s">
        <v>1367</v>
      </c>
      <c r="AB26" s="22">
        <f>IF(OR($B26="",AB$22=""),"",IF(LEN(VLOOKUP($B26,Database!$B$1:$IX$10144,AB$22,FALSE))=0,"",VLOOKUP($B26,Database!$B$1:$IX$10144,AB$22,FALSE)))</f>
        <v>38.9</v>
      </c>
      <c r="AC26" s="22">
        <f>IF(OR($B26="",AC$22=""),"",IF(LEN(VLOOKUP($B26,Database!$B$1:$IX$10144,AC$22,FALSE))=0,"",VLOOKUP($B26,Database!$B$1:$IX$10144,AC$22,FALSE)))</f>
        <v>11.4</v>
      </c>
      <c r="AD26" s="22">
        <f>IF(OR($B26="",AD$22=""),"",IF(LEN(VLOOKUP($B26,Database!$B$1:$IX$10144,AD$22,FALSE))=0,"",VLOOKUP($B26,Database!$B$1:$IX$10144,AD$22,FALSE)))</f>
        <v>34.799999999999997</v>
      </c>
      <c r="AE26" s="22">
        <f>IF(OR($B26="",AE$22=""),"",IF(LEN(VLOOKUP($B26,Database!$B$1:$IX$10144,AE$22,FALSE))=0,"",VLOOKUP($B26,Database!$B$1:$IX$10144,AE$22,FALSE)))</f>
        <v>13.6</v>
      </c>
      <c r="AF26" s="214">
        <v>0</v>
      </c>
      <c r="AG26" s="214">
        <v>0</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23</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Hastings RS, Parsey RV, Oquendo MA, Arango V, Mann JJ.</v>
      </c>
      <c r="AR26" s="13"/>
      <c r="AU26" s="22"/>
      <c r="AX26" s="13"/>
      <c r="AY26" s="13"/>
      <c r="AZ26" s="13"/>
      <c r="BA26" s="13"/>
      <c r="BC26" s="23"/>
      <c r="BF26" s="136"/>
      <c r="BG26" s="136"/>
      <c r="BH26" s="136"/>
      <c r="BI26" s="136"/>
    </row>
    <row r="27" spans="1:65">
      <c r="A27" s="2"/>
      <c r="B27">
        <v>14997169</v>
      </c>
      <c r="C27" s="1" t="str">
        <f>IF($B27="","",HYPERLINK(IF(LEN(VLOOKUP($B27,Database!$B$1:$IX$10144,2,FALSE))=0,"",VLOOKUP($B27,Database!$B$1:$IX$10144,2,FALSE))))</f>
        <v/>
      </c>
      <c r="D27" s="1" t="str">
        <f t="shared" si="0"/>
        <v>http://www.ncbi.nlm.nih.gov/pubmed/14997169</v>
      </c>
      <c r="E27" s="22" t="str">
        <f>IF($B27="","",IF(LEN(VLOOKUP($B27,Database!$B$1:$IX$10144,4,FALSE))=0,"",VLOOKUP($B27,Database!$B$1:$IX$10144,4,FALSE)))</f>
        <v>Hastings RS</v>
      </c>
      <c r="F27" s="22">
        <f>IF($B27="","",IF(LEN(VLOOKUP($B27,Database!$B$1:$IX$10144,5,FALSE))=0,"",VLOOKUP($B27,Database!$B$1:$IX$10144,5,FALSE)))</f>
        <v>2004</v>
      </c>
      <c r="G27" s="1" t="str">
        <f>IF($B27="","",HYPERLINK(IF(LEN(VLOOKUP($B27,Database!$B$1:$IX$10144,6,FALSE))=0,"",VLOOKUP($B27,Database!$B$1:$IX$10144,6,FALSE))))</f>
        <v>http://www.nature.com/npp/journal/v29/n5/pdf/1300371a.pdf</v>
      </c>
      <c r="H27" s="83">
        <v>10</v>
      </c>
      <c r="I27" s="83">
        <v>10</v>
      </c>
      <c r="J27" t="s">
        <v>104</v>
      </c>
      <c r="K27" t="s">
        <v>1368</v>
      </c>
      <c r="L27">
        <v>636</v>
      </c>
      <c r="M27">
        <v>156</v>
      </c>
      <c r="N27">
        <v>715</v>
      </c>
      <c r="O27">
        <v>160</v>
      </c>
      <c r="P27">
        <v>680</v>
      </c>
      <c r="Q27">
        <v>188</v>
      </c>
      <c r="R27">
        <v>769</v>
      </c>
      <c r="S27">
        <v>158</v>
      </c>
      <c r="Y27" s="22" t="str">
        <f>IF(OR($B27="",Y$22=""),"",IF(LEN(VLOOKUP($B27,Database!$B$1:$IX$10144,Y$22,FALSE))=0,"",VLOOKUP($B27,Database!$B$1:$IX$10144,Y$22,FALSE)))</f>
        <v>DSM-III-R</v>
      </c>
      <c r="Z27" s="22" t="str">
        <f>IF(OR($B27="",Z$22=""),"",IF(LEN(VLOOKUP($B27,Database!$B$1:$IX$10144,Z$22,FALSE))=0,"",VLOOKUP($B27,Database!$B$1:$IX$10144,Z$22,FALSE)))</f>
        <v>MRI</v>
      </c>
      <c r="AA27" s="214" t="s">
        <v>1368</v>
      </c>
      <c r="AB27" s="22">
        <f>IF(OR($B27="",AB$22=""),"",IF(LEN(VLOOKUP($B27,Database!$B$1:$IX$10144,AB$22,FALSE))=0,"",VLOOKUP($B27,Database!$B$1:$IX$10144,AB$22,FALSE)))</f>
        <v>38.9</v>
      </c>
      <c r="AC27" s="22">
        <f>IF(OR($B27="",AC$22=""),"",IF(LEN(VLOOKUP($B27,Database!$B$1:$IX$10144,AC$22,FALSE))=0,"",VLOOKUP($B27,Database!$B$1:$IX$10144,AC$22,FALSE)))</f>
        <v>11.4</v>
      </c>
      <c r="AD27" s="22">
        <f>IF(OR($B27="",AD$22=""),"",IF(LEN(VLOOKUP($B27,Database!$B$1:$IX$10144,AD$22,FALSE))=0,"",VLOOKUP($B27,Database!$B$1:$IX$10144,AD$22,FALSE)))</f>
        <v>34.799999999999997</v>
      </c>
      <c r="AE27" s="22">
        <f>IF(OR($B27="",AE$22=""),"",IF(LEN(VLOOKUP($B27,Database!$B$1:$IX$10144,AE$22,FALSE))=0,"",VLOOKUP($B27,Database!$B$1:$IX$10144,AE$22,FALSE)))</f>
        <v>13.6</v>
      </c>
      <c r="AF27" s="22">
        <f>IF(OR($B27="",AF$22=""),"",IF(LEN(VLOOKUP($B27,Database!$B$1:$IX$10144,AF$22,FALSE))=0,"",VLOOKUP($B27,Database!$B$1:$IX$10144,AF$22,FALSE)))</f>
        <v>10</v>
      </c>
      <c r="AG27" s="22">
        <f>IF(OR($B27="",AG$22=""),"",IF(LEN(VLOOKUP($B27,Database!$B$1:$IX$10144,AG$22,FALSE))=0,"",VLOOKUP($B27,Database!$B$1:$IX$10144,AG$22,FALSE)))</f>
        <v>10</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23</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Hastings RS, Parsey RV, Oquendo MA, Arango V, Mann JJ.</v>
      </c>
      <c r="AR27" s="13"/>
      <c r="AU27" s="22"/>
      <c r="AX27" s="13"/>
      <c r="AY27" s="13"/>
      <c r="AZ27" s="13"/>
      <c r="BA27" s="13"/>
      <c r="BC27" s="23"/>
      <c r="BF27" s="136"/>
      <c r="BG27" s="136"/>
      <c r="BH27" s="136"/>
      <c r="BI27" s="136"/>
    </row>
    <row r="28" spans="1:65">
      <c r="A28" s="10"/>
      <c r="B28">
        <v>16135631</v>
      </c>
      <c r="C28" s="1" t="str">
        <f>IF($B28="","",HYPERLINK(IF(LEN(VLOOKUP($B28,Database!$B$1:$IX$10144,2,FALSE))=0,"",VLOOKUP($B28,Database!$B$1:$IX$10144,2,FALSE))))</f>
        <v/>
      </c>
      <c r="D28" s="1" t="str">
        <f>IF($B28="","",HYPERLINK(CONCATENATE("http://www.ncbi.nlm.nih.gov/pubmed/",B28)))</f>
        <v>http://www.ncbi.nlm.nih.gov/pubmed/16135631</v>
      </c>
      <c r="E28" s="22" t="str">
        <f>IF($B28="","",IF(LEN(VLOOKUP($B28,Database!$B$1:$IX$10144,4,FALSE))=0,"",VLOOKUP($B28,Database!$B$1:$IX$10144,4,FALSE)))</f>
        <v>Coryell W</v>
      </c>
      <c r="F28" s="22">
        <f>IF($B28="","",IF(LEN(VLOOKUP($B28,Database!$B$1:$IX$10144,5,FALSE))=0,"",VLOOKUP($B28,Database!$B$1:$IX$10144,5,FALSE)))</f>
        <v>2005</v>
      </c>
      <c r="G28" s="1" t="str">
        <f>IF($B28="","",HYPERLINK(IF(LEN(VLOOKUP($B28,Database!$B$1:$IX$10144,6,FALSE))=0,"",VLOOKUP($B28,Database!$B$1:$IX$10144,6,FALSE))))</f>
        <v>http://ajp.psychiatryonline.org/cgi/reprint/162/9/1706</v>
      </c>
      <c r="H28" s="22">
        <f>IF($B28="","",IF(LEN(VLOOKUP($B28,Database!$B$1:$IX$10144,7,FALSE))=0,"",VLOOKUP($B28,Database!$B$1:$IX$10144,7,FALSE)))</f>
        <v>10</v>
      </c>
      <c r="I28" s="22">
        <f>IF($B28="","",IF(LEN(VLOOKUP($B28,Database!$B$1:$IX$10144,8,FALSE))=0,"",VLOOKUP($B28,Database!$B$1:$IX$10144,8,FALSE)))</f>
        <v>10</v>
      </c>
      <c r="J28" t="s">
        <v>2269</v>
      </c>
      <c r="L28">
        <v>315</v>
      </c>
      <c r="M28">
        <v>117</v>
      </c>
      <c r="N28">
        <v>333</v>
      </c>
      <c r="O28">
        <v>134</v>
      </c>
      <c r="P28">
        <v>301</v>
      </c>
      <c r="Q28">
        <v>158</v>
      </c>
      <c r="R28">
        <v>321</v>
      </c>
      <c r="S28">
        <v>87</v>
      </c>
      <c r="X28" s="2"/>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21.9</v>
      </c>
      <c r="AC28" s="22">
        <f>IF(OR($B28="",AC$22=""),"",IF(LEN(VLOOKUP($B28,Database!$B$1:$IX$10144,AC$22,FALSE))=0,"",VLOOKUP($B28,Database!$B$1:$IX$10144,AC$22,FALSE)))</f>
        <v>4.9000000000000004</v>
      </c>
      <c r="AD28" s="22">
        <f>IF(OR($B28="",AD$22=""),"",IF(LEN(VLOOKUP($B28,Database!$B$1:$IX$10144,AD$22,FALSE))=0,"",VLOOKUP($B28,Database!$B$1:$IX$10144,AD$22,FALSE)))</f>
        <v>22.1</v>
      </c>
      <c r="AE28" s="22">
        <f>IF(OR($B28="",AE$22=""),"",IF(LEN(VLOOKUP($B28,Database!$B$1:$IX$10144,AE$22,FALSE))=0,"",VLOOKUP($B28,Database!$B$1:$IX$10144,AE$22,FALSE)))</f>
        <v>6</v>
      </c>
      <c r="AF28" s="22">
        <f>IF(OR($B28="",AF$22=""),"",IF(LEN(VLOOKUP($B28,Database!$B$1:$IX$10144,AF$22,FALSE))=0,"",VLOOKUP($B28,Database!$B$1:$IX$10144,AF$22,FALSE)))</f>
        <v>4</v>
      </c>
      <c r="AG28" s="22">
        <f>IF(OR($B28="",AG$22=""),"",IF(LEN(VLOOKUP($B28,Database!$B$1:$IX$10144,AG$22,FALSE))=0,"",VLOOKUP($B28,Database!$B$1:$IX$10144,AG$22,FALSE)))</f>
        <v>4</v>
      </c>
      <c r="AH28" s="22">
        <f>IF(OR($B28="",AH$22=""),"",IF(LEN(VLOOKUP($B28,Database!$B$1:$IX$10144,AH$22,FALSE))=0,"",VLOOKUP($B28,Database!$B$1:$IX$10144,AH$22,FALSE)))</f>
        <v>1.5</v>
      </c>
      <c r="AI28" s="22">
        <f>IF(OR($B28="",AI$22=""),"",IF(LEN(VLOOKUP($B28,Database!$B$1:$IX$10144,AI$22,FALSE))=0,"",VLOOKUP($B28,Database!$B$1:$IX$10144,AI$22,FALSE)))</f>
        <v>1</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Coryell W, Nopoulos P, Drevets W, Wilson T, Andreasen NC.</v>
      </c>
      <c r="AR28" s="13"/>
      <c r="AX28" s="13"/>
      <c r="AY28" s="13"/>
      <c r="AZ28" s="13"/>
      <c r="BA28" s="13"/>
      <c r="BC28" s="23"/>
      <c r="BF28" s="136"/>
      <c r="BG28" s="136"/>
      <c r="BH28" s="136"/>
      <c r="BI28" s="136"/>
    </row>
    <row r="29" spans="1:65">
      <c r="B29">
        <v>18406580</v>
      </c>
      <c r="C29" s="1" t="str">
        <f>IF($B29="","",HYPERLINK(IF(LEN(VLOOKUP($B29,Database!$B$1:$IX$10144,2,FALSE))=0,"",VLOOKUP($B29,Database!$B$1:$IX$10144,2,FALSE))))</f>
        <v/>
      </c>
      <c r="D29" s="1" t="str">
        <f t="shared" si="0"/>
        <v>http://www.ncbi.nlm.nih.gov/pubmed/18406580</v>
      </c>
      <c r="E29" s="22" t="str">
        <f>IF($B29="","",IF(LEN(VLOOKUP($B29,Database!$B$1:$IX$10144,4,FALSE))=0,"",VLOOKUP($B29,Database!$B$1:$IX$10144,4,FALSE)))</f>
        <v>Frodl T (A)</v>
      </c>
      <c r="F29" s="22">
        <f>IF($B29="","",IF(LEN(VLOOKUP($B29,Database!$B$1:$IX$10144,5,FALSE))=0,"",VLOOKUP($B29,Database!$B$1:$IX$10144,5,FALSE)))</f>
        <v>2008</v>
      </c>
      <c r="G29" s="1" t="str">
        <f>IF($B29="","",HYPERLINK(IF(LEN(VLOOKUP($B29,Database!$B$1:$IX$10144,6,FALSE))=0,"",VLOOKUP($B29,Database!$B$1:$IX$10144,6,FALSE))))</f>
        <v>http://dx.doi.org/10.1016/j.pscychresns.2007.04.012</v>
      </c>
      <c r="H29" s="22">
        <f>IF($B29="","",IF(LEN(VLOOKUP($B29,Database!$B$1:$IX$10144,7,FALSE))=0,"",VLOOKUP($B29,Database!$B$1:$IX$10144,7,FALSE)))</f>
        <v>78</v>
      </c>
      <c r="I29" s="22">
        <f>IF($B29="","",IF(LEN(VLOOKUP($B29,Database!$B$1:$IX$10144,8,FALSE))=0,"",VLOOKUP($B29,Database!$B$1:$IX$10144,8,FALSE)))</f>
        <v>78</v>
      </c>
      <c r="J29" t="s">
        <v>414</v>
      </c>
      <c r="L29">
        <v>0.56999999999999995</v>
      </c>
      <c r="M29">
        <v>0.24</v>
      </c>
      <c r="N29">
        <v>0.52</v>
      </c>
      <c r="O29">
        <v>0.25</v>
      </c>
      <c r="P29">
        <v>0.56999999999999995</v>
      </c>
      <c r="Q29">
        <v>0.17</v>
      </c>
      <c r="R29">
        <v>0.54</v>
      </c>
      <c r="S29">
        <v>0.2</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44.7</v>
      </c>
      <c r="AC29" s="22">
        <f>IF(OR($B29="",AC$22=""),"",IF(LEN(VLOOKUP($B29,Database!$B$1:$IX$10144,AC$22,FALSE))=0,"",VLOOKUP($B29,Database!$B$1:$IX$10144,AC$22,FALSE)))</f>
        <v>12.2</v>
      </c>
      <c r="AD29" s="22">
        <f>IF(OR($B29="",AD$22=""),"",IF(LEN(VLOOKUP($B29,Database!$B$1:$IX$10144,AD$22,FALSE))=0,"",VLOOKUP($B29,Database!$B$1:$IX$10144,AD$22,FALSE)))</f>
        <v>44.1</v>
      </c>
      <c r="AE29" s="22">
        <f>IF(OR($B29="",AE$22=""),"",IF(LEN(VLOOKUP($B29,Database!$B$1:$IX$10144,AE$22,FALSE))=0,"",VLOOKUP($B29,Database!$B$1:$IX$10144,AE$22,FALSE)))</f>
        <v>11.6</v>
      </c>
      <c r="AF29" s="22">
        <f>IF(OR($B29="",AF$22=""),"",IF(LEN(VLOOKUP($B29,Database!$B$1:$IX$10144,AF$22,FALSE))=0,"",VLOOKUP($B29,Database!$B$1:$IX$10144,AF$22,FALSE)))</f>
        <v>40</v>
      </c>
      <c r="AG29" s="22">
        <f>IF(OR($B29="",AG$22=""),"",IF(LEN(VLOOKUP($B29,Database!$B$1:$IX$10144,AG$22,FALSE))=0,"",VLOOKUP($B29,Database!$B$1:$IX$10144,AG$22,FALSE)))</f>
        <v>40</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39.6</v>
      </c>
      <c r="AL29" s="22">
        <f>IF(OR($B29="",AL$22=""),"",IF(LEN(VLOOKUP($B29,Database!$B$1:$IX$10144,AL$22,FALSE))=0,"",VLOOKUP($B29,Database!$B$1:$IX$10144,AL$22,FALSE)))</f>
        <v>23.5</v>
      </c>
      <c r="AM29" s="22" t="str">
        <f>IF(OR($B29="",AM$22=""),"",IF(LEN(VLOOKUP($B29,Database!$B$1:$IX$10144,AM$22,FALSE))=0,"",VLOOKUP($B29,Database!$B$1:$IX$10144,AM$22,FALSE)))</f>
        <v>ns</v>
      </c>
      <c r="AN29" s="22">
        <f>IF(OR($B29="",AN$22=""),"",IF(LEN(VLOOKUP($B29,Database!$B$1:$IX$10144,AN$22,FALSE))=0,"",VLOOKUP($B29,Database!$B$1:$IX$10144,AN$22,FALSE)))</f>
        <v>11.538461538461538</v>
      </c>
      <c r="AO29" s="22">
        <f>IF(OR($B29="",AO$22=""),"",IF(LEN(VLOOKUP($B29,Database!$B$1:$IX$10144,AO$22,FALSE))=0,"",VLOOKUP($B29,Database!$B$1:$IX$10144,AO$22,FALSE)))</f>
        <v>10.256410256410255</v>
      </c>
      <c r="AP29" s="22">
        <f>IF(OR($B29="",AP$22=""),"",IF(LEN(VLOOKUP($B29,Database!$B$1:$IX$10144,AP$22,FALSE))=0,"",VLOOKUP($B29,Database!$B$1:$IX$10144,AP$22,FALSE)))</f>
        <v>10.256410256410255</v>
      </c>
      <c r="AQ29" s="22" t="str">
        <f>IF(OR($B29="",AQ$22=""),"",IF(LEN(VLOOKUP($B29,Database!$B$1:$IX$10144,AQ$22,FALSE))=0,"",VLOOKUP($B29,Database!$B$1:$IX$10144,AQ$22,FALSE)))</f>
        <v>Frodl T, Jäger M, Born C, Ritter S, Kraft E, Zetzsche T, Bottlender R, Leinsinger G, Reiser M, Möller HJ, Meisenzahl E.</v>
      </c>
      <c r="AR29" s="13"/>
      <c r="AX29" s="13"/>
      <c r="AY29" s="13"/>
      <c r="AZ29" s="13"/>
      <c r="BA29" s="13"/>
      <c r="BC29" s="23"/>
      <c r="BF29" s="136"/>
      <c r="BG29" s="136"/>
      <c r="BH29" s="136"/>
      <c r="BI29" s="136"/>
    </row>
    <row r="30" spans="1:65">
      <c r="B30" s="13"/>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A31" s="4" t="s">
        <v>1510</v>
      </c>
      <c r="C31" s="1" t="str">
        <f>IF($B31="","",HYPERLINK(IF(LEN(VLOOKUP($B31,Database!$B$1:$IX$10144,2,FALSE))=0,"",VLOOKUP($B31,Database!$B$1:$IX$10144,2,FALSE))))</f>
        <v/>
      </c>
      <c r="D31" s="1" t="str">
        <f t="shared" si="0"/>
        <v/>
      </c>
      <c r="E31" s="22" t="str">
        <f>IF($B31="","",IF(LEN(VLOOKUP($B31,Database!$B$1:$IX$10144,4,FALSE))=0,"",VLOOKUP($B31,Database!$B$1:$IX$10144,4,FALSE)))</f>
        <v/>
      </c>
      <c r="F31" s="22" t="str">
        <f>IF($B31="","",IF(LEN(VLOOKUP($B31,Database!$B$1:$IX$10144,5,FALSE))=0,"",VLOOKUP($B31,Database!$B$1:$IX$10144,5,FALSE)))</f>
        <v/>
      </c>
      <c r="G31" s="1" t="str">
        <f>IF($B31="","",HYPERLINK(IF(LEN(VLOOKUP($B31,Database!$B$1:$IX$10144,6,FALSE))=0,"",VLOOKUP($B31,Database!$B$1:$IX$10144,6,FALSE))))</f>
        <v/>
      </c>
      <c r="H31" s="22" t="str">
        <f>IF($B31="","",IF(LEN(VLOOKUP($B31,Database!$B$1:$IX$10144,7,FALSE))=0,"",VLOOKUP($B31,Database!$B$1:$IX$10144,7,FALSE)))</f>
        <v/>
      </c>
      <c r="I31" s="22" t="str">
        <f>IF($B31="","",IF(LEN(VLOOKUP($B31,Database!$B$1:$IX$10144,8,FALSE))=0,"",VLOOKUP($B31,Database!$B$1:$IX$10144,8,FALSE)))</f>
        <v/>
      </c>
      <c r="Y31" s="22" t="str">
        <f>IF(OR($B31="",Y$22=""),"",IF(LEN(VLOOKUP($B31,Database!$B$1:$IX$10144,Y$22,FALSE))=0,"",VLOOKUP($B31,Database!$B$1:$IX$10144,Y$22,FALSE)))</f>
        <v/>
      </c>
      <c r="Z31" s="22" t="str">
        <f>IF(OR($B31="",Z$22=""),"",IF(LEN(VLOOKUP($B31,Database!$B$1:$IX$10144,Z$22,FALSE))=0,"",VLOOKUP($B31,Database!$B$1:$IX$10144,Z$22,FALSE)))</f>
        <v/>
      </c>
      <c r="AA31" s="22" t="str">
        <f>IF(OR($B31="",AA$22=""),"",IF(LEN(VLOOKUP($B31,Database!$B$1:$IX$10144,AA$22,FALSE))=0,"",VLOOKUP($B31,Database!$B$1:$IX$10144,AA$22,FALSE)))</f>
        <v/>
      </c>
      <c r="AB31" s="22" t="str">
        <f>IF(OR($B31="",AB$22=""),"",IF(LEN(VLOOKUP($B31,Database!$B$1:$IX$10144,AB$22,FALSE))=0,"",VLOOKUP($B31,Database!$B$1:$IX$10144,AB$22,FALSE)))</f>
        <v/>
      </c>
      <c r="AC31" s="22" t="str">
        <f>IF(OR($B31="",AC$22=""),"",IF(LEN(VLOOKUP($B31,Database!$B$1:$IX$10144,AC$22,FALSE))=0,"",VLOOKUP($B31,Database!$B$1:$IX$10144,AC$22,FALSE)))</f>
        <v/>
      </c>
      <c r="AD31" s="22" t="str">
        <f>IF(OR($B31="",AD$22=""),"",IF(LEN(VLOOKUP($B31,Database!$B$1:$IX$10144,AD$22,FALSE))=0,"",VLOOKUP($B31,Database!$B$1:$IX$10144,AD$22,FALSE)))</f>
        <v/>
      </c>
      <c r="AE31" s="22" t="str">
        <f>IF(OR($B31="",AE$22=""),"",IF(LEN(VLOOKUP($B31,Database!$B$1:$IX$10144,AE$22,FALSE))=0,"",VLOOKUP($B31,Database!$B$1:$IX$10144,AE$22,FALSE)))</f>
        <v/>
      </c>
      <c r="AF31" s="22" t="str">
        <f>IF(OR($B31="",AF$22=""),"",IF(LEN(VLOOKUP($B31,Database!$B$1:$IX$10144,AF$22,FALSE))=0,"",VLOOKUP($B31,Database!$B$1:$IX$10144,AF$22,FALSE)))</f>
        <v/>
      </c>
      <c r="AG31" s="22" t="str">
        <f>IF(OR($B31="",AG$22=""),"",IF(LEN(VLOOKUP($B31,Database!$B$1:$IX$10144,AG$22,FALSE))=0,"",VLOOKUP($B31,Database!$B$1:$IX$10144,AG$22,FALSE)))</f>
        <v/>
      </c>
      <c r="AH31" s="22" t="str">
        <f>IF(OR($B31="",AH$22=""),"",IF(LEN(VLOOKUP($B31,Database!$B$1:$IX$10144,AH$22,FALSE))=0,"",VLOOKUP($B31,Database!$B$1:$IX$10144,AH$22,FALSE)))</f>
        <v/>
      </c>
      <c r="AI31" s="22" t="str">
        <f>IF(OR($B31="",AI$22=""),"",IF(LEN(VLOOKUP($B31,Database!$B$1:$IX$10144,AI$22,FALSE))=0,"",VLOOKUP($B31,Database!$B$1:$IX$10144,AI$22,FALSE)))</f>
        <v/>
      </c>
      <c r="AJ31" s="22" t="str">
        <f>IF(OR($B31="",AJ$22=""),"",IF(LEN(VLOOKUP($B31,Database!$B$1:$IX$10144,AJ$22,FALSE))=0,"",VLOOKUP($B31,Database!$B$1:$IX$10144,AJ$22,FALSE)))</f>
        <v/>
      </c>
      <c r="AK31" s="22" t="str">
        <f>IF(OR($B31="",AK$22=""),"",IF(LEN(VLOOKUP($B31,Database!$B$1:$IX$10144,AK$22,FALSE))=0,"",VLOOKUP($B31,Database!$B$1:$IX$10144,AK$22,FALSE)))</f>
        <v/>
      </c>
      <c r="AL31" s="22" t="str">
        <f>IF(OR($B31="",AL$22=""),"",IF(LEN(VLOOKUP($B31,Database!$B$1:$IX$10144,AL$22,FALSE))=0,"",VLOOKUP($B31,Database!$B$1:$IX$10144,AL$22,FALSE)))</f>
        <v/>
      </c>
      <c r="AM31" s="22" t="str">
        <f>IF(OR($B31="",AM$22=""),"",IF(LEN(VLOOKUP($B31,Database!$B$1:$IX$10144,AM$22,FALSE))=0,"",VLOOKUP($B31,Database!$B$1:$IX$10144,AM$22,FALSE)))</f>
        <v/>
      </c>
      <c r="AN31" s="22" t="str">
        <f>IF(OR($B31="",AN$22=""),"",IF(LEN(VLOOKUP($B31,Database!$B$1:$IX$10144,AN$22,FALSE))=0,"",VLOOKUP($B31,Database!$B$1:$IX$10144,AN$22,FALSE)))</f>
        <v/>
      </c>
      <c r="AO31" s="22" t="str">
        <f>IF(OR($B31="",AO$22=""),"",IF(LEN(VLOOKUP($B31,Database!$B$1:$IX$10144,AO$22,FALSE))=0,"",VLOOKUP($B31,Database!$B$1:$IX$10144,AO$22,FALSE)))</f>
        <v/>
      </c>
      <c r="AP31" s="22" t="str">
        <f>IF(OR($B31="",AP$22=""),"",IF(LEN(VLOOKUP($B31,Database!$B$1:$IX$10144,AP$22,FALSE))=0,"",VLOOKUP($B31,Database!$B$1:$IX$10144,AP$22,FALSE)))</f>
        <v/>
      </c>
      <c r="AQ31" s="22" t="str">
        <f>IF(OR($B31="",AQ$22=""),"",IF(LEN(VLOOKUP($B31,Database!$B$1:$IX$10144,AQ$22,FALSE))=0,"",VLOOKUP($B31,Database!$B$1:$IX$10144,AQ$22,FALSE)))</f>
        <v/>
      </c>
    </row>
    <row r="32" spans="1:65">
      <c r="A32" s="7" t="s">
        <v>46</v>
      </c>
      <c r="B32">
        <v>11958777</v>
      </c>
      <c r="C32" s="1" t="str">
        <f>IF($B32="","",HYPERLINK(IF(LEN(VLOOKUP($B32,Database!$B$1:$IX$10144,2,FALSE))=0,"",VLOOKUP($B32,Database!$B$1:$IX$10144,2,FALSE))))</f>
        <v/>
      </c>
      <c r="D32" s="1" t="str">
        <f t="shared" si="0"/>
        <v>http://www.ncbi.nlm.nih.gov/pubmed/11958777</v>
      </c>
      <c r="E32" s="22" t="str">
        <f>IF($B32="","",IF(LEN(VLOOKUP($B32,Database!$B$1:$IX$10144,4,FALSE))=0,"",VLOOKUP($B32,Database!$B$1:$IX$10144,4,FALSE)))</f>
        <v>Bremner JD</v>
      </c>
      <c r="F32" s="22">
        <f>IF($B32="","",IF(LEN(VLOOKUP($B32,Database!$B$1:$IX$10144,5,FALSE))=0,"",VLOOKUP($B32,Database!$B$1:$IX$10144,5,FALSE)))</f>
        <v>2002</v>
      </c>
      <c r="G32" s="1" t="str">
        <f>IF($B32="","",HYPERLINK(IF(LEN(VLOOKUP($B32,Database!$B$1:$IX$10144,6,FALSE))=0,"",VLOOKUP($B32,Database!$B$1:$IX$10144,6,FALSE))))</f>
        <v>http://dx.doi.org/10.1016/S0006-3223(01)01336-1</v>
      </c>
      <c r="H32" s="22">
        <f>IF($B32="","",IF(LEN(VLOOKUP($B32,Database!$B$1:$IX$10144,7,FALSE))=0,"",VLOOKUP($B32,Database!$B$1:$IX$10144,7,FALSE)))</f>
        <v>15</v>
      </c>
      <c r="I32" s="22">
        <f>IF($B32="","",IF(LEN(VLOOKUP($B32,Database!$B$1:$IX$10144,8,FALSE))=0,"",VLOOKUP($B32,Database!$B$1:$IX$10144,8,FALSE)))</f>
        <v>20</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43</v>
      </c>
      <c r="AC32" s="22">
        <f>IF(OR($B32="",AC$22=""),"",IF(LEN(VLOOKUP($B32,Database!$B$1:$IX$10144,AC$22,FALSE))=0,"",VLOOKUP($B32,Database!$B$1:$IX$10144,AC$22,FALSE)))</f>
        <v>8</v>
      </c>
      <c r="AD32" s="22">
        <f>IF(OR($B32="",AD$22=""),"",IF(LEN(VLOOKUP($B32,Database!$B$1:$IX$10144,AD$22,FALSE))=0,"",VLOOKUP($B32,Database!$B$1:$IX$10144,AD$22,FALSE)))</f>
        <v>45</v>
      </c>
      <c r="AE32" s="22">
        <f>IF(OR($B32="",AE$22=""),"",IF(LEN(VLOOKUP($B32,Database!$B$1:$IX$10144,AE$22,FALSE))=0,"",VLOOKUP($B32,Database!$B$1:$IX$10144,AE$22,FALSE)))</f>
        <v>11</v>
      </c>
      <c r="AF32" s="22">
        <f>IF(OR($B32="",AF$22=""),"",IF(LEN(VLOOKUP($B32,Database!$B$1:$IX$10144,AF$22,FALSE))=0,"",VLOOKUP($B32,Database!$B$1:$IX$10144,AF$22,FALSE)))</f>
        <v>5</v>
      </c>
      <c r="AG32" s="22">
        <f>IF(OR($B32="",AG$22=""),"",IF(LEN(VLOOKUP($B32,Database!$B$1:$IX$10144,AG$22,FALSE))=0,"",VLOOKUP($B32,Database!$B$1:$IX$10144,AG$22,FALSE)))</f>
        <v>9</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f>IF(OR($B32="",AM$22=""),"",IF(LEN(VLOOKUP($B32,Database!$B$1:$IX$10144,AM$22,FALSE))=0,"",VLOOKUP($B32,Database!$B$1:$IX$10144,AM$22,FALSE)))</f>
        <v>100</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Bremner JD, Vythilingam M, Vermetten E, Nazeer A, Adil J, Khan S, Staib LH, Charney DS.</v>
      </c>
    </row>
    <row r="33" spans="1:51">
      <c r="A33" s="7" t="s">
        <v>47</v>
      </c>
      <c r="B33">
        <v>18368034</v>
      </c>
      <c r="C33" s="1" t="str">
        <f>IF($B33="","",HYPERLINK(IF(LEN(VLOOKUP($B33,Database!$B$1:$IX$10144,2,FALSE))=0,"",VLOOKUP($B33,Database!$B$1:$IX$10144,2,FALSE))))</f>
        <v/>
      </c>
      <c r="D33" s="1" t="str">
        <f>IF($B33="","",HYPERLINK(CONCATENATE("http://www.ncbi.nlm.nih.gov/pubmed/",B33)))</f>
        <v>http://www.ncbi.nlm.nih.gov/pubmed/18368034</v>
      </c>
      <c r="E33" s="22" t="str">
        <f>IF($B33="","",IF(LEN(VLOOKUP($B33,Database!$B$1:$IX$10144,4,FALSE))=0,"",VLOOKUP($B33,Database!$B$1:$IX$10144,4,FALSE)))</f>
        <v>Yucel K</v>
      </c>
      <c r="F33" s="22">
        <f>IF($B33="","",IF(LEN(VLOOKUP($B33,Database!$B$1:$IX$10144,5,FALSE))=0,"",VLOOKUP($B33,Database!$B$1:$IX$10144,5,FALSE)))</f>
        <v>2008</v>
      </c>
      <c r="G33" s="1" t="str">
        <f>IF($B33="","",HYPERLINK(IF(LEN(VLOOKUP($B33,Database!$B$1:$IX$10144,6,FALSE))=0,"",VLOOKUP($B33,Database!$B$1:$IX$10144,6,FALSE))))</f>
        <v>http://dx.doi.org/10.1038/npp.2008.40</v>
      </c>
      <c r="H33" s="22">
        <f>IF($B33="","",IF(LEN(VLOOKUP($B33,Database!$B$1:$IX$10144,7,FALSE))=0,"",VLOOKUP($B33,Database!$B$1:$IX$10144,7,FALSE)))</f>
        <v>65</v>
      </c>
      <c r="I33" s="22">
        <f>IF($B33="","",IF(LEN(VLOOKUP($B33,Database!$B$1:$IX$10144,8,FALSE))=0,"",VLOOKUP($B33,Database!$B$1:$IX$10144,8,FALSE)))</f>
        <v>93</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28.8</v>
      </c>
      <c r="AC33" s="22">
        <f>IF(OR($B33="",AC$22=""),"",IF(LEN(VLOOKUP($B33,Database!$B$1:$IX$10144,AC$22,FALSE))=0,"",VLOOKUP($B33,Database!$B$1:$IX$10144,AC$22,FALSE)))</f>
        <v>10.3</v>
      </c>
      <c r="AD33" s="22">
        <f>IF(OR($B33="",AD$22=""),"",IF(LEN(VLOOKUP($B33,Database!$B$1:$IX$10144,AD$22,FALSE))=0,"",VLOOKUP($B33,Database!$B$1:$IX$10144,AD$22,FALSE)))</f>
        <v>28.4</v>
      </c>
      <c r="AE33" s="22">
        <f>IF(OR($B33="",AE$22=""),"",IF(LEN(VLOOKUP($B33,Database!$B$1:$IX$10144,AE$22,FALSE))=0,"",VLOOKUP($B33,Database!$B$1:$IX$10144,AE$22,FALSE)))</f>
        <v>10.7</v>
      </c>
      <c r="AF33" s="22">
        <f>IF(OR($B33="",AF$22=""),"",IF(LEN(VLOOKUP($B33,Database!$B$1:$IX$10144,AF$22,FALSE))=0,"",VLOOKUP($B33,Database!$B$1:$IX$10144,AF$22,FALSE)))</f>
        <v>30</v>
      </c>
      <c r="AG33" s="22">
        <f>IF(OR($B33="",AG$22=""),"",IF(LEN(VLOOKUP($B33,Database!$B$1:$IX$10144,AG$22,FALSE))=0,"",VLOOKUP($B33,Database!$B$1:$IX$10144,AG$22,FALSE)))</f>
        <v>56</v>
      </c>
      <c r="AH33" s="22">
        <f>IF(OR($B33="",AH$22=""),"",IF(LEN(VLOOKUP($B33,Database!$B$1:$IX$10144,AH$22,FALSE))=0,"",VLOOKUP($B33,Database!$B$1:$IX$10144,AH$22,FALSE)))</f>
        <v>1</v>
      </c>
      <c r="AI33" s="22">
        <f>IF(OR($B33="",AI$22=""),"",IF(LEN(VLOOKUP($B33,Database!$B$1:$IX$10144,AI$22,FALSE))=0,"",VLOOKUP($B33,Database!$B$1:$IX$10144,AI$22,FALSE)))</f>
        <v>1.2</v>
      </c>
      <c r="AJ33" s="22" t="str">
        <f>IF(OR($B33="",AJ$22=""),"",IF(LEN(VLOOKUP($B33,Database!$B$1:$IX$10144,AJ$22,FALSE))=0,"",VLOOKUP($B33,Database!$B$1:$IX$10144,AJ$22,FALSE)))</f>
        <v/>
      </c>
      <c r="AK33" s="22">
        <f>IF(OR($B33="",AK$22=""),"",IF(LEN(VLOOKUP($B33,Database!$B$1:$IX$10144,AK$22,FALSE))=0,"",VLOOKUP($B33,Database!$B$1:$IX$10144,AK$22,FALSE)))</f>
        <v>20.9</v>
      </c>
      <c r="AL33" s="22">
        <f>IF(OR($B33="",AL$22=""),"",IF(LEN(VLOOKUP($B33,Database!$B$1:$IX$10144,AL$22,FALSE))=0,"",VLOOKUP($B33,Database!$B$1:$IX$10144,AL$22,FALSE)))</f>
        <v>16.2</v>
      </c>
      <c r="AM33" s="22" t="str">
        <f>IF(OR($B33="",AM$22=""),"",IF(LEN(VLOOKUP($B33,Database!$B$1:$IX$10144,AM$22,FALSE))=0,"",VLOOKUP($B33,Database!$B$1:$IX$10144,AM$22,FALSE)))</f>
        <v>ns</v>
      </c>
      <c r="AN33" s="22" t="str">
        <f>IF(OR($B33="",AN$22=""),"",IF(LEN(VLOOKUP($B33,Database!$B$1:$IX$10144,AN$22,FALSE))=0,"",VLOOKUP($B33,Database!$B$1:$IX$10144,AN$22,FALSE)))</f>
        <v>ns</v>
      </c>
      <c r="AO33" s="22">
        <f>IF(OR($B33="",AO$22=""),"",IF(LEN(VLOOKUP($B33,Database!$B$1:$IX$10144,AO$22,FALSE))=0,"",VLOOKUP($B33,Database!$B$1:$IX$10144,AO$22,FALSE)))</f>
        <v>4.6153846153846159</v>
      </c>
      <c r="AP33" s="22">
        <f>IF(OR($B33="",AP$22=""),"",IF(LEN(VLOOKUP($B33,Database!$B$1:$IX$10144,AP$22,FALSE))=0,"",VLOOKUP($B33,Database!$B$1:$IX$10144,AP$22,FALSE)))</f>
        <v>29.230769230769234</v>
      </c>
      <c r="AQ33" s="22" t="str">
        <f>IF(OR($B33="",AQ$22=""),"",IF(LEN(VLOOKUP($B33,Database!$B$1:$IX$10144,AQ$22,FALSE))=0,"",VLOOKUP($B33,Database!$B$1:$IX$10144,AQ$22,FALSE)))</f>
        <v>Yucel K, McKinnon MC, Chahal R, Taylor VH, Macdonald K, Joffe R, MacQueen GM</v>
      </c>
    </row>
    <row r="34" spans="1:51">
      <c r="A34" s="7" t="s">
        <v>47</v>
      </c>
      <c r="B34" s="2">
        <v>19464154</v>
      </c>
      <c r="C34" s="1" t="str">
        <f>IF($B34="","",HYPERLINK(IF(LEN(VLOOKUP($B34,Database!$B$1:$IX$10144,2,FALSE))=0,"",VLOOKUP($B34,Database!$B$1:$IX$10144,2,FALSE))))</f>
        <v/>
      </c>
      <c r="D34" s="1" t="str">
        <f>IF($B34="","",HYPERLINK(CONCATENATE("http://www.ncbi.nlm.nih.gov/pubmed/",B34)))</f>
        <v>http://www.ncbi.nlm.nih.gov/pubmed/19464154</v>
      </c>
      <c r="E34" s="22" t="str">
        <f>IF($B34="","",IF(LEN(VLOOKUP($B34,Database!$B$1:$IX$10144,4,FALSE))=0,"",VLOOKUP($B34,Database!$B$1:$IX$10144,4,FALSE)))</f>
        <v>Yucel K</v>
      </c>
      <c r="F34" s="22">
        <f>IF($B34="","",IF(LEN(VLOOKUP($B34,Database!$B$1:$IX$10144,5,FALSE))=0,"",VLOOKUP($B34,Database!$B$1:$IX$10144,5,FALSE)))</f>
        <v>2009</v>
      </c>
      <c r="G34" s="1" t="str">
        <f>IF($B34="","",HYPERLINK(IF(LEN(VLOOKUP($B34,Database!$B$1:$IX$10144,6,FALSE))=0,"",VLOOKUP($B34,Database!$B$1:$IX$10144,6,FALSE))))</f>
        <v>http://dx.doi.org/10.1016/j.pscychresns.2008.07.013</v>
      </c>
      <c r="H34" s="22">
        <f>IF($B34="","",IF(LEN(VLOOKUP($B34,Database!$B$1:$IX$10144,7,FALSE))=0,"",VLOOKUP($B34,Database!$B$1:$IX$10144,7,FALSE)))</f>
        <v>40</v>
      </c>
      <c r="I34" s="22">
        <f>IF($B34="","",IF(LEN(VLOOKUP($B34,Database!$B$1:$IX$10144,8,FALSE))=0,"",VLOOKUP($B34,Database!$B$1:$IX$10144,8,FALSE)))</f>
        <v>40</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41.4</v>
      </c>
      <c r="AC34" s="22">
        <f>IF(OR($B34="",AC$22=""),"",IF(LEN(VLOOKUP($B34,Database!$B$1:$IX$10144,AC$22,FALSE))=0,"",VLOOKUP($B34,Database!$B$1:$IX$10144,AC$22,FALSE)))</f>
        <v>12.5</v>
      </c>
      <c r="AD34" s="22">
        <f>IF(OR($B34="",AD$22=""),"",IF(LEN(VLOOKUP($B34,Database!$B$1:$IX$10144,AD$22,FALSE))=0,"",VLOOKUP($B34,Database!$B$1:$IX$10144,AD$22,FALSE)))</f>
        <v>37.200000000000003</v>
      </c>
      <c r="AE34" s="22">
        <f>IF(OR($B34="",AE$22=""),"",IF(LEN(VLOOKUP($B34,Database!$B$1:$IX$10144,AE$22,FALSE))=0,"",VLOOKUP($B34,Database!$B$1:$IX$10144,AE$22,FALSE)))</f>
        <v>10.1</v>
      </c>
      <c r="AF34" s="22">
        <f>IF(OR($B34="",AF$22=""),"",IF(LEN(VLOOKUP($B34,Database!$B$1:$IX$10144,AF$22,FALSE))=0,"",VLOOKUP($B34,Database!$B$1:$IX$10144,AF$22,FALSE)))</f>
        <v>27</v>
      </c>
      <c r="AG34" s="22">
        <f>IF(OR($B34="",AG$22=""),"",IF(LEN(VLOOKUP($B34,Database!$B$1:$IX$10144,AG$22,FALSE))=0,"",VLOOKUP($B34,Database!$B$1:$IX$10144,AG$22,FALSE)))</f>
        <v>25</v>
      </c>
      <c r="AH34" s="22">
        <f>IF(OR($B34="",AH$22=""),"",IF(LEN(VLOOKUP($B34,Database!$B$1:$IX$10144,AH$22,FALSE))=0,"",VLOOKUP($B34,Database!$B$1:$IX$10144,AH$22,FALSE)))</f>
        <v>1</v>
      </c>
      <c r="AI34" s="22">
        <f>IF(OR($B34="",AI$22=""),"",IF(LEN(VLOOKUP($B34,Database!$B$1:$IX$10144,AI$22,FALSE))=0,"",VLOOKUP($B34,Database!$B$1:$IX$10144,AI$22,FALSE)))</f>
        <v>1.2</v>
      </c>
      <c r="AJ34" s="22" t="str">
        <f>IF(OR($B34="",AJ$22=""),"",IF(LEN(VLOOKUP($B34,Database!$B$1:$IX$10144,AJ$22,FALSE))=0,"",VLOOKUP($B34,Database!$B$1:$IX$10144,AJ$22,FALSE)))</f>
        <v/>
      </c>
      <c r="AK34" s="22">
        <f>IF(OR($B34="",AK$22=""),"",IF(LEN(VLOOKUP($B34,Database!$B$1:$IX$10144,AK$22,FALSE))=0,"",VLOOKUP($B34,Database!$B$1:$IX$10144,AK$22,FALSE)))</f>
        <v>27.1</v>
      </c>
      <c r="AL34" s="22">
        <f>IF(OR($B34="",AL$22=""),"",IF(LEN(VLOOKUP($B34,Database!$B$1:$IX$10144,AL$22,FALSE))=0,"",VLOOKUP($B34,Database!$B$1:$IX$10144,AL$22,FALSE)))</f>
        <v>11.1</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Yucel K, M C Kinnon M, Chahal R, Taylor V, Macdonald K, Joffe R, Macqueen G.</v>
      </c>
    </row>
    <row r="35" spans="1:51">
      <c r="I35" s="22" t="str">
        <f>IF($B35="","",IF(LEN(VLOOKUP($B35,Database!$B$1:$IX$10144,8,FALSE))=0,"",VLOOKUP($B35,Database!$B$1:$IX$10144,8,FALSE)))</f>
        <v/>
      </c>
      <c r="AF35" t="s">
        <v>602</v>
      </c>
      <c r="AJ35" t="s">
        <v>329</v>
      </c>
      <c r="AN35" t="s">
        <v>330</v>
      </c>
    </row>
    <row r="36" spans="1:51" ht="45" customHeight="1">
      <c r="E36" s="60" t="s">
        <v>617</v>
      </c>
      <c r="F36" s="60" t="s">
        <v>740</v>
      </c>
      <c r="G36" s="60" t="s">
        <v>244</v>
      </c>
      <c r="H36" s="60" t="s">
        <v>245</v>
      </c>
      <c r="I36" s="60" t="s">
        <v>246</v>
      </c>
      <c r="J36" s="60" t="s">
        <v>593</v>
      </c>
      <c r="K36" s="60" t="s">
        <v>1039</v>
      </c>
      <c r="L36" s="60" t="s">
        <v>594</v>
      </c>
      <c r="M36" s="60" t="s">
        <v>1299</v>
      </c>
      <c r="N36" s="61" t="s">
        <v>595</v>
      </c>
      <c r="O36" s="61" t="s">
        <v>596</v>
      </c>
      <c r="P36" s="61" t="s">
        <v>597</v>
      </c>
      <c r="Q36" s="61" t="s">
        <v>598</v>
      </c>
      <c r="R36" s="61" t="s">
        <v>599</v>
      </c>
      <c r="S36" s="61" t="s">
        <v>600</v>
      </c>
      <c r="T36" s="61" t="s">
        <v>601</v>
      </c>
      <c r="U36" s="61" t="s">
        <v>484</v>
      </c>
      <c r="V36" s="61" t="s">
        <v>485</v>
      </c>
      <c r="W36" s="61" t="s">
        <v>486</v>
      </c>
      <c r="AF36" s="61" t="s">
        <v>1517</v>
      </c>
      <c r="AG36" s="62" t="s">
        <v>834</v>
      </c>
      <c r="AH36" s="62" t="s">
        <v>835</v>
      </c>
      <c r="AJ36" s="61" t="s">
        <v>836</v>
      </c>
      <c r="AK36" s="61" t="s">
        <v>837</v>
      </c>
      <c r="AL36" s="61" t="s">
        <v>487</v>
      </c>
      <c r="AN36" t="s">
        <v>488</v>
      </c>
      <c r="AO36" t="s">
        <v>489</v>
      </c>
      <c r="AP36" t="s">
        <v>490</v>
      </c>
      <c r="AQ36" t="s">
        <v>491</v>
      </c>
      <c r="AR36" t="s">
        <v>492</v>
      </c>
      <c r="AS36" t="s">
        <v>493</v>
      </c>
      <c r="AT36" t="s">
        <v>494</v>
      </c>
      <c r="AU36" t="s">
        <v>495</v>
      </c>
      <c r="AV36" t="s">
        <v>496</v>
      </c>
      <c r="AW36" t="s">
        <v>497</v>
      </c>
      <c r="AX36" t="s">
        <v>498</v>
      </c>
      <c r="AY36" t="s">
        <v>499</v>
      </c>
    </row>
    <row r="37" spans="1:51">
      <c r="E37" t="str">
        <f t="shared" ref="E37:F40" si="1">E24</f>
        <v>Botteron KN</v>
      </c>
      <c r="F37">
        <f t="shared" si="1"/>
        <v>2002</v>
      </c>
      <c r="G37">
        <v>6</v>
      </c>
      <c r="H37">
        <f t="shared" ref="H37:I40" si="2">H24</f>
        <v>30</v>
      </c>
      <c r="I37">
        <f t="shared" si="2"/>
        <v>8</v>
      </c>
      <c r="J37">
        <f t="shared" ref="J37:M40" si="3">IF($D$4="Total",T24,IF($D$4="Left",L24,IF($D$4="Right",P24,"error")))</f>
        <v>0.33</v>
      </c>
      <c r="K37">
        <f t="shared" si="3"/>
        <v>0.11</v>
      </c>
      <c r="L37">
        <f t="shared" si="3"/>
        <v>0.36</v>
      </c>
      <c r="M37">
        <f t="shared" si="3"/>
        <v>0.14000000000000001</v>
      </c>
      <c r="N37">
        <f t="shared" ref="N37:N42" si="4">IF($D$3=1,SQRT((((I37-1)*(M37)^2)+((H37-1)*(K37)^2))/(H37+I37-2)),M37)</f>
        <v>0.11644025649805712</v>
      </c>
      <c r="O37" s="59">
        <f t="shared" ref="O37:O42" si="5">IF($D$6=1,LN(J37/L37),IF($D$5=1,(1-3/(4*(H37+I37)-9))*((J37-L37)/N37),(J37-L37)/N37))</f>
        <v>-0.25223775912172963</v>
      </c>
      <c r="P37" s="63">
        <f t="shared" ref="P37:P42" si="6">IF($D$6=1,(K37^2)/(H37*J37^2)+(M37^2)/(I37*L37^2),(IF($D$5=1,((H37+I37)/(H37*I37))+(O37*O37)/(2*(H37+I37-3.94)),((H37+I37)/(H37*I37))+((O37^2)/(2*(H37+I37-2))))))</f>
        <v>0.15926733050195857</v>
      </c>
      <c r="Q37" s="59">
        <f t="shared" ref="Q37:Q42" si="7">$R$59*SQRT(P37)</f>
        <v>0.78220290005619642</v>
      </c>
      <c r="R37" s="59">
        <f t="shared" ref="R37:R42" si="8">1/P37</f>
        <v>6.2787515609656221</v>
      </c>
      <c r="S37" s="59">
        <f t="shared" ref="S37:S42" si="9">O37*R37</f>
        <v>-1.5837382238200306</v>
      </c>
      <c r="T37" s="59">
        <f t="shared" ref="T37:T42" si="10">R37*(O37^2)</f>
        <v>0.39947858061179276</v>
      </c>
      <c r="U37" s="23">
        <f t="shared" ref="U37:U42" si="11">R37^2</f>
        <v>39.422721164328237</v>
      </c>
      <c r="V37" s="59">
        <f t="shared" ref="V37:V42" si="12">1/((1/R37)+$I$56)</f>
        <v>6.1961759864477015</v>
      </c>
      <c r="W37" s="59">
        <f t="shared" ref="W37:W42" si="13">V37*O37</f>
        <v>-1.5629095459454407</v>
      </c>
      <c r="AF37" s="59">
        <f t="shared" ref="AF37:AF42" si="14">IF($D$6=1,100*((EXP(O37))-1),O37)</f>
        <v>-0.25223775912172963</v>
      </c>
      <c r="AG37" s="59">
        <f t="shared" ref="AG37:AG42" si="15">IF($D$6=1,100*(EXP(O37+Q37)-EXP(O37)),Q37)</f>
        <v>0.78220290005619642</v>
      </c>
      <c r="AH37" s="59">
        <f t="shared" ref="AH37:AH42" si="16">IF($D$6=1,100*(EXP(O37)-EXP(O37-Q37)),Q37)</f>
        <v>0.78220290005619642</v>
      </c>
      <c r="AJ37">
        <f t="shared" ref="AJ37:AJ42" si="17">SQRT(P37)</f>
        <v>0.39908311227356963</v>
      </c>
      <c r="AK37">
        <f t="shared" ref="AK37:AK42" si="18">1/AJ37</f>
        <v>2.5057437141426937</v>
      </c>
      <c r="AL37">
        <f t="shared" ref="AL37:AL42" si="19">O37/AJ37</f>
        <v>-0.63204317938871291</v>
      </c>
      <c r="AN37" t="str">
        <f t="shared" ref="AN37:AO40" si="20">E37</f>
        <v>Botteron KN</v>
      </c>
      <c r="AO37">
        <f t="shared" si="20"/>
        <v>2002</v>
      </c>
      <c r="AP37" t="str">
        <f t="shared" ref="AP37:AP42" si="21">CONCATENATE(AN37," ",AO37)</f>
        <v>Botteron KN 2002</v>
      </c>
      <c r="AQ37">
        <f t="shared" ref="AQ37:AQ42" si="22">INT(H37)</f>
        <v>30</v>
      </c>
      <c r="AR37">
        <f t="shared" ref="AR37:AS40" si="23">J37</f>
        <v>0.33</v>
      </c>
      <c r="AS37">
        <f t="shared" si="23"/>
        <v>0.11</v>
      </c>
      <c r="AT37">
        <f t="shared" ref="AT37:AT42" si="24">INT(I37)</f>
        <v>8</v>
      </c>
      <c r="AU37">
        <f t="shared" ref="AU37:AV40" si="25">L37</f>
        <v>0.36</v>
      </c>
      <c r="AV37">
        <f t="shared" si="25"/>
        <v>0.14000000000000001</v>
      </c>
      <c r="AW37" s="65">
        <f t="shared" ref="AW37:AW42" si="26">O37</f>
        <v>-0.25223775912172963</v>
      </c>
      <c r="AX37">
        <f t="shared" ref="AX37:AX42" si="27">SQRT(P37)</f>
        <v>0.39908311227356963</v>
      </c>
      <c r="AY37" t="str">
        <f>$F$4</f>
        <v>Right</v>
      </c>
    </row>
    <row r="38" spans="1:51">
      <c r="E38" t="str">
        <f t="shared" si="1"/>
        <v>Brambilla P</v>
      </c>
      <c r="F38">
        <f t="shared" si="1"/>
        <v>2002</v>
      </c>
      <c r="G38">
        <v>5</v>
      </c>
      <c r="H38">
        <f t="shared" si="2"/>
        <v>18</v>
      </c>
      <c r="I38">
        <f t="shared" si="2"/>
        <v>38</v>
      </c>
      <c r="J38">
        <f t="shared" si="3"/>
        <v>295.39999999999998</v>
      </c>
      <c r="K38">
        <f t="shared" si="3"/>
        <v>62.1</v>
      </c>
      <c r="L38">
        <f t="shared" si="3"/>
        <v>313.7</v>
      </c>
      <c r="M38">
        <f t="shared" si="3"/>
        <v>76.2</v>
      </c>
      <c r="N38">
        <f t="shared" si="4"/>
        <v>72.059292715559366</v>
      </c>
      <c r="O38" s="59">
        <f t="shared" si="5"/>
        <v>-0.25041393667321449</v>
      </c>
      <c r="P38" s="63">
        <f t="shared" si="6"/>
        <v>8.2473603381911453E-2</v>
      </c>
      <c r="Q38" s="59">
        <f t="shared" si="7"/>
        <v>0.56287706895196132</v>
      </c>
      <c r="R38" s="59">
        <f t="shared" si="8"/>
        <v>12.125091653498982</v>
      </c>
      <c r="S38" s="59">
        <f t="shared" si="9"/>
        <v>-3.0362919334762157</v>
      </c>
      <c r="T38" s="59">
        <f t="shared" si="10"/>
        <v>0.76032981595090499</v>
      </c>
      <c r="U38" s="23">
        <f t="shared" si="11"/>
        <v>147.01784760575069</v>
      </c>
      <c r="V38" s="59">
        <f t="shared" si="12"/>
        <v>11.820870744792183</v>
      </c>
      <c r="W38" s="59">
        <f t="shared" si="13"/>
        <v>-2.9601107781086435</v>
      </c>
      <c r="AF38" s="59">
        <f t="shared" si="14"/>
        <v>-0.25041393667321449</v>
      </c>
      <c r="AG38" s="59">
        <f t="shared" si="15"/>
        <v>0.56287706895196132</v>
      </c>
      <c r="AH38" s="59">
        <f t="shared" si="16"/>
        <v>0.56287706895196132</v>
      </c>
      <c r="AJ38">
        <f t="shared" si="17"/>
        <v>0.28718217803671497</v>
      </c>
      <c r="AK38">
        <f t="shared" si="18"/>
        <v>3.4821102299466316</v>
      </c>
      <c r="AL38">
        <f t="shared" si="19"/>
        <v>-0.87196893061100811</v>
      </c>
      <c r="AN38" t="str">
        <f t="shared" si="20"/>
        <v>Brambilla P</v>
      </c>
      <c r="AO38">
        <f t="shared" si="20"/>
        <v>2002</v>
      </c>
      <c r="AP38" t="str">
        <f t="shared" si="21"/>
        <v>Brambilla P 2002</v>
      </c>
      <c r="AQ38">
        <f t="shared" si="22"/>
        <v>18</v>
      </c>
      <c r="AR38">
        <f t="shared" si="23"/>
        <v>295.39999999999998</v>
      </c>
      <c r="AS38">
        <f t="shared" si="23"/>
        <v>62.1</v>
      </c>
      <c r="AT38">
        <f t="shared" si="24"/>
        <v>38</v>
      </c>
      <c r="AU38">
        <f t="shared" si="25"/>
        <v>313.7</v>
      </c>
      <c r="AV38">
        <f t="shared" si="25"/>
        <v>76.2</v>
      </c>
      <c r="AW38" s="65">
        <f t="shared" si="26"/>
        <v>-0.25041393667321449</v>
      </c>
      <c r="AX38">
        <f t="shared" si="27"/>
        <v>0.28718217803671497</v>
      </c>
      <c r="AY38" t="str">
        <f>$F$6</f>
        <v>Cohens Effect size</v>
      </c>
    </row>
    <row r="39" spans="1:51">
      <c r="E39" t="str">
        <f t="shared" si="1"/>
        <v>Hastings RS</v>
      </c>
      <c r="F39">
        <f t="shared" si="1"/>
        <v>2004</v>
      </c>
      <c r="G39">
        <v>4</v>
      </c>
      <c r="H39">
        <f t="shared" si="2"/>
        <v>8</v>
      </c>
      <c r="I39">
        <f t="shared" si="2"/>
        <v>8</v>
      </c>
      <c r="J39">
        <f t="shared" si="3"/>
        <v>729</v>
      </c>
      <c r="K39">
        <f t="shared" si="3"/>
        <v>104</v>
      </c>
      <c r="L39">
        <f t="shared" si="3"/>
        <v>827</v>
      </c>
      <c r="M39">
        <f t="shared" si="3"/>
        <v>150</v>
      </c>
      <c r="N39">
        <f t="shared" si="4"/>
        <v>129.06587465321729</v>
      </c>
      <c r="O39" s="59">
        <f t="shared" si="5"/>
        <v>-0.71788569754395415</v>
      </c>
      <c r="P39" s="63">
        <f t="shared" si="6"/>
        <v>0.27136649563591086</v>
      </c>
      <c r="Q39" s="59">
        <f t="shared" si="7"/>
        <v>1.0210198478163464</v>
      </c>
      <c r="R39" s="59">
        <f t="shared" si="8"/>
        <v>3.6850532990693439</v>
      </c>
      <c r="S39" s="59">
        <f t="shared" si="9"/>
        <v>-2.6454470580890455</v>
      </c>
      <c r="T39" s="59">
        <f t="shared" si="10"/>
        <v>1.8991286066118556</v>
      </c>
      <c r="U39" s="23">
        <f t="shared" si="11"/>
        <v>13.579617816981855</v>
      </c>
      <c r="V39" s="59">
        <f t="shared" si="12"/>
        <v>3.6564538001126596</v>
      </c>
      <c r="W39" s="59">
        <f t="shared" si="13"/>
        <v>-2.6249158868311184</v>
      </c>
      <c r="AF39" s="59">
        <f t="shared" si="14"/>
        <v>-0.71788569754395415</v>
      </c>
      <c r="AG39" s="59">
        <f t="shared" si="15"/>
        <v>1.0210198478163464</v>
      </c>
      <c r="AH39" s="59">
        <f t="shared" si="16"/>
        <v>1.0210198478163464</v>
      </c>
      <c r="AJ39">
        <f t="shared" si="17"/>
        <v>0.5209284937838502</v>
      </c>
      <c r="AK39">
        <f t="shared" si="18"/>
        <v>1.9196492645974013</v>
      </c>
      <c r="AL39">
        <f t="shared" si="19"/>
        <v>-1.378088751355244</v>
      </c>
      <c r="AN39" t="str">
        <f t="shared" si="20"/>
        <v>Hastings RS</v>
      </c>
      <c r="AO39">
        <f t="shared" si="20"/>
        <v>2004</v>
      </c>
      <c r="AP39" t="str">
        <f t="shared" si="21"/>
        <v>Hastings RS 2004</v>
      </c>
      <c r="AQ39">
        <f t="shared" si="22"/>
        <v>8</v>
      </c>
      <c r="AR39">
        <f t="shared" si="23"/>
        <v>729</v>
      </c>
      <c r="AS39">
        <f t="shared" si="23"/>
        <v>104</v>
      </c>
      <c r="AT39">
        <f t="shared" si="24"/>
        <v>8</v>
      </c>
      <c r="AU39">
        <f t="shared" si="25"/>
        <v>827</v>
      </c>
      <c r="AV39">
        <f t="shared" si="25"/>
        <v>150</v>
      </c>
      <c r="AW39" s="65">
        <f t="shared" si="26"/>
        <v>-0.71788569754395415</v>
      </c>
      <c r="AX39">
        <f t="shared" si="27"/>
        <v>0.5209284937838502</v>
      </c>
      <c r="AY39" t="str">
        <f>$F$5</f>
        <v>H Correction</v>
      </c>
    </row>
    <row r="40" spans="1:51">
      <c r="E40" t="str">
        <f t="shared" si="1"/>
        <v>Hastings RS</v>
      </c>
      <c r="F40">
        <f t="shared" si="1"/>
        <v>2004</v>
      </c>
      <c r="G40">
        <v>3</v>
      </c>
      <c r="H40">
        <f t="shared" si="2"/>
        <v>10</v>
      </c>
      <c r="I40">
        <f t="shared" si="2"/>
        <v>10</v>
      </c>
      <c r="J40">
        <f t="shared" si="3"/>
        <v>680</v>
      </c>
      <c r="K40">
        <f t="shared" si="3"/>
        <v>188</v>
      </c>
      <c r="L40">
        <f t="shared" si="3"/>
        <v>769</v>
      </c>
      <c r="M40">
        <f t="shared" si="3"/>
        <v>158</v>
      </c>
      <c r="N40">
        <f t="shared" si="4"/>
        <v>173.64907140552177</v>
      </c>
      <c r="O40" s="59">
        <f t="shared" si="5"/>
        <v>-0.49087182516892996</v>
      </c>
      <c r="P40" s="63">
        <f t="shared" si="6"/>
        <v>0.20750171695967237</v>
      </c>
      <c r="Q40" s="59">
        <f t="shared" si="7"/>
        <v>0.89282618458033436</v>
      </c>
      <c r="R40" s="59">
        <f t="shared" si="8"/>
        <v>4.8192372316338394</v>
      </c>
      <c r="S40" s="59">
        <f t="shared" si="9"/>
        <v>-2.3656277758141639</v>
      </c>
      <c r="T40" s="59">
        <f t="shared" si="10"/>
        <v>1.161220023984215</v>
      </c>
      <c r="U40" s="23">
        <f t="shared" si="11"/>
        <v>23.225047494765793</v>
      </c>
      <c r="V40" s="59">
        <f t="shared" si="12"/>
        <v>4.7704404315895159</v>
      </c>
      <c r="W40" s="59">
        <f t="shared" si="13"/>
        <v>-2.3416748015140039</v>
      </c>
      <c r="AF40" s="59">
        <f t="shared" si="14"/>
        <v>-0.49087182516892996</v>
      </c>
      <c r="AG40" s="59">
        <f t="shared" si="15"/>
        <v>0.89282618458033436</v>
      </c>
      <c r="AH40" s="59">
        <f t="shared" si="16"/>
        <v>0.89282618458033436</v>
      </c>
      <c r="AJ40">
        <f t="shared" si="17"/>
        <v>0.45552356356139512</v>
      </c>
      <c r="AK40">
        <f t="shared" si="18"/>
        <v>2.1952761174015989</v>
      </c>
      <c r="AL40">
        <f t="shared" si="19"/>
        <v>-1.0775991944986851</v>
      </c>
      <c r="AN40" t="str">
        <f t="shared" si="20"/>
        <v>Hastings RS</v>
      </c>
      <c r="AO40">
        <f t="shared" si="20"/>
        <v>2004</v>
      </c>
      <c r="AP40" t="str">
        <f t="shared" si="21"/>
        <v>Hastings RS 2004</v>
      </c>
      <c r="AQ40">
        <f t="shared" si="22"/>
        <v>10</v>
      </c>
      <c r="AR40">
        <f t="shared" si="23"/>
        <v>680</v>
      </c>
      <c r="AS40">
        <f t="shared" si="23"/>
        <v>188</v>
      </c>
      <c r="AT40">
        <f t="shared" si="24"/>
        <v>10</v>
      </c>
      <c r="AU40">
        <f t="shared" si="25"/>
        <v>769</v>
      </c>
      <c r="AV40">
        <f t="shared" si="25"/>
        <v>158</v>
      </c>
      <c r="AW40" s="65">
        <f t="shared" si="26"/>
        <v>-0.49087182516892996</v>
      </c>
      <c r="AX40">
        <f t="shared" si="27"/>
        <v>0.45552356356139512</v>
      </c>
    </row>
    <row r="41" spans="1:51">
      <c r="E41" t="str">
        <f>E28</f>
        <v>Coryell W</v>
      </c>
      <c r="F41">
        <f>F28</f>
        <v>2005</v>
      </c>
      <c r="G41">
        <v>2</v>
      </c>
      <c r="H41">
        <f>H28</f>
        <v>10</v>
      </c>
      <c r="I41">
        <f>I28</f>
        <v>10</v>
      </c>
      <c r="J41">
        <f t="shared" ref="J41:M42" si="28">IF($D$4="Total",T28,IF($D$4="Left",L28,IF($D$4="Right",P28,"error")))</f>
        <v>301</v>
      </c>
      <c r="K41">
        <f t="shared" si="28"/>
        <v>158</v>
      </c>
      <c r="L41">
        <f t="shared" si="28"/>
        <v>321</v>
      </c>
      <c r="M41">
        <f t="shared" si="28"/>
        <v>87</v>
      </c>
      <c r="N41">
        <f t="shared" si="4"/>
        <v>127.54018974425277</v>
      </c>
      <c r="O41" s="59">
        <f t="shared" si="5"/>
        <v>-0.1501874006607235</v>
      </c>
      <c r="P41" s="63">
        <f t="shared" si="6"/>
        <v>0.20070224954287749</v>
      </c>
      <c r="Q41" s="59">
        <f t="shared" si="7"/>
        <v>0.87807617086669543</v>
      </c>
      <c r="R41" s="59">
        <f t="shared" si="8"/>
        <v>4.9825051900395501</v>
      </c>
      <c r="S41" s="59">
        <f t="shared" si="9"/>
        <v>-0.74830950327060419</v>
      </c>
      <c r="T41" s="59">
        <f t="shared" si="10"/>
        <v>0.11238665918592923</v>
      </c>
      <c r="U41" s="23">
        <f t="shared" si="11"/>
        <v>24.825357968771051</v>
      </c>
      <c r="V41" s="59">
        <f t="shared" si="12"/>
        <v>4.9303639566448707</v>
      </c>
      <c r="W41" s="59">
        <f t="shared" si="13"/>
        <v>-0.74047854695981319</v>
      </c>
      <c r="AF41" s="59">
        <f t="shared" si="14"/>
        <v>-0.1501874006607235</v>
      </c>
      <c r="AG41" s="59">
        <f t="shared" si="15"/>
        <v>0.87807617086669543</v>
      </c>
      <c r="AH41" s="59">
        <f t="shared" si="16"/>
        <v>0.87807617086669543</v>
      </c>
      <c r="AJ41">
        <f t="shared" si="17"/>
        <v>0.4479980463605589</v>
      </c>
      <c r="AK41">
        <f t="shared" si="18"/>
        <v>2.2321525911190636</v>
      </c>
      <c r="AL41">
        <f t="shared" si="19"/>
        <v>-0.33524119553827098</v>
      </c>
      <c r="AN41" t="str">
        <f>E41</f>
        <v>Coryell W</v>
      </c>
      <c r="AO41">
        <f>F41</f>
        <v>2005</v>
      </c>
      <c r="AP41" t="str">
        <f t="shared" si="21"/>
        <v>Coryell W 2005</v>
      </c>
      <c r="AQ41">
        <f t="shared" si="22"/>
        <v>10</v>
      </c>
      <c r="AR41">
        <f>J41</f>
        <v>301</v>
      </c>
      <c r="AS41">
        <f>K41</f>
        <v>158</v>
      </c>
      <c r="AT41">
        <f t="shared" si="24"/>
        <v>10</v>
      </c>
      <c r="AU41">
        <f>L41</f>
        <v>321</v>
      </c>
      <c r="AV41">
        <f>M41</f>
        <v>87</v>
      </c>
      <c r="AW41" s="65">
        <f t="shared" si="26"/>
        <v>-0.1501874006607235</v>
      </c>
      <c r="AX41">
        <f t="shared" si="27"/>
        <v>0.4479980463605589</v>
      </c>
    </row>
    <row r="42" spans="1:51">
      <c r="E42" t="str">
        <f>E29</f>
        <v>Frodl T (A)</v>
      </c>
      <c r="F42">
        <f>F29</f>
        <v>2008</v>
      </c>
      <c r="G42">
        <v>1</v>
      </c>
      <c r="H42">
        <f>H29</f>
        <v>78</v>
      </c>
      <c r="I42">
        <f>I29</f>
        <v>78</v>
      </c>
      <c r="J42">
        <f t="shared" si="28"/>
        <v>0.56999999999999995</v>
      </c>
      <c r="K42">
        <f t="shared" si="28"/>
        <v>0.17</v>
      </c>
      <c r="L42">
        <f t="shared" si="28"/>
        <v>0.54</v>
      </c>
      <c r="M42">
        <f t="shared" si="28"/>
        <v>0.2</v>
      </c>
      <c r="N42">
        <f t="shared" si="4"/>
        <v>0.18560711193270588</v>
      </c>
      <c r="O42" s="59">
        <f t="shared" si="5"/>
        <v>0.1608432900319525</v>
      </c>
      <c r="P42" s="63">
        <f t="shared" si="6"/>
        <v>2.5726092601266015E-2</v>
      </c>
      <c r="Q42" s="59">
        <f t="shared" si="7"/>
        <v>0.31437136850709468</v>
      </c>
      <c r="R42" s="59">
        <f t="shared" si="8"/>
        <v>38.871040989364573</v>
      </c>
      <c r="S42" s="59">
        <f t="shared" si="9"/>
        <v>6.2521461196962793</v>
      </c>
      <c r="T42" s="59">
        <f t="shared" si="10"/>
        <v>1.0056157516524551</v>
      </c>
      <c r="U42" s="23">
        <f t="shared" si="11"/>
        <v>1510.9578275968609</v>
      </c>
      <c r="V42" s="59">
        <f t="shared" si="12"/>
        <v>35.908414121317712</v>
      </c>
      <c r="W42" s="59">
        <f t="shared" si="13"/>
        <v>5.7756274671025638</v>
      </c>
      <c r="AF42" s="59">
        <f t="shared" si="14"/>
        <v>0.1608432900319525</v>
      </c>
      <c r="AG42" s="59">
        <f t="shared" si="15"/>
        <v>0.31437136850709468</v>
      </c>
      <c r="AH42" s="59">
        <f t="shared" si="16"/>
        <v>0.31437136850709468</v>
      </c>
      <c r="AJ42">
        <f t="shared" si="17"/>
        <v>0.16039355536076261</v>
      </c>
      <c r="AK42">
        <f t="shared" si="18"/>
        <v>6.2346644648581186</v>
      </c>
      <c r="AL42">
        <f t="shared" si="19"/>
        <v>1.0028039447730823</v>
      </c>
      <c r="AN42" t="str">
        <f>E42</f>
        <v>Frodl T (A)</v>
      </c>
      <c r="AO42">
        <f>F42</f>
        <v>2008</v>
      </c>
      <c r="AP42" t="str">
        <f t="shared" si="21"/>
        <v>Frodl T (A) 2008</v>
      </c>
      <c r="AQ42">
        <f t="shared" si="22"/>
        <v>78</v>
      </c>
      <c r="AR42">
        <f>J42</f>
        <v>0.56999999999999995</v>
      </c>
      <c r="AS42">
        <f>K42</f>
        <v>0.17</v>
      </c>
      <c r="AT42">
        <f t="shared" si="24"/>
        <v>78</v>
      </c>
      <c r="AU42">
        <f>L42</f>
        <v>0.54</v>
      </c>
      <c r="AV42">
        <f>M42</f>
        <v>0.2</v>
      </c>
      <c r="AW42" s="65">
        <f t="shared" si="26"/>
        <v>0.1608432900319525</v>
      </c>
      <c r="AX42">
        <f t="shared" si="27"/>
        <v>0.16039355536076261</v>
      </c>
    </row>
    <row r="43" spans="1:51">
      <c r="U43" s="23"/>
    </row>
    <row r="44" spans="1:51">
      <c r="L44" t="s">
        <v>500</v>
      </c>
      <c r="N44" s="7"/>
      <c r="O44" s="66">
        <f>COUNT(O37:O42)</f>
        <v>6</v>
      </c>
      <c r="Q44" t="s">
        <v>885</v>
      </c>
      <c r="R44" s="59">
        <f t="shared" ref="R44:W44" si="29">SUM(R37:R42)</f>
        <v>70.761679924571908</v>
      </c>
      <c r="S44" s="59">
        <f t="shared" si="29"/>
        <v>-4.1272683747737808</v>
      </c>
      <c r="T44" s="59">
        <f t="shared" si="29"/>
        <v>5.3381594379971524</v>
      </c>
      <c r="U44" s="23">
        <f t="shared" si="29"/>
        <v>1759.0284196474586</v>
      </c>
      <c r="V44" s="59">
        <f t="shared" si="29"/>
        <v>67.282719040904652</v>
      </c>
      <c r="W44" s="59">
        <f t="shared" si="29"/>
        <v>-4.4544620922564553</v>
      </c>
    </row>
    <row r="45" spans="1:51">
      <c r="L45" t="s">
        <v>501</v>
      </c>
      <c r="N45" s="7"/>
      <c r="O45" s="2">
        <v>1</v>
      </c>
    </row>
    <row r="46" spans="1:51">
      <c r="N46" s="7"/>
      <c r="O46" s="7"/>
    </row>
    <row r="47" spans="1:51">
      <c r="G47" s="67" t="s">
        <v>502</v>
      </c>
      <c r="H47" s="40"/>
      <c r="I47" s="40">
        <f>S44/R44</f>
        <v>-5.832631982696318E-2</v>
      </c>
      <c r="J47" s="40"/>
      <c r="K47" s="68" t="s">
        <v>879</v>
      </c>
      <c r="L47" s="40"/>
      <c r="M47" s="42"/>
      <c r="N47" s="7"/>
      <c r="O47" s="69" t="s">
        <v>503</v>
      </c>
      <c r="P47" s="70">
        <f>T44-((S44^2)/R44)</f>
        <v>5.0974310627583863</v>
      </c>
      <c r="Q47" s="71" t="s">
        <v>824</v>
      </c>
      <c r="R47" s="28"/>
      <c r="S47" s="29"/>
      <c r="T47" s="30"/>
      <c r="U47" s="31"/>
      <c r="AF47" s="2" t="s">
        <v>1518</v>
      </c>
    </row>
    <row r="48" spans="1:51">
      <c r="G48" s="43" t="s">
        <v>504</v>
      </c>
      <c r="H48" s="31"/>
      <c r="I48" s="31">
        <f>1/R44</f>
        <v>1.4131942614504707E-2</v>
      </c>
      <c r="J48" s="31"/>
      <c r="K48" s="31"/>
      <c r="L48" s="31"/>
      <c r="M48" s="44"/>
      <c r="N48" s="7"/>
      <c r="O48" s="30" t="s">
        <v>505</v>
      </c>
      <c r="P48" s="31">
        <f>CHIDIST(P47,I52-1)</f>
        <v>0.40410579405259989</v>
      </c>
      <c r="Q48" s="31"/>
      <c r="R48" s="31"/>
      <c r="S48" s="34"/>
      <c r="T48" s="30"/>
      <c r="U48" s="31"/>
      <c r="AF48" s="2"/>
    </row>
    <row r="49" spans="7:34">
      <c r="G49" s="72" t="s">
        <v>506</v>
      </c>
      <c r="H49" s="31"/>
      <c r="I49" s="31">
        <f>$R$59*SQRT(I48)</f>
        <v>0.2330005810033127</v>
      </c>
      <c r="J49" s="31"/>
      <c r="K49" s="31" t="s">
        <v>507</v>
      </c>
      <c r="L49" s="31"/>
      <c r="M49" s="44">
        <f>ABS(I47/SQRT(I48))</f>
        <v>0.49064078024433116</v>
      </c>
      <c r="N49" s="7"/>
      <c r="O49" s="35" t="s">
        <v>508</v>
      </c>
      <c r="P49" s="37">
        <f>IF(((P47-(I52-1))/P47)&lt;0,0,100*((P47-(I52-1))/P47))</f>
        <v>1.9113757804438691</v>
      </c>
      <c r="Q49" s="36"/>
      <c r="R49" s="36"/>
      <c r="S49" s="38"/>
      <c r="T49" s="30"/>
      <c r="U49" s="31"/>
      <c r="AF49" s="2" t="s">
        <v>1535</v>
      </c>
      <c r="AH49">
        <f>IF($D$6=1,100*((EXP(I47))-1),I47)</f>
        <v>-5.832631982696318E-2</v>
      </c>
    </row>
    <row r="50" spans="7:34">
      <c r="G50" s="45" t="s">
        <v>509</v>
      </c>
      <c r="H50" s="46"/>
      <c r="I50" s="46">
        <v>-2</v>
      </c>
      <c r="J50" s="46"/>
      <c r="K50" s="46" t="s">
        <v>825</v>
      </c>
      <c r="L50" s="46"/>
      <c r="M50" s="47">
        <f>2*(1-NORMDIST(M49,0,1,1))</f>
        <v>0.62368053808873247</v>
      </c>
      <c r="N50" s="7"/>
      <c r="O50" s="7"/>
      <c r="AF50" s="79" t="s">
        <v>834</v>
      </c>
      <c r="AH50">
        <f>IF($D$6=1,100*(EXP(I47+I49)-EXP(I47)),I49)</f>
        <v>0.2330005810033127</v>
      </c>
    </row>
    <row r="51" spans="7:34">
      <c r="G51" s="40"/>
      <c r="H51" s="40"/>
      <c r="I51" s="40"/>
      <c r="J51" s="40"/>
      <c r="K51" s="40"/>
      <c r="L51" s="40"/>
      <c r="M51" s="40"/>
      <c r="N51" s="7"/>
      <c r="O51" s="7"/>
      <c r="AF51" s="79" t="s">
        <v>835</v>
      </c>
      <c r="AH51">
        <f>IF($D$6=1,100*(EXP(I47)-EXP(I47-I49)),I49)</f>
        <v>0.2330005810033127</v>
      </c>
    </row>
    <row r="52" spans="7:34">
      <c r="G52" s="73" t="s">
        <v>1110</v>
      </c>
      <c r="H52" s="74"/>
      <c r="I52" s="74">
        <f>O44</f>
        <v>6</v>
      </c>
      <c r="J52" s="74"/>
      <c r="K52" s="75" t="s">
        <v>1167</v>
      </c>
      <c r="L52" s="74"/>
      <c r="M52" s="76"/>
      <c r="N52" s="77"/>
      <c r="O52" s="101" t="s">
        <v>1513</v>
      </c>
      <c r="P52" s="102"/>
      <c r="Q52" s="103"/>
      <c r="AF52" s="7"/>
    </row>
    <row r="53" spans="7:34">
      <c r="G53" s="77" t="s">
        <v>1531</v>
      </c>
      <c r="H53" s="31"/>
      <c r="I53" s="31">
        <f>R44/I52</f>
        <v>11.793613320761985</v>
      </c>
      <c r="J53" s="31"/>
      <c r="K53" s="31"/>
      <c r="L53" s="31"/>
      <c r="M53" s="78"/>
      <c r="N53" s="77"/>
      <c r="O53" s="104" t="s">
        <v>1514</v>
      </c>
      <c r="P53" s="31"/>
      <c r="Q53" s="105">
        <f>INDEX(LINEST(AL37:AL42,AK37:AK42,TRUE,TRUE),1,2)</f>
        <v>-1.9603100790947696</v>
      </c>
      <c r="AF53" s="2" t="s">
        <v>1687</v>
      </c>
      <c r="AH53">
        <f>IF($D$6=1,100*((EXP(I58))-1),I58)</f>
        <v>-6.6205143843077408E-2</v>
      </c>
    </row>
    <row r="54" spans="7:34">
      <c r="G54" s="77" t="s">
        <v>1532</v>
      </c>
      <c r="H54" s="31"/>
      <c r="I54" s="31">
        <f>(1/(I52-1))*(U44-(I52*I53^2))</f>
        <v>184.89850573790631</v>
      </c>
      <c r="J54" s="31"/>
      <c r="K54" s="31"/>
      <c r="L54" s="31"/>
      <c r="M54" s="78"/>
      <c r="N54" s="77"/>
      <c r="O54" s="104" t="s">
        <v>1516</v>
      </c>
      <c r="P54" s="31"/>
      <c r="Q54" s="105">
        <f>INDEX(LINEST(AL37:AL42,AK37:AK42,TRUE,TRUE),2,2)</f>
        <v>0.41251088174173167</v>
      </c>
      <c r="AF54" s="79" t="s">
        <v>834</v>
      </c>
      <c r="AG54" s="7"/>
      <c r="AH54">
        <f>IF($D$6=1,100*(EXP(I58+I60)-EXP(I58)),I60)</f>
        <v>0.23894849769574567</v>
      </c>
    </row>
    <row r="55" spans="7:34">
      <c r="G55" s="77" t="s">
        <v>1669</v>
      </c>
      <c r="H55" s="31"/>
      <c r="I55" s="31">
        <f>(I52-1)*(I53-(I54/(I52*I53)))</f>
        <v>45.90319124083112</v>
      </c>
      <c r="J55" s="31"/>
      <c r="K55" s="31"/>
      <c r="L55" s="31"/>
      <c r="M55" s="78"/>
      <c r="N55" s="77"/>
      <c r="O55" s="104" t="s">
        <v>1349</v>
      </c>
      <c r="P55" s="31"/>
      <c r="Q55" s="105">
        <f>ABS(Q53/Q54)</f>
        <v>4.7521414970141258</v>
      </c>
      <c r="AF55" s="79" t="s">
        <v>835</v>
      </c>
      <c r="AH55">
        <f>IF($D$6=1,100*(EXP(I58)-EXP(I58-I60)),I60)</f>
        <v>0.23894849769574567</v>
      </c>
    </row>
    <row r="56" spans="7:34">
      <c r="G56" s="77" t="s">
        <v>1685</v>
      </c>
      <c r="H56" s="31"/>
      <c r="I56" s="31">
        <f>IF(P47&gt;(I52-1),(P47-(I52-1))/I55,0)</f>
        <v>2.1225335346994542E-3</v>
      </c>
      <c r="J56" s="31"/>
      <c r="K56" s="31"/>
      <c r="L56" s="31"/>
      <c r="M56" s="78"/>
      <c r="N56" s="77"/>
      <c r="O56" s="106" t="s">
        <v>1515</v>
      </c>
      <c r="P56" s="107"/>
      <c r="Q56" s="108">
        <f>TDIST(Q55,I52-2,2)</f>
        <v>8.9567823034950745E-3</v>
      </c>
    </row>
    <row r="57" spans="7:34">
      <c r="G57" s="77"/>
      <c r="H57" s="31"/>
      <c r="I57" s="31"/>
      <c r="J57" s="31"/>
      <c r="K57" s="31"/>
      <c r="L57" s="31"/>
      <c r="M57" s="78"/>
      <c r="N57" s="77"/>
    </row>
    <row r="58" spans="7:34">
      <c r="G58" s="77" t="s">
        <v>1686</v>
      </c>
      <c r="H58" s="31"/>
      <c r="I58" s="31">
        <f>W44/V44</f>
        <v>-6.6205143843077408E-2</v>
      </c>
      <c r="J58" s="31"/>
      <c r="N58" s="77"/>
    </row>
    <row r="59" spans="7:34">
      <c r="G59" s="77" t="s">
        <v>504</v>
      </c>
      <c r="H59" s="31"/>
      <c r="I59" s="31">
        <f>1/V44</f>
        <v>1.4862657369599587E-2</v>
      </c>
      <c r="J59" s="31"/>
      <c r="N59" s="77"/>
      <c r="O59" t="s">
        <v>805</v>
      </c>
      <c r="R59">
        <v>1.96</v>
      </c>
    </row>
    <row r="60" spans="7:34">
      <c r="G60" s="80" t="s">
        <v>506</v>
      </c>
      <c r="H60" s="31"/>
      <c r="I60" s="31">
        <f>$R$59*SQRT(I59)</f>
        <v>0.23894849769574567</v>
      </c>
      <c r="J60" s="31"/>
      <c r="K60" s="31" t="s">
        <v>507</v>
      </c>
      <c r="L60" s="31"/>
      <c r="M60" s="78">
        <f>ABS(I58/(SQRT(I59)))</f>
        <v>0.54305460458537147</v>
      </c>
      <c r="N60" s="77"/>
    </row>
    <row r="61" spans="7:34">
      <c r="G61" s="81" t="s">
        <v>509</v>
      </c>
      <c r="H61" s="82"/>
      <c r="I61" s="82">
        <v>-3</v>
      </c>
      <c r="J61" s="82"/>
      <c r="K61" s="31" t="s">
        <v>825</v>
      </c>
      <c r="L61" s="31"/>
      <c r="M61" s="78">
        <f>2*(1-NORMDIST(M60,0,1,1))</f>
        <v>0.58709220682725261</v>
      </c>
      <c r="N61" s="77"/>
    </row>
    <row r="62" spans="7:34">
      <c r="G62" s="74"/>
      <c r="H62" s="74"/>
      <c r="I62" s="74"/>
      <c r="J62" s="74"/>
      <c r="K62" s="74"/>
      <c r="L62" s="74"/>
      <c r="M62" s="74"/>
      <c r="N62" s="31"/>
      <c r="O62" s="7"/>
    </row>
  </sheetData>
  <phoneticPr fontId="10" type="noConversion"/>
  <conditionalFormatting sqref="D17 D13 F13">
    <cfRule type="cellIs" dxfId="32" priority="0" stopIfTrue="1" operator="lessThan">
      <formula>0.05</formula>
    </cfRule>
  </conditionalFormatting>
  <conditionalFormatting sqref="D21">
    <cfRule type="cellIs" dxfId="3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4.xml><?xml version="1.0" encoding="utf-8"?>
<worksheet xmlns="http://schemas.openxmlformats.org/spreadsheetml/2006/main" xmlns:r="http://schemas.openxmlformats.org/officeDocument/2006/relationships">
  <sheetPr published="0" codeName="Sheet109" enableFormatConditionsCalculation="0"/>
  <dimension ref="A1:BM6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2293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I57-O50</f>
        <v>7</v>
      </c>
      <c r="AD7" s="89"/>
    </row>
    <row r="8" spans="2:30">
      <c r="B8" t="s">
        <v>822</v>
      </c>
      <c r="D8">
        <f>SUM(H24:H33)</f>
        <v>234</v>
      </c>
      <c r="E8" t="s">
        <v>298</v>
      </c>
      <c r="F8">
        <f>Summary!C78</f>
        <v>0.8</v>
      </c>
      <c r="AD8" s="89"/>
    </row>
    <row r="9" spans="2:30">
      <c r="B9" t="s">
        <v>823</v>
      </c>
      <c r="D9">
        <f>SUM(I24:I33)</f>
        <v>265</v>
      </c>
      <c r="AD9" s="89"/>
    </row>
    <row r="11" spans="2:30">
      <c r="B11" s="27" t="s">
        <v>516</v>
      </c>
      <c r="C11" s="28"/>
      <c r="D11" s="109">
        <f>P52</f>
        <v>8.4287422527302844</v>
      </c>
      <c r="E11" s="110" t="s">
        <v>1513</v>
      </c>
      <c r="F11" s="103"/>
    </row>
    <row r="12" spans="2:30">
      <c r="B12" s="30" t="s">
        <v>826</v>
      </c>
      <c r="C12" s="31"/>
      <c r="D12" s="112">
        <f>P54</f>
        <v>16.950835722464742</v>
      </c>
      <c r="E12" s="31"/>
      <c r="F12" s="105"/>
    </row>
    <row r="13" spans="2:30">
      <c r="B13" s="35" t="s">
        <v>825</v>
      </c>
      <c r="C13" s="36"/>
      <c r="D13" s="113">
        <f>P53</f>
        <v>0.29630891039356982</v>
      </c>
      <c r="E13" s="111" t="s">
        <v>825</v>
      </c>
      <c r="F13" s="115">
        <f>Q61</f>
        <v>9.6746076080109489E-2</v>
      </c>
    </row>
    <row r="15" spans="2:30">
      <c r="B15" s="39" t="s">
        <v>879</v>
      </c>
      <c r="C15" s="40"/>
      <c r="D15" s="41">
        <f>AH54</f>
        <v>-0.11397825203657724</v>
      </c>
      <c r="E15" s="116"/>
    </row>
    <row r="16" spans="2:30">
      <c r="B16" s="43" t="s">
        <v>1165</v>
      </c>
      <c r="C16" s="31"/>
      <c r="D16" s="33">
        <f>AH54-AH56</f>
        <v>-0.29519835624424173</v>
      </c>
      <c r="E16" s="117">
        <f>AH54+AH55</f>
        <v>6.7241852171087274E-2</v>
      </c>
    </row>
    <row r="17" spans="1:65">
      <c r="B17" s="45" t="s">
        <v>1166</v>
      </c>
      <c r="C17" s="46"/>
      <c r="D17" s="123">
        <f>M55</f>
        <v>0.21767257153037489</v>
      </c>
      <c r="E17" s="118"/>
    </row>
    <row r="18" spans="1:65">
      <c r="D18" s="48"/>
      <c r="F18" s="49"/>
    </row>
    <row r="19" spans="1:65">
      <c r="B19" s="50" t="s">
        <v>1167</v>
      </c>
      <c r="C19" s="51"/>
      <c r="D19" s="52">
        <f>AH58</f>
        <v>-0.14059433045145497</v>
      </c>
      <c r="E19" s="120"/>
      <c r="F19" s="33"/>
      <c r="G19" s="31"/>
    </row>
    <row r="20" spans="1:65">
      <c r="B20" s="53" t="s">
        <v>1165</v>
      </c>
      <c r="C20" s="31"/>
      <c r="D20" s="33">
        <f>AH58-AH60</f>
        <v>-0.35544234002393432</v>
      </c>
      <c r="E20" s="121">
        <f>AH58+AH59</f>
        <v>7.4253679121024374E-2</v>
      </c>
      <c r="F20" s="31"/>
      <c r="G20" s="31"/>
    </row>
    <row r="21" spans="1:65">
      <c r="B21" s="54" t="s">
        <v>1440</v>
      </c>
      <c r="C21" s="55"/>
      <c r="D21" s="114">
        <f>M66</f>
        <v>0.1996308950503205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11958786</v>
      </c>
      <c r="C24" s="1" t="str">
        <f>IF($B24="","",HYPERLINK(IF(LEN(VLOOKUP($B24,Database!$B$1:$IX$10144,2,FALSE))=0,"",VLOOKUP($B24,Database!$B$1:$IX$10144,2,FALSE))))</f>
        <v/>
      </c>
      <c r="D24" s="1" t="str">
        <f t="shared" ref="D24:D29" si="0">IF($B24="","",HYPERLINK(CONCATENATE("http://www.ncbi.nlm.nih.gov/pubmed/",B24)))</f>
        <v>http://www.ncbi.nlm.nih.gov/pubmed/11958786</v>
      </c>
      <c r="E24" s="22" t="str">
        <f>IF($B24="","",IF(LEN(VLOOKUP($B24,Database!$B$1:$IX$10144,4,FALSE))=0,"",VLOOKUP($B24,Database!$B$1:$IX$10144,4,FALSE)))</f>
        <v>Botteron KN</v>
      </c>
      <c r="F24" s="22">
        <f>IF($B24="","",IF(LEN(VLOOKUP($B24,Database!$B$1:$IX$10144,5,FALSE))=0,"",VLOOKUP($B24,Database!$B$1:$IX$10144,5,FALSE)))</f>
        <v>2002</v>
      </c>
      <c r="G24" s="1" t="str">
        <f>IF($B24="","",HYPERLINK(IF(LEN(VLOOKUP($B24,Database!$B$1:$IX$10144,6,FALSE))=0,"",VLOOKUP($B24,Database!$B$1:$IX$10144,6,FALSE))))</f>
        <v>http://dx.doi.org/10.1016/S0006-3223(01)01280-X</v>
      </c>
      <c r="H24" s="83">
        <v>30</v>
      </c>
      <c r="I24" s="83">
        <v>8</v>
      </c>
      <c r="J24" t="s">
        <v>1570</v>
      </c>
      <c r="K24" t="s">
        <v>1569</v>
      </c>
      <c r="L24">
        <v>0.28999999999999998</v>
      </c>
      <c r="M24">
        <v>0.11</v>
      </c>
      <c r="N24">
        <v>0.36</v>
      </c>
      <c r="O24">
        <v>0.14000000000000001</v>
      </c>
      <c r="P24">
        <v>0.33</v>
      </c>
      <c r="Q24">
        <v>0.11</v>
      </c>
      <c r="R24">
        <v>0.36</v>
      </c>
      <c r="S24">
        <v>0.14000000000000001</v>
      </c>
      <c r="T24">
        <f t="shared" ref="T24:T29" si="1">L24+P24</f>
        <v>0.62</v>
      </c>
      <c r="U24">
        <f t="shared" ref="U24:U29" si="2">2*SQRT(0.25*(M24^2+Q24^2+2*$F$8*M24*Q24))</f>
        <v>0.20871032557111305</v>
      </c>
      <c r="V24">
        <f t="shared" ref="V24:V29" si="3">N24+R24</f>
        <v>0.72</v>
      </c>
      <c r="W24">
        <f t="shared" ref="W24:W29" si="4">2*SQRT(0.25*(O24^2+S24^2+2*$F$8*O24*S24))</f>
        <v>0.26563132345414386</v>
      </c>
      <c r="X24" s="142"/>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t="str">
        <f>IF(OR($B24="",AB$22=""),"",IF(LEN(VLOOKUP($B24,Database!$B$1:$IX$10144,AB$22,FALSE))=0,"",VLOOKUP($B24,Database!$B$1:$IX$10144,AB$22,FALSE)))</f>
        <v/>
      </c>
      <c r="AC24" s="22" t="str">
        <f>IF(OR($B24="",AC$22=""),"",IF(LEN(VLOOKUP($B24,Database!$B$1:$IX$10144,AC$22,FALSE))=0,"",VLOOKUP($B24,Database!$B$1:$IX$10144,AC$22,FALSE)))</f>
        <v/>
      </c>
      <c r="AD24" s="22" t="str">
        <f>IF(OR($B24="",AD$22=""),"",IF(LEN(VLOOKUP($B24,Database!$B$1:$IX$10144,AD$22,FALSE))=0,"",VLOOKUP($B24,Database!$B$1:$IX$10144,AD$22,FALSE)))</f>
        <v/>
      </c>
      <c r="AE24" s="22" t="str">
        <f>IF(OR($B24="",AE$22=""),"",IF(LEN(VLOOKUP($B24,Database!$B$1:$IX$10144,AE$22,FALSE))=0,"",VLOOKUP($B24,Database!$B$1:$IX$10144,AE$22,FALSE)))</f>
        <v/>
      </c>
      <c r="AF24" s="22">
        <f>IF(OR($B24="",AF$22=""),"",IF(LEN(VLOOKUP($B24,Database!$B$1:$IX$10144,AF$22,FALSE))=0,"",VLOOKUP($B24,Database!$B$1:$IX$10144,AF$22,FALSE)))</f>
        <v>48</v>
      </c>
      <c r="AG24" s="22">
        <f>IF(OR($B24="",AG$22=""),"",IF(LEN(VLOOKUP($B24,Database!$B$1:$IX$10144,AG$22,FALSE))=0,"",VLOOKUP($B24,Database!$B$1:$IX$10144,AG$22,FALSE)))</f>
        <v>48</v>
      </c>
      <c r="AH24" s="22">
        <f>IF(OR($B24="",AH$22=""),"",IF(LEN(VLOOKUP($B24,Database!$B$1:$IX$10144,AH$22,FALSE))=0,"",VLOOKUP($B24,Database!$B$1:$IX$10144,AH$22,FALSE)))</f>
        <v>1.5</v>
      </c>
      <c r="AI24" s="22">
        <f>IF(OR($B24="",AI$22=""),"",IF(LEN(VLOOKUP($B24,Database!$B$1:$IX$10144,AI$22,FALSE))=0,"",VLOOKUP($B24,Database!$B$1:$IX$10144,AI$22,FALSE)))</f>
        <v>1</v>
      </c>
      <c r="AJ24" s="22" t="str">
        <f>IF(OR($B24="",AJ$22=""),"",IF(LEN(VLOOKUP($B24,Database!$B$1:$IX$10144,AJ$22,FALSE))=0,"",VLOOKUP($B24,Database!$B$1:$IX$10144,AJ$22,FALSE)))</f>
        <v/>
      </c>
      <c r="AK24" s="22">
        <f>IF(OR($B24="",AK$22=""),"",IF(LEN(VLOOKUP($B24,Database!$B$1:$IX$10144,AK$22,FALSE))=0,"",VLOOKUP($B24,Database!$B$1:$IX$10144,AK$22,FALSE)))</f>
        <v>15.2</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Botteron KN, Raichle ME, Drevets WC, Heath AC, Todd RD.</v>
      </c>
      <c r="AR24" s="13"/>
      <c r="AX24" s="13"/>
      <c r="AY24" s="13"/>
      <c r="AZ24" s="13"/>
      <c r="BA24" s="13"/>
      <c r="BC24" s="23"/>
      <c r="BF24" s="136"/>
      <c r="BG24" s="136"/>
      <c r="BH24" s="136"/>
      <c r="BI24" s="136"/>
    </row>
    <row r="25" spans="1:65">
      <c r="B25">
        <v>12431853</v>
      </c>
      <c r="C25" s="1" t="str">
        <f>IF($B25="","",HYPERLINK(IF(LEN(VLOOKUP($B25,Database!$B$1:$IX$10144,2,FALSE))=0,"",VLOOKUP($B25,Database!$B$1:$IX$10144,2,FALSE))))</f>
        <v/>
      </c>
      <c r="D25" s="1" t="str">
        <f t="shared" si="0"/>
        <v>http://www.ncbi.nlm.nih.gov/pubmed/12431853</v>
      </c>
      <c r="E25" s="22" t="str">
        <f>IF($B25="","",IF(LEN(VLOOKUP($B25,Database!$B$1:$IX$10144,4,FALSE))=0,"",VLOOKUP($B25,Database!$B$1:$IX$10144,4,FALSE)))</f>
        <v>Brambilla P</v>
      </c>
      <c r="F25" s="22">
        <f>IF($B25="","",IF(LEN(VLOOKUP($B25,Database!$B$1:$IX$10144,5,FALSE))=0,"",VLOOKUP($B25,Database!$B$1:$IX$10144,5,FALSE)))</f>
        <v>2002</v>
      </c>
      <c r="G25" s="1" t="str">
        <f>IF($B25="","",HYPERLINK(IF(LEN(VLOOKUP($B25,Database!$B$1:$IX$10144,6,FALSE))=0,"",VLOOKUP($B25,Database!$B$1:$IX$10144,6,FALSE))))</f>
        <v>http://www.nature.com/npp/journal/v27/n5/pdf/1395942a.pdf</v>
      </c>
      <c r="H25" s="22">
        <f>IF($B25="","",IF(LEN(VLOOKUP($B25,Database!$B$1:$IX$10144,7,FALSE))=0,"",VLOOKUP($B25,Database!$B$1:$IX$10144,7,FALSE)))</f>
        <v>18</v>
      </c>
      <c r="I25" s="22">
        <f>IF($B25="","",IF(LEN(VLOOKUP($B25,Database!$B$1:$IX$10144,8,FALSE))=0,"",VLOOKUP($B25,Database!$B$1:$IX$10144,8,FALSE)))</f>
        <v>38</v>
      </c>
      <c r="J25" t="s">
        <v>1571</v>
      </c>
      <c r="L25">
        <v>300.2</v>
      </c>
      <c r="M25">
        <v>82.3</v>
      </c>
      <c r="N25">
        <v>290</v>
      </c>
      <c r="O25">
        <v>77</v>
      </c>
      <c r="P25">
        <v>295.39999999999998</v>
      </c>
      <c r="Q25">
        <v>62.1</v>
      </c>
      <c r="R25">
        <v>313.7</v>
      </c>
      <c r="S25">
        <v>76.2</v>
      </c>
      <c r="T25">
        <f t="shared" si="1"/>
        <v>595.59999999999991</v>
      </c>
      <c r="U25">
        <f t="shared" si="2"/>
        <v>137.13871809230244</v>
      </c>
      <c r="V25">
        <f t="shared" si="3"/>
        <v>603.70000000000005</v>
      </c>
      <c r="W25">
        <f t="shared" si="4"/>
        <v>145.33850143716219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c r="AC25" s="22"/>
      <c r="AD25" s="22">
        <f>IF(OR($B25="",AD$22=""),"",IF(LEN(VLOOKUP($B25,Database!$B$1:$IX$10144,AD$22,FALSE))=0,"",VLOOKUP($B25,Database!$B$1:$IX$10144,AD$22,FALSE)))</f>
        <v>37</v>
      </c>
      <c r="AE25" s="22">
        <f>IF(OR($B25="",AE$22=""),"",IF(LEN(VLOOKUP($B25,Database!$B$1:$IX$10144,AE$22,FALSE))=0,"",VLOOKUP($B25,Database!$B$1:$IX$10144,AE$22,FALSE)))</f>
        <v>10</v>
      </c>
      <c r="AF25" s="22">
        <f>IF(OR($B25="",AF$22=""),"",IF(LEN(VLOOKUP($B25,Database!$B$1:$IX$10144,AF$22,FALSE))=0,"",VLOOKUP($B25,Database!$B$1:$IX$10144,AF$22,FALSE)))</f>
        <v>17</v>
      </c>
      <c r="AG25" s="22">
        <f>IF(OR($B25="",AG$22=""),"",IF(LEN(VLOOKUP($B25,Database!$B$1:$IX$10144,AG$22,FALSE))=0,"",VLOOKUP($B25,Database!$B$1:$IX$10144,AG$22,FALSE)))</f>
        <v>14</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Brambilla P, Nicoletti MA, Harenski K, Sassi RB, Mallinger AG, Frank E, Kupfer DJ, Keshavan MS, Soares JC.</v>
      </c>
      <c r="AR25" s="13"/>
      <c r="AX25" s="13"/>
      <c r="AY25" s="13"/>
      <c r="AZ25" s="13"/>
      <c r="BA25" s="13"/>
      <c r="BC25" s="23"/>
      <c r="BF25" s="136"/>
      <c r="BG25" s="136"/>
      <c r="BH25" s="136"/>
      <c r="BI25" s="136"/>
    </row>
    <row r="26" spans="1:65">
      <c r="A26" s="10"/>
      <c r="B26">
        <v>14997169</v>
      </c>
      <c r="C26" s="1" t="str">
        <f>IF($B26="","",HYPERLINK(IF(LEN(VLOOKUP($B26,Database!$B$1:$IX$10144,2,FALSE))=0,"",VLOOKUP($B26,Database!$B$1:$IX$10144,2,FALSE))))</f>
        <v/>
      </c>
      <c r="D26" s="1" t="str">
        <f t="shared" si="0"/>
        <v>http://www.ncbi.nlm.nih.gov/pubmed/14997169</v>
      </c>
      <c r="E26" s="22" t="str">
        <f>IF($B26="","",IF(LEN(VLOOKUP($B26,Database!$B$1:$IX$10144,4,FALSE))=0,"",VLOOKUP($B26,Database!$B$1:$IX$10144,4,FALSE)))</f>
        <v>Hastings RS</v>
      </c>
      <c r="F26" s="22">
        <f>IF($B26="","",IF(LEN(VLOOKUP($B26,Database!$B$1:$IX$10144,5,FALSE))=0,"",VLOOKUP($B26,Database!$B$1:$IX$10144,5,FALSE)))</f>
        <v>2004</v>
      </c>
      <c r="G26" s="1" t="str">
        <f>IF($B26="","",HYPERLINK(IF(LEN(VLOOKUP($B26,Database!$B$1:$IX$10144,6,FALSE))=0,"",VLOOKUP($B26,Database!$B$1:$IX$10144,6,FALSE))))</f>
        <v>http://www.nature.com/npp/journal/v29/n5/pdf/1300371a.pdf</v>
      </c>
      <c r="H26" s="83">
        <v>8</v>
      </c>
      <c r="I26" s="83">
        <v>8</v>
      </c>
      <c r="J26" t="s">
        <v>104</v>
      </c>
      <c r="K26" t="s">
        <v>1367</v>
      </c>
      <c r="L26">
        <v>639</v>
      </c>
      <c r="M26">
        <v>105</v>
      </c>
      <c r="N26">
        <v>817</v>
      </c>
      <c r="O26">
        <v>193</v>
      </c>
      <c r="P26">
        <v>729</v>
      </c>
      <c r="Q26">
        <v>104</v>
      </c>
      <c r="R26">
        <v>827</v>
      </c>
      <c r="S26">
        <v>150</v>
      </c>
      <c r="T26">
        <f t="shared" si="1"/>
        <v>1368</v>
      </c>
      <c r="U26">
        <f t="shared" si="2"/>
        <v>198.27506146764904</v>
      </c>
      <c r="V26">
        <f t="shared" si="3"/>
        <v>1644</v>
      </c>
      <c r="W26">
        <f t="shared" si="4"/>
        <v>325.68236059080635</v>
      </c>
      <c r="Y26" s="22" t="str">
        <f>IF(OR($B26="",Y$22=""),"",IF(LEN(VLOOKUP($B26,Database!$B$1:$IX$10144,Y$22,FALSE))=0,"",VLOOKUP($B26,Database!$B$1:$IX$10144,Y$22,FALSE)))</f>
        <v>DSM-III-R</v>
      </c>
      <c r="Z26" s="22" t="str">
        <f>IF(OR($B26="",Z$22=""),"",IF(LEN(VLOOKUP($B26,Database!$B$1:$IX$10144,Z$22,FALSE))=0,"",VLOOKUP($B26,Database!$B$1:$IX$10144,Z$22,FALSE)))</f>
        <v>MRI</v>
      </c>
      <c r="AA26" s="214" t="s">
        <v>1367</v>
      </c>
      <c r="AB26" s="22">
        <f>IF(OR($B26="",AB$22=""),"",IF(LEN(VLOOKUP($B26,Database!$B$1:$IX$10144,AB$22,FALSE))=0,"",VLOOKUP($B26,Database!$B$1:$IX$10144,AB$22,FALSE)))</f>
        <v>38.9</v>
      </c>
      <c r="AC26" s="22">
        <f>IF(OR($B26="",AC$22=""),"",IF(LEN(VLOOKUP($B26,Database!$B$1:$IX$10144,AC$22,FALSE))=0,"",VLOOKUP($B26,Database!$B$1:$IX$10144,AC$22,FALSE)))</f>
        <v>11.4</v>
      </c>
      <c r="AD26" s="22">
        <f>IF(OR($B26="",AD$22=""),"",IF(LEN(VLOOKUP($B26,Database!$B$1:$IX$10144,AD$22,FALSE))=0,"",VLOOKUP($B26,Database!$B$1:$IX$10144,AD$22,FALSE)))</f>
        <v>34.799999999999997</v>
      </c>
      <c r="AE26" s="22">
        <f>IF(OR($B26="",AE$22=""),"",IF(LEN(VLOOKUP($B26,Database!$B$1:$IX$10144,AE$22,FALSE))=0,"",VLOOKUP($B26,Database!$B$1:$IX$10144,AE$22,FALSE)))</f>
        <v>13.6</v>
      </c>
      <c r="AF26" s="214">
        <v>0</v>
      </c>
      <c r="AG26" s="214">
        <v>0</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23</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Hastings RS, Parsey RV, Oquendo MA, Arango V, Mann JJ.</v>
      </c>
      <c r="AR26" s="13"/>
      <c r="AU26" s="13"/>
      <c r="AX26" s="13"/>
      <c r="AY26" s="13"/>
      <c r="AZ26" s="13"/>
      <c r="BA26" s="13"/>
      <c r="BC26" s="23"/>
      <c r="BF26" s="136"/>
      <c r="BG26" s="136"/>
      <c r="BH26" s="136"/>
      <c r="BI26" s="136"/>
    </row>
    <row r="27" spans="1:65">
      <c r="A27" s="10"/>
      <c r="B27">
        <v>14997169</v>
      </c>
      <c r="C27" s="1" t="str">
        <f>IF($B27="","",HYPERLINK(IF(LEN(VLOOKUP($B27,Database!$B$1:$IX$10144,2,FALSE))=0,"",VLOOKUP($B27,Database!$B$1:$IX$10144,2,FALSE))))</f>
        <v/>
      </c>
      <c r="D27" s="1" t="str">
        <f t="shared" si="0"/>
        <v>http://www.ncbi.nlm.nih.gov/pubmed/14997169</v>
      </c>
      <c r="E27" s="22" t="str">
        <f>IF($B27="","",IF(LEN(VLOOKUP($B27,Database!$B$1:$IX$10144,4,FALSE))=0,"",VLOOKUP($B27,Database!$B$1:$IX$10144,4,FALSE)))</f>
        <v>Hastings RS</v>
      </c>
      <c r="F27" s="22">
        <f>IF($B27="","",IF(LEN(VLOOKUP($B27,Database!$B$1:$IX$10144,5,FALSE))=0,"",VLOOKUP($B27,Database!$B$1:$IX$10144,5,FALSE)))</f>
        <v>2004</v>
      </c>
      <c r="G27" s="1" t="str">
        <f>IF($B27="","",HYPERLINK(IF(LEN(VLOOKUP($B27,Database!$B$1:$IX$10144,6,FALSE))=0,"",VLOOKUP($B27,Database!$B$1:$IX$10144,6,FALSE))))</f>
        <v>http://www.nature.com/npp/journal/v29/n5/pdf/1300371a.pdf</v>
      </c>
      <c r="H27" s="83">
        <v>10</v>
      </c>
      <c r="I27" s="83">
        <v>10</v>
      </c>
      <c r="J27" t="s">
        <v>104</v>
      </c>
      <c r="K27" t="s">
        <v>1368</v>
      </c>
      <c r="L27">
        <v>636</v>
      </c>
      <c r="M27">
        <v>156</v>
      </c>
      <c r="N27">
        <v>715</v>
      </c>
      <c r="O27">
        <v>160</v>
      </c>
      <c r="P27">
        <v>680</v>
      </c>
      <c r="Q27">
        <v>188</v>
      </c>
      <c r="R27">
        <v>769</v>
      </c>
      <c r="S27">
        <v>158</v>
      </c>
      <c r="T27">
        <f t="shared" si="1"/>
        <v>1316</v>
      </c>
      <c r="U27">
        <f t="shared" si="2"/>
        <v>326.50390503024613</v>
      </c>
      <c r="V27">
        <f t="shared" si="3"/>
        <v>1484</v>
      </c>
      <c r="W27">
        <f t="shared" si="4"/>
        <v>301.68195173062639</v>
      </c>
      <c r="Y27" s="22" t="str">
        <f>IF(OR($B27="",Y$22=""),"",IF(LEN(VLOOKUP($B27,Database!$B$1:$IX$10144,Y$22,FALSE))=0,"",VLOOKUP($B27,Database!$B$1:$IX$10144,Y$22,FALSE)))</f>
        <v>DSM-III-R</v>
      </c>
      <c r="Z27" s="22" t="str">
        <f>IF(OR($B27="",Z$22=""),"",IF(LEN(VLOOKUP($B27,Database!$B$1:$IX$10144,Z$22,FALSE))=0,"",VLOOKUP($B27,Database!$B$1:$IX$10144,Z$22,FALSE)))</f>
        <v>MRI</v>
      </c>
      <c r="AA27" s="214" t="s">
        <v>1368</v>
      </c>
      <c r="AB27" s="22">
        <f>IF(OR($B27="",AB$22=""),"",IF(LEN(VLOOKUP($B27,Database!$B$1:$IX$10144,AB$22,FALSE))=0,"",VLOOKUP($B27,Database!$B$1:$IX$10144,AB$22,FALSE)))</f>
        <v>38.9</v>
      </c>
      <c r="AC27" s="22">
        <f>IF(OR($B27="",AC$22=""),"",IF(LEN(VLOOKUP($B27,Database!$B$1:$IX$10144,AC$22,FALSE))=0,"",VLOOKUP($B27,Database!$B$1:$IX$10144,AC$22,FALSE)))</f>
        <v>11.4</v>
      </c>
      <c r="AD27" s="22">
        <f>IF(OR($B27="",AD$22=""),"",IF(LEN(VLOOKUP($B27,Database!$B$1:$IX$10144,AD$22,FALSE))=0,"",VLOOKUP($B27,Database!$B$1:$IX$10144,AD$22,FALSE)))</f>
        <v>34.799999999999997</v>
      </c>
      <c r="AE27" s="22">
        <f>IF(OR($B27="",AE$22=""),"",IF(LEN(VLOOKUP($B27,Database!$B$1:$IX$10144,AE$22,FALSE))=0,"",VLOOKUP($B27,Database!$B$1:$IX$10144,AE$22,FALSE)))</f>
        <v>13.6</v>
      </c>
      <c r="AF27" s="22">
        <f>IF(OR($B27="",AF$22=""),"",IF(LEN(VLOOKUP($B27,Database!$B$1:$IX$10144,AF$22,FALSE))=0,"",VLOOKUP($B27,Database!$B$1:$IX$10144,AF$22,FALSE)))</f>
        <v>10</v>
      </c>
      <c r="AG27" s="22">
        <f>IF(OR($B27="",AG$22=""),"",IF(LEN(VLOOKUP($B27,Database!$B$1:$IX$10144,AG$22,FALSE))=0,"",VLOOKUP($B27,Database!$B$1:$IX$10144,AG$22,FALSE)))</f>
        <v>10</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23</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Hastings RS, Parsey RV, Oquendo MA, Arango V, Mann JJ.</v>
      </c>
      <c r="AR27" s="13"/>
      <c r="AU27" s="13"/>
      <c r="AX27" s="13"/>
      <c r="AY27" s="13"/>
      <c r="AZ27" s="13"/>
      <c r="BA27" s="13"/>
      <c r="BC27" s="23"/>
      <c r="BF27" s="136"/>
      <c r="BG27" s="136"/>
      <c r="BH27" s="136"/>
      <c r="BI27" s="136"/>
    </row>
    <row r="28" spans="1:65">
      <c r="A28" s="10"/>
      <c r="B28">
        <v>16135631</v>
      </c>
      <c r="C28" s="1" t="str">
        <f>IF($B28="","",HYPERLINK(IF(LEN(VLOOKUP($B28,Database!$B$1:$IX$10144,2,FALSE))=0,"",VLOOKUP($B28,Database!$B$1:$IX$10144,2,FALSE))))</f>
        <v/>
      </c>
      <c r="D28" s="1" t="str">
        <f>IF($B28="","",HYPERLINK(CONCATENATE("http://www.ncbi.nlm.nih.gov/pubmed/",B28)))</f>
        <v>http://www.ncbi.nlm.nih.gov/pubmed/16135631</v>
      </c>
      <c r="E28" s="22" t="str">
        <f>IF($B28="","",IF(LEN(VLOOKUP($B28,Database!$B$1:$IX$10144,4,FALSE))=0,"",VLOOKUP($B28,Database!$B$1:$IX$10144,4,FALSE)))</f>
        <v>Coryell W</v>
      </c>
      <c r="F28" s="22">
        <f>IF($B28="","",IF(LEN(VLOOKUP($B28,Database!$B$1:$IX$10144,5,FALSE))=0,"",VLOOKUP($B28,Database!$B$1:$IX$10144,5,FALSE)))</f>
        <v>2005</v>
      </c>
      <c r="G28" s="1" t="str">
        <f>IF($B28="","",HYPERLINK(IF(LEN(VLOOKUP($B28,Database!$B$1:$IX$10144,6,FALSE))=0,"",VLOOKUP($B28,Database!$B$1:$IX$10144,6,FALSE))))</f>
        <v>http://ajp.psychiatryonline.org/cgi/reprint/162/9/1706</v>
      </c>
      <c r="H28" s="22">
        <f>IF($B28="","",IF(LEN(VLOOKUP($B28,Database!$B$1:$IX$10144,7,FALSE))=0,"",VLOOKUP($B28,Database!$B$1:$IX$10144,7,FALSE)))</f>
        <v>10</v>
      </c>
      <c r="I28" s="22">
        <f>IF($B28="","",IF(LEN(VLOOKUP($B28,Database!$B$1:$IX$10144,8,FALSE))=0,"",VLOOKUP($B28,Database!$B$1:$IX$10144,8,FALSE)))</f>
        <v>10</v>
      </c>
      <c r="J28" t="s">
        <v>2269</v>
      </c>
      <c r="L28">
        <v>315</v>
      </c>
      <c r="M28">
        <v>117</v>
      </c>
      <c r="N28">
        <v>333</v>
      </c>
      <c r="O28">
        <v>134</v>
      </c>
      <c r="P28">
        <v>301</v>
      </c>
      <c r="Q28">
        <v>158</v>
      </c>
      <c r="R28">
        <v>321</v>
      </c>
      <c r="S28">
        <v>87</v>
      </c>
      <c r="T28">
        <f t="shared" si="1"/>
        <v>616</v>
      </c>
      <c r="U28">
        <f t="shared" si="2"/>
        <v>261.20987730175904</v>
      </c>
      <c r="V28">
        <f t="shared" si="3"/>
        <v>654</v>
      </c>
      <c r="W28">
        <f t="shared" si="4"/>
        <v>210.18515646924263</v>
      </c>
      <c r="X28" s="2"/>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21.9</v>
      </c>
      <c r="AC28" s="22">
        <f>IF(OR($B28="",AC$22=""),"",IF(LEN(VLOOKUP($B28,Database!$B$1:$IX$10144,AC$22,FALSE))=0,"",VLOOKUP($B28,Database!$B$1:$IX$10144,AC$22,FALSE)))</f>
        <v>4.9000000000000004</v>
      </c>
      <c r="AD28" s="22">
        <f>IF(OR($B28="",AD$22=""),"",IF(LEN(VLOOKUP($B28,Database!$B$1:$IX$10144,AD$22,FALSE))=0,"",VLOOKUP($B28,Database!$B$1:$IX$10144,AD$22,FALSE)))</f>
        <v>22.1</v>
      </c>
      <c r="AE28" s="22">
        <f>IF(OR($B28="",AE$22=""),"",IF(LEN(VLOOKUP($B28,Database!$B$1:$IX$10144,AE$22,FALSE))=0,"",VLOOKUP($B28,Database!$B$1:$IX$10144,AE$22,FALSE)))</f>
        <v>6</v>
      </c>
      <c r="AF28" s="22">
        <f>IF(OR($B28="",AF$22=""),"",IF(LEN(VLOOKUP($B28,Database!$B$1:$IX$10144,AF$22,FALSE))=0,"",VLOOKUP($B28,Database!$B$1:$IX$10144,AF$22,FALSE)))</f>
        <v>4</v>
      </c>
      <c r="AG28" s="22">
        <f>IF(OR($B28="",AG$22=""),"",IF(LEN(VLOOKUP($B28,Database!$B$1:$IX$10144,AG$22,FALSE))=0,"",VLOOKUP($B28,Database!$B$1:$IX$10144,AG$22,FALSE)))</f>
        <v>4</v>
      </c>
      <c r="AH28" s="22">
        <f>IF(OR($B28="",AH$22=""),"",IF(LEN(VLOOKUP($B28,Database!$B$1:$IX$10144,AH$22,FALSE))=0,"",VLOOKUP($B28,Database!$B$1:$IX$10144,AH$22,FALSE)))</f>
        <v>1.5</v>
      </c>
      <c r="AI28" s="22">
        <f>IF(OR($B28="",AI$22=""),"",IF(LEN(VLOOKUP($B28,Database!$B$1:$IX$10144,AI$22,FALSE))=0,"",VLOOKUP($B28,Database!$B$1:$IX$10144,AI$22,FALSE)))</f>
        <v>1</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Coryell W, Nopoulos P, Drevets W, Wilson T, Andreasen NC.</v>
      </c>
      <c r="AR28" s="13"/>
      <c r="AX28" s="13"/>
      <c r="AY28" s="13"/>
      <c r="AZ28" s="13"/>
      <c r="BA28" s="13"/>
      <c r="BC28" s="23"/>
      <c r="BF28" s="136"/>
      <c r="BG28" s="136"/>
      <c r="BH28" s="136"/>
      <c r="BI28" s="136"/>
    </row>
    <row r="29" spans="1:65">
      <c r="B29">
        <v>18406580</v>
      </c>
      <c r="C29" s="1" t="str">
        <f>IF($B29="","",HYPERLINK(IF(LEN(VLOOKUP($B29,Database!$B$1:$IX$10144,2,FALSE))=0,"",VLOOKUP($B29,Database!$B$1:$IX$10144,2,FALSE))))</f>
        <v/>
      </c>
      <c r="D29" s="1" t="str">
        <f t="shared" si="0"/>
        <v>http://www.ncbi.nlm.nih.gov/pubmed/18406580</v>
      </c>
      <c r="E29" s="22" t="str">
        <f>IF($B29="","",IF(LEN(VLOOKUP($B29,Database!$B$1:$IX$10144,4,FALSE))=0,"",VLOOKUP($B29,Database!$B$1:$IX$10144,4,FALSE)))</f>
        <v>Frodl T (A)</v>
      </c>
      <c r="F29" s="22">
        <f>IF($B29="","",IF(LEN(VLOOKUP($B29,Database!$B$1:$IX$10144,5,FALSE))=0,"",VLOOKUP($B29,Database!$B$1:$IX$10144,5,FALSE)))</f>
        <v>2008</v>
      </c>
      <c r="G29" s="1" t="str">
        <f>IF($B29="","",HYPERLINK(IF(LEN(VLOOKUP($B29,Database!$B$1:$IX$10144,6,FALSE))=0,"",VLOOKUP($B29,Database!$B$1:$IX$10144,6,FALSE))))</f>
        <v>http://dx.doi.org/10.1016/j.pscychresns.2007.04.012</v>
      </c>
      <c r="H29" s="22">
        <f>IF($B29="","",IF(LEN(VLOOKUP($B29,Database!$B$1:$IX$10144,7,FALSE))=0,"",VLOOKUP($B29,Database!$B$1:$IX$10144,7,FALSE)))</f>
        <v>78</v>
      </c>
      <c r="I29" s="22">
        <f>IF($B29="","",IF(LEN(VLOOKUP($B29,Database!$B$1:$IX$10144,8,FALSE))=0,"",VLOOKUP($B29,Database!$B$1:$IX$10144,8,FALSE)))</f>
        <v>78</v>
      </c>
      <c r="J29" t="s">
        <v>414</v>
      </c>
      <c r="L29">
        <v>0.56999999999999995</v>
      </c>
      <c r="M29">
        <v>0.24</v>
      </c>
      <c r="N29">
        <v>0.52</v>
      </c>
      <c r="O29">
        <v>0.25</v>
      </c>
      <c r="P29">
        <v>0.56999999999999995</v>
      </c>
      <c r="Q29">
        <v>0.17</v>
      </c>
      <c r="R29">
        <v>0.54</v>
      </c>
      <c r="S29">
        <v>0.2</v>
      </c>
      <c r="T29">
        <f t="shared" si="1"/>
        <v>1.1399999999999999</v>
      </c>
      <c r="U29">
        <f t="shared" si="2"/>
        <v>0.38958952757999032</v>
      </c>
      <c r="V29">
        <f t="shared" si="3"/>
        <v>1.06</v>
      </c>
      <c r="W29">
        <f t="shared" si="4"/>
        <v>0.42720018726587661</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44.7</v>
      </c>
      <c r="AC29" s="22">
        <f>IF(OR($B29="",AC$22=""),"",IF(LEN(VLOOKUP($B29,Database!$B$1:$IX$10144,AC$22,FALSE))=0,"",VLOOKUP($B29,Database!$B$1:$IX$10144,AC$22,FALSE)))</f>
        <v>12.2</v>
      </c>
      <c r="AD29" s="22">
        <f>IF(OR($B29="",AD$22=""),"",IF(LEN(VLOOKUP($B29,Database!$B$1:$IX$10144,AD$22,FALSE))=0,"",VLOOKUP($B29,Database!$B$1:$IX$10144,AD$22,FALSE)))</f>
        <v>44.1</v>
      </c>
      <c r="AE29" s="22">
        <f>IF(OR($B29="",AE$22=""),"",IF(LEN(VLOOKUP($B29,Database!$B$1:$IX$10144,AE$22,FALSE))=0,"",VLOOKUP($B29,Database!$B$1:$IX$10144,AE$22,FALSE)))</f>
        <v>11.6</v>
      </c>
      <c r="AF29" s="22">
        <f>IF(OR($B29="",AF$22=""),"",IF(LEN(VLOOKUP($B29,Database!$B$1:$IX$10144,AF$22,FALSE))=0,"",VLOOKUP($B29,Database!$B$1:$IX$10144,AF$22,FALSE)))</f>
        <v>40</v>
      </c>
      <c r="AG29" s="22">
        <f>IF(OR($B29="",AG$22=""),"",IF(LEN(VLOOKUP($B29,Database!$B$1:$IX$10144,AG$22,FALSE))=0,"",VLOOKUP($B29,Database!$B$1:$IX$10144,AG$22,FALSE)))</f>
        <v>40</v>
      </c>
      <c r="AH29" s="22">
        <f>IF(OR($B29="",AH$22=""),"",IF(LEN(VLOOKUP($B29,Database!$B$1:$IX$10144,AH$22,FALSE))=0,"",VLOOKUP($B29,Database!$B$1:$IX$10144,AH$22,FALSE)))</f>
        <v>1.5</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39.6</v>
      </c>
      <c r="AL29" s="22">
        <f>IF(OR($B29="",AL$22=""),"",IF(LEN(VLOOKUP($B29,Database!$B$1:$IX$10144,AL$22,FALSE))=0,"",VLOOKUP($B29,Database!$B$1:$IX$10144,AL$22,FALSE)))</f>
        <v>23.5</v>
      </c>
      <c r="AM29" s="22" t="str">
        <f>IF(OR($B29="",AM$22=""),"",IF(LEN(VLOOKUP($B29,Database!$B$1:$IX$10144,AM$22,FALSE))=0,"",VLOOKUP($B29,Database!$B$1:$IX$10144,AM$22,FALSE)))</f>
        <v>ns</v>
      </c>
      <c r="AN29" s="22">
        <f>IF(OR($B29="",AN$22=""),"",IF(LEN(VLOOKUP($B29,Database!$B$1:$IX$10144,AN$22,FALSE))=0,"",VLOOKUP($B29,Database!$B$1:$IX$10144,AN$22,FALSE)))</f>
        <v>11.538461538461538</v>
      </c>
      <c r="AO29" s="22">
        <f>IF(OR($B29="",AO$22=""),"",IF(LEN(VLOOKUP($B29,Database!$B$1:$IX$10144,AO$22,FALSE))=0,"",VLOOKUP($B29,Database!$B$1:$IX$10144,AO$22,FALSE)))</f>
        <v>10.256410256410255</v>
      </c>
      <c r="AP29" s="22">
        <f>IF(OR($B29="",AP$22=""),"",IF(LEN(VLOOKUP($B29,Database!$B$1:$IX$10144,AP$22,FALSE))=0,"",VLOOKUP($B29,Database!$B$1:$IX$10144,AP$22,FALSE)))</f>
        <v>10.256410256410255</v>
      </c>
      <c r="AQ29" s="22" t="str">
        <f>IF(OR($B29="",AQ$22=""),"",IF(LEN(VLOOKUP($B29,Database!$B$1:$IX$10144,AQ$22,FALSE))=0,"",VLOOKUP($B29,Database!$B$1:$IX$10144,AQ$22,FALSE)))</f>
        <v>Frodl T, Jäger M, Born C, Ritter S, Kraft E, Zetzsche T, Bottlender R, Leinsinger G, Reiser M, Möller HJ, Meisenzahl E.</v>
      </c>
      <c r="AR29" s="13"/>
      <c r="AX29" s="13"/>
      <c r="AY29" s="13"/>
      <c r="AZ29" s="13"/>
      <c r="BA29" s="13"/>
      <c r="BC29" s="23"/>
      <c r="BF29" s="136"/>
      <c r="BG29" s="136"/>
      <c r="BH29" s="136"/>
      <c r="BI29" s="136"/>
    </row>
    <row r="30" spans="1:65">
      <c r="C30" s="1"/>
      <c r="D30" s="1"/>
      <c r="E30" s="22"/>
      <c r="F30" s="22"/>
      <c r="G30" s="1"/>
      <c r="H30" s="22"/>
      <c r="I30" s="22"/>
      <c r="Y30" s="22"/>
      <c r="Z30" s="22"/>
      <c r="AA30" s="22"/>
      <c r="AB30" s="22"/>
      <c r="AC30" s="22"/>
      <c r="AD30" s="22"/>
      <c r="AE30" s="22"/>
      <c r="AF30" s="22"/>
      <c r="AG30" s="22"/>
      <c r="AH30" s="22"/>
      <c r="AI30" s="22"/>
      <c r="AJ30" s="22"/>
      <c r="AK30" s="22"/>
      <c r="AL30" s="22"/>
      <c r="AM30" s="22"/>
      <c r="AN30" s="22"/>
      <c r="AO30" s="22"/>
      <c r="AP30" s="22"/>
      <c r="AQ30" s="22"/>
      <c r="AX30" s="13"/>
      <c r="AY30" s="13"/>
      <c r="AZ30" s="13"/>
      <c r="BA30" s="13"/>
      <c r="BC30" s="23"/>
      <c r="BF30" s="136"/>
      <c r="BG30" s="136"/>
      <c r="BH30" s="136"/>
      <c r="BI30" s="136"/>
    </row>
    <row r="31" spans="1:65">
      <c r="A31" s="4" t="s">
        <v>2290</v>
      </c>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c r="AX31" s="13"/>
      <c r="AY31" s="13"/>
      <c r="AZ31" s="13"/>
      <c r="BA31" s="13"/>
      <c r="BC31" s="23"/>
      <c r="BF31" s="136"/>
      <c r="BG31" s="136"/>
      <c r="BH31" s="136"/>
      <c r="BI31" s="136"/>
    </row>
    <row r="32" spans="1:65">
      <c r="B32">
        <v>11958777</v>
      </c>
      <c r="C32" s="1" t="str">
        <f>IF($B32="","",HYPERLINK(IF(LEN(VLOOKUP($B32,Database!$B$1:$IX$10144,2,FALSE))=0,"",VLOOKUP($B32,Database!$B$1:$IX$10144,2,FALSE))))</f>
        <v/>
      </c>
      <c r="D32" s="1" t="str">
        <f>IF($B32="","",HYPERLINK(CONCATENATE("http://www.ncbi.nlm.nih.gov/pubmed/",B32)))</f>
        <v>http://www.ncbi.nlm.nih.gov/pubmed/11958777</v>
      </c>
      <c r="E32" s="22" t="str">
        <f>IF($B32="","",IF(LEN(VLOOKUP($B32,Database!$B$1:$IX$10144,4,FALSE))=0,"",VLOOKUP($B32,Database!$B$1:$IX$10144,4,FALSE)))</f>
        <v>Bremner JD</v>
      </c>
      <c r="F32" s="22">
        <f>IF($B32="","",IF(LEN(VLOOKUP($B32,Database!$B$1:$IX$10144,5,FALSE))=0,"",VLOOKUP($B32,Database!$B$1:$IX$10144,5,FALSE)))</f>
        <v>2002</v>
      </c>
      <c r="G32" s="1" t="str">
        <f>IF($B32="","",HYPERLINK(IF(LEN(VLOOKUP($B32,Database!$B$1:$IX$10144,6,FALSE))=0,"",VLOOKUP($B32,Database!$B$1:$IX$10144,6,FALSE))))</f>
        <v>http://dx.doi.org/10.1016/S0006-3223(01)01336-1</v>
      </c>
      <c r="H32" s="22">
        <f>IF($B32="","",IF(LEN(VLOOKUP($B32,Database!$B$1:$IX$10144,7,FALSE))=0,"",VLOOKUP($B32,Database!$B$1:$IX$10144,7,FALSE)))</f>
        <v>15</v>
      </c>
      <c r="I32" s="22">
        <f>IF($B32="","",IF(LEN(VLOOKUP($B32,Database!$B$1:$IX$10144,8,FALSE))=0,"",VLOOKUP($B32,Database!$B$1:$IX$10144,8,FALSE)))</f>
        <v>20</v>
      </c>
      <c r="J32" t="s">
        <v>2291</v>
      </c>
      <c r="T32">
        <v>588</v>
      </c>
      <c r="U32">
        <v>296</v>
      </c>
      <c r="V32">
        <v>634</v>
      </c>
      <c r="W32">
        <v>262</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43</v>
      </c>
      <c r="AC32" s="22">
        <f>IF(OR($B32="",AC$22=""),"",IF(LEN(VLOOKUP($B32,Database!$B$1:$IX$10144,AC$22,FALSE))=0,"",VLOOKUP($B32,Database!$B$1:$IX$10144,AC$22,FALSE)))</f>
        <v>8</v>
      </c>
      <c r="AD32" s="22">
        <f>IF(OR($B32="",AD$22=""),"",IF(LEN(VLOOKUP($B32,Database!$B$1:$IX$10144,AD$22,FALSE))=0,"",VLOOKUP($B32,Database!$B$1:$IX$10144,AD$22,FALSE)))</f>
        <v>45</v>
      </c>
      <c r="AE32" s="22">
        <f>IF(OR($B32="",AE$22=""),"",IF(LEN(VLOOKUP($B32,Database!$B$1:$IX$10144,AE$22,FALSE))=0,"",VLOOKUP($B32,Database!$B$1:$IX$10144,AE$22,FALSE)))</f>
        <v>11</v>
      </c>
      <c r="AF32" s="22">
        <f>IF(OR($B32="",AF$22=""),"",IF(LEN(VLOOKUP($B32,Database!$B$1:$IX$10144,AF$22,FALSE))=0,"",VLOOKUP($B32,Database!$B$1:$IX$10144,AF$22,FALSE)))</f>
        <v>5</v>
      </c>
      <c r="AG32" s="22">
        <f>IF(OR($B32="",AG$22=""),"",IF(LEN(VLOOKUP($B32,Database!$B$1:$IX$10144,AG$22,FALSE))=0,"",VLOOKUP($B32,Database!$B$1:$IX$10144,AG$22,FALSE)))</f>
        <v>9</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f>IF(OR($B32="",AM$22=""),"",IF(LEN(VLOOKUP($B32,Database!$B$1:$IX$10144,AM$22,FALSE))=0,"",VLOOKUP($B32,Database!$B$1:$IX$10144,AM$22,FALSE)))</f>
        <v>100</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Bremner JD, Vythilingam M, Vermetten E, Nazeer A, Adil J, Khan S, Staib LH, Charney DS.</v>
      </c>
      <c r="AR32" s="13"/>
      <c r="AX32" s="13"/>
      <c r="AY32" s="13"/>
      <c r="AZ32" s="13"/>
      <c r="BA32" s="13"/>
      <c r="BC32" s="23"/>
      <c r="BF32" s="136"/>
      <c r="BG32" s="136"/>
      <c r="BH32" s="136"/>
      <c r="BI32" s="136"/>
    </row>
    <row r="33" spans="1:61">
      <c r="B33">
        <v>18368034</v>
      </c>
      <c r="C33" s="1" t="str">
        <f>IF($B33="","",HYPERLINK(IF(LEN(VLOOKUP($B33,Database!$B$1:$IX$10144,2,FALSE))=0,"",VLOOKUP($B33,Database!$B$1:$IX$10144,2,FALSE))))</f>
        <v/>
      </c>
      <c r="D33" s="1" t="str">
        <f>IF($B33="","",HYPERLINK(CONCATENATE("http://www.ncbi.nlm.nih.gov/pubmed/",B33)))</f>
        <v>http://www.ncbi.nlm.nih.gov/pubmed/18368034</v>
      </c>
      <c r="E33" s="22" t="str">
        <f>IF($B33="","",IF(LEN(VLOOKUP($B33,Database!$B$1:$IX$10144,4,FALSE))=0,"",VLOOKUP($B33,Database!$B$1:$IX$10144,4,FALSE)))</f>
        <v>Yucel K</v>
      </c>
      <c r="F33" s="22">
        <f>IF($B33="","",IF(LEN(VLOOKUP($B33,Database!$B$1:$IX$10144,5,FALSE))=0,"",VLOOKUP($B33,Database!$B$1:$IX$10144,5,FALSE)))</f>
        <v>2008</v>
      </c>
      <c r="G33" s="1" t="str">
        <f>IF($B33="","",HYPERLINK(IF(LEN(VLOOKUP($B33,Database!$B$1:$IX$10144,6,FALSE))=0,"",VLOOKUP($B33,Database!$B$1:$IX$10144,6,FALSE))))</f>
        <v>http://dx.doi.org/10.1038/npp.2008.40</v>
      </c>
      <c r="H33" s="22">
        <f>IF($B33="","",IF(LEN(VLOOKUP($B33,Database!$B$1:$IX$10144,7,FALSE))=0,"",VLOOKUP($B33,Database!$B$1:$IX$10144,7,FALSE)))</f>
        <v>65</v>
      </c>
      <c r="I33" s="22">
        <f>IF($B33="","",IF(LEN(VLOOKUP($B33,Database!$B$1:$IX$10144,8,FALSE))=0,"",VLOOKUP($B33,Database!$B$1:$IX$10144,8,FALSE)))</f>
        <v>93</v>
      </c>
      <c r="J33" t="s">
        <v>2292</v>
      </c>
      <c r="T33">
        <v>462</v>
      </c>
      <c r="U33">
        <v>166.2</v>
      </c>
      <c r="V33">
        <v>511.5</v>
      </c>
      <c r="W33">
        <v>215.7</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28.8</v>
      </c>
      <c r="AC33" s="22">
        <f>IF(OR($B33="",AC$22=""),"",IF(LEN(VLOOKUP($B33,Database!$B$1:$IX$10144,AC$22,FALSE))=0,"",VLOOKUP($B33,Database!$B$1:$IX$10144,AC$22,FALSE)))</f>
        <v>10.3</v>
      </c>
      <c r="AD33" s="22">
        <f>IF(OR($B33="",AD$22=""),"",IF(LEN(VLOOKUP($B33,Database!$B$1:$IX$10144,AD$22,FALSE))=0,"",VLOOKUP($B33,Database!$B$1:$IX$10144,AD$22,FALSE)))</f>
        <v>28.4</v>
      </c>
      <c r="AE33" s="22">
        <f>IF(OR($B33="",AE$22=""),"",IF(LEN(VLOOKUP($B33,Database!$B$1:$IX$10144,AE$22,FALSE))=0,"",VLOOKUP($B33,Database!$B$1:$IX$10144,AE$22,FALSE)))</f>
        <v>10.7</v>
      </c>
      <c r="AF33" s="22">
        <f>IF(OR($B33="",AF$22=""),"",IF(LEN(VLOOKUP($B33,Database!$B$1:$IX$10144,AF$22,FALSE))=0,"",VLOOKUP($B33,Database!$B$1:$IX$10144,AF$22,FALSE)))</f>
        <v>30</v>
      </c>
      <c r="AG33" s="22">
        <f>IF(OR($B33="",AG$22=""),"",IF(LEN(VLOOKUP($B33,Database!$B$1:$IX$10144,AG$22,FALSE))=0,"",VLOOKUP($B33,Database!$B$1:$IX$10144,AG$22,FALSE)))</f>
        <v>56</v>
      </c>
      <c r="AH33" s="22">
        <f>IF(OR($B33="",AH$22=""),"",IF(LEN(VLOOKUP($B33,Database!$B$1:$IX$10144,AH$22,FALSE))=0,"",VLOOKUP($B33,Database!$B$1:$IX$10144,AH$22,FALSE)))</f>
        <v>1</v>
      </c>
      <c r="AI33" s="22">
        <f>IF(OR($B33="",AI$22=""),"",IF(LEN(VLOOKUP($B33,Database!$B$1:$IX$10144,AI$22,FALSE))=0,"",VLOOKUP($B33,Database!$B$1:$IX$10144,AI$22,FALSE)))</f>
        <v>1.2</v>
      </c>
      <c r="AJ33" s="22" t="str">
        <f>IF(OR($B33="",AJ$22=""),"",IF(LEN(VLOOKUP($B33,Database!$B$1:$IX$10144,AJ$22,FALSE))=0,"",VLOOKUP($B33,Database!$B$1:$IX$10144,AJ$22,FALSE)))</f>
        <v/>
      </c>
      <c r="AK33" s="22">
        <f>IF(OR($B33="",AK$22=""),"",IF(LEN(VLOOKUP($B33,Database!$B$1:$IX$10144,AK$22,FALSE))=0,"",VLOOKUP($B33,Database!$B$1:$IX$10144,AK$22,FALSE)))</f>
        <v>20.9</v>
      </c>
      <c r="AL33" s="22">
        <f>IF(OR($B33="",AL$22=""),"",IF(LEN(VLOOKUP($B33,Database!$B$1:$IX$10144,AL$22,FALSE))=0,"",VLOOKUP($B33,Database!$B$1:$IX$10144,AL$22,FALSE)))</f>
        <v>16.2</v>
      </c>
      <c r="AM33" s="22" t="str">
        <f>IF(OR($B33="",AM$22=""),"",IF(LEN(VLOOKUP($B33,Database!$B$1:$IX$10144,AM$22,FALSE))=0,"",VLOOKUP($B33,Database!$B$1:$IX$10144,AM$22,FALSE)))</f>
        <v>ns</v>
      </c>
      <c r="AN33" s="22" t="str">
        <f>IF(OR($B33="",AN$22=""),"",IF(LEN(VLOOKUP($B33,Database!$B$1:$IX$10144,AN$22,FALSE))=0,"",VLOOKUP($B33,Database!$B$1:$IX$10144,AN$22,FALSE)))</f>
        <v>ns</v>
      </c>
      <c r="AO33" s="22">
        <f>IF(OR($B33="",AO$22=""),"",IF(LEN(VLOOKUP($B33,Database!$B$1:$IX$10144,AO$22,FALSE))=0,"",VLOOKUP($B33,Database!$B$1:$IX$10144,AO$22,FALSE)))</f>
        <v>4.6153846153846159</v>
      </c>
      <c r="AP33" s="22">
        <f>IF(OR($B33="",AP$22=""),"",IF(LEN(VLOOKUP($B33,Database!$B$1:$IX$10144,AP$22,FALSE))=0,"",VLOOKUP($B33,Database!$B$1:$IX$10144,AP$22,FALSE)))</f>
        <v>29.230769230769234</v>
      </c>
      <c r="AQ33" s="22" t="str">
        <f>IF(OR($B33="",AQ$22=""),"",IF(LEN(VLOOKUP($B33,Database!$B$1:$IX$10144,AQ$22,FALSE))=0,"",VLOOKUP($B33,Database!$B$1:$IX$10144,AQ$22,FALSE)))</f>
        <v>Yucel K, McKinnon MC, Chahal R, Taylor VH, Macdonald K, Joffe R, MacQueen GM</v>
      </c>
      <c r="AR33" s="13"/>
      <c r="AX33" s="13"/>
      <c r="AY33" s="13"/>
      <c r="AZ33" s="13"/>
      <c r="BA33" s="13"/>
      <c r="BC33" s="23"/>
      <c r="BF33" s="136"/>
      <c r="BG33" s="136"/>
      <c r="BH33" s="136"/>
      <c r="BI33" s="136"/>
    </row>
    <row r="34" spans="1:61">
      <c r="C34" s="1"/>
      <c r="D34" s="1"/>
      <c r="E34" s="22"/>
      <c r="F34" s="22"/>
      <c r="G34" s="1"/>
      <c r="H34" s="22"/>
      <c r="I34" s="22"/>
      <c r="T34" s="171"/>
      <c r="U34" s="171"/>
      <c r="V34" s="171"/>
      <c r="W34" s="171"/>
      <c r="Y34" s="22"/>
      <c r="Z34" s="22"/>
      <c r="AA34" s="22"/>
      <c r="AB34" s="22"/>
      <c r="AC34" s="22"/>
      <c r="AD34" s="22"/>
      <c r="AE34" s="22"/>
      <c r="AF34" s="22"/>
      <c r="AG34" s="22"/>
      <c r="AH34" s="22"/>
      <c r="AI34" s="22"/>
      <c r="AJ34" s="22"/>
      <c r="AK34" s="22"/>
      <c r="AL34" s="22"/>
      <c r="AM34" s="22"/>
      <c r="AN34" s="22"/>
      <c r="AO34" s="22"/>
      <c r="AP34" s="22"/>
      <c r="AQ34" s="22"/>
    </row>
    <row r="35" spans="1:61">
      <c r="A35" s="4" t="s">
        <v>1090</v>
      </c>
      <c r="C35" s="1"/>
      <c r="D35" s="1"/>
      <c r="E35" s="22"/>
      <c r="F35" s="22"/>
      <c r="G35" s="1"/>
      <c r="H35" s="22"/>
      <c r="I35" s="22"/>
      <c r="T35" s="171"/>
      <c r="U35" s="171"/>
      <c r="V35" s="171"/>
      <c r="W35" s="171"/>
      <c r="Y35" s="22"/>
      <c r="Z35" s="22"/>
      <c r="AA35" s="22"/>
      <c r="AB35" s="22"/>
      <c r="AC35" s="22"/>
      <c r="AD35" s="22"/>
      <c r="AE35" s="22"/>
      <c r="AF35" s="22"/>
      <c r="AG35" s="22"/>
      <c r="AH35" s="22"/>
      <c r="AI35" s="22"/>
      <c r="AJ35" s="22"/>
      <c r="AK35" s="22"/>
      <c r="AL35" s="22"/>
      <c r="AM35" s="22"/>
      <c r="AN35" s="22"/>
      <c r="AO35" s="22"/>
      <c r="AP35" s="22"/>
      <c r="AQ35" s="22"/>
    </row>
    <row r="36" spans="1:61">
      <c r="A36" s="7" t="s">
        <v>48</v>
      </c>
      <c r="B36" s="2">
        <v>19464154</v>
      </c>
      <c r="C36" s="1" t="str">
        <f>IF($B36="","",HYPERLINK(IF(LEN(VLOOKUP($B36,Database!$B$1:$IX$10144,2,FALSE))=0,"",VLOOKUP($B36,Database!$B$1:$IX$10144,2,FALSE))))</f>
        <v/>
      </c>
      <c r="D36" s="1" t="str">
        <f>IF($B36="","",HYPERLINK(CONCATENATE("http://www.ncbi.nlm.nih.gov/pubmed/",B36)))</f>
        <v>http://www.ncbi.nlm.nih.gov/pubmed/19464154</v>
      </c>
      <c r="E36" s="22" t="str">
        <f>IF($B36="","",IF(LEN(VLOOKUP($B36,Database!$B$1:$IX$10144,4,FALSE))=0,"",VLOOKUP($B36,Database!$B$1:$IX$10144,4,FALSE)))</f>
        <v>Yucel K</v>
      </c>
      <c r="F36" s="22">
        <f>IF($B36="","",IF(LEN(VLOOKUP($B36,Database!$B$1:$IX$10144,5,FALSE))=0,"",VLOOKUP($B36,Database!$B$1:$IX$10144,5,FALSE)))</f>
        <v>2009</v>
      </c>
      <c r="G36" s="1" t="str">
        <f>IF($B36="","",HYPERLINK(IF(LEN(VLOOKUP($B36,Database!$B$1:$IX$10144,6,FALSE))=0,"",VLOOKUP($B36,Database!$B$1:$IX$10144,6,FALSE))))</f>
        <v>http://dx.doi.org/10.1016/j.pscychresns.2008.07.013</v>
      </c>
      <c r="H36" s="22">
        <f>IF($B36="","",IF(LEN(VLOOKUP($B36,Database!$B$1:$IX$10144,7,FALSE))=0,"",VLOOKUP($B36,Database!$B$1:$IX$10144,7,FALSE)))</f>
        <v>40</v>
      </c>
      <c r="I36" s="22">
        <f>IF($B36="","",IF(LEN(VLOOKUP($B36,Database!$B$1:$IX$10144,8,FALSE))=0,"",VLOOKUP($B36,Database!$B$1:$IX$10144,8,FALSE)))</f>
        <v>40</v>
      </c>
      <c r="J36" t="s">
        <v>2292</v>
      </c>
      <c r="T36" s="2">
        <v>624.20000000000005</v>
      </c>
      <c r="U36" s="2">
        <v>244</v>
      </c>
      <c r="V36" s="2">
        <v>500.1</v>
      </c>
      <c r="W36" s="2">
        <v>203</v>
      </c>
      <c r="X36" s="171"/>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41.4</v>
      </c>
      <c r="AC36" s="22">
        <f>IF(OR($B36="",AC$22=""),"",IF(LEN(VLOOKUP($B36,Database!$B$1:$IX$10144,AC$22,FALSE))=0,"",VLOOKUP($B36,Database!$B$1:$IX$10144,AC$22,FALSE)))</f>
        <v>12.5</v>
      </c>
      <c r="AD36" s="22">
        <f>IF(OR($B36="",AD$22=""),"",IF(LEN(VLOOKUP($B36,Database!$B$1:$IX$10144,AD$22,FALSE))=0,"",VLOOKUP($B36,Database!$B$1:$IX$10144,AD$22,FALSE)))</f>
        <v>37.200000000000003</v>
      </c>
      <c r="AE36" s="22">
        <f>IF(OR($B36="",AE$22=""),"",IF(LEN(VLOOKUP($B36,Database!$B$1:$IX$10144,AE$22,FALSE))=0,"",VLOOKUP($B36,Database!$B$1:$IX$10144,AE$22,FALSE)))</f>
        <v>10.1</v>
      </c>
      <c r="AF36" s="22">
        <f>IF(OR($B36="",AF$22=""),"",IF(LEN(VLOOKUP($B36,Database!$B$1:$IX$10144,AF$22,FALSE))=0,"",VLOOKUP($B36,Database!$B$1:$IX$10144,AF$22,FALSE)))</f>
        <v>27</v>
      </c>
      <c r="AG36" s="22">
        <f>IF(OR($B36="",AG$22=""),"",IF(LEN(VLOOKUP($B36,Database!$B$1:$IX$10144,AG$22,FALSE))=0,"",VLOOKUP($B36,Database!$B$1:$IX$10144,AG$22,FALSE)))</f>
        <v>25</v>
      </c>
      <c r="AH36" s="22">
        <f>IF(OR($B36="",AH$22=""),"",IF(LEN(VLOOKUP($B36,Database!$B$1:$IX$10144,AH$22,FALSE))=0,"",VLOOKUP($B36,Database!$B$1:$IX$10144,AH$22,FALSE)))</f>
        <v>1</v>
      </c>
      <c r="AI36" s="22">
        <f>IF(OR($B36="",AI$22=""),"",IF(LEN(VLOOKUP($B36,Database!$B$1:$IX$10144,AI$22,FALSE))=0,"",VLOOKUP($B36,Database!$B$1:$IX$10144,AI$22,FALSE)))</f>
        <v>1.2</v>
      </c>
      <c r="AJ36" s="22" t="str">
        <f>IF(OR($B36="",AJ$22=""),"",IF(LEN(VLOOKUP($B36,Database!$B$1:$IX$10144,AJ$22,FALSE))=0,"",VLOOKUP($B36,Database!$B$1:$IX$10144,AJ$22,FALSE)))</f>
        <v/>
      </c>
      <c r="AK36" s="22">
        <f>IF(OR($B36="",AK$22=""),"",IF(LEN(VLOOKUP($B36,Database!$B$1:$IX$10144,AK$22,FALSE))=0,"",VLOOKUP($B36,Database!$B$1:$IX$10144,AK$22,FALSE)))</f>
        <v>27.1</v>
      </c>
      <c r="AL36" s="22">
        <f>IF(OR($B36="",AL$22=""),"",IF(LEN(VLOOKUP($B36,Database!$B$1:$IX$10144,AL$22,FALSE))=0,"",VLOOKUP($B36,Database!$B$1:$IX$10144,AL$22,FALSE)))</f>
        <v>11.1</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Yucel K, M C Kinnon M, Chahal R, Taylor V, Macdonald K, Joffe R, Macqueen G.</v>
      </c>
    </row>
    <row r="37" spans="1:61">
      <c r="A37" s="7"/>
      <c r="B37" s="2"/>
      <c r="C37" s="1"/>
      <c r="D37" s="1"/>
      <c r="E37" s="22"/>
      <c r="F37" s="22"/>
      <c r="G37" s="1"/>
      <c r="H37" s="22"/>
      <c r="I37" s="22"/>
      <c r="T37" s="171"/>
      <c r="U37" s="171"/>
      <c r="V37" s="171"/>
      <c r="W37" s="171"/>
      <c r="X37" s="171"/>
      <c r="Y37" s="22"/>
      <c r="Z37" s="22"/>
      <c r="AA37" s="22"/>
      <c r="AB37" s="22"/>
      <c r="AC37" s="22"/>
      <c r="AD37" s="22"/>
      <c r="AE37" s="22"/>
      <c r="AF37" s="22"/>
      <c r="AG37" s="22"/>
      <c r="AH37" s="22"/>
      <c r="AI37" s="22"/>
      <c r="AJ37" s="22"/>
      <c r="AK37" s="22"/>
      <c r="AL37" s="22"/>
      <c r="AM37" s="22"/>
      <c r="AN37" s="22"/>
      <c r="AO37" s="22"/>
      <c r="AP37" s="22"/>
      <c r="AQ37" s="22"/>
    </row>
    <row r="38" spans="1:61">
      <c r="I38" s="22" t="str">
        <f>IF($B38="","",IF(LEN(VLOOKUP($B38,Database!$B$1:$IX$10144,8,FALSE))=0,"",VLOOKUP($B38,Database!$B$1:$IX$10144,8,FALSE)))</f>
        <v/>
      </c>
      <c r="AF38" t="s">
        <v>602</v>
      </c>
      <c r="AJ38" t="s">
        <v>329</v>
      </c>
      <c r="AN38" t="s">
        <v>330</v>
      </c>
    </row>
    <row r="39" spans="1:61" ht="45" customHeight="1">
      <c r="E39" s="60" t="s">
        <v>617</v>
      </c>
      <c r="F39" s="60" t="s">
        <v>740</v>
      </c>
      <c r="G39" s="60" t="s">
        <v>244</v>
      </c>
      <c r="H39" s="60" t="s">
        <v>245</v>
      </c>
      <c r="I39" s="60" t="s">
        <v>246</v>
      </c>
      <c r="J39" s="60" t="s">
        <v>593</v>
      </c>
      <c r="K39" s="60" t="s">
        <v>1039</v>
      </c>
      <c r="L39" s="60" t="s">
        <v>594</v>
      </c>
      <c r="M39" s="60" t="s">
        <v>1299</v>
      </c>
      <c r="N39" s="61" t="s">
        <v>595</v>
      </c>
      <c r="O39" s="61" t="s">
        <v>596</v>
      </c>
      <c r="P39" s="61" t="s">
        <v>597</v>
      </c>
      <c r="Q39" s="61" t="s">
        <v>598</v>
      </c>
      <c r="R39" s="61" t="s">
        <v>599</v>
      </c>
      <c r="S39" s="61" t="s">
        <v>600</v>
      </c>
      <c r="T39" s="61" t="s">
        <v>601</v>
      </c>
      <c r="U39" s="61" t="s">
        <v>484</v>
      </c>
      <c r="V39" s="61" t="s">
        <v>485</v>
      </c>
      <c r="W39" s="61" t="s">
        <v>486</v>
      </c>
      <c r="AF39" s="61" t="s">
        <v>1517</v>
      </c>
      <c r="AG39" s="62" t="s">
        <v>834</v>
      </c>
      <c r="AH39" s="62" t="s">
        <v>835</v>
      </c>
      <c r="AJ39" s="61" t="s">
        <v>836</v>
      </c>
      <c r="AK39" s="61" t="s">
        <v>837</v>
      </c>
      <c r="AL39" s="61" t="s">
        <v>487</v>
      </c>
      <c r="AN39" t="s">
        <v>488</v>
      </c>
      <c r="AO39" t="s">
        <v>489</v>
      </c>
      <c r="AP39" t="s">
        <v>490</v>
      </c>
      <c r="AQ39" t="s">
        <v>491</v>
      </c>
      <c r="AR39" t="s">
        <v>492</v>
      </c>
      <c r="AS39" t="s">
        <v>493</v>
      </c>
      <c r="AT39" t="s">
        <v>494</v>
      </c>
      <c r="AU39" t="s">
        <v>495</v>
      </c>
      <c r="AV39" t="s">
        <v>496</v>
      </c>
      <c r="AW39" t="s">
        <v>497</v>
      </c>
      <c r="AX39" t="s">
        <v>498</v>
      </c>
      <c r="AY39" t="s">
        <v>499</v>
      </c>
    </row>
    <row r="40" spans="1:61">
      <c r="E40" t="str">
        <f t="shared" ref="E40:F44" si="5">E24</f>
        <v>Botteron KN</v>
      </c>
      <c r="F40">
        <f t="shared" si="5"/>
        <v>2002</v>
      </c>
      <c r="G40">
        <v>8</v>
      </c>
      <c r="H40">
        <f t="shared" ref="H40:I44" si="6">H24</f>
        <v>30</v>
      </c>
      <c r="I40">
        <f t="shared" si="6"/>
        <v>8</v>
      </c>
      <c r="J40">
        <f t="shared" ref="J40:M43" si="7">IF($D$4="Total",T24,IF($D$4="Left",L24,IF($D$4="Right",P24,"error")))</f>
        <v>0.62</v>
      </c>
      <c r="K40">
        <f t="shared" si="7"/>
        <v>0.20871032557111305</v>
      </c>
      <c r="L40">
        <f t="shared" si="7"/>
        <v>0.72</v>
      </c>
      <c r="M40">
        <f t="shared" si="7"/>
        <v>0.26563132345414386</v>
      </c>
      <c r="N40">
        <f t="shared" ref="N40:N47" si="8">IF($D$3=1,SQRT((((I40-1)*(M40)^2)+((H40-1)*(K40)^2))/(H40+I40-2)),M40)</f>
        <v>0.2209298531208492</v>
      </c>
      <c r="O40" s="59">
        <f t="shared" ref="O40:O47" si="9">IF($D$6=1,LN(J40/L40),IF($D$5=1,(1-3/(4*(H40+I40)-9))*((J40-L40)/N40),(J40-L40)/N40))</f>
        <v>-0.44313657262309947</v>
      </c>
      <c r="P40" s="63">
        <f t="shared" ref="P40:P47" si="10">IF($D$6=1,(K40^2)/(H40*J40^2)+(M40^2)/(I40*L40^2),(IF($D$5=1,((H40+I40)/(H40*I40))+(O40*O40)/(2*(H40+I40-3.94)),((H40+I40)/(H40*I40))+((O40^2)/(2*(H40+I40-2))))))</f>
        <v>0.16121604064390507</v>
      </c>
      <c r="Q40" s="59">
        <f t="shared" ref="Q40:Q47" si="11">$R$64*SQRT(P40)</f>
        <v>0.78697366012950254</v>
      </c>
      <c r="R40" s="59">
        <f t="shared" ref="R40:R47" si="12">1/P40</f>
        <v>6.2028567133019088</v>
      </c>
      <c r="S40" s="59">
        <f t="shared" ref="S40:S47" si="13">O40*R40</f>
        <v>-2.7487126644047915</v>
      </c>
      <c r="T40" s="59">
        <f t="shared" ref="T40:T47" si="14">R40*(O40^2)</f>
        <v>1.2180551092300471</v>
      </c>
      <c r="U40" s="23">
        <f t="shared" ref="U40:U47" si="15">R40^2</f>
        <v>38.475431405754556</v>
      </c>
      <c r="V40" s="59">
        <f t="shared" ref="V40:V47" si="16">1/((1/R40)+$I$61)</f>
        <v>5.6413611949304441</v>
      </c>
      <c r="W40" s="59">
        <f t="shared" ref="W40:W47" si="17">V40*O40</f>
        <v>-2.4998934648504298</v>
      </c>
      <c r="AF40" s="59">
        <f t="shared" ref="AF40:AF47" si="18">IF($D$6=1,100*((EXP(O40))-1),O40)</f>
        <v>-0.44313657262309947</v>
      </c>
      <c r="AG40" s="59">
        <f t="shared" ref="AG40:AG47" si="19">IF($D$6=1,100*(EXP(O40+Q40)-EXP(O40)),Q40)</f>
        <v>0.78697366012950254</v>
      </c>
      <c r="AH40" s="59">
        <f t="shared" ref="AH40:AH47" si="20">IF($D$6=1,100*(EXP(O40)-EXP(O40-Q40)),Q40)</f>
        <v>0.78697366012950254</v>
      </c>
      <c r="AJ40">
        <f t="shared" ref="AJ40:AJ47" si="21">SQRT(P40)</f>
        <v>0.40151717353546046</v>
      </c>
      <c r="AK40">
        <f t="shared" ref="AK40:AK47" si="22">1/AJ40</f>
        <v>2.4905534953704387</v>
      </c>
      <c r="AL40">
        <f t="shared" ref="AL40:AL47" si="23">O40/AJ40</f>
        <v>-1.1036553398729365</v>
      </c>
      <c r="AN40" t="str">
        <f t="shared" ref="AN40:AO43" si="24">E40</f>
        <v>Botteron KN</v>
      </c>
      <c r="AO40">
        <f t="shared" si="24"/>
        <v>2002</v>
      </c>
      <c r="AP40" t="str">
        <f t="shared" ref="AP40:AP47" si="25">CONCATENATE(AN40," ",AO40)</f>
        <v>Botteron KN 2002</v>
      </c>
      <c r="AQ40">
        <f t="shared" ref="AQ40:AQ47" si="26">INT(H40)</f>
        <v>30</v>
      </c>
      <c r="AR40">
        <f t="shared" ref="AR40:AS43" si="27">J40</f>
        <v>0.62</v>
      </c>
      <c r="AS40">
        <f t="shared" si="27"/>
        <v>0.20871032557111305</v>
      </c>
      <c r="AT40">
        <f t="shared" ref="AT40:AT47" si="28">INT(I40)</f>
        <v>8</v>
      </c>
      <c r="AU40">
        <f t="shared" ref="AU40:AV43" si="29">L40</f>
        <v>0.72</v>
      </c>
      <c r="AV40">
        <f t="shared" si="29"/>
        <v>0.26563132345414386</v>
      </c>
      <c r="AW40" s="65">
        <f t="shared" ref="AW40:AW47" si="30">O40</f>
        <v>-0.44313657262309947</v>
      </c>
      <c r="AX40">
        <f t="shared" ref="AX40:AX47" si="31">SQRT(P40)</f>
        <v>0.40151717353546046</v>
      </c>
      <c r="AY40" t="str">
        <f>$F$4</f>
        <v>Total</v>
      </c>
    </row>
    <row r="41" spans="1:61">
      <c r="E41" t="str">
        <f t="shared" si="5"/>
        <v>Brambilla P</v>
      </c>
      <c r="F41">
        <f t="shared" si="5"/>
        <v>2002</v>
      </c>
      <c r="G41">
        <v>7</v>
      </c>
      <c r="H41">
        <f t="shared" si="6"/>
        <v>18</v>
      </c>
      <c r="I41">
        <f t="shared" si="6"/>
        <v>38</v>
      </c>
      <c r="J41">
        <f t="shared" si="7"/>
        <v>595.59999999999991</v>
      </c>
      <c r="K41">
        <f t="shared" si="7"/>
        <v>137.13871809230244</v>
      </c>
      <c r="L41">
        <f t="shared" si="7"/>
        <v>603.70000000000005</v>
      </c>
      <c r="M41">
        <f t="shared" si="7"/>
        <v>145.33850143716219</v>
      </c>
      <c r="N41">
        <f t="shared" si="8"/>
        <v>142.80787637786494</v>
      </c>
      <c r="O41" s="59">
        <f t="shared" si="9"/>
        <v>-5.5928124881942112E-2</v>
      </c>
      <c r="P41" s="63">
        <f t="shared" si="10"/>
        <v>8.1901386857445774E-2</v>
      </c>
      <c r="Q41" s="59">
        <f t="shared" si="11"/>
        <v>0.56092099956372088</v>
      </c>
      <c r="R41" s="59">
        <f t="shared" si="12"/>
        <v>12.209805454705661</v>
      </c>
      <c r="S41" s="59">
        <f t="shared" si="13"/>
        <v>-0.6828715242549962</v>
      </c>
      <c r="T41" s="59">
        <f t="shared" si="14"/>
        <v>3.8191723886855593E-2</v>
      </c>
      <c r="U41" s="23">
        <f t="shared" si="15"/>
        <v>149.0793492417601</v>
      </c>
      <c r="V41" s="59">
        <f t="shared" si="16"/>
        <v>10.209547999250937</v>
      </c>
      <c r="W41" s="59">
        <f t="shared" si="17"/>
        <v>-0.57100087549028866</v>
      </c>
      <c r="AF41" s="59">
        <f t="shared" si="18"/>
        <v>-5.5928124881942112E-2</v>
      </c>
      <c r="AG41" s="59">
        <f t="shared" si="19"/>
        <v>0.56092099956372088</v>
      </c>
      <c r="AH41" s="59">
        <f t="shared" si="20"/>
        <v>0.56092099956372088</v>
      </c>
      <c r="AJ41">
        <f t="shared" si="21"/>
        <v>0.28618418345087798</v>
      </c>
      <c r="AK41">
        <f t="shared" si="22"/>
        <v>3.4942532041490155</v>
      </c>
      <c r="AL41">
        <f t="shared" si="23"/>
        <v>-0.19542702957077249</v>
      </c>
      <c r="AN41" t="str">
        <f t="shared" si="24"/>
        <v>Brambilla P</v>
      </c>
      <c r="AO41">
        <f t="shared" si="24"/>
        <v>2002</v>
      </c>
      <c r="AP41" t="str">
        <f t="shared" si="25"/>
        <v>Brambilla P 2002</v>
      </c>
      <c r="AQ41">
        <f t="shared" si="26"/>
        <v>18</v>
      </c>
      <c r="AR41">
        <f t="shared" si="27"/>
        <v>595.59999999999991</v>
      </c>
      <c r="AS41">
        <f t="shared" si="27"/>
        <v>137.13871809230244</v>
      </c>
      <c r="AT41">
        <f t="shared" si="28"/>
        <v>38</v>
      </c>
      <c r="AU41">
        <f t="shared" si="29"/>
        <v>603.70000000000005</v>
      </c>
      <c r="AV41">
        <f t="shared" si="29"/>
        <v>145.33850143716219</v>
      </c>
      <c r="AW41" s="65">
        <f t="shared" si="30"/>
        <v>-5.5928124881942112E-2</v>
      </c>
      <c r="AX41">
        <f t="shared" si="31"/>
        <v>0.28618418345087798</v>
      </c>
      <c r="AY41" t="str">
        <f>$F$6</f>
        <v>Cohens Effect size</v>
      </c>
    </row>
    <row r="42" spans="1:61">
      <c r="E42" t="str">
        <f t="shared" si="5"/>
        <v>Hastings RS</v>
      </c>
      <c r="F42">
        <f t="shared" si="5"/>
        <v>2004</v>
      </c>
      <c r="G42">
        <v>6</v>
      </c>
      <c r="H42">
        <f t="shared" si="6"/>
        <v>8</v>
      </c>
      <c r="I42">
        <f t="shared" si="6"/>
        <v>8</v>
      </c>
      <c r="J42">
        <f t="shared" si="7"/>
        <v>1368</v>
      </c>
      <c r="K42">
        <f t="shared" si="7"/>
        <v>198.27506146764904</v>
      </c>
      <c r="L42">
        <f t="shared" si="7"/>
        <v>1644</v>
      </c>
      <c r="M42">
        <f t="shared" si="7"/>
        <v>325.68236059080635</v>
      </c>
      <c r="N42">
        <f t="shared" si="8"/>
        <v>269.61268516151091</v>
      </c>
      <c r="O42" s="59">
        <f t="shared" si="9"/>
        <v>-0.96785303105874154</v>
      </c>
      <c r="P42" s="63">
        <f t="shared" si="10"/>
        <v>0.28883662892742923</v>
      </c>
      <c r="Q42" s="59">
        <f t="shared" si="11"/>
        <v>1.05337305532637</v>
      </c>
      <c r="R42" s="59">
        <f t="shared" si="12"/>
        <v>3.462164766682871</v>
      </c>
      <c r="S42" s="59">
        <f t="shared" si="13"/>
        <v>-3.3508666634587976</v>
      </c>
      <c r="T42" s="59">
        <f t="shared" si="14"/>
        <v>3.2431464569022892</v>
      </c>
      <c r="U42" s="23">
        <f t="shared" si="15"/>
        <v>11.986584871660259</v>
      </c>
      <c r="V42" s="59">
        <f t="shared" si="16"/>
        <v>3.2799491951730713</v>
      </c>
      <c r="W42" s="59">
        <f t="shared" si="17"/>
        <v>-3.1745087702669368</v>
      </c>
      <c r="AF42" s="59">
        <f t="shared" si="18"/>
        <v>-0.96785303105874154</v>
      </c>
      <c r="AG42" s="59">
        <f t="shared" si="19"/>
        <v>1.05337305532637</v>
      </c>
      <c r="AH42" s="59">
        <f t="shared" si="20"/>
        <v>1.05337305532637</v>
      </c>
      <c r="AJ42">
        <f t="shared" si="21"/>
        <v>0.53743523230937251</v>
      </c>
      <c r="AK42">
        <f t="shared" si="22"/>
        <v>1.8606893256755335</v>
      </c>
      <c r="AL42">
        <f t="shared" si="23"/>
        <v>-1.8008738037137109</v>
      </c>
      <c r="AN42" t="str">
        <f t="shared" si="24"/>
        <v>Hastings RS</v>
      </c>
      <c r="AO42">
        <f t="shared" si="24"/>
        <v>2004</v>
      </c>
      <c r="AP42" t="str">
        <f t="shared" si="25"/>
        <v>Hastings RS 2004</v>
      </c>
      <c r="AQ42">
        <f t="shared" si="26"/>
        <v>8</v>
      </c>
      <c r="AR42">
        <f t="shared" si="27"/>
        <v>1368</v>
      </c>
      <c r="AS42">
        <f t="shared" si="27"/>
        <v>198.27506146764904</v>
      </c>
      <c r="AT42">
        <f t="shared" si="28"/>
        <v>8</v>
      </c>
      <c r="AU42">
        <f t="shared" si="29"/>
        <v>1644</v>
      </c>
      <c r="AV42">
        <f t="shared" si="29"/>
        <v>325.68236059080635</v>
      </c>
      <c r="AW42" s="65">
        <f t="shared" si="30"/>
        <v>-0.96785303105874154</v>
      </c>
      <c r="AX42">
        <f t="shared" si="31"/>
        <v>0.53743523230937251</v>
      </c>
      <c r="AY42" t="str">
        <f>$F$5</f>
        <v>H Correction</v>
      </c>
    </row>
    <row r="43" spans="1:61">
      <c r="E43" t="str">
        <f t="shared" si="5"/>
        <v>Hastings RS</v>
      </c>
      <c r="F43">
        <f t="shared" si="5"/>
        <v>2004</v>
      </c>
      <c r="G43">
        <v>5</v>
      </c>
      <c r="H43">
        <f t="shared" si="6"/>
        <v>10</v>
      </c>
      <c r="I43">
        <f t="shared" si="6"/>
        <v>10</v>
      </c>
      <c r="J43">
        <f t="shared" si="7"/>
        <v>1316</v>
      </c>
      <c r="K43">
        <f t="shared" si="7"/>
        <v>326.50390503024613</v>
      </c>
      <c r="L43">
        <f t="shared" si="7"/>
        <v>1484</v>
      </c>
      <c r="M43">
        <f t="shared" si="7"/>
        <v>301.68195173062639</v>
      </c>
      <c r="N43">
        <f t="shared" si="8"/>
        <v>314.33803460605907</v>
      </c>
      <c r="O43" s="59">
        <f t="shared" si="9"/>
        <v>-0.51187381333713655</v>
      </c>
      <c r="P43" s="63">
        <f t="shared" si="10"/>
        <v>0.20815737237796705</v>
      </c>
      <c r="Q43" s="59">
        <f t="shared" si="11"/>
        <v>0.89423562986899496</v>
      </c>
      <c r="R43" s="59">
        <f t="shared" si="12"/>
        <v>4.8040575674842039</v>
      </c>
      <c r="S43" s="59">
        <f t="shared" si="13"/>
        <v>-2.4590712665592678</v>
      </c>
      <c r="T43" s="59">
        <f t="shared" si="14"/>
        <v>1.2587341864814745</v>
      </c>
      <c r="U43" s="23">
        <f t="shared" si="15"/>
        <v>23.078969111702246</v>
      </c>
      <c r="V43" s="59">
        <f t="shared" si="16"/>
        <v>4.4602333803076313</v>
      </c>
      <c r="W43" s="59">
        <f t="shared" si="17"/>
        <v>-2.2830766687516539</v>
      </c>
      <c r="AF43" s="59">
        <f t="shared" si="18"/>
        <v>-0.51187381333713655</v>
      </c>
      <c r="AG43" s="59">
        <f t="shared" si="19"/>
        <v>0.89423562986899496</v>
      </c>
      <c r="AH43" s="59">
        <f t="shared" si="20"/>
        <v>0.89423562986899496</v>
      </c>
      <c r="AJ43">
        <f t="shared" si="21"/>
        <v>0.45624266830050764</v>
      </c>
      <c r="AK43">
        <f t="shared" si="22"/>
        <v>2.1918160432582394</v>
      </c>
      <c r="AL43">
        <f t="shared" si="23"/>
        <v>-1.1219332361961092</v>
      </c>
      <c r="AN43" t="str">
        <f t="shared" si="24"/>
        <v>Hastings RS</v>
      </c>
      <c r="AO43">
        <f t="shared" si="24"/>
        <v>2004</v>
      </c>
      <c r="AP43" t="str">
        <f t="shared" si="25"/>
        <v>Hastings RS 2004</v>
      </c>
      <c r="AQ43">
        <f t="shared" si="26"/>
        <v>10</v>
      </c>
      <c r="AR43">
        <f t="shared" si="27"/>
        <v>1316</v>
      </c>
      <c r="AS43">
        <f t="shared" si="27"/>
        <v>326.50390503024613</v>
      </c>
      <c r="AT43">
        <f t="shared" si="28"/>
        <v>10</v>
      </c>
      <c r="AU43">
        <f t="shared" si="29"/>
        <v>1484</v>
      </c>
      <c r="AV43">
        <f t="shared" si="29"/>
        <v>301.68195173062639</v>
      </c>
      <c r="AW43" s="65">
        <f t="shared" si="30"/>
        <v>-0.51187381333713655</v>
      </c>
      <c r="AX43">
        <f t="shared" si="31"/>
        <v>0.45624266830050764</v>
      </c>
    </row>
    <row r="44" spans="1:61">
      <c r="E44" t="str">
        <f t="shared" si="5"/>
        <v>Coryell W</v>
      </c>
      <c r="F44">
        <f t="shared" si="5"/>
        <v>2005</v>
      </c>
      <c r="G44">
        <v>4</v>
      </c>
      <c r="H44">
        <f t="shared" si="6"/>
        <v>10</v>
      </c>
      <c r="I44">
        <f t="shared" si="6"/>
        <v>10</v>
      </c>
      <c r="J44">
        <f t="shared" ref="J44:M45" si="32">IF($D$4="Total",T28,IF($D$4="Left",L28,IF($D$4="Right",P28,"error")))</f>
        <v>616</v>
      </c>
      <c r="K44">
        <f t="shared" si="32"/>
        <v>261.20987730175904</v>
      </c>
      <c r="L44">
        <f t="shared" si="32"/>
        <v>654</v>
      </c>
      <c r="M44">
        <f t="shared" si="32"/>
        <v>210.18515646924263</v>
      </c>
      <c r="N44">
        <f>IF($D$3=1,SQRT((((I44-1)*(M44)^2)+((H44-1)*(K44)^2))/(H44+I44-2)),M44)</f>
        <v>237.07424997245062</v>
      </c>
      <c r="O44" s="59">
        <f>IF($D$6=1,LN(J44/L44),IF($D$5=1,(1-3/(4*(H44+I44)-9))*((J44-L44)/N44),(J44-L44)/N44))</f>
        <v>-0.15351463181434649</v>
      </c>
      <c r="P44" s="63">
        <f>IF($D$6=1,(K44^2)/(H44*J44^2)+(M44^2)/(I44*L44^2),(IF($D$5=1,((H44+I44)/(H44*I44))+(O44*O44)/(2*(H44+I44-3.94)),((H44+I44)/(H44*I44))+((O44^2)/(2*(H44+I44-2))))))</f>
        <v>0.20073370928334666</v>
      </c>
      <c r="Q44" s="59">
        <f t="shared" si="11"/>
        <v>0.87814498665249152</v>
      </c>
      <c r="R44" s="59">
        <f>1/P44</f>
        <v>4.9817243131219433</v>
      </c>
      <c r="S44" s="59">
        <f>O44*R44</f>
        <v>-0.76476757372949333</v>
      </c>
      <c r="T44" s="59">
        <f>R44*(O44^2)</f>
        <v>0.11740301250463425</v>
      </c>
      <c r="U44" s="23">
        <f>R44^2</f>
        <v>24.817577131950298</v>
      </c>
      <c r="V44" s="59">
        <f t="shared" si="16"/>
        <v>4.6129748353000686</v>
      </c>
      <c r="W44" s="59">
        <f>V44*O44</f>
        <v>-0.70815913340993564</v>
      </c>
      <c r="AF44" s="59">
        <f>IF($D$6=1,100*((EXP(O44))-1),O44)</f>
        <v>-0.15351463181434649</v>
      </c>
      <c r="AG44" s="59">
        <f>IF($D$6=1,100*(EXP(O44+Q44)-EXP(O44)),Q44)</f>
        <v>0.87814498665249152</v>
      </c>
      <c r="AH44" s="59">
        <f>IF($D$6=1,100*(EXP(O44)-EXP(O44-Q44)),Q44)</f>
        <v>0.87814498665249152</v>
      </c>
      <c r="AJ44">
        <f>SQRT(P44)</f>
        <v>0.4480331564553528</v>
      </c>
      <c r="AK44">
        <f t="shared" si="22"/>
        <v>2.231977668598399</v>
      </c>
      <c r="AL44">
        <f>O44/AJ44</f>
        <v>-0.34264123001272667</v>
      </c>
      <c r="AN44" t="str">
        <f>E44</f>
        <v>Coryell W</v>
      </c>
      <c r="AO44">
        <f>F44</f>
        <v>2005</v>
      </c>
      <c r="AP44" t="str">
        <f>CONCATENATE(AN44," ",AO44)</f>
        <v>Coryell W 2005</v>
      </c>
      <c r="AQ44">
        <f>INT(H44)</f>
        <v>10</v>
      </c>
      <c r="AR44">
        <f>J44</f>
        <v>616</v>
      </c>
      <c r="AS44">
        <f>K44</f>
        <v>261.20987730175904</v>
      </c>
      <c r="AT44">
        <f>INT(I44)</f>
        <v>10</v>
      </c>
      <c r="AU44">
        <f>L44</f>
        <v>654</v>
      </c>
      <c r="AV44">
        <f>M44</f>
        <v>210.18515646924263</v>
      </c>
      <c r="AW44" s="65">
        <f>O44</f>
        <v>-0.15351463181434649</v>
      </c>
      <c r="AX44">
        <f>SQRT(P44)</f>
        <v>0.4480331564553528</v>
      </c>
    </row>
    <row r="45" spans="1:61">
      <c r="E45" t="str">
        <f>E29</f>
        <v>Frodl T (A)</v>
      </c>
      <c r="F45">
        <f>F29</f>
        <v>2008</v>
      </c>
      <c r="G45">
        <v>3</v>
      </c>
      <c r="H45">
        <f>H29</f>
        <v>78</v>
      </c>
      <c r="I45">
        <f>I29</f>
        <v>78</v>
      </c>
      <c r="J45">
        <f t="shared" si="32"/>
        <v>1.1399999999999999</v>
      </c>
      <c r="K45">
        <f t="shared" si="32"/>
        <v>0.38958952757999032</v>
      </c>
      <c r="L45">
        <f t="shared" si="32"/>
        <v>1.06</v>
      </c>
      <c r="M45">
        <f t="shared" si="32"/>
        <v>0.42720018726587661</v>
      </c>
      <c r="N45">
        <f t="shared" si="8"/>
        <v>0.40882759202382613</v>
      </c>
      <c r="O45" s="59">
        <f t="shared" si="9"/>
        <v>0.19472696474195225</v>
      </c>
      <c r="P45" s="63">
        <f t="shared" si="10"/>
        <v>2.5765708630627156E-2</v>
      </c>
      <c r="Q45" s="59">
        <f t="shared" si="11"/>
        <v>0.31461332819099908</v>
      </c>
      <c r="R45" s="59">
        <f t="shared" si="12"/>
        <v>38.811274874517558</v>
      </c>
      <c r="S45" s="59">
        <f t="shared" si="13"/>
        <v>7.5576017540803981</v>
      </c>
      <c r="T45" s="59">
        <f t="shared" si="14"/>
        <v>1.4716688503005302</v>
      </c>
      <c r="U45" s="23">
        <f t="shared" si="15"/>
        <v>1506.3150573853579</v>
      </c>
      <c r="V45" s="59">
        <f t="shared" si="16"/>
        <v>23.916664260042538</v>
      </c>
      <c r="W45" s="59">
        <f t="shared" si="17"/>
        <v>4.6572194381104124</v>
      </c>
      <c r="AF45" s="59">
        <f t="shared" si="18"/>
        <v>0.19472696474195225</v>
      </c>
      <c r="AG45" s="59">
        <f t="shared" si="19"/>
        <v>0.31461332819099908</v>
      </c>
      <c r="AH45" s="59">
        <f t="shared" si="20"/>
        <v>0.31461332819099908</v>
      </c>
      <c r="AJ45">
        <f t="shared" si="21"/>
        <v>0.16051700417908116</v>
      </c>
      <c r="AK45">
        <f t="shared" si="22"/>
        <v>6.2298695712284022</v>
      </c>
      <c r="AL45">
        <f t="shared" si="23"/>
        <v>1.2131235923435544</v>
      </c>
      <c r="AN45" t="str">
        <f t="shared" ref="AN45:AO47" si="33">E45</f>
        <v>Frodl T (A)</v>
      </c>
      <c r="AO45">
        <f t="shared" si="33"/>
        <v>2008</v>
      </c>
      <c r="AP45" t="str">
        <f t="shared" si="25"/>
        <v>Frodl T (A) 2008</v>
      </c>
      <c r="AQ45">
        <f t="shared" si="26"/>
        <v>78</v>
      </c>
      <c r="AR45">
        <f t="shared" ref="AR45:AS47" si="34">J45</f>
        <v>1.1399999999999999</v>
      </c>
      <c r="AS45">
        <f t="shared" si="34"/>
        <v>0.38958952757999032</v>
      </c>
      <c r="AT45">
        <f t="shared" si="28"/>
        <v>78</v>
      </c>
      <c r="AU45">
        <f t="shared" ref="AU45:AV47" si="35">L45</f>
        <v>1.06</v>
      </c>
      <c r="AV45">
        <f t="shared" si="35"/>
        <v>0.42720018726587661</v>
      </c>
      <c r="AW45" s="65">
        <f t="shared" si="30"/>
        <v>0.19472696474195225</v>
      </c>
      <c r="AX45">
        <f t="shared" si="31"/>
        <v>0.16051700417908116</v>
      </c>
    </row>
    <row r="46" spans="1:61">
      <c r="E46" t="str">
        <f>E32</f>
        <v>Bremner JD</v>
      </c>
      <c r="F46">
        <f>F32</f>
        <v>2002</v>
      </c>
      <c r="G46">
        <v>2</v>
      </c>
      <c r="H46">
        <f>H32</f>
        <v>15</v>
      </c>
      <c r="I46">
        <f>I32</f>
        <v>20</v>
      </c>
      <c r="J46">
        <f t="shared" ref="J46:M47" si="36">IF($D$4="Total",T32,IF($D$4="Left",L32,IF($D$4="Right",P32,"error")))</f>
        <v>588</v>
      </c>
      <c r="K46">
        <f t="shared" si="36"/>
        <v>296</v>
      </c>
      <c r="L46">
        <f t="shared" si="36"/>
        <v>634</v>
      </c>
      <c r="M46">
        <f t="shared" si="36"/>
        <v>262</v>
      </c>
      <c r="N46">
        <f t="shared" si="8"/>
        <v>276.93451802317327</v>
      </c>
      <c r="O46" s="59">
        <f t="shared" si="9"/>
        <v>-0.16230033441239403</v>
      </c>
      <c r="P46" s="63">
        <f t="shared" si="10"/>
        <v>0.11709070720997598</v>
      </c>
      <c r="Q46" s="59">
        <f t="shared" si="11"/>
        <v>0.67068298086192979</v>
      </c>
      <c r="R46" s="59">
        <f t="shared" si="12"/>
        <v>8.5403873956173459</v>
      </c>
      <c r="S46" s="59">
        <f t="shared" si="13"/>
        <v>-1.3861077303200902</v>
      </c>
      <c r="T46" s="59">
        <f t="shared" si="14"/>
        <v>0.2249657481625551</v>
      </c>
      <c r="U46" s="23">
        <f t="shared" si="15"/>
        <v>72.938216867219637</v>
      </c>
      <c r="V46" s="59">
        <f t="shared" si="16"/>
        <v>7.511068527845258</v>
      </c>
      <c r="W46" s="59">
        <f t="shared" si="17"/>
        <v>-1.2190489338636934</v>
      </c>
      <c r="AF46" s="59">
        <f t="shared" si="18"/>
        <v>-0.16230033441239403</v>
      </c>
      <c r="AG46" s="59">
        <f t="shared" si="19"/>
        <v>0.67068298086192979</v>
      </c>
      <c r="AH46" s="59">
        <f t="shared" si="20"/>
        <v>0.67068298086192979</v>
      </c>
      <c r="AJ46">
        <f t="shared" si="21"/>
        <v>0.34218519431731115</v>
      </c>
      <c r="AK46">
        <f t="shared" si="22"/>
        <v>2.9223941205144364</v>
      </c>
      <c r="AL46">
        <f t="shared" si="23"/>
        <v>-0.47430554304430717</v>
      </c>
      <c r="AN46" t="str">
        <f t="shared" si="33"/>
        <v>Bremner JD</v>
      </c>
      <c r="AO46">
        <f t="shared" si="33"/>
        <v>2002</v>
      </c>
      <c r="AP46" t="str">
        <f t="shared" si="25"/>
        <v>Bremner JD 2002</v>
      </c>
      <c r="AQ46">
        <f t="shared" si="26"/>
        <v>15</v>
      </c>
      <c r="AR46">
        <f t="shared" si="34"/>
        <v>588</v>
      </c>
      <c r="AS46">
        <f t="shared" si="34"/>
        <v>296</v>
      </c>
      <c r="AT46">
        <f t="shared" si="28"/>
        <v>20</v>
      </c>
      <c r="AU46">
        <f t="shared" si="35"/>
        <v>634</v>
      </c>
      <c r="AV46">
        <f t="shared" si="35"/>
        <v>262</v>
      </c>
      <c r="AW46" s="65">
        <f t="shared" si="30"/>
        <v>-0.16230033441239403</v>
      </c>
      <c r="AX46">
        <f t="shared" si="31"/>
        <v>0.34218519431731115</v>
      </c>
    </row>
    <row r="47" spans="1:61">
      <c r="E47" t="str">
        <f>E33</f>
        <v>Yucel K</v>
      </c>
      <c r="F47">
        <f>F33</f>
        <v>2008</v>
      </c>
      <c r="G47">
        <v>1</v>
      </c>
      <c r="H47">
        <f>H33</f>
        <v>65</v>
      </c>
      <c r="I47">
        <f>I33</f>
        <v>93</v>
      </c>
      <c r="J47">
        <f t="shared" si="36"/>
        <v>462</v>
      </c>
      <c r="K47">
        <f t="shared" si="36"/>
        <v>166.2</v>
      </c>
      <c r="L47">
        <f t="shared" si="36"/>
        <v>511.5</v>
      </c>
      <c r="M47">
        <f t="shared" si="36"/>
        <v>215.7</v>
      </c>
      <c r="N47">
        <f t="shared" si="8"/>
        <v>196.90348475253631</v>
      </c>
      <c r="O47" s="59">
        <f t="shared" si="9"/>
        <v>-0.2501816425497812</v>
      </c>
      <c r="P47" s="63">
        <f t="shared" si="10"/>
        <v>2.6340441471330949E-2</v>
      </c>
      <c r="Q47" s="59">
        <f t="shared" si="11"/>
        <v>0.31810287637219653</v>
      </c>
      <c r="R47" s="59">
        <f t="shared" si="12"/>
        <v>37.964435831054857</v>
      </c>
      <c r="S47" s="59">
        <f t="shared" si="13"/>
        <v>-9.498004914689071</v>
      </c>
      <c r="T47" s="59">
        <f t="shared" si="14"/>
        <v>2.3762264705028064</v>
      </c>
      <c r="U47" s="23">
        <f t="shared" si="15"/>
        <v>1441.298387970282</v>
      </c>
      <c r="V47" s="59">
        <f t="shared" si="16"/>
        <v>23.592370788426152</v>
      </c>
      <c r="W47" s="59">
        <f t="shared" si="17"/>
        <v>-5.9023780754919315</v>
      </c>
      <c r="AF47" s="59">
        <f t="shared" si="18"/>
        <v>-0.2501816425497812</v>
      </c>
      <c r="AG47" s="59">
        <f t="shared" si="19"/>
        <v>0.31810287637219653</v>
      </c>
      <c r="AH47" s="59">
        <f t="shared" si="20"/>
        <v>0.31810287637219653</v>
      </c>
      <c r="AJ47">
        <f t="shared" si="21"/>
        <v>0.16229738590418191</v>
      </c>
      <c r="AK47">
        <f t="shared" si="22"/>
        <v>6.1615286927072619</v>
      </c>
      <c r="AL47">
        <f t="shared" si="23"/>
        <v>-1.5415013689591088</v>
      </c>
      <c r="AN47" t="str">
        <f t="shared" si="33"/>
        <v>Yucel K</v>
      </c>
      <c r="AO47">
        <f t="shared" si="33"/>
        <v>2008</v>
      </c>
      <c r="AP47" t="str">
        <f t="shared" si="25"/>
        <v>Yucel K 2008</v>
      </c>
      <c r="AQ47">
        <f t="shared" si="26"/>
        <v>65</v>
      </c>
      <c r="AR47">
        <f t="shared" si="34"/>
        <v>462</v>
      </c>
      <c r="AS47">
        <f t="shared" si="34"/>
        <v>166.2</v>
      </c>
      <c r="AT47">
        <f t="shared" si="28"/>
        <v>93</v>
      </c>
      <c r="AU47">
        <f t="shared" si="35"/>
        <v>511.5</v>
      </c>
      <c r="AV47">
        <f t="shared" si="35"/>
        <v>215.7</v>
      </c>
      <c r="AW47" s="65">
        <f t="shared" si="30"/>
        <v>-0.2501816425497812</v>
      </c>
      <c r="AX47">
        <f t="shared" si="31"/>
        <v>0.16229738590418191</v>
      </c>
    </row>
    <row r="48" spans="1:61">
      <c r="U48" s="23"/>
    </row>
    <row r="49" spans="7:34">
      <c r="L49" t="s">
        <v>500</v>
      </c>
      <c r="N49" s="7"/>
      <c r="O49" s="66">
        <f>COUNT(O40:O47)</f>
        <v>8</v>
      </c>
      <c r="Q49" t="s">
        <v>885</v>
      </c>
      <c r="R49" s="59">
        <f t="shared" ref="R49:W49" si="37">SUM(R40:R47)</f>
        <v>116.97670691648635</v>
      </c>
      <c r="S49" s="59">
        <f t="shared" si="37"/>
        <v>-13.332800583336109</v>
      </c>
      <c r="T49" s="59">
        <f t="shared" si="37"/>
        <v>9.9483915579711919</v>
      </c>
      <c r="U49" s="23">
        <f t="shared" si="37"/>
        <v>3267.989573985687</v>
      </c>
      <c r="V49" s="59">
        <f t="shared" si="37"/>
        <v>83.224170181276094</v>
      </c>
      <c r="W49" s="59">
        <f t="shared" si="37"/>
        <v>-11.700846484014457</v>
      </c>
    </row>
    <row r="50" spans="7:34">
      <c r="L50" t="s">
        <v>501</v>
      </c>
      <c r="N50" s="7"/>
      <c r="O50" s="2">
        <v>1</v>
      </c>
    </row>
    <row r="51" spans="7:34">
      <c r="N51" s="7"/>
      <c r="O51" s="7"/>
    </row>
    <row r="52" spans="7:34">
      <c r="G52" s="67" t="s">
        <v>502</v>
      </c>
      <c r="H52" s="40"/>
      <c r="I52" s="40">
        <f>S49/R49</f>
        <v>-0.11397825203657724</v>
      </c>
      <c r="J52" s="40"/>
      <c r="K52" s="68" t="s">
        <v>879</v>
      </c>
      <c r="L52" s="40"/>
      <c r="M52" s="42"/>
      <c r="N52" s="7"/>
      <c r="O52" s="69" t="s">
        <v>503</v>
      </c>
      <c r="P52" s="70">
        <f>T49-((S49^2)/R49)</f>
        <v>8.4287422527302844</v>
      </c>
      <c r="Q52" s="71" t="s">
        <v>824</v>
      </c>
      <c r="R52" s="28"/>
      <c r="S52" s="29"/>
      <c r="T52" s="30"/>
      <c r="U52" s="31"/>
      <c r="AF52" s="2" t="s">
        <v>1518</v>
      </c>
    </row>
    <row r="53" spans="7:34">
      <c r="G53" s="43" t="s">
        <v>504</v>
      </c>
      <c r="H53" s="31"/>
      <c r="I53" s="31">
        <f>1/R49</f>
        <v>8.5487104771545166E-3</v>
      </c>
      <c r="J53" s="31"/>
      <c r="K53" s="31"/>
      <c r="L53" s="31"/>
      <c r="M53" s="44"/>
      <c r="N53" s="7"/>
      <c r="O53" s="30" t="s">
        <v>505</v>
      </c>
      <c r="P53" s="31">
        <f>CHIDIST(P52,I57-1)</f>
        <v>0.29630891039356982</v>
      </c>
      <c r="Q53" s="31"/>
      <c r="R53" s="31"/>
      <c r="S53" s="34"/>
      <c r="T53" s="30"/>
      <c r="U53" s="31"/>
      <c r="AF53" s="2"/>
    </row>
    <row r="54" spans="7:34">
      <c r="G54" s="72" t="s">
        <v>506</v>
      </c>
      <c r="H54" s="31"/>
      <c r="I54" s="31">
        <f>$R$64*SQRT(I53)</f>
        <v>0.18122010420766452</v>
      </c>
      <c r="J54" s="31"/>
      <c r="K54" s="31" t="s">
        <v>507</v>
      </c>
      <c r="L54" s="31"/>
      <c r="M54" s="44">
        <f>ABS(I52/SQRT(I53))</f>
        <v>1.2327405668837654</v>
      </c>
      <c r="N54" s="7"/>
      <c r="O54" s="35" t="s">
        <v>508</v>
      </c>
      <c r="P54" s="37">
        <f>IF(((P52-(I57-1))/P52)&lt;0,0,100*((P52-(I57-1))/P52))</f>
        <v>16.950835722464742</v>
      </c>
      <c r="Q54" s="36"/>
      <c r="R54" s="36"/>
      <c r="S54" s="38"/>
      <c r="T54" s="30"/>
      <c r="U54" s="31"/>
      <c r="AF54" s="2" t="s">
        <v>1535</v>
      </c>
      <c r="AH54">
        <f>IF($D$6=1,100*((EXP(I52))-1),I52)</f>
        <v>-0.11397825203657724</v>
      </c>
    </row>
    <row r="55" spans="7:34">
      <c r="G55" s="45" t="s">
        <v>509</v>
      </c>
      <c r="H55" s="46"/>
      <c r="I55" s="46">
        <v>-2</v>
      </c>
      <c r="J55" s="46"/>
      <c r="K55" s="46" t="s">
        <v>825</v>
      </c>
      <c r="L55" s="46"/>
      <c r="M55" s="47">
        <f>2*(1-NORMDIST(M54,0,1,1))</f>
        <v>0.21767257153037489</v>
      </c>
      <c r="N55" s="7"/>
      <c r="O55" s="7"/>
      <c r="AF55" s="79" t="s">
        <v>834</v>
      </c>
      <c r="AH55">
        <f>IF($D$6=1,100*(EXP(I52+I54)-EXP(I52)),I54)</f>
        <v>0.18122010420766452</v>
      </c>
    </row>
    <row r="56" spans="7:34">
      <c r="G56" s="40"/>
      <c r="H56" s="40"/>
      <c r="I56" s="40"/>
      <c r="J56" s="40"/>
      <c r="K56" s="40"/>
      <c r="L56" s="40"/>
      <c r="M56" s="40"/>
      <c r="N56" s="7"/>
      <c r="O56" s="7"/>
      <c r="AF56" s="79" t="s">
        <v>835</v>
      </c>
      <c r="AH56">
        <f>IF($D$6=1,100*(EXP(I52)-EXP(I52-I54)),I54)</f>
        <v>0.18122010420766452</v>
      </c>
    </row>
    <row r="57" spans="7:34">
      <c r="G57" s="73" t="s">
        <v>1110</v>
      </c>
      <c r="H57" s="74"/>
      <c r="I57" s="74">
        <f>O49</f>
        <v>8</v>
      </c>
      <c r="J57" s="74"/>
      <c r="K57" s="75" t="s">
        <v>1167</v>
      </c>
      <c r="L57" s="74"/>
      <c r="M57" s="76"/>
      <c r="N57" s="77"/>
      <c r="O57" s="101" t="s">
        <v>1513</v>
      </c>
      <c r="P57" s="102"/>
      <c r="Q57" s="103"/>
      <c r="AF57" s="7"/>
    </row>
    <row r="58" spans="7:34">
      <c r="G58" s="77" t="s">
        <v>1531</v>
      </c>
      <c r="H58" s="31"/>
      <c r="I58" s="31">
        <f>R49/I57</f>
        <v>14.622088364560794</v>
      </c>
      <c r="J58" s="31"/>
      <c r="K58" s="31"/>
      <c r="L58" s="31"/>
      <c r="M58" s="78"/>
      <c r="N58" s="77"/>
      <c r="O58" s="104" t="s">
        <v>1514</v>
      </c>
      <c r="P58" s="31"/>
      <c r="Q58" s="105">
        <f>INDEX(LINEST(AL40:AL47,AK40:AK47,TRUE,TRUE),1,2)</f>
        <v>-1.4862757237212141</v>
      </c>
      <c r="AF58" s="2" t="s">
        <v>1687</v>
      </c>
      <c r="AH58">
        <f>IF($D$6=1,100*((EXP(I63))-1),I63)</f>
        <v>-0.14059433045145497</v>
      </c>
    </row>
    <row r="59" spans="7:34">
      <c r="G59" s="77" t="s">
        <v>1532</v>
      </c>
      <c r="H59" s="31"/>
      <c r="I59" s="31">
        <f>(1/(I57-1))*(U49-(I57*I58^2))</f>
        <v>222.50654697964197</v>
      </c>
      <c r="J59" s="31"/>
      <c r="K59" s="31"/>
      <c r="L59" s="31"/>
      <c r="M59" s="78"/>
      <c r="N59" s="77"/>
      <c r="O59" s="104" t="s">
        <v>1516</v>
      </c>
      <c r="P59" s="31"/>
      <c r="Q59" s="105">
        <f>INDEX(LINEST(AL40:AL47,AK40:AK47,TRUE,TRUE),2,2)</f>
        <v>0.75558915122925041</v>
      </c>
      <c r="AF59" s="79" t="s">
        <v>834</v>
      </c>
      <c r="AG59" s="7"/>
      <c r="AH59">
        <f>IF($D$6=1,100*(EXP(I63+I65)-EXP(I63)),I65)</f>
        <v>0.21484800957247935</v>
      </c>
    </row>
    <row r="60" spans="7:34">
      <c r="G60" s="77" t="s">
        <v>1669</v>
      </c>
      <c r="H60" s="31"/>
      <c r="I60" s="31">
        <f>(I57-1)*(I58-(I59/(I57*I58)))</f>
        <v>89.039610206123172</v>
      </c>
      <c r="J60" s="31"/>
      <c r="K60" s="31"/>
      <c r="L60" s="31"/>
      <c r="M60" s="78"/>
      <c r="N60" s="77"/>
      <c r="O60" s="104" t="s">
        <v>1349</v>
      </c>
      <c r="P60" s="31"/>
      <c r="Q60" s="105">
        <f>ABS(Q58/Q59)</f>
        <v>1.967042170077782</v>
      </c>
      <c r="AF60" s="79" t="s">
        <v>835</v>
      </c>
      <c r="AH60">
        <f>IF($D$6=1,100*(EXP(I63)-EXP(I63-I65)),I65)</f>
        <v>0.21484800957247935</v>
      </c>
    </row>
    <row r="61" spans="7:34">
      <c r="G61" s="77" t="s">
        <v>1685</v>
      </c>
      <c r="H61" s="31"/>
      <c r="I61" s="31">
        <f>IF(P52&gt;(I57-1),(P52-(I57-1))/I60,0)</f>
        <v>1.60461422666025E-2</v>
      </c>
      <c r="J61" s="31"/>
      <c r="K61" s="31"/>
      <c r="L61" s="31"/>
      <c r="M61" s="78"/>
      <c r="N61" s="77"/>
      <c r="O61" s="106" t="s">
        <v>1515</v>
      </c>
      <c r="P61" s="107"/>
      <c r="Q61" s="108">
        <f>TDIST(Q60,I57-2,2)</f>
        <v>9.6746076080109489E-2</v>
      </c>
    </row>
    <row r="62" spans="7:34">
      <c r="G62" s="77"/>
      <c r="H62" s="31"/>
      <c r="I62" s="31"/>
      <c r="J62" s="31"/>
      <c r="K62" s="31"/>
      <c r="L62" s="31"/>
      <c r="M62" s="78"/>
      <c r="N62" s="77"/>
    </row>
    <row r="63" spans="7:34">
      <c r="G63" s="77" t="s">
        <v>1686</v>
      </c>
      <c r="H63" s="31"/>
      <c r="I63" s="31">
        <f>W49/V49</f>
        <v>-0.14059433045145497</v>
      </c>
      <c r="J63" s="31"/>
      <c r="N63" s="77"/>
    </row>
    <row r="64" spans="7:34">
      <c r="G64" s="77" t="s">
        <v>504</v>
      </c>
      <c r="H64" s="31"/>
      <c r="I64" s="31">
        <f>1/V49</f>
        <v>1.201574011278014E-2</v>
      </c>
      <c r="J64" s="31"/>
      <c r="N64" s="77"/>
      <c r="O64" t="s">
        <v>805</v>
      </c>
      <c r="R64">
        <v>1.96</v>
      </c>
    </row>
    <row r="65" spans="7:15">
      <c r="G65" s="80" t="s">
        <v>506</v>
      </c>
      <c r="H65" s="31"/>
      <c r="I65" s="31">
        <f>$R$64*SQRT(I64)</f>
        <v>0.21484800957247935</v>
      </c>
      <c r="J65" s="31"/>
      <c r="K65" s="31" t="s">
        <v>507</v>
      </c>
      <c r="L65" s="31"/>
      <c r="M65" s="78">
        <f>ABS(I63/(SQRT(I64)))</f>
        <v>1.2826038660222703</v>
      </c>
      <c r="N65" s="77"/>
    </row>
    <row r="66" spans="7:15">
      <c r="G66" s="81" t="s">
        <v>509</v>
      </c>
      <c r="H66" s="82"/>
      <c r="I66" s="82">
        <v>-3</v>
      </c>
      <c r="J66" s="82"/>
      <c r="K66" s="31" t="s">
        <v>825</v>
      </c>
      <c r="L66" s="31"/>
      <c r="M66" s="78">
        <f>2*(1-NORMDIST(M65,0,1,1))</f>
        <v>0.1996308950503205</v>
      </c>
      <c r="N66" s="77"/>
    </row>
    <row r="67" spans="7:15">
      <c r="G67" s="74"/>
      <c r="H67" s="74"/>
      <c r="I67" s="74"/>
      <c r="J67" s="74"/>
      <c r="K67" s="74"/>
      <c r="L67" s="74"/>
      <c r="M67" s="74"/>
      <c r="N67" s="31"/>
      <c r="O67" s="7"/>
    </row>
  </sheetData>
  <phoneticPr fontId="10" type="noConversion"/>
  <conditionalFormatting sqref="D17 D13 F13">
    <cfRule type="cellIs" dxfId="30" priority="0" stopIfTrue="1" operator="lessThan">
      <formula>0.05</formula>
    </cfRule>
  </conditionalFormatting>
  <conditionalFormatting sqref="D21">
    <cfRule type="cellIs" dxfId="2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5.xml><?xml version="1.0" encoding="utf-8"?>
<worksheet xmlns="http://schemas.openxmlformats.org/spreadsheetml/2006/main" xmlns:r="http://schemas.openxmlformats.org/officeDocument/2006/relationships">
  <sheetPr published="0" codeName="Sheet116" enableFormatConditionsCalculation="0"/>
  <dimension ref="A1:BM5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2192</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I44-O37</f>
        <v>3</v>
      </c>
      <c r="AD7" s="89"/>
    </row>
    <row r="8" spans="2:30">
      <c r="B8" t="s">
        <v>822</v>
      </c>
      <c r="D8">
        <f>SUM(H24:H26)</f>
        <v>112</v>
      </c>
      <c r="E8" t="s">
        <v>298</v>
      </c>
      <c r="F8">
        <f>Summary!C78</f>
        <v>0.8</v>
      </c>
      <c r="AD8" s="89"/>
    </row>
    <row r="9" spans="2:30">
      <c r="B9" t="s">
        <v>823</v>
      </c>
      <c r="D9">
        <f>SUM(I24:I26)</f>
        <v>75</v>
      </c>
      <c r="AD9" s="89"/>
    </row>
    <row r="11" spans="2:30">
      <c r="B11" s="27" t="s">
        <v>516</v>
      </c>
      <c r="C11" s="28"/>
      <c r="D11" s="109">
        <f>P39</f>
        <v>1.4824261110001586</v>
      </c>
      <c r="E11" s="110" t="s">
        <v>1513</v>
      </c>
      <c r="F11" s="103"/>
    </row>
    <row r="12" spans="2:30">
      <c r="B12" s="30" t="s">
        <v>826</v>
      </c>
      <c r="C12" s="31"/>
      <c r="D12" s="112">
        <f>P41</f>
        <v>0</v>
      </c>
      <c r="E12" s="31"/>
      <c r="F12" s="105"/>
    </row>
    <row r="13" spans="2:30">
      <c r="B13" s="35" t="s">
        <v>825</v>
      </c>
      <c r="C13" s="36"/>
      <c r="D13" s="113">
        <f>P40</f>
        <v>0.47653550778024367</v>
      </c>
      <c r="E13" s="111" t="s">
        <v>825</v>
      </c>
      <c r="F13" s="115">
        <f>Q48</f>
        <v>0.42126020714028817</v>
      </c>
    </row>
    <row r="15" spans="2:30">
      <c r="B15" s="39" t="s">
        <v>879</v>
      </c>
      <c r="C15" s="40"/>
      <c r="D15" s="41">
        <f>AH41</f>
        <v>-0.71840971865669701</v>
      </c>
      <c r="E15" s="116"/>
    </row>
    <row r="16" spans="2:30">
      <c r="B16" s="43" t="s">
        <v>1165</v>
      </c>
      <c r="C16" s="31"/>
      <c r="D16" s="33">
        <f>AH41-AH43</f>
        <v>-1.028385972826019</v>
      </c>
      <c r="E16" s="117">
        <f>AH41+AH42</f>
        <v>-0.408433464487375</v>
      </c>
    </row>
    <row r="17" spans="1:65">
      <c r="B17" s="45" t="s">
        <v>1166</v>
      </c>
      <c r="C17" s="46"/>
      <c r="D17" s="123">
        <f>M42</f>
        <v>5.5577456290478722E-6</v>
      </c>
      <c r="E17" s="118"/>
    </row>
    <row r="18" spans="1:65">
      <c r="D18" s="48"/>
      <c r="F18" s="49"/>
    </row>
    <row r="19" spans="1:65">
      <c r="B19" s="50" t="s">
        <v>1167</v>
      </c>
      <c r="C19" s="51"/>
      <c r="D19" s="52">
        <f>AH45</f>
        <v>-0.71840971865669701</v>
      </c>
      <c r="E19" s="120"/>
      <c r="F19" s="33"/>
      <c r="G19" s="31"/>
    </row>
    <row r="20" spans="1:65">
      <c r="B20" s="53" t="s">
        <v>1165</v>
      </c>
      <c r="C20" s="31"/>
      <c r="D20" s="33">
        <f>AH45-AH47</f>
        <v>-1.028385972826019</v>
      </c>
      <c r="E20" s="121">
        <f>AH45+AH46</f>
        <v>-0.408433464487375</v>
      </c>
      <c r="F20" s="31"/>
      <c r="G20" s="31"/>
    </row>
    <row r="21" spans="1:65">
      <c r="B21" s="54" t="s">
        <v>1440</v>
      </c>
      <c r="C21" s="55"/>
      <c r="D21" s="114">
        <f>M53</f>
        <v>5.5577456290478722E-6</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11958777</v>
      </c>
      <c r="C24" s="1" t="str">
        <f>IF($B24="","",HYPERLINK(IF(LEN(VLOOKUP($B24,Database!$B$1:$IX$10144,2,FALSE))=0,"",VLOOKUP($B24,Database!$B$1:$IX$10144,2,FALSE))))</f>
        <v/>
      </c>
      <c r="D24" s="1" t="str">
        <f>IF($B24="","",HYPERLINK(CONCATENATE("http://www.ncbi.nlm.nih.gov/pubmed/",B24)))</f>
        <v>http://www.ncbi.nlm.nih.gov/pubmed/11958777</v>
      </c>
      <c r="E24" s="22" t="str">
        <f>IF($B24="","",IF(LEN(VLOOKUP($B24,Database!$B$1:$IX$10144,4,FALSE))=0,"",VLOOKUP($B24,Database!$B$1:$IX$10144,4,FALSE)))</f>
        <v>Bremner JD</v>
      </c>
      <c r="F24" s="22">
        <f>IF($B24="","",IF(LEN(VLOOKUP($B24,Database!$B$1:$IX$10144,5,FALSE))=0,"",VLOOKUP($B24,Database!$B$1:$IX$10144,5,FALSE)))</f>
        <v>2002</v>
      </c>
      <c r="G24" s="1" t="str">
        <f>IF($B24="","",HYPERLINK(IF(LEN(VLOOKUP($B24,Database!$B$1:$IX$10144,6,FALSE))=0,"",VLOOKUP($B24,Database!$B$1:$IX$10144,6,FALSE))))</f>
        <v>http://dx.doi.org/10.1016/S0006-3223(01)01336-1</v>
      </c>
      <c r="H24" s="22">
        <f>IF($B24="","",IF(LEN(VLOOKUP($B24,Database!$B$1:$IX$10144,7,FALSE))=0,"",VLOOKUP($B24,Database!$B$1:$IX$10144,7,FALSE)))</f>
        <v>15</v>
      </c>
      <c r="I24" s="22">
        <f>IF($B24="","",IF(LEN(VLOOKUP($B24,Database!$B$1:$IX$10144,8,FALSE))=0,"",VLOOKUP($B24,Database!$B$1:$IX$10144,8,FALSE)))</f>
        <v>20</v>
      </c>
      <c r="J24" t="s">
        <v>283</v>
      </c>
      <c r="T24">
        <v>338</v>
      </c>
      <c r="U24">
        <v>125</v>
      </c>
      <c r="V24">
        <v>495</v>
      </c>
      <c r="W24">
        <v>230</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43</v>
      </c>
      <c r="AC24" s="22">
        <f>IF(OR($B24="",AC$22=""),"",IF(LEN(VLOOKUP($B24,Database!$B$1:$IX$10144,AC$22,FALSE))=0,"",VLOOKUP($B24,Database!$B$1:$IX$10144,AC$22,FALSE)))</f>
        <v>8</v>
      </c>
      <c r="AD24" s="22">
        <f>IF(OR($B24="",AD$22=""),"",IF(LEN(VLOOKUP($B24,Database!$B$1:$IX$10144,AD$22,FALSE))=0,"",VLOOKUP($B24,Database!$B$1:$IX$10144,AD$22,FALSE)))</f>
        <v>45</v>
      </c>
      <c r="AE24" s="22">
        <f>IF(OR($B24="",AE$22=""),"",IF(LEN(VLOOKUP($B24,Database!$B$1:$IX$10144,AE$22,FALSE))=0,"",VLOOKUP($B24,Database!$B$1:$IX$10144,AE$22,FALSE)))</f>
        <v>11</v>
      </c>
      <c r="AF24" s="22">
        <f>IF(OR($B24="",AF$22=""),"",IF(LEN(VLOOKUP($B24,Database!$B$1:$IX$10144,AF$22,FALSE))=0,"",VLOOKUP($B24,Database!$B$1:$IX$10144,AF$22,FALSE)))</f>
        <v>5</v>
      </c>
      <c r="AG24" s="22">
        <f>IF(OR($B24="",AG$22=""),"",IF(LEN(VLOOKUP($B24,Database!$B$1:$IX$10144,AG$22,FALSE))=0,"",VLOOKUP($B24,Database!$B$1:$IX$10144,AG$22,FALSE)))</f>
        <v>9</v>
      </c>
      <c r="AH24" s="22">
        <f>IF(OR($B24="",AH$22=""),"",IF(LEN(VLOOKUP($B24,Database!$B$1:$IX$10144,AH$22,FALSE))=0,"",VLOOKUP($B24,Database!$B$1:$IX$10144,AH$22,FALSE)))</f>
        <v>1.5</v>
      </c>
      <c r="AI24" s="22">
        <f>IF(OR($B24="",AI$22=""),"",IF(LEN(VLOOKUP($B24,Database!$B$1:$IX$10144,AI$22,FALSE))=0,"",VLOOKUP($B24,Database!$B$1:$IX$10144,AI$22,FALSE)))</f>
        <v>3</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100</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Bremner JD, Vythilingam M, Vermetten E, Nazeer A, Adil J, Khan S, Staib LH, Charney DS.</v>
      </c>
      <c r="AR24" s="13"/>
      <c r="AX24" s="13"/>
      <c r="AY24" s="13"/>
      <c r="AZ24" s="13"/>
      <c r="BA24" s="13"/>
      <c r="BC24" s="23"/>
      <c r="BF24" s="136"/>
      <c r="BG24" s="136"/>
      <c r="BH24" s="136"/>
      <c r="BI24" s="136"/>
    </row>
    <row r="25" spans="1:65">
      <c r="B25" s="13">
        <v>18075490</v>
      </c>
      <c r="C25" s="1" t="str">
        <f>IF($B25="","",HYPERLINK(IF(LEN(VLOOKUP($B25,Database!$B$1:$IX$10144,2,FALSE))=0,"",VLOOKUP($B25,Database!$B$1:$IX$10144,2,FALSE))))</f>
        <v/>
      </c>
      <c r="D25" s="1" t="str">
        <f>IF($B25="","",HYPERLINK(CONCATENATE("http://www.ncbi.nlm.nih.gov/pubmed/",B25)))</f>
        <v>http://www.ncbi.nlm.nih.gov/pubmed/18075490</v>
      </c>
      <c r="E25" s="22" t="str">
        <f>IF($B25="","",IF(LEN(VLOOKUP($B25,Database!$B$1:$IX$10144,4,FALSE))=0,"",VLOOKUP($B25,Database!$B$1:$IX$10144,4,FALSE)))</f>
        <v>Andreescu C</v>
      </c>
      <c r="F25" s="22">
        <f>IF($B25="","",IF(LEN(VLOOKUP($B25,Database!$B$1:$IX$10144,5,FALSE))=0,"",VLOOKUP($B25,Database!$B$1:$IX$10144,5,FALSE)))</f>
        <v>2008</v>
      </c>
      <c r="G25" s="1" t="str">
        <f>IF($B25="","",HYPERLINK(IF(LEN(VLOOKUP($B25,Database!$B$1:$IX$10144,6,FALSE))=0,"",VLOOKUP($B25,Database!$B$1:$IX$10144,6,FALSE))))</f>
        <v>http://www.nature.com/npp/journal/v33/n11/pdf/1301655a.pdf</v>
      </c>
      <c r="H25" s="22">
        <f>IF($B25="","",IF(LEN(VLOOKUP($B25,Database!$B$1:$IX$10144,7,FALSE))=0,"",VLOOKUP($B25,Database!$B$1:$IX$10144,7,FALSE)))</f>
        <v>71</v>
      </c>
      <c r="I25" s="22">
        <f>IF($B25="","",IF(LEN(VLOOKUP($B25,Database!$B$1:$IX$10144,8,FALSE))=0,"",VLOOKUP($B25,Database!$B$1:$IX$10144,8,FALSE)))</f>
        <v>32</v>
      </c>
      <c r="J25" s="2" t="s">
        <v>49</v>
      </c>
      <c r="T25">
        <v>0.45</v>
      </c>
      <c r="U25">
        <v>0.08</v>
      </c>
      <c r="V25">
        <v>0.5</v>
      </c>
      <c r="W25">
        <v>0.11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72.2</v>
      </c>
      <c r="AC25" s="22">
        <f>IF(OR($B25="",AC$22=""),"",IF(LEN(VLOOKUP($B25,Database!$B$1:$IX$10144,AC$22,FALSE))=0,"",VLOOKUP($B25,Database!$B$1:$IX$10144,AC$22,FALSE)))</f>
        <v>6.2</v>
      </c>
      <c r="AD25" s="22">
        <f>IF(OR($B25="",AD$22=""),"",IF(LEN(VLOOKUP($B25,Database!$B$1:$IX$10144,AD$22,FALSE))=0,"",VLOOKUP($B25,Database!$B$1:$IX$10144,AD$22,FALSE)))</f>
        <v>71</v>
      </c>
      <c r="AE25" s="22">
        <f>IF(OR($B25="",AE$22=""),"",IF(LEN(VLOOKUP($B25,Database!$B$1:$IX$10144,AE$22,FALSE))=0,"",VLOOKUP($B25,Database!$B$1:$IX$10144,AE$22,FALSE)))</f>
        <v>6.7</v>
      </c>
      <c r="AF25" s="22">
        <f>IF(OR($B25="",AF$22=""),"",IF(LEN(VLOOKUP($B25,Database!$B$1:$IX$10144,AF$22,FALSE))=0,"",VLOOKUP($B25,Database!$B$1:$IX$10144,AF$22,FALSE)))</f>
        <v>49</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1.5</v>
      </c>
      <c r="AJ25" s="22" t="str">
        <f>IF(OR($B25="",AJ$22=""),"",IF(LEN(VLOOKUP($B25,Database!$B$1:$IX$10144,AJ$22,FALSE))=0,"",VLOOKUP($B25,Database!$B$1:$IX$10144,AJ$22,FALSE)))</f>
        <v/>
      </c>
      <c r="AK25" s="22">
        <f>IF(OR($B25="",AK$22=""),"",IF(LEN(VLOOKUP($B25,Database!$B$1:$IX$10144,AK$22,FALSE))=0,"",VLOOKUP($B25,Database!$B$1:$IX$10144,AK$22,FALSE)))</f>
        <v>52.3</v>
      </c>
      <c r="AL25" s="22">
        <f>IF(OR($B25="",AL$22=""),"",IF(LEN(VLOOKUP($B25,Database!$B$1:$IX$10144,AL$22,FALSE))=0,"",VLOOKUP($B25,Database!$B$1:$IX$10144,AL$22,FALSE)))</f>
        <v>18.3</v>
      </c>
      <c r="AM25" s="22">
        <f>IF(OR($B25="",AM$22=""),"",IF(LEN(VLOOKUP($B25,Database!$B$1:$IX$10144,AM$22,FALSE))=0,"",VLOOKUP($B25,Database!$B$1:$IX$10144,AM$22,FALSE)))</f>
        <v>16.901408450704224</v>
      </c>
      <c r="AN25" s="22" t="str">
        <f>IF(OR($B25="",AN$22=""),"",IF(LEN(VLOOKUP($B25,Database!$B$1:$IX$10144,AN$22,FALSE))=0,"",VLOOKUP($B25,Database!$B$1:$IX$10144,AN$22,FALSE)))</f>
        <v>ns</v>
      </c>
      <c r="AO25" s="22">
        <f>IF(OR($B25="",AO$22=""),"",IF(LEN(VLOOKUP($B25,Database!$B$1:$IX$10144,AO$22,FALSE))=0,"",VLOOKUP($B25,Database!$B$1:$IX$10144,AO$22,FALSE)))</f>
        <v>1.4084507042253522</v>
      </c>
      <c r="AP25" s="22" t="str">
        <f>IF(OR($B25="",AP$22=""),"",IF(LEN(VLOOKUP($B25,Database!$B$1:$IX$10144,AP$22,FALSE))=0,"",VLOOKUP($B25,Database!$B$1:$IX$10144,AP$22,FALSE)))</f>
        <v>ns</v>
      </c>
      <c r="AQ25" s="22" t="str">
        <f>IF(OR($B25="",AQ$22=""),"",IF(LEN(VLOOKUP($B25,Database!$B$1:$IX$10144,AQ$22,FALSE))=0,"",VLOOKUP($B25,Database!$B$1:$IX$10144,AQ$22,FALSE)))</f>
        <v>Andreescu C, Butters MA, Begley A, Rajji T, Wu M, Meltzer CC, Reynolds CF 3rd, Aizenstein H.</v>
      </c>
      <c r="AR25" s="13"/>
      <c r="AX25" s="13"/>
      <c r="AY25" s="13"/>
      <c r="AZ25" s="13"/>
      <c r="BA25" s="13"/>
      <c r="BC25" s="23"/>
      <c r="BF25" s="136"/>
      <c r="BG25" s="136"/>
      <c r="BH25" s="136"/>
      <c r="BI25" s="136"/>
    </row>
    <row r="26" spans="1:65">
      <c r="A26" s="91"/>
      <c r="B26" s="13">
        <v>18819162</v>
      </c>
      <c r="C26" s="1" t="str">
        <f>IF($B26="","",HYPERLINK(IF(LEN(VLOOKUP($B26,Database!$B$1:$IX$10144,2,FALSE))=0,"",VLOOKUP($B26,Database!$B$1:$IX$10144,2,FALSE))))</f>
        <v/>
      </c>
      <c r="D26" s="1" t="str">
        <f>IF($B26="","",HYPERLINK(CONCATENATE("http://www.ncbi.nlm.nih.gov/pubmed/",B26)))</f>
        <v>http://www.ncbi.nlm.nih.gov/pubmed/18819162</v>
      </c>
      <c r="E26" s="22" t="str">
        <f>IF($B26="","",IF(LEN(VLOOKUP($B26,Database!$B$1:$IX$10144,4,FALSE))=0,"",VLOOKUP($B26,Database!$B$1:$IX$10144,4,FALSE)))</f>
        <v>Elderkin-Thompson V (B)</v>
      </c>
      <c r="F26" s="22">
        <f>IF($B26="","",IF(LEN(VLOOKUP($B26,Database!$B$1:$IX$10144,5,FALSE))=0,"",VLOOKUP($B26,Database!$B$1:$IX$10144,5,FALSE)))</f>
        <v>2008</v>
      </c>
      <c r="G26" s="1" t="str">
        <f>IF($B26="","",HYPERLINK(IF(LEN(VLOOKUP($B26,Database!$B$1:$IX$10144,6,FALSE))=0,"",VLOOKUP($B26,Database!$B$1:$IX$10144,6,FALSE))))</f>
        <v>http://www3.interscience.wiley.com/cgi-bin/fulltext/121421785/PDFSTART</v>
      </c>
      <c r="H26" s="22">
        <f>IF($B26="","",IF(LEN(VLOOKUP($B26,Database!$B$1:$IX$10144,7,FALSE))=0,"",VLOOKUP($B26,Database!$B$1:$IX$10144,7,FALSE)))</f>
        <v>26</v>
      </c>
      <c r="I26" s="22">
        <f>IF($B26="","",IF(LEN(VLOOKUP($B26,Database!$B$1:$IX$10144,8,FALSE))=0,"",VLOOKUP($B26,Database!$B$1:$IX$10144,8,FALSE)))</f>
        <v>23</v>
      </c>
      <c r="J26" s="2" t="s">
        <v>50</v>
      </c>
      <c r="K26" t="s">
        <v>295</v>
      </c>
      <c r="T26">
        <v>0.29399999999999998</v>
      </c>
      <c r="U26">
        <v>6.8000000000000005E-2</v>
      </c>
      <c r="V26">
        <v>0.35199999999999998</v>
      </c>
      <c r="W26">
        <v>4.2000000000000003E-2</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71</v>
      </c>
      <c r="AE26" s="22">
        <f>IF(OR($B26="",AE$22=""),"",IF(LEN(VLOOKUP($B26,Database!$B$1:$IX$10144,AE$22,FALSE))=0,"",VLOOKUP($B26,Database!$B$1:$IX$10144,AE$22,FALSE)))</f>
        <v>7.9</v>
      </c>
      <c r="AF26" s="22">
        <f>IF(OR($B26="",AF$22=""),"",IF(LEN(VLOOKUP($B26,Database!$B$1:$IX$10144,AF$22,FALSE))=0,"",VLOOKUP($B26,Database!$B$1:$IX$10144,AF$22,FALSE)))</f>
        <v>11</v>
      </c>
      <c r="AG26" s="22">
        <f>IF(OR($B26="",AG$22=""),"",IF(LEN(VLOOKUP($B26,Database!$B$1:$IX$10144,AG$22,FALSE))=0,"",VLOOKUP($B26,Database!$B$1:$IX$10144,AG$22,FALSE)))</f>
        <v>21</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49.8</v>
      </c>
      <c r="AL26" s="22">
        <f>IF(OR($B26="",AL$22=""),"",IF(LEN(VLOOKUP($B26,Database!$B$1:$IX$10144,AL$22,FALSE))=0,"",VLOOKUP($B26,Database!$B$1:$IX$10144,AL$22,FALSE)))</f>
        <v>17.899999999999999</v>
      </c>
      <c r="AM26" s="22">
        <f>IF(OR($B26="",AM$22=""),"",IF(LEN(VLOOKUP($B26,Database!$B$1:$IX$10144,AM$22,FALSE))=0,"",VLOOKUP($B26,Database!$B$1:$IX$10144,AM$22,FALSE)))</f>
        <v>0</v>
      </c>
      <c r="AN26" s="22" t="str">
        <f>IF(OR($B26="",AN$22=""),"",IF(LEN(VLOOKUP($B26,Database!$B$1:$IX$10144,AN$22,FALSE))=0,"",VLOOKUP($B26,Database!$B$1:$IX$10144,AN$22,FALSE)))</f>
        <v>ns</v>
      </c>
      <c r="AO26" s="22">
        <f>IF(OR($B26="",AO$22=""),"",IF(LEN(VLOOKUP($B26,Database!$B$1:$IX$10144,AO$22,FALSE))=0,"",VLOOKUP($B26,Database!$B$1:$IX$10144,AO$22,FALSE)))</f>
        <v>0</v>
      </c>
      <c r="AP26" s="22" t="str">
        <f>IF(OR($B26="",AP$22=""),"",IF(LEN(VLOOKUP($B26,Database!$B$1:$IX$10144,AP$22,FALSE))=0,"",VLOOKUP($B26,Database!$B$1:$IX$10144,AP$22,FALSE)))</f>
        <v>ns</v>
      </c>
      <c r="AQ26" s="22" t="str">
        <f>IF(OR($B26="",AQ$22=""),"",IF(LEN(VLOOKUP($B26,Database!$B$1:$IX$10144,AQ$22,FALSE))=0,"",VLOOKUP($B26,Database!$B$1:$IX$10144,AQ$22,FALSE)))</f>
        <v>Elderkin-Thompson V, Hellemann G, Pham D, Kumar A.</v>
      </c>
      <c r="AR26" s="13"/>
      <c r="AX26" s="13"/>
      <c r="AY26" s="13"/>
      <c r="AZ26" s="13"/>
      <c r="BA26" s="13"/>
      <c r="BC26" s="23"/>
      <c r="BF26" s="136"/>
      <c r="BG26" s="136"/>
      <c r="BH26" s="136"/>
      <c r="BI26" s="136"/>
    </row>
    <row r="27" spans="1:65">
      <c r="B27" s="13"/>
      <c r="C27" s="1" t="str">
        <f>IF($B27="","",HYPERLINK(IF(LEN(VLOOKUP($B27,Database!$B$1:$IX$10144,2,FALSE))=0,"",VLOOKUP($B27,Database!$B$1:$IX$10144,2,FALSE))))</f>
        <v/>
      </c>
      <c r="D27" s="1" t="str">
        <f>IF($B27="","",HYPERLINK(CONCATENATE("http://www.ncbi.nlm.nih.gov/pubmed/",B27)))</f>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t="str">
        <f>IF(OR($B27="",AH$22=""),"",IF(LEN(VLOOKUP($B27,Database!$B$1:$IX$10144,AH$22,FALSE))=0,"",VLOOKUP($B27,Database!$B$1:$IX$10144,AH$22,FALSE)))</f>
        <v/>
      </c>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row>
    <row r="28" spans="1:65">
      <c r="A28" s="4" t="s">
        <v>1510</v>
      </c>
      <c r="C28" s="1"/>
      <c r="D28" s="1"/>
      <c r="E28" s="22"/>
      <c r="F28" s="22"/>
      <c r="G28" s="1"/>
      <c r="H28" s="22"/>
      <c r="I28" s="22"/>
      <c r="Y28" s="22"/>
      <c r="Z28" s="22"/>
      <c r="AA28" s="22"/>
      <c r="AB28" s="22"/>
      <c r="AC28" s="22"/>
      <c r="AD28" s="22"/>
      <c r="AE28" s="22"/>
      <c r="AF28" s="22"/>
      <c r="AG28" s="22"/>
      <c r="AH28" s="22"/>
      <c r="AI28" s="22"/>
      <c r="AJ28" s="22"/>
      <c r="AK28" s="22"/>
      <c r="AL28" s="22"/>
      <c r="AM28" s="22"/>
      <c r="AN28" s="22"/>
      <c r="AO28" s="22"/>
      <c r="AP28" s="22"/>
      <c r="AQ28" s="22"/>
    </row>
    <row r="29" spans="1:65">
      <c r="A29" s="10" t="s">
        <v>284</v>
      </c>
      <c r="B29" s="13">
        <v>14702257</v>
      </c>
      <c r="C29" s="1" t="str">
        <f>IF($B29="","",HYPERLINK(IF(LEN(VLOOKUP($B29,Database!$B$1:$IX$10144,2,FALSE))=0,"",VLOOKUP($B29,Database!$B$1:$IX$10144,2,FALSE))))</f>
        <v/>
      </c>
      <c r="D29" s="1" t="str">
        <f>IF($B29="","",HYPERLINK(CONCATENATE("http://www.ncbi.nlm.nih.gov/pubmed/",B29)))</f>
        <v>http://www.ncbi.nlm.nih.gov/pubmed/14702257</v>
      </c>
      <c r="E29" s="22" t="str">
        <f>IF($B29="","",IF(LEN(VLOOKUP($B29,Database!$B$1:$IX$10144,4,FALSE))=0,"",VLOOKUP($B29,Database!$B$1:$IX$10144,4,FALSE)))</f>
        <v>Ballmaier M (A)</v>
      </c>
      <c r="F29" s="22">
        <f>IF($B29="","",IF(LEN(VLOOKUP($B29,Database!$B$1:$IX$10144,5,FALSE))=0,"",VLOOKUP($B29,Database!$B$1:$IX$10144,5,FALSE)))</f>
        <v>2004</v>
      </c>
      <c r="G29" s="1" t="str">
        <f>IF($B29="","",HYPERLINK(IF(LEN(VLOOKUP($B29,Database!$B$1:$IX$10144,6,FALSE))=0,"",VLOOKUP($B29,Database!$B$1:$IX$10144,6,FALSE))))</f>
        <v>http://ajp.psychiatryonline.org/cgi/reprint/161/1/99</v>
      </c>
      <c r="H29" s="22">
        <f>IF($B29="","",IF(LEN(VLOOKUP($B29,Database!$B$1:$IX$10144,7,FALSE))=0,"",VLOOKUP($B29,Database!$B$1:$IX$10144,7,FALSE)))</f>
        <v>24</v>
      </c>
      <c r="I29" s="22">
        <f>IF($B29="","",IF(LEN(VLOOKUP($B29,Database!$B$1:$IX$10144,8,FALSE))=0,"",VLOOKUP($B29,Database!$B$1:$IX$10144,8,FALSE)))</f>
        <v>19</v>
      </c>
      <c r="J29" t="s">
        <v>282</v>
      </c>
      <c r="K29" t="s">
        <v>294</v>
      </c>
      <c r="L29">
        <v>1771</v>
      </c>
      <c r="M29">
        <v>499</v>
      </c>
      <c r="N29">
        <v>2340</v>
      </c>
      <c r="O29">
        <v>523</v>
      </c>
      <c r="P29">
        <v>1838</v>
      </c>
      <c r="Q29">
        <v>518</v>
      </c>
      <c r="R29">
        <v>2487</v>
      </c>
      <c r="S29">
        <v>612</v>
      </c>
      <c r="T29">
        <f>L29+P29</f>
        <v>3609</v>
      </c>
      <c r="U29">
        <f>2*SQRT(0.25*(M29^2+Q29^2+2*$F$8*M29*Q29))</f>
        <v>964.8296222649883</v>
      </c>
      <c r="V29">
        <f>N29+R29</f>
        <v>4827</v>
      </c>
      <c r="W29">
        <f>2*SQRT(0.25*(O29^2+S29^2+2*$F$8*O29*S29))</f>
        <v>1077.1232984203805</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65.849999999999994</v>
      </c>
      <c r="AC29" s="22">
        <f>IF(OR($B29="",AC$22=""),"",IF(LEN(VLOOKUP($B29,Database!$B$1:$IX$10144,AC$22,FALSE))=0,"",VLOOKUP($B29,Database!$B$1:$IX$10144,AC$22,FALSE)))</f>
        <v>8.18</v>
      </c>
      <c r="AD29" s="22">
        <f>IF(OR($B29="",AD$22=""),"",IF(LEN(VLOOKUP($B29,Database!$B$1:$IX$10144,AD$22,FALSE))=0,"",VLOOKUP($B29,Database!$B$1:$IX$10144,AD$22,FALSE)))</f>
        <v>66.239999999999995</v>
      </c>
      <c r="AE29" s="22">
        <f>IF(OR($B29="",AE$22=""),"",IF(LEN(VLOOKUP($B29,Database!$B$1:$IX$10144,AE$22,FALSE))=0,"",VLOOKUP($B29,Database!$B$1:$IX$10144,AE$22,FALSE)))</f>
        <v>7.25</v>
      </c>
      <c r="AF29" s="22">
        <f>IF(OR($B29="",AF$22=""),"",IF(LEN(VLOOKUP($B29,Database!$B$1:$IX$10144,AF$22,FALSE))=0,"",VLOOKUP($B29,Database!$B$1:$IX$10144,AF$22,FALSE)))</f>
        <v>18</v>
      </c>
      <c r="AG29" s="22">
        <f>IF(OR($B29="",AG$22=""),"",IF(LEN(VLOOKUP($B29,Database!$B$1:$IX$10144,AG$22,FALSE))=0,"",VLOOKUP($B29,Database!$B$1:$IX$10144,AG$22,FALSE)))</f>
        <v>15</v>
      </c>
      <c r="AH29" s="22">
        <f>IF(OR($B29="",AH$22=""),"",IF(LEN(VLOOKUP($B29,Database!$B$1:$IX$10144,AH$22,FALSE))=0,"",VLOOKUP($B29,Database!$B$1:$IX$10144,AH$22,FALSE)))</f>
        <v>1.5</v>
      </c>
      <c r="AI29" s="22">
        <f>IF(OR($B29="",AI$22=""),"",IF(LEN(VLOOKUP($B29,Database!$B$1:$IX$10144,AI$22,FALSE))=0,"",VLOOKUP($B29,Database!$B$1:$IX$10144,AI$22,FALSE)))</f>
        <v>1.4</v>
      </c>
      <c r="AJ29" s="22" t="str">
        <f>IF(OR($B29="",AJ$22=""),"",IF(LEN(VLOOKUP($B29,Database!$B$1:$IX$10144,AJ$22,FALSE))=0,"",VLOOKUP($B29,Database!$B$1:$IX$10144,AJ$22,FALSE)))</f>
        <v/>
      </c>
      <c r="AK29" s="22">
        <f>IF(OR($B29="",AK$22=""),"",IF(LEN(VLOOKUP($B29,Database!$B$1:$IX$10144,AK$22,FALSE))=0,"",VLOOKUP($B29,Database!$B$1:$IX$10144,AK$22,FALSE)))</f>
        <v>35</v>
      </c>
      <c r="AL29" s="22" t="str">
        <f>IF(OR($B29="",AL$22=""),"",IF(LEN(VLOOKUP($B29,Database!$B$1:$IX$10144,AL$22,FALSE))=0,"",VLOOKUP($B29,Database!$B$1:$IX$10144,AL$22,FALSE)))</f>
        <v>ns</v>
      </c>
      <c r="AM29" s="22">
        <f>IF(OR($B29="",AM$22=""),"",IF(LEN(VLOOKUP($B29,Database!$B$1:$IX$10144,AM$22,FALSE))=0,"",VLOOKUP($B29,Database!$B$1:$IX$10144,AM$22,FALSE)))</f>
        <v>0</v>
      </c>
      <c r="AN29" s="22">
        <f>IF(OR($B29="",AN$22=""),"",IF(LEN(VLOOKUP($B29,Database!$B$1:$IX$10144,AN$22,FALSE))=0,"",VLOOKUP($B29,Database!$B$1:$IX$10144,AN$22,FALSE)))</f>
        <v>0</v>
      </c>
      <c r="AO29" s="22">
        <f>IF(OR($B29="",AO$22=""),"",IF(LEN(VLOOKUP($B29,Database!$B$1:$IX$10144,AO$22,FALSE))=0,"",VLOOKUP($B29,Database!$B$1:$IX$10144,AO$22,FALSE)))</f>
        <v>0</v>
      </c>
      <c r="AP29" s="22">
        <f>IF(OR($B29="",AP$22=""),"",IF(LEN(VLOOKUP($B29,Database!$B$1:$IX$10144,AP$22,FALSE))=0,"",VLOOKUP($B29,Database!$B$1:$IX$10144,AP$22,FALSE)))</f>
        <v>100</v>
      </c>
      <c r="AQ29" s="22" t="str">
        <f>IF(OR($B29="",AQ$22=""),"",IF(LEN(VLOOKUP($B29,Database!$B$1:$IX$10144,AQ$22,FALSE))=0,"",VLOOKUP($B29,Database!$B$1:$IX$10144,AQ$22,FALSE)))</f>
        <v>Ballmaier M, Toga AW, Blanton RE, Sowell ER, Lavretsky H, Peterson J, Pham D, Kumar A.</v>
      </c>
    </row>
    <row r="30" spans="1:65">
      <c r="I30" s="22" t="str">
        <f>IF($B30="","",IF(LEN(VLOOKUP($B30,Database!$B$1:$IX$10144,8,FALSE))=0,"",VLOOKUP($B30,Database!$B$1:$IX$10144,8,FALSE)))</f>
        <v/>
      </c>
      <c r="AF30" t="s">
        <v>602</v>
      </c>
      <c r="AJ30" t="s">
        <v>329</v>
      </c>
      <c r="AN30" t="s">
        <v>330</v>
      </c>
    </row>
    <row r="31" spans="1:65" ht="45" customHeight="1">
      <c r="E31" s="60" t="s">
        <v>617</v>
      </c>
      <c r="F31" s="60" t="s">
        <v>740</v>
      </c>
      <c r="G31" s="60" t="s">
        <v>244</v>
      </c>
      <c r="H31" s="60" t="s">
        <v>245</v>
      </c>
      <c r="I31" s="60" t="s">
        <v>246</v>
      </c>
      <c r="J31" s="60" t="s">
        <v>593</v>
      </c>
      <c r="K31" s="60" t="s">
        <v>1039</v>
      </c>
      <c r="L31" s="60" t="s">
        <v>594</v>
      </c>
      <c r="M31" s="60" t="s">
        <v>1299</v>
      </c>
      <c r="N31" s="61" t="s">
        <v>595</v>
      </c>
      <c r="O31" s="61" t="s">
        <v>596</v>
      </c>
      <c r="P31" s="61" t="s">
        <v>597</v>
      </c>
      <c r="Q31" s="61" t="s">
        <v>598</v>
      </c>
      <c r="R31" s="61" t="s">
        <v>599</v>
      </c>
      <c r="S31" s="61" t="s">
        <v>600</v>
      </c>
      <c r="T31" s="61" t="s">
        <v>601</v>
      </c>
      <c r="U31" s="61" t="s">
        <v>484</v>
      </c>
      <c r="V31" s="61" t="s">
        <v>485</v>
      </c>
      <c r="W31" s="61" t="s">
        <v>486</v>
      </c>
      <c r="AF31" s="61" t="s">
        <v>1517</v>
      </c>
      <c r="AG31" s="62" t="s">
        <v>834</v>
      </c>
      <c r="AH31" s="62" t="s">
        <v>835</v>
      </c>
      <c r="AJ31" s="61" t="s">
        <v>836</v>
      </c>
      <c r="AK31" s="61" t="s">
        <v>837</v>
      </c>
      <c r="AL31" s="61" t="s">
        <v>487</v>
      </c>
      <c r="AN31" t="s">
        <v>488</v>
      </c>
      <c r="AO31" t="s">
        <v>489</v>
      </c>
      <c r="AP31" t="s">
        <v>490</v>
      </c>
      <c r="AQ31" t="s">
        <v>491</v>
      </c>
      <c r="AR31" t="s">
        <v>492</v>
      </c>
      <c r="AS31" t="s">
        <v>493</v>
      </c>
      <c r="AT31" t="s">
        <v>494</v>
      </c>
      <c r="AU31" t="s">
        <v>495</v>
      </c>
      <c r="AV31" t="s">
        <v>496</v>
      </c>
      <c r="AW31" t="s">
        <v>497</v>
      </c>
      <c r="AX31" t="s">
        <v>498</v>
      </c>
      <c r="AY31" t="s">
        <v>499</v>
      </c>
    </row>
    <row r="32" spans="1:65">
      <c r="E32" t="str">
        <f t="shared" ref="E32:F34" si="0">E24</f>
        <v>Bremner JD</v>
      </c>
      <c r="F32">
        <f t="shared" si="0"/>
        <v>2002</v>
      </c>
      <c r="G32">
        <v>3</v>
      </c>
      <c r="H32">
        <f t="shared" ref="H32:I34" si="1">H24</f>
        <v>15</v>
      </c>
      <c r="I32">
        <f t="shared" si="1"/>
        <v>20</v>
      </c>
      <c r="J32">
        <f t="shared" ref="J32:M34" si="2">IF($D$4="Total",T24,IF($D$4="Left",L24,IF($D$4="Right",P24,"error")))</f>
        <v>338</v>
      </c>
      <c r="K32">
        <f t="shared" si="2"/>
        <v>125</v>
      </c>
      <c r="L32">
        <f t="shared" si="2"/>
        <v>495</v>
      </c>
      <c r="M32">
        <f t="shared" si="2"/>
        <v>230</v>
      </c>
      <c r="N32">
        <f>IF($D$3=1,SQRT((((I32-1)*(M32)^2)+((H32-1)*(K32)^2))/(H32+I32-2)),M32)</f>
        <v>192.57820135301824</v>
      </c>
      <c r="O32" s="59">
        <f>IF($D$6=1,LN(J32/L32),IF($D$5=1,(1-3/(4*(H32+I32)-9))*((J32-L32)/N32),(J32-L32)/N32))</f>
        <v>-0.79658330524888077</v>
      </c>
      <c r="P32" s="63">
        <f>IF($D$6=1,(K32^2)/(H32*J32^2)+(M32^2)/(I32*L32^2),(IF($D$5=1,((H32+I32)/(H32*I32))+(O32*O32)/(2*(H32+I32-3.94)),((H32+I32)/(H32*I32))+((O32^2)/(2*(H32+I32-2))))))</f>
        <v>0.12688149220113595</v>
      </c>
      <c r="Q32" s="59">
        <f>$R$51*SQRT(P32)</f>
        <v>0.69816039735857538</v>
      </c>
      <c r="R32" s="59">
        <f>1/P32</f>
        <v>7.8813701088474994</v>
      </c>
      <c r="S32" s="59">
        <f>O32*R32</f>
        <v>-6.2781678511954722</v>
      </c>
      <c r="T32" s="59">
        <f>R32*(O32^2)</f>
        <v>5.001083697812553</v>
      </c>
      <c r="U32" s="23">
        <f>R32^2</f>
        <v>62.115994792634844</v>
      </c>
      <c r="V32" s="59">
        <f>1/((1/R32)+$I$48)</f>
        <v>7.8813701088474994</v>
      </c>
      <c r="W32" s="59">
        <f>V32*O32</f>
        <v>-6.2781678511954722</v>
      </c>
      <c r="AF32" s="59">
        <f>IF($D$6=1,100*((EXP(O32))-1),O32)</f>
        <v>-0.79658330524888077</v>
      </c>
      <c r="AG32" s="59">
        <f>IF($D$6=1,100*(EXP(O32+Q32)-EXP(O32)),Q32)</f>
        <v>0.69816039735857538</v>
      </c>
      <c r="AH32" s="59">
        <f>IF($D$6=1,100*(EXP(O32)-EXP(O32-Q32)),Q32)</f>
        <v>0.69816039735857538</v>
      </c>
      <c r="AJ32">
        <f>SQRT(P32)</f>
        <v>0.35620428436662011</v>
      </c>
      <c r="AK32">
        <f>1/AJ32</f>
        <v>2.807377799450494</v>
      </c>
      <c r="AL32">
        <f>O32/AJ32</f>
        <v>-2.236310286568604</v>
      </c>
      <c r="AN32" t="str">
        <f t="shared" ref="AN32:AO34" si="3">E32</f>
        <v>Bremner JD</v>
      </c>
      <c r="AO32">
        <f t="shared" si="3"/>
        <v>2002</v>
      </c>
      <c r="AP32" t="str">
        <f>CONCATENATE(AN32," ",AO32)</f>
        <v>Bremner JD 2002</v>
      </c>
      <c r="AQ32">
        <f>INT(H32)</f>
        <v>15</v>
      </c>
      <c r="AR32">
        <f t="shared" ref="AR32:AS34" si="4">J32</f>
        <v>338</v>
      </c>
      <c r="AS32">
        <f t="shared" si="4"/>
        <v>125</v>
      </c>
      <c r="AT32">
        <f>INT(I32)</f>
        <v>20</v>
      </c>
      <c r="AU32">
        <f t="shared" ref="AU32:AV34" si="5">L32</f>
        <v>495</v>
      </c>
      <c r="AV32">
        <f t="shared" si="5"/>
        <v>230</v>
      </c>
      <c r="AW32" s="65">
        <f>O32</f>
        <v>-0.79658330524888077</v>
      </c>
      <c r="AX32">
        <f>SQRT(P32)</f>
        <v>0.35620428436662011</v>
      </c>
    </row>
    <row r="33" spans="5:51">
      <c r="E33" t="str">
        <f t="shared" si="0"/>
        <v>Andreescu C</v>
      </c>
      <c r="F33">
        <f t="shared" si="0"/>
        <v>2008</v>
      </c>
      <c r="G33">
        <v>2</v>
      </c>
      <c r="H33">
        <f t="shared" si="1"/>
        <v>71</v>
      </c>
      <c r="I33">
        <f t="shared" si="1"/>
        <v>32</v>
      </c>
      <c r="J33">
        <f t="shared" si="2"/>
        <v>0.45</v>
      </c>
      <c r="K33">
        <f t="shared" si="2"/>
        <v>0.08</v>
      </c>
      <c r="L33">
        <f t="shared" si="2"/>
        <v>0.5</v>
      </c>
      <c r="M33">
        <f t="shared" si="2"/>
        <v>0.11</v>
      </c>
      <c r="N33">
        <f>IF($D$3=1,SQRT((((I33-1)*(M33)^2)+((H33-1)*(K33)^2))/(H33+I33-2)),M33)</f>
        <v>9.0274608559079608E-2</v>
      </c>
      <c r="O33" s="59">
        <f>IF($D$6=1,LN(J33/L33),IF($D$5=1,(1-3/(4*(H33+I33)-9))*((J33-L33)/N33),(J33-L33)/N33))</f>
        <v>-0.54974252844083893</v>
      </c>
      <c r="P33" s="63">
        <f>IF($D$6=1,(K33^2)/(H33*J33^2)+(M33^2)/(I33*L33^2),(IF($D$5=1,((H33+I33)/(H33*I33))+(O33*O33)/(2*(H33+I33-3.94)),((H33+I33)/(H33*I33))+((O33^2)/(2*(H33+I33-2))))))</f>
        <v>4.6859930258367627E-2</v>
      </c>
      <c r="Q33" s="59">
        <f>$R$51*SQRT(P33)</f>
        <v>0.42428423029915346</v>
      </c>
      <c r="R33" s="59">
        <f>1/P33</f>
        <v>21.340193945795153</v>
      </c>
      <c r="S33" s="59">
        <f>O33*R33</f>
        <v>-11.731612177179311</v>
      </c>
      <c r="T33" s="59">
        <f>R33*(O33^2)</f>
        <v>6.4493661409698904</v>
      </c>
      <c r="U33" s="23">
        <f>R33^2</f>
        <v>455.40387764415215</v>
      </c>
      <c r="V33" s="59">
        <f>1/((1/R33)+$I$48)</f>
        <v>21.340193945795153</v>
      </c>
      <c r="W33" s="59">
        <f>V33*O33</f>
        <v>-11.731612177179311</v>
      </c>
      <c r="AF33" s="59">
        <f>IF($D$6=1,100*((EXP(O33))-1),O33)</f>
        <v>-0.54974252844083893</v>
      </c>
      <c r="AG33" s="59">
        <f>IF($D$6=1,100*(EXP(O33+Q33)-EXP(O33)),Q33)</f>
        <v>0.42428423029915346</v>
      </c>
      <c r="AH33" s="59">
        <f>IF($D$6=1,100*(EXP(O33)-EXP(O33-Q33)),Q33)</f>
        <v>0.42428423029915346</v>
      </c>
      <c r="AJ33">
        <f>SQRT(P33)</f>
        <v>0.21647154607099667</v>
      </c>
      <c r="AK33">
        <f>1/AJ33</f>
        <v>4.6195447769011997</v>
      </c>
      <c r="AL33">
        <f>O33/AJ33</f>
        <v>-2.5395602258993364</v>
      </c>
      <c r="AN33" t="str">
        <f t="shared" si="3"/>
        <v>Andreescu C</v>
      </c>
      <c r="AO33">
        <f t="shared" si="3"/>
        <v>2008</v>
      </c>
      <c r="AP33" t="str">
        <f>CONCATENATE(AN33," ",AO33)</f>
        <v>Andreescu C 2008</v>
      </c>
      <c r="AQ33">
        <f>INT(H33)</f>
        <v>71</v>
      </c>
      <c r="AR33">
        <f t="shared" si="4"/>
        <v>0.45</v>
      </c>
      <c r="AS33">
        <f t="shared" si="4"/>
        <v>0.08</v>
      </c>
      <c r="AT33">
        <f>INT(I33)</f>
        <v>32</v>
      </c>
      <c r="AU33">
        <f t="shared" si="5"/>
        <v>0.5</v>
      </c>
      <c r="AV33">
        <f t="shared" si="5"/>
        <v>0.11</v>
      </c>
      <c r="AW33" s="65">
        <f>O33</f>
        <v>-0.54974252844083893</v>
      </c>
      <c r="AX33">
        <f>SQRT(P33)</f>
        <v>0.21647154607099667</v>
      </c>
      <c r="AY33" t="str">
        <f>$F$4</f>
        <v>Total</v>
      </c>
    </row>
    <row r="34" spans="5:51">
      <c r="E34" t="str">
        <f t="shared" si="0"/>
        <v>Elderkin-Thompson V (B)</v>
      </c>
      <c r="F34">
        <f t="shared" si="0"/>
        <v>2008</v>
      </c>
      <c r="G34">
        <v>1</v>
      </c>
      <c r="H34">
        <f t="shared" si="1"/>
        <v>26</v>
      </c>
      <c r="I34">
        <f t="shared" si="1"/>
        <v>23</v>
      </c>
      <c r="J34">
        <f t="shared" si="2"/>
        <v>0.29399999999999998</v>
      </c>
      <c r="K34">
        <f t="shared" si="2"/>
        <v>6.8000000000000005E-2</v>
      </c>
      <c r="L34">
        <f t="shared" si="2"/>
        <v>0.35199999999999998</v>
      </c>
      <c r="M34">
        <f t="shared" si="2"/>
        <v>4.2000000000000003E-2</v>
      </c>
      <c r="N34">
        <f>IF($D$3=1,SQRT((((I34-1)*(M34)^2)+((H34-1)*(K34)^2))/(H34+I34-2)),M34)</f>
        <v>5.731733241999911E-2</v>
      </c>
      <c r="O34" s="59">
        <f>IF($D$6=1,LN(J34/L34),IF($D$5=1,(1-3/(4*(H34+I34)-9))*((J34-L34)/N34),(J34-L34)/N34))</f>
        <v>-0.99567646132576992</v>
      </c>
      <c r="P34" s="63">
        <f>IF($D$6=1,(K34^2)/(H34*J34^2)+(M34^2)/(I34*L34^2),(IF($D$5=1,((H34+I34)/(H34*I34))+(O34*O34)/(2*(H34+I34-3.94)),((H34+I34)/(H34*I34))+((O34^2)/(2*(H34+I34-2))))))</f>
        <v>9.2940372074536967E-2</v>
      </c>
      <c r="Q34" s="59">
        <f>$R$51*SQRT(P34)</f>
        <v>0.59752801889245433</v>
      </c>
      <c r="R34" s="59">
        <f>1/P34</f>
        <v>10.759586793971655</v>
      </c>
      <c r="S34" s="59">
        <f>O34*R34</f>
        <v>-10.713067304349183</v>
      </c>
      <c r="T34" s="59">
        <f>R34*(O34^2)</f>
        <v>10.666748943539201</v>
      </c>
      <c r="U34" s="23">
        <f>R34^2</f>
        <v>115.76870797700924</v>
      </c>
      <c r="V34" s="59">
        <f>1/((1/R34)+$I$48)</f>
        <v>10.759586793971655</v>
      </c>
      <c r="W34" s="59">
        <f>V34*O34</f>
        <v>-10.713067304349183</v>
      </c>
      <c r="AF34" s="59">
        <f>IF($D$6=1,100*((EXP(O34))-1),O34)</f>
        <v>-0.99567646132576992</v>
      </c>
      <c r="AG34" s="59">
        <f>IF($D$6=1,100*(EXP(O34+Q34)-EXP(O34)),Q34)</f>
        <v>0.59752801889245433</v>
      </c>
      <c r="AH34" s="59">
        <f>IF($D$6=1,100*(EXP(O34)-EXP(O34-Q34)),Q34)</f>
        <v>0.59752801889245433</v>
      </c>
      <c r="AJ34">
        <f>SQRT(P34)</f>
        <v>0.30486123412880323</v>
      </c>
      <c r="AK34">
        <f>1/AJ34</f>
        <v>3.2801809087261717</v>
      </c>
      <c r="AL34">
        <f>O34/AJ34</f>
        <v>-3.2659989197088231</v>
      </c>
      <c r="AN34" t="str">
        <f t="shared" si="3"/>
        <v>Elderkin-Thompson V (B)</v>
      </c>
      <c r="AO34">
        <f t="shared" si="3"/>
        <v>2008</v>
      </c>
      <c r="AP34" t="str">
        <f>CONCATENATE(AN34," ",AO34)</f>
        <v>Elderkin-Thompson V (B) 2008</v>
      </c>
      <c r="AQ34">
        <f>INT(H34)</f>
        <v>26</v>
      </c>
      <c r="AR34">
        <f t="shared" si="4"/>
        <v>0.29399999999999998</v>
      </c>
      <c r="AS34">
        <f t="shared" si="4"/>
        <v>6.8000000000000005E-2</v>
      </c>
      <c r="AT34">
        <f>INT(I34)</f>
        <v>23</v>
      </c>
      <c r="AU34">
        <f t="shared" si="5"/>
        <v>0.35199999999999998</v>
      </c>
      <c r="AV34">
        <f t="shared" si="5"/>
        <v>4.2000000000000003E-2</v>
      </c>
      <c r="AW34" s="65">
        <f>O34</f>
        <v>-0.99567646132576992</v>
      </c>
      <c r="AX34">
        <f>SQRT(P34)</f>
        <v>0.30486123412880323</v>
      </c>
      <c r="AY34" t="str">
        <f>$F$6</f>
        <v>Cohens Effect size</v>
      </c>
    </row>
    <row r="35" spans="5:51">
      <c r="U35" s="23"/>
    </row>
    <row r="36" spans="5:51">
      <c r="L36" t="s">
        <v>500</v>
      </c>
      <c r="N36" s="7"/>
      <c r="O36" s="66">
        <f>COUNT(O32:O34)</f>
        <v>3</v>
      </c>
      <c r="Q36" t="s">
        <v>885</v>
      </c>
      <c r="R36" s="59">
        <f t="shared" ref="R36:W36" si="6">SUM(R32:R34)</f>
        <v>39.981150848614305</v>
      </c>
      <c r="S36" s="59">
        <f t="shared" si="6"/>
        <v>-28.722847332723966</v>
      </c>
      <c r="T36" s="59">
        <f t="shared" si="6"/>
        <v>22.117198782321644</v>
      </c>
      <c r="U36" s="23">
        <f t="shared" si="6"/>
        <v>633.28858041379624</v>
      </c>
      <c r="V36" s="59">
        <f t="shared" si="6"/>
        <v>39.981150848614305</v>
      </c>
      <c r="W36" s="59">
        <f t="shared" si="6"/>
        <v>-28.722847332723966</v>
      </c>
    </row>
    <row r="37" spans="5:51">
      <c r="L37" t="s">
        <v>501</v>
      </c>
      <c r="N37" s="7"/>
      <c r="O37" s="2">
        <v>0</v>
      </c>
    </row>
    <row r="38" spans="5:51">
      <c r="N38" s="7"/>
      <c r="O38" s="7"/>
    </row>
    <row r="39" spans="5:51">
      <c r="G39" s="67" t="s">
        <v>502</v>
      </c>
      <c r="H39" s="40"/>
      <c r="I39" s="40">
        <f>S36/R36</f>
        <v>-0.71840971865669701</v>
      </c>
      <c r="J39" s="40"/>
      <c r="K39" s="68" t="s">
        <v>879</v>
      </c>
      <c r="L39" s="40"/>
      <c r="M39" s="42"/>
      <c r="N39" s="7"/>
      <c r="O39" s="69" t="s">
        <v>503</v>
      </c>
      <c r="P39" s="70">
        <f>T36-((S36^2)/R36)</f>
        <v>1.4824261110001586</v>
      </c>
      <c r="Q39" s="71" t="s">
        <v>824</v>
      </c>
      <c r="R39" s="28"/>
      <c r="S39" s="29"/>
      <c r="T39" s="30"/>
      <c r="U39" s="31"/>
      <c r="AF39" s="2" t="s">
        <v>1518</v>
      </c>
    </row>
    <row r="40" spans="5:51">
      <c r="G40" s="43" t="s">
        <v>504</v>
      </c>
      <c r="H40" s="31"/>
      <c r="I40" s="31">
        <f>1/R36</f>
        <v>2.5011786273647467E-2</v>
      </c>
      <c r="J40" s="31"/>
      <c r="K40" s="31"/>
      <c r="L40" s="31"/>
      <c r="M40" s="44"/>
      <c r="N40" s="7"/>
      <c r="O40" s="30" t="s">
        <v>505</v>
      </c>
      <c r="P40" s="31">
        <f>CHIDIST(P39,I44-1)</f>
        <v>0.47653550778024367</v>
      </c>
      <c r="Q40" s="31"/>
      <c r="R40" s="31"/>
      <c r="S40" s="34"/>
      <c r="T40" s="30"/>
      <c r="U40" s="31"/>
      <c r="AF40" s="2"/>
    </row>
    <row r="41" spans="5:51">
      <c r="G41" s="72" t="s">
        <v>506</v>
      </c>
      <c r="H41" s="31"/>
      <c r="I41" s="31">
        <f>$R$51*SQRT(I40)</f>
        <v>0.30997625416932201</v>
      </c>
      <c r="J41" s="31"/>
      <c r="K41" s="31" t="s">
        <v>507</v>
      </c>
      <c r="L41" s="31"/>
      <c r="M41" s="44">
        <f>ABS(I39/SQRT(I40))</f>
        <v>4.5425513394260593</v>
      </c>
      <c r="N41" s="7"/>
      <c r="O41" s="35" t="s">
        <v>508</v>
      </c>
      <c r="P41" s="37">
        <f>IF(((P39-(I44-1))/P39)&lt;0,0,100*((P39-(I44-1))/P39))</f>
        <v>0</v>
      </c>
      <c r="Q41" s="36"/>
      <c r="R41" s="36"/>
      <c r="S41" s="38"/>
      <c r="T41" s="30"/>
      <c r="U41" s="31"/>
      <c r="AF41" s="2" t="s">
        <v>1535</v>
      </c>
      <c r="AH41">
        <f>IF($D$6=1,100*((EXP(I39))-1),I39)</f>
        <v>-0.71840971865669701</v>
      </c>
    </row>
    <row r="42" spans="5:51">
      <c r="G42" s="45" t="s">
        <v>509</v>
      </c>
      <c r="H42" s="46"/>
      <c r="I42" s="46">
        <v>-2</v>
      </c>
      <c r="J42" s="46"/>
      <c r="K42" s="46" t="s">
        <v>825</v>
      </c>
      <c r="L42" s="46"/>
      <c r="M42" s="47">
        <f>2*(1-NORMDIST(M41,0,1,1))</f>
        <v>5.5577456290478722E-6</v>
      </c>
      <c r="N42" s="7"/>
      <c r="O42" s="7"/>
      <c r="AF42" s="79" t="s">
        <v>834</v>
      </c>
      <c r="AH42">
        <f>IF($D$6=1,100*(EXP(I39+I41)-EXP(I39)),I41)</f>
        <v>0.30997625416932201</v>
      </c>
    </row>
    <row r="43" spans="5:51">
      <c r="G43" s="40"/>
      <c r="H43" s="40"/>
      <c r="I43" s="40"/>
      <c r="J43" s="40"/>
      <c r="K43" s="40"/>
      <c r="L43" s="40"/>
      <c r="M43" s="40"/>
      <c r="N43" s="7"/>
      <c r="O43" s="7"/>
      <c r="AF43" s="79" t="s">
        <v>835</v>
      </c>
      <c r="AH43">
        <f>IF($D$6=1,100*(EXP(I39)-EXP(I39-I41)),I41)</f>
        <v>0.30997625416932201</v>
      </c>
    </row>
    <row r="44" spans="5:51">
      <c r="G44" s="73" t="s">
        <v>1110</v>
      </c>
      <c r="H44" s="74"/>
      <c r="I44" s="74">
        <f>O36</f>
        <v>3</v>
      </c>
      <c r="J44" s="74"/>
      <c r="K44" s="75" t="s">
        <v>1167</v>
      </c>
      <c r="L44" s="74"/>
      <c r="M44" s="76"/>
      <c r="N44" s="77"/>
      <c r="O44" s="101" t="s">
        <v>1513</v>
      </c>
      <c r="P44" s="102"/>
      <c r="Q44" s="103"/>
      <c r="AF44" s="7"/>
    </row>
    <row r="45" spans="5:51">
      <c r="G45" s="77" t="s">
        <v>1531</v>
      </c>
      <c r="H45" s="31"/>
      <c r="I45" s="31">
        <f>R36/I44</f>
        <v>13.327050282871435</v>
      </c>
      <c r="J45" s="31"/>
      <c r="K45" s="31"/>
      <c r="L45" s="31"/>
      <c r="M45" s="78"/>
      <c r="N45" s="77"/>
      <c r="O45" s="104" t="s">
        <v>1514</v>
      </c>
      <c r="P45" s="31"/>
      <c r="Q45" s="105">
        <f>INDEX(LINEST(AL32:AL34,AK32:AK34,TRUE,TRUE),1,2)</f>
        <v>-2.6379313114118554</v>
      </c>
      <c r="AF45" s="2" t="s">
        <v>1687</v>
      </c>
      <c r="AH45">
        <f>IF($D$6=1,100*((EXP(I50))-1),I50)</f>
        <v>-0.71840971865669701</v>
      </c>
    </row>
    <row r="46" spans="5:51">
      <c r="G46" s="77" t="s">
        <v>1532</v>
      </c>
      <c r="H46" s="31"/>
      <c r="I46" s="31">
        <f>(1/(I44-1))*(U36-(I44*I45^2))</f>
        <v>50.228886343622719</v>
      </c>
      <c r="J46" s="31"/>
      <c r="K46" s="31"/>
      <c r="L46" s="31"/>
      <c r="M46" s="78"/>
      <c r="N46" s="77"/>
      <c r="O46" s="104" t="s">
        <v>1516</v>
      </c>
      <c r="P46" s="31"/>
      <c r="Q46" s="105">
        <f>INDEX(LINEST(AL32:AL34,AK32:AK34,TRUE,TRUE),2,2)</f>
        <v>2.0545658890514589</v>
      </c>
      <c r="AF46" s="79" t="s">
        <v>834</v>
      </c>
      <c r="AG46" s="7"/>
      <c r="AH46">
        <f>IF($D$6=1,100*(EXP(I50+I52)-EXP(I50)),I52)</f>
        <v>0.30997625416932201</v>
      </c>
    </row>
    <row r="47" spans="5:51">
      <c r="G47" s="77" t="s">
        <v>1669</v>
      </c>
      <c r="H47" s="31"/>
      <c r="I47" s="31">
        <f>(I44-1)*(I45-(I46/(I44*I45)))</f>
        <v>24.141472225762826</v>
      </c>
      <c r="J47" s="31"/>
      <c r="K47" s="31"/>
      <c r="L47" s="31"/>
      <c r="M47" s="78"/>
      <c r="N47" s="77"/>
      <c r="O47" s="104" t="s">
        <v>1349</v>
      </c>
      <c r="P47" s="31"/>
      <c r="Q47" s="105">
        <f>ABS(Q45/Q46)</f>
        <v>1.2839360983597958</v>
      </c>
      <c r="AF47" s="79" t="s">
        <v>835</v>
      </c>
      <c r="AH47">
        <f>IF($D$6=1,100*(EXP(I50)-EXP(I50-I52)),I52)</f>
        <v>0.30997625416932201</v>
      </c>
    </row>
    <row r="48" spans="5:51">
      <c r="G48" s="77" t="s">
        <v>1685</v>
      </c>
      <c r="H48" s="31"/>
      <c r="I48" s="31">
        <f>IF(P39&gt;(I44-1),(P39-(I44-1))/I47,0)</f>
        <v>0</v>
      </c>
      <c r="J48" s="31"/>
      <c r="K48" s="31"/>
      <c r="L48" s="31"/>
      <c r="M48" s="78"/>
      <c r="N48" s="77"/>
      <c r="O48" s="106" t="s">
        <v>1515</v>
      </c>
      <c r="P48" s="107"/>
      <c r="Q48" s="108">
        <f>TDIST(Q47,I44-2,2)</f>
        <v>0.42126020714028817</v>
      </c>
    </row>
    <row r="49" spans="7:18">
      <c r="G49" s="77"/>
      <c r="H49" s="31"/>
      <c r="I49" s="31"/>
      <c r="J49" s="31"/>
      <c r="K49" s="31"/>
      <c r="L49" s="31"/>
      <c r="M49" s="78"/>
      <c r="N49" s="77"/>
    </row>
    <row r="50" spans="7:18">
      <c r="G50" s="77" t="s">
        <v>1686</v>
      </c>
      <c r="H50" s="31"/>
      <c r="I50" s="31">
        <f>W36/V36</f>
        <v>-0.71840971865669701</v>
      </c>
      <c r="J50" s="31"/>
      <c r="N50" s="77"/>
    </row>
    <row r="51" spans="7:18">
      <c r="G51" s="77" t="s">
        <v>504</v>
      </c>
      <c r="H51" s="31"/>
      <c r="I51" s="31">
        <f>1/V36</f>
        <v>2.5011786273647467E-2</v>
      </c>
      <c r="J51" s="31"/>
      <c r="N51" s="77"/>
      <c r="O51" t="s">
        <v>805</v>
      </c>
      <c r="R51">
        <v>1.96</v>
      </c>
    </row>
    <row r="52" spans="7:18">
      <c r="G52" s="80" t="s">
        <v>506</v>
      </c>
      <c r="H52" s="31"/>
      <c r="I52" s="31">
        <f>$R$51*SQRT(I51)</f>
        <v>0.30997625416932201</v>
      </c>
      <c r="J52" s="31"/>
      <c r="K52" s="31" t="s">
        <v>507</v>
      </c>
      <c r="L52" s="31"/>
      <c r="M52" s="78">
        <f>ABS(I50/(SQRT(I51)))</f>
        <v>4.5425513394260593</v>
      </c>
      <c r="N52" s="77"/>
    </row>
    <row r="53" spans="7:18">
      <c r="G53" s="81" t="s">
        <v>509</v>
      </c>
      <c r="H53" s="82"/>
      <c r="I53" s="82">
        <v>-3</v>
      </c>
      <c r="J53" s="82"/>
      <c r="K53" s="31" t="s">
        <v>825</v>
      </c>
      <c r="L53" s="31"/>
      <c r="M53" s="78">
        <f>2*(1-NORMDIST(M52,0,1,1))</f>
        <v>5.5577456290478722E-6</v>
      </c>
      <c r="N53" s="77"/>
    </row>
    <row r="54" spans="7:18">
      <c r="G54" s="74"/>
      <c r="H54" s="74"/>
      <c r="I54" s="74"/>
      <c r="J54" s="74"/>
      <c r="K54" s="74"/>
      <c r="L54" s="74"/>
      <c r="M54" s="74"/>
      <c r="N54" s="31"/>
      <c r="O54" s="7"/>
    </row>
  </sheetData>
  <phoneticPr fontId="10" type="noConversion"/>
  <conditionalFormatting sqref="D17 D13 F13">
    <cfRule type="cellIs" dxfId="28" priority="0" stopIfTrue="1" operator="lessThan">
      <formula>0.05</formula>
    </cfRule>
  </conditionalFormatting>
  <conditionalFormatting sqref="D21">
    <cfRule type="cellIs" dxfId="2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6.xml><?xml version="1.0" encoding="utf-8"?>
<worksheet xmlns="http://schemas.openxmlformats.org/spreadsheetml/2006/main" xmlns:r="http://schemas.openxmlformats.org/officeDocument/2006/relationships">
  <sheetPr published="0" codeName="Sheet21" enableFormatConditionsCalculation="0"/>
  <dimension ref="A1:BM6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1639</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I52-O45</f>
        <v>6</v>
      </c>
      <c r="AD7" s="89"/>
    </row>
    <row r="8" spans="2:30">
      <c r="B8" t="s">
        <v>822</v>
      </c>
      <c r="D8">
        <f>SUM(H24:H30)</f>
        <v>233</v>
      </c>
      <c r="AD8" s="89"/>
    </row>
    <row r="9" spans="2:30">
      <c r="B9" t="s">
        <v>823</v>
      </c>
      <c r="D9">
        <f>SUM(I24:I30)</f>
        <v>175</v>
      </c>
      <c r="AD9" s="89"/>
    </row>
    <row r="11" spans="2:30">
      <c r="B11" s="27" t="s">
        <v>516</v>
      </c>
      <c r="C11" s="28"/>
      <c r="D11" s="109">
        <f>P47</f>
        <v>17.207448185809049</v>
      </c>
      <c r="E11" s="110" t="s">
        <v>1513</v>
      </c>
      <c r="F11" s="103"/>
    </row>
    <row r="12" spans="2:30">
      <c r="B12" s="30" t="s">
        <v>826</v>
      </c>
      <c r="C12" s="31"/>
      <c r="D12" s="112">
        <f>P49</f>
        <v>65.13137837051174</v>
      </c>
      <c r="E12" s="31"/>
      <c r="F12" s="105"/>
    </row>
    <row r="13" spans="2:30">
      <c r="B13" s="35" t="s">
        <v>825</v>
      </c>
      <c r="C13" s="36"/>
      <c r="D13" s="113">
        <f>P48</f>
        <v>8.5503295796170754E-3</v>
      </c>
      <c r="E13" s="111" t="s">
        <v>825</v>
      </c>
      <c r="F13" s="115">
        <f>Q56</f>
        <v>0.92459409335894294</v>
      </c>
    </row>
    <row r="15" spans="2:30">
      <c r="B15" s="39" t="s">
        <v>879</v>
      </c>
      <c r="C15" s="40"/>
      <c r="D15" s="41">
        <f>AH49</f>
        <v>6.497267722171346E-2</v>
      </c>
      <c r="E15" s="116"/>
    </row>
    <row r="16" spans="2:30">
      <c r="B16" s="43" t="s">
        <v>1165</v>
      </c>
      <c r="C16" s="31"/>
      <c r="D16" s="33">
        <f>AH49-AH51</f>
        <v>-0.13751995105611811</v>
      </c>
      <c r="E16" s="117">
        <f>AH49+AH50</f>
        <v>0.26746530549954506</v>
      </c>
    </row>
    <row r="17" spans="1:65">
      <c r="B17" s="45" t="s">
        <v>1166</v>
      </c>
      <c r="C17" s="46"/>
      <c r="D17" s="123">
        <f>M50</f>
        <v>0.52941829794054684</v>
      </c>
      <c r="E17" s="118"/>
    </row>
    <row r="18" spans="1:65">
      <c r="D18" s="48"/>
      <c r="F18" s="49"/>
    </row>
    <row r="19" spans="1:65">
      <c r="B19" s="50" t="s">
        <v>1167</v>
      </c>
      <c r="C19" s="51"/>
      <c r="D19" s="52">
        <f>AH53</f>
        <v>5.8153118337531909E-2</v>
      </c>
      <c r="E19" s="120"/>
      <c r="F19" s="33"/>
      <c r="G19" s="31"/>
    </row>
    <row r="20" spans="1:65">
      <c r="B20" s="53" t="s">
        <v>1165</v>
      </c>
      <c r="C20" s="31"/>
      <c r="D20" s="33">
        <f>AH53-AH55</f>
        <v>-0.29297659810661447</v>
      </c>
      <c r="E20" s="121">
        <f>AH53+AH54</f>
        <v>0.40928283478167826</v>
      </c>
      <c r="F20" s="31"/>
      <c r="G20" s="31"/>
    </row>
    <row r="21" spans="1:65">
      <c r="B21" s="54" t="s">
        <v>1440</v>
      </c>
      <c r="C21" s="55"/>
      <c r="D21" s="114">
        <f>M61</f>
        <v>0.74547648488749574</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t="s">
        <v>1196</v>
      </c>
      <c r="B24">
        <v>2015336</v>
      </c>
      <c r="C24" s="1" t="str">
        <f>IF($B24="","",HYPERLINK(IF(LEN(VLOOKUP($B24,Database!$B$1:$IX$10144,2,FALSE))=0,"",VLOOKUP($B24,Database!$B$1:$IX$10144,2,FALSE))))</f>
        <v/>
      </c>
      <c r="D24" s="1" t="str">
        <f t="shared" ref="D24:D33" si="0">IF($B24="","",HYPERLINK(CONCATENATE("http://www.ncbi.nlm.nih.gov/pubmed/",B24)))</f>
        <v>http://www.ncbi.nlm.nih.gov/pubmed/2015336</v>
      </c>
      <c r="E24" s="22" t="str">
        <f>IF($B24="","",IF(LEN(VLOOKUP($B24,Database!$B$1:$IX$10144,4,FALSE))=0,"",VLOOKUP($B24,Database!$B$1:$IX$10144,4,FALSE)))</f>
        <v>Lammers C</v>
      </c>
      <c r="F24" s="22">
        <f>IF($B24="","",IF(LEN(VLOOKUP($B24,Database!$B$1:$IX$10144,5,FALSE))=0,"",VLOOKUP($B24,Database!$B$1:$IX$10144,5,FALSE)))</f>
        <v>1991</v>
      </c>
      <c r="G24" s="1" t="str">
        <f>IF($B24="","",HYPERLINK(IF(LEN(VLOOKUP($B24,Database!$B$1:$IX$10144,6,FALSE))=0,"",VLOOKUP($B24,Database!$B$1:$IX$10144,6,FALSE))))</f>
        <v>http://dx.doi.org/10.1016/0006-3223(91)91297-5</v>
      </c>
      <c r="H24" s="22">
        <f>IF($B24="","",IF(LEN(VLOOKUP($B24,Database!$B$1:$IX$10144,7,FALSE))=0,"",VLOOKUP($B24,Database!$B$1:$IX$10144,7,FALSE)))</f>
        <v>20</v>
      </c>
      <c r="I24" s="22">
        <f>IF($B24="","",IF(LEN(VLOOKUP($B24,Database!$B$1:$IX$10144,8,FALSE))=0,"",VLOOKUP($B24,Database!$B$1:$IX$10144,8,FALSE)))</f>
        <v>20</v>
      </c>
      <c r="J24" t="s">
        <v>905</v>
      </c>
      <c r="L24" s="48"/>
      <c r="M24" s="48"/>
      <c r="N24" s="48"/>
      <c r="O24" s="48"/>
      <c r="T24">
        <v>594</v>
      </c>
      <c r="U24">
        <v>96</v>
      </c>
      <c r="V24">
        <v>576</v>
      </c>
      <c r="W24">
        <v>104</v>
      </c>
      <c r="X24" s="142"/>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53.8</v>
      </c>
      <c r="AC24" s="22">
        <f>IF(OR($B24="",AC$22=""),"",IF(LEN(VLOOKUP($B24,Database!$B$1:$IX$10144,AC$22,FALSE))=0,"",VLOOKUP($B24,Database!$B$1:$IX$10144,AC$22,FALSE)))</f>
        <v>19.100000000000001</v>
      </c>
      <c r="AD24" s="22">
        <f>IF(OR($B24="",AD$22=""),"",IF(LEN(VLOOKUP($B24,Database!$B$1:$IX$10144,AD$22,FALSE))=0,"",VLOOKUP($B24,Database!$B$1:$IX$10144,AD$22,FALSE)))</f>
        <v>51.5</v>
      </c>
      <c r="AE24" s="22">
        <f>IF(OR($B24="",AE$22=""),"",IF(LEN(VLOOKUP($B24,Database!$B$1:$IX$10144,AE$22,FALSE))=0,"",VLOOKUP($B24,Database!$B$1:$IX$10144,AE$22,FALSE)))</f>
        <v>19.399999999999999</v>
      </c>
      <c r="AF24" s="22">
        <f>IF(OR($B24="",AF$22=""),"",IF(LEN(VLOOKUP($B24,Database!$B$1:$IX$10144,AF$22,FALSE))=0,"",VLOOKUP($B24,Database!$B$1:$IX$10144,AF$22,FALSE)))</f>
        <v>15</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4</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Lammers C, Doraiswamy P, Husain MM, Figiel GS, Lurie SN, Boyko OB, Ellinwood EH Jr, Nemeroff CB, Krishnan KR.</v>
      </c>
      <c r="AR24" s="13"/>
      <c r="AX24" s="13"/>
      <c r="AY24" s="13"/>
      <c r="AZ24" s="13"/>
      <c r="BA24" s="13"/>
      <c r="BC24" s="23"/>
      <c r="BF24" s="136"/>
      <c r="BG24" s="136"/>
      <c r="BH24" s="136"/>
      <c r="BI24" s="136"/>
    </row>
    <row r="25" spans="1:65">
      <c r="B25">
        <v>8326077</v>
      </c>
      <c r="C25" s="1" t="str">
        <f>IF($B25="","",HYPERLINK(IF(LEN(VLOOKUP($B25,Database!$B$1:$IX$10144,2,FALSE))=0,"",VLOOKUP($B25,Database!$B$1:$IX$10144,2,FALSE))))</f>
        <v/>
      </c>
      <c r="D25" s="1" t="str">
        <f t="shared" si="0"/>
        <v>http://www.ncbi.nlm.nih.gov/pubmed/8326077</v>
      </c>
      <c r="E25" s="22" t="str">
        <f>IF($B25="","",IF(LEN(VLOOKUP($B25,Database!$B$1:$IX$10144,4,FALSE))=0,"",VLOOKUP($B25,Database!$B$1:$IX$10144,4,FALSE)))</f>
        <v>Wu JC</v>
      </c>
      <c r="F25" s="22">
        <f>IF($B25="","",IF(LEN(VLOOKUP($B25,Database!$B$1:$IX$10144,5,FALSE))=0,"",VLOOKUP($B25,Database!$B$1:$IX$10144,5,FALSE)))</f>
        <v>1993</v>
      </c>
      <c r="G25" s="1" t="str">
        <f>IF($B25="","",HYPERLINK(IF(LEN(VLOOKUP($B25,Database!$B$1:$IX$10144,6,FALSE))=0,"",VLOOKUP($B25,Database!$B$1:$IX$10144,6,FALSE))))</f>
        <v>http://dx.doi.org/10.1016/0165-0327(93)90073-S</v>
      </c>
      <c r="H25" s="22">
        <f>IF($B25="","",IF(LEN(VLOOKUP($B25,Database!$B$1:$IX$10144,7,FALSE))=0,"",VLOOKUP($B25,Database!$B$1:$IX$10144,7,FALSE)))</f>
        <v>20</v>
      </c>
      <c r="I25" s="22">
        <f>IF($B25="","",IF(LEN(VLOOKUP($B25,Database!$B$1:$IX$10144,8,FALSE))=0,"",VLOOKUP($B25,Database!$B$1:$IX$10144,8,FALSE)))</f>
        <v>16</v>
      </c>
      <c r="J25" t="s">
        <v>906</v>
      </c>
      <c r="T25">
        <v>6.86</v>
      </c>
      <c r="U25">
        <v>1.67</v>
      </c>
      <c r="V25">
        <v>5.81</v>
      </c>
      <c r="W25">
        <v>0.91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32.9</v>
      </c>
      <c r="AC25" s="22">
        <f>IF(OR($B25="",AC$22=""),"",IF(LEN(VLOOKUP($B25,Database!$B$1:$IX$10144,AC$22,FALSE))=0,"",VLOOKUP($B25,Database!$B$1:$IX$10144,AC$22,FALSE)))</f>
        <v>11.5</v>
      </c>
      <c r="AD25" s="22">
        <f>IF(OR($B25="",AD$22=""),"",IF(LEN(VLOOKUP($B25,Database!$B$1:$IX$10144,AD$22,FALSE))=0,"",VLOOKUP($B25,Database!$B$1:$IX$10144,AD$22,FALSE)))</f>
        <v>30.5</v>
      </c>
      <c r="AE25" s="22">
        <f>IF(OR($B25="",AE$22=""),"",IF(LEN(VLOOKUP($B25,Database!$B$1:$IX$10144,AE$22,FALSE))=0,"",VLOOKUP($B25,Database!$B$1:$IX$10144,AE$22,FALSE)))</f>
        <v>9.8000000000000007</v>
      </c>
      <c r="AF25" s="22">
        <f>IF(OR($B25="",AF$22=""),"",IF(LEN(VLOOKUP($B25,Database!$B$1:$IX$10144,AF$22,FALSE))=0,"",VLOOKUP($B25,Database!$B$1:$IX$10144,AF$22,FALSE)))</f>
        <v>11</v>
      </c>
      <c r="AG25" s="22">
        <f>IF(OR($B25="",AG$22=""),"",IF(LEN(VLOOKUP($B25,Database!$B$1:$IX$10144,AG$22,FALSE))=0,"",VLOOKUP($B25,Database!$B$1:$IX$10144,AG$22,FALSE)))</f>
        <v>6</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22.3</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Wu JC, Buchsbaum MS, Johnson JC, Hershey TG, Wagner EA, Teng C, Lottenberg S.</v>
      </c>
      <c r="AR25" s="13"/>
      <c r="AX25" s="13"/>
      <c r="AY25" s="13"/>
      <c r="AZ25" s="13"/>
      <c r="BA25" s="13"/>
      <c r="BC25" s="23"/>
      <c r="BF25" s="136"/>
      <c r="BG25" s="136"/>
      <c r="BH25" s="136"/>
      <c r="BI25" s="136"/>
    </row>
    <row r="26" spans="1:65">
      <c r="A26" t="s">
        <v>1197</v>
      </c>
      <c r="B26">
        <v>9870413</v>
      </c>
      <c r="C26" s="1" t="str">
        <f>IF($B26="","",HYPERLINK(IF(LEN(VLOOKUP($B26,Database!$B$1:$IX$10144,2,FALSE))=0,"",VLOOKUP($B26,Database!$B$1:$IX$10144,2,FALSE))))</f>
        <v/>
      </c>
      <c r="D26" s="1" t="str">
        <f t="shared" si="0"/>
        <v>http://www.ncbi.nlm.nih.gov/pubmed/9870413</v>
      </c>
      <c r="E26" s="22" t="str">
        <f>IF($B26="","",IF(LEN(VLOOKUP($B26,Database!$B$1:$IX$10144,4,FALSE))=0,"",VLOOKUP($B26,Database!$B$1:$IX$10144,4,FALSE)))</f>
        <v>Parashos IA</v>
      </c>
      <c r="F26" s="22">
        <f>IF($B26="","",IF(LEN(VLOOKUP($B26,Database!$B$1:$IX$10144,5,FALSE))=0,"",VLOOKUP($B26,Database!$B$1:$IX$10144,5,FALSE)))</f>
        <v>1998</v>
      </c>
      <c r="G26" s="1" t="str">
        <f>IF($B26="","",HYPERLINK(IF(LEN(VLOOKUP($B26,Database!$B$1:$IX$10144,6,FALSE))=0,"",VLOOKUP($B26,Database!$B$1:$IX$10144,6,FALSE))))</f>
        <v>http://dx.doi.org/10.1016/S0925-4927(98)00042-0</v>
      </c>
      <c r="H26" s="22">
        <f>IF($B26="","",IF(LEN(VLOOKUP($B26,Database!$B$1:$IX$10144,7,FALSE))=0,"",VLOOKUP($B26,Database!$B$1:$IX$10144,7,FALSE)))</f>
        <v>72</v>
      </c>
      <c r="I26" s="22">
        <f>IF($B26="","",IF(LEN(VLOOKUP($B26,Database!$B$1:$IX$10144,8,FALSE))=0,"",VLOOKUP($B26,Database!$B$1:$IX$10144,8,FALSE)))</f>
        <v>38</v>
      </c>
      <c r="J26" t="s">
        <v>391</v>
      </c>
      <c r="K26" t="s">
        <v>390</v>
      </c>
      <c r="T26">
        <v>7.18</v>
      </c>
      <c r="U26">
        <v>1.2</v>
      </c>
      <c r="V26">
        <v>6.56</v>
      </c>
      <c r="W26">
        <v>1.1399999999999999</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55.1</v>
      </c>
      <c r="AE26" s="22">
        <f>IF(OR($B26="",AE$22=""),"",IF(LEN(VLOOKUP($B26,Database!$B$1:$IX$10144,AE$22,FALSE))=0,"",VLOOKUP($B26,Database!$B$1:$IX$10144,AE$22,FALSE)))</f>
        <v>17.100000000000001</v>
      </c>
      <c r="AF26" s="22">
        <f>IF(OR($B26="",AF$22=""),"",IF(LEN(VLOOKUP($B26,Database!$B$1:$IX$10144,AF$22,FALSE))=0,"",VLOOKUP($B26,Database!$B$1:$IX$10144,AF$22,FALSE)))</f>
        <v>45</v>
      </c>
      <c r="AG26" s="22">
        <f>IF(OR($B26="",AG$22=""),"",IF(LEN(VLOOKUP($B26,Database!$B$1:$IX$10144,AG$22,FALSE))=0,"",VLOOKUP($B26,Database!$B$1:$IX$10144,AG$22,FALSE)))</f>
        <v>22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f>IF(OR($B26="",AK$22=""),"",IF(LEN(VLOOKUP($B26,Database!$B$1:$IX$10144,AK$22,FALSE))=0,"",VLOOKUP($B26,Database!$B$1:$IX$10144,AK$22,FALSE)))</f>
        <v>38.5</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Parashos IA, Tupler LA, Blitchington T, Krishnan KR.</v>
      </c>
      <c r="AR26" s="13"/>
      <c r="AX26" s="13"/>
      <c r="AY26" s="13"/>
      <c r="AZ26" s="13"/>
      <c r="BA26" s="13"/>
      <c r="BC26" s="23"/>
      <c r="BF26" s="136"/>
      <c r="BG26" s="136"/>
      <c r="BH26" s="136"/>
      <c r="BI26" s="136"/>
    </row>
    <row r="27" spans="1:65">
      <c r="B27">
        <v>15804385</v>
      </c>
      <c r="C27" s="1" t="str">
        <f>IF($B27="","",HYPERLINK(IF(LEN(VLOOKUP($B27,Database!$B$1:$IX$10144,2,FALSE))=0,"",VLOOKUP($B27,Database!$B$1:$IX$10144,2,FALSE))))</f>
        <v/>
      </c>
      <c r="D27" s="1" t="str">
        <f t="shared" si="0"/>
        <v>http://www.ncbi.nlm.nih.gov/pubmed/15804385</v>
      </c>
      <c r="E27" s="22" t="str">
        <f>IF($B27="","",IF(LEN(VLOOKUP($B27,Database!$B$1:$IX$10144,4,FALSE))=0,"",VLOOKUP($B27,Database!$B$1:$IX$10144,4,FALSE)))</f>
        <v>Lacerda AL</v>
      </c>
      <c r="F27" s="22">
        <f>IF($B27="","",IF(LEN(VLOOKUP($B27,Database!$B$1:$IX$10144,5,FALSE))=0,"",VLOOKUP($B27,Database!$B$1:$IX$10144,5,FALSE)))</f>
        <v>2005</v>
      </c>
      <c r="G27" s="1" t="str">
        <f>IF($B27="","",HYPERLINK(IF(LEN(VLOOKUP($B27,Database!$B$1:$IX$10144,6,FALSE))=0,"",VLOOKUP($B27,Database!$B$1:$IX$10144,6,FALSE))))</f>
        <v>http://dx.doi.org/10.1016/j.jpsychires.2004.10.004</v>
      </c>
      <c r="H27" s="22">
        <f>IF($B27="","",IF(LEN(VLOOKUP($B27,Database!$B$1:$IX$10144,7,FALSE))=0,"",VLOOKUP($B27,Database!$B$1:$IX$10144,7,FALSE)))</f>
        <v>22</v>
      </c>
      <c r="I27" s="22">
        <f>IF($B27="","",IF(LEN(VLOOKUP($B27,Database!$B$1:$IX$10144,8,FALSE))=0,"",VLOOKUP($B27,Database!$B$1:$IX$10144,8,FALSE)))</f>
        <v>39</v>
      </c>
      <c r="J27" t="s">
        <v>392</v>
      </c>
      <c r="T27">
        <v>5.76</v>
      </c>
      <c r="U27">
        <v>0.98</v>
      </c>
      <c r="V27">
        <v>5.99</v>
      </c>
      <c r="W27">
        <v>0.95</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41.4</v>
      </c>
      <c r="AC27" s="22">
        <f>IF(OR($B27="",AC$22=""),"",IF(LEN(VLOOKUP($B27,Database!$B$1:$IX$10144,AC$22,FALSE))=0,"",VLOOKUP($B27,Database!$B$1:$IX$10144,AC$22,FALSE)))</f>
        <v>11.1</v>
      </c>
      <c r="AD27" s="22">
        <f>IF(OR($B27="",AD$22=""),"",IF(LEN(VLOOKUP($B27,Database!$B$1:$IX$10144,AD$22,FALSE))=0,"",VLOOKUP($B27,Database!$B$1:$IX$10144,AD$22,FALSE)))</f>
        <v>35.799999999999997</v>
      </c>
      <c r="AE27" s="22">
        <f>IF(OR($B27="",AE$22=""),"",IF(LEN(VLOOKUP($B27,Database!$B$1:$IX$10144,AE$22,FALSE))=0,"",VLOOKUP($B27,Database!$B$1:$IX$10144,AE$22,FALSE)))</f>
        <v>10.5</v>
      </c>
      <c r="AF27" s="22">
        <f>IF(OR($B27="",AF$22=""),"",IF(LEN(VLOOKUP($B27,Database!$B$1:$IX$10144,AF$22,FALSE))=0,"",VLOOKUP($B27,Database!$B$1:$IX$10144,AF$22,FALSE)))</f>
        <v>19</v>
      </c>
      <c r="AG27" s="22">
        <f>IF(OR($B27="",AG$22=""),"",IF(LEN(VLOOKUP($B27,Database!$B$1:$IX$10144,AG$22,FALSE))=0,"",VLOOKUP($B27,Database!$B$1:$IX$10144,AG$22,FALSE)))</f>
        <v>15</v>
      </c>
      <c r="AH27" s="22">
        <f>IF(OR($B27="",AH$22=""),"",IF(LEN(VLOOKUP($B27,Database!$B$1:$IX$10144,AH$22,FALSE))=0,"",VLOOKUP($B27,Database!$B$1:$IX$10144,AH$22,FALSE)))</f>
        <v>1.5</v>
      </c>
      <c r="AI27" s="22">
        <f>IF(OR($B27="",AI$22=""),"",IF(LEN(VLOOKUP($B27,Database!$B$1:$IX$10144,AI$22,FALSE))=0,"",VLOOKUP($B27,Database!$B$1:$IX$10144,AI$22,FALSE)))</f>
        <v>3</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Lacerda AL, Brambilla P, Sassi RB, Nicoletti MA, Mallinger AG, Frank E, Kupfer DJ, Keshavan MS, Soares JC.</v>
      </c>
      <c r="AR27" s="13"/>
      <c r="AX27" s="13"/>
      <c r="AY27" s="13"/>
      <c r="AZ27" s="13"/>
      <c r="BA27" s="13"/>
      <c r="BC27" s="23"/>
      <c r="BF27" s="136"/>
      <c r="BG27" s="136"/>
      <c r="BH27" s="136"/>
      <c r="BI27" s="136"/>
    </row>
    <row r="28" spans="1:65">
      <c r="B28" s="2">
        <v>19486330</v>
      </c>
      <c r="C28" s="1" t="str">
        <f>IF($B28="","",HYPERLINK(IF(LEN(VLOOKUP($B28,Database!$B$1:$IX$10144,2,FALSE))=0,"",VLOOKUP($B28,Database!$B$1:$IX$10144,2,FALSE))))</f>
        <v/>
      </c>
      <c r="D28" s="1" t="str">
        <f>IF($B28="","",HYPERLINK(CONCATENATE("http://www.ncbi.nlm.nih.gov/pubmed/",B28)))</f>
        <v>http://www.ncbi.nlm.nih.gov/pubmed/19486330</v>
      </c>
      <c r="E28" s="22" t="str">
        <f>IF($B28="","",IF(LEN(VLOOKUP($B28,Database!$B$1:$IX$10144,4,FALSE))=0,"",VLOOKUP($B28,Database!$B$1:$IX$10144,4,FALSE)))</f>
        <v>Sun J</v>
      </c>
      <c r="F28" s="22">
        <f>IF($B28="","",IF(LEN(VLOOKUP($B28,Database!$B$1:$IX$10144,5,FALSE))=0,"",VLOOKUP($B28,Database!$B$1:$IX$10144,5,FALSE)))</f>
        <v>2009</v>
      </c>
      <c r="G28" s="1" t="str">
        <f>IF($B28="","",HYPERLINK(IF(LEN(VLOOKUP($B28,Database!$B$1:$IX$10144,6,FALSE))=0,"",VLOOKUP($B28,Database!$B$1:$IX$10144,6,FALSE))))</f>
        <v>http://dx.doi.org/10.1111/j.1600-0447.2009.01389.x</v>
      </c>
      <c r="H28" s="22">
        <f>IF($B28="","",IF(LEN(VLOOKUP($B28,Database!$B$1:$IX$10144,7,FALSE))=0,"",VLOOKUP($B28,Database!$B$1:$IX$10144,7,FALSE)))</f>
        <v>45</v>
      </c>
      <c r="I28" s="22">
        <f>IF($B28="","",IF(LEN(VLOOKUP($B28,Database!$B$1:$IX$10144,8,FALSE))=0,"",VLOOKUP($B28,Database!$B$1:$IX$10144,8,FALSE)))</f>
        <v>30</v>
      </c>
      <c r="J28" t="s">
        <v>106</v>
      </c>
      <c r="T28">
        <v>0.46</v>
      </c>
      <c r="U28">
        <v>0.05</v>
      </c>
      <c r="V28">
        <v>0.49</v>
      </c>
      <c r="W28">
        <v>7.0000000000000007E-2</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40.78</v>
      </c>
      <c r="AC28" s="22">
        <f>IF(OR($B28="",AC$22=""),"",IF(LEN(VLOOKUP($B28,Database!$B$1:$IX$10144,AC$22,FALSE))=0,"",VLOOKUP($B28,Database!$B$1:$IX$10144,AC$22,FALSE)))</f>
        <v>11.13</v>
      </c>
      <c r="AD28" s="22">
        <f>IF(OR($B28="",AD$22=""),"",IF(LEN(VLOOKUP($B28,Database!$B$1:$IX$10144,AD$22,FALSE))=0,"",VLOOKUP($B28,Database!$B$1:$IX$10144,AD$22,FALSE)))</f>
        <v>34.6</v>
      </c>
      <c r="AE28" s="22">
        <f>IF(OR($B28="",AE$22=""),"",IF(LEN(VLOOKUP($B28,Database!$B$1:$IX$10144,AE$22,FALSE))=0,"",VLOOKUP($B28,Database!$B$1:$IX$10144,AE$22,FALSE)))</f>
        <v>11.85</v>
      </c>
      <c r="AF28" s="22">
        <f>IF(OR($B28="",AF$22=""),"",IF(LEN(VLOOKUP($B28,Database!$B$1:$IX$10144,AF$22,FALSE))=0,"",VLOOKUP($B28,Database!$B$1:$IX$10144,AF$22,FALSE)))</f>
        <v>23</v>
      </c>
      <c r="AG28" s="22">
        <f>IF(OR($B28="",AG$22=""),"",IF(LEN(VLOOKUP($B28,Database!$B$1:$IX$10144,AG$22,FALSE))=0,"",VLOOKUP($B28,Database!$B$1:$IX$10144,AG$22,FALSE)))</f>
        <v>18</v>
      </c>
      <c r="AH28" s="22">
        <f>IF(OR($B28="",AH$22=""),"",IF(LEN(VLOOKUP($B28,Database!$B$1:$IX$10144,AH$22,FALSE))=0,"",VLOOKUP($B28,Database!$B$1:$IX$10144,AH$22,FALSE)))</f>
        <v>1.5</v>
      </c>
      <c r="AI28" s="22">
        <f>IF(OR($B28="",AI$22=""),"",IF(LEN(VLOOKUP($B28,Database!$B$1:$IX$10144,AI$22,FALSE))=0,"",VLOOKUP($B28,Database!$B$1:$IX$10144,AI$22,FALSE)))</f>
        <v>1.5</v>
      </c>
      <c r="AJ28" s="22" t="str">
        <f>IF(OR($B28="",AJ$22=""),"",IF(LEN(VLOOKUP($B28,Database!$B$1:$IX$10144,AJ$22,FALSE))=0,"",VLOOKUP($B28,Database!$B$1:$IX$10144,AJ$22,FALSE)))</f>
        <v/>
      </c>
      <c r="AK28" s="22">
        <f>IF(OR($B28="",AK$22=""),"",IF(LEN(VLOOKUP($B28,Database!$B$1:$IX$10144,AK$22,FALSE))=0,"",VLOOKUP($B28,Database!$B$1:$IX$10144,AK$22,FALSE)))</f>
        <v>26.16</v>
      </c>
      <c r="AL28" s="22" t="str">
        <f>IF(OR($B28="",AL$22=""),"",IF(LEN(VLOOKUP($B28,Database!$B$1:$IX$10144,AL$22,FALSE))=0,"",VLOOKUP($B28,Database!$B$1:$IX$10144,AL$22,FALSE)))</f>
        <v>ns</v>
      </c>
      <c r="AM28" s="22">
        <f>IF(OR($B28="",AM$22=""),"",IF(LEN(VLOOKUP($B28,Database!$B$1:$IX$10144,AM$22,FALSE))=0,"",VLOOKUP($B28,Database!$B$1:$IX$10144,AM$22,FALSE)))</f>
        <v>82.222222222222214</v>
      </c>
      <c r="AN28" s="22" t="str">
        <f>IF(OR($B28="",AN$22=""),"",IF(LEN(VLOOKUP($B28,Database!$B$1:$IX$10144,AN$22,FALSE))=0,"",VLOOKUP($B28,Database!$B$1:$IX$10144,AN$22,FALSE)))</f>
        <v>ns</v>
      </c>
      <c r="AO28" s="22" t="str">
        <f>IF(OR($B28="",AO$22=""),"",IF(LEN(VLOOKUP($B28,Database!$B$1:$IX$10144,AO$22,FALSE))=0,"",VLOOKUP($B28,Database!$B$1:$IX$10144,AO$22,FALSE)))</f>
        <v>ns</v>
      </c>
      <c r="AP28" s="22">
        <f>IF(OR($B28="",AP$22=""),"",IF(LEN(VLOOKUP($B28,Database!$B$1:$IX$10144,AP$22,FALSE))=0,"",VLOOKUP($B28,Database!$B$1:$IX$10144,AP$22,FALSE)))</f>
        <v>17.777777777777779</v>
      </c>
      <c r="AQ28" s="22" t="str">
        <f>IF(OR($B28="",AQ$22=""),"",IF(LEN(VLOOKUP($B28,Database!$B$1:$IX$10144,AQ$22,FALSE))=0,"",VLOOKUP($B28,Database!$B$1:$IX$10144,AQ$22,FALSE)))</f>
        <v>Sun J, Maller JJ, Daskalakis ZJ, Furtado CC, Fitzgerald PB.</v>
      </c>
      <c r="AR28" s="13"/>
      <c r="AX28" s="13"/>
      <c r="AY28" s="13"/>
      <c r="AZ28" s="13"/>
      <c r="BA28" s="13"/>
      <c r="BC28" s="23"/>
      <c r="BF28" s="136"/>
      <c r="BG28" s="136"/>
      <c r="BH28" s="136"/>
      <c r="BI28" s="136"/>
    </row>
    <row r="29" spans="1:65">
      <c r="B29" s="2">
        <v>19019454</v>
      </c>
      <c r="C29" s="1" t="str">
        <f>IF($B29="","",HYPERLINK(IF(LEN(VLOOKUP($B29,Database!$B$1:$IX$10144,2,FALSE))=0,"",VLOOKUP($B29,Database!$B$1:$IX$10144,2,FALSE))))</f>
        <v/>
      </c>
      <c r="D29" s="1" t="str">
        <f>IF($B29="","",HYPERLINK(CONCATENATE("http://www.ncbi.nlm.nih.gov/pubmed/",B29)))</f>
        <v>http://www.ncbi.nlm.nih.gov/pubmed/19019454</v>
      </c>
      <c r="E29" s="22" t="str">
        <f>IF($B29="","",IF(LEN(VLOOKUP($B29,Database!$B$1:$IX$10144,4,FALSE))=0,"",VLOOKUP($B29,Database!$B$1:$IX$10144,4,FALSE)))</f>
        <v>Walterfang M</v>
      </c>
      <c r="F29" s="22">
        <f>IF($B29="","",IF(LEN(VLOOKUP($B29,Database!$B$1:$IX$10144,5,FALSE))=0,"",VLOOKUP($B29,Database!$B$1:$IX$10144,5,FALSE)))</f>
        <v>2009</v>
      </c>
      <c r="G29" s="1" t="str">
        <f>IF($B29="","",HYPERLINK(IF(LEN(VLOOKUP($B29,Database!$B$1:$IX$10144,6,FALSE))=0,"",VLOOKUP($B29,Database!$B$1:$IX$10144,6,FALSE))))</f>
        <v>http://dx.doi.org/10.1016/j.jad.2008.10.010</v>
      </c>
      <c r="H29" s="83">
        <v>26</v>
      </c>
      <c r="I29" s="83">
        <v>16</v>
      </c>
      <c r="J29" t="s">
        <v>156</v>
      </c>
      <c r="K29" t="s">
        <v>186</v>
      </c>
      <c r="T29">
        <v>725.99</v>
      </c>
      <c r="U29">
        <v>116.97</v>
      </c>
      <c r="V29">
        <v>716.67</v>
      </c>
      <c r="W29">
        <v>115.44</v>
      </c>
      <c r="X29" s="170"/>
      <c r="Y29" s="22" t="str">
        <f>IF(OR($B29="",Y$22=""),"",IF(LEN(VLOOKUP($B29,Database!$B$1:$IX$10144,Y$22,FALSE))=0,"",VLOOKUP($B29,Database!$B$1:$IX$10144,Y$22,FALSE)))</f>
        <v>DSM-IV</v>
      </c>
      <c r="Z29" s="22" t="str">
        <f>IF(OR($B29="",Z$22=""),"",IF(LEN(VLOOKUP($B29,Database!$B$1:$IX$10144,Z$22,FALSE))=0,"",VLOOKUP($B29,Database!$B$1:$IX$10144,Z$22,FALSE)))</f>
        <v>MRI</v>
      </c>
      <c r="AA29" s="214" t="s">
        <v>2447</v>
      </c>
      <c r="AB29" s="214">
        <v>32.15</v>
      </c>
      <c r="AC29" s="214">
        <v>8.2799999999999994</v>
      </c>
      <c r="AD29" s="22">
        <f>IF(OR($B29="",AD$22=""),"",IF(LEN(VLOOKUP($B29,Database!$B$1:$IX$10144,AD$22,FALSE))=0,"",VLOOKUP($B29,Database!$B$1:$IX$10144,AD$22,FALSE)))</f>
        <v>34.409999999999997</v>
      </c>
      <c r="AE29" s="22">
        <f>IF(OR($B29="",AE$22=""),"",IF(LEN(VLOOKUP($B29,Database!$B$1:$IX$10144,AE$22,FALSE))=0,"",VLOOKUP($B29,Database!$B$1:$IX$10144,AE$22,FALSE)))</f>
        <v>9.82</v>
      </c>
      <c r="AF29" s="214">
        <v>21</v>
      </c>
      <c r="AG29" s="22">
        <f>IF(OR($B29="",AG$22=""),"",IF(LEN(VLOOKUP($B29,Database!$B$1:$IX$10144,AG$22,FALSE))=0,"",VLOOKUP($B29,Database!$B$1:$IX$10144,AG$22,FALSE)))</f>
        <v>21</v>
      </c>
      <c r="AH29" s="22">
        <f>IF(OR($B29="",AH$22=""),"",IF(LEN(VLOOKUP($B29,Database!$B$1:$IX$10144,AH$22,FALSE))=0,"",VLOOKUP($B29,Database!$B$1:$IX$10144,AH$22,FALSE)))</f>
        <v>1.5</v>
      </c>
      <c r="AI29" s="22">
        <f>IF(OR($B29="",AI$22=""),"",IF(LEN(VLOOKUP($B29,Database!$B$1:$IX$10144,AI$22,FALSE))=0,"",VLOOKUP($B29,Database!$B$1:$IX$10144,AI$22,FALSE)))</f>
        <v>1</v>
      </c>
      <c r="AJ29" s="22" t="str">
        <f>IF(OR($B29="",AJ$22=""),"",IF(LEN(VLOOKUP($B29,Database!$B$1:$IX$10144,AJ$22,FALSE))=0,"",VLOOKUP($B29,Database!$B$1:$IX$10144,AJ$22,FALSE)))</f>
        <v/>
      </c>
      <c r="AK29" s="214">
        <v>20.85</v>
      </c>
      <c r="AL29" s="22" t="str">
        <f>IF(OR($B29="",AL$22=""),"",IF(LEN(VLOOKUP($B29,Database!$B$1:$IX$10144,AL$22,FALSE))=0,"",VLOOKUP($B29,Database!$B$1:$IX$10144,AL$22,FALSE)))</f>
        <v>ns</v>
      </c>
      <c r="AM29" s="22" t="str">
        <f>IF(OR($B29="",AM$22=""),"",IF(LEN(VLOOKUP($B29,Database!$B$1:$IX$10144,AM$22,FALSE))=0,"",VLOOKUP($B29,Database!$B$1:$IX$10144,AM$22,FALSE)))</f>
        <v>ns</v>
      </c>
      <c r="AN29" s="22">
        <f>IF(OR($B29="",AN$22=""),"",IF(LEN(VLOOKUP($B29,Database!$B$1:$IX$10144,AN$22,FALSE))=0,"",VLOOKUP($B29,Database!$B$1:$IX$10144,AN$22,FALSE)))</f>
        <v>3.7037037037037033</v>
      </c>
      <c r="AO29" s="22" t="str">
        <f>IF(OR($B29="",AO$22=""),"",IF(LEN(VLOOKUP($B29,Database!$B$1:$IX$10144,AO$22,FALSE))=0,"",VLOOKUP($B29,Database!$B$1:$IX$10144,AO$22,FALSE)))</f>
        <v/>
      </c>
      <c r="AP29" s="22">
        <f>IF(OR($B29="",AP$22=""),"",IF(LEN(VLOOKUP($B29,Database!$B$1:$IX$10144,AP$22,FALSE))=0,"",VLOOKUP($B29,Database!$B$1:$IX$10144,AP$22,FALSE)))</f>
        <v>16.666666666666664</v>
      </c>
      <c r="AQ29" s="22" t="str">
        <f>IF(OR($B29="",AQ$22=""),"",IF(LEN(VLOOKUP($B29,Database!$B$1:$IX$10144,AQ$22,FALSE))=0,"",VLOOKUP($B29,Database!$B$1:$IX$10144,AQ$22,FALSE)))</f>
        <v>Walterfang M, Yücel M, Barton S, Reutens DC, Wood AG, Chen J, Lorenzetti V, Velakoulis D, Pantelis C, Allen NB.</v>
      </c>
      <c r="AR29" s="13"/>
      <c r="AU29" s="13"/>
      <c r="AX29" s="13"/>
      <c r="AY29" s="13"/>
      <c r="AZ29" s="13"/>
      <c r="BA29" s="13"/>
      <c r="BC29" s="23"/>
      <c r="BF29" s="136"/>
      <c r="BG29" s="136"/>
      <c r="BH29" s="136"/>
      <c r="BI29" s="136"/>
    </row>
    <row r="30" spans="1:65">
      <c r="B30" s="2">
        <v>19019454</v>
      </c>
      <c r="C30" s="1" t="str">
        <f>IF($B30="","",HYPERLINK(IF(LEN(VLOOKUP($B30,Database!$B$1:$IX$10144,2,FALSE))=0,"",VLOOKUP($B30,Database!$B$1:$IX$10144,2,FALSE))))</f>
        <v/>
      </c>
      <c r="D30" s="1" t="str">
        <f>IF($B30="","",HYPERLINK(CONCATENATE("http://www.ncbi.nlm.nih.gov/pubmed/",B30)))</f>
        <v>http://www.ncbi.nlm.nih.gov/pubmed/19019454</v>
      </c>
      <c r="E30" s="22" t="str">
        <f>IF($B30="","",IF(LEN(VLOOKUP($B30,Database!$B$1:$IX$10144,4,FALSE))=0,"",VLOOKUP($B30,Database!$B$1:$IX$10144,4,FALSE)))</f>
        <v>Walterfang M</v>
      </c>
      <c r="F30" s="22">
        <f>IF($B30="","",IF(LEN(VLOOKUP($B30,Database!$B$1:$IX$10144,5,FALSE))=0,"",VLOOKUP($B30,Database!$B$1:$IX$10144,5,FALSE)))</f>
        <v>2009</v>
      </c>
      <c r="G30" s="1" t="str">
        <f>IF($B30="","",HYPERLINK(IF(LEN(VLOOKUP($B30,Database!$B$1:$IX$10144,6,FALSE))=0,"",VLOOKUP($B30,Database!$B$1:$IX$10144,6,FALSE))))</f>
        <v>http://dx.doi.org/10.1016/j.jad.2008.10.010</v>
      </c>
      <c r="H30" s="83">
        <v>28</v>
      </c>
      <c r="I30" s="83">
        <v>16</v>
      </c>
      <c r="J30" t="s">
        <v>156</v>
      </c>
      <c r="K30" t="s">
        <v>187</v>
      </c>
      <c r="T30">
        <v>684.32</v>
      </c>
      <c r="U30">
        <v>99.73</v>
      </c>
      <c r="V30">
        <v>716.67</v>
      </c>
      <c r="W30">
        <v>115.44</v>
      </c>
      <c r="Y30" s="22" t="str">
        <f>IF(OR($B30="",Y$22=""),"",IF(LEN(VLOOKUP($B30,Database!$B$1:$IX$10144,Y$22,FALSE))=0,"",VLOOKUP($B30,Database!$B$1:$IX$10144,Y$22,FALSE)))</f>
        <v>DSM-IV</v>
      </c>
      <c r="Z30" s="22" t="str">
        <f>IF(OR($B30="",Z$22=""),"",IF(LEN(VLOOKUP($B30,Database!$B$1:$IX$10144,Z$22,FALSE))=0,"",VLOOKUP($B30,Database!$B$1:$IX$10144,Z$22,FALSE)))</f>
        <v>MRI</v>
      </c>
      <c r="AA30" s="214" t="s">
        <v>2448</v>
      </c>
      <c r="AB30" s="214">
        <v>36.36</v>
      </c>
      <c r="AC30" s="214">
        <v>9.27</v>
      </c>
      <c r="AD30" s="22">
        <f>IF(OR($B30="",AD$22=""),"",IF(LEN(VLOOKUP($B30,Database!$B$1:$IX$10144,AD$22,FALSE))=0,"",VLOOKUP($B30,Database!$B$1:$IX$10144,AD$22,FALSE)))</f>
        <v>34.409999999999997</v>
      </c>
      <c r="AE30" s="22">
        <f>IF(OR($B30="",AE$22=""),"",IF(LEN(VLOOKUP($B30,Database!$B$1:$IX$10144,AE$22,FALSE))=0,"",VLOOKUP($B30,Database!$B$1:$IX$10144,AE$22,FALSE)))</f>
        <v>9.82</v>
      </c>
      <c r="AF30" s="214">
        <v>21</v>
      </c>
      <c r="AG30" s="22">
        <f>IF(OR($B30="",AG$22=""),"",IF(LEN(VLOOKUP($B30,Database!$B$1:$IX$10144,AG$22,FALSE))=0,"",VLOOKUP($B30,Database!$B$1:$IX$10144,AG$22,FALSE)))</f>
        <v>21</v>
      </c>
      <c r="AH30" s="22">
        <f>IF(OR($B30="",AH$22=""),"",IF(LEN(VLOOKUP($B30,Database!$B$1:$IX$10144,AH$22,FALSE))=0,"",VLOOKUP($B30,Database!$B$1:$IX$10144,AH$22,FALSE)))</f>
        <v>1.5</v>
      </c>
      <c r="AI30" s="22">
        <f>IF(OR($B30="",AI$22=""),"",IF(LEN(VLOOKUP($B30,Database!$B$1:$IX$10144,AI$22,FALSE))=0,"",VLOOKUP($B30,Database!$B$1:$IX$10144,AI$22,FALSE)))</f>
        <v>1</v>
      </c>
      <c r="AJ30" s="22" t="str">
        <f>IF(OR($B30="",AJ$22=""),"",IF(LEN(VLOOKUP($B30,Database!$B$1:$IX$10144,AJ$22,FALSE))=0,"",VLOOKUP($B30,Database!$B$1:$IX$10144,AJ$22,FALSE)))</f>
        <v/>
      </c>
      <c r="AK30" s="214">
        <v>26.68</v>
      </c>
      <c r="AL30" s="22" t="str">
        <f>IF(OR($B30="",AL$22=""),"",IF(LEN(VLOOKUP($B30,Database!$B$1:$IX$10144,AL$22,FALSE))=0,"",VLOOKUP($B30,Database!$B$1:$IX$10144,AL$22,FALSE)))</f>
        <v>ns</v>
      </c>
      <c r="AM30" s="22" t="str">
        <f>IF(OR($B30="",AM$22=""),"",IF(LEN(VLOOKUP($B30,Database!$B$1:$IX$10144,AM$22,FALSE))=0,"",VLOOKUP($B30,Database!$B$1:$IX$10144,AM$22,FALSE)))</f>
        <v>ns</v>
      </c>
      <c r="AN30" s="22">
        <f>IF(OR($B30="",AN$22=""),"",IF(LEN(VLOOKUP($B30,Database!$B$1:$IX$10144,AN$22,FALSE))=0,"",VLOOKUP($B30,Database!$B$1:$IX$10144,AN$22,FALSE)))</f>
        <v>3.7037037037037033</v>
      </c>
      <c r="AO30" s="22" t="str">
        <f>IF(OR($B30="",AO$22=""),"",IF(LEN(VLOOKUP($B30,Database!$B$1:$IX$10144,AO$22,FALSE))=0,"",VLOOKUP($B30,Database!$B$1:$IX$10144,AO$22,FALSE)))</f>
        <v/>
      </c>
      <c r="AP30" s="22">
        <f>IF(OR($B30="",AP$22=""),"",IF(LEN(VLOOKUP($B30,Database!$B$1:$IX$10144,AP$22,FALSE))=0,"",VLOOKUP($B30,Database!$B$1:$IX$10144,AP$22,FALSE)))</f>
        <v>16.666666666666664</v>
      </c>
      <c r="AQ30" s="22" t="str">
        <f>IF(OR($B30="",AQ$22=""),"",IF(LEN(VLOOKUP($B30,Database!$B$1:$IX$10144,AQ$22,FALSE))=0,"",VLOOKUP($B30,Database!$B$1:$IX$10144,AQ$22,FALSE)))</f>
        <v>Walterfang M, Yücel M, Barton S, Reutens DC, Wood AG, Chen J, Lorenzetti V, Velakoulis D, Pantelis C, Allen NB.</v>
      </c>
      <c r="AR30" s="13"/>
      <c r="AU30" s="13"/>
      <c r="AX30" s="13"/>
      <c r="AY30" s="13"/>
      <c r="AZ30" s="13"/>
      <c r="BA30" s="13"/>
      <c r="BC30" s="23"/>
      <c r="BF30" s="136"/>
      <c r="BG30" s="136"/>
      <c r="BH30" s="136"/>
      <c r="BI30" s="136"/>
    </row>
    <row r="31" spans="1:65">
      <c r="C31" s="1"/>
      <c r="D31" s="1"/>
      <c r="E31" s="22"/>
      <c r="F31" s="22"/>
      <c r="G31" s="1"/>
      <c r="H31" s="22"/>
      <c r="I31" s="22"/>
      <c r="Y31" s="22"/>
      <c r="Z31" s="22"/>
      <c r="AA31" s="22"/>
      <c r="AB31" s="22"/>
      <c r="AC31" s="22"/>
      <c r="AD31" s="22"/>
      <c r="AE31" s="22"/>
      <c r="AF31" s="22"/>
      <c r="AG31" s="22"/>
      <c r="AH31" s="22"/>
      <c r="AI31" s="22"/>
      <c r="AJ31" s="22"/>
      <c r="AK31" s="22"/>
      <c r="AL31" s="22"/>
      <c r="AM31" s="22"/>
      <c r="AN31" s="22"/>
      <c r="AO31" s="22"/>
      <c r="AP31" s="22"/>
      <c r="AQ31" s="22"/>
    </row>
    <row r="32" spans="1:65">
      <c r="A32" s="4" t="s">
        <v>1510</v>
      </c>
      <c r="C32" s="1"/>
      <c r="D32" s="1"/>
      <c r="E32" s="22"/>
      <c r="F32" s="22"/>
      <c r="G32" s="1"/>
      <c r="H32" s="22"/>
      <c r="I32" s="22"/>
      <c r="Y32" s="22"/>
      <c r="Z32" s="22"/>
      <c r="AA32" s="22"/>
      <c r="AB32" s="22"/>
      <c r="AC32" s="22"/>
      <c r="AD32" s="22"/>
      <c r="AE32" s="22"/>
      <c r="AF32" s="22"/>
      <c r="AG32" s="22"/>
      <c r="AH32" s="22"/>
      <c r="AI32" s="22"/>
      <c r="AJ32" s="22"/>
      <c r="AK32" s="22"/>
      <c r="AL32" s="22"/>
      <c r="AM32" s="22"/>
      <c r="AN32" s="22"/>
      <c r="AO32" s="22"/>
      <c r="AP32" s="22"/>
      <c r="AQ32" s="22"/>
    </row>
    <row r="33" spans="1:52">
      <c r="A33" s="7" t="s">
        <v>51</v>
      </c>
      <c r="B33">
        <v>17712348</v>
      </c>
      <c r="C33" s="1" t="str">
        <f>IF($B33="","",HYPERLINK(IF(LEN(VLOOKUP($B33,Database!$B$1:$IX$10144,2,FALSE))=0,"",VLOOKUP($B33,Database!$B$1:$IX$10144,2,FALSE))))</f>
        <v/>
      </c>
      <c r="D33" s="1" t="str">
        <f t="shared" si="0"/>
        <v>http://www.ncbi.nlm.nih.gov/pubmed/17712348</v>
      </c>
      <c r="E33" s="22" t="str">
        <f>IF($B33="","",IF(LEN(VLOOKUP($B33,Database!$B$1:$IX$10144,4,FALSE))=0,"",VLOOKUP($B33,Database!$B$1:$IX$10144,4,FALSE)))</f>
        <v>Ballmaier M (B)</v>
      </c>
      <c r="F33" s="22">
        <f>IF($B33="","",IF(LEN(VLOOKUP($B33,Database!$B$1:$IX$10144,5,FALSE))=0,"",VLOOKUP($B33,Database!$B$1:$IX$10144,5,FALSE)))</f>
        <v>2008</v>
      </c>
      <c r="G33" s="1" t="str">
        <f>IF($B33="","",HYPERLINK(IF(LEN(VLOOKUP($B33,Database!$B$1:$IX$10144,6,FALSE))=0,"",VLOOKUP($B33,Database!$B$1:$IX$10144,6,FALSE))))</f>
        <v>http://www.nature.com/npp/journal/v33/n7/pdf/1301538a.pdf</v>
      </c>
      <c r="H33" s="22">
        <f>IF($B33="","",IF(LEN(VLOOKUP($B33,Database!$B$1:$IX$10144,7,FALSE))=0,"",VLOOKUP($B33,Database!$B$1:$IX$10144,7,FALSE)))</f>
        <v>46</v>
      </c>
      <c r="I33" s="22">
        <f>IF($B33="","",IF(LEN(VLOOKUP($B33,Database!$B$1:$IX$10144,8,FALSE))=0,"",VLOOKUP($B33,Database!$B$1:$IX$10144,8,FALSE)))</f>
        <v>34</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71.099999999999994</v>
      </c>
      <c r="AC33" s="22">
        <f>IF(OR($B33="",AC$22=""),"",IF(LEN(VLOOKUP($B33,Database!$B$1:$IX$10144,AC$22,FALSE))=0,"",VLOOKUP($B33,Database!$B$1:$IX$10144,AC$22,FALSE)))</f>
        <v>7.66</v>
      </c>
      <c r="AD33" s="22">
        <f>IF(OR($B33="",AD$22=""),"",IF(LEN(VLOOKUP($B33,Database!$B$1:$IX$10144,AD$22,FALSE))=0,"",VLOOKUP($B33,Database!$B$1:$IX$10144,AD$22,FALSE)))</f>
        <v>72.38</v>
      </c>
      <c r="AE33" s="22">
        <f>IF(OR($B33="",AE$22=""),"",IF(LEN(VLOOKUP($B33,Database!$B$1:$IX$10144,AE$22,FALSE))=0,"",VLOOKUP($B33,Database!$B$1:$IX$10144,AE$22,FALSE)))</f>
        <v>6.93</v>
      </c>
      <c r="AF33" s="22">
        <f>IF(OR($B33="",AF$22=""),"",IF(LEN(VLOOKUP($B33,Database!$B$1:$IX$10144,AF$22,FALSE))=0,"",VLOOKUP($B33,Database!$B$1:$IX$10144,AF$22,FALSE)))</f>
        <v>34</v>
      </c>
      <c r="AG33" s="22">
        <f>IF(OR($B33="",AG$22=""),"",IF(LEN(VLOOKUP($B33,Database!$B$1:$IX$10144,AG$22,FALSE))=0,"",VLOOKUP($B33,Database!$B$1:$IX$10144,AG$22,FALSE)))</f>
        <v>19</v>
      </c>
      <c r="AH33" s="22">
        <f>IF(OR($B33="",AH$22=""),"",IF(LEN(VLOOKUP($B33,Database!$B$1:$IX$10144,AH$22,FALSE))=0,"",VLOOKUP($B33,Database!$B$1:$IX$10144,AH$22,FALSE)))</f>
        <v>1.5</v>
      </c>
      <c r="AI33" s="22">
        <f>IF(OR($B33="",AI$22=""),"",IF(LEN(VLOOKUP($B33,Database!$B$1:$IX$10144,AI$22,FALSE))=0,"",VLOOKUP($B33,Database!$B$1:$IX$10144,AI$22,FALSE)))</f>
        <v>1.4</v>
      </c>
      <c r="AJ33" s="22" t="str">
        <f>IF(OR($B33="",AJ$22=""),"",IF(LEN(VLOOKUP($B33,Database!$B$1:$IX$10144,AJ$22,FALSE))=0,"",VLOOKUP($B33,Database!$B$1:$IX$10144,AJ$22,FALSE)))</f>
        <v/>
      </c>
      <c r="AK33" s="22">
        <f>IF(OR($B33="",AK$22=""),"",IF(LEN(VLOOKUP($B33,Database!$B$1:$IX$10144,AK$22,FALSE))=0,"",VLOOKUP($B33,Database!$B$1:$IX$10144,AK$22,FALSE)))</f>
        <v>51.43</v>
      </c>
      <c r="AL33" s="22">
        <f>IF(OR($B33="",AL$22=""),"",IF(LEN(VLOOKUP($B33,Database!$B$1:$IX$10144,AL$22,FALSE))=0,"",VLOOKUP($B33,Database!$B$1:$IX$10144,AL$22,FALSE)))</f>
        <v>17.73</v>
      </c>
      <c r="AM33" s="22">
        <f>IF(OR($B33="",AM$22=""),"",IF(LEN(VLOOKUP($B33,Database!$B$1:$IX$10144,AM$22,FALSE))=0,"",VLOOKUP($B33,Database!$B$1:$IX$10144,AM$22,FALSE)))</f>
        <v>0</v>
      </c>
      <c r="AN33" s="22">
        <f>IF(OR($B33="",AN$22=""),"",IF(LEN(VLOOKUP($B33,Database!$B$1:$IX$10144,AN$22,FALSE))=0,"",VLOOKUP($B33,Database!$B$1:$IX$10144,AN$22,FALSE)))</f>
        <v>0</v>
      </c>
      <c r="AO33" s="22">
        <f>IF(OR($B33="",AO$22=""),"",IF(LEN(VLOOKUP($B33,Database!$B$1:$IX$10144,AO$22,FALSE))=0,"",VLOOKUP($B33,Database!$B$1:$IX$10144,AO$22,FALSE)))</f>
        <v>0</v>
      </c>
      <c r="AP33" s="22">
        <f>IF(OR($B33="",AP$22=""),"",IF(LEN(VLOOKUP($B33,Database!$B$1:$IX$10144,AP$22,FALSE))=0,"",VLOOKUP($B33,Database!$B$1:$IX$10144,AP$22,FALSE)))</f>
        <v>100</v>
      </c>
      <c r="AQ33" s="22" t="str">
        <f>IF(OR($B33="",AQ$22=""),"",IF(LEN(VLOOKUP($B33,Database!$B$1:$IX$10144,AQ$22,FALSE))=0,"",VLOOKUP($B33,Database!$B$1:$IX$10144,AQ$22,FALSE)))</f>
        <v>Ballmaier M, Kumar A, Elderkin-Thompson V, Narr KL, Luders E, Thompson PM, Hojatkashani C, Pham D, Heinz A, Toga AW.</v>
      </c>
    </row>
    <row r="34" spans="1:52">
      <c r="I34" s="22" t="str">
        <f>IF($B34="","",IF(LEN(VLOOKUP($B34,Database!$B$1:$IX$10144,8,FALSE))=0,"",VLOOKUP($B34,Database!$B$1:$IX$10144,8,FALSE)))</f>
        <v/>
      </c>
      <c r="AF34" t="s">
        <v>602</v>
      </c>
      <c r="AJ34" t="s">
        <v>329</v>
      </c>
      <c r="AN34" t="s">
        <v>330</v>
      </c>
    </row>
    <row r="35" spans="1:52" ht="45" customHeight="1">
      <c r="E35" s="60" t="s">
        <v>617</v>
      </c>
      <c r="F35" s="60" t="s">
        <v>740</v>
      </c>
      <c r="G35" s="60" t="s">
        <v>244</v>
      </c>
      <c r="H35" s="60" t="s">
        <v>245</v>
      </c>
      <c r="I35" s="60" t="s">
        <v>246</v>
      </c>
      <c r="J35" s="60" t="s">
        <v>593</v>
      </c>
      <c r="K35" s="60" t="s">
        <v>1039</v>
      </c>
      <c r="L35" s="60" t="s">
        <v>594</v>
      </c>
      <c r="M35" s="60" t="s">
        <v>1299</v>
      </c>
      <c r="N35" s="61" t="s">
        <v>595</v>
      </c>
      <c r="O35" s="61" t="s">
        <v>596</v>
      </c>
      <c r="P35" s="61" t="s">
        <v>597</v>
      </c>
      <c r="Q35" s="61" t="s">
        <v>598</v>
      </c>
      <c r="R35" s="61" t="s">
        <v>599</v>
      </c>
      <c r="S35" s="61" t="s">
        <v>600</v>
      </c>
      <c r="T35" s="61" t="s">
        <v>601</v>
      </c>
      <c r="U35" s="61" t="s">
        <v>484</v>
      </c>
      <c r="V35" s="61" t="s">
        <v>485</v>
      </c>
      <c r="W35" s="61" t="s">
        <v>486</v>
      </c>
      <c r="AF35" s="61" t="s">
        <v>1517</v>
      </c>
      <c r="AG35" s="62" t="s">
        <v>834</v>
      </c>
      <c r="AH35" s="62" t="s">
        <v>835</v>
      </c>
      <c r="AJ35" s="61" t="s">
        <v>836</v>
      </c>
      <c r="AK35" s="61" t="s">
        <v>837</v>
      </c>
      <c r="AL35" s="61" t="s">
        <v>487</v>
      </c>
      <c r="AN35" t="s">
        <v>488</v>
      </c>
      <c r="AO35" t="s">
        <v>489</v>
      </c>
      <c r="AP35" t="s">
        <v>490</v>
      </c>
      <c r="AQ35" t="s">
        <v>491</v>
      </c>
      <c r="AR35" t="s">
        <v>492</v>
      </c>
      <c r="AS35" t="s">
        <v>493</v>
      </c>
      <c r="AT35" t="s">
        <v>494</v>
      </c>
      <c r="AU35" t="s">
        <v>495</v>
      </c>
      <c r="AV35" t="s">
        <v>496</v>
      </c>
      <c r="AW35" t="s">
        <v>497</v>
      </c>
      <c r="AX35" t="s">
        <v>498</v>
      </c>
      <c r="AY35" t="s">
        <v>499</v>
      </c>
      <c r="AZ35" t="s">
        <v>2205</v>
      </c>
    </row>
    <row r="36" spans="1:52">
      <c r="E36" t="str">
        <f t="shared" ref="E36:F38" si="1">E24</f>
        <v>Lammers C</v>
      </c>
      <c r="F36">
        <f t="shared" si="1"/>
        <v>1991</v>
      </c>
      <c r="G36">
        <v>7</v>
      </c>
      <c r="H36">
        <f t="shared" ref="H36:I38" si="2">H24</f>
        <v>20</v>
      </c>
      <c r="I36">
        <f t="shared" si="2"/>
        <v>20</v>
      </c>
      <c r="J36">
        <f t="shared" ref="J36:M38" si="3">IF($D$4="Total",T24,IF($D$4="Left",L24,IF($D$4="Right",P24,"error")))</f>
        <v>594</v>
      </c>
      <c r="K36">
        <f t="shared" si="3"/>
        <v>96</v>
      </c>
      <c r="L36">
        <f t="shared" si="3"/>
        <v>576</v>
      </c>
      <c r="M36">
        <f t="shared" si="3"/>
        <v>104</v>
      </c>
      <c r="N36">
        <f t="shared" ref="N36:N42" si="4">IF($D$3=1,SQRT((((I36-1)*(M36)^2)+((H36-1)*(K36)^2))/(H36+I36-2)),M36)</f>
        <v>100.07996802557443</v>
      </c>
      <c r="O36" s="59">
        <f t="shared" ref="O36:O42" si="5">IF($D$6=1,LN(J36/L36),IF($D$5=1,(1-3/(4*(H36+I36)-9))*((J36-L36)/N36),(J36-L36)/N36))</f>
        <v>0.17628287112813557</v>
      </c>
      <c r="P36" s="63">
        <f t="shared" ref="P36:P42" si="6">IF($D$6=1,(K36^2)/(H36*J36^2)+(M36^2)/(I36*L36^2),(IF($D$5=1,((H36+I36)/(H36*I36))+(O36*O36)/(2*(H36+I36-3.94)),((H36+I36)/(H36*I36))+((O36^2)/(2*(H36+I36-2))))))</f>
        <v>0.10043088811221823</v>
      </c>
      <c r="Q36" s="59">
        <f t="shared" ref="Q36:Q42" si="7">$R$59*SQRT(P36)</f>
        <v>0.62114032212689063</v>
      </c>
      <c r="R36" s="59">
        <f t="shared" ref="R36:R42" si="8">1/P36</f>
        <v>9.957096056769231</v>
      </c>
      <c r="S36" s="59">
        <f t="shared" ref="S36:S42" si="9">O36*R36</f>
        <v>1.7552654809859172</v>
      </c>
      <c r="T36" s="59">
        <f t="shared" ref="T36:T42" si="10">R36*(O36^2)</f>
        <v>0.30942323858030529</v>
      </c>
      <c r="U36" s="23">
        <f t="shared" ref="U36:U42" si="11">R36^2</f>
        <v>99.143761883729368</v>
      </c>
      <c r="V36" s="59">
        <f t="shared" ref="V36:V42" si="12">1/((1/R36)+$I$56)</f>
        <v>4.10406088172659</v>
      </c>
      <c r="W36" s="59">
        <f t="shared" ref="W36:W42" si="13">V36*O36</f>
        <v>0.72347563551543093</v>
      </c>
      <c r="AF36" s="59">
        <f t="shared" ref="AF36:AF42" si="14">IF($D$6=1,100*((EXP(O36))-1),O36)</f>
        <v>0.17628287112813557</v>
      </c>
      <c r="AG36" s="59">
        <f t="shared" ref="AG36:AG42" si="15">IF($D$6=1,100*(EXP(O36+Q36)-EXP(O36)),Q36)</f>
        <v>0.62114032212689063</v>
      </c>
      <c r="AH36" s="59">
        <f t="shared" ref="AH36:AH42" si="16">IF($D$6=1,100*(EXP(O36)-EXP(O36-Q36)),Q36)</f>
        <v>0.62114032212689063</v>
      </c>
      <c r="AJ36">
        <f t="shared" ref="AJ36:AJ42" si="17">SQRT(P36)</f>
        <v>0.31690832761576054</v>
      </c>
      <c r="AK36">
        <f t="shared" ref="AK36:AK42" si="18">1/AJ36</f>
        <v>3.1554866592602213</v>
      </c>
      <c r="AL36">
        <f t="shared" ref="AL36:AL42" si="19">O36/AJ36</f>
        <v>0.55625824810092062</v>
      </c>
      <c r="AN36" t="str">
        <f t="shared" ref="AN36:AO38" si="20">E36</f>
        <v>Lammers C</v>
      </c>
      <c r="AO36">
        <f t="shared" si="20"/>
        <v>1991</v>
      </c>
      <c r="AP36" t="str">
        <f t="shared" ref="AP36:AP42" si="21">CONCATENATE(AN36," ",AO36)</f>
        <v>Lammers C 1991</v>
      </c>
      <c r="AQ36">
        <f t="shared" ref="AQ36:AQ42" si="22">INT(H36)</f>
        <v>20</v>
      </c>
      <c r="AR36">
        <f t="shared" ref="AR36:AS38" si="23">J36</f>
        <v>594</v>
      </c>
      <c r="AS36">
        <f t="shared" si="23"/>
        <v>96</v>
      </c>
      <c r="AT36">
        <f t="shared" ref="AT36:AT42" si="24">INT(I36)</f>
        <v>20</v>
      </c>
      <c r="AU36">
        <f t="shared" ref="AU36:AV38" si="25">L36</f>
        <v>576</v>
      </c>
      <c r="AV36">
        <f t="shared" si="25"/>
        <v>104</v>
      </c>
      <c r="AW36" s="65">
        <f t="shared" ref="AW36:AW42" si="26">O36</f>
        <v>0.17628287112813557</v>
      </c>
      <c r="AX36">
        <f t="shared" ref="AX36:AX42" si="27">SQRT(P36)</f>
        <v>0.31690832761576054</v>
      </c>
      <c r="AY36" t="str">
        <f>$F$3</f>
        <v>Pooled SD</v>
      </c>
      <c r="AZ36">
        <f>AH24</f>
        <v>1.5</v>
      </c>
    </row>
    <row r="37" spans="1:52">
      <c r="E37" t="str">
        <f t="shared" si="1"/>
        <v>Wu JC</v>
      </c>
      <c r="F37">
        <f t="shared" si="1"/>
        <v>1993</v>
      </c>
      <c r="G37">
        <v>6</v>
      </c>
      <c r="H37">
        <f t="shared" si="2"/>
        <v>20</v>
      </c>
      <c r="I37">
        <f t="shared" si="2"/>
        <v>16</v>
      </c>
      <c r="J37">
        <f t="shared" si="3"/>
        <v>6.86</v>
      </c>
      <c r="K37">
        <f t="shared" si="3"/>
        <v>1.67</v>
      </c>
      <c r="L37">
        <f t="shared" si="3"/>
        <v>5.81</v>
      </c>
      <c r="M37">
        <f t="shared" si="3"/>
        <v>0.91</v>
      </c>
      <c r="N37">
        <f t="shared" si="4"/>
        <v>1.3870260186710948</v>
      </c>
      <c r="O37" s="59">
        <f t="shared" si="5"/>
        <v>0.74019279584265718</v>
      </c>
      <c r="P37" s="63">
        <f t="shared" si="6"/>
        <v>0.12104468769521787</v>
      </c>
      <c r="Q37" s="59">
        <f t="shared" si="7"/>
        <v>0.68191295063955848</v>
      </c>
      <c r="R37" s="59">
        <f t="shared" si="8"/>
        <v>8.2614117070377411</v>
      </c>
      <c r="S37" s="59">
        <f t="shared" si="9"/>
        <v>6.1150374290395249</v>
      </c>
      <c r="T37" s="59">
        <f t="shared" si="10"/>
        <v>4.5263066512832602</v>
      </c>
      <c r="U37" s="23">
        <f t="shared" si="11"/>
        <v>68.250923393180244</v>
      </c>
      <c r="V37" s="59">
        <f t="shared" si="12"/>
        <v>3.7839385857360233</v>
      </c>
      <c r="W37" s="59">
        <f t="shared" si="13"/>
        <v>2.8008440810728574</v>
      </c>
      <c r="AF37" s="59">
        <f t="shared" si="14"/>
        <v>0.74019279584265718</v>
      </c>
      <c r="AG37" s="59">
        <f t="shared" si="15"/>
        <v>0.68191295063955848</v>
      </c>
      <c r="AH37" s="59">
        <f t="shared" si="16"/>
        <v>0.68191295063955848</v>
      </c>
      <c r="AJ37">
        <f t="shared" si="17"/>
        <v>0.34791477073446864</v>
      </c>
      <c r="AK37">
        <f t="shared" si="18"/>
        <v>2.8742671599970904</v>
      </c>
      <c r="AL37">
        <f t="shared" si="19"/>
        <v>2.1275118451569806</v>
      </c>
      <c r="AN37" t="str">
        <f t="shared" si="20"/>
        <v>Wu JC</v>
      </c>
      <c r="AO37">
        <f t="shared" si="20"/>
        <v>1993</v>
      </c>
      <c r="AP37" t="str">
        <f t="shared" si="21"/>
        <v>Wu JC 1993</v>
      </c>
      <c r="AQ37">
        <f t="shared" si="22"/>
        <v>20</v>
      </c>
      <c r="AR37">
        <f t="shared" si="23"/>
        <v>6.86</v>
      </c>
      <c r="AS37">
        <f t="shared" si="23"/>
        <v>1.67</v>
      </c>
      <c r="AT37">
        <f t="shared" si="24"/>
        <v>16</v>
      </c>
      <c r="AU37">
        <f t="shared" si="25"/>
        <v>5.81</v>
      </c>
      <c r="AV37">
        <f t="shared" si="25"/>
        <v>0.91</v>
      </c>
      <c r="AW37" s="65">
        <f t="shared" si="26"/>
        <v>0.74019279584265718</v>
      </c>
      <c r="AX37">
        <f t="shared" si="27"/>
        <v>0.34791477073446864</v>
      </c>
      <c r="AY37" t="str">
        <f>$F$4</f>
        <v>Total</v>
      </c>
      <c r="AZ37">
        <f t="shared" ref="AZ37:AZ42" si="28">AH25</f>
        <v>1.5</v>
      </c>
    </row>
    <row r="38" spans="1:52">
      <c r="E38" t="str">
        <f t="shared" si="1"/>
        <v>Parashos IA</v>
      </c>
      <c r="F38">
        <f t="shared" si="1"/>
        <v>1998</v>
      </c>
      <c r="G38">
        <v>5</v>
      </c>
      <c r="H38">
        <f t="shared" si="2"/>
        <v>72</v>
      </c>
      <c r="I38">
        <f t="shared" si="2"/>
        <v>38</v>
      </c>
      <c r="J38">
        <f t="shared" si="3"/>
        <v>7.18</v>
      </c>
      <c r="K38">
        <f t="shared" si="3"/>
        <v>1.2</v>
      </c>
      <c r="L38">
        <f t="shared" si="3"/>
        <v>6.56</v>
      </c>
      <c r="M38">
        <f t="shared" si="3"/>
        <v>1.1399999999999999</v>
      </c>
      <c r="N38">
        <f t="shared" si="4"/>
        <v>1.1797881165700899</v>
      </c>
      <c r="O38" s="59">
        <f t="shared" si="5"/>
        <v>0.52186019346110568</v>
      </c>
      <c r="P38" s="63">
        <f t="shared" si="6"/>
        <v>4.1488565131945446E-2</v>
      </c>
      <c r="Q38" s="59">
        <f t="shared" si="7"/>
        <v>0.39922734351604927</v>
      </c>
      <c r="R38" s="59">
        <f t="shared" si="8"/>
        <v>24.103026865829545</v>
      </c>
      <c r="S38" s="59">
        <f t="shared" si="9"/>
        <v>12.578410263200034</v>
      </c>
      <c r="T38" s="59">
        <f t="shared" si="10"/>
        <v>6.5641716133867272</v>
      </c>
      <c r="U38" s="23">
        <f t="shared" si="11"/>
        <v>580.9559040949008</v>
      </c>
      <c r="V38" s="59">
        <f t="shared" si="12"/>
        <v>5.4136347235693014</v>
      </c>
      <c r="W38" s="59">
        <f t="shared" si="13"/>
        <v>2.8251604641696351</v>
      </c>
      <c r="AF38" s="59">
        <f t="shared" si="14"/>
        <v>0.52186019346110568</v>
      </c>
      <c r="AG38" s="59">
        <f t="shared" si="15"/>
        <v>0.39922734351604927</v>
      </c>
      <c r="AH38" s="59">
        <f t="shared" si="16"/>
        <v>0.39922734351604927</v>
      </c>
      <c r="AJ38">
        <f t="shared" si="17"/>
        <v>0.20368742016124963</v>
      </c>
      <c r="AK38">
        <f t="shared" si="18"/>
        <v>4.9094833603781112</v>
      </c>
      <c r="AL38">
        <f t="shared" si="19"/>
        <v>2.562063936241</v>
      </c>
      <c r="AN38" t="str">
        <f t="shared" si="20"/>
        <v>Parashos IA</v>
      </c>
      <c r="AO38">
        <f t="shared" si="20"/>
        <v>1998</v>
      </c>
      <c r="AP38" t="str">
        <f t="shared" si="21"/>
        <v>Parashos IA 1998</v>
      </c>
      <c r="AQ38">
        <f t="shared" si="22"/>
        <v>72</v>
      </c>
      <c r="AR38">
        <f t="shared" si="23"/>
        <v>7.18</v>
      </c>
      <c r="AS38">
        <f t="shared" si="23"/>
        <v>1.2</v>
      </c>
      <c r="AT38">
        <f t="shared" si="24"/>
        <v>38</v>
      </c>
      <c r="AU38">
        <f t="shared" si="25"/>
        <v>6.56</v>
      </c>
      <c r="AV38">
        <f t="shared" si="25"/>
        <v>1.1399999999999999</v>
      </c>
      <c r="AW38" s="65">
        <f t="shared" si="26"/>
        <v>0.52186019346110568</v>
      </c>
      <c r="AX38">
        <f t="shared" si="27"/>
        <v>0.20368742016124963</v>
      </c>
      <c r="AY38" t="str">
        <f>$F$6</f>
        <v>Cohens Effect size</v>
      </c>
      <c r="AZ38">
        <f t="shared" si="28"/>
        <v>1.5</v>
      </c>
    </row>
    <row r="39" spans="1:52">
      <c r="E39" t="str">
        <f t="shared" ref="E39:F42" si="29">E27</f>
        <v>Lacerda AL</v>
      </c>
      <c r="F39">
        <f t="shared" si="29"/>
        <v>2005</v>
      </c>
      <c r="G39">
        <v>4</v>
      </c>
      <c r="H39">
        <f t="shared" ref="H39:I42" si="30">H27</f>
        <v>22</v>
      </c>
      <c r="I39">
        <f t="shared" si="30"/>
        <v>39</v>
      </c>
      <c r="J39">
        <f t="shared" ref="J39:M42" si="31">IF($D$4="Total",T27,IF($D$4="Left",L27,IF($D$4="Right",P27,"error")))</f>
        <v>5.76</v>
      </c>
      <c r="K39">
        <f t="shared" si="31"/>
        <v>0.98</v>
      </c>
      <c r="L39">
        <f t="shared" si="31"/>
        <v>5.99</v>
      </c>
      <c r="M39">
        <f t="shared" si="31"/>
        <v>0.95</v>
      </c>
      <c r="N39">
        <f t="shared" si="4"/>
        <v>0.96078534261107007</v>
      </c>
      <c r="O39" s="59">
        <f t="shared" si="5"/>
        <v>-0.23633148812424259</v>
      </c>
      <c r="P39" s="63">
        <f t="shared" si="6"/>
        <v>7.1584990761528147E-2</v>
      </c>
      <c r="Q39" s="59">
        <f t="shared" si="7"/>
        <v>0.52440528268647946</v>
      </c>
      <c r="R39" s="59">
        <f t="shared" si="8"/>
        <v>13.969408801508557</v>
      </c>
      <c r="S39" s="59">
        <f t="shared" si="9"/>
        <v>-3.3014111702764093</v>
      </c>
      <c r="T39" s="59">
        <f t="shared" si="10"/>
        <v>0.7802274147814211</v>
      </c>
      <c r="U39" s="23">
        <f t="shared" si="11"/>
        <v>195.14438226366474</v>
      </c>
      <c r="V39" s="59">
        <f t="shared" si="12"/>
        <v>4.6551639506240798</v>
      </c>
      <c r="W39" s="59">
        <f t="shared" si="13"/>
        <v>-1.1001618239133171</v>
      </c>
      <c r="AF39" s="59">
        <f t="shared" si="14"/>
        <v>-0.23633148812424259</v>
      </c>
      <c r="AG39" s="59">
        <f t="shared" si="15"/>
        <v>0.52440528268647946</v>
      </c>
      <c r="AH39" s="59">
        <f t="shared" si="16"/>
        <v>0.52440528268647946</v>
      </c>
      <c r="AJ39">
        <f t="shared" si="17"/>
        <v>0.2675537156563671</v>
      </c>
      <c r="AK39">
        <f t="shared" si="18"/>
        <v>3.737567230366373</v>
      </c>
      <c r="AL39">
        <f t="shared" si="19"/>
        <v>-0.88330482551688871</v>
      </c>
      <c r="AN39" t="str">
        <f t="shared" ref="AN39:AO42" si="32">E39</f>
        <v>Lacerda AL</v>
      </c>
      <c r="AO39">
        <f t="shared" si="32"/>
        <v>2005</v>
      </c>
      <c r="AP39" t="str">
        <f t="shared" si="21"/>
        <v>Lacerda AL 2005</v>
      </c>
      <c r="AQ39">
        <f t="shared" si="22"/>
        <v>22</v>
      </c>
      <c r="AR39">
        <f t="shared" ref="AR39:AS42" si="33">J39</f>
        <v>5.76</v>
      </c>
      <c r="AS39">
        <f t="shared" si="33"/>
        <v>0.98</v>
      </c>
      <c r="AT39">
        <f t="shared" si="24"/>
        <v>39</v>
      </c>
      <c r="AU39">
        <f t="shared" ref="AU39:AV42" si="34">L39</f>
        <v>5.99</v>
      </c>
      <c r="AV39">
        <f t="shared" si="34"/>
        <v>0.95</v>
      </c>
      <c r="AW39" s="65">
        <f t="shared" si="26"/>
        <v>-0.23633148812424259</v>
      </c>
      <c r="AX39">
        <f t="shared" si="27"/>
        <v>0.2675537156563671</v>
      </c>
      <c r="AZ39">
        <f t="shared" si="28"/>
        <v>1.5</v>
      </c>
    </row>
    <row r="40" spans="1:52">
      <c r="E40" t="str">
        <f t="shared" si="29"/>
        <v>Sun J</v>
      </c>
      <c r="F40">
        <f t="shared" si="29"/>
        <v>2009</v>
      </c>
      <c r="G40">
        <v>3</v>
      </c>
      <c r="H40">
        <f t="shared" si="30"/>
        <v>45</v>
      </c>
      <c r="I40">
        <f t="shared" si="30"/>
        <v>30</v>
      </c>
      <c r="J40">
        <f t="shared" si="31"/>
        <v>0.46</v>
      </c>
      <c r="K40">
        <f t="shared" si="31"/>
        <v>0.05</v>
      </c>
      <c r="L40">
        <f t="shared" si="31"/>
        <v>0.49</v>
      </c>
      <c r="M40">
        <f t="shared" si="31"/>
        <v>7.0000000000000007E-2</v>
      </c>
      <c r="N40">
        <f t="shared" si="4"/>
        <v>5.8765846012239518E-2</v>
      </c>
      <c r="O40" s="59">
        <f t="shared" si="5"/>
        <v>-0.50523771313188681</v>
      </c>
      <c r="P40" s="63">
        <f t="shared" si="6"/>
        <v>5.7351679582931983E-2</v>
      </c>
      <c r="Q40" s="59">
        <f t="shared" si="7"/>
        <v>0.4693849297599908</v>
      </c>
      <c r="R40" s="59">
        <f t="shared" si="8"/>
        <v>17.436280982041243</v>
      </c>
      <c r="S40" s="59">
        <f t="shared" si="9"/>
        <v>-8.8094667288915272</v>
      </c>
      <c r="T40" s="59">
        <f t="shared" si="10"/>
        <v>4.4508748240165987</v>
      </c>
      <c r="U40" s="23">
        <f t="shared" si="11"/>
        <v>304.02389448469313</v>
      </c>
      <c r="V40" s="59">
        <f t="shared" si="12"/>
        <v>4.9854948479850014</v>
      </c>
      <c r="W40" s="59">
        <f t="shared" si="13"/>
        <v>-2.5188600158267458</v>
      </c>
      <c r="AF40" s="59">
        <f t="shared" si="14"/>
        <v>-0.50523771313188681</v>
      </c>
      <c r="AG40" s="59">
        <f t="shared" si="15"/>
        <v>0.4693849297599908</v>
      </c>
      <c r="AH40" s="59">
        <f t="shared" si="16"/>
        <v>0.4693849297599908</v>
      </c>
      <c r="AJ40">
        <f t="shared" si="17"/>
        <v>0.23948210702040348</v>
      </c>
      <c r="AK40">
        <f t="shared" si="18"/>
        <v>4.1756773081790266</v>
      </c>
      <c r="AL40">
        <f t="shared" si="19"/>
        <v>-2.1097096539610845</v>
      </c>
      <c r="AN40" t="str">
        <f t="shared" si="32"/>
        <v>Sun J</v>
      </c>
      <c r="AO40">
        <f t="shared" si="32"/>
        <v>2009</v>
      </c>
      <c r="AP40" t="str">
        <f t="shared" si="21"/>
        <v>Sun J 2009</v>
      </c>
      <c r="AQ40">
        <f t="shared" si="22"/>
        <v>45</v>
      </c>
      <c r="AR40">
        <f t="shared" si="33"/>
        <v>0.46</v>
      </c>
      <c r="AS40">
        <f t="shared" si="33"/>
        <v>0.05</v>
      </c>
      <c r="AT40">
        <f t="shared" si="24"/>
        <v>30</v>
      </c>
      <c r="AU40">
        <f t="shared" si="34"/>
        <v>0.49</v>
      </c>
      <c r="AV40">
        <f t="shared" si="34"/>
        <v>7.0000000000000007E-2</v>
      </c>
      <c r="AW40" s="65">
        <f t="shared" si="26"/>
        <v>-0.50523771313188681</v>
      </c>
      <c r="AX40">
        <f t="shared" si="27"/>
        <v>0.23948210702040348</v>
      </c>
      <c r="AZ40">
        <f t="shared" si="28"/>
        <v>1.5</v>
      </c>
    </row>
    <row r="41" spans="1:52">
      <c r="E41" t="str">
        <f t="shared" si="29"/>
        <v>Walterfang M</v>
      </c>
      <c r="F41">
        <f t="shared" si="29"/>
        <v>2009</v>
      </c>
      <c r="G41">
        <v>2</v>
      </c>
      <c r="H41">
        <f t="shared" si="30"/>
        <v>26</v>
      </c>
      <c r="I41">
        <f t="shared" si="30"/>
        <v>16</v>
      </c>
      <c r="J41">
        <f t="shared" si="31"/>
        <v>725.99</v>
      </c>
      <c r="K41">
        <f t="shared" si="31"/>
        <v>116.97</v>
      </c>
      <c r="L41">
        <f t="shared" si="31"/>
        <v>716.67</v>
      </c>
      <c r="M41">
        <f t="shared" si="31"/>
        <v>115.44</v>
      </c>
      <c r="N41">
        <f t="shared" si="4"/>
        <v>116.39860678934264</v>
      </c>
      <c r="O41" s="59">
        <f t="shared" si="5"/>
        <v>7.8558938080292448E-2</v>
      </c>
      <c r="P41" s="63">
        <f t="shared" si="6"/>
        <v>0.10104261448298228</v>
      </c>
      <c r="Q41" s="59">
        <f t="shared" si="7"/>
        <v>0.62302913880317401</v>
      </c>
      <c r="R41" s="59">
        <f t="shared" si="8"/>
        <v>9.8968143799210697</v>
      </c>
      <c r="S41" s="59">
        <f t="shared" si="9"/>
        <v>0.7774832280643672</v>
      </c>
      <c r="T41" s="59">
        <f t="shared" si="10"/>
        <v>6.107825677197451E-2</v>
      </c>
      <c r="U41" s="23">
        <f t="shared" si="11"/>
        <v>97.946934870612466</v>
      </c>
      <c r="V41" s="59">
        <f t="shared" si="12"/>
        <v>4.0937831841287968</v>
      </c>
      <c r="W41" s="59">
        <f t="shared" si="13"/>
        <v>0.32160325967611658</v>
      </c>
      <c r="AF41" s="59">
        <f t="shared" si="14"/>
        <v>7.8558938080292448E-2</v>
      </c>
      <c r="AG41" s="59">
        <f t="shared" si="15"/>
        <v>0.62302913880317401</v>
      </c>
      <c r="AH41" s="59">
        <f t="shared" si="16"/>
        <v>0.62302913880317401</v>
      </c>
      <c r="AJ41">
        <f t="shared" si="17"/>
        <v>0.31787200959345613</v>
      </c>
      <c r="AK41">
        <f t="shared" si="18"/>
        <v>3.1459202755189253</v>
      </c>
      <c r="AL41">
        <f t="shared" si="19"/>
        <v>0.24714015613002782</v>
      </c>
      <c r="AN41" t="str">
        <f t="shared" si="32"/>
        <v>Walterfang M</v>
      </c>
      <c r="AO41">
        <f t="shared" si="32"/>
        <v>2009</v>
      </c>
      <c r="AP41" t="str">
        <f t="shared" si="21"/>
        <v>Walterfang M 2009</v>
      </c>
      <c r="AQ41">
        <f t="shared" si="22"/>
        <v>26</v>
      </c>
      <c r="AR41">
        <f t="shared" si="33"/>
        <v>725.99</v>
      </c>
      <c r="AS41">
        <f t="shared" si="33"/>
        <v>116.97</v>
      </c>
      <c r="AT41">
        <f t="shared" si="24"/>
        <v>16</v>
      </c>
      <c r="AU41">
        <f t="shared" si="34"/>
        <v>716.67</v>
      </c>
      <c r="AV41">
        <f t="shared" si="34"/>
        <v>115.44</v>
      </c>
      <c r="AW41" s="65">
        <f t="shared" si="26"/>
        <v>7.8558938080292448E-2</v>
      </c>
      <c r="AX41">
        <f t="shared" si="27"/>
        <v>0.31787200959345613</v>
      </c>
      <c r="AZ41">
        <f t="shared" si="28"/>
        <v>1.5</v>
      </c>
    </row>
    <row r="42" spans="1:52">
      <c r="E42" t="str">
        <f t="shared" si="29"/>
        <v>Walterfang M</v>
      </c>
      <c r="F42">
        <f t="shared" si="29"/>
        <v>2009</v>
      </c>
      <c r="G42">
        <v>1</v>
      </c>
      <c r="H42">
        <f t="shared" si="30"/>
        <v>28</v>
      </c>
      <c r="I42">
        <f t="shared" si="30"/>
        <v>16</v>
      </c>
      <c r="J42">
        <f t="shared" si="31"/>
        <v>684.32</v>
      </c>
      <c r="K42">
        <f t="shared" si="31"/>
        <v>99.73</v>
      </c>
      <c r="L42">
        <f t="shared" si="31"/>
        <v>716.67</v>
      </c>
      <c r="M42">
        <f t="shared" si="31"/>
        <v>115.44</v>
      </c>
      <c r="N42">
        <f t="shared" si="4"/>
        <v>105.60932862610737</v>
      </c>
      <c r="O42" s="59">
        <f t="shared" si="5"/>
        <v>-0.30081492505194779</v>
      </c>
      <c r="P42" s="63">
        <f t="shared" si="6"/>
        <v>9.9343711814310787E-2</v>
      </c>
      <c r="Q42" s="59">
        <f t="shared" si="7"/>
        <v>0.61776921524616002</v>
      </c>
      <c r="R42" s="59">
        <f t="shared" si="8"/>
        <v>10.066062378151917</v>
      </c>
      <c r="S42" s="59">
        <f t="shared" si="9"/>
        <v>-3.0280217998520005</v>
      </c>
      <c r="T42" s="59">
        <f t="shared" si="10"/>
        <v>0.91087415077814349</v>
      </c>
      <c r="U42" s="23">
        <f t="shared" si="11"/>
        <v>101.32561180084544</v>
      </c>
      <c r="V42" s="59">
        <f t="shared" si="12"/>
        <v>4.122454605165518</v>
      </c>
      <c r="W42" s="59">
        <f t="shared" si="13"/>
        <v>-1.2400958730829224</v>
      </c>
      <c r="AF42" s="59">
        <f t="shared" si="14"/>
        <v>-0.30081492505194779</v>
      </c>
      <c r="AG42" s="59">
        <f t="shared" si="15"/>
        <v>0.61776921524616002</v>
      </c>
      <c r="AH42" s="59">
        <f t="shared" si="16"/>
        <v>0.61776921524616002</v>
      </c>
      <c r="AJ42">
        <f t="shared" si="17"/>
        <v>0.31518837512559184</v>
      </c>
      <c r="AK42">
        <f t="shared" si="18"/>
        <v>3.1727058448825534</v>
      </c>
      <c r="AL42">
        <f t="shared" si="19"/>
        <v>-0.95439727094022198</v>
      </c>
      <c r="AN42" t="str">
        <f t="shared" si="32"/>
        <v>Walterfang M</v>
      </c>
      <c r="AO42">
        <f t="shared" si="32"/>
        <v>2009</v>
      </c>
      <c r="AP42" t="str">
        <f t="shared" si="21"/>
        <v>Walterfang M 2009</v>
      </c>
      <c r="AQ42">
        <f t="shared" si="22"/>
        <v>28</v>
      </c>
      <c r="AR42">
        <f t="shared" si="33"/>
        <v>684.32</v>
      </c>
      <c r="AS42">
        <f t="shared" si="33"/>
        <v>99.73</v>
      </c>
      <c r="AT42">
        <f t="shared" si="24"/>
        <v>16</v>
      </c>
      <c r="AU42">
        <f t="shared" si="34"/>
        <v>716.67</v>
      </c>
      <c r="AV42">
        <f t="shared" si="34"/>
        <v>115.44</v>
      </c>
      <c r="AW42" s="65">
        <f t="shared" si="26"/>
        <v>-0.30081492505194779</v>
      </c>
      <c r="AX42">
        <f t="shared" si="27"/>
        <v>0.31518837512559184</v>
      </c>
      <c r="AY42" t="str">
        <f>$F$5</f>
        <v>H Correction</v>
      </c>
      <c r="AZ42">
        <f t="shared" si="28"/>
        <v>1.5</v>
      </c>
    </row>
    <row r="43" spans="1:52">
      <c r="U43" s="23"/>
    </row>
    <row r="44" spans="1:52">
      <c r="L44" t="s">
        <v>500</v>
      </c>
      <c r="N44" s="7"/>
      <c r="O44" s="66">
        <f>COUNT(O36:O42)</f>
        <v>7</v>
      </c>
      <c r="Q44" t="s">
        <v>885</v>
      </c>
      <c r="R44" s="59">
        <f t="shared" ref="R44:W44" si="35">SUM(R36:R42)</f>
        <v>93.6901011712593</v>
      </c>
      <c r="S44" s="59">
        <f t="shared" si="35"/>
        <v>6.0872967022699083</v>
      </c>
      <c r="T44" s="59">
        <f t="shared" si="35"/>
        <v>17.602956149598434</v>
      </c>
      <c r="U44" s="23">
        <f t="shared" si="35"/>
        <v>1446.7914127916263</v>
      </c>
      <c r="V44" s="59">
        <f t="shared" si="35"/>
        <v>31.158530778935312</v>
      </c>
      <c r="W44" s="59">
        <f t="shared" si="35"/>
        <v>1.8119657276110555</v>
      </c>
    </row>
    <row r="45" spans="1:52">
      <c r="L45" t="s">
        <v>501</v>
      </c>
      <c r="N45" s="7"/>
      <c r="O45" s="2">
        <v>1</v>
      </c>
    </row>
    <row r="46" spans="1:52">
      <c r="N46" s="7"/>
      <c r="O46" s="7"/>
    </row>
    <row r="47" spans="1:52">
      <c r="G47" s="67" t="s">
        <v>502</v>
      </c>
      <c r="H47" s="40"/>
      <c r="I47" s="40">
        <f>S44/R44</f>
        <v>6.497267722171346E-2</v>
      </c>
      <c r="J47" s="40"/>
      <c r="K47" s="68" t="s">
        <v>879</v>
      </c>
      <c r="L47" s="40"/>
      <c r="M47" s="42"/>
      <c r="N47" s="7"/>
      <c r="O47" s="69" t="s">
        <v>503</v>
      </c>
      <c r="P47" s="70">
        <f>T44-((S44^2)/R44)</f>
        <v>17.207448185809049</v>
      </c>
      <c r="Q47" s="71" t="s">
        <v>824</v>
      </c>
      <c r="R47" s="28"/>
      <c r="S47" s="29"/>
      <c r="T47" s="30"/>
      <c r="U47" s="31"/>
      <c r="AF47" s="2" t="s">
        <v>1518</v>
      </c>
    </row>
    <row r="48" spans="1:52">
      <c r="G48" s="43" t="s">
        <v>504</v>
      </c>
      <c r="H48" s="31"/>
      <c r="I48" s="31">
        <f>1/R44</f>
        <v>1.0673486179421092E-2</v>
      </c>
      <c r="J48" s="31"/>
      <c r="K48" s="31"/>
      <c r="L48" s="31"/>
      <c r="M48" s="44"/>
      <c r="N48" s="7"/>
      <c r="O48" s="30" t="s">
        <v>505</v>
      </c>
      <c r="P48" s="31">
        <f>CHIDIST(P47,I52-1)</f>
        <v>8.5503295796170754E-3</v>
      </c>
      <c r="Q48" s="31"/>
      <c r="R48" s="31"/>
      <c r="S48" s="34"/>
      <c r="T48" s="30"/>
      <c r="U48" s="31"/>
      <c r="AF48" s="2"/>
    </row>
    <row r="49" spans="7:34">
      <c r="G49" s="72" t="s">
        <v>506</v>
      </c>
      <c r="H49" s="31"/>
      <c r="I49" s="31">
        <f>$R$59*SQRT(I48)</f>
        <v>0.20249262827783157</v>
      </c>
      <c r="J49" s="31"/>
      <c r="K49" s="31" t="s">
        <v>507</v>
      </c>
      <c r="L49" s="31"/>
      <c r="M49" s="44">
        <f>ABS(I47/SQRT(I48))</f>
        <v>0.62889423895388286</v>
      </c>
      <c r="N49" s="7"/>
      <c r="O49" s="35" t="s">
        <v>508</v>
      </c>
      <c r="P49" s="37">
        <f>IF(((P47-(I52-1))/P47)&lt;0,0,100*((P47-(I52-1))/P47))</f>
        <v>65.13137837051174</v>
      </c>
      <c r="Q49" s="36"/>
      <c r="R49" s="36"/>
      <c r="S49" s="38"/>
      <c r="T49" s="30"/>
      <c r="U49" s="31"/>
      <c r="AF49" s="2" t="s">
        <v>1535</v>
      </c>
      <c r="AH49">
        <f>IF($D$6=1,100*((EXP(I47))-1),I47)</f>
        <v>6.497267722171346E-2</v>
      </c>
    </row>
    <row r="50" spans="7:34">
      <c r="G50" s="45" t="s">
        <v>509</v>
      </c>
      <c r="H50" s="46"/>
      <c r="I50" s="46">
        <v>-2</v>
      </c>
      <c r="J50" s="46"/>
      <c r="K50" s="46" t="s">
        <v>825</v>
      </c>
      <c r="L50" s="46"/>
      <c r="M50" s="47">
        <f>2*(1-NORMDIST(M49,0,1,1))</f>
        <v>0.52941829794054684</v>
      </c>
      <c r="N50" s="7"/>
      <c r="O50" s="7"/>
      <c r="AF50" s="79" t="s">
        <v>834</v>
      </c>
      <c r="AH50">
        <f>IF($D$6=1,100*(EXP(I47+I49)-EXP(I47)),I49)</f>
        <v>0.20249262827783157</v>
      </c>
    </row>
    <row r="51" spans="7:34">
      <c r="G51" s="40"/>
      <c r="H51" s="40"/>
      <c r="I51" s="40"/>
      <c r="J51" s="40"/>
      <c r="K51" s="40"/>
      <c r="L51" s="40"/>
      <c r="M51" s="40"/>
      <c r="N51" s="7"/>
      <c r="O51" s="7"/>
      <c r="AF51" s="79" t="s">
        <v>835</v>
      </c>
      <c r="AH51">
        <f>IF($D$6=1,100*(EXP(I47)-EXP(I47-I49)),I49)</f>
        <v>0.20249262827783157</v>
      </c>
    </row>
    <row r="52" spans="7:34">
      <c r="G52" s="73" t="s">
        <v>1110</v>
      </c>
      <c r="H52" s="74"/>
      <c r="I52" s="74">
        <f>O44</f>
        <v>7</v>
      </c>
      <c r="J52" s="74"/>
      <c r="K52" s="75" t="s">
        <v>1167</v>
      </c>
      <c r="L52" s="74"/>
      <c r="M52" s="76"/>
      <c r="N52" s="77"/>
      <c r="O52" s="101" t="s">
        <v>1513</v>
      </c>
      <c r="P52" s="102"/>
      <c r="Q52" s="103"/>
      <c r="AF52" s="7"/>
    </row>
    <row r="53" spans="7:34">
      <c r="G53" s="77" t="s">
        <v>1531</v>
      </c>
      <c r="H53" s="31"/>
      <c r="I53" s="31">
        <f>R44/I52</f>
        <v>13.384300167322758</v>
      </c>
      <c r="J53" s="31"/>
      <c r="K53" s="31"/>
      <c r="L53" s="31"/>
      <c r="M53" s="78"/>
      <c r="N53" s="77"/>
      <c r="O53" s="104" t="s">
        <v>1514</v>
      </c>
      <c r="P53" s="31"/>
      <c r="Q53" s="105">
        <f>INDEX(LINEST(AL36:AL42,AK36:AK42,TRUE,TRUE),1,2)</f>
        <v>-0.37849888928950981</v>
      </c>
      <c r="AF53" s="2" t="s">
        <v>1687</v>
      </c>
      <c r="AH53">
        <f>IF($D$6=1,100*((EXP(I58))-1),I58)</f>
        <v>5.8153118337531909E-2</v>
      </c>
    </row>
    <row r="54" spans="7:34">
      <c r="G54" s="77" t="s">
        <v>1532</v>
      </c>
      <c r="H54" s="31"/>
      <c r="I54" s="31">
        <f>(1/(I52-1))*(U44-(I52*I53^2))</f>
        <v>32.135829334775693</v>
      </c>
      <c r="J54" s="31"/>
      <c r="K54" s="31"/>
      <c r="L54" s="31"/>
      <c r="M54" s="78"/>
      <c r="N54" s="77"/>
      <c r="O54" s="104" t="s">
        <v>1516</v>
      </c>
      <c r="P54" s="31"/>
      <c r="Q54" s="105">
        <f>INDEX(LINEST(AL36:AL42,AK36:AK42,TRUE,TRUE),2,2)</f>
        <v>3.8033304073616079</v>
      </c>
      <c r="AF54" s="79" t="s">
        <v>834</v>
      </c>
      <c r="AG54" s="7"/>
      <c r="AH54">
        <f>IF($D$6=1,100*(EXP(I58+I60)-EXP(I58)),I60)</f>
        <v>0.35112971644414637</v>
      </c>
    </row>
    <row r="55" spans="7:34">
      <c r="G55" s="77" t="s">
        <v>1669</v>
      </c>
      <c r="H55" s="31"/>
      <c r="I55" s="31">
        <f>(I52-1)*(I53-(I54/(I52*I53)))</f>
        <v>78.247793022322767</v>
      </c>
      <c r="J55" s="31"/>
      <c r="K55" s="31"/>
      <c r="L55" s="31"/>
      <c r="M55" s="78"/>
      <c r="N55" s="77"/>
      <c r="O55" s="104" t="s">
        <v>1349</v>
      </c>
      <c r="P55" s="31"/>
      <c r="Q55" s="105">
        <f>ABS(Q53/Q54)</f>
        <v>9.9517751220587924E-2</v>
      </c>
      <c r="AF55" s="79" t="s">
        <v>835</v>
      </c>
      <c r="AH55">
        <f>IF($D$6=1,100*(EXP(I58)-EXP(I58-I60)),I60)</f>
        <v>0.35112971644414637</v>
      </c>
    </row>
    <row r="56" spans="7:34">
      <c r="G56" s="77" t="s">
        <v>1685</v>
      </c>
      <c r="H56" s="31"/>
      <c r="I56" s="31">
        <f>IF(P47&gt;(I52-1),(P47-(I52-1))/I55,0)</f>
        <v>0.14323021459035598</v>
      </c>
      <c r="J56" s="31"/>
      <c r="K56" s="31"/>
      <c r="L56" s="31"/>
      <c r="M56" s="78"/>
      <c r="N56" s="77"/>
      <c r="O56" s="106" t="s">
        <v>1515</v>
      </c>
      <c r="P56" s="107"/>
      <c r="Q56" s="108">
        <f>TDIST(Q55,I52-2,2)</f>
        <v>0.92459409335894294</v>
      </c>
    </row>
    <row r="57" spans="7:34">
      <c r="G57" s="77"/>
      <c r="H57" s="31"/>
      <c r="I57" s="31"/>
      <c r="J57" s="31"/>
      <c r="K57" s="31"/>
      <c r="L57" s="31"/>
      <c r="M57" s="78"/>
      <c r="N57" s="77"/>
    </row>
    <row r="58" spans="7:34">
      <c r="G58" s="77" t="s">
        <v>1686</v>
      </c>
      <c r="H58" s="31"/>
      <c r="I58" s="31">
        <f>W44/V44</f>
        <v>5.8153118337531909E-2</v>
      </c>
      <c r="J58" s="31"/>
      <c r="N58" s="77"/>
    </row>
    <row r="59" spans="7:34">
      <c r="G59" s="77" t="s">
        <v>504</v>
      </c>
      <c r="H59" s="31"/>
      <c r="I59" s="31">
        <f>1/V44</f>
        <v>3.2093939444540462E-2</v>
      </c>
      <c r="J59" s="31"/>
      <c r="N59" s="77"/>
      <c r="O59" t="s">
        <v>805</v>
      </c>
      <c r="R59">
        <v>1.96</v>
      </c>
    </row>
    <row r="60" spans="7:34">
      <c r="G60" s="80" t="s">
        <v>506</v>
      </c>
      <c r="H60" s="31"/>
      <c r="I60" s="31">
        <f>$R$59*SQRT(I59)</f>
        <v>0.35112971644414637</v>
      </c>
      <c r="J60" s="31"/>
      <c r="K60" s="31" t="s">
        <v>507</v>
      </c>
      <c r="L60" s="31"/>
      <c r="M60" s="78">
        <f>ABS(I58/(SQRT(I59)))</f>
        <v>0.32460970007274553</v>
      </c>
      <c r="N60" s="77"/>
    </row>
    <row r="61" spans="7:34">
      <c r="G61" s="81" t="s">
        <v>509</v>
      </c>
      <c r="H61" s="82"/>
      <c r="I61" s="82">
        <v>-3</v>
      </c>
      <c r="J61" s="82"/>
      <c r="K61" s="31" t="s">
        <v>825</v>
      </c>
      <c r="L61" s="31"/>
      <c r="M61" s="78">
        <f>2*(1-NORMDIST(M60,0,1,1))</f>
        <v>0.74547648488749574</v>
      </c>
      <c r="N61" s="77"/>
    </row>
    <row r="62" spans="7:34">
      <c r="G62" s="74"/>
      <c r="H62" s="74"/>
      <c r="I62" s="74"/>
      <c r="J62" s="74"/>
      <c r="K62" s="74"/>
      <c r="L62" s="74"/>
      <c r="M62" s="74"/>
      <c r="N62" s="31"/>
      <c r="O62" s="7"/>
    </row>
  </sheetData>
  <phoneticPr fontId="10" type="noConversion"/>
  <conditionalFormatting sqref="D17 D13 F13">
    <cfRule type="cellIs" dxfId="26" priority="0" stopIfTrue="1" operator="lessThan">
      <formula>0.05</formula>
    </cfRule>
  </conditionalFormatting>
  <conditionalFormatting sqref="D21">
    <cfRule type="cellIs" dxfId="2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7.xml><?xml version="1.0" encoding="utf-8"?>
<worksheet xmlns="http://schemas.openxmlformats.org/spreadsheetml/2006/main" xmlns:r="http://schemas.openxmlformats.org/officeDocument/2006/relationships">
  <sheetPr published="0" codeName="Sheet96" enableFormatConditionsCalculation="0"/>
  <dimension ref="A1:BM56"/>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1967</v>
      </c>
      <c r="D1" s="10"/>
      <c r="F1" s="1" t="s">
        <v>733</v>
      </c>
    </row>
    <row r="2" spans="2:30">
      <c r="B2" s="91"/>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I46-O39</f>
        <v>4</v>
      </c>
      <c r="AD7" s="89"/>
    </row>
    <row r="8" spans="2:30">
      <c r="B8" t="s">
        <v>822</v>
      </c>
      <c r="D8">
        <f>SUM(H24:H27)</f>
        <v>133</v>
      </c>
      <c r="AD8" s="89"/>
    </row>
    <row r="9" spans="2:30">
      <c r="B9" t="s">
        <v>823</v>
      </c>
      <c r="D9">
        <f>SUM(I24:I27)</f>
        <v>119</v>
      </c>
      <c r="AD9" s="89"/>
    </row>
    <row r="11" spans="2:30">
      <c r="B11" s="27" t="s">
        <v>516</v>
      </c>
      <c r="C11" s="28"/>
      <c r="D11" s="109">
        <f>P41</f>
        <v>20.053533803071893</v>
      </c>
      <c r="E11" s="110" t="s">
        <v>1513</v>
      </c>
      <c r="F11" s="103"/>
    </row>
    <row r="12" spans="2:30">
      <c r="B12" s="30" t="s">
        <v>826</v>
      </c>
      <c r="C12" s="31"/>
      <c r="D12" s="112">
        <f>P43</f>
        <v>85.040043169147339</v>
      </c>
      <c r="E12" s="31"/>
      <c r="F12" s="105"/>
    </row>
    <row r="13" spans="2:30">
      <c r="B13" s="35" t="s">
        <v>825</v>
      </c>
      <c r="C13" s="36"/>
      <c r="D13" s="113">
        <f>P42</f>
        <v>1.6546091406387665E-4</v>
      </c>
      <c r="E13" s="111" t="s">
        <v>825</v>
      </c>
      <c r="F13" s="115">
        <f>Q50</f>
        <v>0.12420750686959106</v>
      </c>
    </row>
    <row r="15" spans="2:30">
      <c r="B15" s="39" t="s">
        <v>879</v>
      </c>
      <c r="C15" s="40"/>
      <c r="D15" s="41">
        <f>AH43</f>
        <v>-0.31471677517949048</v>
      </c>
      <c r="E15" s="116"/>
    </row>
    <row r="16" spans="2:30">
      <c r="B16" s="43" t="s">
        <v>1165</v>
      </c>
      <c r="C16" s="31"/>
      <c r="D16" s="33">
        <f>AH43-AH45</f>
        <v>-0.57398038469293089</v>
      </c>
      <c r="E16" s="117">
        <f>AH43+AH44</f>
        <v>-5.5453165666050075E-2</v>
      </c>
    </row>
    <row r="17" spans="1:65">
      <c r="B17" s="45" t="s">
        <v>1166</v>
      </c>
      <c r="C17" s="46"/>
      <c r="D17" s="123">
        <f>M44</f>
        <v>1.7349369884550381E-2</v>
      </c>
      <c r="E17" s="118"/>
    </row>
    <row r="18" spans="1:65">
      <c r="D18" s="48"/>
      <c r="F18" s="49"/>
    </row>
    <row r="19" spans="1:65">
      <c r="B19" s="50" t="s">
        <v>1167</v>
      </c>
      <c r="C19" s="51"/>
      <c r="D19" s="52">
        <f>AH47</f>
        <v>-0.18326564231070905</v>
      </c>
      <c r="E19" s="120"/>
      <c r="F19" s="33"/>
      <c r="G19" s="31"/>
    </row>
    <row r="20" spans="1:65">
      <c r="B20" s="53" t="s">
        <v>1165</v>
      </c>
      <c r="C20" s="31"/>
      <c r="D20" s="33">
        <f>AH47-AH49</f>
        <v>-0.86443690731037004</v>
      </c>
      <c r="E20" s="121">
        <f>AH47+AH48</f>
        <v>0.49790562268895189</v>
      </c>
      <c r="F20" s="31"/>
      <c r="G20" s="31"/>
    </row>
    <row r="21" spans="1:65">
      <c r="B21" s="54" t="s">
        <v>1440</v>
      </c>
      <c r="C21" s="55"/>
      <c r="D21" s="114">
        <f>M55</f>
        <v>0.59796585561214455</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8326077</v>
      </c>
      <c r="C24" s="1" t="str">
        <f>IF($B24="","",HYPERLINK(IF(LEN(VLOOKUP($B24,Database!$B$1:$IX$10144,2,FALSE))=0,"",VLOOKUP($B24,Database!$B$1:$IX$10144,2,FALSE))))</f>
        <v/>
      </c>
      <c r="D24" s="1" t="str">
        <f>IF($B24="","",HYPERLINK(CONCATENATE("http://www.ncbi.nlm.nih.gov/pubmed/",B24)))</f>
        <v>http://www.ncbi.nlm.nih.gov/pubmed/8326077</v>
      </c>
      <c r="E24" s="22" t="str">
        <f>IF($B24="","",IF(LEN(VLOOKUP($B24,Database!$B$1:$IX$10144,4,FALSE))=0,"",VLOOKUP($B24,Database!$B$1:$IX$10144,4,FALSE)))</f>
        <v>Wu JC</v>
      </c>
      <c r="F24" s="22">
        <f>IF($B24="","",IF(LEN(VLOOKUP($B24,Database!$B$1:$IX$10144,5,FALSE))=0,"",VLOOKUP($B24,Database!$B$1:$IX$10144,5,FALSE)))</f>
        <v>1993</v>
      </c>
      <c r="G24" s="1" t="str">
        <f>IF($B24="","",HYPERLINK(IF(LEN(VLOOKUP($B24,Database!$B$1:$IX$10144,6,FALSE))=0,"",VLOOKUP($B24,Database!$B$1:$IX$10144,6,FALSE))))</f>
        <v>http://dx.doi.org/10.1016/0165-0327(93)90073-S</v>
      </c>
      <c r="H24" s="22">
        <f>IF($B24="","",IF(LEN(VLOOKUP($B24,Database!$B$1:$IX$10144,7,FALSE))=0,"",VLOOKUP($B24,Database!$B$1:$IX$10144,7,FALSE)))</f>
        <v>20</v>
      </c>
      <c r="I24" s="22">
        <f>IF($B24="","",IF(LEN(VLOOKUP($B24,Database!$B$1:$IX$10144,8,FALSE))=0,"",VLOOKUP($B24,Database!$B$1:$IX$10144,8,FALSE)))</f>
        <v>16</v>
      </c>
      <c r="J24" t="s">
        <v>1964</v>
      </c>
      <c r="L24" s="48"/>
      <c r="M24" s="48"/>
      <c r="N24" s="48"/>
      <c r="O24" s="48"/>
      <c r="T24">
        <v>2.29</v>
      </c>
      <c r="U24">
        <v>0.63</v>
      </c>
      <c r="V24">
        <v>1.86</v>
      </c>
      <c r="W24">
        <v>0.34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32.9</v>
      </c>
      <c r="AC24" s="22">
        <f>IF(OR($B24="",AC$22=""),"",IF(LEN(VLOOKUP($B24,Database!$B$1:$IX$10144,AC$22,FALSE))=0,"",VLOOKUP($B24,Database!$B$1:$IX$10144,AC$22,FALSE)))</f>
        <v>11.5</v>
      </c>
      <c r="AD24" s="22">
        <f>IF(OR($B24="",AD$22=""),"",IF(LEN(VLOOKUP($B24,Database!$B$1:$IX$10144,AD$22,FALSE))=0,"",VLOOKUP($B24,Database!$B$1:$IX$10144,AD$22,FALSE)))</f>
        <v>30.5</v>
      </c>
      <c r="AE24" s="22">
        <f>IF(OR($B24="",AE$22=""),"",IF(LEN(VLOOKUP($B24,Database!$B$1:$IX$10144,AE$22,FALSE))=0,"",VLOOKUP($B24,Database!$B$1:$IX$10144,AE$22,FALSE)))</f>
        <v>9.8000000000000007</v>
      </c>
      <c r="AF24" s="22">
        <f>IF(OR($B24="",AF$22=""),"",IF(LEN(VLOOKUP($B24,Database!$B$1:$IX$10144,AF$22,FALSE))=0,"",VLOOKUP($B24,Database!$B$1:$IX$10144,AF$22,FALSE)))</f>
        <v>11</v>
      </c>
      <c r="AG24" s="22">
        <f>IF(OR($B24="",AG$22=""),"",IF(LEN(VLOOKUP($B24,Database!$B$1:$IX$10144,AG$22,FALSE))=0,"",VLOOKUP($B24,Database!$B$1:$IX$10144,AG$22,FALSE)))</f>
        <v>6</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22.3</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Wu JC, Buchsbaum MS, Johnson JC, Hershey TG, Wagner EA, Teng C, Lottenberg S.</v>
      </c>
      <c r="AR24" s="13"/>
      <c r="AX24" s="13"/>
      <c r="AY24" s="13"/>
      <c r="AZ24" s="13"/>
      <c r="BA24" s="13"/>
      <c r="BC24" s="23"/>
      <c r="BF24" s="136"/>
      <c r="BG24" s="136"/>
      <c r="BH24" s="136"/>
      <c r="BI24" s="136"/>
    </row>
    <row r="25" spans="1:65">
      <c r="B25">
        <v>15804385</v>
      </c>
      <c r="C25" s="1" t="str">
        <f>IF($B25="","",HYPERLINK(IF(LEN(VLOOKUP($B25,Database!$B$1:$IX$10144,2,FALSE))=0,"",VLOOKUP($B25,Database!$B$1:$IX$10144,2,FALSE))))</f>
        <v/>
      </c>
      <c r="D25" s="1" t="str">
        <f>IF($B25="","",HYPERLINK(CONCATENATE("http://www.ncbi.nlm.nih.gov/pubmed/",B25)))</f>
        <v>http://www.ncbi.nlm.nih.gov/pubmed/15804385</v>
      </c>
      <c r="E25" s="22" t="str">
        <f>IF($B25="","",IF(LEN(VLOOKUP($B25,Database!$B$1:$IX$10144,4,FALSE))=0,"",VLOOKUP($B25,Database!$B$1:$IX$10144,4,FALSE)))</f>
        <v>Lacerda AL</v>
      </c>
      <c r="F25" s="22">
        <f>IF($B25="","",IF(LEN(VLOOKUP($B25,Database!$B$1:$IX$10144,5,FALSE))=0,"",VLOOKUP($B25,Database!$B$1:$IX$10144,5,FALSE)))</f>
        <v>2005</v>
      </c>
      <c r="G25" s="1" t="str">
        <f>IF($B25="","",HYPERLINK(IF(LEN(VLOOKUP($B25,Database!$B$1:$IX$10144,6,FALSE))=0,"",VLOOKUP($B25,Database!$B$1:$IX$10144,6,FALSE))))</f>
        <v>http://dx.doi.org/10.1016/j.jpsychires.2004.10.004</v>
      </c>
      <c r="H25" s="22">
        <f>IF($B25="","",IF(LEN(VLOOKUP($B25,Database!$B$1:$IX$10144,7,FALSE))=0,"",VLOOKUP($B25,Database!$B$1:$IX$10144,7,FALSE)))</f>
        <v>22</v>
      </c>
      <c r="I25" s="22">
        <f>IF($B25="","",IF(LEN(VLOOKUP($B25,Database!$B$1:$IX$10144,8,FALSE))=0,"",VLOOKUP($B25,Database!$B$1:$IX$10144,8,FALSE)))</f>
        <v>39</v>
      </c>
      <c r="J25" t="s">
        <v>1965</v>
      </c>
      <c r="T25">
        <v>1.1399999999999999</v>
      </c>
      <c r="U25">
        <v>0.22</v>
      </c>
      <c r="V25">
        <v>1.1399999999999999</v>
      </c>
      <c r="W25">
        <v>0.26</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41.4</v>
      </c>
      <c r="AC25" s="22">
        <f>IF(OR($B25="",AC$22=""),"",IF(LEN(VLOOKUP($B25,Database!$B$1:$IX$10144,AC$22,FALSE))=0,"",VLOOKUP($B25,Database!$B$1:$IX$10144,AC$22,FALSE)))</f>
        <v>11.1</v>
      </c>
      <c r="AD25" s="22">
        <f>IF(OR($B25="",AD$22=""),"",IF(LEN(VLOOKUP($B25,Database!$B$1:$IX$10144,AD$22,FALSE))=0,"",VLOOKUP($B25,Database!$B$1:$IX$10144,AD$22,FALSE)))</f>
        <v>35.799999999999997</v>
      </c>
      <c r="AE25" s="22">
        <f>IF(OR($B25="",AE$22=""),"",IF(LEN(VLOOKUP($B25,Database!$B$1:$IX$10144,AE$22,FALSE))=0,"",VLOOKUP($B25,Database!$B$1:$IX$10144,AE$22,FALSE)))</f>
        <v>10.5</v>
      </c>
      <c r="AF25" s="22">
        <f>IF(OR($B25="",AF$22=""),"",IF(LEN(VLOOKUP($B25,Database!$B$1:$IX$10144,AF$22,FALSE))=0,"",VLOOKUP($B25,Database!$B$1:$IX$10144,AF$22,FALSE)))</f>
        <v>19</v>
      </c>
      <c r="AG25" s="22">
        <f>IF(OR($B25="",AG$22=""),"",IF(LEN(VLOOKUP($B25,Database!$B$1:$IX$10144,AG$22,FALSE))=0,"",VLOOKUP($B25,Database!$B$1:$IX$10144,AG$22,FALSE)))</f>
        <v>15</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Lacerda AL, Brambilla P, Sassi RB, Nicoletti MA, Mallinger AG, Frank E, Kupfer DJ, Keshavan MS, Soares JC.</v>
      </c>
      <c r="AR25" s="13"/>
      <c r="AX25" s="13"/>
      <c r="AY25" s="13"/>
      <c r="AZ25" s="13"/>
      <c r="BA25" s="13"/>
      <c r="BC25" s="23"/>
      <c r="BF25" s="136"/>
      <c r="BG25" s="136"/>
      <c r="BH25" s="136"/>
      <c r="BI25" s="136"/>
    </row>
    <row r="26" spans="1:65">
      <c r="B26">
        <v>17712348</v>
      </c>
      <c r="C26" s="1" t="str">
        <f>IF($B26="","",HYPERLINK(IF(LEN(VLOOKUP($B26,Database!$B$1:$IX$10144,2,FALSE))=0,"",VLOOKUP($B26,Database!$B$1:$IX$10144,2,FALSE))))</f>
        <v/>
      </c>
      <c r="D26" s="1" t="str">
        <f>IF($B26="","",HYPERLINK(CONCATENATE("http://www.ncbi.nlm.nih.gov/pubmed/",B26)))</f>
        <v>http://www.ncbi.nlm.nih.gov/pubmed/17712348</v>
      </c>
      <c r="E26" s="22" t="str">
        <f>IF($B26="","",IF(LEN(VLOOKUP($B26,Database!$B$1:$IX$10144,4,FALSE))=0,"",VLOOKUP($B26,Database!$B$1:$IX$10144,4,FALSE)))</f>
        <v>Ballmaier M (B)</v>
      </c>
      <c r="F26" s="22">
        <f>IF($B26="","",IF(LEN(VLOOKUP($B26,Database!$B$1:$IX$10144,5,FALSE))=0,"",VLOOKUP($B26,Database!$B$1:$IX$10144,5,FALSE)))</f>
        <v>2008</v>
      </c>
      <c r="G26" s="1" t="str">
        <f>IF($B26="","",HYPERLINK(IF(LEN(VLOOKUP($B26,Database!$B$1:$IX$10144,6,FALSE))=0,"",VLOOKUP($B26,Database!$B$1:$IX$10144,6,FALSE))))</f>
        <v>http://www.nature.com/npp/journal/v33/n7/pdf/1301538a.pdf</v>
      </c>
      <c r="H26" s="22">
        <f>IF($B26="","",IF(LEN(VLOOKUP($B26,Database!$B$1:$IX$10144,7,FALSE))=0,"",VLOOKUP($B26,Database!$B$1:$IX$10144,7,FALSE)))</f>
        <v>46</v>
      </c>
      <c r="I26" s="22">
        <f>IF($B26="","",IF(LEN(VLOOKUP($B26,Database!$B$1:$IX$10144,8,FALSE))=0,"",VLOOKUP($B26,Database!$B$1:$IX$10144,8,FALSE)))</f>
        <v>34</v>
      </c>
      <c r="J26" t="s">
        <v>1966</v>
      </c>
      <c r="T26">
        <v>258.89</v>
      </c>
      <c r="U26">
        <v>52.4</v>
      </c>
      <c r="V26">
        <v>312.89499999999998</v>
      </c>
      <c r="W26">
        <v>54.05</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c r="AC26" s="22"/>
      <c r="AD26" s="22">
        <f>IF(OR($B26="",AD$22=""),"",IF(LEN(VLOOKUP($B26,Database!$B$1:$IX$10144,AD$22,FALSE))=0,"",VLOOKUP($B26,Database!$B$1:$IX$10144,AD$22,FALSE)))</f>
        <v>72.38</v>
      </c>
      <c r="AE26" s="22">
        <f>IF(OR($B26="",AE$22=""),"",IF(LEN(VLOOKUP($B26,Database!$B$1:$IX$10144,AE$22,FALSE))=0,"",VLOOKUP($B26,Database!$B$1:$IX$10144,AE$22,FALSE)))</f>
        <v>6.93</v>
      </c>
      <c r="AF26" s="22">
        <f>IF(OR($B26="",AF$22=""),"",IF(LEN(VLOOKUP($B26,Database!$B$1:$IX$10144,AF$22,FALSE))=0,"",VLOOKUP($B26,Database!$B$1:$IX$10144,AF$22,FALSE)))</f>
        <v>34</v>
      </c>
      <c r="AG26" s="22">
        <f>IF(OR($B26="",AG$22=""),"",IF(LEN(VLOOKUP($B26,Database!$B$1:$IX$10144,AG$22,FALSE))=0,"",VLOOKUP($B26,Database!$B$1:$IX$10144,AG$22,FALSE)))</f>
        <v>19</v>
      </c>
      <c r="AH26" s="22">
        <f>IF(OR($B26="",AH$22=""),"",IF(LEN(VLOOKUP($B26,Database!$B$1:$IX$10144,AH$22,FALSE))=0,"",VLOOKUP($B26,Database!$B$1:$IX$10144,AH$22,FALSE)))</f>
        <v>1.5</v>
      </c>
      <c r="AI26" s="22">
        <f>IF(OR($B26="",AI$22=""),"",IF(LEN(VLOOKUP($B26,Database!$B$1:$IX$10144,AI$22,FALSE))=0,"",VLOOKUP($B26,Database!$B$1:$IX$10144,AI$22,FALSE)))</f>
        <v>1.4</v>
      </c>
      <c r="AJ26" s="22" t="str">
        <f>IF(OR($B26="",AJ$22=""),"",IF(LEN(VLOOKUP($B26,Database!$B$1:$IX$10144,AJ$22,FALSE))=0,"",VLOOKUP($B26,Database!$B$1:$IX$10144,AJ$22,FALSE)))</f>
        <v/>
      </c>
      <c r="AK26" s="22">
        <f>IF(OR($B26="",AK$22=""),"",IF(LEN(VLOOKUP($B26,Database!$B$1:$IX$10144,AK$22,FALSE))=0,"",VLOOKUP($B26,Database!$B$1:$IX$10144,AK$22,FALSE)))</f>
        <v>51.43</v>
      </c>
      <c r="AL26" s="22">
        <f>IF(OR($B26="",AL$22=""),"",IF(LEN(VLOOKUP($B26,Database!$B$1:$IX$10144,AL$22,FALSE))=0,"",VLOOKUP($B26,Database!$B$1:$IX$10144,AL$22,FALSE)))</f>
        <v>17.73</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Ballmaier M, Kumar A, Elderkin-Thompson V, Narr KL, Luders E, Thompson PM, Hojatkashani C, Pham D, Heinz A, Toga AW.</v>
      </c>
      <c r="AR26" s="13"/>
      <c r="AX26" s="13"/>
      <c r="AY26" s="13"/>
      <c r="AZ26" s="13"/>
      <c r="BA26" s="13"/>
      <c r="BC26" s="23"/>
      <c r="BF26" s="136"/>
      <c r="BG26" s="136"/>
      <c r="BH26" s="136"/>
      <c r="BI26" s="136"/>
    </row>
    <row r="27" spans="1:65">
      <c r="B27" s="2">
        <v>19486330</v>
      </c>
      <c r="C27" s="1" t="str">
        <f>IF($B27="","",HYPERLINK(IF(LEN(VLOOKUP($B27,Database!$B$1:$IX$10144,2,FALSE))=0,"",VLOOKUP($B27,Database!$B$1:$IX$10144,2,FALSE))))</f>
        <v/>
      </c>
      <c r="D27" s="1" t="str">
        <f>IF($B27="","",HYPERLINK(CONCATENATE("http://www.ncbi.nlm.nih.gov/pubmed/",B27)))</f>
        <v>http://www.ncbi.nlm.nih.gov/pubmed/19486330</v>
      </c>
      <c r="E27" s="22" t="str">
        <f>IF($B27="","",IF(LEN(VLOOKUP($B27,Database!$B$1:$IX$10144,4,FALSE))=0,"",VLOOKUP($B27,Database!$B$1:$IX$10144,4,FALSE)))</f>
        <v>Sun J</v>
      </c>
      <c r="F27" s="22">
        <f>IF($B27="","",IF(LEN(VLOOKUP($B27,Database!$B$1:$IX$10144,5,FALSE))=0,"",VLOOKUP($B27,Database!$B$1:$IX$10144,5,FALSE)))</f>
        <v>2009</v>
      </c>
      <c r="G27" s="1" t="str">
        <f>IF($B27="","",HYPERLINK(IF(LEN(VLOOKUP($B27,Database!$B$1:$IX$10144,6,FALSE))=0,"",VLOOKUP($B27,Database!$B$1:$IX$10144,6,FALSE))))</f>
        <v>http://dx.doi.org/10.1111/j.1600-0447.2009.01389.x</v>
      </c>
      <c r="H27" s="22">
        <f>IF($B27="","",IF(LEN(VLOOKUP($B27,Database!$B$1:$IX$10144,7,FALSE))=0,"",VLOOKUP($B27,Database!$B$1:$IX$10144,7,FALSE)))</f>
        <v>45</v>
      </c>
      <c r="I27" s="22">
        <f>IF($B27="","",IF(LEN(VLOOKUP($B27,Database!$B$1:$IX$10144,8,FALSE))=0,"",VLOOKUP($B27,Database!$B$1:$IX$10144,8,FALSE)))</f>
        <v>30</v>
      </c>
      <c r="J27" t="s">
        <v>105</v>
      </c>
      <c r="K27" t="s">
        <v>322</v>
      </c>
      <c r="T27">
        <v>0.13</v>
      </c>
      <c r="U27">
        <v>0.02</v>
      </c>
      <c r="V27">
        <v>0.14000000000000001</v>
      </c>
      <c r="W27">
        <v>0.03</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c r="AC27" s="22"/>
      <c r="AD27" s="22">
        <f>IF(OR($B27="",AD$22=""),"",IF(LEN(VLOOKUP($B27,Database!$B$1:$IX$10144,AD$22,FALSE))=0,"",VLOOKUP($B27,Database!$B$1:$IX$10144,AD$22,FALSE)))</f>
        <v>34.6</v>
      </c>
      <c r="AE27" s="22">
        <f>IF(OR($B27="",AE$22=""),"",IF(LEN(VLOOKUP($B27,Database!$B$1:$IX$10144,AE$22,FALSE))=0,"",VLOOKUP($B27,Database!$B$1:$IX$10144,AE$22,FALSE)))</f>
        <v>11.85</v>
      </c>
      <c r="AF27" s="22">
        <f>IF(OR($B27="",AF$22=""),"",IF(LEN(VLOOKUP($B27,Database!$B$1:$IX$10144,AF$22,FALSE))=0,"",VLOOKUP($B27,Database!$B$1:$IX$10144,AF$22,FALSE)))</f>
        <v>23</v>
      </c>
      <c r="AG27" s="22">
        <f>IF(OR($B27="",AG$22=""),"",IF(LEN(VLOOKUP($B27,Database!$B$1:$IX$10144,AG$22,FALSE))=0,"",VLOOKUP($B27,Database!$B$1:$IX$10144,AG$22,FALSE)))</f>
        <v>18</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f>IF(OR($B27="",AK$22=""),"",IF(LEN(VLOOKUP($B27,Database!$B$1:$IX$10144,AK$22,FALSE))=0,"",VLOOKUP($B27,Database!$B$1:$IX$10144,AK$22,FALSE)))</f>
        <v>26.16</v>
      </c>
      <c r="AL27" s="22" t="str">
        <f>IF(OR($B27="",AL$22=""),"",IF(LEN(VLOOKUP($B27,Database!$B$1:$IX$10144,AL$22,FALSE))=0,"",VLOOKUP($B27,Database!$B$1:$IX$10144,AL$22,FALSE)))</f>
        <v>ns</v>
      </c>
      <c r="AM27" s="22">
        <f>IF(OR($B27="",AM$22=""),"",IF(LEN(VLOOKUP($B27,Database!$B$1:$IX$10144,AM$22,FALSE))=0,"",VLOOKUP($B27,Database!$B$1:$IX$10144,AM$22,FALSE)))</f>
        <v>82.222222222222214</v>
      </c>
      <c r="AN27" s="22" t="str">
        <f>IF(OR($B27="",AN$22=""),"",IF(LEN(VLOOKUP($B27,Database!$B$1:$IX$10144,AN$22,FALSE))=0,"",VLOOKUP($B27,Database!$B$1:$IX$10144,AN$22,FALSE)))</f>
        <v>ns</v>
      </c>
      <c r="AO27" s="22" t="str">
        <f>IF(OR($B27="",AO$22=""),"",IF(LEN(VLOOKUP($B27,Database!$B$1:$IX$10144,AO$22,FALSE))=0,"",VLOOKUP($B27,Database!$B$1:$IX$10144,AO$22,FALSE)))</f>
        <v>ns</v>
      </c>
      <c r="AP27" s="22">
        <f>IF(OR($B27="",AP$22=""),"",IF(LEN(VLOOKUP($B27,Database!$B$1:$IX$10144,AP$22,FALSE))=0,"",VLOOKUP($B27,Database!$B$1:$IX$10144,AP$22,FALSE)))</f>
        <v>17.777777777777779</v>
      </c>
      <c r="AQ27" s="22" t="str">
        <f>IF(OR($B27="",AQ$22=""),"",IF(LEN(VLOOKUP($B27,Database!$B$1:$IX$10144,AQ$22,FALSE))=0,"",VLOOKUP($B27,Database!$B$1:$IX$10144,AQ$22,FALSE)))</f>
        <v>Sun J, Maller JJ, Daskalakis ZJ, Furtado CC, Fitzgerald PB.</v>
      </c>
      <c r="AR27" s="13"/>
      <c r="AX27" s="13"/>
      <c r="AY27" s="13"/>
      <c r="AZ27" s="13"/>
      <c r="BA27" s="13"/>
      <c r="BC27" s="23"/>
      <c r="BF27" s="136"/>
      <c r="BG27" s="136"/>
      <c r="BH27" s="136"/>
      <c r="BI27" s="136"/>
    </row>
    <row r="28" spans="1:65">
      <c r="C28" s="1" t="str">
        <f>IF($B28="","",HYPERLINK(IF(LEN(VLOOKUP($B28,Database!$B$1:$IX$10144,2,FALSE))=0,"",VLOOKUP($B28,Database!$B$1:$IX$10144,2,FALSE))))</f>
        <v/>
      </c>
      <c r="D28" s="1" t="str">
        <f>IF($B28="","",HYPERLINK(CONCATENATE("http://www.ncbi.nlm.nih.gov/pubmed/",B28)))</f>
        <v/>
      </c>
      <c r="E28" s="22" t="str">
        <f>IF($B28="","",IF(LEN(VLOOKUP($B28,Database!$B$1:$IX$10144,4,FALSE))=0,"",VLOOKUP($B28,Database!$B$1:$IX$10144,4,FALSE)))</f>
        <v/>
      </c>
      <c r="F28" s="22" t="str">
        <f>IF($B28="","",IF(LEN(VLOOKUP($B28,Database!$B$1:$IX$10144,5,FALSE))=0,"",VLOOKUP($B28,Database!$B$1:$IX$10144,5,FALSE)))</f>
        <v/>
      </c>
      <c r="G28" s="1" t="str">
        <f>IF($B28="","",HYPERLINK(IF(LEN(VLOOKUP($B28,Database!$B$1:$IX$10144,6,FALSE))=0,"",VLOOKUP($B28,Database!$B$1:$IX$10144,6,FALSE))))</f>
        <v/>
      </c>
      <c r="H28" s="22" t="str">
        <f>IF($B28="","",IF(LEN(VLOOKUP($B28,Database!$B$1:$IX$10144,7,FALSE))=0,"",VLOOKUP($B28,Database!$B$1:$IX$10144,7,FALSE)))</f>
        <v/>
      </c>
      <c r="I28" s="22" t="str">
        <f>IF($B28="","",IF(LEN(VLOOKUP($B28,Database!$B$1:$IX$10144,8,FALSE))=0,"",VLOOKUP($B28,Database!$B$1:$IX$10144,8,FALSE)))</f>
        <v/>
      </c>
      <c r="Y28" s="22" t="str">
        <f>IF(OR($B28="",Y$22=""),"",IF(LEN(VLOOKUP($B28,Database!$B$1:$IX$10144,Y$22,FALSE))=0,"",VLOOKUP($B28,Database!$B$1:$IX$10144,Y$22,FALSE)))</f>
        <v/>
      </c>
      <c r="Z28" s="22" t="str">
        <f>IF(OR($B28="",Z$22=""),"",IF(LEN(VLOOKUP($B28,Database!$B$1:$IX$10144,Z$22,FALSE))=0,"",VLOOKUP($B28,Database!$B$1:$IX$10144,Z$22,FALSE)))</f>
        <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t="str">
        <f>IF(OR($B28="",AF$22=""),"",IF(LEN(VLOOKUP($B28,Database!$B$1:$IX$10144,AF$22,FALSE))=0,"",VLOOKUP($B28,Database!$B$1:$IX$10144,AF$22,FALSE)))</f>
        <v/>
      </c>
      <c r="AG28" s="22" t="str">
        <f>IF(OR($B28="",AG$22=""),"",IF(LEN(VLOOKUP($B28,Database!$B$1:$IX$10144,AG$22,FALSE))=0,"",VLOOKUP($B28,Database!$B$1:$IX$10144,AG$22,FALSE)))</f>
        <v/>
      </c>
      <c r="AH28" s="22" t="str">
        <f>IF(OR($B28="",AH$22=""),"",IF(LEN(VLOOKUP($B28,Database!$B$1:$IX$10144,AH$22,FALSE))=0,"",VLOOKUP($B28,Database!$B$1:$IX$10144,AH$22,FALSE)))</f>
        <v/>
      </c>
      <c r="AI28" s="22" t="str">
        <f>IF(OR($B28="",AI$22=""),"",IF(LEN(VLOOKUP($B28,Database!$B$1:$IX$10144,AI$22,FALSE))=0,"",VLOOKUP($B28,Database!$B$1:$IX$10144,AI$22,FALSE)))</f>
        <v/>
      </c>
      <c r="AJ28" s="22" t="str">
        <f>IF(OR($B28="",AJ$22=""),"",IF(LEN(VLOOKUP($B28,Database!$B$1:$IX$10144,AJ$22,FALSE))=0,"",VLOOKUP($B28,Database!$B$1:$IX$10144,AJ$22,FALSE)))</f>
        <v/>
      </c>
      <c r="AK28" s="22" t="str">
        <f>IF(OR($B28="",AK$22=""),"",IF(LEN(VLOOKUP($B28,Database!$B$1:$IX$10144,AK$22,FALSE))=0,"",VLOOKUP($B28,Database!$B$1:$IX$10144,AK$22,FALSE)))</f>
        <v/>
      </c>
      <c r="AL28" s="22" t="str">
        <f>IF(OR($B28="",AL$22=""),"",IF(LEN(VLOOKUP($B28,Database!$B$1:$IX$10144,AL$22,FALSE))=0,"",VLOOKUP($B28,Database!$B$1:$IX$10144,AL$22,FALSE)))</f>
        <v/>
      </c>
      <c r="AM28" s="22" t="str">
        <f>IF(OR($B28="",AM$22=""),"",IF(LEN(VLOOKUP($B28,Database!$B$1:$IX$10144,AM$22,FALSE))=0,"",VLOOKUP($B28,Database!$B$1:$IX$10144,AM$22,FALSE)))</f>
        <v/>
      </c>
      <c r="AN28" s="22" t="str">
        <f>IF(OR($B28="",AN$22=""),"",IF(LEN(VLOOKUP($B28,Database!$B$1:$IX$10144,AN$22,FALSE))=0,"",VLOOKUP($B28,Database!$B$1:$IX$10144,AN$22,FALSE)))</f>
        <v/>
      </c>
      <c r="AO28" s="22" t="str">
        <f>IF(OR($B28="",AO$22=""),"",IF(LEN(VLOOKUP($B28,Database!$B$1:$IX$10144,AO$22,FALSE))=0,"",VLOOKUP($B28,Database!$B$1:$IX$10144,AO$22,FALSE)))</f>
        <v/>
      </c>
      <c r="AP28" s="22" t="str">
        <f>IF(OR($B28="",AP$22=""),"",IF(LEN(VLOOKUP($B28,Database!$B$1:$IX$10144,AP$22,FALSE))=0,"",VLOOKUP($B28,Database!$B$1:$IX$10144,AP$22,FALSE)))</f>
        <v/>
      </c>
      <c r="AQ28" s="22" t="str">
        <f>IF(OR($B28="",AQ$22=""),"",IF(LEN(VLOOKUP($B28,Database!$B$1:$IX$10144,AQ$22,FALSE))=0,"",VLOOKUP($B28,Database!$B$1:$IX$10144,AQ$22,FALSE)))</f>
        <v/>
      </c>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C30" s="1" t="str">
        <f>IF($B30="","",HYPERLINK(IF(LEN(VLOOKUP($B30,Database!$B$1:$IX$10144,2,FALSE))=0,"",VLOOKUP($B30,Database!$B$1:$IX$10144,2,FALSE))))</f>
        <v/>
      </c>
      <c r="D30" s="1" t="str">
        <f>IF($B30="","",HYPERLINK(CONCATENATE("http://www.ncbi.nlm.nih.gov/pubmed/",B30)))</f>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K30" s="10"/>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6" si="0">E24</f>
        <v>Wu JC</v>
      </c>
      <c r="F33">
        <f t="shared" si="0"/>
        <v>1993</v>
      </c>
      <c r="G33">
        <v>4</v>
      </c>
      <c r="H33">
        <f t="shared" ref="H33:I36" si="1">H24</f>
        <v>20</v>
      </c>
      <c r="I33">
        <f t="shared" si="1"/>
        <v>16</v>
      </c>
      <c r="J33">
        <f t="shared" ref="J33:M34" si="2">IF($D$4="Total",T24,IF($D$4="Left",L24,IF($D$4="Right",P24,"error")))</f>
        <v>2.29</v>
      </c>
      <c r="K33">
        <f t="shared" si="2"/>
        <v>0.63</v>
      </c>
      <c r="L33">
        <f t="shared" si="2"/>
        <v>1.86</v>
      </c>
      <c r="M33">
        <f t="shared" si="2"/>
        <v>0.34</v>
      </c>
      <c r="N33">
        <f>IF($D$3=1,SQRT((((I33-1)*(M33)^2)+((H33-1)*(K33)^2))/(H33+I33-2)),M33)</f>
        <v>0.52229977869373967</v>
      </c>
      <c r="O33" s="59">
        <f>IF($D$6=1,LN(J33/L33),IF($D$5=1,(1-3/(4*(H33+I33)-9))*((J33-L33)/N33),(J33-L33)/N33))</f>
        <v>0.80498683245849112</v>
      </c>
      <c r="P33" s="63">
        <f>IF($D$6=1,(K33^2)/(H33*J33^2)+(M33^2)/(I33*L33^2),(IF($D$5=1,((H33+I33)/(H33*I33))+(O33*O33)/(2*(H33+I33-3.94)),((H33+I33)/(H33*I33))+((O33^2)/(2*(H33+I33-2))))))</f>
        <v>0.12260611042469674</v>
      </c>
      <c r="Q33" s="59">
        <f>$R$53*SQRT(P33)</f>
        <v>0.68629704487744592</v>
      </c>
      <c r="R33" s="59">
        <f>1/P33</f>
        <v>8.1562003438171899</v>
      </c>
      <c r="S33" s="59">
        <f>O33*R33</f>
        <v>6.5656338796662563</v>
      </c>
      <c r="T33" s="59">
        <f>R33*(O33^2)</f>
        <v>5.2852488198746927</v>
      </c>
      <c r="U33" s="23">
        <f>R33^2</f>
        <v>66.523604048483648</v>
      </c>
      <c r="V33" s="59">
        <f>1/((1/R33)+$I$50)</f>
        <v>1.8864717601351249</v>
      </c>
      <c r="W33" s="59">
        <f>V33*O33</f>
        <v>1.5185849267135687</v>
      </c>
      <c r="AF33" s="59">
        <f>IF($D$6=1,100*((EXP(O33))-1),O33)</f>
        <v>0.80498683245849112</v>
      </c>
      <c r="AG33" s="59">
        <f>IF($D$6=1,100*(EXP(O33+Q33)-EXP(O33)),Q33)</f>
        <v>0.68629704487744592</v>
      </c>
      <c r="AH33" s="59">
        <f>IF($D$6=1,100*(EXP(O33)-EXP(O33-Q33)),Q33)</f>
        <v>0.68629704487744592</v>
      </c>
      <c r="AJ33">
        <f>SQRT(P33)</f>
        <v>0.35015155350890098</v>
      </c>
      <c r="AK33">
        <f>1/AJ33</f>
        <v>2.8559062211174213</v>
      </c>
      <c r="AL33">
        <f>O33/AJ33</f>
        <v>2.2989669027358124</v>
      </c>
      <c r="AN33" t="str">
        <f t="shared" ref="AN33:AO36" si="3">E33</f>
        <v>Wu JC</v>
      </c>
      <c r="AO33">
        <f t="shared" si="3"/>
        <v>1993</v>
      </c>
      <c r="AP33" t="str">
        <f>CONCATENATE(AN33," ",AO33)</f>
        <v>Wu JC 1993</v>
      </c>
      <c r="AQ33">
        <f>INT(H33)</f>
        <v>20</v>
      </c>
      <c r="AR33">
        <f t="shared" ref="AR33:AS36" si="4">J33</f>
        <v>2.29</v>
      </c>
      <c r="AS33">
        <f t="shared" si="4"/>
        <v>0.63</v>
      </c>
      <c r="AT33">
        <f>INT(I33)</f>
        <v>16</v>
      </c>
      <c r="AU33">
        <f t="shared" ref="AU33:AV36" si="5">L33</f>
        <v>1.86</v>
      </c>
      <c r="AV33">
        <f t="shared" si="5"/>
        <v>0.34</v>
      </c>
      <c r="AW33" s="65">
        <f>O33</f>
        <v>0.80498683245849112</v>
      </c>
      <c r="AX33">
        <f>SQRT(P33)</f>
        <v>0.35015155350890098</v>
      </c>
      <c r="AY33" t="str">
        <f>$F$3</f>
        <v>Pooled SD</v>
      </c>
    </row>
    <row r="34" spans="5:51">
      <c r="E34" t="str">
        <f t="shared" si="0"/>
        <v>Lacerda AL</v>
      </c>
      <c r="F34">
        <f t="shared" si="0"/>
        <v>2005</v>
      </c>
      <c r="G34">
        <v>3</v>
      </c>
      <c r="H34">
        <f t="shared" si="1"/>
        <v>22</v>
      </c>
      <c r="I34">
        <f t="shared" si="1"/>
        <v>39</v>
      </c>
      <c r="J34">
        <f t="shared" si="2"/>
        <v>1.1399999999999999</v>
      </c>
      <c r="K34">
        <f t="shared" si="2"/>
        <v>0.22</v>
      </c>
      <c r="L34">
        <f t="shared" si="2"/>
        <v>1.1399999999999999</v>
      </c>
      <c r="M34">
        <f t="shared" si="2"/>
        <v>0.26</v>
      </c>
      <c r="N34">
        <f>IF($D$3=1,SQRT((((I34-1)*(M34)^2)+((H34-1)*(K34)^2))/(H34+I34-2)),M34)</f>
        <v>0.24650781264478264</v>
      </c>
      <c r="O34" s="59">
        <f>IF($D$6=1,LN(J34/L34),IF($D$5=1,(1-3/(4*(H34+I34)-9))*((J34-L34)/N34),(J34-L34)/N34))</f>
        <v>0</v>
      </c>
      <c r="P34" s="63">
        <f>IF($D$6=1,(K34^2)/(H34*J34^2)+(M34^2)/(I34*L34^2),(IF($D$5=1,((H34+I34)/(H34*I34))+(O34*O34)/(2*(H34+I34-3.94)),((H34+I34)/(H34*I34))+((O34^2)/(2*(H34+I34-2))))))</f>
        <v>7.1095571095571089E-2</v>
      </c>
      <c r="Q34" s="59">
        <f>$R$53*SQRT(P34)</f>
        <v>0.52260955398915732</v>
      </c>
      <c r="R34" s="59">
        <f>1/P34</f>
        <v>14.065573770491804</v>
      </c>
      <c r="S34" s="59">
        <f>O34*R34</f>
        <v>0</v>
      </c>
      <c r="T34" s="59">
        <f>R34*(O34^2)</f>
        <v>0</v>
      </c>
      <c r="U34" s="23">
        <f>R34^2</f>
        <v>197.84036549314703</v>
      </c>
      <c r="V34" s="59">
        <f>1/((1/R34)+$I$50)</f>
        <v>2.089516742009367</v>
      </c>
      <c r="W34" s="59">
        <f>V34*O34</f>
        <v>0</v>
      </c>
      <c r="AF34" s="59">
        <f>IF($D$6=1,100*((EXP(O34))-1),O34)</f>
        <v>0</v>
      </c>
      <c r="AG34" s="59">
        <f>IF($D$6=1,100*(EXP(O34+Q34)-EXP(O34)),Q34)</f>
        <v>0.52260955398915732</v>
      </c>
      <c r="AH34" s="59">
        <f>IF($D$6=1,100*(EXP(O34)-EXP(O34-Q34)),Q34)</f>
        <v>0.52260955398915732</v>
      </c>
      <c r="AJ34">
        <f>SQRT(P34)</f>
        <v>0.26663752754548842</v>
      </c>
      <c r="AK34">
        <f>1/AJ34</f>
        <v>3.7504098136726078</v>
      </c>
      <c r="AL34">
        <f>O34/AJ34</f>
        <v>0</v>
      </c>
      <c r="AN34" t="str">
        <f t="shared" si="3"/>
        <v>Lacerda AL</v>
      </c>
      <c r="AO34">
        <f t="shared" si="3"/>
        <v>2005</v>
      </c>
      <c r="AP34" t="str">
        <f>CONCATENATE(AN34," ",AO34)</f>
        <v>Lacerda AL 2005</v>
      </c>
      <c r="AQ34">
        <f>INT(H34)</f>
        <v>22</v>
      </c>
      <c r="AR34">
        <f t="shared" si="4"/>
        <v>1.1399999999999999</v>
      </c>
      <c r="AS34">
        <f t="shared" si="4"/>
        <v>0.22</v>
      </c>
      <c r="AT34">
        <f>INT(I34)</f>
        <v>39</v>
      </c>
      <c r="AU34">
        <f t="shared" si="5"/>
        <v>1.1399999999999999</v>
      </c>
      <c r="AV34">
        <f t="shared" si="5"/>
        <v>0.26</v>
      </c>
      <c r="AW34" s="65">
        <f>O34</f>
        <v>0</v>
      </c>
      <c r="AX34">
        <f>SQRT(P34)</f>
        <v>0.26663752754548842</v>
      </c>
      <c r="AY34" t="str">
        <f>$F$4</f>
        <v>Total</v>
      </c>
    </row>
    <row r="35" spans="5:51">
      <c r="E35" t="str">
        <f t="shared" si="0"/>
        <v>Ballmaier M (B)</v>
      </c>
      <c r="F35">
        <f t="shared" si="0"/>
        <v>2008</v>
      </c>
      <c r="G35">
        <v>2</v>
      </c>
      <c r="H35">
        <f t="shared" si="1"/>
        <v>46</v>
      </c>
      <c r="I35">
        <f t="shared" si="1"/>
        <v>34</v>
      </c>
      <c r="J35">
        <f t="shared" ref="J35:M36" si="6">IF($D$4="Total",T26,IF($D$4="Left",L26,IF($D$4="Right",P26,"error")))</f>
        <v>258.89</v>
      </c>
      <c r="K35">
        <f t="shared" si="6"/>
        <v>52.4</v>
      </c>
      <c r="L35">
        <f t="shared" si="6"/>
        <v>312.89499999999998</v>
      </c>
      <c r="M35">
        <f t="shared" si="6"/>
        <v>54.05</v>
      </c>
      <c r="N35">
        <f>IF($D$3=1,SQRT((((I35-1)*(M35)^2)+((H35-1)*(K35)^2))/(H35+I35-2)),M35)</f>
        <v>53.104333989435723</v>
      </c>
      <c r="O35" s="59">
        <f>IF($D$6=1,LN(J35/L35),IF($D$5=1,(1-3/(4*(H35+I35)-9))*((J35-L35)/N35),(J35-L35)/N35))</f>
        <v>-1.0071504042887562</v>
      </c>
      <c r="P35" s="63">
        <f>IF($D$6=1,(K35^2)/(H35*J35^2)+(M35^2)/(I35*L35^2),(IF($D$5=1,((H35+I35)/(H35*I35))+(O35*O35)/(2*(H35+I35-3.94)),((H35+I35)/(H35*I35))+((O35^2)/(2*(H35+I35-2))))))</f>
        <v>5.7818998853911119E-2</v>
      </c>
      <c r="Q35" s="59">
        <f>$R$53*SQRT(P35)</f>
        <v>0.47129339693781513</v>
      </c>
      <c r="R35" s="59">
        <f>1/P35</f>
        <v>17.295353081547795</v>
      </c>
      <c r="S35" s="59">
        <f>O35*R35</f>
        <v>-17.419021848397648</v>
      </c>
      <c r="T35" s="59">
        <f>R35*(O35^2)</f>
        <v>17.543574896928366</v>
      </c>
      <c r="U35" s="23">
        <f>R35^2</f>
        <v>299.12923821540483</v>
      </c>
      <c r="V35" s="59">
        <f>1/((1/R35)+$I$50)</f>
        <v>2.1491372920402037</v>
      </c>
      <c r="W35" s="59">
        <f>V35*O35</f>
        <v>-2.1645044925503338</v>
      </c>
      <c r="AF35" s="59">
        <f>IF($D$6=1,100*((EXP(O35))-1),O35)</f>
        <v>-1.0071504042887562</v>
      </c>
      <c r="AG35" s="59">
        <f>IF($D$6=1,100*(EXP(O35+Q35)-EXP(O35)),Q35)</f>
        <v>0.47129339693781513</v>
      </c>
      <c r="AH35" s="59">
        <f>IF($D$6=1,100*(EXP(O35)-EXP(O35-Q35)),Q35)</f>
        <v>0.47129339693781513</v>
      </c>
      <c r="AJ35">
        <f>SQRT(P35)</f>
        <v>0.24045581476419139</v>
      </c>
      <c r="AK35">
        <f>1/AJ35</f>
        <v>4.1587682168579425</v>
      </c>
      <c r="AL35">
        <f>O35/AJ35</f>
        <v>-4.1885050909517068</v>
      </c>
      <c r="AN35" t="str">
        <f t="shared" si="3"/>
        <v>Ballmaier M (B)</v>
      </c>
      <c r="AO35">
        <f t="shared" si="3"/>
        <v>2008</v>
      </c>
      <c r="AP35" t="str">
        <f>CONCATENATE(AN35," ",AO35)</f>
        <v>Ballmaier M (B) 2008</v>
      </c>
      <c r="AQ35">
        <f>INT(H35)</f>
        <v>46</v>
      </c>
      <c r="AR35">
        <f t="shared" si="4"/>
        <v>258.89</v>
      </c>
      <c r="AS35">
        <f t="shared" si="4"/>
        <v>52.4</v>
      </c>
      <c r="AT35">
        <f>INT(I35)</f>
        <v>34</v>
      </c>
      <c r="AU35">
        <f t="shared" si="5"/>
        <v>312.89499999999998</v>
      </c>
      <c r="AV35">
        <f t="shared" si="5"/>
        <v>54.05</v>
      </c>
      <c r="AW35" s="65">
        <f>O35</f>
        <v>-1.0071504042887562</v>
      </c>
      <c r="AX35">
        <f>SQRT(P35)</f>
        <v>0.24045581476419139</v>
      </c>
    </row>
    <row r="36" spans="5:51">
      <c r="E36" t="str">
        <f t="shared" si="0"/>
        <v>Sun J</v>
      </c>
      <c r="F36">
        <f t="shared" si="0"/>
        <v>2009</v>
      </c>
      <c r="G36">
        <v>1</v>
      </c>
      <c r="H36">
        <f t="shared" si="1"/>
        <v>45</v>
      </c>
      <c r="I36">
        <f t="shared" si="1"/>
        <v>30</v>
      </c>
      <c r="J36">
        <f t="shared" si="6"/>
        <v>0.13</v>
      </c>
      <c r="K36">
        <f t="shared" si="6"/>
        <v>0.02</v>
      </c>
      <c r="L36">
        <f t="shared" si="6"/>
        <v>0.14000000000000001</v>
      </c>
      <c r="M36">
        <f t="shared" si="6"/>
        <v>0.03</v>
      </c>
      <c r="N36">
        <f>IF($D$3=1,SQRT((((I36-1)*(M36)^2)+((H36-1)*(K36)^2))/(H36+I36-2)),M36)</f>
        <v>2.4466919237744286E-2</v>
      </c>
      <c r="O36" s="59">
        <f>IF($D$6=1,LN(J36/L36),IF($D$5=1,(1-3/(4*(H36+I36)-9))*((J36-L36)/N36),(J36-L36)/N36))</f>
        <v>-0.40450156884595556</v>
      </c>
      <c r="P36" s="63">
        <f>IF($D$6=1,(K36^2)/(H36*J36^2)+(M36^2)/(I36*L36^2),(IF($D$5=1,((H36+I36)/(H36*I36))+(O36*O36)/(2*(H36+I36-3.94)),((H36+I36)/(H36*I36))+((O36^2)/(2*(H36+I36-2))))))</f>
        <v>5.6706846853042461E-2</v>
      </c>
      <c r="Q36" s="59">
        <f>$R$53*SQRT(P36)</f>
        <v>0.46673870941957224</v>
      </c>
      <c r="R36" s="59">
        <f>1/P36</f>
        <v>17.634554828829238</v>
      </c>
      <c r="S36" s="59">
        <f>O36*R36</f>
        <v>-7.1332050941614478</v>
      </c>
      <c r="T36" s="59">
        <f>R36*(O36^2)</f>
        <v>2.8853926514882677</v>
      </c>
      <c r="U36" s="23">
        <f>R36^2</f>
        <v>310.97752401098461</v>
      </c>
      <c r="V36" s="59">
        <f>1/((1/R36)+$I$50)</f>
        <v>2.1542863970262704</v>
      </c>
      <c r="W36" s="59">
        <f>V36*O36</f>
        <v>-0.87141222734062751</v>
      </c>
      <c r="AF36" s="59">
        <f>IF($D$6=1,100*((EXP(O36))-1),O36)</f>
        <v>-0.40450156884595556</v>
      </c>
      <c r="AG36" s="59">
        <f>IF($D$6=1,100*(EXP(O36+Q36)-EXP(O36)),Q36)</f>
        <v>0.46673870941957224</v>
      </c>
      <c r="AH36" s="59">
        <f>IF($D$6=1,100*(EXP(O36)-EXP(O36-Q36)),Q36)</f>
        <v>0.46673870941957224</v>
      </c>
      <c r="AJ36">
        <f>SQRT(P36)</f>
        <v>0.23813199460182258</v>
      </c>
      <c r="AK36">
        <f>1/AJ36</f>
        <v>4.1993517153043083</v>
      </c>
      <c r="AL36">
        <f>O36/AJ36</f>
        <v>-1.6986443569765475</v>
      </c>
      <c r="AN36" t="str">
        <f t="shared" si="3"/>
        <v>Sun J</v>
      </c>
      <c r="AO36">
        <f t="shared" si="3"/>
        <v>2009</v>
      </c>
      <c r="AP36" t="str">
        <f>CONCATENATE(AN36," ",AO36)</f>
        <v>Sun J 2009</v>
      </c>
      <c r="AQ36">
        <f>INT(H36)</f>
        <v>45</v>
      </c>
      <c r="AR36">
        <f t="shared" si="4"/>
        <v>0.13</v>
      </c>
      <c r="AS36">
        <f t="shared" si="4"/>
        <v>0.02</v>
      </c>
      <c r="AT36">
        <f>INT(I36)</f>
        <v>30</v>
      </c>
      <c r="AU36">
        <f t="shared" si="5"/>
        <v>0.14000000000000001</v>
      </c>
      <c r="AV36">
        <f t="shared" si="5"/>
        <v>0.03</v>
      </c>
      <c r="AW36" s="65">
        <f>O36</f>
        <v>-0.40450156884595556</v>
      </c>
      <c r="AX36">
        <f>SQRT(P36)</f>
        <v>0.23813199460182258</v>
      </c>
      <c r="AY36" t="str">
        <f>$F$6</f>
        <v>Cohens Effect size</v>
      </c>
    </row>
    <row r="37" spans="5:51">
      <c r="U37" s="23"/>
    </row>
    <row r="38" spans="5:51">
      <c r="L38" t="s">
        <v>500</v>
      </c>
      <c r="N38" s="7"/>
      <c r="O38" s="66">
        <f>COUNT(O33:O36)</f>
        <v>4</v>
      </c>
      <c r="Q38" t="s">
        <v>885</v>
      </c>
      <c r="R38" s="59">
        <f t="shared" ref="R38:W38" si="7">SUM(R33:R36)</f>
        <v>57.151682024686025</v>
      </c>
      <c r="S38" s="59">
        <f t="shared" si="7"/>
        <v>-17.98659306289284</v>
      </c>
      <c r="T38" s="59">
        <f t="shared" si="7"/>
        <v>25.714216368291325</v>
      </c>
      <c r="U38" s="23">
        <f t="shared" si="7"/>
        <v>874.47073176802019</v>
      </c>
      <c r="V38" s="59">
        <f t="shared" si="7"/>
        <v>8.2794121912109659</v>
      </c>
      <c r="W38" s="59">
        <f t="shared" si="7"/>
        <v>-1.5173317931773926</v>
      </c>
    </row>
    <row r="39" spans="5:51">
      <c r="L39" t="s">
        <v>501</v>
      </c>
      <c r="N39" s="7"/>
      <c r="O39" s="2">
        <v>0</v>
      </c>
    </row>
    <row r="40" spans="5:51">
      <c r="N40" s="7"/>
      <c r="O40" s="7"/>
    </row>
    <row r="41" spans="5:51">
      <c r="G41" s="67" t="s">
        <v>502</v>
      </c>
      <c r="H41" s="40"/>
      <c r="I41" s="40">
        <f>S38/R38</f>
        <v>-0.31471677517949048</v>
      </c>
      <c r="J41" s="40"/>
      <c r="K41" s="68" t="s">
        <v>879</v>
      </c>
      <c r="L41" s="40"/>
      <c r="M41" s="42"/>
      <c r="N41" s="7"/>
      <c r="O41" s="69" t="s">
        <v>503</v>
      </c>
      <c r="P41" s="70">
        <f>T38-((S38^2)/R38)</f>
        <v>20.053533803071893</v>
      </c>
      <c r="Q41" s="71" t="s">
        <v>824</v>
      </c>
      <c r="R41" s="28"/>
      <c r="S41" s="29"/>
      <c r="T41" s="30"/>
      <c r="U41" s="31"/>
      <c r="AF41" s="2" t="s">
        <v>1518</v>
      </c>
    </row>
    <row r="42" spans="5:51">
      <c r="G42" s="43" t="s">
        <v>504</v>
      </c>
      <c r="H42" s="31"/>
      <c r="I42" s="31">
        <f>1/R38</f>
        <v>1.7497297797255753E-2</v>
      </c>
      <c r="J42" s="31"/>
      <c r="K42" s="31"/>
      <c r="L42" s="31"/>
      <c r="M42" s="44"/>
      <c r="N42" s="7"/>
      <c r="O42" s="30" t="s">
        <v>505</v>
      </c>
      <c r="P42" s="31">
        <f>CHIDIST(P41,I46-1)</f>
        <v>1.6546091406387665E-4</v>
      </c>
      <c r="Q42" s="31"/>
      <c r="R42" s="31"/>
      <c r="S42" s="34"/>
      <c r="T42" s="30"/>
      <c r="U42" s="31"/>
      <c r="AF42" s="2"/>
    </row>
    <row r="43" spans="5:51">
      <c r="G43" s="72" t="s">
        <v>506</v>
      </c>
      <c r="H43" s="31"/>
      <c r="I43" s="31">
        <f>$R$53*SQRT(I42)</f>
        <v>0.25926360951344041</v>
      </c>
      <c r="J43" s="31"/>
      <c r="K43" s="31" t="s">
        <v>507</v>
      </c>
      <c r="L43" s="31"/>
      <c r="M43" s="44">
        <f>ABS(I41/SQRT(I42))</f>
        <v>2.3792188981301043</v>
      </c>
      <c r="N43" s="7"/>
      <c r="O43" s="35" t="s">
        <v>508</v>
      </c>
      <c r="P43" s="37">
        <f>IF(((P41-(I46-1))/P41)&lt;0,0,100*((P41-(I46-1))/P41))</f>
        <v>85.040043169147339</v>
      </c>
      <c r="Q43" s="36"/>
      <c r="R43" s="36"/>
      <c r="S43" s="38"/>
      <c r="T43" s="30"/>
      <c r="U43" s="31"/>
      <c r="AF43" s="2" t="s">
        <v>1535</v>
      </c>
      <c r="AH43">
        <f>IF($D$6=1,100*((EXP(I41))-1),I41)</f>
        <v>-0.31471677517949048</v>
      </c>
    </row>
    <row r="44" spans="5:51">
      <c r="G44" s="45" t="s">
        <v>509</v>
      </c>
      <c r="H44" s="46"/>
      <c r="I44" s="46">
        <v>-2</v>
      </c>
      <c r="J44" s="46"/>
      <c r="K44" s="46" t="s">
        <v>825</v>
      </c>
      <c r="L44" s="46"/>
      <c r="M44" s="47">
        <f>2*(1-NORMDIST(M43,0,1,1))</f>
        <v>1.7349369884550381E-2</v>
      </c>
      <c r="N44" s="7"/>
      <c r="O44" s="7"/>
      <c r="AF44" s="79" t="s">
        <v>834</v>
      </c>
      <c r="AH44">
        <f>IF($D$6=1,100*(EXP(I41+I43)-EXP(I41)),I43)</f>
        <v>0.25926360951344041</v>
      </c>
    </row>
    <row r="45" spans="5:51">
      <c r="G45" s="40"/>
      <c r="H45" s="40"/>
      <c r="I45" s="40"/>
      <c r="J45" s="40"/>
      <c r="K45" s="40"/>
      <c r="L45" s="40"/>
      <c r="M45" s="40"/>
      <c r="N45" s="7"/>
      <c r="O45" s="7"/>
      <c r="AF45" s="79" t="s">
        <v>835</v>
      </c>
      <c r="AH45">
        <f>IF($D$6=1,100*(EXP(I41)-EXP(I41-I43)),I43)</f>
        <v>0.25926360951344041</v>
      </c>
    </row>
    <row r="46" spans="5:51">
      <c r="G46" s="73" t="s">
        <v>1110</v>
      </c>
      <c r="H46" s="74"/>
      <c r="I46" s="74">
        <f>O38</f>
        <v>4</v>
      </c>
      <c r="J46" s="74"/>
      <c r="K46" s="75" t="s">
        <v>1167</v>
      </c>
      <c r="L46" s="74"/>
      <c r="M46" s="76"/>
      <c r="N46" s="77"/>
      <c r="O46" s="101" t="s">
        <v>1513</v>
      </c>
      <c r="P46" s="102"/>
      <c r="Q46" s="103"/>
      <c r="AF46" s="7"/>
    </row>
    <row r="47" spans="5:51">
      <c r="G47" s="77" t="s">
        <v>1531</v>
      </c>
      <c r="H47" s="31"/>
      <c r="I47" s="31">
        <f>R38/I46</f>
        <v>14.287920506171506</v>
      </c>
      <c r="J47" s="31"/>
      <c r="K47" s="31"/>
      <c r="L47" s="31"/>
      <c r="M47" s="78"/>
      <c r="N47" s="77"/>
      <c r="O47" s="104" t="s">
        <v>1514</v>
      </c>
      <c r="P47" s="31"/>
      <c r="Q47" s="105">
        <f>INDEX(LINEST(AL33:AL36,AK33:AK36,TRUE,TRUE),1,2)</f>
        <v>13.716455734345672</v>
      </c>
      <c r="AF47" s="2" t="s">
        <v>1687</v>
      </c>
      <c r="AH47">
        <f>IF($D$6=1,100*((EXP(I52))-1),I52)</f>
        <v>-0.18326564231070905</v>
      </c>
    </row>
    <row r="48" spans="5:51">
      <c r="G48" s="77" t="s">
        <v>1532</v>
      </c>
      <c r="H48" s="31"/>
      <c r="I48" s="31">
        <f>(1/(I46-1))*(U38-(I46*I47^2))</f>
        <v>19.297347401771766</v>
      </c>
      <c r="J48" s="31"/>
      <c r="K48" s="31"/>
      <c r="L48" s="31"/>
      <c r="M48" s="78"/>
      <c r="N48" s="77"/>
      <c r="O48" s="104" t="s">
        <v>1516</v>
      </c>
      <c r="P48" s="31"/>
      <c r="Q48" s="105">
        <f>INDEX(LINEST(AL33:AL36,AK33:AK36,TRUE,TRUE),2,2)</f>
        <v>5.345545238959108</v>
      </c>
      <c r="AF48" s="79" t="s">
        <v>834</v>
      </c>
      <c r="AG48" s="7"/>
      <c r="AH48">
        <f>IF($D$6=1,100*(EXP(I52+I54)-EXP(I52)),I54)</f>
        <v>0.68117126499966096</v>
      </c>
    </row>
    <row r="49" spans="7:34">
      <c r="G49" s="77" t="s">
        <v>1669</v>
      </c>
      <c r="H49" s="31"/>
      <c r="I49" s="31">
        <f>(I46-1)*(I47-(I48/(I46*I47)))</f>
        <v>41.85080721595682</v>
      </c>
      <c r="J49" s="31"/>
      <c r="K49" s="31"/>
      <c r="L49" s="31"/>
      <c r="M49" s="78"/>
      <c r="N49" s="77"/>
      <c r="O49" s="104" t="s">
        <v>1349</v>
      </c>
      <c r="P49" s="31"/>
      <c r="Q49" s="105">
        <f>ABS(Q47/Q48)</f>
        <v>2.5659600884823042</v>
      </c>
      <c r="AF49" s="79" t="s">
        <v>835</v>
      </c>
      <c r="AH49">
        <f>IF($D$6=1,100*(EXP(I52)-EXP(I52-I54)),I54)</f>
        <v>0.68117126499966096</v>
      </c>
    </row>
    <row r="50" spans="7:34">
      <c r="G50" s="77" t="s">
        <v>1685</v>
      </c>
      <c r="H50" s="31"/>
      <c r="I50" s="31">
        <f>IF(P41&gt;(I46-1),(P41-(I46-1))/I49,0)</f>
        <v>0.40748398746702658</v>
      </c>
      <c r="J50" s="31"/>
      <c r="K50" s="31"/>
      <c r="L50" s="31"/>
      <c r="M50" s="78"/>
      <c r="N50" s="77"/>
      <c r="O50" s="106" t="s">
        <v>1515</v>
      </c>
      <c r="P50" s="107"/>
      <c r="Q50" s="108">
        <f>TDIST(Q49,I46-2,2)</f>
        <v>0.12420750686959106</v>
      </c>
    </row>
    <row r="51" spans="7:34">
      <c r="G51" s="77"/>
      <c r="H51" s="31"/>
      <c r="I51" s="31"/>
      <c r="J51" s="31"/>
      <c r="K51" s="31"/>
      <c r="L51" s="31"/>
      <c r="M51" s="78"/>
      <c r="N51" s="77"/>
    </row>
    <row r="52" spans="7:34">
      <c r="G52" s="77" t="s">
        <v>1686</v>
      </c>
      <c r="H52" s="31"/>
      <c r="I52" s="31">
        <f>W38/V38</f>
        <v>-0.18326564231070905</v>
      </c>
      <c r="J52" s="31"/>
      <c r="N52" s="77"/>
    </row>
    <row r="53" spans="7:34">
      <c r="G53" s="77" t="s">
        <v>504</v>
      </c>
      <c r="H53" s="31"/>
      <c r="I53" s="31">
        <f>1/V38</f>
        <v>0.12078152130915198</v>
      </c>
      <c r="J53" s="31"/>
      <c r="N53" s="77"/>
      <c r="O53" t="s">
        <v>805</v>
      </c>
      <c r="R53">
        <v>1.96</v>
      </c>
    </row>
    <row r="54" spans="7:34">
      <c r="G54" s="80" t="s">
        <v>506</v>
      </c>
      <c r="H54" s="31"/>
      <c r="I54" s="31">
        <f>$R$53*SQRT(I53)</f>
        <v>0.68117126499966096</v>
      </c>
      <c r="J54" s="31"/>
      <c r="K54" s="31" t="s">
        <v>507</v>
      </c>
      <c r="L54" s="31"/>
      <c r="M54" s="78">
        <f>ABS(I52/(SQRT(I53)))</f>
        <v>0.52732796784839209</v>
      </c>
      <c r="N54" s="77"/>
    </row>
    <row r="55" spans="7:34">
      <c r="G55" s="81" t="s">
        <v>509</v>
      </c>
      <c r="H55" s="82"/>
      <c r="I55" s="82">
        <v>-3</v>
      </c>
      <c r="J55" s="82"/>
      <c r="K55" s="31" t="s">
        <v>825</v>
      </c>
      <c r="L55" s="31"/>
      <c r="M55" s="78">
        <f>2*(1-NORMDIST(M54,0,1,1))</f>
        <v>0.59796585561214455</v>
      </c>
      <c r="N55" s="77"/>
    </row>
    <row r="56" spans="7:34">
      <c r="G56" s="74"/>
      <c r="H56" s="74"/>
      <c r="I56" s="74"/>
      <c r="J56" s="74"/>
      <c r="K56" s="74"/>
      <c r="L56" s="74"/>
      <c r="M56" s="74"/>
      <c r="N56" s="31"/>
      <c r="O56" s="7"/>
    </row>
  </sheetData>
  <phoneticPr fontId="10" type="noConversion"/>
  <conditionalFormatting sqref="D17 D13 F13">
    <cfRule type="cellIs" dxfId="24" priority="0" stopIfTrue="1" operator="lessThan">
      <formula>0.05</formula>
    </cfRule>
  </conditionalFormatting>
  <conditionalFormatting sqref="D21">
    <cfRule type="cellIs" dxfId="2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8.xml><?xml version="1.0" encoding="utf-8"?>
<worksheet xmlns="http://schemas.openxmlformats.org/spreadsheetml/2006/main" xmlns:r="http://schemas.openxmlformats.org/officeDocument/2006/relationships">
  <sheetPr published="0" codeName="Sheet117"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285</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4</v>
      </c>
      <c r="AD7" s="89"/>
    </row>
    <row r="8" spans="2:30">
      <c r="B8" t="s">
        <v>822</v>
      </c>
      <c r="D8">
        <f>SUM(H24:H27)</f>
        <v>96</v>
      </c>
      <c r="AD8" s="89"/>
    </row>
    <row r="9" spans="2:30">
      <c r="B9" t="s">
        <v>823</v>
      </c>
      <c r="D9">
        <f>SUM(I24:I27)</f>
        <v>87</v>
      </c>
      <c r="AD9" s="89"/>
    </row>
    <row r="11" spans="2:30">
      <c r="B11" s="27" t="s">
        <v>516</v>
      </c>
      <c r="C11" s="28"/>
      <c r="D11" s="109">
        <f>P40</f>
        <v>8.5095580919641645</v>
      </c>
      <c r="E11" s="110" t="s">
        <v>1513</v>
      </c>
      <c r="F11" s="103"/>
    </row>
    <row r="12" spans="2:30">
      <c r="B12" s="30" t="s">
        <v>826</v>
      </c>
      <c r="C12" s="31"/>
      <c r="D12" s="112">
        <f>P42</f>
        <v>64.745525354213257</v>
      </c>
      <c r="E12" s="31"/>
      <c r="F12" s="105"/>
    </row>
    <row r="13" spans="2:30">
      <c r="B13" s="35" t="s">
        <v>825</v>
      </c>
      <c r="C13" s="36"/>
      <c r="D13" s="113">
        <f>P41</f>
        <v>3.6574870695420286E-2</v>
      </c>
      <c r="E13" s="111" t="s">
        <v>825</v>
      </c>
      <c r="F13" s="115">
        <f>Q49</f>
        <v>0.85423311287377546</v>
      </c>
    </row>
    <row r="15" spans="2:30">
      <c r="B15" s="39" t="s">
        <v>879</v>
      </c>
      <c r="C15" s="40"/>
      <c r="D15" s="41">
        <f>AH42</f>
        <v>-7.1366101590391584E-2</v>
      </c>
      <c r="E15" s="116"/>
    </row>
    <row r="16" spans="2:30">
      <c r="B16" s="43" t="s">
        <v>1165</v>
      </c>
      <c r="C16" s="31"/>
      <c r="D16" s="33">
        <f>AH42-AH44</f>
        <v>-0.37424108495407865</v>
      </c>
      <c r="E16" s="117">
        <f>AH42+AH43</f>
        <v>0.23150888177329548</v>
      </c>
    </row>
    <row r="17" spans="1:65">
      <c r="B17" s="45" t="s">
        <v>1166</v>
      </c>
      <c r="C17" s="46"/>
      <c r="D17" s="123">
        <f>M43</f>
        <v>0.64420132802604257</v>
      </c>
      <c r="E17" s="118"/>
    </row>
    <row r="18" spans="1:65">
      <c r="D18" s="48"/>
      <c r="F18" s="49"/>
    </row>
    <row r="19" spans="1:65">
      <c r="B19" s="50" t="s">
        <v>1167</v>
      </c>
      <c r="C19" s="51"/>
      <c r="D19" s="52">
        <f>AH46</f>
        <v>-6.3536893030502362E-2</v>
      </c>
      <c r="E19" s="120"/>
      <c r="F19" s="33"/>
      <c r="G19" s="31"/>
    </row>
    <row r="20" spans="1:65">
      <c r="B20" s="53" t="s">
        <v>1165</v>
      </c>
      <c r="C20" s="31"/>
      <c r="D20" s="33">
        <f>AH46-AH48</f>
        <v>-0.57828211628013515</v>
      </c>
      <c r="E20" s="121">
        <f>AH46+AH47</f>
        <v>0.45120833021913043</v>
      </c>
      <c r="F20" s="31"/>
      <c r="G20" s="31"/>
    </row>
    <row r="21" spans="1:65">
      <c r="B21" s="54" t="s">
        <v>1440</v>
      </c>
      <c r="C21" s="55"/>
      <c r="D21" s="114">
        <f>M54</f>
        <v>0.80883440615466218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8326077</v>
      </c>
      <c r="C24" s="1" t="str">
        <f>IF($B24="","",HYPERLINK(IF(LEN(VLOOKUP($B24,Database!$B$1:$IX$10144,2,FALSE))=0,"",VLOOKUP($B24,Database!$B$1:$IX$10144,2,FALSE))))</f>
        <v/>
      </c>
      <c r="D24" s="1" t="str">
        <f>IF($B24="","",HYPERLINK(CONCATENATE("http://www.ncbi.nlm.nih.gov/pubmed/",B24)))</f>
        <v>http://www.ncbi.nlm.nih.gov/pubmed/8326077</v>
      </c>
      <c r="E24" s="22" t="str">
        <f>IF($B24="","",IF(LEN(VLOOKUP($B24,Database!$B$1:$IX$10144,4,FALSE))=0,"",VLOOKUP($B24,Database!$B$1:$IX$10144,4,FALSE)))</f>
        <v>Wu JC</v>
      </c>
      <c r="F24" s="22">
        <f>IF($B24="","",IF(LEN(VLOOKUP($B24,Database!$B$1:$IX$10144,5,FALSE))=0,"",VLOOKUP($B24,Database!$B$1:$IX$10144,5,FALSE)))</f>
        <v>1993</v>
      </c>
      <c r="G24" s="1" t="str">
        <f>IF($B24="","",HYPERLINK(IF(LEN(VLOOKUP($B24,Database!$B$1:$IX$10144,6,FALSE))=0,"",VLOOKUP($B24,Database!$B$1:$IX$10144,6,FALSE))))</f>
        <v>http://dx.doi.org/10.1016/0165-0327(93)90073-S</v>
      </c>
      <c r="H24" s="22">
        <f>IF($B24="","",IF(LEN(VLOOKUP($B24,Database!$B$1:$IX$10144,7,FALSE))=0,"",VLOOKUP($B24,Database!$B$1:$IX$10144,7,FALSE)))</f>
        <v>20</v>
      </c>
      <c r="I24" s="22">
        <f>IF($B24="","",IF(LEN(VLOOKUP($B24,Database!$B$1:$IX$10144,8,FALSE))=0,"",VLOOKUP($B24,Database!$B$1:$IX$10144,8,FALSE)))</f>
        <v>16</v>
      </c>
      <c r="J24" t="s">
        <v>286</v>
      </c>
      <c r="T24">
        <v>7.97</v>
      </c>
      <c r="U24">
        <v>0.61</v>
      </c>
      <c r="V24">
        <v>7.58</v>
      </c>
      <c r="W24">
        <v>0.44</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32.9</v>
      </c>
      <c r="AC24" s="22">
        <f>IF(OR($B24="",AC$22=""),"",IF(LEN(VLOOKUP($B24,Database!$B$1:$IX$10144,AC$22,FALSE))=0,"",VLOOKUP($B24,Database!$B$1:$IX$10144,AC$22,FALSE)))</f>
        <v>11.5</v>
      </c>
      <c r="AD24" s="22">
        <f>IF(OR($B24="",AD$22=""),"",IF(LEN(VLOOKUP($B24,Database!$B$1:$IX$10144,AD$22,FALSE))=0,"",VLOOKUP($B24,Database!$B$1:$IX$10144,AD$22,FALSE)))</f>
        <v>30.5</v>
      </c>
      <c r="AE24" s="22">
        <f>IF(OR($B24="",AE$22=""),"",IF(LEN(VLOOKUP($B24,Database!$B$1:$IX$10144,AE$22,FALSE))=0,"",VLOOKUP($B24,Database!$B$1:$IX$10144,AE$22,FALSE)))</f>
        <v>9.8000000000000007</v>
      </c>
      <c r="AF24" s="22">
        <f>IF(OR($B24="",AF$22=""),"",IF(LEN(VLOOKUP($B24,Database!$B$1:$IX$10144,AF$22,FALSE))=0,"",VLOOKUP($B24,Database!$B$1:$IX$10144,AF$22,FALSE)))</f>
        <v>11</v>
      </c>
      <c r="AG24" s="22">
        <f>IF(OR($B24="",AG$22=""),"",IF(LEN(VLOOKUP($B24,Database!$B$1:$IX$10144,AG$22,FALSE))=0,"",VLOOKUP($B24,Database!$B$1:$IX$10144,AG$22,FALSE)))</f>
        <v>6</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22.3</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Wu JC, Buchsbaum MS, Johnson JC, Hershey TG, Wagner EA, Teng C, Lottenberg S.</v>
      </c>
      <c r="AR24" s="13"/>
      <c r="AX24" s="13"/>
      <c r="AY24" s="13"/>
      <c r="AZ24" s="13"/>
      <c r="BA24" s="13"/>
      <c r="BC24" s="23"/>
      <c r="BF24" s="136"/>
      <c r="BG24" s="136"/>
      <c r="BH24" s="136"/>
      <c r="BI24" s="136"/>
    </row>
    <row r="25" spans="1:65">
      <c r="B25" s="13">
        <v>15804385</v>
      </c>
      <c r="C25" s="1" t="str">
        <f>IF($B25="","",HYPERLINK(IF(LEN(VLOOKUP($B25,Database!$B$1:$IX$10144,2,FALSE))=0,"",VLOOKUP($B25,Database!$B$1:$IX$10144,2,FALSE))))</f>
        <v/>
      </c>
      <c r="D25" s="1" t="str">
        <f>IF($B25="","",HYPERLINK(CONCATENATE("http://www.ncbi.nlm.nih.gov/pubmed/",B25)))</f>
        <v>http://www.ncbi.nlm.nih.gov/pubmed/15804385</v>
      </c>
      <c r="E25" s="22" t="str">
        <f>IF($B25="","",IF(LEN(VLOOKUP($B25,Database!$B$1:$IX$10144,4,FALSE))=0,"",VLOOKUP($B25,Database!$B$1:$IX$10144,4,FALSE)))</f>
        <v>Lacerda AL</v>
      </c>
      <c r="F25" s="22">
        <f>IF($B25="","",IF(LEN(VLOOKUP($B25,Database!$B$1:$IX$10144,5,FALSE))=0,"",VLOOKUP($B25,Database!$B$1:$IX$10144,5,FALSE)))</f>
        <v>2005</v>
      </c>
      <c r="G25" s="1" t="str">
        <f>IF($B25="","",HYPERLINK(IF(LEN(VLOOKUP($B25,Database!$B$1:$IX$10144,6,FALSE))=0,"",VLOOKUP($B25,Database!$B$1:$IX$10144,6,FALSE))))</f>
        <v>http://dx.doi.org/10.1016/j.jpsychires.2004.10.004</v>
      </c>
      <c r="H25" s="22">
        <f>IF($B25="","",IF(LEN(VLOOKUP($B25,Database!$B$1:$IX$10144,7,FALSE))=0,"",VLOOKUP($B25,Database!$B$1:$IX$10144,7,FALSE)))</f>
        <v>22</v>
      </c>
      <c r="I25" s="22">
        <f>IF($B25="","",IF(LEN(VLOOKUP($B25,Database!$B$1:$IX$10144,8,FALSE))=0,"",VLOOKUP($B25,Database!$B$1:$IX$10144,8,FALSE)))</f>
        <v>39</v>
      </c>
      <c r="J25" t="s">
        <v>287</v>
      </c>
      <c r="T25">
        <v>7.36</v>
      </c>
      <c r="U25">
        <v>0.52</v>
      </c>
      <c r="V25">
        <v>7.34</v>
      </c>
      <c r="W25">
        <v>0.43</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41.4</v>
      </c>
      <c r="AC25" s="22">
        <f>IF(OR($B25="",AC$22=""),"",IF(LEN(VLOOKUP($B25,Database!$B$1:$IX$10144,AC$22,FALSE))=0,"",VLOOKUP($B25,Database!$B$1:$IX$10144,AC$22,FALSE)))</f>
        <v>11.1</v>
      </c>
      <c r="AD25" s="22">
        <f>IF(OR($B25="",AD$22=""),"",IF(LEN(VLOOKUP($B25,Database!$B$1:$IX$10144,AD$22,FALSE))=0,"",VLOOKUP($B25,Database!$B$1:$IX$10144,AD$22,FALSE)))</f>
        <v>35.799999999999997</v>
      </c>
      <c r="AE25" s="22">
        <f>IF(OR($B25="",AE$22=""),"",IF(LEN(VLOOKUP($B25,Database!$B$1:$IX$10144,AE$22,FALSE))=0,"",VLOOKUP($B25,Database!$B$1:$IX$10144,AE$22,FALSE)))</f>
        <v>10.5</v>
      </c>
      <c r="AF25" s="22">
        <f>IF(OR($B25="",AF$22=""),"",IF(LEN(VLOOKUP($B25,Database!$B$1:$IX$10144,AF$22,FALSE))=0,"",VLOOKUP($B25,Database!$B$1:$IX$10144,AF$22,FALSE)))</f>
        <v>19</v>
      </c>
      <c r="AG25" s="22">
        <f>IF(OR($B25="",AG$22=""),"",IF(LEN(VLOOKUP($B25,Database!$B$1:$IX$10144,AG$22,FALSE))=0,"",VLOOKUP($B25,Database!$B$1:$IX$10144,AG$22,FALSE)))</f>
        <v>15</v>
      </c>
      <c r="AH25" s="22">
        <f>IF(OR($B25="",AH$22=""),"",IF(LEN(VLOOKUP($B25,Database!$B$1:$IX$10144,AH$22,FALSE))=0,"",VLOOKUP($B25,Database!$B$1:$IX$10144,AH$22,FALSE)))</f>
        <v>1.5</v>
      </c>
      <c r="AI25" s="22">
        <f>IF(OR($B25="",AI$22=""),"",IF(LEN(VLOOKUP($B25,Database!$B$1:$IX$10144,AI$22,FALSE))=0,"",VLOOKUP($B25,Database!$B$1:$IX$10144,AI$22,FALSE)))</f>
        <v>3</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f>IF(OR($B25="",AM$22=""),"",IF(LEN(VLOOKUP($B25,Database!$B$1:$IX$10144,AM$22,FALSE))=0,"",VLOOKUP($B25,Database!$B$1:$IX$10144,AM$22,FALSE)))</f>
        <v>0</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100</v>
      </c>
      <c r="AQ25" s="22" t="str">
        <f>IF(OR($B25="",AQ$22=""),"",IF(LEN(VLOOKUP($B25,Database!$B$1:$IX$10144,AQ$22,FALSE))=0,"",VLOOKUP($B25,Database!$B$1:$IX$10144,AQ$22,FALSE)))</f>
        <v>Lacerda AL, Brambilla P, Sassi RB, Nicoletti MA, Mallinger AG, Frank E, Kupfer DJ, Keshavan MS, Soares JC.</v>
      </c>
      <c r="AR25" s="13"/>
      <c r="AX25" s="13"/>
      <c r="AY25" s="13"/>
      <c r="AZ25" s="13"/>
      <c r="BA25" s="13"/>
      <c r="BC25" s="23"/>
      <c r="BF25" s="136"/>
      <c r="BG25" s="136"/>
      <c r="BH25" s="136"/>
      <c r="BI25" s="136"/>
    </row>
    <row r="26" spans="1:65">
      <c r="B26" s="13">
        <v>19019454</v>
      </c>
      <c r="C26" s="1" t="str">
        <f>IF($B26="","",HYPERLINK(IF(LEN(VLOOKUP($B26,Database!$B$1:$IX$10144,2,FALSE))=0,"",VLOOKUP($B26,Database!$B$1:$IX$10144,2,FALSE))))</f>
        <v/>
      </c>
      <c r="D26" s="1" t="str">
        <f>IF($B26="","",HYPERLINK(CONCATENATE("http://www.ncbi.nlm.nih.gov/pubmed/",B26)))</f>
        <v>http://www.ncbi.nlm.nih.gov/pubmed/19019454</v>
      </c>
      <c r="E26" s="22" t="str">
        <f>IF($B26="","",IF(LEN(VLOOKUP($B26,Database!$B$1:$IX$10144,4,FALSE))=0,"",VLOOKUP($B26,Database!$B$1:$IX$10144,4,FALSE)))</f>
        <v>Walterfang M</v>
      </c>
      <c r="F26" s="22">
        <f>IF($B26="","",IF(LEN(VLOOKUP($B26,Database!$B$1:$IX$10144,5,FALSE))=0,"",VLOOKUP($B26,Database!$B$1:$IX$10144,5,FALSE)))</f>
        <v>2009</v>
      </c>
      <c r="G26" s="1" t="str">
        <f>IF($B26="","",HYPERLINK(IF(LEN(VLOOKUP($B26,Database!$B$1:$IX$10144,6,FALSE))=0,"",VLOOKUP($B26,Database!$B$1:$IX$10144,6,FALSE))))</f>
        <v>http://dx.doi.org/10.1016/j.jad.2008.10.010</v>
      </c>
      <c r="H26" s="83">
        <v>26</v>
      </c>
      <c r="I26" s="83">
        <v>16</v>
      </c>
      <c r="J26" t="s">
        <v>288</v>
      </c>
      <c r="K26" t="s">
        <v>186</v>
      </c>
      <c r="T26">
        <v>100.78</v>
      </c>
      <c r="U26">
        <v>6.73</v>
      </c>
      <c r="V26">
        <v>104.15</v>
      </c>
      <c r="W26">
        <v>6.69</v>
      </c>
      <c r="Y26" s="22" t="str">
        <f>IF(OR($B26="",Y$22=""),"",IF(LEN(VLOOKUP($B26,Database!$B$1:$IX$10144,Y$22,FALSE))=0,"",VLOOKUP($B26,Database!$B$1:$IX$10144,Y$22,FALSE)))</f>
        <v>DSM-IV</v>
      </c>
      <c r="Z26" s="22" t="str">
        <f>IF(OR($B26="",Z$22=""),"",IF(LEN(VLOOKUP($B26,Database!$B$1:$IX$10144,Z$22,FALSE))=0,"",VLOOKUP($B26,Database!$B$1:$IX$10144,Z$22,FALSE)))</f>
        <v>MRI</v>
      </c>
      <c r="AA26" s="214" t="s">
        <v>2447</v>
      </c>
      <c r="AB26" s="214">
        <v>32.15</v>
      </c>
      <c r="AC26" s="214">
        <v>8.2799999999999994</v>
      </c>
      <c r="AD26" s="22">
        <f>IF(OR($B26="",AD$22=""),"",IF(LEN(VLOOKUP($B26,Database!$B$1:$IX$10144,AD$22,FALSE))=0,"",VLOOKUP($B26,Database!$B$1:$IX$10144,AD$22,FALSE)))</f>
        <v>34.409999999999997</v>
      </c>
      <c r="AE26" s="22">
        <f>IF(OR($B26="",AE$22=""),"",IF(LEN(VLOOKUP($B26,Database!$B$1:$IX$10144,AE$22,FALSE))=0,"",VLOOKUP($B26,Database!$B$1:$IX$10144,AE$22,FALSE)))</f>
        <v>9.82</v>
      </c>
      <c r="AF26" s="214">
        <v>21</v>
      </c>
      <c r="AG26" s="22">
        <f>IF(OR($B26="",AG$22=""),"",IF(LEN(VLOOKUP($B26,Database!$B$1:$IX$10144,AG$22,FALSE))=0,"",VLOOKUP($B26,Database!$B$1:$IX$10144,AG$22,FALSE)))</f>
        <v>21</v>
      </c>
      <c r="AH26" s="22">
        <f>IF(OR($B26="",AH$22=""),"",IF(LEN(VLOOKUP($B26,Database!$B$1:$IX$10144,AH$22,FALSE))=0,"",VLOOKUP($B26,Database!$B$1:$IX$10144,AH$22,FALSE)))</f>
        <v>1.5</v>
      </c>
      <c r="AI26" s="22">
        <f>IF(OR($B26="",AI$22=""),"",IF(LEN(VLOOKUP($B26,Database!$B$1:$IX$10144,AI$22,FALSE))=0,"",VLOOKUP($B26,Database!$B$1:$IX$10144,AI$22,FALSE)))</f>
        <v>1</v>
      </c>
      <c r="AJ26" s="22" t="str">
        <f>IF(OR($B26="",AJ$22=""),"",IF(LEN(VLOOKUP($B26,Database!$B$1:$IX$10144,AJ$22,FALSE))=0,"",VLOOKUP($B26,Database!$B$1:$IX$10144,AJ$22,FALSE)))</f>
        <v/>
      </c>
      <c r="AK26" s="214">
        <v>20.85</v>
      </c>
      <c r="AL26" s="22" t="str">
        <f>IF(OR($B26="",AL$22=""),"",IF(LEN(VLOOKUP($B26,Database!$B$1:$IX$10144,AL$22,FALSE))=0,"",VLOOKUP($B26,Database!$B$1:$IX$10144,AL$22,FALSE)))</f>
        <v>ns</v>
      </c>
      <c r="AM26" s="22" t="str">
        <f>IF(OR($B26="",AM$22=""),"",IF(LEN(VLOOKUP($B26,Database!$B$1:$IX$10144,AM$22,FALSE))=0,"",VLOOKUP($B26,Database!$B$1:$IX$10144,AM$22,FALSE)))</f>
        <v>ns</v>
      </c>
      <c r="AN26" s="22">
        <f>IF(OR($B26="",AN$22=""),"",IF(LEN(VLOOKUP($B26,Database!$B$1:$IX$10144,AN$22,FALSE))=0,"",VLOOKUP($B26,Database!$B$1:$IX$10144,AN$22,FALSE)))</f>
        <v>3.7037037037037033</v>
      </c>
      <c r="AO26" s="22" t="str">
        <f>IF(OR($B26="",AO$22=""),"",IF(LEN(VLOOKUP($B26,Database!$B$1:$IX$10144,AO$22,FALSE))=0,"",VLOOKUP($B26,Database!$B$1:$IX$10144,AO$22,FALSE)))</f>
        <v/>
      </c>
      <c r="AP26" s="22">
        <f>IF(OR($B26="",AP$22=""),"",IF(LEN(VLOOKUP($B26,Database!$B$1:$IX$10144,AP$22,FALSE))=0,"",VLOOKUP($B26,Database!$B$1:$IX$10144,AP$22,FALSE)))</f>
        <v>16.666666666666664</v>
      </c>
      <c r="AQ26" s="22" t="str">
        <f>IF(OR($B26="",AQ$22=""),"",IF(LEN(VLOOKUP($B26,Database!$B$1:$IX$10144,AQ$22,FALSE))=0,"",VLOOKUP($B26,Database!$B$1:$IX$10144,AQ$22,FALSE)))</f>
        <v>Walterfang M, Yücel M, Barton S, Reutens DC, Wood AG, Chen J, Lorenzetti V, Velakoulis D, Pantelis C, Allen NB.</v>
      </c>
      <c r="AR26" s="13"/>
      <c r="AU26" s="13"/>
      <c r="AX26" s="13"/>
      <c r="AY26" s="13"/>
      <c r="AZ26" s="13"/>
      <c r="BA26" s="13"/>
      <c r="BC26" s="23"/>
      <c r="BF26" s="136"/>
      <c r="BG26" s="136"/>
      <c r="BH26" s="136"/>
      <c r="BI26" s="136"/>
    </row>
    <row r="27" spans="1:65">
      <c r="B27" s="13">
        <v>19019454</v>
      </c>
      <c r="C27" s="1" t="str">
        <f>IF($B27="","",HYPERLINK(IF(LEN(VLOOKUP($B27,Database!$B$1:$IX$10144,2,FALSE))=0,"",VLOOKUP($B27,Database!$B$1:$IX$10144,2,FALSE))))</f>
        <v/>
      </c>
      <c r="D27" s="1" t="str">
        <f>IF($B27="","",HYPERLINK(CONCATENATE("http://www.ncbi.nlm.nih.gov/pubmed/",B27)))</f>
        <v>http://www.ncbi.nlm.nih.gov/pubmed/19019454</v>
      </c>
      <c r="E27" s="22" t="str">
        <f>IF($B27="","",IF(LEN(VLOOKUP($B27,Database!$B$1:$IX$10144,4,FALSE))=0,"",VLOOKUP($B27,Database!$B$1:$IX$10144,4,FALSE)))</f>
        <v>Walterfang M</v>
      </c>
      <c r="F27" s="22">
        <f>IF($B27="","",IF(LEN(VLOOKUP($B27,Database!$B$1:$IX$10144,5,FALSE))=0,"",VLOOKUP($B27,Database!$B$1:$IX$10144,5,FALSE)))</f>
        <v>2009</v>
      </c>
      <c r="G27" s="1" t="str">
        <f>IF($B27="","",HYPERLINK(IF(LEN(VLOOKUP($B27,Database!$B$1:$IX$10144,6,FALSE))=0,"",VLOOKUP($B27,Database!$B$1:$IX$10144,6,FALSE))))</f>
        <v>http://dx.doi.org/10.1016/j.jad.2008.10.010</v>
      </c>
      <c r="H27" s="83">
        <v>28</v>
      </c>
      <c r="I27" s="83">
        <v>16</v>
      </c>
      <c r="J27" t="s">
        <v>288</v>
      </c>
      <c r="K27" t="s">
        <v>187</v>
      </c>
      <c r="T27">
        <v>100.44</v>
      </c>
      <c r="U27">
        <v>8.1300000000000008</v>
      </c>
      <c r="V27">
        <v>104.15</v>
      </c>
      <c r="W27">
        <v>6.69</v>
      </c>
      <c r="Y27" s="22" t="str">
        <f>IF(OR($B27="",Y$22=""),"",IF(LEN(VLOOKUP($B27,Database!$B$1:$IX$10144,Y$22,FALSE))=0,"",VLOOKUP($B27,Database!$B$1:$IX$10144,Y$22,FALSE)))</f>
        <v>DSM-IV</v>
      </c>
      <c r="Z27" s="22" t="str">
        <f>IF(OR($B27="",Z$22=""),"",IF(LEN(VLOOKUP($B27,Database!$B$1:$IX$10144,Z$22,FALSE))=0,"",VLOOKUP($B27,Database!$B$1:$IX$10144,Z$22,FALSE)))</f>
        <v>MRI</v>
      </c>
      <c r="AA27" s="214" t="s">
        <v>2448</v>
      </c>
      <c r="AB27" s="214">
        <v>36.36</v>
      </c>
      <c r="AC27" s="214">
        <v>9.27</v>
      </c>
      <c r="AD27" s="22">
        <f>IF(OR($B27="",AD$22=""),"",IF(LEN(VLOOKUP($B27,Database!$B$1:$IX$10144,AD$22,FALSE))=0,"",VLOOKUP($B27,Database!$B$1:$IX$10144,AD$22,FALSE)))</f>
        <v>34.409999999999997</v>
      </c>
      <c r="AE27" s="22">
        <f>IF(OR($B27="",AE$22=""),"",IF(LEN(VLOOKUP($B27,Database!$B$1:$IX$10144,AE$22,FALSE))=0,"",VLOOKUP($B27,Database!$B$1:$IX$10144,AE$22,FALSE)))</f>
        <v>9.82</v>
      </c>
      <c r="AF27" s="214">
        <v>21</v>
      </c>
      <c r="AG27" s="22">
        <f>IF(OR($B27="",AG$22=""),"",IF(LEN(VLOOKUP($B27,Database!$B$1:$IX$10144,AG$22,FALSE))=0,"",VLOOKUP($B27,Database!$B$1:$IX$10144,AG$22,FALSE)))</f>
        <v>21</v>
      </c>
      <c r="AH27" s="22">
        <f>IF(OR($B27="",AH$22=""),"",IF(LEN(VLOOKUP($B27,Database!$B$1:$IX$10144,AH$22,FALSE))=0,"",VLOOKUP($B27,Database!$B$1:$IX$10144,AH$22,FALSE)))</f>
        <v>1.5</v>
      </c>
      <c r="AI27" s="22">
        <f>IF(OR($B27="",AI$22=""),"",IF(LEN(VLOOKUP($B27,Database!$B$1:$IX$10144,AI$22,FALSE))=0,"",VLOOKUP($B27,Database!$B$1:$IX$10144,AI$22,FALSE)))</f>
        <v>1</v>
      </c>
      <c r="AJ27" s="22" t="str">
        <f>IF(OR($B27="",AJ$22=""),"",IF(LEN(VLOOKUP($B27,Database!$B$1:$IX$10144,AJ$22,FALSE))=0,"",VLOOKUP($B27,Database!$B$1:$IX$10144,AJ$22,FALSE)))</f>
        <v/>
      </c>
      <c r="AK27" s="214">
        <v>26.68</v>
      </c>
      <c r="AL27" s="22" t="str">
        <f>IF(OR($B27="",AL$22=""),"",IF(LEN(VLOOKUP($B27,Database!$B$1:$IX$10144,AL$22,FALSE))=0,"",VLOOKUP($B27,Database!$B$1:$IX$10144,AL$22,FALSE)))</f>
        <v>ns</v>
      </c>
      <c r="AM27" s="22" t="str">
        <f>IF(OR($B27="",AM$22=""),"",IF(LEN(VLOOKUP($B27,Database!$B$1:$IX$10144,AM$22,FALSE))=0,"",VLOOKUP($B27,Database!$B$1:$IX$10144,AM$22,FALSE)))</f>
        <v>ns</v>
      </c>
      <c r="AN27" s="22">
        <f>IF(OR($B27="",AN$22=""),"",IF(LEN(VLOOKUP($B27,Database!$B$1:$IX$10144,AN$22,FALSE))=0,"",VLOOKUP($B27,Database!$B$1:$IX$10144,AN$22,FALSE)))</f>
        <v>3.7037037037037033</v>
      </c>
      <c r="AO27" s="22" t="str">
        <f>IF(OR($B27="",AO$22=""),"",IF(LEN(VLOOKUP($B27,Database!$B$1:$IX$10144,AO$22,FALSE))=0,"",VLOOKUP($B27,Database!$B$1:$IX$10144,AO$22,FALSE)))</f>
        <v/>
      </c>
      <c r="AP27" s="22">
        <f>IF(OR($B27="",AP$22=""),"",IF(LEN(VLOOKUP($B27,Database!$B$1:$IX$10144,AP$22,FALSE))=0,"",VLOOKUP($B27,Database!$B$1:$IX$10144,AP$22,FALSE)))</f>
        <v>16.666666666666664</v>
      </c>
      <c r="AQ27" s="22" t="str">
        <f>IF(OR($B27="",AQ$22=""),"",IF(LEN(VLOOKUP($B27,Database!$B$1:$IX$10144,AQ$22,FALSE))=0,"",VLOOKUP($B27,Database!$B$1:$IX$10144,AQ$22,FALSE)))</f>
        <v>Walterfang M, Yücel M, Barton S, Reutens DC, Wood AG, Chen J, Lorenzetti V, Velakoulis D, Pantelis C, Allen NB.</v>
      </c>
      <c r="AR27" s="13"/>
      <c r="AU27" s="13"/>
      <c r="AX27" s="13"/>
      <c r="AY27" s="13"/>
      <c r="AZ27" s="13"/>
      <c r="BA27" s="13"/>
      <c r="BC27" s="23"/>
      <c r="BF27" s="136"/>
      <c r="BG27" s="136"/>
      <c r="BH27" s="136"/>
      <c r="BI27" s="136"/>
    </row>
    <row r="28" spans="1:65">
      <c r="B28" s="13"/>
      <c r="C28" s="1"/>
      <c r="D28" s="1"/>
      <c r="E28" s="22"/>
      <c r="F28" s="22"/>
      <c r="G28" s="1"/>
      <c r="H28" s="83"/>
      <c r="I28" s="83"/>
      <c r="Y28" s="22"/>
      <c r="Z28" s="22"/>
      <c r="AA28" s="22"/>
      <c r="AB28" s="22"/>
      <c r="AC28" s="22"/>
      <c r="AD28" s="22"/>
      <c r="AE28" s="22"/>
      <c r="AF28" s="22"/>
      <c r="AG28" s="22"/>
      <c r="AH28" s="22"/>
      <c r="AI28" s="22"/>
      <c r="AJ28" s="22"/>
      <c r="AK28" s="22"/>
      <c r="AL28" s="22"/>
      <c r="AM28" s="22"/>
      <c r="AN28" s="22"/>
      <c r="AO28" s="22"/>
      <c r="AP28" s="22"/>
      <c r="AQ28" s="22"/>
    </row>
    <row r="29" spans="1:65">
      <c r="A29" s="4" t="s">
        <v>1510</v>
      </c>
      <c r="C29" s="1"/>
      <c r="D29" s="1"/>
      <c r="E29" s="22"/>
      <c r="F29" s="22"/>
      <c r="G29" s="1"/>
      <c r="H29" s="22"/>
      <c r="I29" s="22"/>
      <c r="Y29" s="22"/>
      <c r="Z29" s="22"/>
      <c r="AA29" s="22"/>
      <c r="AB29" s="22"/>
      <c r="AC29" s="22"/>
      <c r="AD29" s="22"/>
      <c r="AE29" s="22"/>
      <c r="AF29" s="22"/>
      <c r="AG29" s="22"/>
      <c r="AH29" s="22"/>
      <c r="AI29" s="22"/>
      <c r="AJ29" s="22"/>
      <c r="AK29" s="22"/>
      <c r="AL29" s="22"/>
      <c r="AM29" s="22"/>
      <c r="AN29" s="22"/>
      <c r="AO29" s="22"/>
      <c r="AP29" s="22"/>
      <c r="AQ29" s="22"/>
    </row>
    <row r="30" spans="1:65">
      <c r="I30" s="22" t="str">
        <f>IF($B30="","",IF(LEN(VLOOKUP($B30,Database!$B$1:$IX$10144,8,FALSE))=0,"",VLOOKUP($B30,Database!$B$1:$IX$10144,8,FALSE)))</f>
        <v/>
      </c>
      <c r="AF30" t="s">
        <v>602</v>
      </c>
      <c r="AJ30" t="s">
        <v>329</v>
      </c>
      <c r="AN30" t="s">
        <v>330</v>
      </c>
    </row>
    <row r="31" spans="1:65" ht="45" customHeight="1">
      <c r="E31" s="60" t="s">
        <v>617</v>
      </c>
      <c r="F31" s="60" t="s">
        <v>740</v>
      </c>
      <c r="G31" s="60" t="s">
        <v>244</v>
      </c>
      <c r="H31" s="60" t="s">
        <v>245</v>
      </c>
      <c r="I31" s="60" t="s">
        <v>246</v>
      </c>
      <c r="J31" s="60" t="s">
        <v>593</v>
      </c>
      <c r="K31" s="60" t="s">
        <v>1039</v>
      </c>
      <c r="L31" s="60" t="s">
        <v>594</v>
      </c>
      <c r="M31" s="60" t="s">
        <v>1299</v>
      </c>
      <c r="N31" s="61" t="s">
        <v>595</v>
      </c>
      <c r="O31" s="61" t="s">
        <v>596</v>
      </c>
      <c r="P31" s="61" t="s">
        <v>597</v>
      </c>
      <c r="Q31" s="61" t="s">
        <v>598</v>
      </c>
      <c r="R31" s="61" t="s">
        <v>599</v>
      </c>
      <c r="S31" s="61" t="s">
        <v>600</v>
      </c>
      <c r="T31" s="61" t="s">
        <v>601</v>
      </c>
      <c r="U31" s="61" t="s">
        <v>484</v>
      </c>
      <c r="V31" s="61" t="s">
        <v>485</v>
      </c>
      <c r="W31" s="61" t="s">
        <v>486</v>
      </c>
      <c r="AF31" s="61" t="s">
        <v>1517</v>
      </c>
      <c r="AG31" s="62" t="s">
        <v>834</v>
      </c>
      <c r="AH31" s="62" t="s">
        <v>835</v>
      </c>
      <c r="AJ31" s="61" t="s">
        <v>836</v>
      </c>
      <c r="AK31" s="61" t="s">
        <v>837</v>
      </c>
      <c r="AL31" s="61" t="s">
        <v>487</v>
      </c>
      <c r="AN31" t="s">
        <v>488</v>
      </c>
      <c r="AO31" t="s">
        <v>489</v>
      </c>
      <c r="AP31" t="s">
        <v>490</v>
      </c>
      <c r="AQ31" t="s">
        <v>491</v>
      </c>
      <c r="AR31" t="s">
        <v>492</v>
      </c>
      <c r="AS31" t="s">
        <v>493</v>
      </c>
      <c r="AT31" t="s">
        <v>494</v>
      </c>
      <c r="AU31" t="s">
        <v>495</v>
      </c>
      <c r="AV31" t="s">
        <v>496</v>
      </c>
      <c r="AW31" t="s">
        <v>497</v>
      </c>
      <c r="AX31" t="s">
        <v>498</v>
      </c>
      <c r="AY31" t="s">
        <v>499</v>
      </c>
    </row>
    <row r="32" spans="1:65">
      <c r="E32" t="str">
        <f t="shared" ref="E32:F35" si="0">E24</f>
        <v>Wu JC</v>
      </c>
      <c r="F32">
        <f t="shared" si="0"/>
        <v>1993</v>
      </c>
      <c r="G32">
        <v>4</v>
      </c>
      <c r="H32">
        <f t="shared" ref="H32:I35" si="1">H24</f>
        <v>20</v>
      </c>
      <c r="I32">
        <f t="shared" si="1"/>
        <v>16</v>
      </c>
      <c r="J32">
        <f t="shared" ref="J32:M35" si="2">IF($D$4="Total",T24,IF($D$4="Left",L24,IF($D$4="Right",P24,"error")))</f>
        <v>7.97</v>
      </c>
      <c r="K32">
        <f t="shared" si="2"/>
        <v>0.61</v>
      </c>
      <c r="L32">
        <f t="shared" si="2"/>
        <v>7.58</v>
      </c>
      <c r="M32">
        <f t="shared" si="2"/>
        <v>0.44</v>
      </c>
      <c r="N32">
        <f>IF($D$3=1,SQRT((((I32-1)*(M32)^2)+((H32-1)*(K32)^2))/(H32+I32-2)),M32)</f>
        <v>0.54161794652688533</v>
      </c>
      <c r="O32" s="59">
        <f>IF($D$6=1,LN(J32/L32),IF($D$5=1,(1-3/(4*(H32+I32)-9))*((J32-L32)/N32),(J32-L32)/N32))</f>
        <v>0.70406332688683171</v>
      </c>
      <c r="P32" s="63">
        <f>IF($D$6=1,(K32^2)/(H32*J32^2)+(M32^2)/(I32*L32^2),(IF($D$5=1,((H32+I32)/(H32*I32))+(O32*O32)/(2*(H32+I32-3.94)),((H32+I32)/(H32*I32))+((O32^2)/(2*(H32+I32-2))))))</f>
        <v>0.12023089782075723</v>
      </c>
      <c r="Q32" s="59">
        <f>$R$52*SQRT(P32)</f>
        <v>0.67961681635184756</v>
      </c>
      <c r="R32" s="59">
        <f>1/P32</f>
        <v>8.3173295560914902</v>
      </c>
      <c r="S32" s="59">
        <f>O32*R32</f>
        <v>5.85592671807595</v>
      </c>
      <c r="T32" s="59">
        <f>R32*(O32^2)</f>
        <v>4.1229432471340388</v>
      </c>
      <c r="U32" s="23">
        <f>R32^2</f>
        <v>69.17797094463306</v>
      </c>
      <c r="V32" s="59">
        <f>1/((1/R32)+$I$49)</f>
        <v>3.3538307647005614</v>
      </c>
      <c r="W32" s="59">
        <f>V32*O32</f>
        <v>2.3613092460104843</v>
      </c>
      <c r="AF32" s="59">
        <f>IF($D$6=1,100*((EXP(O32))-1),O32)</f>
        <v>0.70406332688683171</v>
      </c>
      <c r="AG32" s="59">
        <f>IF($D$6=1,100*(EXP(O32+Q32)-EXP(O32)),Q32)</f>
        <v>0.67961681635184756</v>
      </c>
      <c r="AH32" s="59">
        <f>IF($D$6=1,100*(EXP(O32)-EXP(O32-Q32)),Q32)</f>
        <v>0.67961681635184756</v>
      </c>
      <c r="AJ32">
        <f>SQRT(P32)</f>
        <v>0.34674327364890184</v>
      </c>
      <c r="AK32">
        <f>1/AJ32</f>
        <v>2.883978078295931</v>
      </c>
      <c r="AL32">
        <f>O32/AJ32</f>
        <v>2.0305032004737247</v>
      </c>
      <c r="AN32" t="str">
        <f t="shared" ref="AN32:AO35" si="3">E32</f>
        <v>Wu JC</v>
      </c>
      <c r="AO32">
        <f t="shared" si="3"/>
        <v>1993</v>
      </c>
      <c r="AP32" t="str">
        <f>CONCATENATE(AN32," ",AO32)</f>
        <v>Wu JC 1993</v>
      </c>
      <c r="AQ32">
        <f>INT(H32)</f>
        <v>20</v>
      </c>
      <c r="AR32">
        <f t="shared" ref="AR32:AS35" si="4">J32</f>
        <v>7.97</v>
      </c>
      <c r="AS32">
        <f t="shared" si="4"/>
        <v>0.61</v>
      </c>
      <c r="AT32">
        <f>INT(I32)</f>
        <v>16</v>
      </c>
      <c r="AU32">
        <f t="shared" ref="AU32:AV35" si="5">L32</f>
        <v>7.58</v>
      </c>
      <c r="AV32">
        <f t="shared" si="5"/>
        <v>0.44</v>
      </c>
      <c r="AW32" s="65">
        <f>O32</f>
        <v>0.70406332688683171</v>
      </c>
      <c r="AX32">
        <f>SQRT(P32)</f>
        <v>0.34674327364890184</v>
      </c>
      <c r="AY32" t="str">
        <f>$F$3</f>
        <v>Pooled SD</v>
      </c>
    </row>
    <row r="33" spans="5:51">
      <c r="E33" t="str">
        <f t="shared" si="0"/>
        <v>Lacerda AL</v>
      </c>
      <c r="F33">
        <f t="shared" si="0"/>
        <v>2005</v>
      </c>
      <c r="G33">
        <v>3</v>
      </c>
      <c r="H33">
        <f t="shared" si="1"/>
        <v>22</v>
      </c>
      <c r="I33">
        <f t="shared" si="1"/>
        <v>39</v>
      </c>
      <c r="J33">
        <f t="shared" si="2"/>
        <v>7.36</v>
      </c>
      <c r="K33">
        <f t="shared" si="2"/>
        <v>0.52</v>
      </c>
      <c r="L33">
        <f t="shared" si="2"/>
        <v>7.34</v>
      </c>
      <c r="M33">
        <f t="shared" si="2"/>
        <v>0.43</v>
      </c>
      <c r="N33">
        <f>IF($D$3=1,SQRT((((I33-1)*(M33)^2)+((H33-1)*(K33)^2))/(H33+I33-2)),M33)</f>
        <v>0.46403901063362174</v>
      </c>
      <c r="O33" s="59">
        <f>IF($D$6=1,LN(J33/L33),IF($D$5=1,(1-3/(4*(H33+I33)-9))*((J33-L33)/N33),(J33-L33)/N33))</f>
        <v>4.2549614145810558E-2</v>
      </c>
      <c r="P33" s="63">
        <f>IF($D$6=1,(K33^2)/(H33*J33^2)+(M33^2)/(I33*L33^2),(IF($D$5=1,((H33+I33)/(H33*I33))+(O33*O33)/(2*(H33+I33-3.94)),((H33+I33)/(H33*I33))+((O33^2)/(2*(H33+I33-2))))))</f>
        <v>7.111143570881992E-2</v>
      </c>
      <c r="Q33" s="59">
        <f>$R$52*SQRT(P33)</f>
        <v>0.52266785956188522</v>
      </c>
      <c r="R33" s="59">
        <f>1/P33</f>
        <v>14.062435809828129</v>
      </c>
      <c r="S33" s="59">
        <f>O33*R33</f>
        <v>0.59835121765841592</v>
      </c>
      <c r="T33" s="59">
        <f>R33*(O33^2)</f>
        <v>2.5459613435041505E-2</v>
      </c>
      <c r="U33" s="23">
        <f>R33^2</f>
        <v>197.75210090553651</v>
      </c>
      <c r="V33" s="59">
        <f>1/((1/R33)+$I$49)</f>
        <v>4.0153056441756583</v>
      </c>
      <c r="W33" s="59">
        <f>V33*O33</f>
        <v>0.17084970583716957</v>
      </c>
      <c r="AF33" s="59">
        <f>IF($D$6=1,100*((EXP(O33))-1),O33)</f>
        <v>4.2549614145810558E-2</v>
      </c>
      <c r="AG33" s="59">
        <f>IF($D$6=1,100*(EXP(O33+Q33)-EXP(O33)),Q33)</f>
        <v>0.52266785956188522</v>
      </c>
      <c r="AH33" s="59">
        <f>IF($D$6=1,100*(EXP(O33)-EXP(O33-Q33)),Q33)</f>
        <v>0.52266785956188522</v>
      </c>
      <c r="AJ33">
        <f>SQRT(P33)</f>
        <v>0.26666727528667616</v>
      </c>
      <c r="AK33">
        <f>1/AJ33</f>
        <v>3.7499914413006503</v>
      </c>
      <c r="AL33">
        <f>O33/AJ33</f>
        <v>0.15956068887743466</v>
      </c>
      <c r="AN33" t="str">
        <f t="shared" si="3"/>
        <v>Lacerda AL</v>
      </c>
      <c r="AO33">
        <f t="shared" si="3"/>
        <v>2005</v>
      </c>
      <c r="AP33" t="str">
        <f>CONCATENATE(AN33," ",AO33)</f>
        <v>Lacerda AL 2005</v>
      </c>
      <c r="AQ33">
        <f>INT(H33)</f>
        <v>22</v>
      </c>
      <c r="AR33">
        <f t="shared" si="4"/>
        <v>7.36</v>
      </c>
      <c r="AS33">
        <f t="shared" si="4"/>
        <v>0.52</v>
      </c>
      <c r="AT33">
        <f>INT(I33)</f>
        <v>39</v>
      </c>
      <c r="AU33">
        <f t="shared" si="5"/>
        <v>7.34</v>
      </c>
      <c r="AV33">
        <f t="shared" si="5"/>
        <v>0.43</v>
      </c>
      <c r="AW33" s="65">
        <f>O33</f>
        <v>4.2549614145810558E-2</v>
      </c>
      <c r="AX33">
        <f>SQRT(P33)</f>
        <v>0.26666727528667616</v>
      </c>
      <c r="AY33" t="str">
        <f>$F$4</f>
        <v>Total</v>
      </c>
    </row>
    <row r="34" spans="5:51">
      <c r="E34" t="str">
        <f t="shared" si="0"/>
        <v>Walterfang M</v>
      </c>
      <c r="F34">
        <f t="shared" si="0"/>
        <v>2009</v>
      </c>
      <c r="G34">
        <v>2</v>
      </c>
      <c r="H34">
        <f t="shared" si="1"/>
        <v>26</v>
      </c>
      <c r="I34">
        <f t="shared" si="1"/>
        <v>16</v>
      </c>
      <c r="J34">
        <f t="shared" si="2"/>
        <v>100.78</v>
      </c>
      <c r="K34">
        <f t="shared" si="2"/>
        <v>6.73</v>
      </c>
      <c r="L34">
        <f t="shared" si="2"/>
        <v>104.15</v>
      </c>
      <c r="M34">
        <f t="shared" si="2"/>
        <v>6.69</v>
      </c>
      <c r="N34">
        <f>IF($D$3=1,SQRT((((I34-1)*(M34)^2)+((H34-1)*(K34)^2))/(H34+I34-2)),M34)</f>
        <v>6.7150279225033751</v>
      </c>
      <c r="O34" s="59">
        <f>IF($D$6=1,LN(J34/L34),IF($D$5=1,(1-3/(4*(H34+I34)-9))*((J34-L34)/N34),(J34-L34)/N34))</f>
        <v>-0.49239037164077631</v>
      </c>
      <c r="P34" s="63">
        <f>IF($D$6=1,(K34^2)/(H34*J34^2)+(M34^2)/(I34*L34^2),(IF($D$5=1,((H34+I34)/(H34*I34))+(O34*O34)/(2*(H34+I34-3.94)),((H34+I34)/(H34*I34))+((O34^2)/(2*(H34+I34-2))))))</f>
        <v>0.10414661831025813</v>
      </c>
      <c r="Q34" s="59">
        <f>$R$52*SQRT(P34)</f>
        <v>0.63252640174200447</v>
      </c>
      <c r="R34" s="59">
        <f>1/P34</f>
        <v>9.60184801220284</v>
      </c>
      <c r="S34" s="59">
        <f>O34*R34</f>
        <v>-4.727857511166806</v>
      </c>
      <c r="T34" s="59">
        <f>R34*(O34^2)</f>
        <v>2.3279515169880591</v>
      </c>
      <c r="U34" s="23">
        <f>R34^2</f>
        <v>92.195485249443635</v>
      </c>
      <c r="V34" s="59">
        <f>1/((1/R34)+$I$49)</f>
        <v>3.5450656119604802</v>
      </c>
      <c r="W34" s="59">
        <f>V34*O34</f>
        <v>-1.745556174164157</v>
      </c>
      <c r="AF34" s="59">
        <f>IF($D$6=1,100*((EXP(O34))-1),O34)</f>
        <v>-0.49239037164077631</v>
      </c>
      <c r="AG34" s="59">
        <f>IF($D$6=1,100*(EXP(O34+Q34)-EXP(O34)),Q34)</f>
        <v>0.63252640174200447</v>
      </c>
      <c r="AH34" s="59">
        <f>IF($D$6=1,100*(EXP(O34)-EXP(O34-Q34)),Q34)</f>
        <v>0.63252640174200447</v>
      </c>
      <c r="AJ34">
        <f>SQRT(P34)</f>
        <v>0.32271755190918594</v>
      </c>
      <c r="AK34">
        <f>1/AJ34</f>
        <v>3.0986848843021844</v>
      </c>
      <c r="AL34">
        <f>O34/AJ34</f>
        <v>-1.5257626017792085</v>
      </c>
      <c r="AN34" t="str">
        <f t="shared" si="3"/>
        <v>Walterfang M</v>
      </c>
      <c r="AO34">
        <f t="shared" si="3"/>
        <v>2009</v>
      </c>
      <c r="AP34" t="str">
        <f>CONCATENATE(AN34," ",AO34)</f>
        <v>Walterfang M 2009</v>
      </c>
      <c r="AQ34">
        <f>INT(H34)</f>
        <v>26</v>
      </c>
      <c r="AR34">
        <f t="shared" si="4"/>
        <v>100.78</v>
      </c>
      <c r="AS34">
        <f t="shared" si="4"/>
        <v>6.73</v>
      </c>
      <c r="AT34">
        <f>INT(I34)</f>
        <v>16</v>
      </c>
      <c r="AU34">
        <f t="shared" si="5"/>
        <v>104.15</v>
      </c>
      <c r="AV34">
        <f t="shared" si="5"/>
        <v>6.69</v>
      </c>
      <c r="AW34" s="65">
        <f>O34</f>
        <v>-0.49239037164077631</v>
      </c>
      <c r="AX34">
        <f>SQRT(P34)</f>
        <v>0.32271755190918594</v>
      </c>
      <c r="AY34" t="str">
        <f>$F$6</f>
        <v>Cohens Effect size</v>
      </c>
    </row>
    <row r="35" spans="5:51">
      <c r="E35" t="str">
        <f t="shared" si="0"/>
        <v>Walterfang M</v>
      </c>
      <c r="F35">
        <f t="shared" si="0"/>
        <v>2009</v>
      </c>
      <c r="G35">
        <v>1</v>
      </c>
      <c r="H35">
        <f t="shared" si="1"/>
        <v>28</v>
      </c>
      <c r="I35">
        <f t="shared" si="1"/>
        <v>16</v>
      </c>
      <c r="J35">
        <f t="shared" si="2"/>
        <v>100.44</v>
      </c>
      <c r="K35">
        <f t="shared" si="2"/>
        <v>8.1300000000000008</v>
      </c>
      <c r="L35">
        <f t="shared" si="2"/>
        <v>104.15</v>
      </c>
      <c r="M35">
        <f t="shared" si="2"/>
        <v>6.69</v>
      </c>
      <c r="N35">
        <f>IF($D$3=1,SQRT((((I35-1)*(M35)^2)+((H35-1)*(K35)^2))/(H35+I35-2)),M35)</f>
        <v>7.6469069377288577</v>
      </c>
      <c r="O35" s="59">
        <f>IF($D$6=1,LN(J35/L35),IF($D$5=1,(1-3/(4*(H35+I35)-9))*((J35-L35)/N35),(J35-L35)/N35))</f>
        <v>-0.47644797080468493</v>
      </c>
      <c r="P35" s="63">
        <f>IF($D$6=1,(K35^2)/(H35*J35^2)+(M35^2)/(I35*L35^2),(IF($D$5=1,((H35+I35)/(H35*I35))+(O35*O35)/(2*(H35+I35-3.94)),((H35+I35)/(H35*I35))+((O35^2)/(2*(H35+I35-2))))))</f>
        <v>0.10104756915018065</v>
      </c>
      <c r="Q35" s="59">
        <f>$R$52*SQRT(P35)</f>
        <v>0.62304441386415943</v>
      </c>
      <c r="R35" s="59">
        <f>1/P35</f>
        <v>9.8963291092511376</v>
      </c>
      <c r="S35" s="59">
        <f>O35*R35</f>
        <v>-4.7150859225180399</v>
      </c>
      <c r="T35" s="59">
        <f>R35*(O35^2)</f>
        <v>2.2464931199534561</v>
      </c>
      <c r="U35" s="23">
        <f>R35^2</f>
        <v>97.937329838611419</v>
      </c>
      <c r="V35" s="59">
        <f>1/((1/R35)+$I$49)</f>
        <v>3.5844455226849625</v>
      </c>
      <c r="W35" s="59">
        <f>V35*O35</f>
        <v>-1.7078017957431886</v>
      </c>
      <c r="AF35" s="59">
        <f>IF($D$6=1,100*((EXP(O35))-1),O35)</f>
        <v>-0.47644797080468493</v>
      </c>
      <c r="AG35" s="59">
        <f>IF($D$6=1,100*(EXP(O35+Q35)-EXP(O35)),Q35)</f>
        <v>0.62304441386415943</v>
      </c>
      <c r="AH35" s="59">
        <f>IF($D$6=1,100*(EXP(O35)-EXP(O35-Q35)),Q35)</f>
        <v>0.62304441386415943</v>
      </c>
      <c r="AJ35">
        <f>SQRT(P35)</f>
        <v>0.31787980299191809</v>
      </c>
      <c r="AK35">
        <f>1/AJ35</f>
        <v>3.1458431475919357</v>
      </c>
      <c r="AL35">
        <f>O35/AJ35</f>
        <v>-1.4988305841400007</v>
      </c>
      <c r="AN35" t="str">
        <f t="shared" si="3"/>
        <v>Walterfang M</v>
      </c>
      <c r="AO35">
        <f t="shared" si="3"/>
        <v>2009</v>
      </c>
      <c r="AP35" t="str">
        <f>CONCATENATE(AN35," ",AO35)</f>
        <v>Walterfang M 2009</v>
      </c>
      <c r="AQ35">
        <f>INT(H35)</f>
        <v>28</v>
      </c>
      <c r="AR35">
        <f t="shared" si="4"/>
        <v>100.44</v>
      </c>
      <c r="AS35">
        <f t="shared" si="4"/>
        <v>8.1300000000000008</v>
      </c>
      <c r="AT35">
        <f>INT(I35)</f>
        <v>16</v>
      </c>
      <c r="AU35">
        <f t="shared" si="5"/>
        <v>104.15</v>
      </c>
      <c r="AV35">
        <f t="shared" si="5"/>
        <v>6.69</v>
      </c>
      <c r="AW35" s="65">
        <f>O35</f>
        <v>-0.47644797080468493</v>
      </c>
      <c r="AX35">
        <f>SQRT(P35)</f>
        <v>0.31787980299191809</v>
      </c>
      <c r="AY35" t="str">
        <f>$F$5</f>
        <v>H Correction</v>
      </c>
    </row>
    <row r="36" spans="5:51">
      <c r="U36" s="23"/>
    </row>
    <row r="37" spans="5:51">
      <c r="L37" t="s">
        <v>500</v>
      </c>
      <c r="N37" s="7"/>
      <c r="O37" s="66">
        <f>COUNT(O32:O35)</f>
        <v>4</v>
      </c>
      <c r="Q37" t="s">
        <v>885</v>
      </c>
      <c r="R37" s="59">
        <f t="shared" ref="R37:W37" si="6">SUM(R32:R35)</f>
        <v>41.877942487373595</v>
      </c>
      <c r="S37" s="59">
        <f t="shared" si="6"/>
        <v>-2.9886654979504801</v>
      </c>
      <c r="T37" s="59">
        <f t="shared" si="6"/>
        <v>8.7228474975105961</v>
      </c>
      <c r="U37" s="23">
        <f t="shared" si="6"/>
        <v>457.06288693822455</v>
      </c>
      <c r="V37" s="59">
        <f t="shared" si="6"/>
        <v>14.498647543521662</v>
      </c>
      <c r="W37" s="59">
        <f t="shared" si="6"/>
        <v>-0.92119901805969162</v>
      </c>
    </row>
    <row r="38" spans="5:51">
      <c r="L38" t="s">
        <v>501</v>
      </c>
      <c r="N38" s="7"/>
      <c r="O38" s="2">
        <v>0</v>
      </c>
    </row>
    <row r="39" spans="5:51">
      <c r="N39" s="7"/>
      <c r="O39" s="7"/>
    </row>
    <row r="40" spans="5:51">
      <c r="G40" s="67" t="s">
        <v>502</v>
      </c>
      <c r="H40" s="40"/>
      <c r="I40" s="40">
        <f>S37/R37</f>
        <v>-7.1366101590391584E-2</v>
      </c>
      <c r="J40" s="40"/>
      <c r="K40" s="68" t="s">
        <v>879</v>
      </c>
      <c r="L40" s="40"/>
      <c r="M40" s="42"/>
      <c r="N40" s="7"/>
      <c r="O40" s="69" t="s">
        <v>503</v>
      </c>
      <c r="P40" s="70">
        <f>T37-((S37^2)/R37)</f>
        <v>8.5095580919641645</v>
      </c>
      <c r="Q40" s="71" t="s">
        <v>824</v>
      </c>
      <c r="R40" s="28"/>
      <c r="S40" s="29"/>
      <c r="T40" s="30"/>
      <c r="U40" s="31"/>
      <c r="AF40" s="2" t="s">
        <v>1518</v>
      </c>
    </row>
    <row r="41" spans="5:51">
      <c r="G41" s="43" t="s">
        <v>504</v>
      </c>
      <c r="H41" s="31"/>
      <c r="I41" s="31">
        <f>1/R37</f>
        <v>2.387891908255772E-2</v>
      </c>
      <c r="J41" s="31"/>
      <c r="K41" s="31"/>
      <c r="L41" s="31"/>
      <c r="M41" s="44"/>
      <c r="N41" s="7"/>
      <c r="O41" s="30" t="s">
        <v>505</v>
      </c>
      <c r="P41" s="31">
        <f>CHIDIST(P40,I45-1)</f>
        <v>3.6574870695420286E-2</v>
      </c>
      <c r="Q41" s="31"/>
      <c r="R41" s="31"/>
      <c r="S41" s="34"/>
      <c r="T41" s="30"/>
      <c r="U41" s="31"/>
      <c r="AF41" s="2"/>
    </row>
    <row r="42" spans="5:51">
      <c r="G42" s="72" t="s">
        <v>506</v>
      </c>
      <c r="H42" s="31"/>
      <c r="I42" s="31">
        <f>$R$52*SQRT(I41)</f>
        <v>0.30287498336368707</v>
      </c>
      <c r="J42" s="31"/>
      <c r="K42" s="31" t="s">
        <v>507</v>
      </c>
      <c r="L42" s="31"/>
      <c r="M42" s="44">
        <f>ABS(I40/SQRT(I41))</f>
        <v>0.46183265967927412</v>
      </c>
      <c r="N42" s="7"/>
      <c r="O42" s="35" t="s">
        <v>508</v>
      </c>
      <c r="P42" s="37">
        <f>IF(((P40-(I45-1))/P40)&lt;0,0,100*((P40-(I45-1))/P40))</f>
        <v>64.745525354213257</v>
      </c>
      <c r="Q42" s="36"/>
      <c r="R42" s="36"/>
      <c r="S42" s="38"/>
      <c r="T42" s="30"/>
      <c r="U42" s="31"/>
      <c r="AF42" s="2" t="s">
        <v>1535</v>
      </c>
      <c r="AH42">
        <f>IF($D$6=1,100*((EXP(I40))-1),I40)</f>
        <v>-7.1366101590391584E-2</v>
      </c>
    </row>
    <row r="43" spans="5:51">
      <c r="G43" s="45" t="s">
        <v>509</v>
      </c>
      <c r="H43" s="46"/>
      <c r="I43" s="46">
        <v>-2</v>
      </c>
      <c r="J43" s="46"/>
      <c r="K43" s="46" t="s">
        <v>825</v>
      </c>
      <c r="L43" s="46"/>
      <c r="M43" s="47">
        <f>2*(1-NORMDIST(M42,0,1,1))</f>
        <v>0.64420132802604257</v>
      </c>
      <c r="N43" s="7"/>
      <c r="O43" s="7"/>
      <c r="AF43" s="79" t="s">
        <v>834</v>
      </c>
      <c r="AH43">
        <f>IF($D$6=1,100*(EXP(I40+I42)-EXP(I40)),I42)</f>
        <v>0.30287498336368707</v>
      </c>
    </row>
    <row r="44" spans="5:51">
      <c r="G44" s="40"/>
      <c r="H44" s="40"/>
      <c r="I44" s="40"/>
      <c r="J44" s="40"/>
      <c r="K44" s="40"/>
      <c r="L44" s="40"/>
      <c r="M44" s="40"/>
      <c r="N44" s="7"/>
      <c r="O44" s="7"/>
      <c r="AF44" s="79" t="s">
        <v>835</v>
      </c>
      <c r="AH44">
        <f>IF($D$6=1,100*(EXP(I40)-EXP(I40-I42)),I42)</f>
        <v>0.30287498336368707</v>
      </c>
    </row>
    <row r="45" spans="5:51">
      <c r="G45" s="73" t="s">
        <v>1110</v>
      </c>
      <c r="H45" s="74"/>
      <c r="I45" s="74">
        <f>O37</f>
        <v>4</v>
      </c>
      <c r="J45" s="74"/>
      <c r="K45" s="75" t="s">
        <v>1167</v>
      </c>
      <c r="L45" s="74"/>
      <c r="M45" s="76"/>
      <c r="N45" s="77"/>
      <c r="O45" s="101" t="s">
        <v>1513</v>
      </c>
      <c r="P45" s="102"/>
      <c r="Q45" s="103"/>
      <c r="AF45" s="7"/>
    </row>
    <row r="46" spans="5:51">
      <c r="G46" s="77" t="s">
        <v>1531</v>
      </c>
      <c r="H46" s="31"/>
      <c r="I46" s="31">
        <f>R37/I45</f>
        <v>10.469485621843399</v>
      </c>
      <c r="J46" s="31"/>
      <c r="K46" s="31"/>
      <c r="L46" s="31"/>
      <c r="M46" s="78"/>
      <c r="N46" s="77"/>
      <c r="O46" s="104" t="s">
        <v>1514</v>
      </c>
      <c r="P46" s="31"/>
      <c r="Q46" s="105">
        <f>INDEX(LINEST(AL32:AL35,AK32:AK35,TRUE,TRUE),1,2)</f>
        <v>2.1382850812461416</v>
      </c>
      <c r="AF46" s="2" t="s">
        <v>1687</v>
      </c>
      <c r="AH46">
        <f>IF($D$6=1,100*((EXP(I51))-1),I51)</f>
        <v>-6.3536893030502362E-2</v>
      </c>
    </row>
    <row r="47" spans="5:51">
      <c r="G47" s="77" t="s">
        <v>1532</v>
      </c>
      <c r="H47" s="31"/>
      <c r="I47" s="31">
        <f>(1/(I45-1))*(U37-(I45*I46^2))</f>
        <v>6.2074567314273086</v>
      </c>
      <c r="J47" s="31"/>
      <c r="K47" s="31"/>
      <c r="L47" s="31"/>
      <c r="M47" s="78"/>
      <c r="N47" s="77"/>
      <c r="O47" s="104" t="s">
        <v>1516</v>
      </c>
      <c r="P47" s="31"/>
      <c r="Q47" s="105">
        <f>INDEX(LINEST(AL32:AL35,AK32:AK35,TRUE,TRUE),2,2)</f>
        <v>10.261906730484395</v>
      </c>
      <c r="AF47" s="79" t="s">
        <v>834</v>
      </c>
      <c r="AG47" s="7"/>
      <c r="AH47">
        <f>IF($D$6=1,100*(EXP(I51+I53)-EXP(I51)),I53)</f>
        <v>0.51474522324963279</v>
      </c>
    </row>
    <row r="48" spans="5:51">
      <c r="G48" s="77" t="s">
        <v>1669</v>
      </c>
      <c r="H48" s="31"/>
      <c r="I48" s="31">
        <f>(I45-1)*(I46-(I47/(I45*I46)))</f>
        <v>30.963774794535503</v>
      </c>
      <c r="J48" s="31"/>
      <c r="K48" s="31"/>
      <c r="L48" s="31"/>
      <c r="M48" s="78"/>
      <c r="N48" s="77"/>
      <c r="O48" s="104" t="s">
        <v>1349</v>
      </c>
      <c r="P48" s="31"/>
      <c r="Q48" s="105">
        <f>ABS(Q46/Q47)</f>
        <v>0.20837112803745078</v>
      </c>
      <c r="AF48" s="79" t="s">
        <v>835</v>
      </c>
      <c r="AH48">
        <f>IF($D$6=1,100*(EXP(I51)-EXP(I51-I53)),I53)</f>
        <v>0.51474522324963279</v>
      </c>
    </row>
    <row r="49" spans="7:18">
      <c r="G49" s="77" t="s">
        <v>1685</v>
      </c>
      <c r="H49" s="31"/>
      <c r="I49" s="31">
        <f>IF(P40&gt;(I45-1),(P40-(I45-1))/I48,0)</f>
        <v>0.177935607932935</v>
      </c>
      <c r="J49" s="31"/>
      <c r="K49" s="31"/>
      <c r="L49" s="31"/>
      <c r="M49" s="78"/>
      <c r="N49" s="77"/>
      <c r="O49" s="106" t="s">
        <v>1515</v>
      </c>
      <c r="P49" s="107"/>
      <c r="Q49" s="108">
        <f>TDIST(Q48,I45-2,2)</f>
        <v>0.85423311287377546</v>
      </c>
    </row>
    <row r="50" spans="7:18">
      <c r="G50" s="77"/>
      <c r="H50" s="31"/>
      <c r="I50" s="31"/>
      <c r="J50" s="31"/>
      <c r="K50" s="31"/>
      <c r="L50" s="31"/>
      <c r="M50" s="78"/>
      <c r="N50" s="77"/>
    </row>
    <row r="51" spans="7:18">
      <c r="G51" s="77" t="s">
        <v>1686</v>
      </c>
      <c r="H51" s="31"/>
      <c r="I51" s="31">
        <f>W37/V37</f>
        <v>-6.3536893030502362E-2</v>
      </c>
      <c r="J51" s="31"/>
      <c r="N51" s="77"/>
    </row>
    <row r="52" spans="7:18">
      <c r="G52" s="77" t="s">
        <v>504</v>
      </c>
      <c r="H52" s="31"/>
      <c r="I52" s="31">
        <f>1/V37</f>
        <v>6.897195045249746E-2</v>
      </c>
      <c r="J52" s="31"/>
      <c r="N52" s="77"/>
      <c r="O52" t="s">
        <v>805</v>
      </c>
      <c r="R52">
        <v>1.96</v>
      </c>
    </row>
    <row r="53" spans="7:18">
      <c r="G53" s="80" t="s">
        <v>506</v>
      </c>
      <c r="H53" s="31"/>
      <c r="I53" s="31">
        <f>$R$52*SQRT(I52)</f>
        <v>0.51474522324963279</v>
      </c>
      <c r="J53" s="31"/>
      <c r="K53" s="31" t="s">
        <v>507</v>
      </c>
      <c r="L53" s="31"/>
      <c r="M53" s="78">
        <f>ABS(I51/(SQRT(I52)))</f>
        <v>0.24192999704514204</v>
      </c>
      <c r="N53" s="77"/>
    </row>
    <row r="54" spans="7:18">
      <c r="G54" s="81" t="s">
        <v>509</v>
      </c>
      <c r="H54" s="82"/>
      <c r="I54" s="82">
        <v>-3</v>
      </c>
      <c r="J54" s="82"/>
      <c r="K54" s="31" t="s">
        <v>825</v>
      </c>
      <c r="L54" s="31"/>
      <c r="M54" s="78">
        <f>2*(1-NORMDIST(M53,0,1,1))</f>
        <v>0.80883440615466218</v>
      </c>
      <c r="N54" s="77"/>
    </row>
    <row r="55" spans="7:18">
      <c r="G55" s="74"/>
      <c r="H55" s="74"/>
      <c r="I55" s="74"/>
      <c r="J55" s="74"/>
      <c r="K55" s="74"/>
      <c r="L55" s="74"/>
      <c r="M55" s="74"/>
      <c r="N55" s="31"/>
      <c r="O55" s="7"/>
    </row>
  </sheetData>
  <phoneticPr fontId="10" type="noConversion"/>
  <conditionalFormatting sqref="D17 D13 F13">
    <cfRule type="cellIs" dxfId="22" priority="0" stopIfTrue="1" operator="lessThan">
      <formula>0.05</formula>
    </cfRule>
  </conditionalFormatting>
  <conditionalFormatting sqref="D21">
    <cfRule type="cellIs" dxfId="2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69.xml><?xml version="1.0" encoding="utf-8"?>
<worksheet xmlns="http://schemas.openxmlformats.org/spreadsheetml/2006/main" xmlns:r="http://schemas.openxmlformats.org/officeDocument/2006/relationships">
  <sheetPr published="0" codeName="Sheet36" enableFormatConditionsCalculation="0"/>
  <dimension ref="A1:BM6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1750</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I50-O43</f>
        <v>5</v>
      </c>
      <c r="AD7" s="89"/>
    </row>
    <row r="8" spans="2:30">
      <c r="B8" t="s">
        <v>822</v>
      </c>
      <c r="D8">
        <f>SUM(H24:H30)</f>
        <v>161</v>
      </c>
      <c r="AD8" s="89"/>
    </row>
    <row r="9" spans="2:30">
      <c r="B9" t="s">
        <v>823</v>
      </c>
      <c r="D9">
        <f>SUM(I24:I30)</f>
        <v>158</v>
      </c>
      <c r="AD9" s="89"/>
    </row>
    <row r="11" spans="2:30">
      <c r="B11" s="27" t="s">
        <v>516</v>
      </c>
      <c r="C11" s="28"/>
      <c r="D11" s="109">
        <f>P45</f>
        <v>7.2809809192014727</v>
      </c>
      <c r="E11" s="110" t="s">
        <v>1513</v>
      </c>
      <c r="F11" s="103"/>
    </row>
    <row r="12" spans="2:30">
      <c r="B12" s="30" t="s">
        <v>826</v>
      </c>
      <c r="C12" s="31"/>
      <c r="D12" s="112">
        <f>P47</f>
        <v>17.593521167227035</v>
      </c>
      <c r="E12" s="31"/>
      <c r="F12" s="105"/>
    </row>
    <row r="13" spans="2:30">
      <c r="B13" s="35" t="s">
        <v>825</v>
      </c>
      <c r="C13" s="36"/>
      <c r="D13" s="113">
        <f>P46</f>
        <v>0.29564211473351482</v>
      </c>
      <c r="E13" s="111" t="s">
        <v>825</v>
      </c>
      <c r="F13" s="115">
        <f>Q54</f>
        <v>0.10587430098359504</v>
      </c>
    </row>
    <row r="15" spans="2:30">
      <c r="B15" s="39" t="s">
        <v>879</v>
      </c>
      <c r="C15" s="40"/>
      <c r="D15" s="41">
        <f>AH47</f>
        <v>0.23855028008855877</v>
      </c>
      <c r="E15" s="116"/>
    </row>
    <row r="16" spans="2:30">
      <c r="B16" s="43" t="s">
        <v>1165</v>
      </c>
      <c r="C16" s="31"/>
      <c r="D16" s="33">
        <f>AH47-AH49</f>
        <v>9.9270770076604065E-3</v>
      </c>
      <c r="E16" s="117">
        <f>AH47+AH48</f>
        <v>0.46717348316945717</v>
      </c>
    </row>
    <row r="17" spans="1:65">
      <c r="B17" s="45" t="s">
        <v>1166</v>
      </c>
      <c r="C17" s="46"/>
      <c r="D17" s="123">
        <f>M48</f>
        <v>4.0844467259546269E-2</v>
      </c>
      <c r="E17" s="118"/>
    </row>
    <row r="18" spans="1:65">
      <c r="D18" s="48"/>
      <c r="F18" s="49"/>
    </row>
    <row r="19" spans="1:65">
      <c r="B19" s="50" t="s">
        <v>1167</v>
      </c>
      <c r="C19" s="51"/>
      <c r="D19" s="52">
        <f>AH51</f>
        <v>0.24965685923011929</v>
      </c>
      <c r="E19" s="120"/>
      <c r="F19" s="33"/>
      <c r="G19" s="31"/>
    </row>
    <row r="20" spans="1:65">
      <c r="B20" s="53" t="s">
        <v>1165</v>
      </c>
      <c r="C20" s="31"/>
      <c r="D20" s="33">
        <f>AH51-AH53</f>
        <v>-4.4207696652611983E-3</v>
      </c>
      <c r="E20" s="121">
        <f>AH51+AH52</f>
        <v>0.50373448812549981</v>
      </c>
      <c r="F20" s="31"/>
      <c r="G20" s="31"/>
    </row>
    <row r="21" spans="1:65">
      <c r="B21" s="54" t="s">
        <v>1440</v>
      </c>
      <c r="C21" s="55"/>
      <c r="D21" s="114">
        <f>M59</f>
        <v>5.4117186559101249E-2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11522262</v>
      </c>
      <c r="C24" s="1" t="str">
        <f>IF($B24="","",HYPERLINK(IF(LEN(VLOOKUP($B24,Database!$B$1:$IX$10144,2,FALSE))=0,"",VLOOKUP($B24,Database!$B$1:$IX$10144,2,FALSE))))</f>
        <v/>
      </c>
      <c r="D24" s="1" t="str">
        <f t="shared" ref="D24:D30" si="0">IF($B24="","",HYPERLINK(CONCATENATE("http://www.ncbi.nlm.nih.gov/pubmed/",B24)))</f>
        <v>http://www.ncbi.nlm.nih.gov/pubmed/11522262</v>
      </c>
      <c r="E24" s="22" t="str">
        <f>IF($B24="","",IF(LEN(VLOOKUP($B24,Database!$B$1:$IX$10144,4,FALSE))=0,"",VLOOKUP($B24,Database!$B$1:$IX$10144,4,FALSE)))</f>
        <v>Sassi RB</v>
      </c>
      <c r="F24" s="22">
        <f>IF($B24="","",IF(LEN(VLOOKUP($B24,Database!$B$1:$IX$10144,5,FALSE))=0,"",VLOOKUP($B24,Database!$B$1:$IX$10144,5,FALSE)))</f>
        <v>2001</v>
      </c>
      <c r="G24" s="1" t="str">
        <f>IF($B24="","",HYPERLINK(IF(LEN(VLOOKUP($B24,Database!$B$1:$IX$10144,6,FALSE))=0,"",VLOOKUP($B24,Database!$B$1:$IX$10144,6,FALSE))))</f>
        <v>http://dx.doi.org/10.1016/S0006-3223(01)01086-1</v>
      </c>
      <c r="H24" s="22">
        <f>IF($B24="","",IF(LEN(VLOOKUP($B24,Database!$B$1:$IX$10144,7,FALSE))=0,"",VLOOKUP($B24,Database!$B$1:$IX$10144,7,FALSE)))</f>
        <v>13</v>
      </c>
      <c r="I24" s="22">
        <f>IF($B24="","",IF(LEN(VLOOKUP($B24,Database!$B$1:$IX$10144,8,FALSE))=0,"",VLOOKUP($B24,Database!$B$1:$IX$10144,8,FALSE)))</f>
        <v>34</v>
      </c>
      <c r="J24" t="s">
        <v>1751</v>
      </c>
      <c r="T24">
        <v>0.7</v>
      </c>
      <c r="U24">
        <v>0.12</v>
      </c>
      <c r="V24">
        <v>0.68</v>
      </c>
      <c r="W24">
        <v>0.2</v>
      </c>
      <c r="Y24" s="22" t="str">
        <f>IF(OR($B24="",Y$22=""),"",IF(LEN(VLOOKUP($B24,Database!$B$1:$IX$10144,Y$22,FALSE))=0,"",VLOOKUP($B24,Database!$B$1:$IX$10144,Y$22,FALSE)))</f>
        <v>DSM-IV</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41.2</v>
      </c>
      <c r="AC24" s="22">
        <f>IF(OR($B24="",AC$22=""),"",IF(LEN(VLOOKUP($B24,Database!$B$1:$IX$10144,AC$22,FALSE))=0,"",VLOOKUP($B24,Database!$B$1:$IX$10144,AC$22,FALSE)))</f>
        <v>9.6</v>
      </c>
      <c r="AD24" s="22">
        <f>IF(OR($B24="",AD$22=""),"",IF(LEN(VLOOKUP($B24,Database!$B$1:$IX$10144,AD$22,FALSE))=0,"",VLOOKUP($B24,Database!$B$1:$IX$10144,AD$22,FALSE)))</f>
        <v>36.6</v>
      </c>
      <c r="AE24" s="22">
        <f>IF(OR($B24="",AE$22=""),"",IF(LEN(VLOOKUP($B24,Database!$B$1:$IX$10144,AE$22,FALSE))=0,"",VLOOKUP($B24,Database!$B$1:$IX$10144,AE$22,FALSE)))</f>
        <v>9.6</v>
      </c>
      <c r="AF24" s="22">
        <f>IF(OR($B24="",AF$22=""),"",IF(LEN(VLOOKUP($B24,Database!$B$1:$IX$10144,AF$22,FALSE))=0,"",VLOOKUP($B24,Database!$B$1:$IX$10144,AF$22,FALSE)))</f>
        <v>12</v>
      </c>
      <c r="AG24" s="22">
        <f>IF(OR($B24="",AG$22=""),"",IF(LEN(VLOOKUP($B24,Database!$B$1:$IX$10144,AG$22,FALSE))=0,"",VLOOKUP($B24,Database!$B$1:$IX$10144,AG$22,FALSE)))</f>
        <v>13</v>
      </c>
      <c r="AH24" s="22">
        <f>IF(OR($B24="",AH$22=""),"",IF(LEN(VLOOKUP($B24,Database!$B$1:$IX$10144,AH$22,FALSE))=0,"",VLOOKUP($B24,Database!$B$1:$IX$10144,AH$22,FALSE)))</f>
        <v>1.5</v>
      </c>
      <c r="AI24" s="22">
        <f>IF(OR($B24="",AI$22=""),"",IF(LEN(VLOOKUP($B24,Database!$B$1:$IX$10144,AI$22,FALSE))=0,"",VLOOKUP($B24,Database!$B$1:$IX$10144,AI$22,FALSE)))</f>
        <v>1.5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f>IF(OR($B24="",AM$22=""),"",IF(LEN(VLOOKUP($B24,Database!$B$1:$IX$10144,AM$22,FALSE))=0,"",VLOOKUP($B24,Database!$B$1:$IX$10144,AM$22,FALSE)))</f>
        <v>0</v>
      </c>
      <c r="AN24" s="22">
        <f>IF(OR($B24="",AN$22=""),"",IF(LEN(VLOOKUP($B24,Database!$B$1:$IX$10144,AN$22,FALSE))=0,"",VLOOKUP($B24,Database!$B$1:$IX$10144,AN$22,FALSE)))</f>
        <v>0</v>
      </c>
      <c r="AO24" s="22">
        <f>IF(OR($B24="",AO$22=""),"",IF(LEN(VLOOKUP($B24,Database!$B$1:$IX$10144,AO$22,FALSE))=0,"",VLOOKUP($B24,Database!$B$1:$IX$10144,AO$22,FALSE)))</f>
        <v>0</v>
      </c>
      <c r="AP24" s="22">
        <f>IF(OR($B24="",AP$22=""),"",IF(LEN(VLOOKUP($B24,Database!$B$1:$IX$10144,AP$22,FALSE))=0,"",VLOOKUP($B24,Database!$B$1:$IX$10144,AP$22,FALSE)))</f>
        <v>100</v>
      </c>
      <c r="AQ24" s="22" t="str">
        <f>IF(OR($B24="",AQ$22=""),"",IF(LEN(VLOOKUP($B24,Database!$B$1:$IX$10144,AQ$22,FALSE))=0,"",VLOOKUP($B24,Database!$B$1:$IX$10144,AQ$22,FALSE)))</f>
        <v>Sassi RB, Nicoletti M, Brambilla P, Harenski K, Mallinger AG, Frank E, Kupfer DJ, Keshavan MS, Soares JC.</v>
      </c>
      <c r="AR24" s="13"/>
      <c r="AX24" s="13"/>
      <c r="AY24" s="13"/>
      <c r="AZ24" s="13"/>
      <c r="BA24" s="13"/>
      <c r="BC24" s="23"/>
      <c r="BF24" s="136"/>
      <c r="BG24" s="136"/>
      <c r="BH24" s="136"/>
      <c r="BI24" s="136"/>
    </row>
    <row r="25" spans="1:65">
      <c r="A25" t="s">
        <v>2113</v>
      </c>
      <c r="B25">
        <v>15003427</v>
      </c>
      <c r="C25" s="1" t="str">
        <f>IF($B25="","",HYPERLINK(IF(LEN(VLOOKUP($B25,Database!$B$1:$IX$10144,2,FALSE))=0,"",VLOOKUP($B25,Database!$B$1:$IX$10144,2,FALSE))))</f>
        <v/>
      </c>
      <c r="D25" s="1" t="str">
        <f t="shared" si="0"/>
        <v>http://www.ncbi.nlm.nih.gov/pubmed/15003427</v>
      </c>
      <c r="E25" s="22" t="str">
        <f>IF($B25="","",IF(LEN(VLOOKUP($B25,Database!$B$1:$IX$10144,4,FALSE))=0,"",VLOOKUP($B25,Database!$B$1:$IX$10144,4,FALSE)))</f>
        <v>MacMaster FP (B)</v>
      </c>
      <c r="F25" s="22">
        <f>IF($B25="","",IF(LEN(VLOOKUP($B25,Database!$B$1:$IX$10144,5,FALSE))=0,"",VLOOKUP($B25,Database!$B$1:$IX$10144,5,FALSE)))</f>
        <v>2004</v>
      </c>
      <c r="G25" s="1" t="str">
        <f>IF($B25="","",HYPERLINK(IF(LEN(VLOOKUP($B25,Database!$B$1:$IX$10144,6,FALSE))=0,"",VLOOKUP($B25,Database!$B$1:$IX$10144,6,FALSE))))</f>
        <v>http://dx.doi.org/10.1016/j.jpsychires.2003.11.001</v>
      </c>
      <c r="H25" s="22">
        <f>IF($B25="","",IF(LEN(VLOOKUP($B25,Database!$B$1:$IX$10144,7,FALSE))=0,"",VLOOKUP($B25,Database!$B$1:$IX$10144,7,FALSE)))</f>
        <v>17</v>
      </c>
      <c r="I25" s="22">
        <f>IF($B25="","",IF(LEN(VLOOKUP($B25,Database!$B$1:$IX$10144,8,FALSE))=0,"",VLOOKUP($B25,Database!$B$1:$IX$10144,8,FALSE)))</f>
        <v>17</v>
      </c>
      <c r="J25" t="s">
        <v>1770</v>
      </c>
      <c r="T25">
        <v>0.74</v>
      </c>
      <c r="U25">
        <v>0.13</v>
      </c>
      <c r="V25">
        <v>0.6</v>
      </c>
      <c r="W25">
        <v>0.14000000000000001</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16.670000000000002</v>
      </c>
      <c r="AC25" s="22">
        <f>IF(OR($B25="",AC$22=""),"",IF(LEN(VLOOKUP($B25,Database!$B$1:$IX$10144,AC$22,FALSE))=0,"",VLOOKUP($B25,Database!$B$1:$IX$10144,AC$22,FALSE)))</f>
        <v>1.83</v>
      </c>
      <c r="AD25" s="22">
        <f>IF(OR($B25="",AD$22=""),"",IF(LEN(VLOOKUP($B25,Database!$B$1:$IX$10144,AD$22,FALSE))=0,"",VLOOKUP($B25,Database!$B$1:$IX$10144,AD$22,FALSE)))</f>
        <v>16.23</v>
      </c>
      <c r="AE25" s="22">
        <f>IF(OR($B25="",AE$22=""),"",IF(LEN(VLOOKUP($B25,Database!$B$1:$IX$10144,AE$22,FALSE))=0,"",VLOOKUP($B25,Database!$B$1:$IX$10144,AE$22,FALSE)))</f>
        <v>1.61</v>
      </c>
      <c r="AF25" s="22">
        <f>IF(OR($B25="",AF$22=""),"",IF(LEN(VLOOKUP($B25,Database!$B$1:$IX$10144,AF$22,FALSE))=0,"",VLOOKUP($B25,Database!$B$1:$IX$10144,AF$22,FALSE)))</f>
        <v>9</v>
      </c>
      <c r="AG25" s="22">
        <f>IF(OR($B25="",AG$22=""),"",IF(LEN(VLOOKUP($B25,Database!$B$1:$IX$10144,AG$22,FALSE))=0,"",VLOOKUP($B25,Database!$B$1:$IX$10144,AG$22,FALSE)))</f>
        <v>9</v>
      </c>
      <c r="AH25" s="22">
        <f>IF(OR($B25="",AH$22=""),"",IF(LEN(VLOOKUP($B25,Database!$B$1:$IX$10144,AH$22,FALSE))=0,"",VLOOKUP($B25,Database!$B$1:$IX$10144,AH$22,FALSE)))</f>
        <v>1.5</v>
      </c>
      <c r="AI25" s="22">
        <f>IF(OR($B25="",AI$22=""),"",IF(LEN(VLOOKUP($B25,Database!$B$1:$IX$10144,AI$22,FALSE))=0,"",VLOOKUP($B25,Database!$B$1:$IX$10144,AI$22,FALSE)))</f>
        <v>1.45</v>
      </c>
      <c r="AJ25" s="22" t="str">
        <f>IF(OR($B25="",AJ$22=""),"",IF(LEN(VLOOKUP($B25,Database!$B$1:$IX$10144,AJ$22,FALSE))=0,"",VLOOKUP($B25,Database!$B$1:$IX$10144,AJ$22,FALSE)))</f>
        <v/>
      </c>
      <c r="AK25" s="22">
        <f>IF(OR($B25="",AK$22=""),"",IF(LEN(VLOOKUP($B25,Database!$B$1:$IX$10144,AK$22,FALSE))=0,"",VLOOKUP($B25,Database!$B$1:$IX$10144,AK$22,FALSE)))</f>
        <v>14.06</v>
      </c>
      <c r="AL25" s="22" t="str">
        <f>IF(OR($B25="",AL$22=""),"",IF(LEN(VLOOKUP($B25,Database!$B$1:$IX$10144,AL$22,FALSE))=0,"",VLOOKUP($B25,Database!$B$1:$IX$10144,AL$22,FALSE)))</f>
        <v>ns</v>
      </c>
      <c r="AM25" s="22">
        <f>IF(OR($B25="",AM$22=""),"",IF(LEN(VLOOKUP($B25,Database!$B$1:$IX$10144,AM$22,FALSE))=0,"",VLOOKUP($B25,Database!$B$1:$IX$10144,AM$22,FALSE)))</f>
        <v>5.8823529411764701</v>
      </c>
      <c r="AN25" s="22">
        <f>IF(OR($B25="",AN$22=""),"",IF(LEN(VLOOKUP($B25,Database!$B$1:$IX$10144,AN$22,FALSE))=0,"",VLOOKUP($B25,Database!$B$1:$IX$10144,AN$22,FALSE)))</f>
        <v>0</v>
      </c>
      <c r="AO25" s="22">
        <f>IF(OR($B25="",AO$22=""),"",IF(LEN(VLOOKUP($B25,Database!$B$1:$IX$10144,AO$22,FALSE))=0,"",VLOOKUP($B25,Database!$B$1:$IX$10144,AO$22,FALSE)))</f>
        <v>0</v>
      </c>
      <c r="AP25" s="22">
        <f>IF(OR($B25="",AP$22=""),"",IF(LEN(VLOOKUP($B25,Database!$B$1:$IX$10144,AP$22,FALSE))=0,"",VLOOKUP($B25,Database!$B$1:$IX$10144,AP$22,FALSE)))</f>
        <v>82.35294117647058</v>
      </c>
      <c r="AQ25" s="22" t="str">
        <f>IF(OR($B25="",AQ$22=""),"",IF(LEN(VLOOKUP($B25,Database!$B$1:$IX$10144,AQ$22,FALSE))=0,"",VLOOKUP($B25,Database!$B$1:$IX$10144,AQ$22,FALSE)))</f>
        <v>MacMaster FP, Kusumakar V.</v>
      </c>
      <c r="AR25" s="13"/>
      <c r="AX25" s="13"/>
      <c r="AY25" s="13"/>
      <c r="AZ25" s="13"/>
      <c r="BA25" s="13"/>
      <c r="BC25" s="23"/>
      <c r="BF25" s="136"/>
      <c r="BG25" s="136"/>
      <c r="BH25" s="136"/>
      <c r="BI25" s="136"/>
    </row>
    <row r="26" spans="1:65">
      <c r="A26" t="s">
        <v>2006</v>
      </c>
      <c r="B26">
        <v>16876142</v>
      </c>
      <c r="C26" s="1" t="str">
        <f>IF($B26="","",HYPERLINK(IF(LEN(VLOOKUP($B26,Database!$B$1:$IX$10144,2,FALSE))=0,"",VLOOKUP($B26,Database!$B$1:$IX$10144,2,FALSE))))</f>
        <v/>
      </c>
      <c r="D26" s="1" t="str">
        <f t="shared" si="0"/>
        <v>http://www.ncbi.nlm.nih.gov/pubmed/16876142</v>
      </c>
      <c r="E26" s="22" t="str">
        <f>IF($B26="","",IF(LEN(VLOOKUP($B26,Database!$B$1:$IX$10144,4,FALSE))=0,"",VLOOKUP($B26,Database!$B$1:$IX$10144,4,FALSE)))</f>
        <v>MacMaster FP</v>
      </c>
      <c r="F26" s="22">
        <f>IF($B26="","",IF(LEN(VLOOKUP($B26,Database!$B$1:$IX$10144,5,FALSE))=0,"",VLOOKUP($B26,Database!$B$1:$IX$10144,5,FALSE)))</f>
        <v>2006</v>
      </c>
      <c r="G26" s="1" t="str">
        <f>IF($B26="","",HYPERLINK(IF(LEN(VLOOKUP($B26,Database!$B$1:$IX$10144,6,FALSE))=0,"",VLOOKUP($B26,Database!$B$1:$IX$10144,6,FALSE))))</f>
        <v>http://dx.doi.org/10.1016/j.biopsych.2006.04.013</v>
      </c>
      <c r="H26" s="83">
        <v>15</v>
      </c>
      <c r="I26" s="83">
        <v>15</v>
      </c>
      <c r="J26" t="s">
        <v>1770</v>
      </c>
      <c r="K26" t="s">
        <v>1606</v>
      </c>
      <c r="T26">
        <v>0.64</v>
      </c>
      <c r="U26">
        <v>0.21</v>
      </c>
      <c r="V26">
        <v>0.52</v>
      </c>
      <c r="W26">
        <v>0.16</v>
      </c>
      <c r="Y26" s="22" t="str">
        <f>IF(OR($B26="",Y$22=""),"",IF(LEN(VLOOKUP($B26,Database!$B$1:$IX$10144,Y$22,FALSE))=0,"",VLOOKUP($B26,Database!$B$1:$IX$10144,Y$22,FALSE)))</f>
        <v>DSM-IV</v>
      </c>
      <c r="Z26" s="22" t="str">
        <f>IF(OR($B26="",Z$22=""),"",IF(LEN(VLOOKUP($B26,Database!$B$1:$IX$10144,Z$22,FALSE))=0,"",VLOOKUP($B26,Database!$B$1:$IX$10144,Z$22,FALSE)))</f>
        <v>MRI</v>
      </c>
      <c r="AA26" s="214" t="s">
        <v>1367</v>
      </c>
      <c r="AB26" s="214">
        <v>13.82</v>
      </c>
      <c r="AC26" s="214">
        <v>2.81</v>
      </c>
      <c r="AD26" s="22">
        <f>IF(OR($B26="",AD$22=""),"",IF(LEN(VLOOKUP($B26,Database!$B$1:$IX$10144,AD$22,FALSE))=0,"",VLOOKUP($B26,Database!$B$1:$IX$10144,AD$22,FALSE)))</f>
        <v>14.33</v>
      </c>
      <c r="AE26" s="22">
        <f>IF(OR($B26="",AE$22=""),"",IF(LEN(VLOOKUP($B26,Database!$B$1:$IX$10144,AE$22,FALSE))=0,"",VLOOKUP($B26,Database!$B$1:$IX$10144,AE$22,FALSE)))</f>
        <v>2.46</v>
      </c>
      <c r="AF26" s="214">
        <v>0</v>
      </c>
      <c r="AG26" s="214">
        <v>0</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14">
        <v>12.52</v>
      </c>
      <c r="AL26" s="22">
        <f>IF(OR($B26="",AL$22=""),"",IF(LEN(VLOOKUP($B26,Database!$B$1:$IX$10144,AL$22,FALSE))=0,"",VLOOKUP($B26,Database!$B$1:$IX$10144,AL$22,FALSE)))</f>
        <v>13.77</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MacMaster FP, Russell A, Mirza Y, Keshavan MS, Taormina SP, Bhandari R, Boyd C, Lynch M, Rose M, Ivey J, Moore GJ, Rosenberg DR.</v>
      </c>
      <c r="AR26" s="13"/>
      <c r="AU26" s="22"/>
      <c r="AX26" s="13"/>
      <c r="AY26" s="13"/>
      <c r="AZ26" s="13"/>
      <c r="BA26" s="13"/>
      <c r="BC26" s="23"/>
      <c r="BF26" s="136"/>
      <c r="BG26" s="136"/>
      <c r="BH26" s="136"/>
      <c r="BI26" s="136"/>
    </row>
    <row r="27" spans="1:65">
      <c r="A27" t="s">
        <v>2006</v>
      </c>
      <c r="B27">
        <v>16876142</v>
      </c>
      <c r="C27" s="1" t="str">
        <f>IF($B27="","",HYPERLINK(IF(LEN(VLOOKUP($B27,Database!$B$1:$IX$10144,2,FALSE))=0,"",VLOOKUP($B27,Database!$B$1:$IX$10144,2,FALSE))))</f>
        <v/>
      </c>
      <c r="D27" s="1" t="str">
        <f t="shared" si="0"/>
        <v>http://www.ncbi.nlm.nih.gov/pubmed/16876142</v>
      </c>
      <c r="E27" s="22" t="str">
        <f>IF($B27="","",IF(LEN(VLOOKUP($B27,Database!$B$1:$IX$10144,4,FALSE))=0,"",VLOOKUP($B27,Database!$B$1:$IX$10144,4,FALSE)))</f>
        <v>MacMaster FP</v>
      </c>
      <c r="F27" s="22">
        <f>IF($B27="","",IF(LEN(VLOOKUP($B27,Database!$B$1:$IX$10144,5,FALSE))=0,"",VLOOKUP($B27,Database!$B$1:$IX$10144,5,FALSE)))</f>
        <v>2006</v>
      </c>
      <c r="G27" s="1" t="str">
        <f>IF($B27="","",HYPERLINK(IF(LEN(VLOOKUP($B27,Database!$B$1:$IX$10144,6,FALSE))=0,"",VLOOKUP($B27,Database!$B$1:$IX$10144,6,FALSE))))</f>
        <v>http://dx.doi.org/10.1016/j.biopsych.2006.04.013</v>
      </c>
      <c r="H27" s="83">
        <v>20</v>
      </c>
      <c r="I27" s="83">
        <v>20</v>
      </c>
      <c r="J27" t="s">
        <v>1770</v>
      </c>
      <c r="K27" s="13" t="s">
        <v>1607</v>
      </c>
      <c r="T27">
        <v>0.65</v>
      </c>
      <c r="U27">
        <v>0.14000000000000001</v>
      </c>
      <c r="V27">
        <v>0.66</v>
      </c>
      <c r="W27">
        <v>0.15</v>
      </c>
      <c r="Y27" s="22" t="str">
        <f>IF(OR($B27="",Y$22=""),"",IF(LEN(VLOOKUP($B27,Database!$B$1:$IX$10144,Y$22,FALSE))=0,"",VLOOKUP($B27,Database!$B$1:$IX$10144,Y$22,FALSE)))</f>
        <v>DSM-IV</v>
      </c>
      <c r="Z27" s="22" t="str">
        <f>IF(OR($B27="",Z$22=""),"",IF(LEN(VLOOKUP($B27,Database!$B$1:$IX$10144,Z$22,FALSE))=0,"",VLOOKUP($B27,Database!$B$1:$IX$10144,Z$22,FALSE)))</f>
        <v>MRI</v>
      </c>
      <c r="AA27" s="214" t="s">
        <v>1368</v>
      </c>
      <c r="AB27" s="214">
        <v>14.72</v>
      </c>
      <c r="AC27" s="214">
        <v>2.16</v>
      </c>
      <c r="AD27" s="22">
        <f>IF(OR($B27="",AD$22=""),"",IF(LEN(VLOOKUP($B27,Database!$B$1:$IX$10144,AD$22,FALSE))=0,"",VLOOKUP($B27,Database!$B$1:$IX$10144,AD$22,FALSE)))</f>
        <v>14.33</v>
      </c>
      <c r="AE27" s="22">
        <f>IF(OR($B27="",AE$22=""),"",IF(LEN(VLOOKUP($B27,Database!$B$1:$IX$10144,AE$22,FALSE))=0,"",VLOOKUP($B27,Database!$B$1:$IX$10144,AE$22,FALSE)))</f>
        <v>2.46</v>
      </c>
      <c r="AF27" s="22">
        <f>IF(OR($B27="",AF$22=""),"",IF(LEN(VLOOKUP($B27,Database!$B$1:$IX$10144,AF$22,FALSE))=0,"",VLOOKUP($B27,Database!$B$1:$IX$10144,AF$22,FALSE)))</f>
        <v>20</v>
      </c>
      <c r="AG27" s="22">
        <f>IF(OR($B27="",AG$22=""),"",IF(LEN(VLOOKUP($B27,Database!$B$1:$IX$10144,AG$22,FALSE))=0,"",VLOOKUP($B27,Database!$B$1:$IX$10144,AG$22,FALSE)))</f>
        <v>20</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14">
        <v>11.97</v>
      </c>
      <c r="AL27" s="22">
        <f>IF(OR($B27="",AL$22=""),"",IF(LEN(VLOOKUP($B27,Database!$B$1:$IX$10144,AL$22,FALSE))=0,"",VLOOKUP($B27,Database!$B$1:$IX$10144,AL$22,FALSE)))</f>
        <v>13.77</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MacMaster FP, Russell A, Mirza Y, Keshavan MS, Taormina SP, Bhandari R, Boyd C, Lynch M, Rose M, Ivey J, Moore GJ, Rosenberg DR.</v>
      </c>
      <c r="AR27" s="13"/>
      <c r="AU27" s="22"/>
      <c r="AX27" s="13"/>
      <c r="AY27" s="13"/>
      <c r="AZ27" s="13"/>
      <c r="BA27" s="13"/>
      <c r="BC27" s="23"/>
      <c r="BF27" s="136"/>
      <c r="BG27" s="136"/>
      <c r="BH27" s="136"/>
      <c r="BI27" s="136"/>
    </row>
    <row r="28" spans="1:65">
      <c r="A28" s="10"/>
      <c r="B28">
        <v>18573301</v>
      </c>
      <c r="C28" s="1" t="str">
        <f>IF($B28="","",HYPERLINK(IF(LEN(VLOOKUP($B28,Database!$B$1:$IX$10144,2,FALSE))=0,"",VLOOKUP($B28,Database!$B$1:$IX$10144,2,FALSE))))</f>
        <v/>
      </c>
      <c r="D28" s="1" t="str">
        <f t="shared" si="0"/>
        <v>http://www.ncbi.nlm.nih.gov/pubmed/18573301</v>
      </c>
      <c r="E28" s="22" t="str">
        <f>IF($B28="","",IF(LEN(VLOOKUP($B28,Database!$B$1:$IX$10144,4,FALSE))=0,"",VLOOKUP($B28,Database!$B$1:$IX$10144,4,FALSE)))</f>
        <v>Eker C</v>
      </c>
      <c r="F28" s="22">
        <f>IF($B28="","",IF(LEN(VLOOKUP($B28,Database!$B$1:$IX$10144,5,FALSE))=0,"",VLOOKUP($B28,Database!$B$1:$IX$10144,5,FALSE)))</f>
        <v>2008</v>
      </c>
      <c r="G28" s="1" t="str">
        <f>IF($B28="","",HYPERLINK(IF(LEN(VLOOKUP($B28,Database!$B$1:$IX$10144,6,FALSE))=0,"",VLOOKUP($B28,Database!$B$1:$IX$10144,6,FALSE))))</f>
        <v>http://dx.doi.org/10.1016/j.pnpbp.2008.05.023</v>
      </c>
      <c r="H28" s="22">
        <f>IF($B28="","",IF(LEN(VLOOKUP($B28,Database!$B$1:$IX$10144,7,FALSE))=0,"",VLOOKUP($B28,Database!$B$1:$IX$10144,7,FALSE)))</f>
        <v>34</v>
      </c>
      <c r="I28" s="22">
        <f>IF($B28="","",IF(LEN(VLOOKUP($B28,Database!$B$1:$IX$10144,8,FALSE))=0,"",VLOOKUP($B28,Database!$B$1:$IX$10144,8,FALSE)))</f>
        <v>39</v>
      </c>
      <c r="J28" t="s">
        <v>648</v>
      </c>
      <c r="K28" s="13"/>
      <c r="T28">
        <v>0.76</v>
      </c>
      <c r="U28">
        <v>0.17</v>
      </c>
      <c r="V28">
        <v>0.75</v>
      </c>
      <c r="W28">
        <v>0.14000000000000001</v>
      </c>
      <c r="Y28" s="22" t="str">
        <f>IF(OR($B28="",Y$22=""),"",IF(LEN(VLOOKUP($B28,Database!$B$1:$IX$10144,Y$22,FALSE))=0,"",VLOOKUP($B28,Database!$B$1:$IX$10144,Y$22,FALSE)))</f>
        <v>DSM-IV</v>
      </c>
      <c r="Z28" s="22" t="str">
        <f>IF(OR($B28="",Z$22=""),"",IF(LEN(VLOOKUP($B28,Database!$B$1:$IX$10144,Z$22,FALSE))=0,"",VLOOKUP($B28,Database!$B$1:$IX$10144,Z$22,FALSE)))</f>
        <v>MRI</v>
      </c>
      <c r="AA28" s="214" t="str">
        <f>IF(OR($B28="",AA$22=""),"",IF(LEN(VLOOKUP($B28,Database!$B$1:$IX$10144,AA$22,FALSE))=0,"",VLOOKUP($B28,Database!$B$1:$IX$10144,AA$22,FALSE)))</f>
        <v/>
      </c>
      <c r="AB28" s="22">
        <f>IF(OR($B28="",AB$22=""),"",IF(LEN(VLOOKUP($B28,Database!$B$1:$IX$10144,AB$22,FALSE))=0,"",VLOOKUP($B28,Database!$B$1:$IX$10144,AB$22,FALSE)))</f>
        <v>31.7</v>
      </c>
      <c r="AC28" s="22">
        <f>IF(OR($B28="",AC$22=""),"",IF(LEN(VLOOKUP($B28,Database!$B$1:$IX$10144,AC$22,FALSE))=0,"",VLOOKUP($B28,Database!$B$1:$IX$10144,AC$22,FALSE)))</f>
        <v>8.4</v>
      </c>
      <c r="AD28" s="22">
        <f>IF(OR($B28="",AD$22=""),"",IF(LEN(VLOOKUP($B28,Database!$B$1:$IX$10144,AD$22,FALSE))=0,"",VLOOKUP($B28,Database!$B$1:$IX$10144,AD$22,FALSE)))</f>
        <v>30.4</v>
      </c>
      <c r="AE28" s="22">
        <f>IF(OR($B28="",AE$22=""),"",IF(LEN(VLOOKUP($B28,Database!$B$1:$IX$10144,AE$22,FALSE))=0,"",VLOOKUP($B28,Database!$B$1:$IX$10144,AE$22,FALSE)))</f>
        <v>6.8</v>
      </c>
      <c r="AF28" s="22">
        <f>IF(OR($B28="",AF$22=""),"",IF(LEN(VLOOKUP($B28,Database!$B$1:$IX$10144,AF$22,FALSE))=0,"",VLOOKUP($B28,Database!$B$1:$IX$10144,AF$22,FALSE)))</f>
        <v>26</v>
      </c>
      <c r="AG28" s="22">
        <f>IF(OR($B28="",AG$22=""),"",IF(LEN(VLOOKUP($B28,Database!$B$1:$IX$10144,AG$22,FALSE))=0,"",VLOOKUP($B28,Database!$B$1:$IX$10144,AG$22,FALSE)))</f>
        <v>29</v>
      </c>
      <c r="AH28" s="22">
        <f>IF(OR($B28="",AH$22=""),"",IF(LEN(VLOOKUP($B28,Database!$B$1:$IX$10144,AH$22,FALSE))=0,"",VLOOKUP($B28,Database!$B$1:$IX$10144,AH$22,FALSE)))</f>
        <v>1.5</v>
      </c>
      <c r="AI28" s="22">
        <f>IF(OR($B28="",AI$22=""),"",IF(LEN(VLOOKUP($B28,Database!$B$1:$IX$10144,AI$22,FALSE))=0,"",VLOOKUP($B28,Database!$B$1:$IX$10144,AI$22,FALSE)))</f>
        <v>2</v>
      </c>
      <c r="AJ28" s="22" t="str">
        <f>IF(OR($B28="",AJ$22=""),"",IF(LEN(VLOOKUP($B28,Database!$B$1:$IX$10144,AJ$22,FALSE))=0,"",VLOOKUP($B28,Database!$B$1:$IX$10144,AJ$22,FALSE)))</f>
        <v/>
      </c>
      <c r="AK28" s="22">
        <f>IF(OR($B28="",AK$22=""),"",IF(LEN(VLOOKUP($B28,Database!$B$1:$IX$10144,AK$22,FALSE))=0,"",VLOOKUP($B28,Database!$B$1:$IX$10144,AK$22,FALSE)))</f>
        <v>29</v>
      </c>
      <c r="AL28" s="22">
        <f>IF(OR($B28="",AL$22=""),"",IF(LEN(VLOOKUP($B28,Database!$B$1:$IX$10144,AL$22,FALSE))=0,"",VLOOKUP($B28,Database!$B$1:$IX$10144,AL$22,FALSE)))</f>
        <v>25.4</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Eker C, Ovali GY, Ozan E, Eker OD, Kitis O, Coburn K, Gonul AS.</v>
      </c>
      <c r="AR28" s="13"/>
      <c r="AU28" s="22"/>
      <c r="AX28" s="13"/>
      <c r="AY28" s="13"/>
      <c r="AZ28" s="13"/>
      <c r="BA28" s="13"/>
      <c r="BC28" s="23"/>
      <c r="BF28" s="136"/>
      <c r="BG28" s="136"/>
      <c r="BH28" s="136"/>
      <c r="BI28" s="136"/>
    </row>
    <row r="29" spans="1:65">
      <c r="A29" s="10"/>
      <c r="B29">
        <v>19239986</v>
      </c>
      <c r="C29" s="1" t="str">
        <f>IF($B29="","",HYPERLINK(IF(LEN(VLOOKUP($B29,Database!$B$1:$IX$10144,2,FALSE))=0,"",VLOOKUP($B29,Database!$B$1:$IX$10144,2,FALSE))))</f>
        <v/>
      </c>
      <c r="D29" s="1" t="str">
        <f t="shared" si="0"/>
        <v>http://www.ncbi.nlm.nih.gov/pubmed/19239986</v>
      </c>
      <c r="E29" s="22" t="str">
        <f>IF($B29="","",IF(LEN(VLOOKUP($B29,Database!$B$1:$IX$10144,4,FALSE))=0,"",VLOOKUP($B29,Database!$B$1:$IX$10144,4,FALSE)))</f>
        <v>Lorenzetti V</v>
      </c>
      <c r="F29" s="22">
        <f>IF($B29="","",IF(LEN(VLOOKUP($B29,Database!$B$1:$IX$10144,5,FALSE))=0,"",VLOOKUP($B29,Database!$B$1:$IX$10144,5,FALSE)))</f>
        <v>2009</v>
      </c>
      <c r="G29" s="1" t="str">
        <f>IF($B29="","",HYPERLINK(IF(LEN(VLOOKUP($B29,Database!$B$1:$IX$10144,6,FALSE))=0,"",VLOOKUP($B29,Database!$B$1:$IX$10144,6,FALSE))))</f>
        <v>http://dx.doi.org/10.1016/j.pscychresns.2008.06.006</v>
      </c>
      <c r="H29" s="83">
        <v>31</v>
      </c>
      <c r="I29" s="83">
        <v>16.5</v>
      </c>
      <c r="J29" t="s">
        <v>592</v>
      </c>
      <c r="K29" s="13" t="s">
        <v>671</v>
      </c>
      <c r="T29">
        <v>727.22</v>
      </c>
      <c r="U29">
        <v>139.21</v>
      </c>
      <c r="V29">
        <v>710.28</v>
      </c>
      <c r="W29">
        <v>103.28</v>
      </c>
      <c r="Y29" s="22" t="str">
        <f>IF(OR($B29="",Y$22=""),"",IF(LEN(VLOOKUP($B29,Database!$B$1:$IX$10144,Y$22,FALSE))=0,"",VLOOKUP($B29,Database!$B$1:$IX$10144,Y$22,FALSE)))</f>
        <v>DSM-IV</v>
      </c>
      <c r="Z29" s="22" t="str">
        <f>IF(OR($B29="",Z$22=""),"",IF(LEN(VLOOKUP($B29,Database!$B$1:$IX$10144,Z$22,FALSE))=0,"",VLOOKUP($B29,Database!$B$1:$IX$10144,Z$22,FALSE)))</f>
        <v>MRI</v>
      </c>
      <c r="AA29" s="214" t="s">
        <v>2447</v>
      </c>
      <c r="AB29" s="83">
        <v>32.520000000000003</v>
      </c>
      <c r="AC29" s="83">
        <v>8.2799999999999994</v>
      </c>
      <c r="AD29" s="22">
        <f>IF(OR($B29="",AD$22=""),"",IF(LEN(VLOOKUP($B29,Database!$B$1:$IX$10144,AD$22,FALSE))=0,"",VLOOKUP($B29,Database!$B$1:$IX$10144,AD$22,FALSE)))</f>
        <v>34.03</v>
      </c>
      <c r="AE29" s="22">
        <f>IF(OR($B29="",AE$22=""),"",IF(LEN(VLOOKUP($B29,Database!$B$1:$IX$10144,AE$22,FALSE))=0,"",VLOOKUP($B29,Database!$B$1:$IX$10144,AE$22,FALSE)))</f>
        <v>9.91</v>
      </c>
      <c r="AF29" s="83">
        <v>22</v>
      </c>
      <c r="AG29" s="22">
        <f>IF(OR($B29="",AG$22=""),"",IF(LEN(VLOOKUP($B29,Database!$B$1:$IX$10144,AG$22,FALSE))=0,"",VLOOKUP($B29,Database!$B$1:$IX$10144,AG$22,FALSE)))</f>
        <v>21</v>
      </c>
      <c r="AH29" s="22">
        <f>IF(OR($B29="",AH$22=""),"",IF(LEN(VLOOKUP($B29,Database!$B$1:$IX$10144,AH$22,FALSE))=0,"",VLOOKUP($B29,Database!$B$1:$IX$10144,AH$22,FALSE)))</f>
        <v>1.5</v>
      </c>
      <c r="AI29" s="22">
        <f>IF(OR($B29="",AI$22=""),"",IF(LEN(VLOOKUP($B29,Database!$B$1:$IX$10144,AI$22,FALSE))=0,"",VLOOKUP($B29,Database!$B$1:$IX$10144,AI$22,FALSE)))</f>
        <v>1</v>
      </c>
      <c r="AJ29" s="22" t="str">
        <f>IF(OR($B29="",AJ$22=""),"",IF(LEN(VLOOKUP($B29,Database!$B$1:$IX$10144,AJ$22,FALSE))=0,"",VLOOKUP($B29,Database!$B$1:$IX$10144,AJ$22,FALSE)))</f>
        <v/>
      </c>
      <c r="AK29" s="83">
        <v>21.07</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Lorenzetti V, Allen NB, Fornito A, Pantelis C, De Plato G, Ang A, Yücel M.</v>
      </c>
      <c r="AR29" s="13"/>
      <c r="AU29" s="22"/>
      <c r="AX29" s="13"/>
      <c r="AY29" s="13"/>
      <c r="AZ29" s="13"/>
      <c r="BA29" s="13"/>
      <c r="BC29" s="23"/>
      <c r="BF29" s="136"/>
      <c r="BG29" s="136"/>
      <c r="BH29" s="136"/>
      <c r="BI29" s="136"/>
    </row>
    <row r="30" spans="1:65">
      <c r="A30" s="10"/>
      <c r="B30">
        <v>19239986</v>
      </c>
      <c r="C30" s="1" t="str">
        <f>IF($B30="","",HYPERLINK(IF(LEN(VLOOKUP($B30,Database!$B$1:$IX$10144,2,FALSE))=0,"",VLOOKUP($B30,Database!$B$1:$IX$10144,2,FALSE))))</f>
        <v/>
      </c>
      <c r="D30" s="1" t="str">
        <f t="shared" si="0"/>
        <v>http://www.ncbi.nlm.nih.gov/pubmed/19239986</v>
      </c>
      <c r="E30" s="22" t="str">
        <f>IF($B30="","",IF(LEN(VLOOKUP($B30,Database!$B$1:$IX$10144,4,FALSE))=0,"",VLOOKUP($B30,Database!$B$1:$IX$10144,4,FALSE)))</f>
        <v>Lorenzetti V</v>
      </c>
      <c r="F30" s="22">
        <f>IF($B30="","",IF(LEN(VLOOKUP($B30,Database!$B$1:$IX$10144,5,FALSE))=0,"",VLOOKUP($B30,Database!$B$1:$IX$10144,5,FALSE)))</f>
        <v>2009</v>
      </c>
      <c r="G30" s="1" t="str">
        <f>IF($B30="","",HYPERLINK(IF(LEN(VLOOKUP($B30,Database!$B$1:$IX$10144,6,FALSE))=0,"",VLOOKUP($B30,Database!$B$1:$IX$10144,6,FALSE))))</f>
        <v>http://dx.doi.org/10.1016/j.pscychresns.2008.06.006</v>
      </c>
      <c r="H30" s="83">
        <v>31</v>
      </c>
      <c r="I30" s="83">
        <v>16.5</v>
      </c>
      <c r="J30" t="s">
        <v>592</v>
      </c>
      <c r="K30" s="13" t="s">
        <v>591</v>
      </c>
      <c r="T30">
        <v>740.12</v>
      </c>
      <c r="U30">
        <v>123.42</v>
      </c>
      <c r="V30">
        <v>710.28</v>
      </c>
      <c r="W30">
        <v>103.28</v>
      </c>
      <c r="Y30" s="22" t="str">
        <f>IF(OR($B30="",Y$22=""),"",IF(LEN(VLOOKUP($B30,Database!$B$1:$IX$10144,Y$22,FALSE))=0,"",VLOOKUP($B30,Database!$B$1:$IX$10144,Y$22,FALSE)))</f>
        <v>DSM-IV</v>
      </c>
      <c r="Z30" s="22" t="str">
        <f>IF(OR($B30="",Z$22=""),"",IF(LEN(VLOOKUP($B30,Database!$B$1:$IX$10144,Z$22,FALSE))=0,"",VLOOKUP($B30,Database!$B$1:$IX$10144,Z$22,FALSE)))</f>
        <v>MRI</v>
      </c>
      <c r="AA30" s="214" t="s">
        <v>2458</v>
      </c>
      <c r="AB30" s="83">
        <v>35.07</v>
      </c>
      <c r="AC30" s="83">
        <v>9.9600000000000009</v>
      </c>
      <c r="AD30" s="22">
        <f>IF(OR($B30="",AD$22=""),"",IF(LEN(VLOOKUP($B30,Database!$B$1:$IX$10144,AD$22,FALSE))=0,"",VLOOKUP($B30,Database!$B$1:$IX$10144,AD$22,FALSE)))</f>
        <v>34.03</v>
      </c>
      <c r="AE30" s="22">
        <f>IF(OR($B30="",AE$22=""),"",IF(LEN(VLOOKUP($B30,Database!$B$1:$IX$10144,AE$22,FALSE))=0,"",VLOOKUP($B30,Database!$B$1:$IX$10144,AE$22,FALSE)))</f>
        <v>9.91</v>
      </c>
      <c r="AF30" s="83">
        <v>18</v>
      </c>
      <c r="AG30" s="22">
        <f>IF(OR($B30="",AG$22=""),"",IF(LEN(VLOOKUP($B30,Database!$B$1:$IX$10144,AG$22,FALSE))=0,"",VLOOKUP($B30,Database!$B$1:$IX$10144,AG$22,FALSE)))</f>
        <v>21</v>
      </c>
      <c r="AH30" s="22">
        <f>IF(OR($B30="",AH$22=""),"",IF(LEN(VLOOKUP($B30,Database!$B$1:$IX$10144,AH$22,FALSE))=0,"",VLOOKUP($B30,Database!$B$1:$IX$10144,AH$22,FALSE)))</f>
        <v>1.5</v>
      </c>
      <c r="AI30" s="22">
        <f>IF(OR($B30="",AI$22=""),"",IF(LEN(VLOOKUP($B30,Database!$B$1:$IX$10144,AI$22,FALSE))=0,"",VLOOKUP($B30,Database!$B$1:$IX$10144,AI$22,FALSE)))</f>
        <v>1</v>
      </c>
      <c r="AJ30" s="22" t="str">
        <f>IF(OR($B30="",AJ$22=""),"",IF(LEN(VLOOKUP($B30,Database!$B$1:$IX$10144,AJ$22,FALSE))=0,"",VLOOKUP($B30,Database!$B$1:$IX$10144,AJ$22,FALSE)))</f>
        <v/>
      </c>
      <c r="AK30" s="83">
        <v>26.04</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Lorenzetti V, Allen NB, Fornito A, Pantelis C, De Plato G, Ang A, Yücel M.</v>
      </c>
      <c r="AR30" s="13"/>
      <c r="AU30" s="22"/>
      <c r="AX30" s="13"/>
      <c r="AY30" s="13"/>
      <c r="AZ30" s="13"/>
      <c r="BA30" s="13"/>
      <c r="BC30" s="23"/>
      <c r="BF30" s="136"/>
      <c r="BG30" s="136"/>
      <c r="BH30" s="136"/>
      <c r="BI30" s="136"/>
    </row>
    <row r="31" spans="1:65">
      <c r="A31" s="10"/>
      <c r="C31" s="1"/>
      <c r="D31" s="1"/>
      <c r="E31" s="22"/>
      <c r="F31" s="22"/>
      <c r="G31" s="1"/>
      <c r="H31" s="22"/>
      <c r="I31" s="22"/>
      <c r="K31" s="13"/>
      <c r="Y31" s="22"/>
      <c r="Z31" s="22"/>
      <c r="AA31" s="22"/>
      <c r="AB31" s="22"/>
      <c r="AC31" s="22"/>
      <c r="AD31" s="22"/>
      <c r="AE31" s="22"/>
      <c r="AF31" s="22"/>
      <c r="AG31" s="22"/>
      <c r="AH31" s="22"/>
      <c r="AI31" s="22"/>
      <c r="AJ31" s="22"/>
      <c r="AK31" s="22"/>
      <c r="AL31" s="22"/>
      <c r="AM31" s="22"/>
      <c r="AN31" s="22"/>
      <c r="AO31" s="22"/>
      <c r="AP31" s="22"/>
      <c r="AQ31" s="22"/>
    </row>
    <row r="32" spans="1:65">
      <c r="I32" s="22" t="str">
        <f>IF($B32="","",IF(LEN(VLOOKUP($B32,Database!$B$1:$IX$10144,8,FALSE))=0,"",VLOOKUP($B32,Database!$B$1:$IX$10144,8,FALSE)))</f>
        <v/>
      </c>
      <c r="AF32" t="s">
        <v>602</v>
      </c>
      <c r="AJ32" t="s">
        <v>329</v>
      </c>
      <c r="AN32" t="s">
        <v>330</v>
      </c>
    </row>
    <row r="33" spans="5:51" ht="45" customHeight="1">
      <c r="E33" s="60" t="s">
        <v>617</v>
      </c>
      <c r="F33" s="60" t="s">
        <v>740</v>
      </c>
      <c r="G33" s="60" t="s">
        <v>244</v>
      </c>
      <c r="H33" s="60" t="s">
        <v>245</v>
      </c>
      <c r="I33" s="60" t="s">
        <v>246</v>
      </c>
      <c r="J33" s="60" t="s">
        <v>593</v>
      </c>
      <c r="K33" s="60" t="s">
        <v>1039</v>
      </c>
      <c r="L33" s="60" t="s">
        <v>594</v>
      </c>
      <c r="M33" s="60" t="s">
        <v>1299</v>
      </c>
      <c r="N33" s="61" t="s">
        <v>595</v>
      </c>
      <c r="O33" s="61" t="s">
        <v>596</v>
      </c>
      <c r="P33" s="61" t="s">
        <v>597</v>
      </c>
      <c r="Q33" s="61" t="s">
        <v>598</v>
      </c>
      <c r="R33" s="61" t="s">
        <v>599</v>
      </c>
      <c r="S33" s="61" t="s">
        <v>600</v>
      </c>
      <c r="T33" s="61" t="s">
        <v>601</v>
      </c>
      <c r="U33" s="61" t="s">
        <v>484</v>
      </c>
      <c r="V33" s="61" t="s">
        <v>485</v>
      </c>
      <c r="W33" s="61" t="s">
        <v>486</v>
      </c>
      <c r="AF33" s="61" t="s">
        <v>1517</v>
      </c>
      <c r="AG33" s="62" t="s">
        <v>834</v>
      </c>
      <c r="AH33" s="62" t="s">
        <v>835</v>
      </c>
      <c r="AJ33" s="61" t="s">
        <v>836</v>
      </c>
      <c r="AK33" s="61" t="s">
        <v>837</v>
      </c>
      <c r="AL33" s="61" t="s">
        <v>487</v>
      </c>
      <c r="AN33" t="s">
        <v>488</v>
      </c>
      <c r="AO33" t="s">
        <v>489</v>
      </c>
      <c r="AP33" t="s">
        <v>490</v>
      </c>
      <c r="AQ33" t="s">
        <v>491</v>
      </c>
      <c r="AR33" t="s">
        <v>492</v>
      </c>
      <c r="AS33" t="s">
        <v>493</v>
      </c>
      <c r="AT33" t="s">
        <v>494</v>
      </c>
      <c r="AU33" t="s">
        <v>495</v>
      </c>
      <c r="AV33" t="s">
        <v>496</v>
      </c>
      <c r="AW33" t="s">
        <v>497</v>
      </c>
      <c r="AX33" t="s">
        <v>498</v>
      </c>
      <c r="AY33" t="s">
        <v>499</v>
      </c>
    </row>
    <row r="34" spans="5:51">
      <c r="E34" t="str">
        <f t="shared" ref="E34:F36" si="1">E24</f>
        <v>Sassi RB</v>
      </c>
      <c r="F34">
        <f t="shared" si="1"/>
        <v>2001</v>
      </c>
      <c r="G34">
        <v>7</v>
      </c>
      <c r="H34">
        <f t="shared" ref="H34:I36" si="2">H24</f>
        <v>13</v>
      </c>
      <c r="I34">
        <f t="shared" si="2"/>
        <v>34</v>
      </c>
      <c r="J34">
        <f t="shared" ref="J34:M36" si="3">IF($D$4="Total",T24,IF($D$4="Left",L24,IF($D$4="Right",P24,"error")))</f>
        <v>0.7</v>
      </c>
      <c r="K34">
        <f t="shared" si="3"/>
        <v>0.12</v>
      </c>
      <c r="L34">
        <f t="shared" si="3"/>
        <v>0.68</v>
      </c>
      <c r="M34">
        <f t="shared" si="3"/>
        <v>0.2</v>
      </c>
      <c r="N34">
        <f t="shared" ref="N34:N40" si="4">IF($D$3=1,SQRT((((I34-1)*(M34)^2)+((H34-1)*(K34)^2))/(H34+I34-2)),M34)</f>
        <v>0.18213548070964466</v>
      </c>
      <c r="O34" s="59">
        <f t="shared" ref="O34:O40" si="5">IF($D$6=1,LN(J34/L34),IF($D$5=1,(1-3/(4*(H34+I34)-9))*((J34-L34)/N34),(J34-L34)/N34))</f>
        <v>0.10796800487557247</v>
      </c>
      <c r="P34" s="63">
        <f t="shared" ref="P34:P40" si="6">IF($D$6=1,(K34^2)/(H34*J34^2)+(M34^2)/(I34*L34^2),(IF($D$5=1,((H34+I34)/(H34*I34))+(O34*O34)/(2*(H34+I34-3.94)),((H34+I34)/(H34*I34))+((O34^2)/(2*(H34+I34-2))))))</f>
        <v>0.10647020031540623</v>
      </c>
      <c r="Q34" s="59">
        <f t="shared" ref="Q34:Q40" si="7">$R$57*SQRT(P34)</f>
        <v>0.63954352590864727</v>
      </c>
      <c r="R34" s="59">
        <f t="shared" ref="R34:R40" si="8">1/P34</f>
        <v>9.3922994137102229</v>
      </c>
      <c r="S34" s="59">
        <f t="shared" ref="S34:S40" si="9">O34*R34</f>
        <v>1.0140678288923017</v>
      </c>
      <c r="T34" s="59">
        <f t="shared" ref="T34:T40" si="10">R34*(O34^2)</f>
        <v>0.10948688029400523</v>
      </c>
      <c r="U34" s="23">
        <f t="shared" ref="U34:U40" si="11">R34^2</f>
        <v>88.215288276781394</v>
      </c>
      <c r="V34" s="59">
        <f t="shared" ref="V34:V40" si="12">1/((1/R34)+$I$54)</f>
        <v>7.8636840884052432</v>
      </c>
      <c r="W34" s="59">
        <f t="shared" ref="W34:W40" si="13">V34*O34</f>
        <v>0.84902628199689889</v>
      </c>
      <c r="AF34" s="59">
        <f t="shared" ref="AF34:AF40" si="14">IF($D$6=1,100*((EXP(O34))-1),O34)</f>
        <v>0.10796800487557247</v>
      </c>
      <c r="AG34" s="59">
        <f t="shared" ref="AG34:AG40" si="15">IF($D$6=1,100*(EXP(O34+Q34)-EXP(O34)),Q34)</f>
        <v>0.63954352590864727</v>
      </c>
      <c r="AH34" s="59">
        <f t="shared" ref="AH34:AH40" si="16">IF($D$6=1,100*(EXP(O34)-EXP(O34-Q34)),Q34)</f>
        <v>0.63954352590864727</v>
      </c>
      <c r="AJ34">
        <f t="shared" ref="AJ34:AJ40" si="17">SQRT(P34)</f>
        <v>0.32629771730033025</v>
      </c>
      <c r="AK34">
        <f t="shared" ref="AK34:AK40" si="18">1/AJ34</f>
        <v>3.064685858894876</v>
      </c>
      <c r="AL34">
        <f t="shared" ref="AL34:AL40" si="19">O34/AJ34</f>
        <v>0.33088801775525994</v>
      </c>
      <c r="AN34" t="str">
        <f t="shared" ref="AN34:AO36" si="20">E34</f>
        <v>Sassi RB</v>
      </c>
      <c r="AO34">
        <f t="shared" si="20"/>
        <v>2001</v>
      </c>
      <c r="AP34" t="str">
        <f t="shared" ref="AP34:AP40" si="21">CONCATENATE(AN34," ",AO34)</f>
        <v>Sassi RB 2001</v>
      </c>
      <c r="AQ34">
        <f t="shared" ref="AQ34:AQ40" si="22">INT(H34)</f>
        <v>13</v>
      </c>
      <c r="AR34">
        <f t="shared" ref="AR34:AS36" si="23">J34</f>
        <v>0.7</v>
      </c>
      <c r="AS34">
        <f t="shared" si="23"/>
        <v>0.12</v>
      </c>
      <c r="AT34">
        <f t="shared" ref="AT34:AT40" si="24">INT(I34)</f>
        <v>34</v>
      </c>
      <c r="AU34">
        <f t="shared" ref="AU34:AV36" si="25">L34</f>
        <v>0.68</v>
      </c>
      <c r="AV34">
        <f t="shared" si="25"/>
        <v>0.2</v>
      </c>
      <c r="AW34" s="65">
        <f t="shared" ref="AW34:AW40" si="26">O34</f>
        <v>0.10796800487557247</v>
      </c>
      <c r="AX34">
        <f t="shared" ref="AX34:AX40" si="27">SQRT(P34)</f>
        <v>0.32629771730033025</v>
      </c>
      <c r="AY34" t="str">
        <f>$F$3</f>
        <v>Pooled SD</v>
      </c>
    </row>
    <row r="35" spans="5:51">
      <c r="E35" t="str">
        <f t="shared" si="1"/>
        <v>MacMaster FP (B)</v>
      </c>
      <c r="F35">
        <f t="shared" si="1"/>
        <v>2004</v>
      </c>
      <c r="G35">
        <v>6</v>
      </c>
      <c r="H35">
        <f t="shared" si="2"/>
        <v>17</v>
      </c>
      <c r="I35">
        <f t="shared" si="2"/>
        <v>17</v>
      </c>
      <c r="J35">
        <f t="shared" si="3"/>
        <v>0.74</v>
      </c>
      <c r="K35">
        <f t="shared" si="3"/>
        <v>0.13</v>
      </c>
      <c r="L35">
        <f t="shared" si="3"/>
        <v>0.6</v>
      </c>
      <c r="M35">
        <f t="shared" si="3"/>
        <v>0.14000000000000001</v>
      </c>
      <c r="N35">
        <f t="shared" si="4"/>
        <v>0.13509256086106297</v>
      </c>
      <c r="O35" s="59">
        <f t="shared" si="5"/>
        <v>1.0118463408685376</v>
      </c>
      <c r="P35" s="63">
        <f t="shared" si="6"/>
        <v>0.1346768828010585</v>
      </c>
      <c r="Q35" s="59">
        <f t="shared" si="7"/>
        <v>0.71928764271920187</v>
      </c>
      <c r="R35" s="59">
        <f t="shared" si="8"/>
        <v>7.4251792824547058</v>
      </c>
      <c r="S35" s="59">
        <f t="shared" si="9"/>
        <v>7.5131404872446677</v>
      </c>
      <c r="T35" s="59">
        <f t="shared" si="10"/>
        <v>7.6021437104497798</v>
      </c>
      <c r="U35" s="23">
        <f t="shared" si="11"/>
        <v>55.133287376594581</v>
      </c>
      <c r="V35" s="59">
        <f t="shared" si="12"/>
        <v>6.4361022803229826</v>
      </c>
      <c r="W35" s="59">
        <f t="shared" si="13"/>
        <v>6.5123465418004614</v>
      </c>
      <c r="AF35" s="59">
        <f t="shared" si="14"/>
        <v>1.0118463408685376</v>
      </c>
      <c r="AG35" s="59">
        <f t="shared" si="15"/>
        <v>0.71928764271920187</v>
      </c>
      <c r="AH35" s="59">
        <f t="shared" si="16"/>
        <v>0.71928764271920187</v>
      </c>
      <c r="AJ35">
        <f t="shared" si="17"/>
        <v>0.36698349118326629</v>
      </c>
      <c r="AK35">
        <f t="shared" si="18"/>
        <v>2.7249182157368881</v>
      </c>
      <c r="AL35">
        <f t="shared" si="19"/>
        <v>2.7571985257593949</v>
      </c>
      <c r="AN35" t="str">
        <f t="shared" si="20"/>
        <v>MacMaster FP (B)</v>
      </c>
      <c r="AO35">
        <f t="shared" si="20"/>
        <v>2004</v>
      </c>
      <c r="AP35" t="str">
        <f t="shared" si="21"/>
        <v>MacMaster FP (B) 2004</v>
      </c>
      <c r="AQ35">
        <f t="shared" si="22"/>
        <v>17</v>
      </c>
      <c r="AR35">
        <f t="shared" si="23"/>
        <v>0.74</v>
      </c>
      <c r="AS35">
        <f t="shared" si="23"/>
        <v>0.13</v>
      </c>
      <c r="AT35">
        <f t="shared" si="24"/>
        <v>17</v>
      </c>
      <c r="AU35">
        <f t="shared" si="25"/>
        <v>0.6</v>
      </c>
      <c r="AV35">
        <f t="shared" si="25"/>
        <v>0.14000000000000001</v>
      </c>
      <c r="AW35" s="65">
        <f t="shared" si="26"/>
        <v>1.0118463408685376</v>
      </c>
      <c r="AX35">
        <f t="shared" si="27"/>
        <v>0.36698349118326629</v>
      </c>
      <c r="AY35" t="str">
        <f>$F$4</f>
        <v>Total</v>
      </c>
    </row>
    <row r="36" spans="5:51">
      <c r="E36" t="str">
        <f t="shared" si="1"/>
        <v>MacMaster FP</v>
      </c>
      <c r="F36">
        <f t="shared" si="1"/>
        <v>2006</v>
      </c>
      <c r="G36">
        <v>5</v>
      </c>
      <c r="H36">
        <f t="shared" si="2"/>
        <v>15</v>
      </c>
      <c r="I36">
        <f t="shared" si="2"/>
        <v>15</v>
      </c>
      <c r="J36">
        <f t="shared" si="3"/>
        <v>0.64</v>
      </c>
      <c r="K36">
        <f t="shared" si="3"/>
        <v>0.21</v>
      </c>
      <c r="L36">
        <f t="shared" si="3"/>
        <v>0.52</v>
      </c>
      <c r="M36">
        <f t="shared" si="3"/>
        <v>0.16</v>
      </c>
      <c r="N36">
        <f t="shared" si="4"/>
        <v>0.18668154702594469</v>
      </c>
      <c r="O36" s="59">
        <f t="shared" si="5"/>
        <v>0.6254327683524612</v>
      </c>
      <c r="P36" s="63">
        <f t="shared" si="6"/>
        <v>0.14083843977479579</v>
      </c>
      <c r="Q36" s="59">
        <f t="shared" si="7"/>
        <v>0.73555757778630459</v>
      </c>
      <c r="R36" s="59">
        <f t="shared" si="8"/>
        <v>7.1003342666890168</v>
      </c>
      <c r="S36" s="59">
        <f t="shared" si="9"/>
        <v>4.440781716643154</v>
      </c>
      <c r="T36" s="59">
        <f t="shared" si="10"/>
        <v>2.7774104026891231</v>
      </c>
      <c r="U36" s="23">
        <f t="shared" si="11"/>
        <v>50.414746698718261</v>
      </c>
      <c r="V36" s="59">
        <f t="shared" si="12"/>
        <v>6.1906051007942793</v>
      </c>
      <c r="W36" s="59">
        <f t="shared" si="13"/>
        <v>3.871807285966633</v>
      </c>
      <c r="AF36" s="59">
        <f t="shared" si="14"/>
        <v>0.6254327683524612</v>
      </c>
      <c r="AG36" s="59">
        <f t="shared" si="15"/>
        <v>0.73555757778630459</v>
      </c>
      <c r="AH36" s="59">
        <f t="shared" si="16"/>
        <v>0.73555757778630459</v>
      </c>
      <c r="AJ36">
        <f t="shared" si="17"/>
        <v>0.37528447846240032</v>
      </c>
      <c r="AK36">
        <f t="shared" si="18"/>
        <v>2.6646452421830973</v>
      </c>
      <c r="AL36">
        <f t="shared" si="19"/>
        <v>1.6665564504957888</v>
      </c>
      <c r="AN36" t="str">
        <f t="shared" si="20"/>
        <v>MacMaster FP</v>
      </c>
      <c r="AO36">
        <f t="shared" si="20"/>
        <v>2006</v>
      </c>
      <c r="AP36" t="str">
        <f t="shared" si="21"/>
        <v>MacMaster FP 2006</v>
      </c>
      <c r="AQ36">
        <f t="shared" si="22"/>
        <v>15</v>
      </c>
      <c r="AR36">
        <f t="shared" si="23"/>
        <v>0.64</v>
      </c>
      <c r="AS36">
        <f t="shared" si="23"/>
        <v>0.21</v>
      </c>
      <c r="AT36">
        <f t="shared" si="24"/>
        <v>15</v>
      </c>
      <c r="AU36">
        <f t="shared" si="25"/>
        <v>0.52</v>
      </c>
      <c r="AV36">
        <f t="shared" si="25"/>
        <v>0.16</v>
      </c>
      <c r="AW36" s="65">
        <f t="shared" si="26"/>
        <v>0.6254327683524612</v>
      </c>
      <c r="AX36">
        <f t="shared" si="27"/>
        <v>0.37528447846240032</v>
      </c>
    </row>
    <row r="37" spans="5:51">
      <c r="E37" t="str">
        <f t="shared" ref="E37:F40" si="28">E27</f>
        <v>MacMaster FP</v>
      </c>
      <c r="F37">
        <f t="shared" si="28"/>
        <v>2006</v>
      </c>
      <c r="G37">
        <v>4</v>
      </c>
      <c r="H37">
        <f t="shared" ref="H37:I40" si="29">H27</f>
        <v>20</v>
      </c>
      <c r="I37">
        <f t="shared" si="29"/>
        <v>20</v>
      </c>
      <c r="J37">
        <f t="shared" ref="J37:M40" si="30">IF($D$4="Total",T27,IF($D$4="Left",L27,IF($D$4="Right",P27,"error")))</f>
        <v>0.65</v>
      </c>
      <c r="K37">
        <f t="shared" si="30"/>
        <v>0.14000000000000001</v>
      </c>
      <c r="L37">
        <f t="shared" si="30"/>
        <v>0.66</v>
      </c>
      <c r="M37">
        <f t="shared" si="30"/>
        <v>0.15</v>
      </c>
      <c r="N37">
        <f t="shared" si="4"/>
        <v>0.1450861812854691</v>
      </c>
      <c r="O37" s="59">
        <f t="shared" si="5"/>
        <v>-6.7555189725659312E-2</v>
      </c>
      <c r="P37" s="63">
        <f t="shared" si="6"/>
        <v>0.10006327930752731</v>
      </c>
      <c r="Q37" s="59">
        <f t="shared" si="7"/>
        <v>0.62000249498513871</v>
      </c>
      <c r="R37" s="59">
        <f t="shared" si="8"/>
        <v>9.9936760709857566</v>
      </c>
      <c r="S37" s="59">
        <f t="shared" si="9"/>
        <v>-0.67512468303222428</v>
      </c>
      <c r="T37" s="59">
        <f t="shared" si="10"/>
        <v>4.5608176050717521E-2</v>
      </c>
      <c r="U37" s="23">
        <f t="shared" si="11"/>
        <v>99.873561411793304</v>
      </c>
      <c r="V37" s="59">
        <f t="shared" si="12"/>
        <v>8.2808920128622585</v>
      </c>
      <c r="W37" s="59">
        <f t="shared" si="13"/>
        <v>-0.55941723102660668</v>
      </c>
      <c r="AF37" s="59">
        <f t="shared" si="14"/>
        <v>-6.7555189725659312E-2</v>
      </c>
      <c r="AG37" s="59">
        <f t="shared" si="15"/>
        <v>0.62000249498513871</v>
      </c>
      <c r="AH37" s="59">
        <f t="shared" si="16"/>
        <v>0.62000249498513871</v>
      </c>
      <c r="AJ37">
        <f t="shared" si="17"/>
        <v>0.31632780356384627</v>
      </c>
      <c r="AK37">
        <f t="shared" si="18"/>
        <v>3.1612776010634938</v>
      </c>
      <c r="AL37">
        <f t="shared" si="19"/>
        <v>-0.21356070811532143</v>
      </c>
      <c r="AN37" t="str">
        <f t="shared" ref="AN37:AO40" si="31">E37</f>
        <v>MacMaster FP</v>
      </c>
      <c r="AO37">
        <f t="shared" si="31"/>
        <v>2006</v>
      </c>
      <c r="AP37" t="str">
        <f t="shared" si="21"/>
        <v>MacMaster FP 2006</v>
      </c>
      <c r="AQ37">
        <f t="shared" si="22"/>
        <v>20</v>
      </c>
      <c r="AR37">
        <f t="shared" ref="AR37:AS40" si="32">J37</f>
        <v>0.65</v>
      </c>
      <c r="AS37">
        <f t="shared" si="32"/>
        <v>0.14000000000000001</v>
      </c>
      <c r="AT37">
        <f t="shared" si="24"/>
        <v>20</v>
      </c>
      <c r="AU37">
        <f t="shared" ref="AU37:AV40" si="33">L37</f>
        <v>0.66</v>
      </c>
      <c r="AV37">
        <f t="shared" si="33"/>
        <v>0.15</v>
      </c>
      <c r="AW37" s="65">
        <f t="shared" si="26"/>
        <v>-6.7555189725659312E-2</v>
      </c>
      <c r="AX37">
        <f t="shared" si="27"/>
        <v>0.31632780356384627</v>
      </c>
    </row>
    <row r="38" spans="5:51">
      <c r="E38" t="str">
        <f t="shared" si="28"/>
        <v>Eker C</v>
      </c>
      <c r="F38">
        <f t="shared" si="28"/>
        <v>2008</v>
      </c>
      <c r="G38">
        <v>3</v>
      </c>
      <c r="H38">
        <f t="shared" si="29"/>
        <v>34</v>
      </c>
      <c r="I38">
        <f t="shared" si="29"/>
        <v>39</v>
      </c>
      <c r="J38">
        <f t="shared" si="30"/>
        <v>0.76</v>
      </c>
      <c r="K38">
        <f t="shared" si="30"/>
        <v>0.17</v>
      </c>
      <c r="L38">
        <f t="shared" si="30"/>
        <v>0.75</v>
      </c>
      <c r="M38">
        <f t="shared" si="30"/>
        <v>0.14000000000000001</v>
      </c>
      <c r="N38">
        <f t="shared" si="4"/>
        <v>0.15466911524692836</v>
      </c>
      <c r="O38" s="59">
        <f t="shared" si="5"/>
        <v>6.3968769182305707E-2</v>
      </c>
      <c r="P38" s="63">
        <f t="shared" si="6"/>
        <v>5.5082416783562342E-2</v>
      </c>
      <c r="Q38" s="59">
        <f t="shared" si="7"/>
        <v>0.46000501335934707</v>
      </c>
      <c r="R38" s="59">
        <f t="shared" si="8"/>
        <v>18.15461372962886</v>
      </c>
      <c r="S38" s="59">
        <f t="shared" si="9"/>
        <v>1.1613282952645467</v>
      </c>
      <c r="T38" s="59">
        <f t="shared" si="10"/>
        <v>7.4288741664658361E-2</v>
      </c>
      <c r="U38" s="23">
        <f t="shared" si="11"/>
        <v>329.58999967202868</v>
      </c>
      <c r="V38" s="59">
        <f t="shared" si="12"/>
        <v>13.196255079280508</v>
      </c>
      <c r="W38" s="59">
        <f t="shared" si="13"/>
        <v>0.84414819523732409</v>
      </c>
      <c r="AF38" s="59">
        <f t="shared" si="14"/>
        <v>6.3968769182305707E-2</v>
      </c>
      <c r="AG38" s="59">
        <f t="shared" si="15"/>
        <v>0.46000501335934707</v>
      </c>
      <c r="AH38" s="59">
        <f t="shared" si="16"/>
        <v>0.46000501335934707</v>
      </c>
      <c r="AJ38">
        <f t="shared" si="17"/>
        <v>0.23469643538742199</v>
      </c>
      <c r="AK38">
        <f t="shared" si="18"/>
        <v>4.2608231281794433</v>
      </c>
      <c r="AL38">
        <f t="shared" si="19"/>
        <v>0.2725596112131406</v>
      </c>
      <c r="AN38" t="str">
        <f t="shared" si="31"/>
        <v>Eker C</v>
      </c>
      <c r="AO38">
        <f t="shared" si="31"/>
        <v>2008</v>
      </c>
      <c r="AP38" t="str">
        <f t="shared" si="21"/>
        <v>Eker C 2008</v>
      </c>
      <c r="AQ38">
        <f t="shared" si="22"/>
        <v>34</v>
      </c>
      <c r="AR38">
        <f t="shared" si="32"/>
        <v>0.76</v>
      </c>
      <c r="AS38">
        <f t="shared" si="32"/>
        <v>0.17</v>
      </c>
      <c r="AT38">
        <f t="shared" si="24"/>
        <v>39</v>
      </c>
      <c r="AU38">
        <f t="shared" si="33"/>
        <v>0.75</v>
      </c>
      <c r="AV38">
        <f t="shared" si="33"/>
        <v>0.14000000000000001</v>
      </c>
      <c r="AW38" s="65">
        <f t="shared" si="26"/>
        <v>6.3968769182305707E-2</v>
      </c>
      <c r="AX38">
        <f t="shared" si="27"/>
        <v>0.23469643538742199</v>
      </c>
    </row>
    <row r="39" spans="5:51">
      <c r="E39" t="str">
        <f t="shared" si="28"/>
        <v>Lorenzetti V</v>
      </c>
      <c r="F39">
        <f t="shared" si="28"/>
        <v>2009</v>
      </c>
      <c r="G39">
        <v>2</v>
      </c>
      <c r="H39">
        <f t="shared" si="29"/>
        <v>31</v>
      </c>
      <c r="I39">
        <f t="shared" si="29"/>
        <v>16.5</v>
      </c>
      <c r="J39">
        <f t="shared" si="30"/>
        <v>727.22</v>
      </c>
      <c r="K39">
        <f t="shared" si="30"/>
        <v>139.21</v>
      </c>
      <c r="L39">
        <f t="shared" si="30"/>
        <v>710.28</v>
      </c>
      <c r="M39">
        <f t="shared" si="30"/>
        <v>103.28</v>
      </c>
      <c r="N39">
        <f t="shared" si="4"/>
        <v>128.10688173260931</v>
      </c>
      <c r="O39" s="59">
        <f t="shared" si="5"/>
        <v>0.13004162066881769</v>
      </c>
      <c r="P39" s="63">
        <f t="shared" si="6"/>
        <v>9.3058234661975825E-2</v>
      </c>
      <c r="Q39" s="59">
        <f t="shared" si="7"/>
        <v>0.59790677724662589</v>
      </c>
      <c r="R39" s="59">
        <f t="shared" si="8"/>
        <v>10.745959276278924</v>
      </c>
      <c r="S39" s="59">
        <f t="shared" si="9"/>
        <v>1.3974219599284265</v>
      </c>
      <c r="T39" s="59">
        <f t="shared" si="10"/>
        <v>0.18172301642728822</v>
      </c>
      <c r="U39" s="23">
        <f t="shared" si="11"/>
        <v>115.47564076744506</v>
      </c>
      <c r="V39" s="59">
        <f t="shared" si="12"/>
        <v>8.7908306793897122</v>
      </c>
      <c r="W39" s="59">
        <f t="shared" si="13"/>
        <v>1.143173868573002</v>
      </c>
      <c r="AF39" s="59">
        <f t="shared" si="14"/>
        <v>0.13004162066881769</v>
      </c>
      <c r="AG39" s="59">
        <f t="shared" si="15"/>
        <v>0.59790677724662589</v>
      </c>
      <c r="AH39" s="59">
        <f t="shared" si="16"/>
        <v>0.59790677724662589</v>
      </c>
      <c r="AJ39">
        <f t="shared" si="17"/>
        <v>0.30505447818705406</v>
      </c>
      <c r="AK39">
        <f t="shared" si="18"/>
        <v>3.2781029996445996</v>
      </c>
      <c r="AL39">
        <f t="shared" si="19"/>
        <v>0.42628982679309646</v>
      </c>
      <c r="AN39" t="str">
        <f t="shared" si="31"/>
        <v>Lorenzetti V</v>
      </c>
      <c r="AO39">
        <f t="shared" si="31"/>
        <v>2009</v>
      </c>
      <c r="AP39" t="str">
        <f t="shared" si="21"/>
        <v>Lorenzetti V 2009</v>
      </c>
      <c r="AQ39">
        <f t="shared" si="22"/>
        <v>31</v>
      </c>
      <c r="AR39">
        <f t="shared" si="32"/>
        <v>727.22</v>
      </c>
      <c r="AS39">
        <f t="shared" si="32"/>
        <v>139.21</v>
      </c>
      <c r="AT39">
        <f t="shared" si="24"/>
        <v>16</v>
      </c>
      <c r="AU39">
        <f t="shared" si="33"/>
        <v>710.28</v>
      </c>
      <c r="AV39">
        <f t="shared" si="33"/>
        <v>103.28</v>
      </c>
      <c r="AW39" s="65">
        <f t="shared" si="26"/>
        <v>0.13004162066881769</v>
      </c>
      <c r="AX39">
        <f t="shared" si="27"/>
        <v>0.30505447818705406</v>
      </c>
    </row>
    <row r="40" spans="5:51">
      <c r="E40" t="str">
        <f t="shared" si="28"/>
        <v>Lorenzetti V</v>
      </c>
      <c r="F40">
        <f t="shared" si="28"/>
        <v>2009</v>
      </c>
      <c r="G40">
        <v>1</v>
      </c>
      <c r="H40">
        <f t="shared" si="29"/>
        <v>31</v>
      </c>
      <c r="I40">
        <f t="shared" si="29"/>
        <v>16.5</v>
      </c>
      <c r="J40">
        <f t="shared" si="30"/>
        <v>740.12</v>
      </c>
      <c r="K40">
        <f t="shared" si="30"/>
        <v>123.42</v>
      </c>
      <c r="L40">
        <f t="shared" si="30"/>
        <v>710.28</v>
      </c>
      <c r="M40">
        <f t="shared" si="30"/>
        <v>103.28</v>
      </c>
      <c r="N40">
        <f t="shared" si="4"/>
        <v>116.94928432143868</v>
      </c>
      <c r="O40" s="59">
        <f t="shared" si="5"/>
        <v>0.25092427486759261</v>
      </c>
      <c r="P40" s="63">
        <f t="shared" si="6"/>
        <v>9.3586840821430081E-2</v>
      </c>
      <c r="Q40" s="59">
        <f t="shared" si="7"/>
        <v>0.59960254143858149</v>
      </c>
      <c r="R40" s="59">
        <f t="shared" si="8"/>
        <v>10.68526291968832</v>
      </c>
      <c r="S40" s="59">
        <f t="shared" si="9"/>
        <v>2.6811918498923673</v>
      </c>
      <c r="T40" s="59">
        <f t="shared" si="10"/>
        <v>0.67277612071514148</v>
      </c>
      <c r="U40" s="23">
        <f t="shared" si="11"/>
        <v>114.17484366286617</v>
      </c>
      <c r="V40" s="59">
        <f t="shared" si="12"/>
        <v>8.7501696277649721</v>
      </c>
      <c r="W40" s="59">
        <f t="shared" si="13"/>
        <v>2.1956299688153584</v>
      </c>
      <c r="AF40" s="59">
        <f t="shared" si="14"/>
        <v>0.25092427486759261</v>
      </c>
      <c r="AG40" s="59">
        <f t="shared" si="15"/>
        <v>0.59960254143858149</v>
      </c>
      <c r="AH40" s="59">
        <f t="shared" si="16"/>
        <v>0.59960254143858149</v>
      </c>
      <c r="AJ40">
        <f t="shared" si="17"/>
        <v>0.30591966399927628</v>
      </c>
      <c r="AK40">
        <f t="shared" si="18"/>
        <v>3.2688320421349761</v>
      </c>
      <c r="AL40">
        <f t="shared" si="19"/>
        <v>0.82022930983667075</v>
      </c>
      <c r="AN40" t="str">
        <f t="shared" si="31"/>
        <v>Lorenzetti V</v>
      </c>
      <c r="AO40">
        <f t="shared" si="31"/>
        <v>2009</v>
      </c>
      <c r="AP40" t="str">
        <f t="shared" si="21"/>
        <v>Lorenzetti V 2009</v>
      </c>
      <c r="AQ40">
        <f t="shared" si="22"/>
        <v>31</v>
      </c>
      <c r="AR40">
        <f t="shared" si="32"/>
        <v>740.12</v>
      </c>
      <c r="AS40">
        <f t="shared" si="32"/>
        <v>123.42</v>
      </c>
      <c r="AT40">
        <f t="shared" si="24"/>
        <v>16</v>
      </c>
      <c r="AU40">
        <f t="shared" si="33"/>
        <v>710.28</v>
      </c>
      <c r="AV40">
        <f t="shared" si="33"/>
        <v>103.28</v>
      </c>
      <c r="AW40" s="65">
        <f t="shared" si="26"/>
        <v>0.25092427486759261</v>
      </c>
      <c r="AX40">
        <f t="shared" si="27"/>
        <v>0.30591966399927628</v>
      </c>
      <c r="AY40" t="str">
        <f>$F$6</f>
        <v>Cohens Effect size</v>
      </c>
    </row>
    <row r="41" spans="5:51">
      <c r="U41" s="23"/>
    </row>
    <row r="42" spans="5:51">
      <c r="L42" t="s">
        <v>500</v>
      </c>
      <c r="N42" s="7"/>
      <c r="O42" s="66">
        <f>COUNT(O34:O40)</f>
        <v>7</v>
      </c>
      <c r="Q42" t="s">
        <v>885</v>
      </c>
      <c r="R42" s="59">
        <f t="shared" ref="R42:W42" si="34">SUM(R34:R40)</f>
        <v>73.497324959435815</v>
      </c>
      <c r="S42" s="59">
        <f t="shared" si="34"/>
        <v>17.532807454833236</v>
      </c>
      <c r="T42" s="59">
        <f t="shared" si="34"/>
        <v>11.463437048290713</v>
      </c>
      <c r="U42" s="23">
        <f t="shared" si="34"/>
        <v>852.87736786622747</v>
      </c>
      <c r="V42" s="59">
        <f t="shared" si="34"/>
        <v>59.508538868819969</v>
      </c>
      <c r="W42" s="59">
        <f t="shared" si="34"/>
        <v>14.856714911363069</v>
      </c>
    </row>
    <row r="43" spans="5:51">
      <c r="L43" t="s">
        <v>501</v>
      </c>
      <c r="N43" s="7"/>
      <c r="O43" s="2">
        <v>2</v>
      </c>
    </row>
    <row r="44" spans="5:51">
      <c r="N44" s="7"/>
      <c r="O44" s="7"/>
    </row>
    <row r="45" spans="5:51">
      <c r="G45" s="67" t="s">
        <v>502</v>
      </c>
      <c r="H45" s="40"/>
      <c r="I45" s="40">
        <f>S42/R42</f>
        <v>0.23855028008855877</v>
      </c>
      <c r="J45" s="40"/>
      <c r="K45" s="68" t="s">
        <v>879</v>
      </c>
      <c r="L45" s="40"/>
      <c r="M45" s="42"/>
      <c r="N45" s="7"/>
      <c r="O45" s="69" t="s">
        <v>503</v>
      </c>
      <c r="P45" s="70">
        <f>T42-((S42^2)/R42)</f>
        <v>7.2809809192014727</v>
      </c>
      <c r="Q45" s="71" t="s">
        <v>824</v>
      </c>
      <c r="R45" s="28"/>
      <c r="S45" s="29"/>
      <c r="T45" s="30"/>
      <c r="U45" s="31"/>
      <c r="AF45" s="2" t="s">
        <v>1518</v>
      </c>
    </row>
    <row r="46" spans="5:51">
      <c r="G46" s="43" t="s">
        <v>504</v>
      </c>
      <c r="H46" s="31"/>
      <c r="I46" s="31">
        <f>1/R42</f>
        <v>1.3605937366454001E-2</v>
      </c>
      <c r="J46" s="31"/>
      <c r="K46" s="31"/>
      <c r="L46" s="31"/>
      <c r="M46" s="44"/>
      <c r="N46" s="7"/>
      <c r="O46" s="30" t="s">
        <v>505</v>
      </c>
      <c r="P46" s="31">
        <f>CHIDIST(P45,I50-1)</f>
        <v>0.29564211473351482</v>
      </c>
      <c r="Q46" s="31"/>
      <c r="R46" s="31"/>
      <c r="S46" s="34"/>
      <c r="T46" s="30"/>
      <c r="U46" s="31"/>
      <c r="AF46" s="2"/>
    </row>
    <row r="47" spans="5:51">
      <c r="G47" s="72" t="s">
        <v>506</v>
      </c>
      <c r="H47" s="31"/>
      <c r="I47" s="31">
        <f>$R$57*SQRT(I46)</f>
        <v>0.22862320308089837</v>
      </c>
      <c r="J47" s="31"/>
      <c r="K47" s="31" t="s">
        <v>507</v>
      </c>
      <c r="L47" s="31"/>
      <c r="M47" s="44">
        <f>ABS(I45/SQRT(I46))</f>
        <v>2.0451054078186872</v>
      </c>
      <c r="N47" s="7"/>
      <c r="O47" s="35" t="s">
        <v>508</v>
      </c>
      <c r="P47" s="37">
        <f>IF(((P45-(I50-1))/P45)&lt;0,0,100*((P45-(I50-1))/P45))</f>
        <v>17.593521167227035</v>
      </c>
      <c r="Q47" s="36"/>
      <c r="R47" s="36"/>
      <c r="S47" s="38"/>
      <c r="T47" s="30"/>
      <c r="U47" s="31"/>
      <c r="AF47" s="2" t="s">
        <v>1535</v>
      </c>
      <c r="AH47">
        <f>IF($D$6=1,100*((EXP(I45))-1),I45)</f>
        <v>0.23855028008855877</v>
      </c>
    </row>
    <row r="48" spans="5:51">
      <c r="G48" s="45" t="s">
        <v>509</v>
      </c>
      <c r="H48" s="46"/>
      <c r="I48" s="46">
        <v>-2</v>
      </c>
      <c r="J48" s="46"/>
      <c r="K48" s="46" t="s">
        <v>825</v>
      </c>
      <c r="L48" s="46"/>
      <c r="M48" s="47">
        <f>2*(1-NORMDIST(M47,0,1,1))</f>
        <v>4.0844467259546269E-2</v>
      </c>
      <c r="N48" s="7"/>
      <c r="O48" s="7"/>
      <c r="AF48" s="79" t="s">
        <v>834</v>
      </c>
      <c r="AH48">
        <f>IF($D$6=1,100*(EXP(I45+I47)-EXP(I45)),I47)</f>
        <v>0.22862320308089837</v>
      </c>
    </row>
    <row r="49" spans="7:34">
      <c r="G49" s="40"/>
      <c r="H49" s="40"/>
      <c r="I49" s="40"/>
      <c r="J49" s="40"/>
      <c r="K49" s="40"/>
      <c r="L49" s="40"/>
      <c r="M49" s="40"/>
      <c r="N49" s="7"/>
      <c r="O49" s="7"/>
      <c r="AF49" s="79" t="s">
        <v>835</v>
      </c>
      <c r="AH49">
        <f>IF($D$6=1,100*(EXP(I45)-EXP(I45-I47)),I47)</f>
        <v>0.22862320308089837</v>
      </c>
    </row>
    <row r="50" spans="7:34">
      <c r="G50" s="73" t="s">
        <v>1110</v>
      </c>
      <c r="H50" s="74"/>
      <c r="I50" s="74">
        <f>O42</f>
        <v>7</v>
      </c>
      <c r="J50" s="74"/>
      <c r="K50" s="75" t="s">
        <v>1167</v>
      </c>
      <c r="L50" s="74"/>
      <c r="M50" s="76"/>
      <c r="N50" s="77"/>
      <c r="O50" s="101" t="s">
        <v>1513</v>
      </c>
      <c r="P50" s="102"/>
      <c r="Q50" s="103"/>
      <c r="AF50" s="7"/>
    </row>
    <row r="51" spans="7:34">
      <c r="G51" s="77" t="s">
        <v>1531</v>
      </c>
      <c r="H51" s="31"/>
      <c r="I51" s="31">
        <f>R42/I50</f>
        <v>10.499617851347974</v>
      </c>
      <c r="J51" s="31"/>
      <c r="K51" s="31"/>
      <c r="L51" s="31"/>
      <c r="M51" s="78"/>
      <c r="N51" s="77"/>
      <c r="O51" s="104" t="s">
        <v>1514</v>
      </c>
      <c r="P51" s="31"/>
      <c r="Q51" s="105">
        <f>INDEX(LINEST(AL34:AL40,AK34:AK40,TRUE,TRUE),1,2)</f>
        <v>4.4754625309007166</v>
      </c>
      <c r="AF51" s="2" t="s">
        <v>1687</v>
      </c>
      <c r="AH51">
        <f>IF($D$6=1,100*((EXP(I56))-1),I56)</f>
        <v>0.24965685923011929</v>
      </c>
    </row>
    <row r="52" spans="7:34">
      <c r="G52" s="77" t="s">
        <v>1532</v>
      </c>
      <c r="H52" s="31"/>
      <c r="I52" s="31">
        <f>(1/(I50-1))*(U42-(I50*I51^2))</f>
        <v>13.530590449302014</v>
      </c>
      <c r="J52" s="31"/>
      <c r="K52" s="31"/>
      <c r="L52" s="31"/>
      <c r="M52" s="78"/>
      <c r="N52" s="77"/>
      <c r="O52" s="104" t="s">
        <v>1516</v>
      </c>
      <c r="P52" s="31"/>
      <c r="Q52" s="105">
        <f>INDEX(LINEST(AL34:AL40,AK34:AK40,TRUE,TRUE),2,2)</f>
        <v>2.2713852621535708</v>
      </c>
      <c r="AF52" s="79" t="s">
        <v>834</v>
      </c>
      <c r="AG52" s="7"/>
      <c r="AH52">
        <f>IF($D$6=1,100*(EXP(I56+I58)-EXP(I56)),I58)</f>
        <v>0.25407762889538049</v>
      </c>
    </row>
    <row r="53" spans="7:34">
      <c r="G53" s="77" t="s">
        <v>1669</v>
      </c>
      <c r="H53" s="31"/>
      <c r="I53" s="31">
        <f>(I50-1)*(I51-(I52/(I50*I51)))</f>
        <v>61.893128910981787</v>
      </c>
      <c r="J53" s="31"/>
      <c r="K53" s="31"/>
      <c r="L53" s="31"/>
      <c r="M53" s="78"/>
      <c r="N53" s="77"/>
      <c r="O53" s="104" t="s">
        <v>1349</v>
      </c>
      <c r="P53" s="31"/>
      <c r="Q53" s="105">
        <f>ABS(Q51/Q52)</f>
        <v>1.970366985060646</v>
      </c>
      <c r="AF53" s="79" t="s">
        <v>835</v>
      </c>
      <c r="AH53">
        <f>IF($D$6=1,100*(EXP(I56)-EXP(I56-I58)),I58)</f>
        <v>0.25407762889538049</v>
      </c>
    </row>
    <row r="54" spans="7:34">
      <c r="G54" s="77" t="s">
        <v>1685</v>
      </c>
      <c r="H54" s="31"/>
      <c r="I54" s="31">
        <f>IF(P45&gt;(I50-1),(P45-(I50-1))/I53,0)</f>
        <v>2.0696657960916021E-2</v>
      </c>
      <c r="J54" s="31"/>
      <c r="K54" s="31"/>
      <c r="L54" s="31"/>
      <c r="M54" s="78"/>
      <c r="N54" s="77"/>
      <c r="O54" s="106" t="s">
        <v>1515</v>
      </c>
      <c r="P54" s="107"/>
      <c r="Q54" s="108">
        <f>TDIST(Q53,I50-2,2)</f>
        <v>0.10587430098359504</v>
      </c>
    </row>
    <row r="55" spans="7:34">
      <c r="G55" s="77"/>
      <c r="H55" s="31"/>
      <c r="I55" s="31"/>
      <c r="J55" s="31"/>
      <c r="K55" s="31"/>
      <c r="L55" s="31"/>
      <c r="M55" s="78"/>
      <c r="N55" s="77"/>
    </row>
    <row r="56" spans="7:34">
      <c r="G56" s="77" t="s">
        <v>1686</v>
      </c>
      <c r="H56" s="31"/>
      <c r="I56" s="31">
        <f>W42/V42</f>
        <v>0.24965685923011929</v>
      </c>
      <c r="J56" s="31"/>
      <c r="N56" s="77"/>
    </row>
    <row r="57" spans="7:34">
      <c r="G57" s="77" t="s">
        <v>504</v>
      </c>
      <c r="H57" s="31"/>
      <c r="I57" s="31">
        <f>1/V42</f>
        <v>1.6804311095662928E-2</v>
      </c>
      <c r="J57" s="31"/>
      <c r="N57" s="77"/>
      <c r="O57" t="s">
        <v>805</v>
      </c>
      <c r="R57">
        <v>1.96</v>
      </c>
    </row>
    <row r="58" spans="7:34">
      <c r="G58" s="80" t="s">
        <v>506</v>
      </c>
      <c r="H58" s="31"/>
      <c r="I58" s="31">
        <f>$R$57*SQRT(I57)</f>
        <v>0.25407762889538049</v>
      </c>
      <c r="J58" s="31"/>
      <c r="K58" s="31" t="s">
        <v>507</v>
      </c>
      <c r="L58" s="31"/>
      <c r="M58" s="78">
        <f>ABS(I56/(SQRT(I57)))</f>
        <v>1.9258973968641695</v>
      </c>
      <c r="N58" s="77"/>
    </row>
    <row r="59" spans="7:34">
      <c r="G59" s="81" t="s">
        <v>509</v>
      </c>
      <c r="H59" s="82"/>
      <c r="I59" s="82">
        <v>-3</v>
      </c>
      <c r="J59" s="82"/>
      <c r="K59" s="31" t="s">
        <v>825</v>
      </c>
      <c r="L59" s="31"/>
      <c r="M59" s="78">
        <f>2*(1-NORMDIST(M58,0,1,1))</f>
        <v>5.4117186559101249E-2</v>
      </c>
      <c r="N59" s="77"/>
    </row>
    <row r="60" spans="7:34">
      <c r="G60" s="74"/>
      <c r="H60" s="74"/>
      <c r="I60" s="74"/>
      <c r="J60" s="74"/>
      <c r="K60" s="74"/>
      <c r="L60" s="74"/>
      <c r="M60" s="74"/>
      <c r="N60" s="31"/>
      <c r="O60" s="7"/>
    </row>
  </sheetData>
  <phoneticPr fontId="10" type="noConversion"/>
  <conditionalFormatting sqref="D17 D13 F13">
    <cfRule type="cellIs" dxfId="20" priority="0" stopIfTrue="1" operator="lessThan">
      <formula>0.05</formula>
    </cfRule>
  </conditionalFormatting>
  <conditionalFormatting sqref="D21">
    <cfRule type="cellIs" dxfId="1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sheetPr published="0" codeName="Sheet91" enableFormatConditionsCalculation="0"/>
  <dimension ref="A1:BM55"/>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2273</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I45-O38</f>
        <v>3</v>
      </c>
      <c r="AD7" s="89"/>
    </row>
    <row r="8" spans="2:30">
      <c r="B8" t="s">
        <v>822</v>
      </c>
      <c r="D8">
        <f>SUM(H24:H26)</f>
        <v>46</v>
      </c>
      <c r="AD8" s="89"/>
    </row>
    <row r="9" spans="2:30">
      <c r="B9" t="s">
        <v>823</v>
      </c>
      <c r="D9">
        <f>SUM(I24:I26)</f>
        <v>75</v>
      </c>
      <c r="AD9" s="89"/>
    </row>
    <row r="11" spans="2:30">
      <c r="B11" s="27" t="s">
        <v>516</v>
      </c>
      <c r="C11" s="28"/>
      <c r="D11" s="109">
        <f>P40</f>
        <v>2.028183651266962</v>
      </c>
      <c r="E11" s="110" t="s">
        <v>1513</v>
      </c>
      <c r="F11" s="103"/>
    </row>
    <row r="12" spans="2:30">
      <c r="B12" s="30" t="s">
        <v>826</v>
      </c>
      <c r="C12" s="31"/>
      <c r="D12" s="112">
        <f>P42</f>
        <v>1.3896005546320362</v>
      </c>
      <c r="E12" s="31"/>
      <c r="F12" s="105"/>
    </row>
    <row r="13" spans="2:30">
      <c r="B13" s="35" t="s">
        <v>825</v>
      </c>
      <c r="C13" s="36"/>
      <c r="D13" s="113">
        <f>P41</f>
        <v>0.36273170394127424</v>
      </c>
      <c r="E13" s="111" t="s">
        <v>825</v>
      </c>
      <c r="F13" s="115">
        <f>Q49</f>
        <v>0.4016519832374208</v>
      </c>
    </row>
    <row r="15" spans="2:30">
      <c r="B15" s="39" t="s">
        <v>879</v>
      </c>
      <c r="C15" s="40"/>
      <c r="D15" s="41">
        <f>AH42</f>
        <v>3.2165553760122895E-2</v>
      </c>
      <c r="E15" s="116"/>
    </row>
    <row r="16" spans="2:30">
      <c r="B16" s="43" t="s">
        <v>1165</v>
      </c>
      <c r="C16" s="31"/>
      <c r="D16" s="33">
        <f>AH42-AH44</f>
        <v>-0.34515637980055203</v>
      </c>
      <c r="E16" s="117">
        <f>AH42+AH43</f>
        <v>0.40948748732079787</v>
      </c>
    </row>
    <row r="17" spans="1:65">
      <c r="B17" s="45" t="s">
        <v>1166</v>
      </c>
      <c r="C17" s="46"/>
      <c r="D17" s="123">
        <f>M43</f>
        <v>0.86730389800740348</v>
      </c>
      <c r="E17" s="118"/>
    </row>
    <row r="18" spans="1:65">
      <c r="D18" s="48"/>
      <c r="F18" s="49"/>
    </row>
    <row r="19" spans="1:65">
      <c r="B19" s="50" t="s">
        <v>1167</v>
      </c>
      <c r="C19" s="51"/>
      <c r="D19" s="52">
        <f>AH46</f>
        <v>3.3772723339605182E-2</v>
      </c>
      <c r="E19" s="120"/>
      <c r="F19" s="33"/>
      <c r="G19" s="31"/>
    </row>
    <row r="20" spans="1:65">
      <c r="B20" s="53" t="s">
        <v>1165</v>
      </c>
      <c r="C20" s="31"/>
      <c r="D20" s="33">
        <f>AH46-AH48</f>
        <v>-0.34738564707911168</v>
      </c>
      <c r="E20" s="121">
        <f>AH46+AH47</f>
        <v>0.41493109375832204</v>
      </c>
      <c r="F20" s="31"/>
      <c r="G20" s="31"/>
    </row>
    <row r="21" spans="1:65">
      <c r="B21" s="54" t="s">
        <v>1440</v>
      </c>
      <c r="C21" s="55"/>
      <c r="D21" s="144">
        <f>M54</f>
        <v>0.86212736525977873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1642132</v>
      </c>
      <c r="C24" s="1" t="str">
        <f>IF($B24="","",HYPERLINK(IF(LEN(VLOOKUP($B24,Database!$B$1:$IX$10144,2,FALSE))=0,"",VLOOKUP($B24,Database!$B$1:$IX$10144,2,FALSE))))</f>
        <v/>
      </c>
      <c r="D24" s="1" t="str">
        <f t="shared" ref="D24:D30" si="0">IF($B24="","",HYPERLINK(CONCATENATE("http://www.ncbi.nlm.nih.gov/pubmed/",B24)))</f>
        <v>http://www.ncbi.nlm.nih.gov/pubmed/1642132</v>
      </c>
      <c r="E24" s="22" t="str">
        <f>IF($B24="","",IF(LEN(VLOOKUP($B24,Database!$B$1:$IX$10144,4,FALSE))=0,"",VLOOKUP($B24,Database!$B$1:$IX$10144,4,FALSE)))</f>
        <v>Shah SA</v>
      </c>
      <c r="F24" s="22">
        <f>IF($B24="","",IF(LEN(VLOOKUP($B24,Database!$B$1:$IX$10144,5,FALSE))=0,"",VLOOKUP($B24,Database!$B$1:$IX$10144,5,FALSE)))</f>
        <v>1992</v>
      </c>
      <c r="G24" s="1" t="str">
        <f>IF($B24="","",HYPERLINK(IF(LEN(VLOOKUP($B24,Database!$B$1:$IX$10144,6,FALSE))=0,"",VLOOKUP($B24,Database!$B$1:$IX$10144,6,FALSE))))</f>
        <v>http://www3.interscience.wiley.com/cgi-bin/fulltext/119982938/PDFSTART</v>
      </c>
      <c r="H24" s="22">
        <f>IF($B24="","",IF(LEN(VLOOKUP($B24,Database!$B$1:$IX$10144,7,FALSE))=0,"",VLOOKUP($B24,Database!$B$1:$IX$10144,7,FALSE)))</f>
        <v>27</v>
      </c>
      <c r="I24" s="22">
        <f>IF($B24="","",IF(LEN(VLOOKUP($B24,Database!$B$1:$IX$10144,8,FALSE))=0,"",VLOOKUP($B24,Database!$B$1:$IX$10144,8,FALSE)))</f>
        <v>36</v>
      </c>
      <c r="J24" t="s">
        <v>428</v>
      </c>
      <c r="T24">
        <v>1.0900000000000001</v>
      </c>
      <c r="U24">
        <v>0.4</v>
      </c>
      <c r="V24">
        <v>1.1399999999999999</v>
      </c>
      <c r="W24">
        <v>0.5</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57.6</v>
      </c>
      <c r="AC24" s="22">
        <f>IF(OR($B24="",AC$22=""),"",IF(LEN(VLOOKUP($B24,Database!$B$1:$IX$10144,AC$22,FALSE))=0,"",VLOOKUP($B24,Database!$B$1:$IX$10144,AC$22,FALSE)))</f>
        <v>18.2</v>
      </c>
      <c r="AD24" s="22">
        <f>IF(OR($B24="",AD$22=""),"",IF(LEN(VLOOKUP($B24,Database!$B$1:$IX$10144,AD$22,FALSE))=0,"",VLOOKUP($B24,Database!$B$1:$IX$10144,AD$22,FALSE)))</f>
        <v>55.8</v>
      </c>
      <c r="AE24" s="22">
        <f>IF(OR($B24="",AE$22=""),"",IF(LEN(VLOOKUP($B24,Database!$B$1:$IX$10144,AE$22,FALSE))=0,"",VLOOKUP($B24,Database!$B$1:$IX$10144,AE$22,FALSE)))</f>
        <v>18.899999999999999</v>
      </c>
      <c r="AF24" s="22">
        <f>IF(OR($B24="",AF$22=""),"",IF(LEN(VLOOKUP($B24,Database!$B$1:$IX$10144,AF$22,FALSE))=0,"",VLOOKUP($B24,Database!$B$1:$IX$10144,AF$22,FALSE)))</f>
        <v>16</v>
      </c>
      <c r="AG24" s="22">
        <f>IF(OR($B24="",AG$22=""),"",IF(LEN(VLOOKUP($B24,Database!$B$1:$IX$10144,AG$22,FALSE))=0,"",VLOOKUP($B24,Database!$B$1:$IX$10144,AG$22,FALSE)))</f>
        <v>20</v>
      </c>
      <c r="AH24" s="22"/>
      <c r="AI24" s="22">
        <f>IF(OR($B24="",AI$22=""),"",IF(LEN(VLOOKUP($B24,Database!$B$1:$IX$10144,AI$22,FALSE))=0,"",VLOOKUP($B24,Database!$B$1:$IX$10144,AI$22,FALSE)))</f>
        <v>4</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Shah SA, Doraiswamy PM, Husain MM, Escalona PR, Na C, Figiel GS, Patterson LJ, Ellinwood EH Jr, McDonald WM, Boyko OB, et al.</v>
      </c>
      <c r="AR24" s="13"/>
      <c r="BC24" s="23"/>
      <c r="BF24" s="136"/>
      <c r="BG24" s="136"/>
      <c r="BH24" s="136"/>
      <c r="BI24" s="136"/>
    </row>
    <row r="25" spans="1:65">
      <c r="B25">
        <v>11200955</v>
      </c>
      <c r="C25" s="1" t="str">
        <f>IF($B25="","",HYPERLINK(IF(LEN(VLOOKUP($B25,Database!$B$1:$IX$10144,2,FALSE))=0,"",VLOOKUP($B25,Database!$B$1:$IX$10144,2,FALSE))))</f>
        <v/>
      </c>
      <c r="D25" s="1" t="str">
        <f t="shared" si="0"/>
        <v>http://www.ncbi.nlm.nih.gov/pubmed/11200955</v>
      </c>
      <c r="E25" s="22" t="str">
        <f>IF($B25="","",IF(LEN(VLOOKUP($B25,Database!$B$1:$IX$10144,4,FALSE))=0,"",VLOOKUP($B25,Database!$B$1:$IX$10144,4,FALSE)))</f>
        <v>McIntosh AM</v>
      </c>
      <c r="F25" s="22">
        <f>IF($B25="","",IF(LEN(VLOOKUP($B25,Database!$B$1:$IX$10144,5,FALSE))=0,"",VLOOKUP($B25,Database!$B$1:$IX$10144,5,FALSE)))</f>
        <v>2001</v>
      </c>
      <c r="G25" s="1" t="str">
        <f>IF($B25="","",HYPERLINK(IF(LEN(VLOOKUP($B25,Database!$B$1:$IX$10144,6,FALSE))=0,"",VLOOKUP($B25,Database!$B$1:$IX$10144,6,FALSE))))</f>
        <v>http://dx.doi.org/10.1017/S0033291799003177</v>
      </c>
      <c r="H25" s="22">
        <f>IF($B25="","",IF(LEN(VLOOKUP($B25,Database!$B$1:$IX$10144,7,FALSE))=0,"",VLOOKUP($B25,Database!$B$1:$IX$10144,7,FALSE)))</f>
        <v>9</v>
      </c>
      <c r="I25" s="22">
        <f>IF($B25="","",IF(LEN(VLOOKUP($B25,Database!$B$1:$IX$10144,8,FALSE))=0,"",VLOOKUP($B25,Database!$B$1:$IX$10144,8,FALSE)))</f>
        <v>29</v>
      </c>
      <c r="J25" t="s">
        <v>426</v>
      </c>
      <c r="T25">
        <v>651</v>
      </c>
      <c r="U25">
        <v>249</v>
      </c>
      <c r="V25">
        <v>675</v>
      </c>
      <c r="W25">
        <v>402</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43.56</v>
      </c>
      <c r="AC25" s="22">
        <f>IF(OR($B25="",AC$22=""),"",IF(LEN(VLOOKUP($B25,Database!$B$1:$IX$10144,AC$22,FALSE))=0,"",VLOOKUP($B25,Database!$B$1:$IX$10144,AC$22,FALSE)))</f>
        <v>9.3800000000000008</v>
      </c>
      <c r="AD25" s="22">
        <f>IF(OR($B25="",AD$22=""),"",IF(LEN(VLOOKUP($B25,Database!$B$1:$IX$10144,AD$22,FALSE))=0,"",VLOOKUP($B25,Database!$B$1:$IX$10144,AD$22,FALSE)))</f>
        <v>42.76</v>
      </c>
      <c r="AE25" s="22">
        <f>IF(OR($B25="",AE$22=""),"",IF(LEN(VLOOKUP($B25,Database!$B$1:$IX$10144,AE$22,FALSE))=0,"",VLOOKUP($B25,Database!$B$1:$IX$10144,AE$22,FALSE)))</f>
        <v>9.91</v>
      </c>
      <c r="AF25" s="22">
        <f>IF(OR($B25="",AF$22=""),"",IF(LEN(VLOOKUP($B25,Database!$B$1:$IX$10144,AF$22,FALSE))=0,"",VLOOKUP($B25,Database!$B$1:$IX$10144,AF$22,FALSE)))</f>
        <v>5</v>
      </c>
      <c r="AG25" s="22">
        <f>IF(OR($B25="",AG$22=""),"",IF(LEN(VLOOKUP($B25,Database!$B$1:$IX$10144,AG$22,FALSE))=0,"",VLOOKUP($B25,Database!$B$1:$IX$10144,AG$22,FALSE)))</f>
        <v>16</v>
      </c>
      <c r="AH25" s="22"/>
      <c r="AI25" s="22">
        <f>IF(OR($B25="",AI$22=""),"",IF(LEN(VLOOKUP($B25,Database!$B$1:$IX$10144,AI$22,FALSE))=0,"",VLOOKUP($B25,Database!$B$1:$IX$10144,AI$22,FALSE)))</f>
        <v>1.88</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A. M. McINTOSH, A. FORRESTER, S.M. LAWRIE, M. BYRNE, A. HARPER, J. N. KESTELMAN, J. J. K. BEST, P. MILLER, E. C. JOHNSTONE and D. G. C. OWENS</v>
      </c>
      <c r="AR25" s="13"/>
      <c r="BC25" s="23"/>
      <c r="BF25" s="136"/>
      <c r="BG25" s="136"/>
      <c r="BH25" s="136"/>
      <c r="BI25" s="136"/>
    </row>
    <row r="26" spans="1:65">
      <c r="B26">
        <v>15465296</v>
      </c>
      <c r="C26" s="1" t="str">
        <f>IF($B26="","",HYPERLINK(IF(LEN(VLOOKUP($B26,Database!$B$1:$IX$10144,2,FALSE))=0,"",VLOOKUP($B26,Database!$B$1:$IX$10144,2,FALSE))))</f>
        <v/>
      </c>
      <c r="D26" s="1" t="str">
        <f t="shared" si="0"/>
        <v>http://www.ncbi.nlm.nih.gov/pubmed/15465296</v>
      </c>
      <c r="E26" s="22" t="str">
        <f>IF($B26="","",IF(LEN(VLOOKUP($B26,Database!$B$1:$IX$10144,4,FALSE))=0,"",VLOOKUP($B26,Database!$B$1:$IX$10144,4,FALSE)))</f>
        <v>Supprian T</v>
      </c>
      <c r="F26" s="22">
        <f>IF($B26="","",IF(LEN(VLOOKUP($B26,Database!$B$1:$IX$10144,5,FALSE))=0,"",VLOOKUP($B26,Database!$B$1:$IX$10144,5,FALSE)))</f>
        <v>2004</v>
      </c>
      <c r="G26" s="1" t="str">
        <f>IF($B26="","",HYPERLINK(IF(LEN(VLOOKUP($B26,Database!$B$1:$IX$10144,6,FALSE))=0,"",VLOOKUP($B26,Database!$B$1:$IX$10144,6,FALSE))))</f>
        <v>http://dx.doi.org/10.1016/j.pscychresns.2004.02.005</v>
      </c>
      <c r="H26" s="22">
        <f>IF($B26="","",IF(LEN(VLOOKUP($B26,Database!$B$1:$IX$10144,7,FALSE))=0,"",VLOOKUP($B26,Database!$B$1:$IX$10144,7,FALSE)))</f>
        <v>10</v>
      </c>
      <c r="I26" s="22">
        <f>IF($B26="","",IF(LEN(VLOOKUP($B26,Database!$B$1:$IX$10144,8,FALSE))=0,"",VLOOKUP($B26,Database!$B$1:$IX$10144,8,FALSE)))</f>
        <v>10</v>
      </c>
      <c r="J26" t="s">
        <v>427</v>
      </c>
      <c r="T26">
        <v>3.36</v>
      </c>
      <c r="U26">
        <v>1.35</v>
      </c>
      <c r="V26">
        <v>2.68</v>
      </c>
      <c r="W26">
        <v>0.57999999999999996</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48.9</v>
      </c>
      <c r="AC26" s="22">
        <f>IF(OR($B26="",AC$22=""),"",IF(LEN(VLOOKUP($B26,Database!$B$1:$IX$10144,AC$22,FALSE))=0,"",VLOOKUP($B26,Database!$B$1:$IX$10144,AC$22,FALSE)))</f>
        <v>13.8</v>
      </c>
      <c r="AD26" s="22">
        <f>IF(OR($B26="",AD$22=""),"",IF(LEN(VLOOKUP($B26,Database!$B$1:$IX$10144,AD$22,FALSE))=0,"",VLOOKUP($B26,Database!$B$1:$IX$10144,AD$22,FALSE)))</f>
        <v>48.3</v>
      </c>
      <c r="AE26" s="22">
        <f>IF(OR($B26="",AE$22=""),"",IF(LEN(VLOOKUP($B26,Database!$B$1:$IX$10144,AE$22,FALSE))=0,"",VLOOKUP($B26,Database!$B$1:$IX$10144,AE$22,FALSE)))</f>
        <v>15.7</v>
      </c>
      <c r="AF26" s="22">
        <f>IF(OR($B26="",AF$22=""),"",IF(LEN(VLOOKUP($B26,Database!$B$1:$IX$10144,AF$22,FALSE))=0,"",VLOOKUP($B26,Database!$B$1:$IX$10144,AF$22,FALSE)))</f>
        <v>6</v>
      </c>
      <c r="AG26" s="22">
        <f>IF(OR($B26="",AG$22=""),"",IF(LEN(VLOOKUP($B26,Database!$B$1:$IX$10144,AG$22,FALSE))=0,"",VLOOKUP($B26,Database!$B$1:$IX$10144,AG$22,FALSE)))</f>
        <v>6</v>
      </c>
      <c r="AH26" s="22"/>
      <c r="AI26" s="22">
        <f>IF(OR($B26="",AI$22=""),"",IF(LEN(VLOOKUP($B26,Database!$B$1:$IX$10144,AI$22,FALSE))=0,"",VLOOKUP($B26,Database!$B$1:$IX$10144,AI$22,FALSE)))</f>
        <v>4</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f>IF(OR($B26="",AP$22=""),"",IF(LEN(VLOOKUP($B26,Database!$B$1:$IX$10144,AP$22,FALSE))=0,"",VLOOKUP($B26,Database!$B$1:$IX$10144,AP$22,FALSE)))</f>
        <v>0</v>
      </c>
      <c r="AQ26" s="22" t="str">
        <f>IF(OR($B26="",AQ$22=""),"",IF(LEN(VLOOKUP($B26,Database!$B$1:$IX$10144,AQ$22,FALSE))=0,"",VLOOKUP($B26,Database!$B$1:$IX$10144,AQ$22,FALSE)))</f>
        <v>Supprian T, Reiche W, Schmitz B, Grunwald I, Backens M, Hofmann E, Georg T, Falkai P, Reith W.</v>
      </c>
      <c r="AR26" s="13"/>
      <c r="BC26" s="23"/>
      <c r="BF26" s="136"/>
      <c r="BG26" s="136"/>
      <c r="BH26" s="136"/>
      <c r="BI26" s="136"/>
    </row>
    <row r="27" spans="1:65">
      <c r="C27" s="1" t="str">
        <f>IF($B27="","",HYPERLINK(IF(LEN(VLOOKUP($B27,Database!$B$1:$IX$10144,2,FALSE))=0,"",VLOOKUP($B27,Database!$B$1:$IX$10144,2,FALSE))))</f>
        <v/>
      </c>
      <c r="D27" s="1" t="str">
        <f t="shared" si="0"/>
        <v/>
      </c>
      <c r="E27" s="22" t="str">
        <f>IF($B27="","",IF(LEN(VLOOKUP($B27,Database!$B$1:$IX$10144,4,FALSE))=0,"",VLOOKUP($B27,Database!$B$1:$IX$10144,4,FALSE)))</f>
        <v/>
      </c>
      <c r="F27" s="22" t="str">
        <f>IF($B27="","",IF(LEN(VLOOKUP($B27,Database!$B$1:$IX$10144,5,FALSE))=0,"",VLOOKUP($B27,Database!$B$1:$IX$10144,5,FALSE)))</f>
        <v/>
      </c>
      <c r="G27" s="1" t="str">
        <f>IF($B27="","",HYPERLINK(IF(LEN(VLOOKUP($B27,Database!$B$1:$IX$10144,6,FALSE))=0,"",VLOOKUP($B27,Database!$B$1:$IX$10144,6,FALSE))))</f>
        <v/>
      </c>
      <c r="H27" s="22" t="str">
        <f>IF($B27="","",IF(LEN(VLOOKUP($B27,Database!$B$1:$IX$10144,7,FALSE))=0,"",VLOOKUP($B27,Database!$B$1:$IX$10144,7,FALSE)))</f>
        <v/>
      </c>
      <c r="I27" s="22" t="str">
        <f>IF($B27="","",IF(LEN(VLOOKUP($B27,Database!$B$1:$IX$10144,8,FALSE))=0,"",VLOOKUP($B27,Database!$B$1:$IX$10144,8,FALSE)))</f>
        <v/>
      </c>
      <c r="Y27" s="22" t="str">
        <f>IF(OR($B27="",Y$22=""),"",IF(LEN(VLOOKUP($B27,Database!$B$1:$IX$10144,Y$22,FALSE))=0,"",VLOOKUP($B27,Database!$B$1:$IX$10144,Y$22,FALSE)))</f>
        <v/>
      </c>
      <c r="Z27" s="22" t="str">
        <f>IF(OR($B27="",Z$22=""),"",IF(LEN(VLOOKUP($B27,Database!$B$1:$IX$10144,Z$22,FALSE))=0,"",VLOOKUP($B27,Database!$B$1:$IX$10144,Z$22,FALSE)))</f>
        <v/>
      </c>
      <c r="AA27" s="22" t="str">
        <f>IF(OR($B27="",AA$22=""),"",IF(LEN(VLOOKUP($B27,Database!$B$1:$IX$10144,AA$22,FALSE))=0,"",VLOOKUP($B27,Database!$B$1:$IX$10144,AA$22,FALSE)))</f>
        <v/>
      </c>
      <c r="AB27" s="22"/>
      <c r="AC27" s="22"/>
      <c r="AD27" s="22" t="str">
        <f>IF(OR($B27="",AD$22=""),"",IF(LEN(VLOOKUP($B27,Database!$B$1:$IX$10144,AD$22,FALSE))=0,"",VLOOKUP($B27,Database!$B$1:$IX$10144,AD$22,FALSE)))</f>
        <v/>
      </c>
      <c r="AE27" s="22" t="str">
        <f>IF(OR($B27="",AE$22=""),"",IF(LEN(VLOOKUP($B27,Database!$B$1:$IX$10144,AE$22,FALSE))=0,"",VLOOKUP($B27,Database!$B$1:$IX$10144,AE$22,FALSE)))</f>
        <v/>
      </c>
      <c r="AF27" s="22" t="str">
        <f>IF(OR($B27="",AF$22=""),"",IF(LEN(VLOOKUP($B27,Database!$B$1:$IX$10144,AF$22,FALSE))=0,"",VLOOKUP($B27,Database!$B$1:$IX$10144,AF$22,FALSE)))</f>
        <v/>
      </c>
      <c r="AG27" s="22" t="str">
        <f>IF(OR($B27="",AG$22=""),"",IF(LEN(VLOOKUP($B27,Database!$B$1:$IX$10144,AG$22,FALSE))=0,"",VLOOKUP($B27,Database!$B$1:$IX$10144,AG$22,FALSE)))</f>
        <v/>
      </c>
      <c r="AH27" s="22"/>
      <c r="AI27" s="22" t="str">
        <f>IF(OR($B27="",AI$22=""),"",IF(LEN(VLOOKUP($B27,Database!$B$1:$IX$10144,AI$22,FALSE))=0,"",VLOOKUP($B27,Database!$B$1:$IX$10144,AI$22,FALSE)))</f>
        <v/>
      </c>
      <c r="AJ27" s="22" t="str">
        <f>IF(OR($B27="",AJ$22=""),"",IF(LEN(VLOOKUP($B27,Database!$B$1:$IX$10144,AJ$22,FALSE))=0,"",VLOOKUP($B27,Database!$B$1:$IX$10144,AJ$22,FALSE)))</f>
        <v/>
      </c>
      <c r="AK27" s="22" t="str">
        <f>IF(OR($B27="",AK$22=""),"",IF(LEN(VLOOKUP($B27,Database!$B$1:$IX$10144,AK$22,FALSE))=0,"",VLOOKUP($B27,Database!$B$1:$IX$10144,AK$22,FALSE)))</f>
        <v/>
      </c>
      <c r="AL27" s="22" t="str">
        <f>IF(OR($B27="",AL$22=""),"",IF(LEN(VLOOKUP($B27,Database!$B$1:$IX$10144,AL$22,FALSE))=0,"",VLOOKUP($B27,Database!$B$1:$IX$10144,AL$22,FALSE)))</f>
        <v/>
      </c>
      <c r="AM27" s="22" t="str">
        <f>IF(OR($B27="",AM$22=""),"",IF(LEN(VLOOKUP($B27,Database!$B$1:$IX$10144,AM$22,FALSE))=0,"",VLOOKUP($B27,Database!$B$1:$IX$10144,AM$22,FALSE)))</f>
        <v/>
      </c>
      <c r="AN27" s="22" t="str">
        <f>IF(OR($B27="",AN$22=""),"",IF(LEN(VLOOKUP($B27,Database!$B$1:$IX$10144,AN$22,FALSE))=0,"",VLOOKUP($B27,Database!$B$1:$IX$10144,AN$22,FALSE)))</f>
        <v/>
      </c>
      <c r="AO27" s="22" t="str">
        <f>IF(OR($B27="",AO$22=""),"",IF(LEN(VLOOKUP($B27,Database!$B$1:$IX$10144,AO$22,FALSE))=0,"",VLOOKUP($B27,Database!$B$1:$IX$10144,AO$22,FALSE)))</f>
        <v/>
      </c>
      <c r="AP27" s="22" t="str">
        <f>IF(OR($B27="",AP$22=""),"",IF(LEN(VLOOKUP($B27,Database!$B$1:$IX$10144,AP$22,FALSE))=0,"",VLOOKUP($B27,Database!$B$1:$IX$10144,AP$22,FALSE)))</f>
        <v/>
      </c>
      <c r="AQ27" s="22" t="str">
        <f>IF(OR($B27="",AQ$22=""),"",IF(LEN(VLOOKUP($B27,Database!$B$1:$IX$10144,AQ$22,FALSE))=0,"",VLOOKUP($B27,Database!$B$1:$IX$10144,AQ$22,FALSE)))</f>
        <v/>
      </c>
    </row>
    <row r="28" spans="1:65">
      <c r="A28" s="4" t="s">
        <v>1510</v>
      </c>
      <c r="C28" s="1" t="str">
        <f>IF($B28="","",HYPERLINK(IF(LEN(VLOOKUP($B28,Database!$B$1:$IX$10144,2,FALSE))=0,"",VLOOKUP($B28,Database!$B$1:$IX$10144,2,FALSE))))</f>
        <v/>
      </c>
      <c r="D28" s="1" t="str">
        <f t="shared" si="0"/>
        <v/>
      </c>
      <c r="E28" s="22" t="str">
        <f>IF($B28="","",IF(LEN(VLOOKUP($B28,Database!$B$1:$IX$10144,4,FALSE))=0,"",VLOOKUP($B28,Database!$B$1:$IX$10144,4,FALSE)))</f>
        <v/>
      </c>
      <c r="F28" s="22" t="str">
        <f>IF($B28="","",IF(LEN(VLOOKUP($B28,Database!$B$1:$IX$10144,5,FALSE))=0,"",VLOOKUP($B28,Database!$B$1:$IX$10144,5,FALSE)))</f>
        <v/>
      </c>
      <c r="G28" s="1" t="str">
        <f>IF($B28="","",HYPERLINK(IF(LEN(VLOOKUP($B28,Database!$B$1:$IX$10144,6,FALSE))=0,"",VLOOKUP($B28,Database!$B$1:$IX$10144,6,FALSE))))</f>
        <v/>
      </c>
      <c r="H28" s="22" t="str">
        <f>IF($B28="","",IF(LEN(VLOOKUP($B28,Database!$B$1:$IX$10144,7,FALSE))=0,"",VLOOKUP($B28,Database!$B$1:$IX$10144,7,FALSE)))</f>
        <v/>
      </c>
      <c r="I28" s="22" t="str">
        <f>IF($B28="","",IF(LEN(VLOOKUP($B28,Database!$B$1:$IX$10144,8,FALSE))=0,"",VLOOKUP($B28,Database!$B$1:$IX$10144,8,FALSE)))</f>
        <v/>
      </c>
      <c r="Y28" s="22" t="str">
        <f>IF(OR($B28="",Y$22=""),"",IF(LEN(VLOOKUP($B28,Database!$B$1:$IX$10144,Y$22,FALSE))=0,"",VLOOKUP($B28,Database!$B$1:$IX$10144,Y$22,FALSE)))</f>
        <v/>
      </c>
      <c r="Z28" s="22" t="str">
        <f>IF(OR($B28="",Z$22=""),"",IF(LEN(VLOOKUP($B28,Database!$B$1:$IX$10144,Z$22,FALSE))=0,"",VLOOKUP($B28,Database!$B$1:$IX$10144,Z$22,FALSE)))</f>
        <v/>
      </c>
      <c r="AA28" s="22" t="str">
        <f>IF(OR($B28="",AA$22=""),"",IF(LEN(VLOOKUP($B28,Database!$B$1:$IX$10144,AA$22,FALSE))=0,"",VLOOKUP($B28,Database!$B$1:$IX$10144,AA$22,FALSE)))</f>
        <v/>
      </c>
      <c r="AB28" s="22" t="str">
        <f>IF(OR($B28="",AB$22=""),"",IF(LEN(VLOOKUP($B28,Database!$B$1:$IX$10144,AB$22,FALSE))=0,"",VLOOKUP($B28,Database!$B$1:$IX$10144,AB$22,FALSE)))</f>
        <v/>
      </c>
      <c r="AC28" s="22" t="str">
        <f>IF(OR($B28="",AC$22=""),"",IF(LEN(VLOOKUP($B28,Database!$B$1:$IX$10144,AC$22,FALSE))=0,"",VLOOKUP($B28,Database!$B$1:$IX$10144,AC$22,FALSE)))</f>
        <v/>
      </c>
      <c r="AD28" s="22" t="str">
        <f>IF(OR($B28="",AD$22=""),"",IF(LEN(VLOOKUP($B28,Database!$B$1:$IX$10144,AD$22,FALSE))=0,"",VLOOKUP($B28,Database!$B$1:$IX$10144,AD$22,FALSE)))</f>
        <v/>
      </c>
      <c r="AE28" s="22" t="str">
        <f>IF(OR($B28="",AE$22=""),"",IF(LEN(VLOOKUP($B28,Database!$B$1:$IX$10144,AE$22,FALSE))=0,"",VLOOKUP($B28,Database!$B$1:$IX$10144,AE$22,FALSE)))</f>
        <v/>
      </c>
      <c r="AF28" s="22" t="str">
        <f>IF(OR($B28="",AF$22=""),"",IF(LEN(VLOOKUP($B28,Database!$B$1:$IX$10144,AF$22,FALSE))=0,"",VLOOKUP($B28,Database!$B$1:$IX$10144,AF$22,FALSE)))</f>
        <v/>
      </c>
      <c r="AG28" s="22" t="str">
        <f>IF(OR($B28="",AG$22=""),"",IF(LEN(VLOOKUP($B28,Database!$B$1:$IX$10144,AG$22,FALSE))=0,"",VLOOKUP($B28,Database!$B$1:$IX$10144,AG$22,FALSE)))</f>
        <v/>
      </c>
      <c r="AH28" s="22" t="str">
        <f>IF(OR($B28="",AH$22=""),"",IF(LEN(VLOOKUP($B28,Database!$B$1:$IX$10144,AH$22,FALSE))=0,"",VLOOKUP($B28,Database!$B$1:$IX$10144,AH$22,FALSE)))</f>
        <v/>
      </c>
      <c r="AI28" s="22" t="str">
        <f>IF(OR($B28="",AI$22=""),"",IF(LEN(VLOOKUP($B28,Database!$B$1:$IX$10144,AI$22,FALSE))=0,"",VLOOKUP($B28,Database!$B$1:$IX$10144,AI$22,FALSE)))</f>
        <v/>
      </c>
      <c r="AJ28" s="22" t="str">
        <f>IF(OR($B28="",AJ$22=""),"",IF(LEN(VLOOKUP($B28,Database!$B$1:$IX$10144,AJ$22,FALSE))=0,"",VLOOKUP($B28,Database!$B$1:$IX$10144,AJ$22,FALSE)))</f>
        <v/>
      </c>
      <c r="AK28" s="22" t="str">
        <f>IF(OR($B28="",AK$22=""),"",IF(LEN(VLOOKUP($B28,Database!$B$1:$IX$10144,AK$22,FALSE))=0,"",VLOOKUP($B28,Database!$B$1:$IX$10144,AK$22,FALSE)))</f>
        <v/>
      </c>
      <c r="AL28" s="22" t="str">
        <f>IF(OR($B28="",AL$22=""),"",IF(LEN(VLOOKUP($B28,Database!$B$1:$IX$10144,AL$22,FALSE))=0,"",VLOOKUP($B28,Database!$B$1:$IX$10144,AL$22,FALSE)))</f>
        <v/>
      </c>
      <c r="AM28" s="22" t="str">
        <f>IF(OR($B28="",AM$22=""),"",IF(LEN(VLOOKUP($B28,Database!$B$1:$IX$10144,AM$22,FALSE))=0,"",VLOOKUP($B28,Database!$B$1:$IX$10144,AM$22,FALSE)))</f>
        <v/>
      </c>
      <c r="AN28" s="22" t="str">
        <f>IF(OR($B28="",AN$22=""),"",IF(LEN(VLOOKUP($B28,Database!$B$1:$IX$10144,AN$22,FALSE))=0,"",VLOOKUP($B28,Database!$B$1:$IX$10144,AN$22,FALSE)))</f>
        <v/>
      </c>
      <c r="AO28" s="22" t="str">
        <f>IF(OR($B28="",AO$22=""),"",IF(LEN(VLOOKUP($B28,Database!$B$1:$IX$10144,AO$22,FALSE))=0,"",VLOOKUP($B28,Database!$B$1:$IX$10144,AO$22,FALSE)))</f>
        <v/>
      </c>
      <c r="AP28" s="22" t="str">
        <f>IF(OR($B28="",AP$22=""),"",IF(LEN(VLOOKUP($B28,Database!$B$1:$IX$10144,AP$22,FALSE))=0,"",VLOOKUP($B28,Database!$B$1:$IX$10144,AP$22,FALSE)))</f>
        <v/>
      </c>
      <c r="AQ28" s="22" t="str">
        <f>IF(OR($B28="",AQ$22=""),"",IF(LEN(VLOOKUP($B28,Database!$B$1:$IX$10144,AQ$22,FALSE))=0,"",VLOOKUP($B28,Database!$B$1:$IX$10144,AQ$22,FALSE)))</f>
        <v/>
      </c>
    </row>
    <row r="29" spans="1:65">
      <c r="A29" s="4"/>
      <c r="C29" s="1" t="str">
        <f>IF($B29="","",HYPERLINK(IF(LEN(VLOOKUP($B29,Database!$B$1:$IX$10144,2,FALSE))=0,"",VLOOKUP($B29,Database!$B$1:$IX$10144,2,FALSE))))</f>
        <v/>
      </c>
      <c r="D29" s="1" t="str">
        <f t="shared" si="0"/>
        <v/>
      </c>
      <c r="E29" s="22" t="str">
        <f>IF($B29="","",IF(LEN(VLOOKUP($B29,Database!$B$1:$IX$10144,4,FALSE))=0,"",VLOOKUP($B29,Database!$B$1:$IX$10144,4,FALSE)))</f>
        <v/>
      </c>
      <c r="F29" s="22" t="str">
        <f>IF($B29="","",IF(LEN(VLOOKUP($B29,Database!$B$1:$IX$10144,5,FALSE))=0,"",VLOOKUP($B29,Database!$B$1:$IX$10144,5,FALSE)))</f>
        <v/>
      </c>
      <c r="G29" s="1" t="str">
        <f>IF($B29="","",HYPERLINK(IF(LEN(VLOOKUP($B29,Database!$B$1:$IX$10144,6,FALSE))=0,"",VLOOKUP($B29,Database!$B$1:$IX$10144,6,FALSE))))</f>
        <v/>
      </c>
      <c r="H29" s="22" t="str">
        <f>IF($B29="","",IF(LEN(VLOOKUP($B29,Database!$B$1:$IX$10144,7,FALSE))=0,"",VLOOKUP($B29,Database!$B$1:$IX$10144,7,FALSE)))</f>
        <v/>
      </c>
      <c r="I29" s="22" t="str">
        <f>IF($B29="","",IF(LEN(VLOOKUP($B29,Database!$B$1:$IX$10144,8,FALSE))=0,"",VLOOKUP($B29,Database!$B$1:$IX$10144,8,FALSE)))</f>
        <v/>
      </c>
      <c r="K29" s="10"/>
      <c r="Y29" s="22" t="str">
        <f>IF(OR($B29="",Y$22=""),"",IF(LEN(VLOOKUP($B29,Database!$B$1:$IX$10144,Y$22,FALSE))=0,"",VLOOKUP($B29,Database!$B$1:$IX$10144,Y$22,FALSE)))</f>
        <v/>
      </c>
      <c r="Z29" s="22" t="str">
        <f>IF(OR($B29="",Z$22=""),"",IF(LEN(VLOOKUP($B29,Database!$B$1:$IX$10144,Z$22,FALSE))=0,"",VLOOKUP($B29,Database!$B$1:$IX$10144,Z$22,FALSE)))</f>
        <v/>
      </c>
      <c r="AA29" s="22" t="str">
        <f>IF(OR($B29="",AA$22=""),"",IF(LEN(VLOOKUP($B29,Database!$B$1:$IX$10144,AA$22,FALSE))=0,"",VLOOKUP($B29,Database!$B$1:$IX$10144,AA$22,FALSE)))</f>
        <v/>
      </c>
      <c r="AB29" s="22" t="str">
        <f>IF(OR($B29="",AB$22=""),"",IF(LEN(VLOOKUP($B29,Database!$B$1:$IX$10144,AB$22,FALSE))=0,"",VLOOKUP($B29,Database!$B$1:$IX$10144,AB$22,FALSE)))</f>
        <v/>
      </c>
      <c r="AC29" s="22" t="str">
        <f>IF(OR($B29="",AC$22=""),"",IF(LEN(VLOOKUP($B29,Database!$B$1:$IX$10144,AC$22,FALSE))=0,"",VLOOKUP($B29,Database!$B$1:$IX$10144,AC$22,FALSE)))</f>
        <v/>
      </c>
      <c r="AD29" s="22" t="str">
        <f>IF(OR($B29="",AD$22=""),"",IF(LEN(VLOOKUP($B29,Database!$B$1:$IX$10144,AD$22,FALSE))=0,"",VLOOKUP($B29,Database!$B$1:$IX$10144,AD$22,FALSE)))</f>
        <v/>
      </c>
      <c r="AE29" s="22" t="str">
        <f>IF(OR($B29="",AE$22=""),"",IF(LEN(VLOOKUP($B29,Database!$B$1:$IX$10144,AE$22,FALSE))=0,"",VLOOKUP($B29,Database!$B$1:$IX$10144,AE$22,FALSE)))</f>
        <v/>
      </c>
      <c r="AF29" s="22" t="str">
        <f>IF(OR($B29="",AF$22=""),"",IF(LEN(VLOOKUP($B29,Database!$B$1:$IX$10144,AF$22,FALSE))=0,"",VLOOKUP($B29,Database!$B$1:$IX$10144,AF$22,FALSE)))</f>
        <v/>
      </c>
      <c r="AG29" s="22" t="str">
        <f>IF(OR($B29="",AG$22=""),"",IF(LEN(VLOOKUP($B29,Database!$B$1:$IX$10144,AG$22,FALSE))=0,"",VLOOKUP($B29,Database!$B$1:$IX$10144,AG$22,FALSE)))</f>
        <v/>
      </c>
      <c r="AH29" s="22" t="str">
        <f>IF(OR($B29="",AH$22=""),"",IF(LEN(VLOOKUP($B29,Database!$B$1:$IX$10144,AH$22,FALSE))=0,"",VLOOKUP($B29,Database!$B$1:$IX$10144,AH$22,FALSE)))</f>
        <v/>
      </c>
      <c r="AI29" s="22" t="str">
        <f>IF(OR($B29="",AI$22=""),"",IF(LEN(VLOOKUP($B29,Database!$B$1:$IX$10144,AI$22,FALSE))=0,"",VLOOKUP($B29,Database!$B$1:$IX$10144,AI$22,FALSE)))</f>
        <v/>
      </c>
      <c r="AJ29" s="22" t="str">
        <f>IF(OR($B29="",AJ$22=""),"",IF(LEN(VLOOKUP($B29,Database!$B$1:$IX$10144,AJ$22,FALSE))=0,"",VLOOKUP($B29,Database!$B$1:$IX$10144,AJ$22,FALSE)))</f>
        <v/>
      </c>
      <c r="AK29" s="22" t="str">
        <f>IF(OR($B29="",AK$22=""),"",IF(LEN(VLOOKUP($B29,Database!$B$1:$IX$10144,AK$22,FALSE))=0,"",VLOOKUP($B29,Database!$B$1:$IX$10144,AK$22,FALSE)))</f>
        <v/>
      </c>
      <c r="AL29" s="22" t="str">
        <f>IF(OR($B29="",AL$22=""),"",IF(LEN(VLOOKUP($B29,Database!$B$1:$IX$10144,AL$22,FALSE))=0,"",VLOOKUP($B29,Database!$B$1:$IX$10144,AL$22,FALSE)))</f>
        <v/>
      </c>
      <c r="AM29" s="22" t="str">
        <f>IF(OR($B29="",AM$22=""),"",IF(LEN(VLOOKUP($B29,Database!$B$1:$IX$10144,AM$22,FALSE))=0,"",VLOOKUP($B29,Database!$B$1:$IX$10144,AM$22,FALSE)))</f>
        <v/>
      </c>
      <c r="AN29" s="22" t="str">
        <f>IF(OR($B29="",AN$22=""),"",IF(LEN(VLOOKUP($B29,Database!$B$1:$IX$10144,AN$22,FALSE))=0,"",VLOOKUP($B29,Database!$B$1:$IX$10144,AN$22,FALSE)))</f>
        <v/>
      </c>
      <c r="AO29" s="22" t="str">
        <f>IF(OR($B29="",AO$22=""),"",IF(LEN(VLOOKUP($B29,Database!$B$1:$IX$10144,AO$22,FALSE))=0,"",VLOOKUP($B29,Database!$B$1:$IX$10144,AO$22,FALSE)))</f>
        <v/>
      </c>
      <c r="AP29" s="22" t="str">
        <f>IF(OR($B29="",AP$22=""),"",IF(LEN(VLOOKUP($B29,Database!$B$1:$IX$10144,AP$22,FALSE))=0,"",VLOOKUP($B29,Database!$B$1:$IX$10144,AP$22,FALSE)))</f>
        <v/>
      </c>
      <c r="AQ29" s="22" t="str">
        <f>IF(OR($B29="",AQ$22=""),"",IF(LEN(VLOOKUP($B29,Database!$B$1:$IX$10144,AQ$22,FALSE))=0,"",VLOOKUP($B29,Database!$B$1:$IX$10144,AQ$22,FALSE)))</f>
        <v/>
      </c>
    </row>
    <row r="30" spans="1:65">
      <c r="C30" s="1" t="str">
        <f>IF($B30="","",HYPERLINK(IF(LEN(VLOOKUP($B30,Database!$B$1:$IX$10144,2,FALSE))=0,"",VLOOKUP($B30,Database!$B$1:$IX$10144,2,FALSE))))</f>
        <v/>
      </c>
      <c r="D30" s="1" t="str">
        <f t="shared" si="0"/>
        <v/>
      </c>
      <c r="E30" s="22" t="str">
        <f>IF($B30="","",IF(LEN(VLOOKUP($B30,Database!$B$1:$IX$10144,4,FALSE))=0,"",VLOOKUP($B30,Database!$B$1:$IX$10144,4,FALSE)))</f>
        <v/>
      </c>
      <c r="F30" s="22" t="str">
        <f>IF($B30="","",IF(LEN(VLOOKUP($B30,Database!$B$1:$IX$10144,5,FALSE))=0,"",VLOOKUP($B30,Database!$B$1:$IX$10144,5,FALSE)))</f>
        <v/>
      </c>
      <c r="G30" s="1" t="str">
        <f>IF($B30="","",HYPERLINK(IF(LEN(VLOOKUP($B30,Database!$B$1:$IX$10144,6,FALSE))=0,"",VLOOKUP($B30,Database!$B$1:$IX$10144,6,FALSE))))</f>
        <v/>
      </c>
      <c r="H30" s="22" t="str">
        <f>IF($B30="","",IF(LEN(VLOOKUP($B30,Database!$B$1:$IX$10144,7,FALSE))=0,"",VLOOKUP($B30,Database!$B$1:$IX$10144,7,FALSE)))</f>
        <v/>
      </c>
      <c r="I30" s="22" t="str">
        <f>IF($B30="","",IF(LEN(VLOOKUP($B30,Database!$B$1:$IX$10144,8,FALSE))=0,"",VLOOKUP($B30,Database!$B$1:$IX$10144,8,FALSE)))</f>
        <v/>
      </c>
      <c r="K30" s="10"/>
      <c r="Y30" s="22" t="str">
        <f>IF(OR($B30="",Y$22=""),"",IF(LEN(VLOOKUP($B30,Database!$B$1:$IX$10144,Y$22,FALSE))=0,"",VLOOKUP($B30,Database!$B$1:$IX$10144,Y$22,FALSE)))</f>
        <v/>
      </c>
      <c r="Z30" s="22" t="str">
        <f>IF(OR($B30="",Z$22=""),"",IF(LEN(VLOOKUP($B30,Database!$B$1:$IX$10144,Z$22,FALSE))=0,"",VLOOKUP($B30,Database!$B$1:$IX$10144,Z$22,FALSE)))</f>
        <v/>
      </c>
      <c r="AA30" s="22" t="str">
        <f>IF(OR($B30="",AA$22=""),"",IF(LEN(VLOOKUP($B30,Database!$B$1:$IX$10144,AA$22,FALSE))=0,"",VLOOKUP($B30,Database!$B$1:$IX$10144,AA$22,FALSE)))</f>
        <v/>
      </c>
      <c r="AB30" s="22" t="str">
        <f>IF(OR($B30="",AB$22=""),"",IF(LEN(VLOOKUP($B30,Database!$B$1:$IX$10144,AB$22,FALSE))=0,"",VLOOKUP($B30,Database!$B$1:$IX$10144,AB$22,FALSE)))</f>
        <v/>
      </c>
      <c r="AC30" s="22" t="str">
        <f>IF(OR($B30="",AC$22=""),"",IF(LEN(VLOOKUP($B30,Database!$B$1:$IX$10144,AC$22,FALSE))=0,"",VLOOKUP($B30,Database!$B$1:$IX$10144,AC$22,FALSE)))</f>
        <v/>
      </c>
      <c r="AD30" s="22" t="str">
        <f>IF(OR($B30="",AD$22=""),"",IF(LEN(VLOOKUP($B30,Database!$B$1:$IX$10144,AD$22,FALSE))=0,"",VLOOKUP($B30,Database!$B$1:$IX$10144,AD$22,FALSE)))</f>
        <v/>
      </c>
      <c r="AE30" s="22" t="str">
        <f>IF(OR($B30="",AE$22=""),"",IF(LEN(VLOOKUP($B30,Database!$B$1:$IX$10144,AE$22,FALSE))=0,"",VLOOKUP($B30,Database!$B$1:$IX$10144,AE$22,FALSE)))</f>
        <v/>
      </c>
      <c r="AF30" s="22" t="str">
        <f>IF(OR($B30="",AF$22=""),"",IF(LEN(VLOOKUP($B30,Database!$B$1:$IX$10144,AF$22,FALSE))=0,"",VLOOKUP($B30,Database!$B$1:$IX$10144,AF$22,FALSE)))</f>
        <v/>
      </c>
      <c r="AG30" s="22" t="str">
        <f>IF(OR($B30="",AG$22=""),"",IF(LEN(VLOOKUP($B30,Database!$B$1:$IX$10144,AG$22,FALSE))=0,"",VLOOKUP($B30,Database!$B$1:$IX$10144,AG$22,FALSE)))</f>
        <v/>
      </c>
      <c r="AH30" s="22" t="str">
        <f>IF(OR($B30="",AH$22=""),"",IF(LEN(VLOOKUP($B30,Database!$B$1:$IX$10144,AH$22,FALSE))=0,"",VLOOKUP($B30,Database!$B$1:$IX$10144,AH$22,FALSE)))</f>
        <v/>
      </c>
      <c r="AI30" s="22" t="str">
        <f>IF(OR($B30="",AI$22=""),"",IF(LEN(VLOOKUP($B30,Database!$B$1:$IX$10144,AI$22,FALSE))=0,"",VLOOKUP($B30,Database!$B$1:$IX$10144,AI$22,FALSE)))</f>
        <v/>
      </c>
      <c r="AJ30" s="22" t="str">
        <f>IF(OR($B30="",AJ$22=""),"",IF(LEN(VLOOKUP($B30,Database!$B$1:$IX$10144,AJ$22,FALSE))=0,"",VLOOKUP($B30,Database!$B$1:$IX$10144,AJ$22,FALSE)))</f>
        <v/>
      </c>
      <c r="AK30" s="22" t="str">
        <f>IF(OR($B30="",AK$22=""),"",IF(LEN(VLOOKUP($B30,Database!$B$1:$IX$10144,AK$22,FALSE))=0,"",VLOOKUP($B30,Database!$B$1:$IX$10144,AK$22,FALSE)))</f>
        <v/>
      </c>
      <c r="AL30" s="22" t="str">
        <f>IF(OR($B30="",AL$22=""),"",IF(LEN(VLOOKUP($B30,Database!$B$1:$IX$10144,AL$22,FALSE))=0,"",VLOOKUP($B30,Database!$B$1:$IX$10144,AL$22,FALSE)))</f>
        <v/>
      </c>
      <c r="AM30" s="22" t="str">
        <f>IF(OR($B30="",AM$22=""),"",IF(LEN(VLOOKUP($B30,Database!$B$1:$IX$10144,AM$22,FALSE))=0,"",VLOOKUP($B30,Database!$B$1:$IX$10144,AM$22,FALSE)))</f>
        <v/>
      </c>
      <c r="AN30" s="22" t="str">
        <f>IF(OR($B30="",AN$22=""),"",IF(LEN(VLOOKUP($B30,Database!$B$1:$IX$10144,AN$22,FALSE))=0,"",VLOOKUP($B30,Database!$B$1:$IX$10144,AN$22,FALSE)))</f>
        <v/>
      </c>
      <c r="AO30" s="22" t="str">
        <f>IF(OR($B30="",AO$22=""),"",IF(LEN(VLOOKUP($B30,Database!$B$1:$IX$10144,AO$22,FALSE))=0,"",VLOOKUP($B30,Database!$B$1:$IX$10144,AO$22,FALSE)))</f>
        <v/>
      </c>
      <c r="AP30" s="22" t="str">
        <f>IF(OR($B30="",AP$22=""),"",IF(LEN(VLOOKUP($B30,Database!$B$1:$IX$10144,AP$22,FALSE))=0,"",VLOOKUP($B30,Database!$B$1:$IX$10144,AP$22,FALSE)))</f>
        <v/>
      </c>
      <c r="AQ30" s="22" t="str">
        <f>IF(OR($B30="",AQ$22=""),"",IF(LEN(VLOOKUP($B30,Database!$B$1:$IX$10144,AQ$22,FALSE))=0,"",VLOOKUP($B30,Database!$B$1:$IX$10144,AQ$22,FALSE)))</f>
        <v/>
      </c>
    </row>
    <row r="31" spans="1:65">
      <c r="I31" s="22" t="str">
        <f>IF($B31="","",IF(LEN(VLOOKUP($B31,Database!$B$1:$IX$10144,8,FALSE))=0,"",VLOOKUP($B31,Database!$B$1:$IX$10144,8,FALSE)))</f>
        <v/>
      </c>
      <c r="AF31" t="s">
        <v>602</v>
      </c>
      <c r="AJ31" t="s">
        <v>329</v>
      </c>
      <c r="AN31" t="s">
        <v>330</v>
      </c>
    </row>
    <row r="32" spans="1:65" ht="45" customHeight="1">
      <c r="E32" s="60" t="s">
        <v>617</v>
      </c>
      <c r="F32" s="60" t="s">
        <v>740</v>
      </c>
      <c r="G32" s="60" t="s">
        <v>244</v>
      </c>
      <c r="H32" s="60" t="s">
        <v>245</v>
      </c>
      <c r="I32" s="60" t="s">
        <v>246</v>
      </c>
      <c r="J32" s="60" t="s">
        <v>593</v>
      </c>
      <c r="K32" s="60" t="s">
        <v>1039</v>
      </c>
      <c r="L32" s="60" t="s">
        <v>594</v>
      </c>
      <c r="M32" s="60" t="s">
        <v>1299</v>
      </c>
      <c r="N32" s="61" t="s">
        <v>595</v>
      </c>
      <c r="O32" s="61" t="s">
        <v>596</v>
      </c>
      <c r="P32" s="61" t="s">
        <v>597</v>
      </c>
      <c r="Q32" s="61" t="s">
        <v>598</v>
      </c>
      <c r="R32" s="61" t="s">
        <v>599</v>
      </c>
      <c r="S32" s="61" t="s">
        <v>600</v>
      </c>
      <c r="T32" s="61" t="s">
        <v>601</v>
      </c>
      <c r="U32" s="61" t="s">
        <v>484</v>
      </c>
      <c r="V32" s="61" t="s">
        <v>485</v>
      </c>
      <c r="W32" s="61" t="s">
        <v>486</v>
      </c>
      <c r="AF32" s="61" t="s">
        <v>1517</v>
      </c>
      <c r="AG32" s="62" t="s">
        <v>834</v>
      </c>
      <c r="AH32" s="62" t="s">
        <v>835</v>
      </c>
      <c r="AJ32" s="61" t="s">
        <v>836</v>
      </c>
      <c r="AK32" s="61" t="s">
        <v>837</v>
      </c>
      <c r="AL32" s="61" t="s">
        <v>487</v>
      </c>
      <c r="AN32" t="s">
        <v>488</v>
      </c>
      <c r="AO32" t="s">
        <v>489</v>
      </c>
      <c r="AP32" t="s">
        <v>490</v>
      </c>
      <c r="AQ32" t="s">
        <v>491</v>
      </c>
      <c r="AR32" t="s">
        <v>492</v>
      </c>
      <c r="AS32" t="s">
        <v>493</v>
      </c>
      <c r="AT32" t="s">
        <v>494</v>
      </c>
      <c r="AU32" t="s">
        <v>495</v>
      </c>
      <c r="AV32" t="s">
        <v>496</v>
      </c>
      <c r="AW32" t="s">
        <v>497</v>
      </c>
      <c r="AX32" t="s">
        <v>498</v>
      </c>
      <c r="AY32" t="s">
        <v>499</v>
      </c>
    </row>
    <row r="33" spans="5:51">
      <c r="E33" t="str">
        <f t="shared" ref="E33:F35" si="1">E24</f>
        <v>Shah SA</v>
      </c>
      <c r="F33">
        <f t="shared" si="1"/>
        <v>1992</v>
      </c>
      <c r="G33">
        <v>3</v>
      </c>
      <c r="H33">
        <f t="shared" ref="H33:I35" si="2">H24</f>
        <v>27</v>
      </c>
      <c r="I33">
        <f t="shared" si="2"/>
        <v>36</v>
      </c>
      <c r="J33">
        <f t="shared" ref="J33:M35" si="3">IF($D$4="Total",T24,IF($D$4="Left",L24,IF($D$4="Right",P24,"error")))</f>
        <v>1.0900000000000001</v>
      </c>
      <c r="K33">
        <f t="shared" si="3"/>
        <v>0.4</v>
      </c>
      <c r="L33">
        <f t="shared" si="3"/>
        <v>1.1399999999999999</v>
      </c>
      <c r="M33">
        <f t="shared" si="3"/>
        <v>0.5</v>
      </c>
      <c r="N33">
        <f>IF($D$3=1,SQRT((((I33-1)*(M33)^2)+((H33-1)*(K33)^2))/(H33+I33-2)),M33)</f>
        <v>0.46004276351475748</v>
      </c>
      <c r="O33" s="59">
        <f>IF($D$6=1,LN(J33/L33),IF($D$5=1,(1-3/(4*(H33+I33)-9))*((J33-L33)/N33),(J33-L33)/N33))</f>
        <v>-0.10734375142018382</v>
      </c>
      <c r="P33" s="63">
        <f>IF($D$6=1,(K33^2)/(H33*J33^2)+(M33^2)/(I33*L33^2),(IF($D$5=1,((H33+I33)/(H33*I33))+(O33*O33)/(2*(H33+I33-3.94)),((H33+I33)/(H33*I33))+((O33^2)/(2*(H33+I33-2))))))</f>
        <v>6.4912365449499521E-2</v>
      </c>
      <c r="Q33" s="59">
        <f>$R$52*SQRT(P33)</f>
        <v>0.49936694234880757</v>
      </c>
      <c r="R33" s="59">
        <f>1/P33</f>
        <v>15.405385292544597</v>
      </c>
      <c r="S33" s="59">
        <f>O33*R33</f>
        <v>-1.6536718493750631</v>
      </c>
      <c r="T33" s="59">
        <f>R33*(O33^2)</f>
        <v>0.17751133992987242</v>
      </c>
      <c r="U33" s="23">
        <f>R33^2</f>
        <v>237.32589601174939</v>
      </c>
      <c r="V33" s="59">
        <f>1/((1/R33)+$I$49)</f>
        <v>14.988692180007616</v>
      </c>
      <c r="W33" s="59">
        <f>V33*O33</f>
        <v>-1.6089424474843907</v>
      </c>
      <c r="AF33" s="59">
        <f>IF($D$6=1,100*((EXP(O33))-1),O33)</f>
        <v>-0.10734375142018382</v>
      </c>
      <c r="AG33" s="59">
        <f>IF($D$6=1,100*(EXP(O33+Q33)-EXP(O33)),Q33)</f>
        <v>0.49936694234880757</v>
      </c>
      <c r="AH33" s="59">
        <f>IF($D$6=1,100*(EXP(O33)-EXP(O33-Q33)),Q33)</f>
        <v>0.49936694234880757</v>
      </c>
      <c r="AJ33">
        <f>SQRT(P33)</f>
        <v>0.25477905221877939</v>
      </c>
      <c r="AK33">
        <f>1/AJ33</f>
        <v>3.9249694638996364</v>
      </c>
      <c r="AL33">
        <f>O33/AJ33</f>
        <v>-0.42132094646465473</v>
      </c>
      <c r="AN33" t="str">
        <f t="shared" ref="AN33:AO35" si="4">E33</f>
        <v>Shah SA</v>
      </c>
      <c r="AO33">
        <f t="shared" si="4"/>
        <v>1992</v>
      </c>
      <c r="AP33" t="str">
        <f>CONCATENATE(AN33," ",AO33)</f>
        <v>Shah SA 1992</v>
      </c>
      <c r="AQ33">
        <f>INT(H33)</f>
        <v>27</v>
      </c>
      <c r="AR33">
        <f t="shared" ref="AR33:AS35" si="5">J33</f>
        <v>1.0900000000000001</v>
      </c>
      <c r="AS33">
        <f t="shared" si="5"/>
        <v>0.4</v>
      </c>
      <c r="AT33">
        <f>INT(I33)</f>
        <v>36</v>
      </c>
      <c r="AU33">
        <f t="shared" ref="AU33:AV35" si="6">L33</f>
        <v>1.1399999999999999</v>
      </c>
      <c r="AV33">
        <f t="shared" si="6"/>
        <v>0.5</v>
      </c>
      <c r="AW33" s="65">
        <f>O33</f>
        <v>-0.10734375142018382</v>
      </c>
      <c r="AX33">
        <f>SQRT(P33)</f>
        <v>0.25477905221877939</v>
      </c>
      <c r="AY33" t="str">
        <f>$F$3</f>
        <v>Pooled SD</v>
      </c>
    </row>
    <row r="34" spans="5:51">
      <c r="E34" t="str">
        <f t="shared" si="1"/>
        <v>McIntosh AM</v>
      </c>
      <c r="F34">
        <f t="shared" si="1"/>
        <v>2001</v>
      </c>
      <c r="G34">
        <v>2</v>
      </c>
      <c r="H34">
        <f t="shared" si="2"/>
        <v>9</v>
      </c>
      <c r="I34">
        <f t="shared" si="2"/>
        <v>29</v>
      </c>
      <c r="J34">
        <f t="shared" si="3"/>
        <v>651</v>
      </c>
      <c r="K34">
        <f t="shared" si="3"/>
        <v>249</v>
      </c>
      <c r="L34">
        <f t="shared" si="3"/>
        <v>675</v>
      </c>
      <c r="M34">
        <f t="shared" si="3"/>
        <v>402</v>
      </c>
      <c r="N34">
        <f>IF($D$3=1,SQRT((((I34-1)*(M34)^2)+((H34-1)*(K34)^2))/(H34+I34-2)),M34)</f>
        <v>373.45682481379288</v>
      </c>
      <c r="O34" s="59">
        <f>IF($D$6=1,LN(J34/L34),IF($D$5=1,(1-3/(4*(H34+I34)-9))*((J34-L34)/N34),(J34-L34)/N34))</f>
        <v>-6.2916251452142968E-2</v>
      </c>
      <c r="P34" s="63">
        <f>IF($D$6=1,(K34^2)/(H34*J34^2)+(M34^2)/(I34*L34^2),(IF($D$5=1,((H34+I34)/(H34*I34))+(O34*O34)/(2*(H34+I34-3.94)),((H34+I34)/(H34*I34))+((O34^2)/(2*(H34+I34-2))))))</f>
        <v>0.14565197975377361</v>
      </c>
      <c r="Q34" s="59">
        <f>$R$52*SQRT(P34)</f>
        <v>0.74802182148791396</v>
      </c>
      <c r="R34" s="59">
        <f>1/P34</f>
        <v>6.8656807939755558</v>
      </c>
      <c r="S34" s="59">
        <f>O34*R34</f>
        <v>-0.43196289922391462</v>
      </c>
      <c r="T34" s="59">
        <f>R34*(O34^2)</f>
        <v>2.7177486385568505E-2</v>
      </c>
      <c r="U34" s="23">
        <f>R34^2</f>
        <v>47.137572764764819</v>
      </c>
      <c r="V34" s="59">
        <f>1/((1/R34)+$I$49)</f>
        <v>6.7816575431954638</v>
      </c>
      <c r="W34" s="59">
        <f>V34*O34</f>
        <v>-0.4266764712500079</v>
      </c>
      <c r="AF34" s="59">
        <f>IF($D$6=1,100*((EXP(O34))-1),O34)</f>
        <v>-6.2916251452142968E-2</v>
      </c>
      <c r="AG34" s="59">
        <f>IF($D$6=1,100*(EXP(O34+Q34)-EXP(O34)),Q34)</f>
        <v>0.74802182148791396</v>
      </c>
      <c r="AH34" s="59">
        <f>IF($D$6=1,100*(EXP(O34)-EXP(O34-Q34)),Q34)</f>
        <v>0.74802182148791396</v>
      </c>
      <c r="AJ34">
        <f>SQRT(P34)</f>
        <v>0.38164378647342551</v>
      </c>
      <c r="AK34">
        <f>1/AJ34</f>
        <v>2.6202444149307058</v>
      </c>
      <c r="AL34">
        <f>O34/AJ34</f>
        <v>-0.16485595647585352</v>
      </c>
      <c r="AN34" t="str">
        <f t="shared" si="4"/>
        <v>McIntosh AM</v>
      </c>
      <c r="AO34">
        <f t="shared" si="4"/>
        <v>2001</v>
      </c>
      <c r="AP34" t="str">
        <f>CONCATENATE(AN34," ",AO34)</f>
        <v>McIntosh AM 2001</v>
      </c>
      <c r="AQ34">
        <f>INT(H34)</f>
        <v>9</v>
      </c>
      <c r="AR34">
        <f t="shared" si="5"/>
        <v>651</v>
      </c>
      <c r="AS34">
        <f t="shared" si="5"/>
        <v>249</v>
      </c>
      <c r="AT34">
        <f>INT(I34)</f>
        <v>29</v>
      </c>
      <c r="AU34">
        <f t="shared" si="6"/>
        <v>675</v>
      </c>
      <c r="AV34">
        <f t="shared" si="6"/>
        <v>402</v>
      </c>
      <c r="AW34" s="65">
        <f>O34</f>
        <v>-6.2916251452142968E-2</v>
      </c>
      <c r="AX34">
        <f>SQRT(P34)</f>
        <v>0.38164378647342551</v>
      </c>
      <c r="AY34" t="str">
        <f>$F$4</f>
        <v>Total</v>
      </c>
    </row>
    <row r="35" spans="5:51">
      <c r="E35" t="str">
        <f t="shared" si="1"/>
        <v>Supprian T</v>
      </c>
      <c r="F35">
        <f t="shared" si="1"/>
        <v>2004</v>
      </c>
      <c r="G35">
        <v>1</v>
      </c>
      <c r="H35">
        <f t="shared" si="2"/>
        <v>10</v>
      </c>
      <c r="I35">
        <f t="shared" si="2"/>
        <v>10</v>
      </c>
      <c r="J35">
        <f t="shared" si="3"/>
        <v>3.36</v>
      </c>
      <c r="K35">
        <f t="shared" si="3"/>
        <v>1.35</v>
      </c>
      <c r="L35">
        <f t="shared" si="3"/>
        <v>2.68</v>
      </c>
      <c r="M35">
        <f t="shared" si="3"/>
        <v>0.57999999999999996</v>
      </c>
      <c r="N35">
        <f>IF($D$3=1,SQRT((((I35-1)*(M35)^2)+((H35-1)*(K35)^2))/(H35+I35-2)),M35)</f>
        <v>1.0389658319694639</v>
      </c>
      <c r="O35" s="59">
        <f>IF($D$6=1,LN(J35/L35),IF($D$5=1,(1-3/(4*(H35+I35)-9))*((J35-L35)/N35),(J35-L35)/N35))</f>
        <v>0.62684217862993585</v>
      </c>
      <c r="P35" s="63">
        <f>IF($D$6=1,(K35^2)/(H35*J35^2)+(M35^2)/(I35*L35^2),(IF($D$5=1,((H35+I35)/(H35*I35))+(O35*O35)/(2*(H35+I35-3.94)),((H35+I35)/(H35*I35))+((O35^2)/(2*(H35+I35-2))))))</f>
        <v>0.2122332228178557</v>
      </c>
      <c r="Q35" s="59">
        <f>$R$52*SQRT(P35)</f>
        <v>0.90294803215748487</v>
      </c>
      <c r="R35" s="59">
        <f>1/P35</f>
        <v>4.7117976475258407</v>
      </c>
      <c r="S35" s="59">
        <f>O35*R35</f>
        <v>2.9535535026385045</v>
      </c>
      <c r="T35" s="59">
        <f>R35*(O35^2)</f>
        <v>1.8514119122939983</v>
      </c>
      <c r="U35" s="23">
        <f>R35^2</f>
        <v>22.201037071230047</v>
      </c>
      <c r="V35" s="59">
        <f>1/((1/R35)+$I$49)</f>
        <v>4.6720715292716282</v>
      </c>
      <c r="W35" s="59">
        <f>V35*O35</f>
        <v>2.9286514961235235</v>
      </c>
      <c r="AF35" s="59">
        <f>IF($D$6=1,100*((EXP(O35))-1),O35)</f>
        <v>0.62684217862993585</v>
      </c>
      <c r="AG35" s="59">
        <f>IF($D$6=1,100*(EXP(O35+Q35)-EXP(O35)),Q35)</f>
        <v>0.90294803215748487</v>
      </c>
      <c r="AH35" s="59">
        <f>IF($D$6=1,100*(EXP(O35)-EXP(O35-Q35)),Q35)</f>
        <v>0.90294803215748487</v>
      </c>
      <c r="AJ35">
        <f>SQRT(P35)</f>
        <v>0.46068777150892087</v>
      </c>
      <c r="AK35">
        <f>1/AJ35</f>
        <v>2.1706675580396553</v>
      </c>
      <c r="AL35">
        <f>O35/AJ35</f>
        <v>1.3606659811629003</v>
      </c>
      <c r="AN35" t="str">
        <f t="shared" si="4"/>
        <v>Supprian T</v>
      </c>
      <c r="AO35">
        <f t="shared" si="4"/>
        <v>2004</v>
      </c>
      <c r="AP35" t="str">
        <f>CONCATENATE(AN35," ",AO35)</f>
        <v>Supprian T 2004</v>
      </c>
      <c r="AQ35">
        <f>INT(H35)</f>
        <v>10</v>
      </c>
      <c r="AR35">
        <f t="shared" si="5"/>
        <v>3.36</v>
      </c>
      <c r="AS35">
        <f t="shared" si="5"/>
        <v>1.35</v>
      </c>
      <c r="AT35">
        <f>INT(I35)</f>
        <v>10</v>
      </c>
      <c r="AU35">
        <f t="shared" si="6"/>
        <v>2.68</v>
      </c>
      <c r="AV35">
        <f t="shared" si="6"/>
        <v>0.57999999999999996</v>
      </c>
      <c r="AW35" s="65">
        <f>O35</f>
        <v>0.62684217862993585</v>
      </c>
      <c r="AX35">
        <f>SQRT(P35)</f>
        <v>0.46068777150892087</v>
      </c>
    </row>
    <row r="36" spans="5:51">
      <c r="U36" s="23"/>
    </row>
    <row r="37" spans="5:51">
      <c r="L37" t="s">
        <v>500</v>
      </c>
      <c r="N37" s="7"/>
      <c r="O37" s="66">
        <f>COUNT(O33:O35)</f>
        <v>3</v>
      </c>
      <c r="Q37" t="s">
        <v>885</v>
      </c>
      <c r="R37" s="59">
        <f t="shared" ref="R37:W37" si="7">SUM(R33:R35)</f>
        <v>26.982863734045996</v>
      </c>
      <c r="S37" s="59">
        <f t="shared" si="7"/>
        <v>0.86791875403952679</v>
      </c>
      <c r="T37" s="59">
        <f t="shared" si="7"/>
        <v>2.0561007386094392</v>
      </c>
      <c r="U37" s="23">
        <f t="shared" si="7"/>
        <v>306.66450584774429</v>
      </c>
      <c r="V37" s="59">
        <f t="shared" si="7"/>
        <v>26.442421252474709</v>
      </c>
      <c r="W37" s="59">
        <f t="shared" si="7"/>
        <v>0.89303257738912478</v>
      </c>
    </row>
    <row r="38" spans="5:51">
      <c r="L38" t="s">
        <v>501</v>
      </c>
      <c r="N38" s="7"/>
      <c r="O38" s="2">
        <v>0</v>
      </c>
    </row>
    <row r="39" spans="5:51">
      <c r="N39" s="7"/>
      <c r="O39" s="7"/>
    </row>
    <row r="40" spans="5:51">
      <c r="G40" s="67" t="s">
        <v>502</v>
      </c>
      <c r="H40" s="40"/>
      <c r="I40" s="40">
        <f>S37/R37</f>
        <v>3.2165553760122895E-2</v>
      </c>
      <c r="J40" s="40"/>
      <c r="K40" s="68" t="s">
        <v>879</v>
      </c>
      <c r="L40" s="40"/>
      <c r="M40" s="42"/>
      <c r="N40" s="7"/>
      <c r="O40" s="69" t="s">
        <v>503</v>
      </c>
      <c r="P40" s="70">
        <f>T37-((S37^2)/R37)</f>
        <v>2.028183651266962</v>
      </c>
      <c r="Q40" s="71" t="s">
        <v>824</v>
      </c>
      <c r="R40" s="28"/>
      <c r="S40" s="29"/>
      <c r="T40" s="30"/>
      <c r="U40" s="31"/>
      <c r="AF40" s="2" t="s">
        <v>1518</v>
      </c>
    </row>
    <row r="41" spans="5:51">
      <c r="G41" s="43" t="s">
        <v>504</v>
      </c>
      <c r="H41" s="31"/>
      <c r="I41" s="31">
        <f>1/R37</f>
        <v>3.7060558503219078E-2</v>
      </c>
      <c r="J41" s="31"/>
      <c r="K41" s="31"/>
      <c r="L41" s="31"/>
      <c r="M41" s="44"/>
      <c r="N41" s="7"/>
      <c r="O41" s="30" t="s">
        <v>505</v>
      </c>
      <c r="P41" s="31">
        <f>CHIDIST(P40,I45-1)</f>
        <v>0.36273170394127424</v>
      </c>
      <c r="Q41" s="31"/>
      <c r="R41" s="31"/>
      <c r="S41" s="34"/>
      <c r="T41" s="30"/>
      <c r="U41" s="31"/>
      <c r="AF41" s="2"/>
    </row>
    <row r="42" spans="5:51">
      <c r="G42" s="72" t="s">
        <v>506</v>
      </c>
      <c r="H42" s="31"/>
      <c r="I42" s="31">
        <f>$R$52*SQRT(I41)</f>
        <v>0.37732193356067495</v>
      </c>
      <c r="J42" s="31"/>
      <c r="K42" s="31" t="s">
        <v>507</v>
      </c>
      <c r="L42" s="31"/>
      <c r="M42" s="44">
        <f>ABS(I40/SQRT(I41))</f>
        <v>0.16708407267743169</v>
      </c>
      <c r="N42" s="7"/>
      <c r="O42" s="35" t="s">
        <v>508</v>
      </c>
      <c r="P42" s="37">
        <f>IF(((P40-(I45-1))/P40)&lt;0,0,100*((P40-(I45-1))/P40))</f>
        <v>1.3896005546320362</v>
      </c>
      <c r="Q42" s="36"/>
      <c r="R42" s="36"/>
      <c r="S42" s="38"/>
      <c r="T42" s="30"/>
      <c r="U42" s="31"/>
      <c r="AF42" s="2" t="s">
        <v>1535</v>
      </c>
      <c r="AH42">
        <f>IF($D$6=1,100*((EXP(I40))-1),I40)</f>
        <v>3.2165553760122895E-2</v>
      </c>
    </row>
    <row r="43" spans="5:51">
      <c r="G43" s="45" t="s">
        <v>509</v>
      </c>
      <c r="H43" s="46"/>
      <c r="I43" s="46">
        <v>-2</v>
      </c>
      <c r="J43" s="46"/>
      <c r="K43" s="46" t="s">
        <v>825</v>
      </c>
      <c r="L43" s="46"/>
      <c r="M43" s="47">
        <f>2*(1-NORMDIST(M42,0,1,1))</f>
        <v>0.86730389800740348</v>
      </c>
      <c r="N43" s="7"/>
      <c r="O43" s="7"/>
      <c r="AF43" s="79" t="s">
        <v>834</v>
      </c>
      <c r="AH43">
        <f>IF($D$6=1,100*(EXP(I40+I42)-EXP(I40)),I42)</f>
        <v>0.37732193356067495</v>
      </c>
    </row>
    <row r="44" spans="5:51">
      <c r="G44" s="40"/>
      <c r="H44" s="40"/>
      <c r="I44" s="40"/>
      <c r="J44" s="40"/>
      <c r="K44" s="40"/>
      <c r="L44" s="40"/>
      <c r="M44" s="40"/>
      <c r="N44" s="7"/>
      <c r="O44" s="7"/>
      <c r="AF44" s="79" t="s">
        <v>835</v>
      </c>
      <c r="AH44">
        <f>IF($D$6=1,100*(EXP(I40)-EXP(I40-I42)),I42)</f>
        <v>0.37732193356067495</v>
      </c>
    </row>
    <row r="45" spans="5:51">
      <c r="G45" s="73" t="s">
        <v>1110</v>
      </c>
      <c r="H45" s="74"/>
      <c r="I45" s="74">
        <f>O37</f>
        <v>3</v>
      </c>
      <c r="J45" s="74"/>
      <c r="K45" s="75" t="s">
        <v>1167</v>
      </c>
      <c r="L45" s="74"/>
      <c r="M45" s="76"/>
      <c r="N45" s="77"/>
      <c r="O45" s="101" t="s">
        <v>1513</v>
      </c>
      <c r="P45" s="102"/>
      <c r="Q45" s="103"/>
      <c r="AF45" s="7"/>
    </row>
    <row r="46" spans="5:51">
      <c r="G46" s="77" t="s">
        <v>1531</v>
      </c>
      <c r="H46" s="31"/>
      <c r="I46" s="31">
        <f>R37/I45</f>
        <v>8.9942879113486658</v>
      </c>
      <c r="J46" s="31"/>
      <c r="K46" s="31"/>
      <c r="L46" s="31"/>
      <c r="M46" s="78"/>
      <c r="N46" s="77"/>
      <c r="O46" s="104" t="s">
        <v>1514</v>
      </c>
      <c r="P46" s="31"/>
      <c r="Q46" s="105">
        <f>INDEX(LINEST(AL33:AL35,AK33:AK35,TRUE,TRUE),1,2)</f>
        <v>2.6762848260912508</v>
      </c>
      <c r="AF46" s="2" t="s">
        <v>1687</v>
      </c>
      <c r="AH46">
        <f>IF($D$6=1,100*((EXP(I51))-1),I51)</f>
        <v>3.3772723339605182E-2</v>
      </c>
    </row>
    <row r="47" spans="5:51">
      <c r="G47" s="77" t="s">
        <v>1532</v>
      </c>
      <c r="H47" s="31"/>
      <c r="I47" s="31">
        <f>(1/(I45-1))*(U37-(I45*I46^2))</f>
        <v>31.986430375523014</v>
      </c>
      <c r="J47" s="31"/>
      <c r="K47" s="31"/>
      <c r="L47" s="31"/>
      <c r="M47" s="78"/>
      <c r="N47" s="77"/>
      <c r="O47" s="104" t="s">
        <v>1516</v>
      </c>
      <c r="P47" s="31"/>
      <c r="Q47" s="105">
        <f>INDEX(LINEST(AL33:AL35,AK33:AK35,TRUE,TRUE),2,2)</f>
        <v>1.9550654745309513</v>
      </c>
      <c r="AF47" s="79" t="s">
        <v>834</v>
      </c>
      <c r="AG47" s="7"/>
      <c r="AH47">
        <f>IF($D$6=1,100*(EXP(I51+I53)-EXP(I51)),I53)</f>
        <v>0.38115837041871686</v>
      </c>
    </row>
    <row r="48" spans="5:51">
      <c r="G48" s="77" t="s">
        <v>1669</v>
      </c>
      <c r="H48" s="31"/>
      <c r="I48" s="31">
        <f>(I45-1)*(I46-(I47/(I45*I46)))</f>
        <v>15.617705874214902</v>
      </c>
      <c r="J48" s="31"/>
      <c r="K48" s="31"/>
      <c r="L48" s="31"/>
      <c r="M48" s="78"/>
      <c r="N48" s="77"/>
      <c r="O48" s="104" t="s">
        <v>1349</v>
      </c>
      <c r="P48" s="31"/>
      <c r="Q48" s="105">
        <f>ABS(Q46/Q47)</f>
        <v>1.3688977995651683</v>
      </c>
      <c r="AF48" s="79" t="s">
        <v>835</v>
      </c>
      <c r="AH48">
        <f>IF($D$6=1,100*(EXP(I51)-EXP(I51-I53)),I53)</f>
        <v>0.38115837041871686</v>
      </c>
    </row>
    <row r="49" spans="7:18">
      <c r="G49" s="77" t="s">
        <v>1685</v>
      </c>
      <c r="H49" s="31"/>
      <c r="I49" s="31">
        <f>IF(P40&gt;(I45-1),(P40-(I45-1))/I48,0)</f>
        <v>1.8045961099506728E-3</v>
      </c>
      <c r="J49" s="31"/>
      <c r="K49" s="31"/>
      <c r="L49" s="31"/>
      <c r="M49" s="78"/>
      <c r="N49" s="77"/>
      <c r="O49" s="106" t="s">
        <v>1515</v>
      </c>
      <c r="P49" s="107"/>
      <c r="Q49" s="108">
        <f>TDIST(Q48,I45-2,2)</f>
        <v>0.4016519832374208</v>
      </c>
    </row>
    <row r="50" spans="7:18">
      <c r="G50" s="77"/>
      <c r="H50" s="31"/>
      <c r="I50" s="31"/>
      <c r="J50" s="31"/>
      <c r="K50" s="31"/>
      <c r="L50" s="31"/>
      <c r="M50" s="78"/>
      <c r="N50" s="77"/>
    </row>
    <row r="51" spans="7:18">
      <c r="G51" s="77" t="s">
        <v>1686</v>
      </c>
      <c r="H51" s="31"/>
      <c r="I51" s="31">
        <f>W37/V37</f>
        <v>3.3772723339605182E-2</v>
      </c>
      <c r="J51" s="31"/>
      <c r="N51" s="77"/>
    </row>
    <row r="52" spans="7:18">
      <c r="G52" s="77" t="s">
        <v>504</v>
      </c>
      <c r="H52" s="31"/>
      <c r="I52" s="31">
        <f>1/V37</f>
        <v>3.7818019403439138E-2</v>
      </c>
      <c r="J52" s="31"/>
      <c r="N52" s="77"/>
      <c r="O52" t="s">
        <v>805</v>
      </c>
      <c r="R52">
        <v>1.96</v>
      </c>
    </row>
    <row r="53" spans="7:18">
      <c r="G53" s="80" t="s">
        <v>506</v>
      </c>
      <c r="H53" s="31"/>
      <c r="I53" s="31">
        <f>$R$52*SQRT(I52)</f>
        <v>0.38115837041871686</v>
      </c>
      <c r="J53" s="31"/>
      <c r="K53" s="31" t="s">
        <v>507</v>
      </c>
      <c r="L53" s="31"/>
      <c r="M53" s="78">
        <f>ABS(I51/(SQRT(I52)))</f>
        <v>0.17366675608595175</v>
      </c>
      <c r="N53" s="77"/>
    </row>
    <row r="54" spans="7:18">
      <c r="G54" s="81" t="s">
        <v>509</v>
      </c>
      <c r="H54" s="82"/>
      <c r="I54" s="82">
        <v>-3</v>
      </c>
      <c r="J54" s="82"/>
      <c r="K54" s="31" t="s">
        <v>825</v>
      </c>
      <c r="L54" s="31"/>
      <c r="M54" s="78">
        <f>2*(1-NORMDIST(M53,0,1,1))</f>
        <v>0.86212736525977873</v>
      </c>
      <c r="N54" s="77"/>
    </row>
    <row r="55" spans="7:18">
      <c r="G55" s="74"/>
      <c r="H55" s="74"/>
      <c r="I55" s="74"/>
      <c r="J55" s="74"/>
      <c r="K55" s="74"/>
      <c r="L55" s="74"/>
      <c r="M55" s="74"/>
      <c r="N55" s="31"/>
      <c r="O55" s="7"/>
    </row>
  </sheetData>
  <phoneticPr fontId="10" type="noConversion"/>
  <conditionalFormatting sqref="D17 D13 F13">
    <cfRule type="cellIs" dxfId="142" priority="0" stopIfTrue="1" operator="lessThan">
      <formula>0.05</formula>
    </cfRule>
  </conditionalFormatting>
  <conditionalFormatting sqref="D21">
    <cfRule type="cellIs" dxfId="14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0.xml><?xml version="1.0" encoding="utf-8"?>
<worksheet xmlns="http://schemas.openxmlformats.org/spreadsheetml/2006/main" xmlns:r="http://schemas.openxmlformats.org/officeDocument/2006/relationships">
  <sheetPr published="0" codeName="Sheet68" enableFormatConditionsCalculation="0"/>
  <dimension ref="A1:BK7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6640625" customWidth="1"/>
    <col min="7" max="23" width="5.6640625" customWidth="1"/>
    <col min="24" max="24" width="9.6640625" customWidth="1"/>
    <col min="25" max="25" width="7.33203125" customWidth="1"/>
    <col min="26" max="55" width="5.6640625" customWidth="1"/>
  </cols>
  <sheetData>
    <row r="1" spans="2:8">
      <c r="B1" s="4" t="s">
        <v>1888</v>
      </c>
      <c r="D1" s="10"/>
      <c r="F1" s="1" t="s">
        <v>733</v>
      </c>
    </row>
    <row r="3" spans="2:8">
      <c r="B3" t="s">
        <v>1007</v>
      </c>
      <c r="D3">
        <v>1</v>
      </c>
      <c r="E3" t="s">
        <v>1834</v>
      </c>
      <c r="F3" s="24" t="str">
        <f>IF(D3=1,"Odds ratio","LN (Odds ratio)")</f>
        <v>Odds ratio</v>
      </c>
    </row>
    <row r="4" spans="2:8">
      <c r="B4" t="s">
        <v>1642</v>
      </c>
      <c r="D4" s="25" t="s">
        <v>885</v>
      </c>
      <c r="E4" t="s">
        <v>1834</v>
      </c>
      <c r="F4" s="26" t="str">
        <f>IF($D$4="Total","Total",IF($D$4="Left","Left",IF($D$4="Right","Right","Error: enter Total, Left or Right")))</f>
        <v>Total</v>
      </c>
    </row>
    <row r="5" spans="2:8">
      <c r="D5" s="25"/>
      <c r="F5" s="24"/>
    </row>
    <row r="6" spans="2:8">
      <c r="D6" s="25"/>
      <c r="F6" s="24"/>
    </row>
    <row r="7" spans="2:8">
      <c r="B7" t="s">
        <v>1110</v>
      </c>
      <c r="D7">
        <f>I60-O53</f>
        <v>10</v>
      </c>
    </row>
    <row r="8" spans="2:8">
      <c r="B8" t="s">
        <v>822</v>
      </c>
      <c r="D8">
        <f>SUM(H24:H33)</f>
        <v>492</v>
      </c>
    </row>
    <row r="9" spans="2:8">
      <c r="B9" t="s">
        <v>823</v>
      </c>
      <c r="D9">
        <f>SUM(I24:I33)</f>
        <v>532</v>
      </c>
    </row>
    <row r="11" spans="2:8">
      <c r="B11" s="27" t="s">
        <v>516</v>
      </c>
      <c r="C11" s="28"/>
      <c r="D11" s="109">
        <f>P55</f>
        <v>24.28628390025586</v>
      </c>
      <c r="E11" s="110" t="s">
        <v>1513</v>
      </c>
      <c r="F11" s="103"/>
      <c r="G11" s="137"/>
      <c r="H11" s="5"/>
    </row>
    <row r="12" spans="2:8">
      <c r="B12" s="30" t="s">
        <v>826</v>
      </c>
      <c r="C12" s="31"/>
      <c r="D12" s="112">
        <f>P57</f>
        <v>62.942045654398434</v>
      </c>
      <c r="E12" s="31"/>
      <c r="F12" s="105"/>
      <c r="G12" s="137"/>
      <c r="H12" s="5"/>
    </row>
    <row r="13" spans="2:8">
      <c r="B13" s="35" t="s">
        <v>825</v>
      </c>
      <c r="C13" s="36"/>
      <c r="D13" s="113">
        <f>P56</f>
        <v>3.8709256721287063E-3</v>
      </c>
      <c r="E13" s="111" t="s">
        <v>825</v>
      </c>
      <c r="F13" s="115">
        <f>Q64</f>
        <v>0.8241948231581292</v>
      </c>
      <c r="G13" s="137"/>
      <c r="H13" s="5"/>
    </row>
    <row r="15" spans="2:8">
      <c r="B15" s="39" t="s">
        <v>879</v>
      </c>
      <c r="C15" s="40"/>
      <c r="D15" s="41">
        <f>AH57</f>
        <v>1.6218632984164474</v>
      </c>
      <c r="E15" s="116"/>
      <c r="F15" s="33"/>
      <c r="G15" s="31"/>
    </row>
    <row r="16" spans="2:8">
      <c r="B16" s="43" t="s">
        <v>1165</v>
      </c>
      <c r="C16" s="31"/>
      <c r="D16" s="33">
        <f>AH57-AH59</f>
        <v>1.1767448263043601</v>
      </c>
      <c r="E16" s="117">
        <f>AH57+AH58</f>
        <v>2.2353534087856071</v>
      </c>
      <c r="F16" s="33"/>
      <c r="G16" s="31"/>
    </row>
    <row r="17" spans="1:63">
      <c r="B17" s="45" t="s">
        <v>1166</v>
      </c>
      <c r="C17" s="46"/>
      <c r="D17" s="123">
        <f>M58</f>
        <v>3.1338250814769708E-3</v>
      </c>
      <c r="E17" s="118"/>
      <c r="F17" s="119"/>
      <c r="G17" s="31"/>
    </row>
    <row r="18" spans="1:63">
      <c r="D18" s="48"/>
      <c r="F18" s="49"/>
    </row>
    <row r="19" spans="1:63">
      <c r="B19" s="50" t="s">
        <v>1167</v>
      </c>
      <c r="C19" s="51"/>
      <c r="D19" s="52">
        <f>AH61</f>
        <v>1.6012829423195156</v>
      </c>
      <c r="E19" s="120"/>
      <c r="F19" s="33"/>
      <c r="G19" s="31"/>
    </row>
    <row r="20" spans="1:63">
      <c r="B20" s="53" t="s">
        <v>1165</v>
      </c>
      <c r="C20" s="31"/>
      <c r="D20" s="33">
        <f>AH61-AH63</f>
        <v>0.93822538752671525</v>
      </c>
      <c r="E20" s="121">
        <f>AH61+AH62</f>
        <v>2.7329329342949951</v>
      </c>
      <c r="F20" s="33"/>
      <c r="G20" s="31"/>
    </row>
    <row r="21" spans="1:63">
      <c r="B21" s="54" t="s">
        <v>1440</v>
      </c>
      <c r="C21" s="55"/>
      <c r="D21" s="114">
        <f>M69</f>
        <v>8.4310437791760728E-2</v>
      </c>
      <c r="E21" s="56"/>
      <c r="F21" s="119"/>
      <c r="G21" s="31"/>
      <c r="L21" s="4" t="s">
        <v>1511</v>
      </c>
      <c r="Q21" s="4" t="str">
        <f>F3</f>
        <v>Odds ratio</v>
      </c>
    </row>
    <row r="22" spans="1:63">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3" ht="46.5" customHeight="1">
      <c r="B23" s="57" t="s">
        <v>1162</v>
      </c>
      <c r="C23" s="57" t="s">
        <v>618</v>
      </c>
      <c r="D23" s="57" t="s">
        <v>953</v>
      </c>
      <c r="E23" s="57" t="s">
        <v>617</v>
      </c>
      <c r="F23" s="57" t="s">
        <v>740</v>
      </c>
      <c r="G23" s="57" t="s">
        <v>1033</v>
      </c>
      <c r="H23" s="58" t="s">
        <v>1034</v>
      </c>
      <c r="I23" s="58" t="s">
        <v>1035</v>
      </c>
      <c r="J23" s="58" t="s">
        <v>1036</v>
      </c>
      <c r="K23" s="58" t="s">
        <v>1037</v>
      </c>
      <c r="L23" s="58" t="s">
        <v>1208</v>
      </c>
      <c r="M23" s="58" t="s">
        <v>870</v>
      </c>
      <c r="N23" s="58" t="s">
        <v>871</v>
      </c>
      <c r="O23" s="58" t="s">
        <v>872</v>
      </c>
      <c r="P23" s="58" t="s">
        <v>873</v>
      </c>
      <c r="Q23" s="58" t="s">
        <v>874</v>
      </c>
      <c r="R23" s="58" t="s">
        <v>1402</v>
      </c>
      <c r="S23" s="58" t="s">
        <v>1403</v>
      </c>
      <c r="T23" s="58"/>
      <c r="U23" s="100" t="s">
        <v>1077</v>
      </c>
      <c r="V23" s="100" t="s">
        <v>1078</v>
      </c>
      <c r="W23" s="58"/>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row>
    <row r="24" spans="1:63">
      <c r="B24">
        <v>2222243</v>
      </c>
      <c r="C24" s="1" t="str">
        <f>IF($B24="","",HYPERLINK(IF(LEN(VLOOKUP($B24,Database!$B$1:$IX$10144,2,FALSE))=0,"",VLOOKUP($B24,Database!$B$1:$IX$10144,2,FALSE))))</f>
        <v/>
      </c>
      <c r="D24" s="1" t="str">
        <f t="shared" ref="D24:D32" si="0">IF($B24="","",HYPERLINK(CONCATENATE("http://www.ncbi.nlm.nih.gov/pubmed/",B24)))</f>
        <v>http://www.ncbi.nlm.nih.gov/pubmed/2222243</v>
      </c>
      <c r="E24" s="22" t="str">
        <f>IF($B24="","",IF(LEN(VLOOKUP($B24,Database!$B$1:$IX$10144,4,FALSE))=0,"",VLOOKUP($B24,Database!$B$1:$IX$10144,4,FALSE)))</f>
        <v>Zubenko GS</v>
      </c>
      <c r="F24" s="22">
        <f>IF($B24="","",IF(LEN(VLOOKUP($B24,Database!$B$1:$IX$10144,5,FALSE))=0,"",VLOOKUP($B24,Database!$B$1:$IX$10144,5,FALSE)))</f>
        <v>1990</v>
      </c>
      <c r="G24" s="1" t="str">
        <f>IF($B24="","",HYPERLINK(IF(LEN(VLOOKUP($B24,Database!$B$1:$IX$10144,6,FALSE))=0,"",VLOOKUP($B24,Database!$B$1:$IX$10144,6,FALSE))))</f>
        <v>http://archneur.ama-assn.org/cgi/reprint/47/10/1107</v>
      </c>
      <c r="H24" s="22">
        <f>IF($B24="","",IF(LEN(VLOOKUP($B24,Database!$B$1:$IX$10144,7,FALSE))=0,"",VLOOKUP($B24,Database!$B$1:$IX$10144,7,FALSE)))</f>
        <v>67</v>
      </c>
      <c r="I24" s="22">
        <f>IF($B24="","",IF(LEN(VLOOKUP($B24,Database!$B$1:$IX$10144,8,FALSE))=0,"",VLOOKUP($B24,Database!$B$1:$IX$10144,8,FALSE)))</f>
        <v>44</v>
      </c>
      <c r="J24" s="2" t="s">
        <v>116</v>
      </c>
      <c r="L24">
        <v>28</v>
      </c>
      <c r="M24">
        <v>39</v>
      </c>
      <c r="N24">
        <f t="shared" ref="N24:N32" si="1">H24</f>
        <v>67</v>
      </c>
      <c r="O24">
        <v>8</v>
      </c>
      <c r="P24">
        <v>36</v>
      </c>
      <c r="Q24">
        <f t="shared" ref="Q24:Q33" si="2">I24</f>
        <v>44</v>
      </c>
      <c r="R24" s="13">
        <f t="shared" ref="R24:R33" si="3">L24+M24</f>
        <v>67</v>
      </c>
      <c r="S24" s="13">
        <f t="shared" ref="S24:S33" si="4">P24+O24</f>
        <v>44</v>
      </c>
      <c r="U24" s="136">
        <f t="shared" ref="U24:U33" si="5">100*L24/N24</f>
        <v>41.791044776119406</v>
      </c>
      <c r="V24" s="136">
        <f t="shared" ref="V24:V33" si="6">100*O24/Q24</f>
        <v>18.181818181818183</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73.2</v>
      </c>
      <c r="AC24" s="22">
        <f>IF(OR($B24="",AC$22=""),"",IF(LEN(VLOOKUP($B24,Database!$B$1:$IX$10144,AC$22,FALSE))=0,"",VLOOKUP($B24,Database!$B$1:$IX$10144,AC$22,FALSE)))</f>
        <v>6.5</v>
      </c>
      <c r="AD24" s="22">
        <f>IF(OR($B24="",AD$22=""),"",IF(LEN(VLOOKUP($B24,Database!$B$1:$IX$10144,AD$22,FALSE))=0,"",VLOOKUP($B24,Database!$B$1:$IX$10144,AD$22,FALSE)))</f>
        <v>68</v>
      </c>
      <c r="AE24" s="22">
        <f>IF(OR($B24="",AE$22=""),"",IF(LEN(VLOOKUP($B24,Database!$B$1:$IX$10144,AE$22,FALSE))=0,"",VLOOKUP($B24,Database!$B$1:$IX$10144,AE$22,FALSE)))</f>
        <v>6.2</v>
      </c>
      <c r="AF24" s="22">
        <f>IF(OR($B24="",AF$22=""),"",IF(LEN(VLOOKUP($B24,Database!$B$1:$IX$10144,AF$22,FALSE))=0,"",VLOOKUP($B24,Database!$B$1:$IX$10144,AF$22,FALSE)))</f>
        <v>48</v>
      </c>
      <c r="AG24" s="22">
        <f>IF(OR($B24="",AG$22=""),"",IF(LEN(VLOOKUP($B24,Database!$B$1:$IX$10144,AG$22,FALSE))=0,"",VLOOKUP($B24,Database!$B$1:$IX$10144,AG$22,FALSE)))</f>
        <v>22</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f>IF(OR($B24="",AK$22=""),"",IF(LEN(VLOOKUP($B24,Database!$B$1:$IX$10144,AK$22,FALSE))=0,"",VLOOKUP($B24,Database!$B$1:$IX$10144,AK$22,FALSE)))</f>
        <v>62.5</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Zubenko GS, Sullivan P, Nelson JP, Belle SH, Huff FJ, Wolf GL.</v>
      </c>
      <c r="AR24" s="13"/>
      <c r="AX24" s="13"/>
      <c r="AY24" s="13"/>
      <c r="BA24" s="23"/>
      <c r="BD24" s="136"/>
      <c r="BE24" s="136"/>
      <c r="BF24" s="136"/>
      <c r="BG24" s="136"/>
    </row>
    <row r="25" spans="1:63">
      <c r="B25">
        <v>1575251</v>
      </c>
      <c r="C25" s="1" t="str">
        <f>IF($B25="","",HYPERLINK(IF(LEN(VLOOKUP($B25,Database!$B$1:$IX$10144,2,FALSE))=0,"",VLOOKUP($B25,Database!$B$1:$IX$10144,2,FALSE))))</f>
        <v/>
      </c>
      <c r="D25" s="1" t="str">
        <f t="shared" si="0"/>
        <v>http://www.ncbi.nlm.nih.gov/pubmed/1575251</v>
      </c>
      <c r="E25" s="22" t="str">
        <f>IF($B25="","",IF(LEN(VLOOKUP($B25,Database!$B$1:$IX$10144,4,FALSE))=0,"",VLOOKUP($B25,Database!$B$1:$IX$10144,4,FALSE)))</f>
        <v>Brown FW</v>
      </c>
      <c r="F25" s="22">
        <f>IF($B25="","",IF(LEN(VLOOKUP($B25,Database!$B$1:$IX$10144,5,FALSE))=0,"",VLOOKUP($B25,Database!$B$1:$IX$10144,5,FALSE)))</f>
        <v>1992</v>
      </c>
      <c r="G25" s="1" t="str">
        <f>IF($B25="","",HYPERLINK(IF(LEN(VLOOKUP($B25,Database!$B$1:$IX$10144,6,FALSE))=0,"",VLOOKUP($B25,Database!$B$1:$IX$10144,6,FALSE))))</f>
        <v>http://ajp.psychiatryonline.org/cgi/reprint/149/5/620</v>
      </c>
      <c r="H25" s="22">
        <f>IF($B25="","",IF(LEN(VLOOKUP($B25,Database!$B$1:$IX$10144,7,FALSE))=0,"",VLOOKUP($B25,Database!$B$1:$IX$10144,7,FALSE)))</f>
        <v>28</v>
      </c>
      <c r="I25" s="22">
        <f>IF($B25="","",IF(LEN(VLOOKUP($B25,Database!$B$1:$IX$10144,8,FALSE))=0,"",VLOOKUP($B25,Database!$B$1:$IX$10144,8,FALSE)))</f>
        <v>154</v>
      </c>
      <c r="J25" t="s">
        <v>1482</v>
      </c>
      <c r="L25">
        <v>4</v>
      </c>
      <c r="M25">
        <v>24</v>
      </c>
      <c r="N25">
        <f t="shared" si="1"/>
        <v>28</v>
      </c>
      <c r="O25">
        <v>12</v>
      </c>
      <c r="P25">
        <v>142</v>
      </c>
      <c r="Q25">
        <f t="shared" si="2"/>
        <v>154</v>
      </c>
      <c r="R25" s="13">
        <f t="shared" si="3"/>
        <v>28</v>
      </c>
      <c r="S25" s="13">
        <f t="shared" si="4"/>
        <v>154</v>
      </c>
      <c r="U25" s="136">
        <f t="shared" si="5"/>
        <v>14.285714285714286</v>
      </c>
      <c r="V25" s="136">
        <f t="shared" si="6"/>
        <v>7.7922077922077921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40.299999999999997</v>
      </c>
      <c r="AC25" s="22">
        <f>IF(OR($B25="",AC$22=""),"",IF(LEN(VLOOKUP($B25,Database!$B$1:$IX$10144,AC$22,FALSE))=0,"",VLOOKUP($B25,Database!$B$1:$IX$10144,AC$22,FALSE)))</f>
        <v>10.5</v>
      </c>
      <c r="AD25" s="22">
        <f>IF(OR($B25="",AD$22=""),"",IF(LEN(VLOOKUP($B25,Database!$B$1:$IX$10144,AD$22,FALSE))=0,"",VLOOKUP($B25,Database!$B$1:$IX$10144,AD$22,FALSE)))</f>
        <v>34</v>
      </c>
      <c r="AE25" s="22">
        <f>IF(OR($B25="",AE$22=""),"",IF(LEN(VLOOKUP($B25,Database!$B$1:$IX$10144,AE$22,FALSE))=0,"",VLOOKUP($B25,Database!$B$1:$IX$10144,AE$22,FALSE)))</f>
        <v>9.5</v>
      </c>
      <c r="AF25" s="22" t="str">
        <f>IF(OR($B25="",AF$22=""),"",IF(LEN(VLOOKUP($B25,Database!$B$1:$IX$10144,AF$22,FALSE))=0,"",VLOOKUP($B25,Database!$B$1:$IX$10144,AF$22,FALSE)))</f>
        <v>ns</v>
      </c>
      <c r="AG25" s="22" t="str">
        <f>IF(OR($B25="",AG$22=""),"",IF(LEN(VLOOKUP($B25,Database!$B$1:$IX$10144,AG$22,FALSE))=0,"",VLOOKUP($B25,Database!$B$1:$IX$10144,AG$22,FALSE)))</f>
        <v>ns</v>
      </c>
      <c r="AH25" s="22">
        <f>IF(OR($B25="",AH$22=""),"",IF(LEN(VLOOKUP($B25,Database!$B$1:$IX$10144,AH$22,FALSE))=0,"",VLOOKUP($B25,Database!$B$1:$IX$10144,AH$22,FALSE)))</f>
        <v>1</v>
      </c>
      <c r="AI25" s="22">
        <f>IF(OR($B25="",AI$22=""),"",IF(LEN(VLOOKUP($B25,Database!$B$1:$IX$10144,AI$22,FALSE))=0,"",VLOOKUP($B25,Database!$B$1:$IX$10144,AI$22,FALSE)))</f>
        <v>7</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Brown FW, Lewine RJ, Hudgins PA, Risch SC.</v>
      </c>
      <c r="AR25" s="13"/>
      <c r="AX25" s="13"/>
      <c r="AY25" s="13"/>
      <c r="BA25" s="23"/>
      <c r="BD25" s="136"/>
      <c r="BE25" s="136"/>
      <c r="BF25" s="136"/>
      <c r="BG25" s="136"/>
    </row>
    <row r="26" spans="1:63">
      <c r="B26">
        <v>1484908</v>
      </c>
      <c r="C26" s="1" t="str">
        <f>IF($B26="","",HYPERLINK(IF(LEN(VLOOKUP($B26,Database!$B$1:$IX$10144,2,FALSE))=0,"",VLOOKUP($B26,Database!$B$1:$IX$10144,2,FALSE))))</f>
        <v/>
      </c>
      <c r="D26" s="1" t="str">
        <f t="shared" si="0"/>
        <v>http://www.ncbi.nlm.nih.gov/pubmed/1484908</v>
      </c>
      <c r="E26" s="22" t="str">
        <f>IF($B26="","",IF(LEN(VLOOKUP($B26,Database!$B$1:$IX$10144,4,FALSE))=0,"",VLOOKUP($B26,Database!$B$1:$IX$10144,4,FALSE)))</f>
        <v>Guze BH</v>
      </c>
      <c r="F26" s="22">
        <f>IF($B26="","",IF(LEN(VLOOKUP($B26,Database!$B$1:$IX$10144,5,FALSE))=0,"",VLOOKUP($B26,Database!$B$1:$IX$10144,5,FALSE)))</f>
        <v>1992</v>
      </c>
      <c r="G26" s="1" t="str">
        <f>IF($B26="","",HYPERLINK(IF(LEN(VLOOKUP($B26,Database!$B$1:$IX$10144,6,FALSE))=0,"",VLOOKUP($B26,Database!$B$1:$IX$10144,6,FALSE))))</f>
        <v>http://dx.doi.org/10.1016/0925-4927(92)90024-X</v>
      </c>
      <c r="H26" s="22">
        <f>IF($B26="","",IF(LEN(VLOOKUP($B26,Database!$B$1:$IX$10144,7,FALSE))=0,"",VLOOKUP($B26,Database!$B$1:$IX$10144,7,FALSE)))</f>
        <v>119</v>
      </c>
      <c r="I26" s="22">
        <f>IF($B26="","",IF(LEN(VLOOKUP($B26,Database!$B$1:$IX$10144,8,FALSE))=0,"",VLOOKUP($B26,Database!$B$1:$IX$10144,8,FALSE)))</f>
        <v>60</v>
      </c>
      <c r="J26" s="2" t="s">
        <v>117</v>
      </c>
      <c r="L26">
        <v>35</v>
      </c>
      <c r="M26">
        <v>84</v>
      </c>
      <c r="N26">
        <f t="shared" si="1"/>
        <v>119</v>
      </c>
      <c r="O26">
        <v>9</v>
      </c>
      <c r="P26">
        <v>51</v>
      </c>
      <c r="Q26">
        <f t="shared" si="2"/>
        <v>60</v>
      </c>
      <c r="R26" s="13">
        <f t="shared" si="3"/>
        <v>119</v>
      </c>
      <c r="S26" s="13">
        <f t="shared" si="4"/>
        <v>60</v>
      </c>
      <c r="U26" s="136">
        <f t="shared" si="5"/>
        <v>29.411764705882351</v>
      </c>
      <c r="V26" s="136">
        <f t="shared" si="6"/>
        <v>15</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t="str">
        <f>IF(OR($B26="",AB$22=""),"",IF(LEN(VLOOKUP($B26,Database!$B$1:$IX$10144,AB$22,FALSE))=0,"",VLOOKUP($B26,Database!$B$1:$IX$10144,AB$22,FALSE)))</f>
        <v/>
      </c>
      <c r="AC26" s="22" t="str">
        <f>IF(OR($B26="",AC$22=""),"",IF(LEN(VLOOKUP($B26,Database!$B$1:$IX$10144,AC$22,FALSE))=0,"",VLOOKUP($B26,Database!$B$1:$IX$10144,AC$22,FALSE)))</f>
        <v/>
      </c>
      <c r="AD26" s="22" t="str">
        <f>IF(OR($B26="",AD$22=""),"",IF(LEN(VLOOKUP($B26,Database!$B$1:$IX$10144,AD$22,FALSE))=0,"",VLOOKUP($B26,Database!$B$1:$IX$10144,AD$22,FALSE)))</f>
        <v/>
      </c>
      <c r="AE26" s="22" t="str">
        <f>IF(OR($B26="",AE$22=""),"",IF(LEN(VLOOKUP($B26,Database!$B$1:$IX$10144,AE$22,FALSE))=0,"",VLOOKUP($B26,Database!$B$1:$IX$10144,AE$22,FALSE)))</f>
        <v/>
      </c>
      <c r="AF26" s="22">
        <f>IF(OR($B26="",AF$22=""),"",IF(LEN(VLOOKUP($B26,Database!$B$1:$IX$10144,AF$22,FALSE))=0,"",VLOOKUP($B26,Database!$B$1:$IX$10144,AF$22,FALSE)))</f>
        <v>84</v>
      </c>
      <c r="AG26" s="22">
        <f>IF(OR($B26="",AG$22=""),"",IF(LEN(VLOOKUP($B26,Database!$B$1:$IX$10144,AG$22,FALSE))=0,"",VLOOKUP($B26,Database!$B$1:$IX$10144,AG$22,FALSE)))</f>
        <v>39</v>
      </c>
      <c r="AH26" s="22">
        <f>IF(OR($B26="",AH$22=""),"",IF(LEN(VLOOKUP($B26,Database!$B$1:$IX$10144,AH$22,FALSE))=0,"",VLOOKUP($B26,Database!$B$1:$IX$10144,AH$22,FALSE)))</f>
        <v>0.3</v>
      </c>
      <c r="AI26" s="22">
        <f>IF(OR($B26="",AI$22=""),"",IF(LEN(VLOOKUP($B26,Database!$B$1:$IX$10144,AI$22,FALSE))=0,"",VLOOKUP($B26,Database!$B$1:$IX$10144,AI$22,FALSE)))</f>
        <v>7</v>
      </c>
      <c r="AJ26" s="22" t="str">
        <f>IF(OR($B26="",AJ$22=""),"",IF(LEN(VLOOKUP($B26,Database!$B$1:$IX$10144,AJ$22,FALSE))=0,"",VLOOKUP($B26,Database!$B$1:$IX$10144,AJ$22,FALSE)))</f>
        <v/>
      </c>
      <c r="AK26" s="220">
        <v>34.9</v>
      </c>
      <c r="AL26" s="22" t="str">
        <f>IF(OR($B26="",AL$22=""),"",IF(LEN(VLOOKUP($B26,Database!$B$1:$IX$10144,AL$22,FALSE))=0,"",VLOOKUP($B26,Database!$B$1:$IX$10144,AL$22,FALSE)))</f>
        <v>ns</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Guze BH, Szuba MP.</v>
      </c>
      <c r="AR26" s="13"/>
      <c r="AU26" s="22"/>
      <c r="AX26" s="13"/>
      <c r="AY26" s="13"/>
      <c r="BA26" s="23"/>
      <c r="BD26" s="136"/>
      <c r="BE26" s="136"/>
      <c r="BF26" s="136"/>
      <c r="BG26" s="136"/>
    </row>
    <row r="27" spans="1:63">
      <c r="B27">
        <v>8080344</v>
      </c>
      <c r="C27" s="1" t="str">
        <f>IF($B27="","",HYPERLINK(IF(LEN(VLOOKUP($B27,Database!$B$1:$IX$10144,2,FALSE))=0,"",VLOOKUP($B27,Database!$B$1:$IX$10144,2,FALSE))))</f>
        <v/>
      </c>
      <c r="D27" s="1" t="str">
        <f t="shared" si="0"/>
        <v>http://www.ncbi.nlm.nih.gov/pubmed/8080344</v>
      </c>
      <c r="E27" s="22" t="str">
        <f>IF($B27="","",IF(LEN(VLOOKUP($B27,Database!$B$1:$IX$10144,4,FALSE))=0,"",VLOOKUP($B27,Database!$B$1:$IX$10144,4,FALSE)))</f>
        <v>Lesser IM</v>
      </c>
      <c r="F27" s="22">
        <f>IF($B27="","",IF(LEN(VLOOKUP($B27,Database!$B$1:$IX$10144,5,FALSE))=0,"",VLOOKUP($B27,Database!$B$1:$IX$10144,5,FALSE)))</f>
        <v>1994</v>
      </c>
      <c r="G27" s="1" t="str">
        <f>IF($B27="","",HYPERLINK(IF(LEN(VLOOKUP($B27,Database!$B$1:$IX$10144,6,FALSE))=0,"",VLOOKUP($B27,Database!$B$1:$IX$10144,6,FALSE))))</f>
        <v>http://archpsyc.ama-assn.org/cgi/reprint/51/9/677</v>
      </c>
      <c r="H27" s="22">
        <f>IF($B27="","",IF(LEN(VLOOKUP($B27,Database!$B$1:$IX$10144,7,FALSE))=0,"",VLOOKUP($B27,Database!$B$1:$IX$10144,7,FALSE)))</f>
        <v>39</v>
      </c>
      <c r="I27" s="22">
        <f>IF($B27="","",IF(LEN(VLOOKUP($B27,Database!$B$1:$IX$10144,8,FALSE))=0,"",VLOOKUP($B27,Database!$B$1:$IX$10144,8,FALSE)))</f>
        <v>20</v>
      </c>
      <c r="J27" s="2" t="s">
        <v>1923</v>
      </c>
      <c r="L27">
        <v>11</v>
      </c>
      <c r="M27">
        <v>28</v>
      </c>
      <c r="N27">
        <f t="shared" si="1"/>
        <v>39</v>
      </c>
      <c r="O27">
        <v>7</v>
      </c>
      <c r="P27">
        <v>13</v>
      </c>
      <c r="Q27">
        <f t="shared" si="2"/>
        <v>20</v>
      </c>
      <c r="R27" s="13">
        <f t="shared" si="3"/>
        <v>39</v>
      </c>
      <c r="S27" s="13">
        <f t="shared" si="4"/>
        <v>20</v>
      </c>
      <c r="U27" s="136">
        <f t="shared" si="5"/>
        <v>28.205128205128204</v>
      </c>
      <c r="V27" s="136">
        <f t="shared" si="6"/>
        <v>35</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60.9</v>
      </c>
      <c r="AC27" s="22">
        <f>IF(OR($B27="",AC$22=""),"",IF(LEN(VLOOKUP($B27,Database!$B$1:$IX$10144,AC$22,FALSE))=0,"",VLOOKUP($B27,Database!$B$1:$IX$10144,AC$22,FALSE)))</f>
        <v>8.1</v>
      </c>
      <c r="AD27" s="22">
        <f>IF(OR($B27="",AD$22=""),"",IF(LEN(VLOOKUP($B27,Database!$B$1:$IX$10144,AD$22,FALSE))=0,"",VLOOKUP($B27,Database!$B$1:$IX$10144,AD$22,FALSE)))</f>
        <v>69.099999999999994</v>
      </c>
      <c r="AE27" s="22">
        <f>IF(OR($B27="",AE$22=""),"",IF(LEN(VLOOKUP($B27,Database!$B$1:$IX$10144,AE$22,FALSE))=0,"",VLOOKUP($B27,Database!$B$1:$IX$10144,AE$22,FALSE)))</f>
        <v>6.5</v>
      </c>
      <c r="AF27" s="22">
        <f>IF(OR($B27="",AF$22=""),"",IF(LEN(VLOOKUP($B27,Database!$B$1:$IX$10144,AF$22,FALSE))=0,"",VLOOKUP($B27,Database!$B$1:$IX$10144,AF$22,FALSE)))</f>
        <v>17</v>
      </c>
      <c r="AG27" s="22">
        <f>IF(OR($B27="",AG$22=""),"",IF(LEN(VLOOKUP($B27,Database!$B$1:$IX$10144,AG$22,FALSE))=0,"",VLOOKUP($B27,Database!$B$1:$IX$10144,AG$22,FALSE)))</f>
        <v>12</v>
      </c>
      <c r="AH27" s="22">
        <f>IF(OR($B27="",AH$22=""),"",IF(LEN(VLOOKUP($B27,Database!$B$1:$IX$10144,AH$22,FALSE))=0,"",VLOOKUP($B27,Database!$B$1:$IX$10144,AH$22,FALSE)))</f>
        <v>1.5</v>
      </c>
      <c r="AI27" s="22">
        <f>IF(OR($B27="",AI$22=""),"",IF(LEN(VLOOKUP($B27,Database!$B$1:$IX$10144,AI$22,FALSE))=0,"",VLOOKUP($B27,Database!$B$1:$IX$10144,AI$22,FALSE)))</f>
        <v>10</v>
      </c>
      <c r="AJ27" s="22" t="str">
        <f>IF(OR($B27="",AJ$22=""),"",IF(LEN(VLOOKUP($B27,Database!$B$1:$IX$10144,AJ$22,FALSE))=0,"",VLOOKUP($B27,Database!$B$1:$IX$10144,AJ$22,FALSE)))</f>
        <v/>
      </c>
      <c r="AK27" s="22" t="str">
        <f>IF(OR($B27="",AK$22=""),"",IF(LEN(VLOOKUP($B27,Database!$B$1:$IX$10144,AK$22,FALSE))=0,"",VLOOKUP($B27,Database!$B$1:$IX$10144,AK$22,FALSE)))</f>
        <v>ns</v>
      </c>
      <c r="AL27" s="214">
        <v>20.100000000000001</v>
      </c>
      <c r="AM27" s="22">
        <f>IF(OR($B27="",AM$22=""),"",IF(LEN(VLOOKUP($B27,Database!$B$1:$IX$10144,AM$22,FALSE))=0,"",VLOOKUP($B27,Database!$B$1:$IX$10144,AM$22,FALSE)))</f>
        <v>0</v>
      </c>
      <c r="AN27" s="22">
        <f>IF(OR($B27="",AN$22=""),"",IF(LEN(VLOOKUP($B27,Database!$B$1:$IX$10144,AN$22,FALSE))=0,"",VLOOKUP($B27,Database!$B$1:$IX$10144,AN$22,FALSE)))</f>
        <v>0</v>
      </c>
      <c r="AO27" s="22">
        <f>IF(OR($B27="",AO$22=""),"",IF(LEN(VLOOKUP($B27,Database!$B$1:$IX$10144,AO$22,FALSE))=0,"",VLOOKUP($B27,Database!$B$1:$IX$10144,AO$22,FALSE)))</f>
        <v>0</v>
      </c>
      <c r="AP27" s="22">
        <f>IF(OR($B27="",AP$22=""),"",IF(LEN(VLOOKUP($B27,Database!$B$1:$IX$10144,AP$22,FALSE))=0,"",VLOOKUP($B27,Database!$B$1:$IX$10144,AP$22,FALSE)))</f>
        <v>100</v>
      </c>
      <c r="AQ27" s="22" t="str">
        <f>IF(OR($B27="",AQ$22=""),"",IF(LEN(VLOOKUP($B27,Database!$B$1:$IX$10144,AQ$22,FALSE))=0,"",VLOOKUP($B27,Database!$B$1:$IX$10144,AQ$22,FALSE)))</f>
        <v>Lesser IM, Mena I, Boone KB, Miller BL, Mehringer CM, Wohl M.</v>
      </c>
      <c r="AR27" s="163"/>
      <c r="AU27" s="22"/>
      <c r="AX27" s="13"/>
      <c r="AY27" s="13"/>
      <c r="BA27" s="23"/>
      <c r="BD27" s="136"/>
      <c r="BE27" s="136"/>
      <c r="BF27" s="136"/>
      <c r="BG27" s="136"/>
    </row>
    <row r="28" spans="1:63">
      <c r="B28">
        <v>8672610</v>
      </c>
      <c r="C28" s="1" t="str">
        <f>IF($B28="","",HYPERLINK(IF(LEN(VLOOKUP($B28,Database!$B$1:$IX$10144,2,FALSE))=0,"",VLOOKUP($B28,Database!$B$1:$IX$10144,2,FALSE))))</f>
        <v/>
      </c>
      <c r="D28" s="1" t="str">
        <f t="shared" si="0"/>
        <v>http://www.ncbi.nlm.nih.gov/pubmed/8672610</v>
      </c>
      <c r="E28" s="22" t="str">
        <f>IF($B28="","",IF(LEN(VLOOKUP($B28,Database!$B$1:$IX$10144,4,FALSE))=0,"",VLOOKUP($B28,Database!$B$1:$IX$10144,4,FALSE)))</f>
        <v>Dupont RM (B)</v>
      </c>
      <c r="F28" s="22">
        <f>IF($B28="","",IF(LEN(VLOOKUP($B28,Database!$B$1:$IX$10144,5,FALSE))=0,"",VLOOKUP($B28,Database!$B$1:$IX$10144,5,FALSE)))</f>
        <v>1995</v>
      </c>
      <c r="G28" s="1" t="str">
        <f>IF($B28="","",HYPERLINK(IF(LEN(VLOOKUP($B28,Database!$B$1:$IX$10144,6,FALSE))=0,"",VLOOKUP($B28,Database!$B$1:$IX$10144,6,FALSE))))</f>
        <v>http://dx.doi.org/10.1016/0006-3223(95)00100-U</v>
      </c>
      <c r="H28" s="22">
        <f>IF($B28="","",IF(LEN(VLOOKUP($B28,Database!$B$1:$IX$10144,7,FALSE))=0,"",VLOOKUP($B28,Database!$B$1:$IX$10144,7,FALSE)))</f>
        <v>33</v>
      </c>
      <c r="I28" s="22">
        <f>IF($B28="","",IF(LEN(VLOOKUP($B28,Database!$B$1:$IX$10144,8,FALSE))=0,"",VLOOKUP($B28,Database!$B$1:$IX$10144,8,FALSE)))</f>
        <v>32</v>
      </c>
      <c r="J28" s="13" t="s">
        <v>1652</v>
      </c>
      <c r="L28">
        <v>9</v>
      </c>
      <c r="M28">
        <v>24</v>
      </c>
      <c r="N28">
        <f t="shared" si="1"/>
        <v>33</v>
      </c>
      <c r="O28">
        <v>7</v>
      </c>
      <c r="P28">
        <v>25</v>
      </c>
      <c r="Q28">
        <f t="shared" si="2"/>
        <v>32</v>
      </c>
      <c r="R28" s="13">
        <f t="shared" si="3"/>
        <v>33</v>
      </c>
      <c r="S28" s="13">
        <f t="shared" si="4"/>
        <v>32</v>
      </c>
      <c r="U28" s="136">
        <f t="shared" si="5"/>
        <v>27.272727272727273</v>
      </c>
      <c r="V28" s="136">
        <f t="shared" si="6"/>
        <v>21.875</v>
      </c>
      <c r="Y28" s="22" t="str">
        <f>IF(OR($B28="",Y$22=""),"",IF(LEN(VLOOKUP($B28,Database!$B$1:$IX$10144,Y$22,FALSE))=0,"",VLOOKUP($B28,Database!$B$1:$IX$10144,Y$22,FALSE)))</f>
        <v>DSM-III-R</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38.9</v>
      </c>
      <c r="AC28" s="22">
        <f>IF(OR($B28="",AC$22=""),"",IF(LEN(VLOOKUP($B28,Database!$B$1:$IX$10144,AC$22,FALSE))=0,"",VLOOKUP($B28,Database!$B$1:$IX$10144,AC$22,FALSE)))</f>
        <v>10.199999999999999</v>
      </c>
      <c r="AD28" s="22">
        <f>IF(OR($B28="",AD$22=""),"",IF(LEN(VLOOKUP($B28,Database!$B$1:$IX$10144,AD$22,FALSE))=0,"",VLOOKUP($B28,Database!$B$1:$IX$10144,AD$22,FALSE)))</f>
        <v>39.200000000000003</v>
      </c>
      <c r="AE28" s="22">
        <f>IF(OR($B28="",AE$22=""),"",IF(LEN(VLOOKUP($B28,Database!$B$1:$IX$10144,AE$22,FALSE))=0,"",VLOOKUP($B28,Database!$B$1:$IX$10144,AE$22,FALSE)))</f>
        <v>8.9</v>
      </c>
      <c r="AF28" s="22">
        <f>IF(OR($B28="",AF$22=""),"",IF(LEN(VLOOKUP($B28,Database!$B$1:$IX$10144,AF$22,FALSE))=0,"",VLOOKUP($B28,Database!$B$1:$IX$10144,AF$22,FALSE)))</f>
        <v>20</v>
      </c>
      <c r="AG28" s="22">
        <f>IF(OR($B28="",AG$22=""),"",IF(LEN(VLOOKUP($B28,Database!$B$1:$IX$10144,AG$22,FALSE))=0,"",VLOOKUP($B28,Database!$B$1:$IX$10144,AG$22,FALSE)))</f>
        <v>13</v>
      </c>
      <c r="AH28" s="22">
        <f>IF(OR($B28="",AH$22=""),"",IF(LEN(VLOOKUP($B28,Database!$B$1:$IX$10144,AH$22,FALSE))=0,"",VLOOKUP($B28,Database!$B$1:$IX$10144,AH$22,FALSE)))</f>
        <v>1.5</v>
      </c>
      <c r="AI28" s="22">
        <f>IF(OR($B28="",AI$22=""),"",IF(LEN(VLOOKUP($B28,Database!$B$1:$IX$10144,AI$22,FALSE))=0,"",VLOOKUP($B28,Database!$B$1:$IX$10144,AI$22,FALSE)))</f>
        <v>5</v>
      </c>
      <c r="AJ28" s="22" t="str">
        <f>IF(OR($B28="",AJ$22=""),"",IF(LEN(VLOOKUP($B28,Database!$B$1:$IX$10144,AJ$22,FALSE))=0,"",VLOOKUP($B28,Database!$B$1:$IX$10144,AJ$22,FALSE)))</f>
        <v/>
      </c>
      <c r="AK28" s="22" t="str">
        <f>IF(OR($B28="",AK$22=""),"",IF(LEN(VLOOKUP($B28,Database!$B$1:$IX$10144,AK$22,FALSE))=0,"",VLOOKUP($B28,Database!$B$1:$IX$10144,AK$22,FALSE)))</f>
        <v>ns</v>
      </c>
      <c r="AL28" s="22">
        <f>IF(OR($B28="",AL$22=""),"",IF(LEN(VLOOKUP($B28,Database!$B$1:$IX$10144,AL$22,FALSE))=0,"",VLOOKUP($B28,Database!$B$1:$IX$10144,AL$22,FALSE)))</f>
        <v>12.5</v>
      </c>
      <c r="AM28" s="22">
        <f>IF(OR($B28="",AM$22=""),"",IF(LEN(VLOOKUP($B28,Database!$B$1:$IX$10144,AM$22,FALSE))=0,"",VLOOKUP($B28,Database!$B$1:$IX$10144,AM$22,FALSE)))</f>
        <v>39.393939393939391</v>
      </c>
      <c r="AN28" s="22">
        <f>IF(OR($B28="",AN$22=""),"",IF(LEN(VLOOKUP($B28,Database!$B$1:$IX$10144,AN$22,FALSE))=0,"",VLOOKUP($B28,Database!$B$1:$IX$10144,AN$22,FALSE)))</f>
        <v>3.0303030303030303</v>
      </c>
      <c r="AO28" s="22" t="str">
        <f>IF(OR($B28="",AO$22=""),"",IF(LEN(VLOOKUP($B28,Database!$B$1:$IX$10144,AO$22,FALSE))=0,"",VLOOKUP($B28,Database!$B$1:$IX$10144,AO$22,FALSE)))</f>
        <v>ns</v>
      </c>
      <c r="AP28" s="22">
        <f>IF(OR($B28="",AP$22=""),"",IF(LEN(VLOOKUP($B28,Database!$B$1:$IX$10144,AP$22,FALSE))=0,"",VLOOKUP($B28,Database!$B$1:$IX$10144,AP$22,FALSE)))</f>
        <v>54.54545454545454</v>
      </c>
      <c r="AQ28" s="22" t="str">
        <f>IF(OR($B28="",AQ$22=""),"",IF(LEN(VLOOKUP($B28,Database!$B$1:$IX$10144,AQ$22,FALSE))=0,"",VLOOKUP($B28,Database!$B$1:$IX$10144,AQ$22,FALSE)))</f>
        <v>Dupont RM, Butters N, Schafer K, Wilson T, Hesselink J, Gillin JC.</v>
      </c>
      <c r="AR28" s="163"/>
      <c r="AU28" s="22"/>
      <c r="AX28" s="13"/>
      <c r="AY28" s="13"/>
      <c r="BA28" s="23"/>
      <c r="BD28" s="136"/>
      <c r="BE28" s="136"/>
      <c r="BF28" s="136"/>
      <c r="BG28" s="136"/>
    </row>
    <row r="29" spans="1:63">
      <c r="B29">
        <v>12974987</v>
      </c>
      <c r="C29" s="1" t="str">
        <f>IF($B29="","",HYPERLINK(IF(LEN(VLOOKUP($B29,Database!$B$1:$IX$10144,2,FALSE))=0,"",VLOOKUP($B29,Database!$B$1:$IX$10144,2,FALSE))))</f>
        <v/>
      </c>
      <c r="D29" s="1" t="str">
        <f t="shared" si="0"/>
        <v>http://www.ncbi.nlm.nih.gov/pubmed/12974987</v>
      </c>
      <c r="E29" s="22" t="str">
        <f>IF($B29="","",IF(LEN(VLOOKUP($B29,Database!$B$1:$IX$10144,4,FALSE))=0,"",VLOOKUP($B29,Database!$B$1:$IX$10144,4,FALSE)))</f>
        <v>Agid R</v>
      </c>
      <c r="F29" s="22">
        <f>IF($B29="","",IF(LEN(VLOOKUP($B29,Database!$B$1:$IX$10144,5,FALSE))=0,"",VLOOKUP($B29,Database!$B$1:$IX$10144,5,FALSE)))</f>
        <v>2003</v>
      </c>
      <c r="G29" s="1" t="str">
        <f>IF($B29="","",HYPERLINK(IF(LEN(VLOOKUP($B29,Database!$B$1:$IX$10144,6,FALSE))=0,"",VLOOKUP($B29,Database!$B$1:$IX$10144,6,FALSE))))</f>
        <v>http://dx.doi.org/10.1017/S146114570300347X</v>
      </c>
      <c r="H29" s="22">
        <f>IF($B29="","",IF(LEN(VLOOKUP($B29,Database!$B$1:$IX$10144,7,FALSE))=0,"",VLOOKUP($B29,Database!$B$1:$IX$10144,7,FALSE)))</f>
        <v>37</v>
      </c>
      <c r="I29" s="22">
        <f>IF($B29="","",IF(LEN(VLOOKUP($B29,Database!$B$1:$IX$10144,8,FALSE))=0,"",VLOOKUP($B29,Database!$B$1:$IX$10144,8,FALSE)))</f>
        <v>27</v>
      </c>
      <c r="J29" t="s">
        <v>566</v>
      </c>
      <c r="K29" t="s">
        <v>527</v>
      </c>
      <c r="L29">
        <v>26</v>
      </c>
      <c r="M29">
        <v>11</v>
      </c>
      <c r="N29">
        <f t="shared" si="1"/>
        <v>37</v>
      </c>
      <c r="O29">
        <v>7</v>
      </c>
      <c r="P29">
        <v>20</v>
      </c>
      <c r="Q29">
        <f t="shared" si="2"/>
        <v>27</v>
      </c>
      <c r="R29" s="13">
        <f t="shared" si="3"/>
        <v>37</v>
      </c>
      <c r="S29" s="13">
        <f t="shared" si="4"/>
        <v>27</v>
      </c>
      <c r="U29" s="136">
        <f t="shared" si="5"/>
        <v>70.270270270270274</v>
      </c>
      <c r="V29" s="136">
        <f t="shared" si="6"/>
        <v>25.925925925925927</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55</v>
      </c>
      <c r="AC29" s="22">
        <f>IF(OR($B29="",AC$22=""),"",IF(LEN(VLOOKUP($B29,Database!$B$1:$IX$10144,AC$22,FALSE))=0,"",VLOOKUP($B29,Database!$B$1:$IX$10144,AC$22,FALSE)))</f>
        <v>16.3</v>
      </c>
      <c r="AD29" s="22">
        <f>IF(OR($B29="",AD$22=""),"",IF(LEN(VLOOKUP($B29,Database!$B$1:$IX$10144,AD$22,FALSE))=0,"",VLOOKUP($B29,Database!$B$1:$IX$10144,AD$22,FALSE)))</f>
        <v>50</v>
      </c>
      <c r="AE29" s="22">
        <f>IF(OR($B29="",AE$22=""),"",IF(LEN(VLOOKUP($B29,Database!$B$1:$IX$10144,AE$22,FALSE))=0,"",VLOOKUP($B29,Database!$B$1:$IX$10144,AE$22,FALSE)))</f>
        <v>11.2</v>
      </c>
      <c r="AF29" s="22">
        <f>IF(OR($B29="",AF$22=""),"",IF(LEN(VLOOKUP($B29,Database!$B$1:$IX$10144,AF$22,FALSE))=0,"",VLOOKUP($B29,Database!$B$1:$IX$10144,AF$22,FALSE)))</f>
        <v>21</v>
      </c>
      <c r="AG29" s="22">
        <f>IF(OR($B29="",AG$22=""),"",IF(LEN(VLOOKUP($B29,Database!$B$1:$IX$10144,AG$22,FALSE))=0,"",VLOOKUP($B29,Database!$B$1:$IX$10144,AG$22,FALSE)))</f>
        <v>14</v>
      </c>
      <c r="AH29" s="22">
        <f>IF(OR($B29="",AH$22=""),"",IF(LEN(VLOOKUP($B29,Database!$B$1:$IX$10144,AH$22,FALSE))=0,"",VLOOKUP($B29,Database!$B$1:$IX$10144,AH$22,FALSE)))</f>
        <v>2</v>
      </c>
      <c r="AI29" s="22">
        <f>IF(OR($B29="",AI$22=""),"",IF(LEN(VLOOKUP($B29,Database!$B$1:$IX$10144,AI$22,FALSE))=0,"",VLOOKUP($B29,Database!$B$1:$IX$10144,AI$22,FALSE)))</f>
        <v>5</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31.4</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Agid R, Levin T, Gomori JM, Lerer B, Bonne O.</v>
      </c>
      <c r="AR29" s="163"/>
      <c r="AU29" s="22"/>
      <c r="AX29" s="13"/>
      <c r="AY29" s="13"/>
      <c r="BA29" s="23"/>
      <c r="BD29" s="136"/>
      <c r="BE29" s="136"/>
      <c r="BF29" s="136"/>
      <c r="BG29" s="136"/>
    </row>
    <row r="30" spans="1:63">
      <c r="B30">
        <v>14612223</v>
      </c>
      <c r="C30" s="1" t="str">
        <f>IF($B30="","",HYPERLINK(IF(LEN(VLOOKUP($B30,Database!$B$1:$IX$10144,2,FALSE))=0,"",VLOOKUP($B30,Database!$B$1:$IX$10144,2,FALSE))))</f>
        <v/>
      </c>
      <c r="D30" s="1" t="str">
        <f t="shared" si="0"/>
        <v>http://www.ncbi.nlm.nih.gov/pubmed/14612223</v>
      </c>
      <c r="E30" s="22" t="str">
        <f>IF($B30="","",IF(LEN(VLOOKUP($B30,Database!$B$1:$IX$10144,4,FALSE))=0,"",VLOOKUP($B30,Database!$B$1:$IX$10144,4,FALSE)))</f>
        <v>Sassi RB</v>
      </c>
      <c r="F30" s="22">
        <f>IF($B30="","",IF(LEN(VLOOKUP($B30,Database!$B$1:$IX$10144,5,FALSE))=0,"",VLOOKUP($B30,Database!$B$1:$IX$10144,5,FALSE)))</f>
        <v>2003</v>
      </c>
      <c r="G30" s="1" t="str">
        <f>IF($B30="","",HYPERLINK(IF(LEN(VLOOKUP($B30,Database!$B$1:$IX$10144,6,FALSE))=0,"",VLOOKUP($B30,Database!$B$1:$IX$10144,6,FALSE))))</f>
        <v>http://dx.doi.org/10.1016/S0165-0327(02)00170-2</v>
      </c>
      <c r="H30" s="22">
        <f>IF($B30="","",IF(LEN(VLOOKUP($B30,Database!$B$1:$IX$10144,7,FALSE))=0,"",VLOOKUP($B30,Database!$B$1:$IX$10144,7,FALSE)))</f>
        <v>18</v>
      </c>
      <c r="I30" s="22">
        <f>IF($B30="","",IF(LEN(VLOOKUP($B30,Database!$B$1:$IX$10144,8,FALSE))=0,"",VLOOKUP($B30,Database!$B$1:$IX$10144,8,FALSE)))</f>
        <v>38</v>
      </c>
      <c r="J30" t="s">
        <v>697</v>
      </c>
      <c r="K30" t="s">
        <v>698</v>
      </c>
      <c r="L30">
        <v>7</v>
      </c>
      <c r="M30">
        <v>11</v>
      </c>
      <c r="N30">
        <f t="shared" si="1"/>
        <v>18</v>
      </c>
      <c r="O30">
        <v>22</v>
      </c>
      <c r="P30">
        <v>16</v>
      </c>
      <c r="Q30">
        <f t="shared" si="2"/>
        <v>38</v>
      </c>
      <c r="R30" s="13">
        <f t="shared" si="3"/>
        <v>18</v>
      </c>
      <c r="S30" s="13">
        <f t="shared" si="4"/>
        <v>38</v>
      </c>
      <c r="U30" s="136">
        <f t="shared" si="5"/>
        <v>38.888888888888886</v>
      </c>
      <c r="V30" s="136">
        <f t="shared" si="6"/>
        <v>57.89473684210526</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42.8</v>
      </c>
      <c r="AC30" s="22">
        <f>IF(OR($B30="",AC$22=""),"",IF(LEN(VLOOKUP($B30,Database!$B$1:$IX$10144,AC$22,FALSE))=0,"",VLOOKUP($B30,Database!$B$1:$IX$10144,AC$22,FALSE)))</f>
        <v>9.1999999999999993</v>
      </c>
      <c r="AD30" s="22">
        <f>IF(OR($B30="",AD$22=""),"",IF(LEN(VLOOKUP($B30,Database!$B$1:$IX$10144,AD$22,FALSE))=0,"",VLOOKUP($B30,Database!$B$1:$IX$10144,AD$22,FALSE)))</f>
        <v>36.799999999999997</v>
      </c>
      <c r="AE30" s="22">
        <f>IF(OR($B30="",AE$22=""),"",IF(LEN(VLOOKUP($B30,Database!$B$1:$IX$10144,AE$22,FALSE))=0,"",VLOOKUP($B30,Database!$B$1:$IX$10144,AE$22,FALSE)))</f>
        <v>9.6999999999999993</v>
      </c>
      <c r="AF30" s="22">
        <f>IF(OR($B30="",AF$22=""),"",IF(LEN(VLOOKUP($B30,Database!$B$1:$IX$10144,AF$22,FALSE))=0,"",VLOOKUP($B30,Database!$B$1:$IX$10144,AF$22,FALSE)))</f>
        <v>16</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30</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Sassi RB, Brambilla P, Nicoletti M, Mallinger AG, Frank E, Kupfer DJ, Keshavan MS, Soares JC.</v>
      </c>
      <c r="AR30" s="163"/>
      <c r="AU30" s="22"/>
      <c r="AX30" s="13"/>
      <c r="AY30" s="13"/>
      <c r="BA30" s="23"/>
      <c r="BD30" s="136"/>
      <c r="BE30" s="136"/>
      <c r="BF30" s="136"/>
      <c r="BG30" s="136"/>
    </row>
    <row r="31" spans="1:63">
      <c r="A31" s="4"/>
      <c r="B31">
        <v>16223965</v>
      </c>
      <c r="C31" s="1" t="str">
        <f>IF($B31="","",HYPERLINK(IF(LEN(VLOOKUP($B31,Database!$B$1:$IX$10144,2,FALSE))=0,"",VLOOKUP($B31,Database!$B$1:$IX$10144,2,FALSE))))</f>
        <v/>
      </c>
      <c r="D31" s="1" t="str">
        <f t="shared" si="0"/>
        <v>http://www.ncbi.nlm.nih.gov/pubmed/16223965</v>
      </c>
      <c r="E31" s="22" t="str">
        <f>IF($B31="","",IF(LEN(VLOOKUP($B31,Database!$B$1:$IX$10144,4,FALSE))=0,"",VLOOKUP($B31,Database!$B$1:$IX$10144,4,FALSE)))</f>
        <v>Chen CS</v>
      </c>
      <c r="F31" s="22">
        <f>IF($B31="","",IF(LEN(VLOOKUP($B31,Database!$B$1:$IX$10144,5,FALSE))=0,"",VLOOKUP($B31,Database!$B$1:$IX$10144,5,FALSE)))</f>
        <v>2005</v>
      </c>
      <c r="G31" s="1" t="str">
        <f>IF($B31="","",HYPERLINK(IF(LEN(VLOOKUP($B31,Database!$B$1:$IX$10144,6,FALSE))=0,"",VLOOKUP($B31,Database!$B$1:$IX$10144,6,FALSE))))</f>
        <v>http://journals.lww.com/ajgponline/Abstract/2005/10000/Homocysteine_Levels,_MTHFR_C677T_Genotype,_and_MRI.6.aspx</v>
      </c>
      <c r="H31" s="22">
        <f>IF($B31="","",IF(LEN(VLOOKUP($B31,Database!$B$1:$IX$10144,7,FALSE))=0,"",VLOOKUP($B31,Database!$B$1:$IX$10144,7,FALSE)))</f>
        <v>39</v>
      </c>
      <c r="I31" s="22">
        <f>IF($B31="","",IF(LEN(VLOOKUP($B31,Database!$B$1:$IX$10144,8,FALSE))=0,"",VLOOKUP($B31,Database!$B$1:$IX$10144,8,FALSE)))</f>
        <v>20</v>
      </c>
      <c r="J31" t="s">
        <v>1564</v>
      </c>
      <c r="K31" t="s">
        <v>1565</v>
      </c>
      <c r="L31">
        <v>27</v>
      </c>
      <c r="M31">
        <v>12</v>
      </c>
      <c r="N31">
        <f t="shared" si="1"/>
        <v>39</v>
      </c>
      <c r="O31">
        <v>7</v>
      </c>
      <c r="P31">
        <v>13</v>
      </c>
      <c r="Q31">
        <f t="shared" si="2"/>
        <v>20</v>
      </c>
      <c r="R31" s="13">
        <f t="shared" si="3"/>
        <v>39</v>
      </c>
      <c r="S31" s="13">
        <f t="shared" si="4"/>
        <v>20</v>
      </c>
      <c r="U31" s="136">
        <f t="shared" si="5"/>
        <v>69.230769230769226</v>
      </c>
      <c r="V31" s="136">
        <f t="shared" si="6"/>
        <v>35</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69.900000000000006</v>
      </c>
      <c r="AC31" s="22">
        <f>IF(OR($B31="",AC$22=""),"",IF(LEN(VLOOKUP($B31,Database!$B$1:$IX$10144,AC$22,FALSE))=0,"",VLOOKUP($B31,Database!$B$1:$IX$10144,AC$22,FALSE)))</f>
        <v>5.2</v>
      </c>
      <c r="AD31" s="22">
        <f>IF(OR($B31="",AD$22=""),"",IF(LEN(VLOOKUP($B31,Database!$B$1:$IX$10144,AD$22,FALSE))=0,"",VLOOKUP($B31,Database!$B$1:$IX$10144,AD$22,FALSE)))</f>
        <v>73.599999999999994</v>
      </c>
      <c r="AE31" s="22">
        <f>IF(OR($B31="",AE$22=""),"",IF(LEN(VLOOKUP($B31,Database!$B$1:$IX$10144,AE$22,FALSE))=0,"",VLOOKUP($B31,Database!$B$1:$IX$10144,AE$22,FALSE)))</f>
        <v>5.0999999999999996</v>
      </c>
      <c r="AF31" s="22">
        <f>IF(OR($B31="",AF$22=""),"",IF(LEN(VLOOKUP($B31,Database!$B$1:$IX$10144,AF$22,FALSE))=0,"",VLOOKUP($B31,Database!$B$1:$IX$10144,AF$22,FALSE)))</f>
        <v>26</v>
      </c>
      <c r="AG31" s="22">
        <f>IF(OR($B31="",AG$22=""),"",IF(LEN(VLOOKUP($B31,Database!$B$1:$IX$10144,AG$22,FALSE))=0,"",VLOOKUP($B31,Database!$B$1:$IX$10144,AG$22,FALSE)))</f>
        <v>14</v>
      </c>
      <c r="AH31" s="22">
        <f>IF(OR($B31="",AH$22=""),"",IF(LEN(VLOOKUP($B31,Database!$B$1:$IX$10144,AH$22,FALSE))=0,"",VLOOKUP($B31,Database!$B$1:$IX$10144,AH$22,FALSE)))</f>
        <v>3</v>
      </c>
      <c r="AI31" s="22">
        <f>IF(OR($B31="",AI$22=""),"",IF(LEN(VLOOKUP($B31,Database!$B$1:$IX$10144,AI$22,FALSE))=0,"",VLOOKUP($B31,Database!$B$1:$IX$10144,AI$22,FALSE)))</f>
        <v>7</v>
      </c>
      <c r="AJ31" s="22" t="str">
        <f>IF(OR($B31="",AJ$22=""),"",IF(LEN(VLOOKUP($B31,Database!$B$1:$IX$10144,AJ$22,FALSE))=0,"",VLOOKUP($B31,Database!$B$1:$IX$10144,AJ$22,FALSE)))</f>
        <v/>
      </c>
      <c r="AK31" s="22">
        <f>IF(OR($B31="",AK$22=""),"",IF(LEN(VLOOKUP($B31,Database!$B$1:$IX$10144,AK$22,FALSE))=0,"",VLOOKUP($B31,Database!$B$1:$IX$10144,AK$22,FALSE)))</f>
        <v>66.5</v>
      </c>
      <c r="AL31" s="22">
        <f>IF(OR($B31="",AL$22=""),"",IF(LEN(VLOOKUP($B31,Database!$B$1:$IX$10144,AL$22,FALSE))=0,"",VLOOKUP($B31,Database!$B$1:$IX$10144,AL$22,FALSE)))</f>
        <v>21.7</v>
      </c>
      <c r="AM31" s="22">
        <f>IF(OR($B31="",AM$22=""),"",IF(LEN(VLOOKUP($B31,Database!$B$1:$IX$10144,AM$22,FALSE))=0,"",VLOOKUP($B31,Database!$B$1:$IX$10144,AM$22,FALSE)))</f>
        <v>33.333333333333329</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Chen CS, Tsai JC, Tsang HY, Kuo YT, Lin HF, Chiang IC, Devanand DP.</v>
      </c>
      <c r="AR31" s="163"/>
      <c r="AU31" s="22"/>
      <c r="AX31" s="13"/>
      <c r="AY31" s="13"/>
      <c r="BA31" s="23"/>
      <c r="BD31" s="136"/>
      <c r="BE31" s="136"/>
      <c r="BF31" s="136"/>
      <c r="BG31" s="136"/>
    </row>
    <row r="32" spans="1:63">
      <c r="B32">
        <v>16449707</v>
      </c>
      <c r="C32" s="1" t="str">
        <f>IF($B32="","",HYPERLINK(IF(LEN(VLOOKUP($B32,Database!$B$1:$IX$10144,2,FALSE))=0,"",VLOOKUP($B32,Database!$B$1:$IX$10144,2,FALSE))))</f>
        <v/>
      </c>
      <c r="D32" s="1" t="str">
        <f t="shared" si="0"/>
        <v>http://www.ncbi.nlm.nih.gov/pubmed/16449707</v>
      </c>
      <c r="E32" s="22" t="str">
        <f>IF($B32="","",IF(LEN(VLOOKUP($B32,Database!$B$1:$IX$10144,4,FALSE))=0,"",VLOOKUP($B32,Database!$B$1:$IX$10144,4,FALSE)))</f>
        <v>Iosifescu DV</v>
      </c>
      <c r="F32" s="22">
        <f>IF($B32="","",IF(LEN(VLOOKUP($B32,Database!$B$1:$IX$10144,5,FALSE))=0,"",VLOOKUP($B32,Database!$B$1:$IX$10144,5,FALSE)))</f>
        <v>2006</v>
      </c>
      <c r="G32" s="1" t="str">
        <f>IF($B32="","",HYPERLINK(IF(LEN(VLOOKUP($B32,Database!$B$1:$IX$10144,6,FALSE))=0,"",VLOOKUP($B32,Database!$B$1:$IX$10144,6,FALSE))))</f>
        <v>http://bjp.rcpsych.org/cgi/reprint/188/2/180</v>
      </c>
      <c r="H32" s="22">
        <f>IF($B32="","",IF(LEN(VLOOKUP($B32,Database!$B$1:$IX$10144,7,FALSE))=0,"",VLOOKUP($B32,Database!$B$1:$IX$10144,7,FALSE)))</f>
        <v>84</v>
      </c>
      <c r="I32" s="22">
        <f>IF($B32="","",IF(LEN(VLOOKUP($B32,Database!$B$1:$IX$10144,8,FALSE))=0,"",VLOOKUP($B32,Database!$B$1:$IX$10144,8,FALSE)))</f>
        <v>35</v>
      </c>
      <c r="J32" t="s">
        <v>1321</v>
      </c>
      <c r="K32" t="s">
        <v>1199</v>
      </c>
      <c r="L32">
        <v>51</v>
      </c>
      <c r="M32">
        <v>33</v>
      </c>
      <c r="N32">
        <f t="shared" si="1"/>
        <v>84</v>
      </c>
      <c r="O32">
        <v>21</v>
      </c>
      <c r="P32">
        <v>14</v>
      </c>
      <c r="Q32">
        <f t="shared" si="2"/>
        <v>35</v>
      </c>
      <c r="R32" s="13">
        <f t="shared" si="3"/>
        <v>84</v>
      </c>
      <c r="S32" s="13">
        <f t="shared" si="4"/>
        <v>35</v>
      </c>
      <c r="U32" s="136">
        <f t="shared" si="5"/>
        <v>60.714285714285715</v>
      </c>
      <c r="V32" s="136">
        <f t="shared" si="6"/>
        <v>60</v>
      </c>
      <c r="Y32" s="22" t="str">
        <f>IF(OR($B32="",Y$22=""),"",IF(LEN(VLOOKUP($B32,Database!$B$1:$IX$10144,Y$22,FALSE))=0,"",VLOOKUP($B32,Database!$B$1:$IX$10144,Y$22,FALSE)))</f>
        <v>DSM-III-R</v>
      </c>
      <c r="Z32" s="22" t="str">
        <f>IF(OR($B32="",Z$22=""),"",IF(LEN(VLOOKUP($B32,Database!$B$1:$IX$10144,Z$22,FALSE))=0,"",VLOOKUP($B32,Database!$B$1:$IX$10144,Z$22,FALSE)))</f>
        <v>MRI</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f>IF(OR($B32="",AD$22=""),"",IF(LEN(VLOOKUP($B32,Database!$B$1:$IX$10144,AD$22,FALSE))=0,"",VLOOKUP($B32,Database!$B$1:$IX$10144,AD$22,FALSE)))</f>
        <v>39.200000000000003</v>
      </c>
      <c r="AE32" s="22">
        <f>IF(OR($B32="",AE$22=""),"",IF(LEN(VLOOKUP($B32,Database!$B$1:$IX$10144,AE$22,FALSE))=0,"",VLOOKUP($B32,Database!$B$1:$IX$10144,AE$22,FALSE)))</f>
        <v>9.8000000000000007</v>
      </c>
      <c r="AF32" s="22">
        <f>IF(OR($B32="",AF$22=""),"",IF(LEN(VLOOKUP($B32,Database!$B$1:$IX$10144,AF$22,FALSE))=0,"",VLOOKUP($B32,Database!$B$1:$IX$10144,AF$22,FALSE)))</f>
        <v>34</v>
      </c>
      <c r="AG32" s="22">
        <f>IF(OR($B32="",AG$22=""),"",IF(LEN(VLOOKUP($B32,Database!$B$1:$IX$10144,AG$22,FALSE))=0,"",VLOOKUP($B32,Database!$B$1:$IX$10144,AG$22,FALSE)))</f>
        <v>14</v>
      </c>
      <c r="AH32" s="22">
        <f>IF(OR($B32="",AH$22=""),"",IF(LEN(VLOOKUP($B32,Database!$B$1:$IX$10144,AH$22,FALSE))=0,"",VLOOKUP($B32,Database!$B$1:$IX$10144,AH$22,FALSE)))</f>
        <v>1.5</v>
      </c>
      <c r="AI32" s="22">
        <f>IF(OR($B32="",AI$22=""),"",IF(LEN(VLOOKUP($B32,Database!$B$1:$IX$10144,AI$22,FALSE))=0,"",VLOOKUP($B32,Database!$B$1:$IX$10144,AI$22,FALSE)))</f>
        <v>3</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21.6</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Iosifescu DV, Renshaw PF, Lyoo IK, Lee HK, Perlis RH, Papakostas GI, Nierenberg AA, Fava M.</v>
      </c>
      <c r="AR32" s="163"/>
      <c r="AU32" s="22"/>
      <c r="AX32" s="13"/>
      <c r="AY32" s="13"/>
      <c r="BA32" s="23"/>
      <c r="BD32" s="136"/>
      <c r="BE32" s="136"/>
      <c r="BF32" s="136"/>
      <c r="BG32" s="136"/>
    </row>
    <row r="33" spans="1:59">
      <c r="B33">
        <v>18700214</v>
      </c>
      <c r="C33" s="1" t="str">
        <f>IF($B33="","",HYPERLINK(IF(LEN(VLOOKUP($B33,Database!$B$1:$IX$10144,2,FALSE))=0,"",VLOOKUP($B33,Database!$B$1:$IX$10144,2,FALSE))))</f>
        <v/>
      </c>
      <c r="D33" s="1" t="str">
        <f>IF($B33="","",HYPERLINK(CONCATENATE("http://www.ncbi.nlm.nih.gov/pubmed/",B33)))</f>
        <v>http://www.ncbi.nlm.nih.gov/pubmed/18700214</v>
      </c>
      <c r="E33" s="22" t="str">
        <f>IF($B33="","",IF(LEN(VLOOKUP($B33,Database!$B$1:$IX$10144,4,FALSE))=0,"",VLOOKUP($B33,Database!$B$1:$IX$10144,4,FALSE)))</f>
        <v>Zanetti MV</v>
      </c>
      <c r="F33" s="22">
        <f>IF($B33="","",IF(LEN(VLOOKUP($B33,Database!$B$1:$IX$10144,5,FALSE))=0,"",VLOOKUP($B33,Database!$B$1:$IX$10144,5,FALSE)))</f>
        <v>2008</v>
      </c>
      <c r="G33" s="1" t="str">
        <f>IF($B33="","",HYPERLINK(IF(LEN(VLOOKUP($B33,Database!$B$1:$IX$10144,6,FALSE))=0,"",VLOOKUP($B33,Database!$B$1:$IX$10144,6,FALSE))))</f>
        <v>http://bjp.rcpsych.org/cgi/reprint/193/1/25</v>
      </c>
      <c r="H33" s="22">
        <f>IF($B33="","",IF(LEN(VLOOKUP($B33,Database!$B$1:$IX$10144,7,FALSE))=0,"",VLOOKUP($B33,Database!$B$1:$IX$10144,7,FALSE)))</f>
        <v>28</v>
      </c>
      <c r="I33" s="22">
        <f>IF($B33="","",IF(LEN(VLOOKUP($B33,Database!$B$1:$IX$10144,8,FALSE))=0,"",VLOOKUP($B33,Database!$B$1:$IX$10144,8,FALSE)))</f>
        <v>102</v>
      </c>
      <c r="J33" t="s">
        <v>478</v>
      </c>
      <c r="L33">
        <v>5</v>
      </c>
      <c r="M33">
        <v>23</v>
      </c>
      <c r="N33">
        <f>H33</f>
        <v>28</v>
      </c>
      <c r="O33">
        <v>30</v>
      </c>
      <c r="P33">
        <v>72</v>
      </c>
      <c r="Q33">
        <f t="shared" si="2"/>
        <v>102</v>
      </c>
      <c r="R33" s="13">
        <f t="shared" si="3"/>
        <v>28</v>
      </c>
      <c r="S33" s="13">
        <f t="shared" si="4"/>
        <v>102</v>
      </c>
      <c r="U33" s="136">
        <f t="shared" si="5"/>
        <v>17.857142857142858</v>
      </c>
      <c r="V33" s="136">
        <f t="shared" si="6"/>
        <v>29.411764705882351</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30.5</v>
      </c>
      <c r="AC33" s="22" t="str">
        <f>IF(OR($B33="",AC$22=""),"",IF(LEN(VLOOKUP($B33,Database!$B$1:$IX$10144,AC$22,FALSE))=0,"",VLOOKUP($B33,Database!$B$1:$IX$10144,AC$22,FALSE)))</f>
        <v>ns</v>
      </c>
      <c r="AD33" s="22">
        <f>IF(OR($B33="",AD$22=""),"",IF(LEN(VLOOKUP($B33,Database!$B$1:$IX$10144,AD$22,FALSE))=0,"",VLOOKUP($B33,Database!$B$1:$IX$10144,AD$22,FALSE)))</f>
        <v>30.4</v>
      </c>
      <c r="AE33" s="22" t="str">
        <f>IF(OR($B33="",AE$22=""),"",IF(LEN(VLOOKUP($B33,Database!$B$1:$IX$10144,AE$22,FALSE))=0,"",VLOOKUP($B33,Database!$B$1:$IX$10144,AE$22,FALSE)))</f>
        <v>ns</v>
      </c>
      <c r="AF33" s="22">
        <f>IF(OR($B33="",AF$22=""),"",IF(LEN(VLOOKUP($B33,Database!$B$1:$IX$10144,AF$22,FALSE))=0,"",VLOOKUP($B33,Database!$B$1:$IX$10144,AF$22,FALSE)))</f>
        <v>19</v>
      </c>
      <c r="AG33" s="22">
        <f>IF(OR($B33="",AG$22=""),"",IF(LEN(VLOOKUP($B33,Database!$B$1:$IX$10144,AG$22,FALSE))=0,"",VLOOKUP($B33,Database!$B$1:$IX$10144,AG$22,FALSE)))</f>
        <v>48</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f>IF(OR($B33="",AM$22=""),"",IF(LEN(VLOOKUP($B33,Database!$B$1:$IX$10144,AM$22,FALSE))=0,"",VLOOKUP($B33,Database!$B$1:$IX$10144,AM$22,FALSE)))</f>
        <v>50</v>
      </c>
      <c r="AN33" s="22">
        <f>IF(OR($B33="",AN$22=""),"",IF(LEN(VLOOKUP($B33,Database!$B$1:$IX$10144,AN$22,FALSE))=0,"",VLOOKUP($B33,Database!$B$1:$IX$10144,AN$22,FALSE)))</f>
        <v>14.285714285714285</v>
      </c>
      <c r="AO33" s="22">
        <f>IF(OR($B33="",AO$22=""),"",IF(LEN(VLOOKUP($B33,Database!$B$1:$IX$10144,AO$22,FALSE))=0,"",VLOOKUP($B33,Database!$B$1:$IX$10144,AO$22,FALSE)))</f>
        <v>57.142857142857139</v>
      </c>
      <c r="AP33" s="22">
        <f>IF(OR($B33="",AP$22=""),"",IF(LEN(VLOOKUP($B33,Database!$B$1:$IX$10144,AP$22,FALSE))=0,"",VLOOKUP($B33,Database!$B$1:$IX$10144,AP$22,FALSE)))</f>
        <v>25</v>
      </c>
      <c r="AQ33" s="22" t="str">
        <f>IF(OR($B33="",AQ$22=""),"",IF(LEN(VLOOKUP($B33,Database!$B$1:$IX$10144,AQ$22,FALSE))=0,"",VLOOKUP($B33,Database!$B$1:$IX$10144,AQ$22,FALSE)))</f>
        <v>Zanetti MV, Schaufelberger MS, de Castro CC, Menezes PR, Scazufca M, McGuire PK, Murray RM, Busatto GF.</v>
      </c>
      <c r="AR33" s="163"/>
      <c r="AU33" s="22"/>
      <c r="AX33" s="13"/>
      <c r="AY33" s="13"/>
      <c r="BA33" s="23"/>
      <c r="BD33" s="136"/>
      <c r="BE33" s="136"/>
      <c r="BF33" s="136"/>
      <c r="BG33" s="136"/>
    </row>
    <row r="34" spans="1:59">
      <c r="C34" s="1"/>
      <c r="D34" s="1"/>
      <c r="E34" s="22"/>
      <c r="F34" s="22"/>
      <c r="G34" s="1"/>
      <c r="H34" s="83"/>
      <c r="I34" s="22"/>
      <c r="R34" s="13"/>
      <c r="S34" s="13"/>
      <c r="U34" s="136"/>
      <c r="V34" s="136"/>
      <c r="Y34" s="22"/>
      <c r="Z34" s="22"/>
      <c r="AA34" s="22"/>
      <c r="AB34" s="22"/>
      <c r="AC34" s="22"/>
      <c r="AD34" s="22"/>
      <c r="AE34" s="22"/>
      <c r="AF34" s="22"/>
      <c r="AG34" s="22"/>
      <c r="AH34" s="22"/>
      <c r="AI34" s="22"/>
      <c r="AJ34" s="22"/>
      <c r="AK34" s="22"/>
      <c r="AL34" s="22"/>
      <c r="AM34" s="22"/>
      <c r="AN34" s="22"/>
      <c r="AO34" s="22"/>
      <c r="AP34" s="22"/>
      <c r="AQ34" s="22"/>
    </row>
    <row r="35" spans="1:59">
      <c r="A35" s="4" t="s">
        <v>1090</v>
      </c>
      <c r="C35" s="1"/>
      <c r="D35" s="1"/>
      <c r="E35" s="22"/>
      <c r="F35" s="22"/>
      <c r="G35" s="1"/>
      <c r="H35" s="83"/>
      <c r="I35" s="22" t="str">
        <f>IF($B35="","",IF(LEN(VLOOKUP($B35,Database!$B$1:$IX$10144,8,FALSE))=0,"",VLOOKUP($B35,Database!$B$1:$IX$10144,8,FALSE)))</f>
        <v/>
      </c>
      <c r="R35" s="13"/>
      <c r="S35" s="13"/>
      <c r="U35" s="136"/>
      <c r="V35" s="136"/>
      <c r="Y35" s="22"/>
      <c r="Z35" s="22"/>
      <c r="AA35" s="22"/>
      <c r="AB35" s="22"/>
      <c r="AC35" s="22"/>
      <c r="AD35" s="22"/>
      <c r="AE35" s="22"/>
      <c r="AF35" s="22"/>
      <c r="AG35" s="22"/>
      <c r="AH35" s="22"/>
      <c r="AI35" s="22"/>
      <c r="AJ35" s="22"/>
      <c r="AK35" s="22"/>
      <c r="AL35" s="22"/>
      <c r="AM35" s="22"/>
      <c r="AN35" s="22"/>
      <c r="AO35" s="22"/>
      <c r="AP35" s="22"/>
      <c r="AQ35" s="22"/>
    </row>
    <row r="36" spans="1:59">
      <c r="A36" s="10" t="s">
        <v>2164</v>
      </c>
      <c r="B36">
        <v>16298109</v>
      </c>
      <c r="C36" s="1" t="str">
        <f>IF($B36="","",HYPERLINK(IF(LEN(VLOOKUP($B36,Database!$B$1:$IX$10144,2,FALSE))=0,"",VLOOKUP($B36,Database!$B$1:$IX$10144,2,FALSE))))</f>
        <v/>
      </c>
      <c r="D36" s="1" t="str">
        <f>IF($B36="","",HYPERLINK(CONCATENATE("http://www.ncbi.nlm.nih.gov/pubmed/",B36)))</f>
        <v>http://www.ncbi.nlm.nih.gov/pubmed/16298109</v>
      </c>
      <c r="E36" s="22" t="str">
        <f>IF($B36="","",IF(LEN(VLOOKUP($B36,Database!$B$1:$IX$10144,4,FALSE))=0,"",VLOOKUP($B36,Database!$B$1:$IX$10144,4,FALSE)))</f>
        <v>Iosifescu DV</v>
      </c>
      <c r="F36" s="22">
        <f>IF($B36="","",IF(LEN(VLOOKUP($B36,Database!$B$1:$IX$10144,5,FALSE))=0,"",VLOOKUP($B36,Database!$B$1:$IX$10144,5,FALSE)))</f>
        <v>2005</v>
      </c>
      <c r="G36" s="1" t="str">
        <f>IF($B36="","",HYPERLINK(IF(LEN(VLOOKUP($B36,Database!$B$1:$IX$10144,6,FALSE))=0,"",VLOOKUP($B36,Database!$B$1:$IX$10144,6,FALSE))))</f>
        <v>http://dx.doi.org/10.1016/j.pscychresns.2005.09.003</v>
      </c>
      <c r="H36" s="22">
        <f>IF($B36="","",IF(LEN(VLOOKUP($B36,Database!$B$1:$IX$10144,7,FALSE))=0,"",VLOOKUP($B36,Database!$B$1:$IX$10144,7,FALSE)))</f>
        <v>50</v>
      </c>
      <c r="I36" s="22">
        <f>IF($B36="","",IF(LEN(VLOOKUP($B36,Database!$B$1:$IX$10144,8,FALSE))=0,"",VLOOKUP($B36,Database!$B$1:$IX$10144,8,FALSE)))</f>
        <v>35</v>
      </c>
      <c r="J36" s="2" t="s">
        <v>5</v>
      </c>
      <c r="K36" t="s">
        <v>1984</v>
      </c>
      <c r="L36">
        <v>33</v>
      </c>
      <c r="M36">
        <v>17</v>
      </c>
      <c r="N36">
        <f>H36</f>
        <v>50</v>
      </c>
      <c r="O36">
        <v>21</v>
      </c>
      <c r="P36">
        <v>14</v>
      </c>
      <c r="Q36">
        <f>I36</f>
        <v>35</v>
      </c>
      <c r="R36" s="13">
        <f>L36+M36</f>
        <v>50</v>
      </c>
      <c r="S36" s="13">
        <f>P36+O36</f>
        <v>35</v>
      </c>
      <c r="U36" s="136">
        <f>100*L36/N36</f>
        <v>66</v>
      </c>
      <c r="V36" s="136">
        <f>100*O36/Q36</f>
        <v>60</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40.6</v>
      </c>
      <c r="AC36" s="22">
        <f>IF(OR($B36="",AC$22=""),"",IF(LEN(VLOOKUP($B36,Database!$B$1:$IX$10144,AC$22,FALSE))=0,"",VLOOKUP($B36,Database!$B$1:$IX$10144,AC$22,FALSE)))</f>
        <v>10.3</v>
      </c>
      <c r="AD36" s="22">
        <f>IF(OR($B36="",AD$22=""),"",IF(LEN(VLOOKUP($B36,Database!$B$1:$IX$10144,AD$22,FALSE))=0,"",VLOOKUP($B36,Database!$B$1:$IX$10144,AD$22,FALSE)))</f>
        <v>39.200000000000003</v>
      </c>
      <c r="AE36" s="22">
        <f>IF(OR($B36="",AE$22=""),"",IF(LEN(VLOOKUP($B36,Database!$B$1:$IX$10144,AE$22,FALSE))=0,"",VLOOKUP($B36,Database!$B$1:$IX$10144,AE$22,FALSE)))</f>
        <v>9.8000000000000007</v>
      </c>
      <c r="AF36" s="22">
        <f>IF(OR($B36="",AF$22=""),"",IF(LEN(VLOOKUP($B36,Database!$B$1:$IX$10144,AF$22,FALSE))=0,"",VLOOKUP($B36,Database!$B$1:$IX$10144,AF$22,FALSE)))</f>
        <v>17</v>
      </c>
      <c r="AG36" s="22">
        <f>IF(OR($B36="",AG$22=""),"",IF(LEN(VLOOKUP($B36,Database!$B$1:$IX$10144,AG$22,FALSE))=0,"",VLOOKUP($B36,Database!$B$1:$IX$10144,AG$22,FALSE)))</f>
        <v>14</v>
      </c>
      <c r="AH36" s="22">
        <f>IF(OR($B36="",AH$22=""),"",IF(LEN(VLOOKUP($B36,Database!$B$1:$IX$10144,AH$22,FALSE))=0,"",VLOOKUP($B36,Database!$B$1:$IX$10144,AH$22,FALSE)))</f>
        <v>1.5</v>
      </c>
      <c r="AI36" s="22">
        <f>IF(OR($B36="",AI$22=""),"",IF(LEN(VLOOKUP($B36,Database!$B$1:$IX$10144,AI$22,FALSE))=0,"",VLOOKUP($B36,Database!$B$1:$IX$10144,AI$22,FALSE)))</f>
        <v>5</v>
      </c>
      <c r="AJ36" s="22" t="str">
        <f>IF(OR($B36="",AJ$22=""),"",IF(LEN(VLOOKUP($B36,Database!$B$1:$IX$10144,AJ$22,FALSE))=0,"",VLOOKUP($B36,Database!$B$1:$IX$10144,AJ$22,FALSE)))</f>
        <v/>
      </c>
      <c r="AK36" s="22">
        <f>IF(OR($B36="",AK$22=""),"",IF(LEN(VLOOKUP($B36,Database!$B$1:$IX$10144,AK$22,FALSE))=0,"",VLOOKUP($B36,Database!$B$1:$IX$10144,AK$22,FALSE)))</f>
        <v>27.8</v>
      </c>
      <c r="AL36" s="22">
        <f>IF(OR($B36="",AL$22=""),"",IF(LEN(VLOOKUP($B36,Database!$B$1:$IX$10144,AL$22,FALSE))=0,"",VLOOKUP($B36,Database!$B$1:$IX$10144,AL$22,FALSE)))</f>
        <v>19.899999999999999</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f>IF(OR($B36="",AP$22=""),"",IF(LEN(VLOOKUP($B36,Database!$B$1:$IX$10144,AP$22,FALSE))=0,"",VLOOKUP($B36,Database!$B$1:$IX$10144,AP$22,FALSE)))</f>
        <v>100</v>
      </c>
      <c r="AQ36" s="22" t="str">
        <f>IF(OR($B36="",AQ$22=""),"",IF(LEN(VLOOKUP($B36,Database!$B$1:$IX$10144,AQ$22,FALSE))=0,"",VLOOKUP($B36,Database!$B$1:$IX$10144,AQ$22,FALSE)))</f>
        <v>Iosifescu DV, Papakostas GI, Lyoo IK, Lee HK, Renshaw PF, Alpert JE, Nierenberg A, Fava M.</v>
      </c>
      <c r="AS36" s="136"/>
      <c r="AT36" s="136"/>
    </row>
    <row r="37" spans="1:59">
      <c r="A37" s="172" t="s">
        <v>119</v>
      </c>
      <c r="B37">
        <v>8831435</v>
      </c>
      <c r="C37" s="1" t="str">
        <f>IF($B37="","",HYPERLINK(IF(LEN(VLOOKUP($B37,Database!$B$1:$IX$10144,2,FALSE))=0,"",VLOOKUP($B37,Database!$B$1:$IX$10144,2,FALSE))))</f>
        <v/>
      </c>
      <c r="D37" s="1" t="str">
        <f>IF($B37="","",HYPERLINK(CONCATENATE("http://www.ncbi.nlm.nih.gov/pubmed/",B37)))</f>
        <v>http://www.ncbi.nlm.nih.gov/pubmed/8831435</v>
      </c>
      <c r="E37" s="22" t="str">
        <f>IF($B37="","",IF(LEN(VLOOKUP($B37,Database!$B$1:$IX$10144,4,FALSE))=0,"",VLOOKUP($B37,Database!$B$1:$IX$10144,4,FALSE)))</f>
        <v>Lesser IM</v>
      </c>
      <c r="F37" s="22">
        <f>IF($B37="","",IF(LEN(VLOOKUP($B37,Database!$B$1:$IX$10144,5,FALSE))=0,"",VLOOKUP($B37,Database!$B$1:$IX$10144,5,FALSE)))</f>
        <v>1996</v>
      </c>
      <c r="G37" s="1" t="str">
        <f>IF($B37="","",HYPERLINK(IF(LEN(VLOOKUP($B37,Database!$B$1:$IX$10144,6,FALSE))=0,"",VLOOKUP($B37,Database!$B$1:$IX$10144,6,FALSE))))</f>
        <v>http://dx.doi.org/10.1016/0165-1781(96)02867-3</v>
      </c>
      <c r="H37" s="22">
        <f>IF($B37="","",IF(LEN(VLOOKUP($B37,Database!$B$1:$IX$10144,7,FALSE))=0,"",VLOOKUP($B37,Database!$B$1:$IX$10144,7,FALSE)))</f>
        <v>95</v>
      </c>
      <c r="I37" s="22">
        <f>IF($B37="","",IF(LEN(VLOOKUP($B37,Database!$B$1:$IX$10144,8,FALSE))=0,"",VLOOKUP($B37,Database!$B$1:$IX$10144,8,FALSE)))</f>
        <v>165</v>
      </c>
      <c r="J37" s="2" t="s">
        <v>941</v>
      </c>
      <c r="L37">
        <v>22</v>
      </c>
      <c r="M37">
        <v>73</v>
      </c>
      <c r="N37">
        <f>H37</f>
        <v>95</v>
      </c>
      <c r="O37">
        <v>45</v>
      </c>
      <c r="P37">
        <v>120</v>
      </c>
      <c r="Q37">
        <f>I37</f>
        <v>165</v>
      </c>
      <c r="R37" s="13">
        <f>L37+M37</f>
        <v>95</v>
      </c>
      <c r="S37" s="13">
        <f>P37+O37</f>
        <v>165</v>
      </c>
      <c r="U37" s="136">
        <f>100*L37/N37</f>
        <v>23.157894736842106</v>
      </c>
      <c r="V37" s="136">
        <f>100*O37/Q37</f>
        <v>27.272727272727273</v>
      </c>
      <c r="Y37" s="22" t="str">
        <f>IF(OR($B37="",Y$22=""),"",IF(LEN(VLOOKUP($B37,Database!$B$1:$IX$10144,Y$22,FALSE))=0,"",VLOOKUP($B37,Database!$B$1:$IX$10144,Y$22,FALSE)))</f>
        <v>DSM-III-R</v>
      </c>
      <c r="Z37" s="22" t="str">
        <f>IF(OR($B37="",Z$22=""),"",IF(LEN(VLOOKUP($B37,Database!$B$1:$IX$10144,Z$22,FALSE))=0,"",VLOOKUP($B37,Database!$B$1:$IX$10144,Z$22,FALSE)))</f>
        <v>MRI</v>
      </c>
      <c r="AA37" s="22" t="str">
        <f>IF(OR($B37="",AA$22=""),"",IF(LEN(VLOOKUP($B37,Database!$B$1:$IX$10144,AA$22,FALSE))=0,"",VLOOKUP($B37,Database!$B$1:$IX$10144,AA$22,FALSE)))</f>
        <v/>
      </c>
      <c r="AB37" s="22" t="str">
        <f>IF(OR($B37="",AB$22=""),"",IF(LEN(VLOOKUP($B37,Database!$B$1:$IX$10144,AB$22,FALSE))=0,"",VLOOKUP($B37,Database!$B$1:$IX$10144,AB$22,FALSE)))</f>
        <v>ns</v>
      </c>
      <c r="AC37" s="22" t="str">
        <f>IF(OR($B37="",AC$22=""),"",IF(LEN(VLOOKUP($B37,Database!$B$1:$IX$10144,AC$22,FALSE))=0,"",VLOOKUP($B37,Database!$B$1:$IX$10144,AC$22,FALSE)))</f>
        <v>ns</v>
      </c>
      <c r="AD37" s="22">
        <f>IF(OR($B37="",AD$22=""),"",IF(LEN(VLOOKUP($B37,Database!$B$1:$IX$10144,AD$22,FALSE))=0,"",VLOOKUP($B37,Database!$B$1:$IX$10144,AD$22,FALSE)))</f>
        <v>64.400000000000006</v>
      </c>
      <c r="AE37" s="22">
        <f>IF(OR($B37="",AE$22=""),"",IF(LEN(VLOOKUP($B37,Database!$B$1:$IX$10144,AE$22,FALSE))=0,"",VLOOKUP($B37,Database!$B$1:$IX$10144,AE$22,FALSE)))</f>
        <v>9.6</v>
      </c>
      <c r="AF37" s="22">
        <f>IF(OR($B37="",AF$22=""),"",IF(LEN(VLOOKUP($B37,Database!$B$1:$IX$10144,AF$22,FALSE))=0,"",VLOOKUP($B37,Database!$B$1:$IX$10144,AF$22,FALSE)))</f>
        <v>48</v>
      </c>
      <c r="AG37" s="22">
        <f>IF(OR($B37="",AG$22=""),"",IF(LEN(VLOOKUP($B37,Database!$B$1:$IX$10144,AG$22,FALSE))=0,"",VLOOKUP($B37,Database!$B$1:$IX$10144,AG$22,FALSE)))</f>
        <v>107</v>
      </c>
      <c r="AH37" s="22">
        <f>IF(OR($B37="",AH$22=""),"",IF(LEN(VLOOKUP($B37,Database!$B$1:$IX$10144,AH$22,FALSE))=0,"",VLOOKUP($B37,Database!$B$1:$IX$10144,AH$22,FALSE)))</f>
        <v>1.5</v>
      </c>
      <c r="AI37" s="22">
        <f>IF(OR($B37="",AI$22=""),"",IF(LEN(VLOOKUP($B37,Database!$B$1:$IX$10144,AI$22,FALSE))=0,"",VLOOKUP($B37,Database!$B$1:$IX$10144,AI$22,FALSE)))</f>
        <v>10</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f>IF(OR($B37="",AM$22=""),"",IF(LEN(VLOOKUP($B37,Database!$B$1:$IX$10144,AM$22,FALSE))=0,"",VLOOKUP($B37,Database!$B$1:$IX$10144,AM$22,FALSE)))</f>
        <v>0</v>
      </c>
      <c r="AN37" s="22">
        <f>IF(OR($B37="",AN$22=""),"",IF(LEN(VLOOKUP($B37,Database!$B$1:$IX$10144,AN$22,FALSE))=0,"",VLOOKUP($B37,Database!$B$1:$IX$10144,AN$22,FALSE)))</f>
        <v>0</v>
      </c>
      <c r="AO37" s="22">
        <f>IF(OR($B37="",AO$22=""),"",IF(LEN(VLOOKUP($B37,Database!$B$1:$IX$10144,AO$22,FALSE))=0,"",VLOOKUP($B37,Database!$B$1:$IX$10144,AO$22,FALSE)))</f>
        <v>0</v>
      </c>
      <c r="AP37" s="22">
        <f>IF(OR($B37="",AP$22=""),"",IF(LEN(VLOOKUP($B37,Database!$B$1:$IX$10144,AP$22,FALSE))=0,"",VLOOKUP($B37,Database!$B$1:$IX$10144,AP$22,FALSE)))</f>
        <v>100</v>
      </c>
      <c r="AQ37" s="22" t="str">
        <f>IF(OR($B37="",AQ$22=""),"",IF(LEN(VLOOKUP($B37,Database!$B$1:$IX$10144,AQ$22,FALSE))=0,"",VLOOKUP($B37,Database!$B$1:$IX$10144,AQ$22,FALSE)))</f>
        <v>Lesser IM, Boone KB, Mehringer CM, Wohl MA, Miller BL, Berman NG.</v>
      </c>
      <c r="AS37" s="136"/>
      <c r="AT37" s="136"/>
    </row>
    <row r="38" spans="1:59">
      <c r="A38" s="10"/>
      <c r="C38" s="1"/>
      <c r="D38" s="1"/>
      <c r="E38" s="22"/>
      <c r="F38" s="22"/>
      <c r="G38" s="1"/>
      <c r="H38" s="22"/>
      <c r="I38" s="22"/>
      <c r="R38" s="13"/>
      <c r="S38" s="13"/>
      <c r="U38" s="136"/>
      <c r="V38" s="136"/>
      <c r="Y38" s="22"/>
      <c r="Z38" s="22"/>
      <c r="AA38" s="22"/>
      <c r="AB38" s="22"/>
      <c r="AC38" s="22"/>
      <c r="AD38" s="22"/>
      <c r="AE38" s="22"/>
      <c r="AF38" s="22"/>
      <c r="AG38" s="22"/>
      <c r="AH38" s="22"/>
      <c r="AI38" s="22"/>
      <c r="AJ38" s="22"/>
      <c r="AK38" s="22"/>
      <c r="AL38" s="22"/>
      <c r="AM38" s="22"/>
      <c r="AN38" s="22"/>
      <c r="AO38" s="22"/>
      <c r="AP38" s="22"/>
      <c r="AQ38" s="22"/>
      <c r="AS38" s="136"/>
      <c r="AT38" s="136"/>
    </row>
    <row r="39" spans="1:59">
      <c r="AF39" t="s">
        <v>602</v>
      </c>
      <c r="AJ39" t="s">
        <v>329</v>
      </c>
      <c r="AN39" t="s">
        <v>330</v>
      </c>
    </row>
    <row r="40" spans="1:59" ht="45" customHeight="1">
      <c r="E40" s="60" t="s">
        <v>617</v>
      </c>
      <c r="F40" s="60" t="s">
        <v>740</v>
      </c>
      <c r="G40" s="60" t="s">
        <v>244</v>
      </c>
      <c r="H40" s="60" t="s">
        <v>1208</v>
      </c>
      <c r="I40" s="60" t="s">
        <v>870</v>
      </c>
      <c r="J40" s="60" t="s">
        <v>871</v>
      </c>
      <c r="K40" s="60" t="s">
        <v>872</v>
      </c>
      <c r="L40" s="60" t="s">
        <v>873</v>
      </c>
      <c r="M40" s="60" t="s">
        <v>874</v>
      </c>
      <c r="N40" s="60" t="s">
        <v>875</v>
      </c>
      <c r="O40" s="60" t="s">
        <v>1016</v>
      </c>
      <c r="P40" s="61" t="s">
        <v>597</v>
      </c>
      <c r="Q40" s="61" t="s">
        <v>598</v>
      </c>
      <c r="R40" s="61" t="s">
        <v>599</v>
      </c>
      <c r="S40" s="61" t="s">
        <v>600</v>
      </c>
      <c r="T40" s="61" t="s">
        <v>601</v>
      </c>
      <c r="U40" s="61" t="s">
        <v>484</v>
      </c>
      <c r="V40" s="61" t="s">
        <v>485</v>
      </c>
      <c r="W40" s="61" t="s">
        <v>486</v>
      </c>
      <c r="AF40" s="61" t="s">
        <v>596</v>
      </c>
      <c r="AG40" s="62" t="s">
        <v>834</v>
      </c>
      <c r="AH40" s="62" t="s">
        <v>835</v>
      </c>
      <c r="AJ40" s="61" t="s">
        <v>836</v>
      </c>
      <c r="AK40" s="61" t="s">
        <v>837</v>
      </c>
      <c r="AL40" s="61" t="s">
        <v>487</v>
      </c>
      <c r="AN40" t="s">
        <v>488</v>
      </c>
      <c r="AO40" t="s">
        <v>489</v>
      </c>
      <c r="AP40" t="s">
        <v>490</v>
      </c>
      <c r="AQ40" t="s">
        <v>1008</v>
      </c>
      <c r="AR40" t="s">
        <v>1009</v>
      </c>
      <c r="AS40" t="s">
        <v>1010</v>
      </c>
      <c r="AT40" t="s">
        <v>1011</v>
      </c>
      <c r="AU40" t="s">
        <v>1012</v>
      </c>
      <c r="AV40" t="s">
        <v>1013</v>
      </c>
      <c r="AW40" t="s">
        <v>1014</v>
      </c>
      <c r="AX40" t="s">
        <v>1015</v>
      </c>
      <c r="AY40" t="s">
        <v>499</v>
      </c>
    </row>
    <row r="41" spans="1:59">
      <c r="E41" t="str">
        <f t="shared" ref="E41:F45" si="7">E24</f>
        <v>Zubenko GS</v>
      </c>
      <c r="F41">
        <f t="shared" si="7"/>
        <v>1990</v>
      </c>
      <c r="G41">
        <v>10</v>
      </c>
      <c r="H41">
        <f t="shared" ref="H41:M45" si="8">L24</f>
        <v>28</v>
      </c>
      <c r="I41">
        <f t="shared" si="8"/>
        <v>39</v>
      </c>
      <c r="J41">
        <f t="shared" si="8"/>
        <v>67</v>
      </c>
      <c r="K41">
        <f t="shared" si="8"/>
        <v>8</v>
      </c>
      <c r="L41">
        <f t="shared" si="8"/>
        <v>36</v>
      </c>
      <c r="M41">
        <f t="shared" si="8"/>
        <v>44</v>
      </c>
      <c r="N41">
        <f t="shared" ref="N41:N48" si="9">IF(OR(H41=0,I41=0,K41=0,L41=0),((H41+0.5)*(L41+0.5))/((I41+0.5)*(K41+0.5)),((H41)*(L41))/((I41)*(K41)))</f>
        <v>3.2307692307692308</v>
      </c>
      <c r="O41" s="59">
        <f t="shared" ref="O41:O50" si="10">LN(N41)</f>
        <v>1.1727202608218317</v>
      </c>
      <c r="P41" s="59">
        <f t="shared" ref="P41:P48" si="11">IF(OR(H41=0,I41=0,K41=0,L41=0),(1/(H41+0.5))+(1/(I41+0.5))+(1/(K41+0.5))+(1/(L41+0.5)),(1/H41)+(1/I41)+(1/K41)+(1/L41))</f>
        <v>0.21413308913308915</v>
      </c>
      <c r="Q41" s="59">
        <f t="shared" ref="Q41:Q50" si="12">$R$67*SQRT(P41)</f>
        <v>0.90698052636959925</v>
      </c>
      <c r="R41" s="59">
        <f t="shared" ref="R41:R48" si="13">1/P41</f>
        <v>4.6699928724162509</v>
      </c>
      <c r="S41" s="59">
        <f t="shared" ref="S41:S48" si="14">O41*R41</f>
        <v>5.4765952593760803</v>
      </c>
      <c r="T41" s="59">
        <f t="shared" ref="T41:T48" si="15">R41*(O41^2)</f>
        <v>6.4225142209911237</v>
      </c>
      <c r="U41" s="59">
        <f t="shared" ref="U41:U48" si="16">R41^2</f>
        <v>21.808833428418588</v>
      </c>
      <c r="V41" s="59">
        <f t="shared" ref="V41:V50" si="17">1/((1/R41)+$I$64)</f>
        <v>1.482604083769796</v>
      </c>
      <c r="W41" s="59">
        <f t="shared" ref="W41:W48" si="18">V41*O41</f>
        <v>1.738679847814028</v>
      </c>
      <c r="AF41" s="59">
        <f t="shared" ref="AF41:AF48" si="19">IF($D$3=1,EXP(O41),O41)</f>
        <v>3.2307692307692313</v>
      </c>
      <c r="AG41" s="59">
        <f t="shared" ref="AG41:AG48" si="20">IF($D$3=1,EXP(O41+Q41)-EXP(O41),Q41)</f>
        <v>4.7713050021797034</v>
      </c>
      <c r="AH41" s="59">
        <f t="shared" ref="AH41:AH48" si="21">IF($D$3=1,EXP(O41)-EXP(O41-Q41),Q41)</f>
        <v>1.9263737054807046</v>
      </c>
      <c r="AJ41">
        <f t="shared" ref="AJ41:AJ48" si="22">SQRT(P41)</f>
        <v>0.46274516651510167</v>
      </c>
      <c r="AK41">
        <f t="shared" ref="AK41:AK50" si="23">1/AJ41</f>
        <v>2.1610166293705957</v>
      </c>
      <c r="AL41">
        <f t="shared" ref="AL41:AL48" si="24">O41/AJ41</f>
        <v>2.5342679852358003</v>
      </c>
      <c r="AN41" t="str">
        <f t="shared" ref="AN41:AN48" si="25">E41</f>
        <v>Zubenko GS</v>
      </c>
      <c r="AO41">
        <f t="shared" ref="AO41:AO48" si="26">F41</f>
        <v>1990</v>
      </c>
      <c r="AP41" t="str">
        <f t="shared" ref="AP41:AP48" si="27">CONCATENATE(AN41," ",AO41)</f>
        <v>Zubenko GS 1990</v>
      </c>
      <c r="AQ41">
        <f t="shared" ref="AQ41:AV41" si="28">H41</f>
        <v>28</v>
      </c>
      <c r="AR41">
        <f t="shared" si="28"/>
        <v>39</v>
      </c>
      <c r="AS41">
        <f t="shared" si="28"/>
        <v>67</v>
      </c>
      <c r="AT41">
        <f t="shared" si="28"/>
        <v>8</v>
      </c>
      <c r="AU41">
        <f t="shared" si="28"/>
        <v>36</v>
      </c>
      <c r="AV41">
        <f t="shared" si="28"/>
        <v>44</v>
      </c>
      <c r="AW41" s="65">
        <f t="shared" ref="AW41:AW48" si="29">O41</f>
        <v>1.1727202608218317</v>
      </c>
      <c r="AX41">
        <f t="shared" ref="AX41:AX48" si="30">SQRT(P41)</f>
        <v>0.46274516651510167</v>
      </c>
      <c r="AY41" t="str">
        <f>$F$3</f>
        <v>Odds ratio</v>
      </c>
    </row>
    <row r="42" spans="1:59">
      <c r="E42" t="str">
        <f t="shared" si="7"/>
        <v>Brown FW</v>
      </c>
      <c r="F42">
        <f t="shared" si="7"/>
        <v>1992</v>
      </c>
      <c r="G42">
        <v>9</v>
      </c>
      <c r="H42">
        <f t="shared" si="8"/>
        <v>4</v>
      </c>
      <c r="I42">
        <f t="shared" si="8"/>
        <v>24</v>
      </c>
      <c r="J42">
        <f t="shared" si="8"/>
        <v>28</v>
      </c>
      <c r="K42">
        <f t="shared" si="8"/>
        <v>12</v>
      </c>
      <c r="L42">
        <f t="shared" si="8"/>
        <v>142</v>
      </c>
      <c r="M42">
        <f t="shared" si="8"/>
        <v>154</v>
      </c>
      <c r="N42">
        <f t="shared" si="9"/>
        <v>1.9722222222222223</v>
      </c>
      <c r="O42" s="59">
        <f t="shared" si="10"/>
        <v>0.67916093858520543</v>
      </c>
      <c r="P42" s="59">
        <f t="shared" si="11"/>
        <v>0.38204225352112675</v>
      </c>
      <c r="Q42" s="59">
        <f t="shared" si="12"/>
        <v>1.2114675072517465</v>
      </c>
      <c r="R42" s="59">
        <f t="shared" si="13"/>
        <v>2.6175115207373274</v>
      </c>
      <c r="S42" s="59">
        <f t="shared" si="14"/>
        <v>1.7777115811815516</v>
      </c>
      <c r="T42" s="59">
        <f t="shared" si="15"/>
        <v>1.2073522660090523</v>
      </c>
      <c r="U42" s="59">
        <f t="shared" si="16"/>
        <v>6.851366561192636</v>
      </c>
      <c r="V42" s="59">
        <f t="shared" si="17"/>
        <v>1.187087245746159</v>
      </c>
      <c r="W42" s="59">
        <f t="shared" si="18"/>
        <v>0.80622328800348775</v>
      </c>
      <c r="AF42" s="59">
        <f t="shared" si="19"/>
        <v>1.9722222222222223</v>
      </c>
      <c r="AG42" s="59">
        <f t="shared" si="20"/>
        <v>4.6513076809261058</v>
      </c>
      <c r="AH42" s="59">
        <f t="shared" si="21"/>
        <v>1.3849733457616047</v>
      </c>
      <c r="AJ42">
        <f t="shared" si="22"/>
        <v>0.61809566696517682</v>
      </c>
      <c r="AK42">
        <f t="shared" si="23"/>
        <v>1.6178725291991725</v>
      </c>
      <c r="AL42">
        <f t="shared" si="24"/>
        <v>1.0987958254421302</v>
      </c>
      <c r="AN42" t="str">
        <f t="shared" si="25"/>
        <v>Brown FW</v>
      </c>
      <c r="AO42">
        <f t="shared" si="26"/>
        <v>1992</v>
      </c>
      <c r="AP42" t="str">
        <f t="shared" si="27"/>
        <v>Brown FW 1992</v>
      </c>
      <c r="AQ42">
        <f t="shared" ref="AQ42:AQ48" si="31">H42</f>
        <v>4</v>
      </c>
      <c r="AR42">
        <f t="shared" ref="AR42:AR48" si="32">I42</f>
        <v>24</v>
      </c>
      <c r="AS42">
        <f t="shared" ref="AS42:AS48" si="33">J42</f>
        <v>28</v>
      </c>
      <c r="AT42">
        <f t="shared" ref="AT42:AT48" si="34">K42</f>
        <v>12</v>
      </c>
      <c r="AU42">
        <f t="shared" ref="AU42:AU48" si="35">L42</f>
        <v>142</v>
      </c>
      <c r="AV42">
        <f t="shared" ref="AV42:AV48" si="36">M42</f>
        <v>154</v>
      </c>
      <c r="AW42" s="65">
        <f t="shared" si="29"/>
        <v>0.67916093858520543</v>
      </c>
      <c r="AX42">
        <f t="shared" si="30"/>
        <v>0.61809566696517682</v>
      </c>
      <c r="AY42" t="str">
        <f>$F$4</f>
        <v>Total</v>
      </c>
    </row>
    <row r="43" spans="1:59">
      <c r="E43" t="str">
        <f t="shared" si="7"/>
        <v>Guze BH</v>
      </c>
      <c r="F43">
        <f t="shared" si="7"/>
        <v>1992</v>
      </c>
      <c r="G43">
        <v>8</v>
      </c>
      <c r="H43">
        <f t="shared" si="8"/>
        <v>35</v>
      </c>
      <c r="I43">
        <f t="shared" si="8"/>
        <v>84</v>
      </c>
      <c r="J43">
        <f t="shared" si="8"/>
        <v>119</v>
      </c>
      <c r="K43">
        <f t="shared" si="8"/>
        <v>9</v>
      </c>
      <c r="L43">
        <f t="shared" si="8"/>
        <v>51</v>
      </c>
      <c r="M43">
        <f t="shared" si="8"/>
        <v>60</v>
      </c>
      <c r="N43">
        <f t="shared" si="9"/>
        <v>2.3611111111111112</v>
      </c>
      <c r="O43" s="59">
        <f t="shared" si="10"/>
        <v>0.85913231803420642</v>
      </c>
      <c r="P43" s="59">
        <f t="shared" si="11"/>
        <v>0.17119514472455649</v>
      </c>
      <c r="Q43" s="59">
        <f t="shared" si="12"/>
        <v>0.81096440610784903</v>
      </c>
      <c r="R43" s="59">
        <f t="shared" si="13"/>
        <v>5.8412871557131165</v>
      </c>
      <c r="S43" s="59">
        <f t="shared" si="14"/>
        <v>5.0184385743912463</v>
      </c>
      <c r="T43" s="59">
        <f t="shared" si="15"/>
        <v>4.3115027653290294</v>
      </c>
      <c r="U43" s="59">
        <f t="shared" si="16"/>
        <v>34.120635635499028</v>
      </c>
      <c r="V43" s="59">
        <f t="shared" si="17"/>
        <v>1.5834035062103859</v>
      </c>
      <c r="W43" s="59">
        <f t="shared" si="18"/>
        <v>1.3603531246740188</v>
      </c>
      <c r="AF43" s="59">
        <f t="shared" si="19"/>
        <v>2.3611111111111112</v>
      </c>
      <c r="AG43" s="59">
        <f t="shared" si="20"/>
        <v>2.9515705257926457</v>
      </c>
      <c r="AH43" s="59">
        <f t="shared" si="21"/>
        <v>1.3117642727296233</v>
      </c>
      <c r="AJ43">
        <f t="shared" si="22"/>
        <v>0.41375735005502501</v>
      </c>
      <c r="AK43">
        <f t="shared" si="23"/>
        <v>2.4168754944583135</v>
      </c>
      <c r="AL43">
        <f t="shared" si="24"/>
        <v>2.0764158459540396</v>
      </c>
      <c r="AN43" t="str">
        <f t="shared" si="25"/>
        <v>Guze BH</v>
      </c>
      <c r="AO43">
        <f t="shared" si="26"/>
        <v>1992</v>
      </c>
      <c r="AP43" t="str">
        <f t="shared" si="27"/>
        <v>Guze BH 1992</v>
      </c>
      <c r="AQ43">
        <f t="shared" si="31"/>
        <v>35</v>
      </c>
      <c r="AR43">
        <f t="shared" si="32"/>
        <v>84</v>
      </c>
      <c r="AS43">
        <f t="shared" si="33"/>
        <v>119</v>
      </c>
      <c r="AT43">
        <f t="shared" si="34"/>
        <v>9</v>
      </c>
      <c r="AU43">
        <f t="shared" si="35"/>
        <v>51</v>
      </c>
      <c r="AV43">
        <f t="shared" si="36"/>
        <v>60</v>
      </c>
      <c r="AW43" s="65">
        <f t="shared" si="29"/>
        <v>0.85913231803420642</v>
      </c>
      <c r="AX43">
        <f t="shared" si="30"/>
        <v>0.41375735005502501</v>
      </c>
    </row>
    <row r="44" spans="1:59">
      <c r="E44" t="str">
        <f t="shared" si="7"/>
        <v>Lesser IM</v>
      </c>
      <c r="F44">
        <f t="shared" si="7"/>
        <v>1994</v>
      </c>
      <c r="G44">
        <v>7</v>
      </c>
      <c r="H44">
        <f t="shared" si="8"/>
        <v>11</v>
      </c>
      <c r="I44">
        <f t="shared" si="8"/>
        <v>28</v>
      </c>
      <c r="J44">
        <f t="shared" si="8"/>
        <v>39</v>
      </c>
      <c r="K44">
        <f t="shared" si="8"/>
        <v>7</v>
      </c>
      <c r="L44">
        <f t="shared" si="8"/>
        <v>13</v>
      </c>
      <c r="M44">
        <f t="shared" si="8"/>
        <v>20</v>
      </c>
      <c r="N44">
        <f t="shared" si="9"/>
        <v>0.72959183673469385</v>
      </c>
      <c r="O44" s="59">
        <f t="shared" si="10"/>
        <v>-0.31527002897060996</v>
      </c>
      <c r="P44" s="59">
        <f t="shared" si="11"/>
        <v>0.34640359640359641</v>
      </c>
      <c r="Q44" s="59">
        <f t="shared" si="12"/>
        <v>1.153578803525817</v>
      </c>
      <c r="R44" s="59">
        <f t="shared" si="13"/>
        <v>2.8868060562364817</v>
      </c>
      <c r="S44" s="59">
        <f t="shared" si="14"/>
        <v>-0.91012342898220788</v>
      </c>
      <c r="T44" s="59">
        <f t="shared" si="15"/>
        <v>0.28693463982205158</v>
      </c>
      <c r="U44" s="59">
        <f t="shared" si="16"/>
        <v>8.3336492063236278</v>
      </c>
      <c r="V44" s="59">
        <f t="shared" si="17"/>
        <v>1.239526913450679</v>
      </c>
      <c r="W44" s="59">
        <f t="shared" si="18"/>
        <v>-0.39078568591344631</v>
      </c>
      <c r="AF44" s="59">
        <f t="shared" si="19"/>
        <v>0.72959183673469385</v>
      </c>
      <c r="AG44" s="59">
        <f t="shared" si="20"/>
        <v>1.5828609520958772</v>
      </c>
      <c r="AH44" s="59">
        <f t="shared" si="21"/>
        <v>0.49940151639561547</v>
      </c>
      <c r="AJ44">
        <f t="shared" si="22"/>
        <v>0.58856061404378424</v>
      </c>
      <c r="AK44">
        <f t="shared" si="23"/>
        <v>1.6990603450838591</v>
      </c>
      <c r="AL44">
        <f t="shared" si="24"/>
        <v>-0.53566280421740275</v>
      </c>
      <c r="AN44" t="str">
        <f t="shared" si="25"/>
        <v>Lesser IM</v>
      </c>
      <c r="AO44">
        <f t="shared" si="26"/>
        <v>1994</v>
      </c>
      <c r="AP44" t="str">
        <f t="shared" si="27"/>
        <v>Lesser IM 1994</v>
      </c>
      <c r="AQ44">
        <f t="shared" si="31"/>
        <v>11</v>
      </c>
      <c r="AR44">
        <f t="shared" si="32"/>
        <v>28</v>
      </c>
      <c r="AS44">
        <f t="shared" si="33"/>
        <v>39</v>
      </c>
      <c r="AT44">
        <f t="shared" si="34"/>
        <v>7</v>
      </c>
      <c r="AU44">
        <f t="shared" si="35"/>
        <v>13</v>
      </c>
      <c r="AV44">
        <f t="shared" si="36"/>
        <v>20</v>
      </c>
      <c r="AW44" s="65">
        <f t="shared" si="29"/>
        <v>-0.31527002897060996</v>
      </c>
      <c r="AX44">
        <f t="shared" si="30"/>
        <v>0.58856061404378424</v>
      </c>
    </row>
    <row r="45" spans="1:59">
      <c r="E45" t="str">
        <f t="shared" si="7"/>
        <v>Dupont RM (B)</v>
      </c>
      <c r="F45">
        <f t="shared" si="7"/>
        <v>1995</v>
      </c>
      <c r="G45">
        <v>6</v>
      </c>
      <c r="H45">
        <f t="shared" si="8"/>
        <v>9</v>
      </c>
      <c r="I45">
        <f t="shared" si="8"/>
        <v>24</v>
      </c>
      <c r="J45">
        <f t="shared" si="8"/>
        <v>33</v>
      </c>
      <c r="K45">
        <f t="shared" si="8"/>
        <v>7</v>
      </c>
      <c r="L45">
        <f t="shared" si="8"/>
        <v>25</v>
      </c>
      <c r="M45">
        <f t="shared" si="8"/>
        <v>32</v>
      </c>
      <c r="N45">
        <f t="shared" si="9"/>
        <v>1.3392857142857142</v>
      </c>
      <c r="O45" s="59">
        <f t="shared" si="10"/>
        <v>0.29213642280116114</v>
      </c>
      <c r="P45" s="59">
        <f t="shared" si="11"/>
        <v>0.33563492063492056</v>
      </c>
      <c r="Q45" s="59">
        <f t="shared" si="12"/>
        <v>1.135506543843368</v>
      </c>
      <c r="R45" s="59">
        <f t="shared" si="13"/>
        <v>2.9794277606999295</v>
      </c>
      <c r="S45" s="59">
        <f t="shared" si="14"/>
        <v>0.87039936800535134</v>
      </c>
      <c r="T45" s="59">
        <f t="shared" si="15"/>
        <v>0.25427535777747479</v>
      </c>
      <c r="U45" s="59">
        <f t="shared" si="16"/>
        <v>8.8769897812293959</v>
      </c>
      <c r="V45" s="59">
        <f t="shared" si="17"/>
        <v>1.2562960325899666</v>
      </c>
      <c r="W45" s="59">
        <f t="shared" si="18"/>
        <v>0.36700982894012379</v>
      </c>
      <c r="AF45" s="59">
        <f t="shared" si="19"/>
        <v>1.3392857142857142</v>
      </c>
      <c r="AG45" s="59">
        <f t="shared" si="20"/>
        <v>2.829575742748875</v>
      </c>
      <c r="AH45" s="59">
        <f t="shared" si="21"/>
        <v>0.9090276587048296</v>
      </c>
      <c r="AJ45">
        <f t="shared" si="22"/>
        <v>0.57934007338947346</v>
      </c>
      <c r="AK45">
        <f t="shared" si="23"/>
        <v>1.7261018975425322</v>
      </c>
      <c r="AL45">
        <f t="shared" si="24"/>
        <v>0.50425723373837172</v>
      </c>
      <c r="AN45" t="str">
        <f t="shared" si="25"/>
        <v>Dupont RM (B)</v>
      </c>
      <c r="AO45">
        <f t="shared" si="26"/>
        <v>1995</v>
      </c>
      <c r="AP45" t="str">
        <f t="shared" si="27"/>
        <v>Dupont RM (B) 1995</v>
      </c>
      <c r="AQ45">
        <f t="shared" si="31"/>
        <v>9</v>
      </c>
      <c r="AR45">
        <f t="shared" si="32"/>
        <v>24</v>
      </c>
      <c r="AS45">
        <f t="shared" si="33"/>
        <v>33</v>
      </c>
      <c r="AT45">
        <f t="shared" si="34"/>
        <v>7</v>
      </c>
      <c r="AU45">
        <f t="shared" si="35"/>
        <v>25</v>
      </c>
      <c r="AV45">
        <f t="shared" si="36"/>
        <v>32</v>
      </c>
      <c r="AW45" s="65">
        <f t="shared" si="29"/>
        <v>0.29213642280116114</v>
      </c>
      <c r="AX45">
        <f t="shared" si="30"/>
        <v>0.57934007338947346</v>
      </c>
    </row>
    <row r="46" spans="1:59">
      <c r="E46" t="str">
        <f t="shared" ref="E46:F50" si="37">E29</f>
        <v>Agid R</v>
      </c>
      <c r="F46">
        <f t="shared" si="37"/>
        <v>2003</v>
      </c>
      <c r="G46">
        <v>5</v>
      </c>
      <c r="H46">
        <f t="shared" ref="H46:M48" si="38">L29</f>
        <v>26</v>
      </c>
      <c r="I46">
        <f t="shared" si="38"/>
        <v>11</v>
      </c>
      <c r="J46">
        <f t="shared" si="38"/>
        <v>37</v>
      </c>
      <c r="K46">
        <f t="shared" si="38"/>
        <v>7</v>
      </c>
      <c r="L46">
        <f t="shared" si="38"/>
        <v>20</v>
      </c>
      <c r="M46">
        <f t="shared" si="38"/>
        <v>27</v>
      </c>
      <c r="N46">
        <f t="shared" si="9"/>
        <v>6.7532467532467528</v>
      </c>
      <c r="O46" s="59">
        <f t="shared" si="10"/>
        <v>1.9100233897217891</v>
      </c>
      <c r="P46" s="59">
        <f t="shared" si="11"/>
        <v>0.32222777222777221</v>
      </c>
      <c r="Q46" s="59">
        <f t="shared" si="12"/>
        <v>1.1125961575478363</v>
      </c>
      <c r="R46" s="59">
        <f t="shared" si="13"/>
        <v>3.1033948225081383</v>
      </c>
      <c r="S46" s="59">
        <f t="shared" si="14"/>
        <v>5.9275566985320438</v>
      </c>
      <c r="T46" s="59">
        <f t="shared" si="15"/>
        <v>11.321771938098273</v>
      </c>
      <c r="U46" s="59">
        <f t="shared" si="16"/>
        <v>9.6310594243703189</v>
      </c>
      <c r="V46" s="59">
        <f t="shared" si="17"/>
        <v>1.2778187781231161</v>
      </c>
      <c r="W46" s="59">
        <f t="shared" si="18"/>
        <v>2.4406637540408687</v>
      </c>
      <c r="AF46" s="59">
        <f t="shared" si="19"/>
        <v>6.7532467532467528</v>
      </c>
      <c r="AG46" s="59">
        <f t="shared" si="20"/>
        <v>13.79179320546632</v>
      </c>
      <c r="AH46" s="59">
        <f t="shared" si="21"/>
        <v>4.5334242655861079</v>
      </c>
      <c r="AJ46">
        <f t="shared" si="22"/>
        <v>0.56765110078971237</v>
      </c>
      <c r="AK46">
        <f t="shared" si="23"/>
        <v>1.761645487181839</v>
      </c>
      <c r="AL46">
        <f t="shared" si="24"/>
        <v>3.3647840849151485</v>
      </c>
      <c r="AN46" t="str">
        <f t="shared" si="25"/>
        <v>Agid R</v>
      </c>
      <c r="AO46">
        <f t="shared" si="26"/>
        <v>2003</v>
      </c>
      <c r="AP46" t="str">
        <f t="shared" si="27"/>
        <v>Agid R 2003</v>
      </c>
      <c r="AQ46">
        <f t="shared" si="31"/>
        <v>26</v>
      </c>
      <c r="AR46">
        <f t="shared" si="32"/>
        <v>11</v>
      </c>
      <c r="AS46">
        <f t="shared" si="33"/>
        <v>37</v>
      </c>
      <c r="AT46">
        <f t="shared" si="34"/>
        <v>7</v>
      </c>
      <c r="AU46">
        <f t="shared" si="35"/>
        <v>20</v>
      </c>
      <c r="AV46">
        <f t="shared" si="36"/>
        <v>27</v>
      </c>
      <c r="AW46" s="65">
        <f t="shared" si="29"/>
        <v>1.9100233897217891</v>
      </c>
      <c r="AX46">
        <f t="shared" si="30"/>
        <v>0.56765110078971237</v>
      </c>
    </row>
    <row r="47" spans="1:59">
      <c r="E47" t="str">
        <f t="shared" si="37"/>
        <v>Sassi RB</v>
      </c>
      <c r="F47">
        <f t="shared" si="37"/>
        <v>2003</v>
      </c>
      <c r="G47">
        <v>4</v>
      </c>
      <c r="H47">
        <f t="shared" si="38"/>
        <v>7</v>
      </c>
      <c r="I47">
        <f t="shared" si="38"/>
        <v>11</v>
      </c>
      <c r="J47">
        <f t="shared" si="38"/>
        <v>18</v>
      </c>
      <c r="K47">
        <f t="shared" si="38"/>
        <v>22</v>
      </c>
      <c r="L47">
        <f t="shared" si="38"/>
        <v>16</v>
      </c>
      <c r="M47">
        <f t="shared" si="38"/>
        <v>38</v>
      </c>
      <c r="N47">
        <f t="shared" si="9"/>
        <v>0.46280991735537191</v>
      </c>
      <c r="O47" s="59">
        <f t="shared" si="10"/>
        <v>-0.7704388548615918</v>
      </c>
      <c r="P47" s="59">
        <f t="shared" si="11"/>
        <v>0.3417207792207792</v>
      </c>
      <c r="Q47" s="59">
        <f t="shared" si="12"/>
        <v>1.1457550110972874</v>
      </c>
      <c r="R47" s="59">
        <f t="shared" si="13"/>
        <v>2.9263657957244655</v>
      </c>
      <c r="S47" s="59">
        <f t="shared" si="14"/>
        <v>-2.2545859125640879</v>
      </c>
      <c r="T47" s="59">
        <f t="shared" si="15"/>
        <v>1.7370205886629531</v>
      </c>
      <c r="U47" s="59">
        <f t="shared" si="16"/>
        <v>8.5636167703860835</v>
      </c>
      <c r="V47" s="59">
        <f t="shared" si="17"/>
        <v>1.2467637259806508</v>
      </c>
      <c r="W47" s="59">
        <f t="shared" si="18"/>
        <v>-0.96055521732750404</v>
      </c>
      <c r="AF47" s="59">
        <f t="shared" si="19"/>
        <v>0.46280991735537191</v>
      </c>
      <c r="AG47" s="59">
        <f t="shared" si="20"/>
        <v>0.99264157459577107</v>
      </c>
      <c r="AH47" s="59">
        <f t="shared" si="21"/>
        <v>0.31564388620489758</v>
      </c>
      <c r="AJ47">
        <f t="shared" si="22"/>
        <v>0.58456888321290179</v>
      </c>
      <c r="AK47">
        <f t="shared" si="23"/>
        <v>1.7106623850790856</v>
      </c>
      <c r="AL47">
        <f t="shared" si="24"/>
        <v>-1.31796076901513</v>
      </c>
      <c r="AN47" t="str">
        <f t="shared" si="25"/>
        <v>Sassi RB</v>
      </c>
      <c r="AO47">
        <f t="shared" si="26"/>
        <v>2003</v>
      </c>
      <c r="AP47" t="str">
        <f t="shared" si="27"/>
        <v>Sassi RB 2003</v>
      </c>
      <c r="AQ47">
        <f t="shared" si="31"/>
        <v>7</v>
      </c>
      <c r="AR47">
        <f t="shared" si="32"/>
        <v>11</v>
      </c>
      <c r="AS47">
        <f t="shared" si="33"/>
        <v>18</v>
      </c>
      <c r="AT47">
        <f t="shared" si="34"/>
        <v>22</v>
      </c>
      <c r="AU47">
        <f t="shared" si="35"/>
        <v>16</v>
      </c>
      <c r="AV47">
        <f t="shared" si="36"/>
        <v>38</v>
      </c>
      <c r="AW47" s="65">
        <f t="shared" si="29"/>
        <v>-0.7704388548615918</v>
      </c>
      <c r="AX47">
        <f t="shared" si="30"/>
        <v>0.58456888321290179</v>
      </c>
    </row>
    <row r="48" spans="1:59">
      <c r="E48" t="str">
        <f t="shared" si="37"/>
        <v>Chen CS</v>
      </c>
      <c r="F48">
        <f t="shared" si="37"/>
        <v>2005</v>
      </c>
      <c r="G48">
        <v>3</v>
      </c>
      <c r="H48">
        <f t="shared" si="38"/>
        <v>27</v>
      </c>
      <c r="I48">
        <f t="shared" si="38"/>
        <v>12</v>
      </c>
      <c r="J48">
        <f t="shared" si="38"/>
        <v>39</v>
      </c>
      <c r="K48">
        <f t="shared" si="38"/>
        <v>7</v>
      </c>
      <c r="L48">
        <f t="shared" si="38"/>
        <v>13</v>
      </c>
      <c r="M48">
        <f t="shared" si="38"/>
        <v>20</v>
      </c>
      <c r="N48">
        <f t="shared" si="9"/>
        <v>4.1785714285714288</v>
      </c>
      <c r="O48" s="59">
        <f t="shared" si="10"/>
        <v>1.4299694246225523</v>
      </c>
      <c r="P48" s="59">
        <f t="shared" si="11"/>
        <v>0.34015059015059013</v>
      </c>
      <c r="Q48" s="59">
        <f t="shared" si="12"/>
        <v>1.1431196381492652</v>
      </c>
      <c r="R48" s="59">
        <f t="shared" si="13"/>
        <v>2.9398743643434044</v>
      </c>
      <c r="S48" s="59">
        <f t="shared" si="14"/>
        <v>4.2039304532427293</v>
      </c>
      <c r="T48" s="59">
        <f t="shared" si="15"/>
        <v>6.0114920113767312</v>
      </c>
      <c r="U48" s="59">
        <f t="shared" si="16"/>
        <v>8.6428612781235366</v>
      </c>
      <c r="V48" s="59">
        <f t="shared" si="17"/>
        <v>1.2492092464276974</v>
      </c>
      <c r="W48" s="59">
        <f t="shared" si="18"/>
        <v>1.7863310273473865</v>
      </c>
      <c r="AF48" s="59">
        <f t="shared" si="19"/>
        <v>4.1785714285714288</v>
      </c>
      <c r="AG48" s="59">
        <f t="shared" si="20"/>
        <v>8.927676567531913</v>
      </c>
      <c r="AH48" s="59">
        <f t="shared" si="21"/>
        <v>2.8463473482042105</v>
      </c>
      <c r="AJ48">
        <f t="shared" si="22"/>
        <v>0.58322430517819657</v>
      </c>
      <c r="AK48">
        <f t="shared" si="23"/>
        <v>1.7146061834553741</v>
      </c>
      <c r="AL48">
        <f t="shared" si="24"/>
        <v>2.4518344176099518</v>
      </c>
      <c r="AN48" t="str">
        <f t="shared" si="25"/>
        <v>Chen CS</v>
      </c>
      <c r="AO48">
        <f t="shared" si="26"/>
        <v>2005</v>
      </c>
      <c r="AP48" t="str">
        <f t="shared" si="27"/>
        <v>Chen CS 2005</v>
      </c>
      <c r="AQ48">
        <f t="shared" si="31"/>
        <v>27</v>
      </c>
      <c r="AR48">
        <f t="shared" si="32"/>
        <v>12</v>
      </c>
      <c r="AS48">
        <f t="shared" si="33"/>
        <v>39</v>
      </c>
      <c r="AT48">
        <f t="shared" si="34"/>
        <v>7</v>
      </c>
      <c r="AU48">
        <f t="shared" si="35"/>
        <v>13</v>
      </c>
      <c r="AV48">
        <f t="shared" si="36"/>
        <v>20</v>
      </c>
      <c r="AW48" s="65">
        <f t="shared" si="29"/>
        <v>1.4299694246225523</v>
      </c>
      <c r="AX48">
        <f t="shared" si="30"/>
        <v>0.58322430517819657</v>
      </c>
    </row>
    <row r="49" spans="5:50">
      <c r="E49" t="str">
        <f t="shared" si="37"/>
        <v>Iosifescu DV</v>
      </c>
      <c r="F49">
        <f t="shared" si="37"/>
        <v>2006</v>
      </c>
      <c r="G49">
        <v>2</v>
      </c>
      <c r="H49">
        <f t="shared" ref="H49:M50" si="39">L32</f>
        <v>51</v>
      </c>
      <c r="I49">
        <f t="shared" si="39"/>
        <v>33</v>
      </c>
      <c r="J49">
        <f t="shared" si="39"/>
        <v>84</v>
      </c>
      <c r="K49">
        <f t="shared" si="39"/>
        <v>21</v>
      </c>
      <c r="L49">
        <f t="shared" si="39"/>
        <v>14</v>
      </c>
      <c r="M49">
        <f t="shared" si="39"/>
        <v>35</v>
      </c>
      <c r="N49">
        <f>IF(OR(H49=0,I49=0,K49=0,L49=0),((H49+0.5)*(L49+0.5))/((I49+0.5)*(K49+0.5)),((H49)*(L49))/((I49)*(K49)))</f>
        <v>1.0303030303030303</v>
      </c>
      <c r="O49" s="59">
        <f t="shared" si="10"/>
        <v>2.9852963149681128E-2</v>
      </c>
      <c r="P49" s="59">
        <f>IF(OR(H49=0,I49=0,K49=0,L49=0),(1/(H49+0.5))+(1/(I49+0.5))+(1/(K49+0.5))+(1/(L49+0.5)),(1/H49)+(1/I49)+(1/K49)+(1/L49))</f>
        <v>0.16895849248790423</v>
      </c>
      <c r="Q49" s="59">
        <f t="shared" si="12"/>
        <v>0.80564939318634932</v>
      </c>
      <c r="R49" s="59">
        <f>1/P49</f>
        <v>5.918613413715148</v>
      </c>
      <c r="S49" s="59">
        <f>O49*R49</f>
        <v>0.17668814813684675</v>
      </c>
      <c r="T49" s="59">
        <f>R49*(O49^2)</f>
        <v>5.2746647753146867E-3</v>
      </c>
      <c r="U49" s="59">
        <f>R49^2</f>
        <v>35.029984741008882</v>
      </c>
      <c r="V49" s="59">
        <f t="shared" si="17"/>
        <v>1.5890310963758871</v>
      </c>
      <c r="W49" s="59">
        <f>V49*O49</f>
        <v>4.7437286763806763E-2</v>
      </c>
      <c r="AF49" s="59">
        <f>IF($D$3=1,EXP(O49),O49)</f>
        <v>1.0303030303030303</v>
      </c>
      <c r="AG49" s="59">
        <f>IF($D$3=1,EXP(O49+Q49)-EXP(O49),Q49)</f>
        <v>1.2756691467968291</v>
      </c>
      <c r="AH49" s="59">
        <f>IF($D$3=1,EXP(O49)-EXP(O49-Q49),Q49)</f>
        <v>0.56996602155965115</v>
      </c>
      <c r="AJ49">
        <f>SQRT(P49)</f>
        <v>0.41104560876854557</v>
      </c>
      <c r="AK49">
        <f t="shared" si="23"/>
        <v>2.4328200537062226</v>
      </c>
      <c r="AL49">
        <f>O49/AJ49</f>
        <v>7.2626887413097127E-2</v>
      </c>
      <c r="AN49" t="str">
        <f>E49</f>
        <v>Iosifescu DV</v>
      </c>
      <c r="AO49">
        <f>F49</f>
        <v>2006</v>
      </c>
      <c r="AP49" t="str">
        <f>CONCATENATE(AN49," ",AO49)</f>
        <v>Iosifescu DV 2006</v>
      </c>
      <c r="AQ49">
        <f t="shared" ref="AQ49:AV50" si="40">H49</f>
        <v>51</v>
      </c>
      <c r="AR49">
        <f t="shared" si="40"/>
        <v>33</v>
      </c>
      <c r="AS49">
        <f t="shared" si="40"/>
        <v>84</v>
      </c>
      <c r="AT49">
        <f t="shared" si="40"/>
        <v>21</v>
      </c>
      <c r="AU49">
        <f t="shared" si="40"/>
        <v>14</v>
      </c>
      <c r="AV49">
        <f t="shared" si="40"/>
        <v>35</v>
      </c>
      <c r="AW49" s="65">
        <f>O49</f>
        <v>2.9852963149681128E-2</v>
      </c>
      <c r="AX49">
        <f>SQRT(P49)</f>
        <v>0.41104560876854557</v>
      </c>
    </row>
    <row r="50" spans="5:50">
      <c r="E50" t="str">
        <f t="shared" si="37"/>
        <v>Zanetti MV</v>
      </c>
      <c r="F50">
        <f t="shared" si="37"/>
        <v>2008</v>
      </c>
      <c r="G50">
        <v>1</v>
      </c>
      <c r="H50">
        <f t="shared" si="39"/>
        <v>5</v>
      </c>
      <c r="I50">
        <f t="shared" si="39"/>
        <v>23</v>
      </c>
      <c r="J50">
        <f t="shared" si="39"/>
        <v>28</v>
      </c>
      <c r="K50">
        <f t="shared" si="39"/>
        <v>30</v>
      </c>
      <c r="L50">
        <f t="shared" si="39"/>
        <v>72</v>
      </c>
      <c r="M50">
        <f t="shared" si="39"/>
        <v>102</v>
      </c>
      <c r="N50">
        <f>IF(OR(H50=0,I50=0,K50=0,L50=0),((H50+0.5)*(L50+0.5))/((I50+0.5)*(K50+0.5)),((H50)*(L50))/((I50)*(K50)))</f>
        <v>0.52173913043478259</v>
      </c>
      <c r="O50" s="59">
        <f t="shared" si="10"/>
        <v>-0.65058756614114943</v>
      </c>
      <c r="P50" s="59">
        <f>IF(OR(H50=0,I50=0,K50=0,L50=0),(1/(H50+0.5))+(1/(I50+0.5))+(1/(K50+0.5))+(1/(L50+0.5)),(1/H50)+(1/I50)+(1/K50)+(1/L50))</f>
        <v>0.29070048309178748</v>
      </c>
      <c r="Q50" s="59">
        <f t="shared" si="12"/>
        <v>1.0567662825078263</v>
      </c>
      <c r="R50" s="59">
        <f>1/P50</f>
        <v>3.4399667636061482</v>
      </c>
      <c r="S50" s="59">
        <f>O50*R50</f>
        <v>-2.2379996043409709</v>
      </c>
      <c r="T50" s="59">
        <f>R50*(O50^2)</f>
        <v>1.4560147156130476</v>
      </c>
      <c r="U50" s="59">
        <f>R50^2</f>
        <v>11.833371334714958</v>
      </c>
      <c r="V50" s="59">
        <f t="shared" si="17"/>
        <v>1.3314581155714611</v>
      </c>
      <c r="W50" s="59">
        <f>V50*O50</f>
        <v>-0.86623009482851809</v>
      </c>
      <c r="AF50" s="59">
        <f>IF($D$3=1,EXP(O50),O50)</f>
        <v>0.52173913043478259</v>
      </c>
      <c r="AG50" s="59">
        <f>IF($D$3=1,EXP(O50+Q50)-EXP(O50),Q50)</f>
        <v>0.97933166397141125</v>
      </c>
      <c r="AH50" s="59">
        <f>IF($D$3=1,EXP(O50)-EXP(O50-Q50),Q50)</f>
        <v>0.34039410577555135</v>
      </c>
      <c r="AJ50">
        <f>SQRT(P50)</f>
        <v>0.53916647066725831</v>
      </c>
      <c r="AK50">
        <f t="shared" si="23"/>
        <v>1.8547147391461976</v>
      </c>
      <c r="AL50">
        <f>O50/AJ50</f>
        <v>-1.2066543480272416</v>
      </c>
      <c r="AN50" t="str">
        <f>E50</f>
        <v>Zanetti MV</v>
      </c>
      <c r="AO50">
        <f>F50</f>
        <v>2008</v>
      </c>
      <c r="AP50" t="str">
        <f>CONCATENATE(AN50," ",AO50)</f>
        <v>Zanetti MV 2008</v>
      </c>
      <c r="AQ50">
        <f t="shared" si="40"/>
        <v>5</v>
      </c>
      <c r="AR50">
        <f t="shared" si="40"/>
        <v>23</v>
      </c>
      <c r="AS50">
        <f t="shared" si="40"/>
        <v>28</v>
      </c>
      <c r="AT50">
        <f t="shared" si="40"/>
        <v>30</v>
      </c>
      <c r="AU50">
        <f t="shared" si="40"/>
        <v>72</v>
      </c>
      <c r="AV50">
        <f t="shared" si="40"/>
        <v>102</v>
      </c>
      <c r="AW50" s="65">
        <f>O50</f>
        <v>-0.65058756614114943</v>
      </c>
      <c r="AX50">
        <f>SQRT(P50)</f>
        <v>0.53916647066725831</v>
      </c>
    </row>
    <row r="52" spans="5:50">
      <c r="L52" t="s">
        <v>500</v>
      </c>
      <c r="N52" s="7"/>
      <c r="O52" s="66">
        <f>COUNT(O41:O50)</f>
        <v>10</v>
      </c>
      <c r="Q52" t="s">
        <v>885</v>
      </c>
      <c r="R52" s="59">
        <f t="shared" ref="R52:W52" si="41">SUM(R41:R50)</f>
        <v>37.323240525700413</v>
      </c>
      <c r="S52" s="59">
        <f t="shared" si="41"/>
        <v>18.048611136978582</v>
      </c>
      <c r="T52" s="59">
        <f t="shared" si="41"/>
        <v>33.014153168455053</v>
      </c>
      <c r="U52" s="59">
        <f t="shared" si="41"/>
        <v>153.69236816126707</v>
      </c>
      <c r="V52" s="59">
        <f t="shared" si="41"/>
        <v>13.443198744245802</v>
      </c>
      <c r="W52" s="59">
        <f t="shared" si="41"/>
        <v>6.3291271595142522</v>
      </c>
    </row>
    <row r="53" spans="5:50">
      <c r="L53" t="s">
        <v>501</v>
      </c>
      <c r="N53" s="7"/>
      <c r="O53" s="2">
        <v>0</v>
      </c>
    </row>
    <row r="54" spans="5:50">
      <c r="N54" s="7"/>
      <c r="O54" s="7"/>
    </row>
    <row r="55" spans="5:50">
      <c r="G55" s="67" t="s">
        <v>502</v>
      </c>
      <c r="H55" s="40"/>
      <c r="I55" s="40">
        <f>S52/R52</f>
        <v>0.48357567249688538</v>
      </c>
      <c r="J55" s="40"/>
      <c r="K55" s="68" t="s">
        <v>879</v>
      </c>
      <c r="L55" s="40"/>
      <c r="M55" s="42"/>
      <c r="N55" s="7"/>
      <c r="O55" s="69" t="s">
        <v>503</v>
      </c>
      <c r="P55" s="70">
        <f>T52-((S52^2)/R52)</f>
        <v>24.28628390025586</v>
      </c>
      <c r="Q55" s="71" t="s">
        <v>824</v>
      </c>
      <c r="R55" s="28"/>
      <c r="S55" s="29"/>
      <c r="T55" s="30"/>
      <c r="U55" s="31"/>
      <c r="AF55" s="2" t="s">
        <v>1518</v>
      </c>
    </row>
    <row r="56" spans="5:50">
      <c r="G56" s="43" t="s">
        <v>504</v>
      </c>
      <c r="H56" s="31"/>
      <c r="I56" s="31">
        <f>1/R52</f>
        <v>2.6792957575894567E-2</v>
      </c>
      <c r="J56" s="31"/>
      <c r="K56" s="31"/>
      <c r="L56" s="31"/>
      <c r="M56" s="44"/>
      <c r="N56" s="7"/>
      <c r="O56" s="30" t="s">
        <v>505</v>
      </c>
      <c r="P56" s="31">
        <f>CHIDIST(P55,I60-1)</f>
        <v>3.8709256721287063E-3</v>
      </c>
      <c r="Q56" s="31"/>
      <c r="R56" s="31"/>
      <c r="S56" s="34"/>
      <c r="T56" s="30"/>
      <c r="U56" s="31"/>
      <c r="AF56" s="2"/>
    </row>
    <row r="57" spans="5:50">
      <c r="G57" s="72" t="s">
        <v>506</v>
      </c>
      <c r="H57" s="31"/>
      <c r="I57" s="31">
        <f>1.96*SQRT(I56)</f>
        <v>0.32082366780453803</v>
      </c>
      <c r="J57" s="31"/>
      <c r="K57" s="31" t="s">
        <v>507</v>
      </c>
      <c r="L57" s="31"/>
      <c r="M57" s="44">
        <f>ABS(I55/SQRT(I56))</f>
        <v>2.9542967468078074</v>
      </c>
      <c r="N57" s="7"/>
      <c r="O57" s="35" t="s">
        <v>508</v>
      </c>
      <c r="P57" s="37">
        <f>IF(((P55-(I60-1))/P55)&lt;0,0,100*((P55-(I60-1))/P55))</f>
        <v>62.942045654398434</v>
      </c>
      <c r="Q57" s="36"/>
      <c r="R57" s="36"/>
      <c r="S57" s="38"/>
      <c r="T57" s="30"/>
      <c r="U57" s="31"/>
      <c r="AF57" s="2" t="s">
        <v>1535</v>
      </c>
      <c r="AH57">
        <f>IF($D$3=1,EXP(I55),I55)</f>
        <v>1.6218632984164474</v>
      </c>
    </row>
    <row r="58" spans="5:50">
      <c r="G58" s="45" t="s">
        <v>509</v>
      </c>
      <c r="H58" s="46"/>
      <c r="I58" s="46">
        <v>-2</v>
      </c>
      <c r="J58" s="46"/>
      <c r="K58" s="46" t="s">
        <v>825</v>
      </c>
      <c r="L58" s="46"/>
      <c r="M58" s="47">
        <f>2*(1-NORMDIST(M57,0,1,1))</f>
        <v>3.1338250814769708E-3</v>
      </c>
      <c r="N58" s="7"/>
      <c r="O58" s="7"/>
      <c r="AF58" s="79" t="s">
        <v>834</v>
      </c>
      <c r="AH58">
        <f>IF($D$3=1,EXP(I55+I57)-EXP(I55),I57)</f>
        <v>0.61349011036915968</v>
      </c>
    </row>
    <row r="59" spans="5:50">
      <c r="G59" s="40"/>
      <c r="H59" s="40"/>
      <c r="I59" s="40"/>
      <c r="J59" s="40"/>
      <c r="K59" s="40"/>
      <c r="L59" s="40"/>
      <c r="M59" s="40"/>
      <c r="N59" s="7"/>
      <c r="O59" s="7"/>
      <c r="AF59" s="79" t="s">
        <v>835</v>
      </c>
      <c r="AH59">
        <f>IF($D$3=1,EXP(I55)-EXP(I55-I57),I57)</f>
        <v>0.44511847211208733</v>
      </c>
    </row>
    <row r="60" spans="5:50">
      <c r="G60" s="73" t="s">
        <v>1110</v>
      </c>
      <c r="H60" s="74"/>
      <c r="I60" s="74">
        <f>O52</f>
        <v>10</v>
      </c>
      <c r="J60" s="74"/>
      <c r="K60" s="75" t="s">
        <v>1167</v>
      </c>
      <c r="L60" s="74"/>
      <c r="M60" s="76"/>
      <c r="N60" s="77"/>
      <c r="O60" s="101" t="s">
        <v>1513</v>
      </c>
      <c r="P60" s="102"/>
      <c r="Q60" s="103"/>
      <c r="AF60" s="7"/>
    </row>
    <row r="61" spans="5:50">
      <c r="G61" s="77" t="s">
        <v>1531</v>
      </c>
      <c r="H61" s="31"/>
      <c r="I61" s="31">
        <f>R52/I60</f>
        <v>3.7323240525700414</v>
      </c>
      <c r="J61" s="31"/>
      <c r="K61" s="31"/>
      <c r="L61" s="31"/>
      <c r="M61" s="78"/>
      <c r="N61" s="77"/>
      <c r="O61" s="104" t="s">
        <v>1514</v>
      </c>
      <c r="P61" s="31"/>
      <c r="Q61" s="105">
        <f>INDEX(LINEST(AL41:AL50,AK41:AK50,TRUE,TRUE),1,2)</f>
        <v>-0.83055660437121726</v>
      </c>
      <c r="AF61" s="2" t="s">
        <v>1687</v>
      </c>
      <c r="AH61">
        <f>IF($D$3=1,EXP(I66),I66)</f>
        <v>1.6012829423195156</v>
      </c>
    </row>
    <row r="62" spans="5:50">
      <c r="G62" s="77" t="s">
        <v>1532</v>
      </c>
      <c r="H62" s="31"/>
      <c r="I62" s="31">
        <f>(1/(I60-1))*(U52-(I60*I61^2))</f>
        <v>1.598882203037612</v>
      </c>
      <c r="J62" s="31"/>
      <c r="K62" s="31"/>
      <c r="L62" s="31"/>
      <c r="M62" s="78"/>
      <c r="N62" s="77"/>
      <c r="O62" s="104" t="s">
        <v>1516</v>
      </c>
      <c r="P62" s="31"/>
      <c r="Q62" s="105">
        <f>INDEX(LINEST(AL41:AL50,AK41:AK50,TRUE,TRUE),2,2)</f>
        <v>3.6180517406525974</v>
      </c>
      <c r="AF62" s="79" t="s">
        <v>834</v>
      </c>
      <c r="AG62" s="7"/>
      <c r="AH62">
        <f>IF($D$3=1,EXP(I66+I68)-EXP(I66),I68)</f>
        <v>1.1316499919754794</v>
      </c>
    </row>
    <row r="63" spans="5:50">
      <c r="G63" s="77" t="s">
        <v>1669</v>
      </c>
      <c r="H63" s="31"/>
      <c r="I63" s="31">
        <f>(I60-1)*(I61-(I62/(I60*I61)))</f>
        <v>33.205367425816817</v>
      </c>
      <c r="J63" s="31"/>
      <c r="K63" s="31"/>
      <c r="L63" s="31"/>
      <c r="M63" s="78"/>
      <c r="N63" s="77"/>
      <c r="O63" s="104" t="s">
        <v>1349</v>
      </c>
      <c r="P63" s="31"/>
      <c r="Q63" s="105">
        <f>ABS(Q61/Q62)</f>
        <v>0.22955907319927038</v>
      </c>
      <c r="AF63" s="79" t="s">
        <v>835</v>
      </c>
      <c r="AH63">
        <f>IF($D$3=1,EXP(I66)-EXP(I66-I68),I68)</f>
        <v>0.66305755479280037</v>
      </c>
    </row>
    <row r="64" spans="5:50">
      <c r="G64" s="77" t="s">
        <v>1685</v>
      </c>
      <c r="H64" s="31"/>
      <c r="I64" s="31">
        <f>IF(P55&gt;(I60-1),(P55-(I60-1))/I63,0)</f>
        <v>0.46035581248743956</v>
      </c>
      <c r="J64" s="31"/>
      <c r="K64" s="31"/>
      <c r="L64" s="31"/>
      <c r="M64" s="78"/>
      <c r="N64" s="77"/>
      <c r="O64" s="106" t="s">
        <v>1515</v>
      </c>
      <c r="P64" s="107"/>
      <c r="Q64" s="108">
        <f>TDIST(Q63,I60-2,2)</f>
        <v>0.8241948231581292</v>
      </c>
    </row>
    <row r="65" spans="7:18">
      <c r="G65" s="77"/>
      <c r="H65" s="31"/>
      <c r="I65" s="31"/>
      <c r="J65" s="31"/>
      <c r="K65" s="31"/>
      <c r="L65" s="31"/>
      <c r="M65" s="78"/>
      <c r="N65" s="77"/>
    </row>
    <row r="66" spans="7:18">
      <c r="G66" s="77" t="s">
        <v>1686</v>
      </c>
      <c r="H66" s="31"/>
      <c r="I66" s="31">
        <f>W52/V52</f>
        <v>0.47080514689432518</v>
      </c>
      <c r="J66" s="31"/>
      <c r="N66" s="77"/>
    </row>
    <row r="67" spans="7:18">
      <c r="G67" s="77" t="s">
        <v>504</v>
      </c>
      <c r="H67" s="31"/>
      <c r="I67" s="31">
        <f>1/V52</f>
        <v>7.4387057650846522E-2</v>
      </c>
      <c r="J67" s="31"/>
      <c r="N67" s="77"/>
      <c r="O67" t="s">
        <v>805</v>
      </c>
      <c r="R67">
        <v>1.96</v>
      </c>
    </row>
    <row r="68" spans="7:18">
      <c r="G68" s="80" t="s">
        <v>506</v>
      </c>
      <c r="H68" s="31"/>
      <c r="I68" s="31">
        <f>1.96*SQRT(I67)</f>
        <v>0.53457022052438719</v>
      </c>
      <c r="J68" s="31"/>
      <c r="K68" s="31" t="s">
        <v>507</v>
      </c>
      <c r="L68" s="31"/>
      <c r="M68" s="78">
        <f>ABS(I66/(SQRT(I67)))</f>
        <v>1.7262055619328687</v>
      </c>
      <c r="N68" s="77"/>
    </row>
    <row r="69" spans="7:18">
      <c r="G69" s="81" t="s">
        <v>509</v>
      </c>
      <c r="H69" s="82"/>
      <c r="I69" s="82">
        <v>-3</v>
      </c>
      <c r="J69" s="82"/>
      <c r="K69" s="31" t="s">
        <v>825</v>
      </c>
      <c r="L69" s="31"/>
      <c r="M69" s="78">
        <f>2*(1-NORMDIST(M68,0,1,1))</f>
        <v>8.4310437791760728E-2</v>
      </c>
      <c r="N69" s="77"/>
      <c r="O69" s="7"/>
    </row>
    <row r="70" spans="7:18">
      <c r="G70" s="74"/>
      <c r="H70" s="74"/>
      <c r="I70" s="74"/>
      <c r="J70" s="74"/>
      <c r="K70" s="74"/>
      <c r="L70" s="74"/>
      <c r="M70" s="74"/>
      <c r="N70" s="31"/>
      <c r="O70" s="7"/>
    </row>
  </sheetData>
  <phoneticPr fontId="10" type="noConversion"/>
  <conditionalFormatting sqref="D13 F13 D17">
    <cfRule type="cellIs" dxfId="18" priority="0" stopIfTrue="1" operator="lessThan">
      <formula>0.05</formula>
    </cfRule>
  </conditionalFormatting>
  <conditionalFormatting sqref="D21">
    <cfRule type="cellIs" dxfId="17" priority="0" stopIfTrue="1" operator="lessThan">
      <formula>0.05</formula>
    </cfRule>
  </conditionalFormatting>
  <hyperlinks>
    <hyperlink ref="F1" location="Summary!A1" display="Summary"/>
  </hyperlinks>
  <pageMargins left="0.75" right="0.75" top="1" bottom="1" header="0.5" footer="0.5"/>
  <pageSetup paperSize="9" orientation="portrait" r:id="rId1"/>
  <drawing r:id="rId2"/>
  <extLst>
    <ext xmlns:mx="http://schemas.microsoft.com/office/mac/excel/2008/main" uri="http://schemas.microsoft.com/office/mac/excel/2008/main">
      <mx:PLV Mode="0" OnePage="0" WScale="0"/>
    </ext>
  </extLst>
</worksheet>
</file>

<file path=xl/worksheets/sheet71.xml><?xml version="1.0" encoding="utf-8"?>
<worksheet xmlns="http://schemas.openxmlformats.org/spreadsheetml/2006/main" xmlns:r="http://schemas.openxmlformats.org/officeDocument/2006/relationships">
  <sheetPr published="0" codeName="Sheet56" enableFormatConditionsCalculation="0"/>
  <dimension ref="A1:BK7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6640625" customWidth="1"/>
    <col min="7" max="23" width="5.6640625" customWidth="1"/>
    <col min="24" max="24" width="9.6640625" customWidth="1"/>
    <col min="25" max="25" width="7.33203125" customWidth="1"/>
    <col min="26" max="55" width="5.6640625" customWidth="1"/>
  </cols>
  <sheetData>
    <row r="1" spans="2:8">
      <c r="B1" s="4" t="s">
        <v>1887</v>
      </c>
      <c r="D1" s="10"/>
      <c r="F1" s="1" t="s">
        <v>733</v>
      </c>
    </row>
    <row r="3" spans="2:8">
      <c r="B3" t="s">
        <v>1007</v>
      </c>
      <c r="D3">
        <v>1</v>
      </c>
      <c r="E3" t="s">
        <v>1834</v>
      </c>
      <c r="F3" s="24" t="str">
        <f>IF(D3=1,"Odds ratio","LN (Odds ratio)")</f>
        <v>Odds ratio</v>
      </c>
    </row>
    <row r="4" spans="2:8">
      <c r="B4" t="s">
        <v>1642</v>
      </c>
      <c r="D4" s="25" t="s">
        <v>885</v>
      </c>
      <c r="E4" t="s">
        <v>1834</v>
      </c>
      <c r="F4" s="26" t="str">
        <f>IF($D$4="Total","Total",IF($D$4="Left","Left",IF($D$4="Right","Right","Error: enter Total, Left or Right")))</f>
        <v>Total</v>
      </c>
    </row>
    <row r="5" spans="2:8">
      <c r="D5" s="25"/>
      <c r="F5" s="24"/>
    </row>
    <row r="6" spans="2:8">
      <c r="D6" s="25"/>
      <c r="F6" s="24"/>
    </row>
    <row r="7" spans="2:8">
      <c r="B7" t="s">
        <v>1110</v>
      </c>
      <c r="D7">
        <f>I67-O60</f>
        <v>14</v>
      </c>
    </row>
    <row r="8" spans="2:8">
      <c r="B8" t="s">
        <v>822</v>
      </c>
      <c r="D8">
        <f>SUM(H24:H37)</f>
        <v>765</v>
      </c>
    </row>
    <row r="9" spans="2:8">
      <c r="B9" t="s">
        <v>823</v>
      </c>
      <c r="D9">
        <f>SUM(I24:I37)</f>
        <v>957</v>
      </c>
    </row>
    <row r="11" spans="2:8">
      <c r="B11" s="27" t="s">
        <v>516</v>
      </c>
      <c r="C11" s="28"/>
      <c r="D11" s="109">
        <f>P62</f>
        <v>9.0950085725144358</v>
      </c>
      <c r="E11" s="110" t="s">
        <v>1513</v>
      </c>
      <c r="F11" s="103"/>
      <c r="G11" s="137"/>
      <c r="H11" s="5"/>
    </row>
    <row r="12" spans="2:8">
      <c r="B12" s="30" t="s">
        <v>826</v>
      </c>
      <c r="C12" s="31"/>
      <c r="D12" s="112">
        <f>P64</f>
        <v>0</v>
      </c>
      <c r="E12" s="31"/>
      <c r="F12" s="105"/>
      <c r="G12" s="137"/>
      <c r="H12" s="5"/>
    </row>
    <row r="13" spans="2:8">
      <c r="B13" s="35" t="s">
        <v>825</v>
      </c>
      <c r="C13" s="36"/>
      <c r="D13" s="113">
        <f>P63</f>
        <v>0.7657306933641983</v>
      </c>
      <c r="E13" s="111" t="s">
        <v>825</v>
      </c>
      <c r="F13" s="115">
        <f>Q71</f>
        <v>1.1699144177607064E-2</v>
      </c>
      <c r="G13" s="137"/>
      <c r="H13" s="5"/>
    </row>
    <row r="15" spans="2:8">
      <c r="B15" s="39" t="s">
        <v>879</v>
      </c>
      <c r="C15" s="40"/>
      <c r="D15" s="41">
        <f>AH64</f>
        <v>1.0928227565586646</v>
      </c>
      <c r="E15" s="116"/>
      <c r="F15" s="33"/>
      <c r="G15" s="31"/>
    </row>
    <row r="16" spans="2:8">
      <c r="B16" s="43" t="s">
        <v>1165</v>
      </c>
      <c r="C16" s="31"/>
      <c r="D16" s="33">
        <f>AH64-AH66</f>
        <v>0.83975511638647971</v>
      </c>
      <c r="E16" s="117">
        <f>AH64+AH65</f>
        <v>1.4221545709557122</v>
      </c>
      <c r="F16" s="33"/>
      <c r="G16" s="31"/>
    </row>
    <row r="17" spans="1:63">
      <c r="B17" s="45" t="s">
        <v>1166</v>
      </c>
      <c r="C17" s="46"/>
      <c r="D17" s="123">
        <f>M65</f>
        <v>0.50894308372357111</v>
      </c>
      <c r="E17" s="118"/>
      <c r="F17" s="119"/>
      <c r="G17" s="31"/>
    </row>
    <row r="18" spans="1:63">
      <c r="D18" s="48"/>
      <c r="F18" s="49"/>
    </row>
    <row r="19" spans="1:63">
      <c r="B19" s="50" t="s">
        <v>1167</v>
      </c>
      <c r="C19" s="51"/>
      <c r="D19" s="52">
        <f>AH68</f>
        <v>1.0928227565586646</v>
      </c>
      <c r="E19" s="120"/>
      <c r="F19" s="33"/>
      <c r="G19" s="31"/>
    </row>
    <row r="20" spans="1:63">
      <c r="B20" s="53" t="s">
        <v>1165</v>
      </c>
      <c r="C20" s="31"/>
      <c r="D20" s="33">
        <f>AH68-AH70</f>
        <v>0.83975511638647971</v>
      </c>
      <c r="E20" s="121">
        <f>AH68+AH69</f>
        <v>1.4221545709557122</v>
      </c>
      <c r="F20" s="33"/>
      <c r="G20" s="31"/>
    </row>
    <row r="21" spans="1:63">
      <c r="B21" s="54" t="s">
        <v>1440</v>
      </c>
      <c r="C21" s="55"/>
      <c r="D21" s="114">
        <f>M76</f>
        <v>0.50894308372357111</v>
      </c>
      <c r="E21" s="56"/>
      <c r="F21" s="119"/>
      <c r="G21" s="31"/>
      <c r="L21" s="4" t="s">
        <v>1511</v>
      </c>
      <c r="Q21" s="4" t="str">
        <f>F3</f>
        <v>Odds ratio</v>
      </c>
    </row>
    <row r="22" spans="1:63">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3" ht="46.5" customHeight="1">
      <c r="B23" s="57" t="s">
        <v>1162</v>
      </c>
      <c r="C23" s="57" t="s">
        <v>618</v>
      </c>
      <c r="D23" s="57" t="s">
        <v>953</v>
      </c>
      <c r="E23" s="57" t="s">
        <v>617</v>
      </c>
      <c r="F23" s="57" t="s">
        <v>740</v>
      </c>
      <c r="G23" s="57" t="s">
        <v>1033</v>
      </c>
      <c r="H23" s="58" t="s">
        <v>1034</v>
      </c>
      <c r="I23" s="58" t="s">
        <v>1035</v>
      </c>
      <c r="J23" s="58" t="s">
        <v>1036</v>
      </c>
      <c r="K23" s="58" t="s">
        <v>1037</v>
      </c>
      <c r="L23" s="58" t="s">
        <v>1208</v>
      </c>
      <c r="M23" s="58" t="s">
        <v>870</v>
      </c>
      <c r="N23" s="58" t="s">
        <v>871</v>
      </c>
      <c r="O23" s="58" t="s">
        <v>872</v>
      </c>
      <c r="P23" s="58" t="s">
        <v>873</v>
      </c>
      <c r="Q23" s="58" t="s">
        <v>874</v>
      </c>
      <c r="R23" s="58" t="s">
        <v>1402</v>
      </c>
      <c r="S23" s="58" t="s">
        <v>1403</v>
      </c>
      <c r="T23" s="58"/>
      <c r="U23" s="100" t="s">
        <v>1077</v>
      </c>
      <c r="V23" s="100" t="s">
        <v>1078</v>
      </c>
      <c r="W23" s="58"/>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row>
    <row r="24" spans="1:63">
      <c r="B24">
        <v>2301657</v>
      </c>
      <c r="C24" s="1" t="str">
        <f>IF($B24="","",HYPERLINK(IF(LEN(VLOOKUP($B24,Database!$B$1:$IX$10144,2,FALSE))=0,"",VLOOKUP($B24,Database!$B$1:$IX$10144,2,FALSE))))</f>
        <v/>
      </c>
      <c r="D24" s="1" t="str">
        <f t="shared" ref="D24:D31" si="0">IF($B24="","",HYPERLINK(CONCATENATE("http://www.ncbi.nlm.nih.gov/pubmed/",B24)))</f>
        <v>http://www.ncbi.nlm.nih.gov/pubmed/2301657</v>
      </c>
      <c r="E24" s="22" t="str">
        <f>IF($B24="","",IF(LEN(VLOOKUP($B24,Database!$B$1:$IX$10144,4,FALSE))=0,"",VLOOKUP($B24,Database!$B$1:$IX$10144,4,FALSE)))</f>
        <v>Coffey CE</v>
      </c>
      <c r="F24" s="22">
        <f>IF($B24="","",IF(LEN(VLOOKUP($B24,Database!$B$1:$IX$10144,5,FALSE))=0,"",VLOOKUP($B24,Database!$B$1:$IX$10144,5,FALSE)))</f>
        <v>1990</v>
      </c>
      <c r="G24" s="1" t="str">
        <f>IF($B24="","",HYPERLINK(IF(LEN(VLOOKUP($B24,Database!$B$1:$IX$10144,6,FALSE))=0,"",VLOOKUP($B24,Database!$B$1:$IX$10144,6,FALSE))))</f>
        <v>http://ajp.psychiatryonline.org/cgi/reprint/147/2/187</v>
      </c>
      <c r="H24" s="22">
        <f>IF($B24="","",IF(LEN(VLOOKUP($B24,Database!$B$1:$IX$10144,7,FALSE))=0,"",VLOOKUP($B24,Database!$B$1:$IX$10144,7,FALSE)))</f>
        <v>35</v>
      </c>
      <c r="I24" s="22">
        <f>IF($B24="","",IF(LEN(VLOOKUP($B24,Database!$B$1:$IX$10144,8,FALSE))=0,"",VLOOKUP($B24,Database!$B$1:$IX$10144,8,FALSE)))</f>
        <v>22</v>
      </c>
      <c r="J24" s="22" t="s">
        <v>662</v>
      </c>
      <c r="K24" s="22" t="s">
        <v>1769</v>
      </c>
      <c r="L24" s="22">
        <v>29</v>
      </c>
      <c r="M24" s="22">
        <v>6</v>
      </c>
      <c r="N24">
        <f>H24</f>
        <v>35</v>
      </c>
      <c r="O24" s="22">
        <v>17</v>
      </c>
      <c r="P24" s="22">
        <v>5</v>
      </c>
      <c r="Q24">
        <f t="shared" ref="Q24:Q31" si="1">I24</f>
        <v>22</v>
      </c>
      <c r="R24">
        <f t="shared" ref="R24:R37" si="2">L24+M24</f>
        <v>35</v>
      </c>
      <c r="S24">
        <f t="shared" ref="S24:S37" si="3">P24+O24</f>
        <v>22</v>
      </c>
      <c r="U24" s="136">
        <f>100*L24/N24</f>
        <v>82.857142857142861</v>
      </c>
      <c r="V24" s="136">
        <f t="shared" ref="V24:V37" si="4">100*O24/Q24</f>
        <v>77.272727272727266</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71.7</v>
      </c>
      <c r="AC24" s="22">
        <f>IF(OR($B24="",AC$22=""),"",IF(LEN(VLOOKUP($B24,Database!$B$1:$IX$10144,AC$22,FALSE))=0,"",VLOOKUP($B24,Database!$B$1:$IX$10144,AC$22,FALSE)))</f>
        <v>8.1</v>
      </c>
      <c r="AD24" s="22">
        <f>IF(OR($B24="",AD$22=""),"",IF(LEN(VLOOKUP($B24,Database!$B$1:$IX$10144,AD$22,FALSE))=0,"",VLOOKUP($B24,Database!$B$1:$IX$10144,AD$22,FALSE)))</f>
        <v>70.7</v>
      </c>
      <c r="AE24" s="22">
        <f>IF(OR($B24="",AE$22=""),"",IF(LEN(VLOOKUP($B24,Database!$B$1:$IX$10144,AE$22,FALSE))=0,"",VLOOKUP($B24,Database!$B$1:$IX$10144,AE$22,FALSE)))</f>
        <v>5.5</v>
      </c>
      <c r="AF24" s="22">
        <f>IF(OR($B24="",AF$22=""),"",IF(LEN(VLOOKUP($B24,Database!$B$1:$IX$10144,AF$22,FALSE))=0,"",VLOOKUP($B24,Database!$B$1:$IX$10144,AF$22,FALSE)))</f>
        <v>28</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Coffey CE, Figiel GS, Djang WT, Weiner RD.</v>
      </c>
      <c r="AR24" s="13"/>
      <c r="AX24" s="13"/>
      <c r="AY24" s="13"/>
      <c r="BA24" s="23"/>
      <c r="BD24" s="136"/>
      <c r="BE24" s="136"/>
      <c r="BF24" s="136"/>
      <c r="BG24" s="136"/>
    </row>
    <row r="25" spans="1:63">
      <c r="B25">
        <v>1575251</v>
      </c>
      <c r="C25" s="1" t="str">
        <f>IF($B25="","",HYPERLINK(IF(LEN(VLOOKUP($B25,Database!$B$1:$IX$10144,2,FALSE))=0,"",VLOOKUP($B25,Database!$B$1:$IX$10144,2,FALSE))))</f>
        <v/>
      </c>
      <c r="D25" s="1" t="str">
        <f t="shared" si="0"/>
        <v>http://www.ncbi.nlm.nih.gov/pubmed/1575251</v>
      </c>
      <c r="E25" s="22" t="str">
        <f>IF($B25="","",IF(LEN(VLOOKUP($B25,Database!$B$1:$IX$10144,4,FALSE))=0,"",VLOOKUP($B25,Database!$B$1:$IX$10144,4,FALSE)))</f>
        <v>Brown FW</v>
      </c>
      <c r="F25" s="22">
        <f>IF($B25="","",IF(LEN(VLOOKUP($B25,Database!$B$1:$IX$10144,5,FALSE))=0,"",VLOOKUP($B25,Database!$B$1:$IX$10144,5,FALSE)))</f>
        <v>1992</v>
      </c>
      <c r="G25" s="1" t="str">
        <f>IF($B25="","",HYPERLINK(IF(LEN(VLOOKUP($B25,Database!$B$1:$IX$10144,6,FALSE))=0,"",VLOOKUP($B25,Database!$B$1:$IX$10144,6,FALSE))))</f>
        <v>http://ajp.psychiatryonline.org/cgi/reprint/149/5/620</v>
      </c>
      <c r="H25" s="22">
        <f>IF($B25="","",IF(LEN(VLOOKUP($B25,Database!$B$1:$IX$10144,7,FALSE))=0,"",VLOOKUP($B25,Database!$B$1:$IX$10144,7,FALSE)))</f>
        <v>28</v>
      </c>
      <c r="I25" s="22">
        <f>IF($B25="","",IF(LEN(VLOOKUP($B25,Database!$B$1:$IX$10144,8,FALSE))=0,"",VLOOKUP($B25,Database!$B$1:$IX$10144,8,FALSE)))</f>
        <v>154</v>
      </c>
      <c r="J25" t="s">
        <v>1482</v>
      </c>
      <c r="K25" t="s">
        <v>1076</v>
      </c>
      <c r="L25">
        <v>4</v>
      </c>
      <c r="M25">
        <v>24</v>
      </c>
      <c r="N25">
        <f t="shared" ref="N25:N31" si="5">H25</f>
        <v>28</v>
      </c>
      <c r="O25">
        <v>9</v>
      </c>
      <c r="P25">
        <v>145</v>
      </c>
      <c r="Q25">
        <f t="shared" si="1"/>
        <v>154</v>
      </c>
      <c r="R25">
        <f t="shared" si="2"/>
        <v>28</v>
      </c>
      <c r="S25">
        <f t="shared" si="3"/>
        <v>154</v>
      </c>
      <c r="U25" s="136">
        <f t="shared" ref="U25:U37" si="6">100*L25/N25</f>
        <v>14.285714285714286</v>
      </c>
      <c r="V25" s="136">
        <f t="shared" si="4"/>
        <v>5.8441558441558445</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40.299999999999997</v>
      </c>
      <c r="AC25" s="22">
        <f>IF(OR($B25="",AC$22=""),"",IF(LEN(VLOOKUP($B25,Database!$B$1:$IX$10144,AC$22,FALSE))=0,"",VLOOKUP($B25,Database!$B$1:$IX$10144,AC$22,FALSE)))</f>
        <v>10.5</v>
      </c>
      <c r="AD25" s="22">
        <f>IF(OR($B25="",AD$22=""),"",IF(LEN(VLOOKUP($B25,Database!$B$1:$IX$10144,AD$22,FALSE))=0,"",VLOOKUP($B25,Database!$B$1:$IX$10144,AD$22,FALSE)))</f>
        <v>34</v>
      </c>
      <c r="AE25" s="22">
        <f>IF(OR($B25="",AE$22=""),"",IF(LEN(VLOOKUP($B25,Database!$B$1:$IX$10144,AE$22,FALSE))=0,"",VLOOKUP($B25,Database!$B$1:$IX$10144,AE$22,FALSE)))</f>
        <v>9.5</v>
      </c>
      <c r="AF25" s="22" t="str">
        <f>IF(OR($B25="",AF$22=""),"",IF(LEN(VLOOKUP($B25,Database!$B$1:$IX$10144,AF$22,FALSE))=0,"",VLOOKUP($B25,Database!$B$1:$IX$10144,AF$22,FALSE)))</f>
        <v>ns</v>
      </c>
      <c r="AG25" s="22" t="str">
        <f>IF(OR($B25="",AG$22=""),"",IF(LEN(VLOOKUP($B25,Database!$B$1:$IX$10144,AG$22,FALSE))=0,"",VLOOKUP($B25,Database!$B$1:$IX$10144,AG$22,FALSE)))</f>
        <v>ns</v>
      </c>
      <c r="AH25" s="22">
        <f>IF(OR($B25="",AH$22=""),"",IF(LEN(VLOOKUP($B25,Database!$B$1:$IX$10144,AH$22,FALSE))=0,"",VLOOKUP($B25,Database!$B$1:$IX$10144,AH$22,FALSE)))</f>
        <v>1</v>
      </c>
      <c r="AI25" s="22">
        <f>IF(OR($B25="",AI$22=""),"",IF(LEN(VLOOKUP($B25,Database!$B$1:$IX$10144,AI$22,FALSE))=0,"",VLOOKUP($B25,Database!$B$1:$IX$10144,AI$22,FALSE)))</f>
        <v>7</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Brown FW, Lewine RJ, Hudgins PA, Risch SC.</v>
      </c>
      <c r="AR25" s="13"/>
      <c r="AX25" s="13"/>
      <c r="AY25" s="13"/>
      <c r="BA25" s="23"/>
      <c r="BD25" s="136"/>
      <c r="BE25" s="136"/>
      <c r="BF25" s="136"/>
      <c r="BG25" s="136"/>
    </row>
    <row r="26" spans="1:63">
      <c r="B26" t="s">
        <v>1474</v>
      </c>
      <c r="C26" s="1" t="str">
        <f>IF($B26="","",HYPERLINK(IF(LEN(VLOOKUP($B26,Database!$B$1:$IX$10144,2,FALSE))=0,"",VLOOKUP($B26,Database!$B$1:$IX$10144,2,FALSE))))</f>
        <v/>
      </c>
      <c r="D26" s="1" t="str">
        <f>IF($B26="","",HYPERLINK(CONCATENATE("http://www.ncbi.nlm.nih.gov/pubmed/",B26)))</f>
        <v>http://www.ncbi.nlm.nih.gov/pubmed/NPD001</v>
      </c>
      <c r="E26" s="22" t="str">
        <f>IF($B26="","",IF(LEN(VLOOKUP($B26,Database!$B$1:$IX$10144,4,FALSE))=0,"",VLOOKUP($B26,Database!$B$1:$IX$10144,4,FALSE)))</f>
        <v>Miller DS</v>
      </c>
      <c r="F26" s="22">
        <f>IF($B26="","",IF(LEN(VLOOKUP($B26,Database!$B$1:$IX$10144,5,FALSE))=0,"",VLOOKUP($B26,Database!$B$1:$IX$10144,5,FALSE)))</f>
        <v>1994</v>
      </c>
      <c r="G26" s="1" t="str">
        <f>IF($B26="","",HYPERLINK(IF(LEN(VLOOKUP($B26,Database!$B$1:$IX$10144,6,FALSE))=0,"",VLOOKUP($B26,Database!$B$1:$IX$10144,6,FALSE))))</f>
        <v>http://journals.lww.com/ajgponline/Abstract/1994/02040/MRI_High_Intensity_Signals_in_Late_Life_Depression.8.aspx</v>
      </c>
      <c r="H26" s="22">
        <f>IF($B26="","",IF(LEN(VLOOKUP($B26,Database!$B$1:$IX$10144,7,FALSE))=0,"",VLOOKUP($B26,Database!$B$1:$IX$10144,7,FALSE)))</f>
        <v>19</v>
      </c>
      <c r="I26" s="22">
        <f>IF($B26="","",IF(LEN(VLOOKUP($B26,Database!$B$1:$IX$10144,8,FALSE))=0,"",VLOOKUP($B26,Database!$B$1:$IX$10144,8,FALSE)))</f>
        <v>23</v>
      </c>
      <c r="J26" t="s">
        <v>1476</v>
      </c>
      <c r="K26" t="s">
        <v>1477</v>
      </c>
      <c r="L26">
        <v>4</v>
      </c>
      <c r="M26">
        <v>15</v>
      </c>
      <c r="N26">
        <f t="shared" si="5"/>
        <v>19</v>
      </c>
      <c r="O26">
        <v>2</v>
      </c>
      <c r="P26">
        <v>21</v>
      </c>
      <c r="Q26">
        <f t="shared" si="1"/>
        <v>23</v>
      </c>
      <c r="R26" s="13">
        <f>L26+M26</f>
        <v>19</v>
      </c>
      <c r="S26">
        <f>P26+O26</f>
        <v>23</v>
      </c>
      <c r="U26" s="136">
        <f>100*L26/N26</f>
        <v>21.05263157894737</v>
      </c>
      <c r="V26" s="136">
        <f>100*O26/Q26</f>
        <v>8.695652173913043</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69</v>
      </c>
      <c r="AC26" s="22">
        <f>IF(OR($B26="",AC$22=""),"",IF(LEN(VLOOKUP($B26,Database!$B$1:$IX$10144,AC$22,FALSE))=0,"",VLOOKUP($B26,Database!$B$1:$IX$10144,AC$22,FALSE)))</f>
        <v>6</v>
      </c>
      <c r="AD26" s="22">
        <f>IF(OR($B26="",AD$22=""),"",IF(LEN(VLOOKUP($B26,Database!$B$1:$IX$10144,AD$22,FALSE))=0,"",VLOOKUP($B26,Database!$B$1:$IX$10144,AD$22,FALSE)))</f>
        <v>68</v>
      </c>
      <c r="AE26" s="22">
        <f>IF(OR($B26="",AE$22=""),"",IF(LEN(VLOOKUP($B26,Database!$B$1:$IX$10144,AE$22,FALSE))=0,"",VLOOKUP($B26,Database!$B$1:$IX$10144,AE$22,FALSE)))</f>
        <v>8</v>
      </c>
      <c r="AF26" s="22">
        <f>IF(OR($B26="",AF$22=""),"",IF(LEN(VLOOKUP($B26,Database!$B$1:$IX$10144,AF$22,FALSE))=0,"",VLOOKUP($B26,Database!$B$1:$IX$10144,AF$22,FALSE)))</f>
        <v>13</v>
      </c>
      <c r="AG26" s="22">
        <f>IF(OR($B26="",AG$22=""),"",IF(LEN(VLOOKUP($B26,Database!$B$1:$IX$10144,AG$22,FALSE))=0,"",VLOOKUP($B26,Database!$B$1:$IX$10144,AG$22,FALSE)))</f>
        <v>12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22</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Miller DS, Kumar A, Yousem DM, Gottlieb GL</v>
      </c>
      <c r="AR26" s="13"/>
      <c r="AU26" s="22"/>
      <c r="AX26" s="13"/>
      <c r="AY26" s="13"/>
      <c r="BA26" s="23"/>
      <c r="BD26" s="136"/>
      <c r="BE26" s="136"/>
      <c r="BF26" s="136"/>
      <c r="BG26" s="136"/>
    </row>
    <row r="27" spans="1:63">
      <c r="B27">
        <v>7632622</v>
      </c>
      <c r="C27" s="1" t="str">
        <f>IF($B27="","",HYPERLINK(IF(LEN(VLOOKUP($B27,Database!$B$1:$IX$10144,2,FALSE))=0,"",VLOOKUP($B27,Database!$B$1:$IX$10144,2,FALSE))))</f>
        <v/>
      </c>
      <c r="D27" s="1" t="str">
        <f t="shared" si="0"/>
        <v>http://www.ncbi.nlm.nih.gov/pubmed/7632622</v>
      </c>
      <c r="E27" s="22" t="str">
        <f>IF($B27="","",IF(LEN(VLOOKUP($B27,Database!$B$1:$IX$10144,4,FALSE))=0,"",VLOOKUP($B27,Database!$B$1:$IX$10144,4,FALSE)))</f>
        <v>Lewine RR</v>
      </c>
      <c r="F27" s="22">
        <f>IF($B27="","",IF(LEN(VLOOKUP($B27,Database!$B$1:$IX$10144,5,FALSE))=0,"",VLOOKUP($B27,Database!$B$1:$IX$10144,5,FALSE)))</f>
        <v>1995</v>
      </c>
      <c r="G27" s="1" t="str">
        <f>IF($B27="","",HYPERLINK(IF(LEN(VLOOKUP($B27,Database!$B$1:$IX$10144,6,FALSE))=0,"",VLOOKUP($B27,Database!$B$1:$IX$10144,6,FALSE))))</f>
        <v>http://dx.doi.org/10.1016/0920-9964(94)00055-D</v>
      </c>
      <c r="H27" s="22">
        <f>IF($B27="","",IF(LEN(VLOOKUP($B27,Database!$B$1:$IX$10144,7,FALSE))=0,"",VLOOKUP($B27,Database!$B$1:$IX$10144,7,FALSE)))</f>
        <v>27</v>
      </c>
      <c r="I27" s="22">
        <f>IF($B27="","",IF(LEN(VLOOKUP($B27,Database!$B$1:$IX$10144,8,FALSE))=0,"",VLOOKUP($B27,Database!$B$1:$IX$10144,8,FALSE)))</f>
        <v>150</v>
      </c>
      <c r="J27" s="13" t="s">
        <v>661</v>
      </c>
      <c r="K27" t="s">
        <v>960</v>
      </c>
      <c r="L27">
        <v>3</v>
      </c>
      <c r="M27">
        <v>24</v>
      </c>
      <c r="N27">
        <f t="shared" si="5"/>
        <v>27</v>
      </c>
      <c r="O27">
        <v>7</v>
      </c>
      <c r="P27">
        <v>143</v>
      </c>
      <c r="Q27">
        <f t="shared" si="1"/>
        <v>150</v>
      </c>
      <c r="R27">
        <f t="shared" si="2"/>
        <v>27</v>
      </c>
      <c r="S27">
        <f t="shared" si="3"/>
        <v>150</v>
      </c>
      <c r="U27" s="136">
        <f t="shared" si="6"/>
        <v>11.111111111111111</v>
      </c>
      <c r="V27" s="136">
        <f t="shared" si="4"/>
        <v>4.666666666666667</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t="str">
        <f>IF(OR($B27="",AB$22=""),"",IF(LEN(VLOOKUP($B27,Database!$B$1:$IX$10144,AB$22,FALSE))=0,"",VLOOKUP($B27,Database!$B$1:$IX$10144,AB$22,FALSE)))</f>
        <v/>
      </c>
      <c r="AC27" s="22" t="str">
        <f>IF(OR($B27="",AC$22=""),"",IF(LEN(VLOOKUP($B27,Database!$B$1:$IX$10144,AC$22,FALSE))=0,"",VLOOKUP($B27,Database!$B$1:$IX$10144,AC$22,FALSE)))</f>
        <v/>
      </c>
      <c r="AD27" s="22" t="str">
        <f>IF(OR($B27="",AD$22=""),"",IF(LEN(VLOOKUP($B27,Database!$B$1:$IX$10144,AD$22,FALSE))=0,"",VLOOKUP($B27,Database!$B$1:$IX$10144,AD$22,FALSE)))</f>
        <v/>
      </c>
      <c r="AE27" s="22" t="str">
        <f>IF(OR($B27="",AE$22=""),"",IF(LEN(VLOOKUP($B27,Database!$B$1:$IX$10144,AE$22,FALSE))=0,"",VLOOKUP($B27,Database!$B$1:$IX$10144,AE$22,FALSE)))</f>
        <v/>
      </c>
      <c r="AF27" s="22">
        <f>IF(OR($B27="",AF$22=""),"",IF(LEN(VLOOKUP($B27,Database!$B$1:$IX$10144,AF$22,FALSE))=0,"",VLOOKUP($B27,Database!$B$1:$IX$10144,AF$22,FALSE)))</f>
        <v>20</v>
      </c>
      <c r="AG27" s="22">
        <f>IF(OR($B27="",AG$22=""),"",IF(LEN(VLOOKUP($B27,Database!$B$1:$IX$10144,AG$22,FALSE))=0,"",VLOOKUP($B27,Database!$B$1:$IX$10144,AG$22,FALSE)))</f>
        <v>91</v>
      </c>
      <c r="AH27" s="22">
        <f>IF(OR($B27="",AH$22=""),"",IF(LEN(VLOOKUP($B27,Database!$B$1:$IX$10144,AH$22,FALSE))=0,"",VLOOKUP($B27,Database!$B$1:$IX$10144,AH$22,FALSE)))</f>
        <v>1.5</v>
      </c>
      <c r="AI27" s="22">
        <f>IF(OR($B27="",AI$22=""),"",IF(LEN(VLOOKUP($B27,Database!$B$1:$IX$10144,AI$22,FALSE))=0,"",VLOOKUP($B27,Database!$B$1:$IX$10144,AI$22,FALSE)))</f>
        <v>6.3330000000000002</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Lewine RR, Hudgins P, Brown F, Caudle J, Risch SC.</v>
      </c>
      <c r="AR27" s="163"/>
      <c r="AU27" s="22"/>
      <c r="AX27" s="13"/>
      <c r="AY27" s="13"/>
      <c r="BA27" s="23"/>
      <c r="BD27" s="136"/>
      <c r="BE27" s="136"/>
      <c r="BF27" s="136"/>
      <c r="BG27" s="136"/>
    </row>
    <row r="28" spans="1:63">
      <c r="B28">
        <v>8831435</v>
      </c>
      <c r="C28" s="1" t="str">
        <f>IF($B28="","",HYPERLINK(IF(LEN(VLOOKUP($B28,Database!$B$1:$IX$10144,2,FALSE))=0,"",VLOOKUP($B28,Database!$B$1:$IX$10144,2,FALSE))))</f>
        <v/>
      </c>
      <c r="D28" s="1" t="str">
        <f t="shared" si="0"/>
        <v>http://www.ncbi.nlm.nih.gov/pubmed/8831435</v>
      </c>
      <c r="E28" s="22" t="str">
        <f>IF($B28="","",IF(LEN(VLOOKUP($B28,Database!$B$1:$IX$10144,4,FALSE))=0,"",VLOOKUP($B28,Database!$B$1:$IX$10144,4,FALSE)))</f>
        <v>Lesser IM</v>
      </c>
      <c r="F28" s="22">
        <f>IF($B28="","",IF(LEN(VLOOKUP($B28,Database!$B$1:$IX$10144,5,FALSE))=0,"",VLOOKUP($B28,Database!$B$1:$IX$10144,5,FALSE)))</f>
        <v>1996</v>
      </c>
      <c r="G28" s="1" t="str">
        <f>IF($B28="","",HYPERLINK(IF(LEN(VLOOKUP($B28,Database!$B$1:$IX$10144,6,FALSE))=0,"",VLOOKUP($B28,Database!$B$1:$IX$10144,6,FALSE))))</f>
        <v>http://dx.doi.org/10.1016/0165-1781(96)02867-3</v>
      </c>
      <c r="H28" s="22">
        <f>IF($B28="","",IF(LEN(VLOOKUP($B28,Database!$B$1:$IX$10144,7,FALSE))=0,"",VLOOKUP($B28,Database!$B$1:$IX$10144,7,FALSE)))</f>
        <v>95</v>
      </c>
      <c r="I28" s="22">
        <f>IF($B28="","",IF(LEN(VLOOKUP($B28,Database!$B$1:$IX$10144,8,FALSE))=0,"",VLOOKUP($B28,Database!$B$1:$IX$10144,8,FALSE)))</f>
        <v>165</v>
      </c>
      <c r="J28" s="2" t="s">
        <v>16</v>
      </c>
      <c r="K28" s="10"/>
      <c r="L28">
        <v>22</v>
      </c>
      <c r="M28">
        <v>73</v>
      </c>
      <c r="N28">
        <f t="shared" si="5"/>
        <v>95</v>
      </c>
      <c r="O28">
        <v>45</v>
      </c>
      <c r="P28">
        <v>120</v>
      </c>
      <c r="Q28">
        <f t="shared" si="1"/>
        <v>165</v>
      </c>
      <c r="R28">
        <f t="shared" si="2"/>
        <v>95</v>
      </c>
      <c r="S28">
        <f t="shared" si="3"/>
        <v>165</v>
      </c>
      <c r="U28" s="136">
        <f t="shared" si="6"/>
        <v>23.157894736842106</v>
      </c>
      <c r="V28" s="136">
        <f t="shared" si="4"/>
        <v>27.272727272727273</v>
      </c>
      <c r="Y28" s="22" t="str">
        <f>IF(OR($B28="",Y$22=""),"",IF(LEN(VLOOKUP($B28,Database!$B$1:$IX$10144,Y$22,FALSE))=0,"",VLOOKUP($B28,Database!$B$1:$IX$10144,Y$22,FALSE)))</f>
        <v>DSM-III-R</v>
      </c>
      <c r="Z28" s="22" t="str">
        <f>IF(OR($B28="",Z$22=""),"",IF(LEN(VLOOKUP($B28,Database!$B$1:$IX$10144,Z$22,FALSE))=0,"",VLOOKUP($B28,Database!$B$1:$IX$10144,Z$22,FALSE)))</f>
        <v>MRI</v>
      </c>
      <c r="AA28" s="22" t="str">
        <f>IF(OR($B28="",AA$22=""),"",IF(LEN(VLOOKUP($B28,Database!$B$1:$IX$10144,AA$22,FALSE))=0,"",VLOOKUP($B28,Database!$B$1:$IX$10144,AA$22,FALSE)))</f>
        <v/>
      </c>
      <c r="AB28" s="22" t="str">
        <f>IF(OR($B28="",AB$22=""),"",IF(LEN(VLOOKUP($B28,Database!$B$1:$IX$10144,AB$22,FALSE))=0,"",VLOOKUP($B28,Database!$B$1:$IX$10144,AB$22,FALSE)))</f>
        <v>ns</v>
      </c>
      <c r="AC28" s="22" t="str">
        <f>IF(OR($B28="",AC$22=""),"",IF(LEN(VLOOKUP($B28,Database!$B$1:$IX$10144,AC$22,FALSE))=0,"",VLOOKUP($B28,Database!$B$1:$IX$10144,AC$22,FALSE)))</f>
        <v>ns</v>
      </c>
      <c r="AD28" s="22">
        <f>IF(OR($B28="",AD$22=""),"",IF(LEN(VLOOKUP($B28,Database!$B$1:$IX$10144,AD$22,FALSE))=0,"",VLOOKUP($B28,Database!$B$1:$IX$10144,AD$22,FALSE)))</f>
        <v>64.400000000000006</v>
      </c>
      <c r="AE28" s="22">
        <f>IF(OR($B28="",AE$22=""),"",IF(LEN(VLOOKUP($B28,Database!$B$1:$IX$10144,AE$22,FALSE))=0,"",VLOOKUP($B28,Database!$B$1:$IX$10144,AE$22,FALSE)))</f>
        <v>9.6</v>
      </c>
      <c r="AF28" s="22">
        <f>IF(OR($B28="",AF$22=""),"",IF(LEN(VLOOKUP($B28,Database!$B$1:$IX$10144,AF$22,FALSE))=0,"",VLOOKUP($B28,Database!$B$1:$IX$10144,AF$22,FALSE)))</f>
        <v>48</v>
      </c>
      <c r="AG28" s="22">
        <f>IF(OR($B28="",AG$22=""),"",IF(LEN(VLOOKUP($B28,Database!$B$1:$IX$10144,AG$22,FALSE))=0,"",VLOOKUP($B28,Database!$B$1:$IX$10144,AG$22,FALSE)))</f>
        <v>107</v>
      </c>
      <c r="AH28" s="22">
        <f>IF(OR($B28="",AH$22=""),"",IF(LEN(VLOOKUP($B28,Database!$B$1:$IX$10144,AH$22,FALSE))=0,"",VLOOKUP($B28,Database!$B$1:$IX$10144,AH$22,FALSE)))</f>
        <v>1.5</v>
      </c>
      <c r="AI28" s="22">
        <f>IF(OR($B28="",AI$22=""),"",IF(LEN(VLOOKUP($B28,Database!$B$1:$IX$10144,AI$22,FALSE))=0,"",VLOOKUP($B28,Database!$B$1:$IX$10144,AI$22,FALSE)))</f>
        <v>10</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f>IF(OR($B28="",AM$22=""),"",IF(LEN(VLOOKUP($B28,Database!$B$1:$IX$10144,AM$22,FALSE))=0,"",VLOOKUP($B28,Database!$B$1:$IX$10144,AM$22,FALSE)))</f>
        <v>0</v>
      </c>
      <c r="AN28" s="22">
        <f>IF(OR($B28="",AN$22=""),"",IF(LEN(VLOOKUP($B28,Database!$B$1:$IX$10144,AN$22,FALSE))=0,"",VLOOKUP($B28,Database!$B$1:$IX$10144,AN$22,FALSE)))</f>
        <v>0</v>
      </c>
      <c r="AO28" s="22">
        <f>IF(OR($B28="",AO$22=""),"",IF(LEN(VLOOKUP($B28,Database!$B$1:$IX$10144,AO$22,FALSE))=0,"",VLOOKUP($B28,Database!$B$1:$IX$10144,AO$22,FALSE)))</f>
        <v>0</v>
      </c>
      <c r="AP28" s="22">
        <f>IF(OR($B28="",AP$22=""),"",IF(LEN(VLOOKUP($B28,Database!$B$1:$IX$10144,AP$22,FALSE))=0,"",VLOOKUP($B28,Database!$B$1:$IX$10144,AP$22,FALSE)))</f>
        <v>100</v>
      </c>
      <c r="AQ28" s="22" t="str">
        <f>IF(OR($B28="",AQ$22=""),"",IF(LEN(VLOOKUP($B28,Database!$B$1:$IX$10144,AQ$22,FALSE))=0,"",VLOOKUP($B28,Database!$B$1:$IX$10144,AQ$22,FALSE)))</f>
        <v>Lesser IM, Boone KB, Mehringer CM, Wohl MA, Miller BL, Berman NG.</v>
      </c>
      <c r="AR28" s="163"/>
      <c r="AU28" s="22"/>
      <c r="AX28" s="13"/>
      <c r="AY28" s="13"/>
      <c r="BA28" s="23"/>
      <c r="BD28" s="136"/>
      <c r="BE28" s="136"/>
      <c r="BF28" s="136"/>
      <c r="BG28" s="136"/>
    </row>
    <row r="29" spans="1:63">
      <c r="A29" s="13" t="s">
        <v>364</v>
      </c>
      <c r="B29">
        <v>10080561</v>
      </c>
      <c r="C29" s="1" t="str">
        <f>IF($B29="","",HYPERLINK(IF(LEN(VLOOKUP($B29,Database!$B$1:$IX$10144,2,FALSE))=0,"",VLOOKUP($B29,Database!$B$1:$IX$10144,2,FALSE))))</f>
        <v/>
      </c>
      <c r="D29" s="1" t="str">
        <f t="shared" si="0"/>
        <v>http://www.ncbi.nlm.nih.gov/pubmed/10080561</v>
      </c>
      <c r="E29" s="22" t="str">
        <f>IF($B29="","",IF(LEN(VLOOKUP($B29,Database!$B$1:$IX$10144,4,FALSE))=0,"",VLOOKUP($B29,Database!$B$1:$IX$10144,4,FALSE)))</f>
        <v>Kramer-Ginsberg E</v>
      </c>
      <c r="F29" s="22">
        <f>IF($B29="","",IF(LEN(VLOOKUP($B29,Database!$B$1:$IX$10144,5,FALSE))=0,"",VLOOKUP($B29,Database!$B$1:$IX$10144,5,FALSE)))</f>
        <v>1999</v>
      </c>
      <c r="G29" s="1" t="str">
        <f>IF($B29="","",HYPERLINK(IF(LEN(VLOOKUP($B29,Database!$B$1:$IX$10144,6,FALSE))=0,"",VLOOKUP($B29,Database!$B$1:$IX$10144,6,FALSE))))</f>
        <v>http://ajp.psychiatryonline.org/cgi/reprint/156/3/438</v>
      </c>
      <c r="H29" s="22">
        <f>IF($B29="","",IF(LEN(VLOOKUP($B29,Database!$B$1:$IX$10144,7,FALSE))=0,"",VLOOKUP($B29,Database!$B$1:$IX$10144,7,FALSE)))</f>
        <v>41</v>
      </c>
      <c r="I29" s="22">
        <f>IF($B29="","",IF(LEN(VLOOKUP($B29,Database!$B$1:$IX$10144,8,FALSE))=0,"",VLOOKUP($B29,Database!$B$1:$IX$10144,8,FALSE)))</f>
        <v>38</v>
      </c>
      <c r="J29" s="13" t="s">
        <v>693</v>
      </c>
      <c r="K29" t="s">
        <v>694</v>
      </c>
      <c r="L29">
        <v>26</v>
      </c>
      <c r="M29">
        <v>15</v>
      </c>
      <c r="N29">
        <f t="shared" si="5"/>
        <v>41</v>
      </c>
      <c r="O29">
        <v>25</v>
      </c>
      <c r="P29">
        <v>13</v>
      </c>
      <c r="Q29">
        <f t="shared" si="1"/>
        <v>38</v>
      </c>
      <c r="R29">
        <f t="shared" si="2"/>
        <v>41</v>
      </c>
      <c r="S29">
        <f t="shared" si="3"/>
        <v>38</v>
      </c>
      <c r="U29" s="136">
        <f t="shared" si="6"/>
        <v>63.414634146341463</v>
      </c>
      <c r="V29" s="136">
        <f t="shared" si="4"/>
        <v>65.78947368421052</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74.599999999999994</v>
      </c>
      <c r="AC29" s="22">
        <f>IF(OR($B29="",AC$22=""),"",IF(LEN(VLOOKUP($B29,Database!$B$1:$IX$10144,AC$22,FALSE))=0,"",VLOOKUP($B29,Database!$B$1:$IX$10144,AC$22,FALSE)))</f>
        <v>6</v>
      </c>
      <c r="AD29" s="22">
        <f>IF(OR($B29="",AD$22=""),"",IF(LEN(VLOOKUP($B29,Database!$B$1:$IX$10144,AD$22,FALSE))=0,"",VLOOKUP($B29,Database!$B$1:$IX$10144,AD$22,FALSE)))</f>
        <v>72.8</v>
      </c>
      <c r="AE29" s="22">
        <f>IF(OR($B29="",AE$22=""),"",IF(LEN(VLOOKUP($B29,Database!$B$1:$IX$10144,AE$22,FALSE))=0,"",VLOOKUP($B29,Database!$B$1:$IX$10144,AE$22,FALSE)))</f>
        <v>6.4</v>
      </c>
      <c r="AF29" s="22">
        <f>IF(OR($B29="",AF$22=""),"",IF(LEN(VLOOKUP($B29,Database!$B$1:$IX$10144,AF$22,FALSE))=0,"",VLOOKUP($B29,Database!$B$1:$IX$10144,AF$22,FALSE)))</f>
        <v>30</v>
      </c>
      <c r="AG29" s="22">
        <f>IF(OR($B29="",AG$22=""),"",IF(LEN(VLOOKUP($B29,Database!$B$1:$IX$10144,AG$22,FALSE))=0,"",VLOOKUP($B29,Database!$B$1:$IX$10144,AG$22,FALSE)))</f>
        <v>19</v>
      </c>
      <c r="AH29" s="22">
        <f>IF(OR($B29="",AH$22=""),"",IF(LEN(VLOOKUP($B29,Database!$B$1:$IX$10144,AH$22,FALSE))=0,"",VLOOKUP($B29,Database!$B$1:$IX$10144,AH$22,FALSE)))</f>
        <v>1</v>
      </c>
      <c r="AI29" s="22">
        <f>IF(OR($B29="",AI$22=""),"",IF(LEN(VLOOKUP($B29,Database!$B$1:$IX$10144,AI$22,FALSE))=0,"",VLOOKUP($B29,Database!$B$1:$IX$10144,AI$22,FALSE)))</f>
        <v>7</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26</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Kramer-Ginsberg E, Greenwald BS, Krishnan KR, Christiansen B, Hu J, Ashtari M, Patel M, Pollack S.</v>
      </c>
      <c r="AR29" s="163"/>
      <c r="AU29" s="22"/>
      <c r="AX29" s="13"/>
      <c r="AY29" s="13"/>
      <c r="BA29" s="23"/>
      <c r="BD29" s="136"/>
      <c r="BE29" s="136"/>
      <c r="BF29" s="136"/>
      <c r="BG29" s="136"/>
    </row>
    <row r="30" spans="1:63">
      <c r="B30">
        <v>11593278</v>
      </c>
      <c r="C30" s="1" t="str">
        <f>IF($B30="","",HYPERLINK(IF(LEN(VLOOKUP($B30,Database!$B$1:$IX$10144,2,FALSE))=0,"",VLOOKUP($B30,Database!$B$1:$IX$10144,2,FALSE))))</f>
        <v/>
      </c>
      <c r="D30" s="1" t="str">
        <f t="shared" si="0"/>
        <v>http://www.ncbi.nlm.nih.gov/pubmed/11593278</v>
      </c>
      <c r="E30" s="22" t="str">
        <f>IF($B30="","",IF(LEN(VLOOKUP($B30,Database!$B$1:$IX$10144,4,FALSE))=0,"",VLOOKUP($B30,Database!$B$1:$IX$10144,4,FALSE)))</f>
        <v>Novaretti TM</v>
      </c>
      <c r="F30" s="22">
        <f>IF($B30="","",IF(LEN(VLOOKUP($B30,Database!$B$1:$IX$10144,5,FALSE))=0,"",VLOOKUP($B30,Database!$B$1:$IX$10144,5,FALSE)))</f>
        <v>2001</v>
      </c>
      <c r="G30" s="1" t="str">
        <f>IF($B30="","",HYPERLINK(IF(LEN(VLOOKUP($B30,Database!$B$1:$IX$10144,6,FALSE))=0,"",VLOOKUP($B30,Database!$B$1:$IX$10144,6,FALSE))))</f>
        <v>http://www.scielo.br/pdf/anp/v59n3B/5967.pdf</v>
      </c>
      <c r="H30" s="22">
        <f>IF($B30="","",IF(LEN(VLOOKUP($B30,Database!$B$1:$IX$10144,7,FALSE))=0,"",VLOOKUP($B30,Database!$B$1:$IX$10144,7,FALSE)))</f>
        <v>30</v>
      </c>
      <c r="I30" s="22">
        <f>IF($B30="","",IF(LEN(VLOOKUP($B30,Database!$B$1:$IX$10144,8,FALSE))=0,"",VLOOKUP($B30,Database!$B$1:$IX$10144,8,FALSE)))</f>
        <v>20</v>
      </c>
      <c r="J30" s="2" t="s">
        <v>17</v>
      </c>
      <c r="K30" s="13" t="s">
        <v>675</v>
      </c>
      <c r="L30">
        <v>29</v>
      </c>
      <c r="M30">
        <v>1</v>
      </c>
      <c r="N30">
        <f t="shared" si="5"/>
        <v>30</v>
      </c>
      <c r="O30">
        <v>18</v>
      </c>
      <c r="P30">
        <v>2</v>
      </c>
      <c r="Q30">
        <f t="shared" si="1"/>
        <v>20</v>
      </c>
      <c r="R30">
        <f t="shared" si="2"/>
        <v>30</v>
      </c>
      <c r="S30">
        <f t="shared" si="3"/>
        <v>20</v>
      </c>
      <c r="U30" s="136">
        <f t="shared" si="6"/>
        <v>96.666666666666671</v>
      </c>
      <c r="V30" s="136">
        <f t="shared" si="4"/>
        <v>90</v>
      </c>
      <c r="Y30" s="22" t="str">
        <f>IF(OR($B30="",Y$22=""),"",IF(LEN(VLOOKUP($B30,Database!$B$1:$IX$10144,Y$22,FALSE))=0,"",VLOOKUP($B30,Database!$B$1:$IX$10144,Y$22,FALSE)))</f>
        <v>ICD-10</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71</v>
      </c>
      <c r="AC30" s="22">
        <f>IF(OR($B30="",AC$22=""),"",IF(LEN(VLOOKUP($B30,Database!$B$1:$IX$10144,AC$22,FALSE))=0,"",VLOOKUP($B30,Database!$B$1:$IX$10144,AC$22,FALSE)))</f>
        <v>8.1999999999999993</v>
      </c>
      <c r="AD30" s="22">
        <f>IF(OR($B30="",AD$22=""),"",IF(LEN(VLOOKUP($B30,Database!$B$1:$IX$10144,AD$22,FALSE))=0,"",VLOOKUP($B30,Database!$B$1:$IX$10144,AD$22,FALSE)))</f>
        <v>66.5</v>
      </c>
      <c r="AE30" s="22" t="str">
        <f>IF(OR($B30="",AE$22=""),"",IF(LEN(VLOOKUP($B30,Database!$B$1:$IX$10144,AE$22,FALSE))=0,"",VLOOKUP($B30,Database!$B$1:$IX$10144,AE$22,FALSE)))</f>
        <v xml:space="preserve">probable error. States 25.9 but max=81 and min=61 </v>
      </c>
      <c r="AF30" s="22">
        <f>IF(OR($B30="",AF$22=""),"",IF(LEN(VLOOKUP($B30,Database!$B$1:$IX$10144,AF$22,FALSE))=0,"",VLOOKUP($B30,Database!$B$1:$IX$10144,AF$22,FALSE)))</f>
        <v>23</v>
      </c>
      <c r="AG30" s="22">
        <f>IF(OR($B30="",AG$22=""),"",IF(LEN(VLOOKUP($B30,Database!$B$1:$IX$10144,AG$22,FALSE))=0,"",VLOOKUP($B30,Database!$B$1:$IX$10144,AG$22,FALSE)))</f>
        <v>14</v>
      </c>
      <c r="AH30" s="22" t="str">
        <f>IF(OR($B30="",AH$22=""),"",IF(LEN(VLOOKUP($B30,Database!$B$1:$IX$10144,AH$22,FALSE))=0,"",VLOOKUP($B30,Database!$B$1:$IX$10144,AH$22,FALSE)))</f>
        <v>ns</v>
      </c>
      <c r="AI30" s="22" t="str">
        <f>IF(OR($B30="",AI$22=""),"",IF(LEN(VLOOKUP($B30,Database!$B$1:$IX$10144,AI$22,FALSE))=0,"",VLOOKUP($B30,Database!$B$1:$IX$10144,AI$22,FALSE)))</f>
        <v>ns</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Novaretti TM, Marcolin MA, Meira S Jr, Gelas PL, Baudelin CG, Bottino CM.</v>
      </c>
      <c r="AR30" s="163"/>
      <c r="AU30" s="22"/>
      <c r="AX30" s="13"/>
      <c r="AY30" s="13"/>
      <c r="BA30" s="23"/>
      <c r="BD30" s="136"/>
      <c r="BE30" s="136"/>
      <c r="BF30" s="136"/>
      <c r="BG30" s="136"/>
    </row>
    <row r="31" spans="1:63">
      <c r="A31" s="13" t="s">
        <v>364</v>
      </c>
      <c r="B31">
        <v>12169341</v>
      </c>
      <c r="C31" s="1" t="str">
        <f>IF($B31="","",HYPERLINK(IF(LEN(VLOOKUP($B31,Database!$B$1:$IX$10144,2,FALSE))=0,"",VLOOKUP($B31,Database!$B$1:$IX$10144,2,FALSE))))</f>
        <v/>
      </c>
      <c r="D31" s="1" t="str">
        <f t="shared" si="0"/>
        <v>http://www.ncbi.nlm.nih.gov/pubmed/12169341</v>
      </c>
      <c r="E31" s="22" t="str">
        <f>IF($B31="","",IF(LEN(VLOOKUP($B31,Database!$B$1:$IX$10144,4,FALSE))=0,"",VLOOKUP($B31,Database!$B$1:$IX$10144,4,FALSE)))</f>
        <v>Tupler LA</v>
      </c>
      <c r="F31" s="22">
        <f>IF($B31="","",IF(LEN(VLOOKUP($B31,Database!$B$1:$IX$10144,5,FALSE))=0,"",VLOOKUP($B31,Database!$B$1:$IX$10144,5,FALSE)))</f>
        <v>2002</v>
      </c>
      <c r="G31" s="1" t="str">
        <f>IF($B31="","",HYPERLINK(IF(LEN(VLOOKUP($B31,Database!$B$1:$IX$10144,6,FALSE))=0,"",VLOOKUP($B31,Database!$B$1:$IX$10144,6,FALSE))))</f>
        <v>http://dx.doi.org/10.1016/S0022-3999(02)00425-7</v>
      </c>
      <c r="H31" s="22">
        <f>IF($B31="","",IF(LEN(VLOOKUP($B31,Database!$B$1:$IX$10144,7,FALSE))=0,"",VLOOKUP($B31,Database!$B$1:$IX$10144,7,FALSE)))</f>
        <v>115</v>
      </c>
      <c r="I31" s="22">
        <f>IF($B31="","",IF(LEN(VLOOKUP($B31,Database!$B$1:$IX$10144,8,FALSE))=0,"",VLOOKUP($B31,Database!$B$1:$IX$10144,8,FALSE)))</f>
        <v>37</v>
      </c>
      <c r="J31" s="13" t="s">
        <v>886</v>
      </c>
      <c r="K31" t="s">
        <v>694</v>
      </c>
      <c r="L31">
        <v>81</v>
      </c>
      <c r="M31">
        <v>34</v>
      </c>
      <c r="N31">
        <f t="shared" si="5"/>
        <v>115</v>
      </c>
      <c r="O31">
        <v>26</v>
      </c>
      <c r="P31">
        <v>11</v>
      </c>
      <c r="Q31">
        <f t="shared" si="1"/>
        <v>37</v>
      </c>
      <c r="R31">
        <f t="shared" si="2"/>
        <v>115</v>
      </c>
      <c r="S31">
        <f t="shared" si="3"/>
        <v>37</v>
      </c>
      <c r="U31" s="136">
        <f t="shared" si="6"/>
        <v>70.434782608695656</v>
      </c>
      <c r="V31" s="136">
        <f t="shared" si="4"/>
        <v>70.270270270270274</v>
      </c>
      <c r="Y31" s="22" t="str">
        <f>IF(OR($B31="",Y$22=""),"",IF(LEN(VLOOKUP($B31,Database!$B$1:$IX$10144,Y$22,FALSE))=0,"",VLOOKUP($B31,Database!$B$1:$IX$10144,Y$22,FALSE)))</f>
        <v>DSM-III-R</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66.7</v>
      </c>
      <c r="AC31" s="22">
        <f>IF(OR($B31="",AC$22=""),"",IF(LEN(VLOOKUP($B31,Database!$B$1:$IX$10144,AC$22,FALSE))=0,"",VLOOKUP($B31,Database!$B$1:$IX$10144,AC$22,FALSE)))</f>
        <v>10.9</v>
      </c>
      <c r="AD31" s="22">
        <f>IF(OR($B31="",AD$22=""),"",IF(LEN(VLOOKUP($B31,Database!$B$1:$IX$10144,AD$22,FALSE))=0,"",VLOOKUP($B31,Database!$B$1:$IX$10144,AD$22,FALSE)))</f>
        <v>65.900000000000006</v>
      </c>
      <c r="AE31" s="22">
        <f>IF(OR($B31="",AE$22=""),"",IF(LEN(VLOOKUP($B31,Database!$B$1:$IX$10144,AE$22,FALSE))=0,"",VLOOKUP($B31,Database!$B$1:$IX$10144,AE$22,FALSE)))</f>
        <v>9.4</v>
      </c>
      <c r="AF31" s="22">
        <f>IF(OR($B31="",AF$22=""),"",IF(LEN(VLOOKUP($B31,Database!$B$1:$IX$10144,AF$22,FALSE))=0,"",VLOOKUP($B31,Database!$B$1:$IX$10144,AF$22,FALSE)))</f>
        <v>84</v>
      </c>
      <c r="AG31" s="22">
        <f>IF(OR($B31="",AG$22=""),"",IF(LEN(VLOOKUP($B31,Database!$B$1:$IX$10144,AG$22,FALSE))=0,"",VLOOKUP($B31,Database!$B$1:$IX$10144,AG$22,FALSE)))</f>
        <v>24</v>
      </c>
      <c r="AH31" s="22">
        <f>IF(OR($B31="",AH$22=""),"",IF(LEN(VLOOKUP($B31,Database!$B$1:$IX$10144,AH$22,FALSE))=0,"",VLOOKUP($B31,Database!$B$1:$IX$10144,AH$22,FALSE)))</f>
        <v>1.5</v>
      </c>
      <c r="AI31" s="22">
        <f>IF(OR($B31="",AI$22=""),"",IF(LEN(VLOOKUP($B31,Database!$B$1:$IX$10144,AI$22,FALSE))=0,"",VLOOKUP($B31,Database!$B$1:$IX$10144,AI$22,FALSE)))</f>
        <v>5</v>
      </c>
      <c r="AJ31" s="22" t="str">
        <f>IF(OR($B31="",AJ$22=""),"",IF(LEN(VLOOKUP($B31,Database!$B$1:$IX$10144,AJ$22,FALSE))=0,"",VLOOKUP($B31,Database!$B$1:$IX$10144,AJ$22,FALSE)))</f>
        <v/>
      </c>
      <c r="AK31" s="22" t="str">
        <f>IF(OR($B31="",AK$22=""),"",IF(LEN(VLOOKUP($B31,Database!$B$1:$IX$10144,AK$22,FALSE))=0,"",VLOOKUP($B31,Database!$B$1:$IX$10144,AK$22,FALSE)))</f>
        <v>ns</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Tupler LA, Krishnan KR, McDonald WM, Dombeck CB, D'Souza S, Steffens DC.</v>
      </c>
      <c r="AR31" s="163"/>
      <c r="AU31" s="22"/>
      <c r="AX31" s="13"/>
      <c r="AY31" s="13"/>
      <c r="BA31" s="23"/>
      <c r="BD31" s="136"/>
      <c r="BE31" s="136"/>
      <c r="BF31" s="136"/>
      <c r="BG31" s="136"/>
    </row>
    <row r="32" spans="1:63">
      <c r="A32" s="4"/>
      <c r="B32">
        <v>14612223</v>
      </c>
      <c r="C32" s="1" t="str">
        <f>IF($B32="","",HYPERLINK(IF(LEN(VLOOKUP($B32,Database!$B$1:$IX$10144,2,FALSE))=0,"",VLOOKUP($B32,Database!$B$1:$IX$10144,2,FALSE))))</f>
        <v/>
      </c>
      <c r="D32" s="1" t="str">
        <f t="shared" ref="D32:D38" si="7">IF($B32="","",HYPERLINK(CONCATENATE("http://www.ncbi.nlm.nih.gov/pubmed/",B32)))</f>
        <v>http://www.ncbi.nlm.nih.gov/pubmed/14612223</v>
      </c>
      <c r="E32" s="22" t="str">
        <f>IF($B32="","",IF(LEN(VLOOKUP($B32,Database!$B$1:$IX$10144,4,FALSE))=0,"",VLOOKUP($B32,Database!$B$1:$IX$10144,4,FALSE)))</f>
        <v>Sassi RB</v>
      </c>
      <c r="F32" s="22">
        <f>IF($B32="","",IF(LEN(VLOOKUP($B32,Database!$B$1:$IX$10144,5,FALSE))=0,"",VLOOKUP($B32,Database!$B$1:$IX$10144,5,FALSE)))</f>
        <v>2003</v>
      </c>
      <c r="G32" s="1" t="str">
        <f>IF($B32="","",HYPERLINK(IF(LEN(VLOOKUP($B32,Database!$B$1:$IX$10144,6,FALSE))=0,"",VLOOKUP($B32,Database!$B$1:$IX$10144,6,FALSE))))</f>
        <v>http://dx.doi.org/10.1016/S0165-0327(02)00170-2</v>
      </c>
      <c r="H32" s="22">
        <f>IF($B32="","",IF(LEN(VLOOKUP($B32,Database!$B$1:$IX$10144,7,FALSE))=0,"",VLOOKUP($B32,Database!$B$1:$IX$10144,7,FALSE)))</f>
        <v>18</v>
      </c>
      <c r="I32" s="22">
        <f>IF($B32="","",IF(LEN(VLOOKUP($B32,Database!$B$1:$IX$10144,8,FALSE))=0,"",VLOOKUP($B32,Database!$B$1:$IX$10144,8,FALSE)))</f>
        <v>38</v>
      </c>
      <c r="J32" t="s">
        <v>697</v>
      </c>
      <c r="K32" s="213" t="s">
        <v>2442</v>
      </c>
      <c r="L32" s="2">
        <v>3</v>
      </c>
      <c r="M32">
        <v>14</v>
      </c>
      <c r="N32">
        <f t="shared" ref="N32:N37" si="8">H32</f>
        <v>18</v>
      </c>
      <c r="O32">
        <v>4</v>
      </c>
      <c r="P32">
        <v>34</v>
      </c>
      <c r="Q32">
        <f t="shared" ref="Q32:Q37" si="9">I32</f>
        <v>38</v>
      </c>
      <c r="R32" s="2">
        <f t="shared" si="2"/>
        <v>17</v>
      </c>
      <c r="S32">
        <f t="shared" si="3"/>
        <v>38</v>
      </c>
      <c r="U32" s="136">
        <f t="shared" si="6"/>
        <v>16.666666666666668</v>
      </c>
      <c r="V32" s="136">
        <f t="shared" si="4"/>
        <v>10.526315789473685</v>
      </c>
      <c r="X32" s="2"/>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42.8</v>
      </c>
      <c r="AC32" s="22">
        <f>IF(OR($B32="",AC$22=""),"",IF(LEN(VLOOKUP($B32,Database!$B$1:$IX$10144,AC$22,FALSE))=0,"",VLOOKUP($B32,Database!$B$1:$IX$10144,AC$22,FALSE)))</f>
        <v>9.1999999999999993</v>
      </c>
      <c r="AD32" s="22">
        <f>IF(OR($B32="",AD$22=""),"",IF(LEN(VLOOKUP($B32,Database!$B$1:$IX$10144,AD$22,FALSE))=0,"",VLOOKUP($B32,Database!$B$1:$IX$10144,AD$22,FALSE)))</f>
        <v>36.799999999999997</v>
      </c>
      <c r="AE32" s="22">
        <f>IF(OR($B32="",AE$22=""),"",IF(LEN(VLOOKUP($B32,Database!$B$1:$IX$10144,AE$22,FALSE))=0,"",VLOOKUP($B32,Database!$B$1:$IX$10144,AE$22,FALSE)))</f>
        <v>9.6999999999999993</v>
      </c>
      <c r="AF32" s="22">
        <f>IF(OR($B32="",AF$22=""),"",IF(LEN(VLOOKUP($B32,Database!$B$1:$IX$10144,AF$22,FALSE))=0,"",VLOOKUP($B32,Database!$B$1:$IX$10144,AF$22,FALSE)))</f>
        <v>16</v>
      </c>
      <c r="AG32" s="22">
        <f>IF(OR($B32="",AG$22=""),"",IF(LEN(VLOOKUP($B32,Database!$B$1:$IX$10144,AG$22,FALSE))=0,"",VLOOKUP($B32,Database!$B$1:$IX$10144,AG$22,FALSE)))</f>
        <v>14</v>
      </c>
      <c r="AH32" s="22">
        <f>IF(OR($B32="",AH$22=""),"",IF(LEN(VLOOKUP($B32,Database!$B$1:$IX$10144,AH$22,FALSE))=0,"",VLOOKUP($B32,Database!$B$1:$IX$10144,AH$22,FALSE)))</f>
        <v>1.5</v>
      </c>
      <c r="AI32" s="22">
        <f>IF(OR($B32="",AI$22=""),"",IF(LEN(VLOOKUP($B32,Database!$B$1:$IX$10144,AI$22,FALSE))=0,"",VLOOKUP($B32,Database!$B$1:$IX$10144,AI$22,FALSE)))</f>
        <v>1.5</v>
      </c>
      <c r="AJ32" s="22" t="str">
        <f>IF(OR($B32="",AJ$22=""),"",IF(LEN(VLOOKUP($B32,Database!$B$1:$IX$10144,AJ$22,FALSE))=0,"",VLOOKUP($B32,Database!$B$1:$IX$10144,AJ$22,FALSE)))</f>
        <v/>
      </c>
      <c r="AK32" s="22">
        <f>IF(OR($B32="",AK$22=""),"",IF(LEN(VLOOKUP($B32,Database!$B$1:$IX$10144,AK$22,FALSE))=0,"",VLOOKUP($B32,Database!$B$1:$IX$10144,AK$22,FALSE)))</f>
        <v>30</v>
      </c>
      <c r="AL32" s="22" t="str">
        <f>IF(OR($B32="",AL$22=""),"",IF(LEN(VLOOKUP($B32,Database!$B$1:$IX$10144,AL$22,FALSE))=0,"",VLOOKUP($B32,Database!$B$1:$IX$10144,AL$22,FALSE)))</f>
        <v>ns</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2" t="str">
        <f>IF(OR($B32="",AQ$22=""),"",IF(LEN(VLOOKUP($B32,Database!$B$1:$IX$10144,AQ$22,FALSE))=0,"",VLOOKUP($B32,Database!$B$1:$IX$10144,AQ$22,FALSE)))</f>
        <v>Sassi RB, Brambilla P, Nicoletti M, Mallinger AG, Frank E, Kupfer DJ, Keshavan MS, Soares JC.</v>
      </c>
      <c r="AR32" s="163"/>
      <c r="AU32" s="22"/>
      <c r="AX32" s="13"/>
      <c r="AY32" s="13"/>
      <c r="BA32" s="23"/>
      <c r="BD32" s="136"/>
      <c r="BE32" s="136"/>
      <c r="BF32" s="136"/>
      <c r="BG32" s="136"/>
    </row>
    <row r="33" spans="1:59">
      <c r="B33">
        <v>12656939</v>
      </c>
      <c r="C33" s="1" t="str">
        <f>IF($B33="","",HYPERLINK(IF(LEN(VLOOKUP($B33,Database!$B$1:$IX$10144,2,FALSE))=0,"",VLOOKUP($B33,Database!$B$1:$IX$10144,2,FALSE))))</f>
        <v/>
      </c>
      <c r="D33" s="1" t="str">
        <f t="shared" si="7"/>
        <v>http://www.ncbi.nlm.nih.gov/pubmed/12656939</v>
      </c>
      <c r="E33" s="22" t="str">
        <f>IF($B33="","",IF(LEN(VLOOKUP($B33,Database!$B$1:$IX$10144,4,FALSE))=0,"",VLOOKUP($B33,Database!$B$1:$IX$10144,4,FALSE)))</f>
        <v>Silverstone T</v>
      </c>
      <c r="F33" s="22">
        <f>IF($B33="","",IF(LEN(VLOOKUP($B33,Database!$B$1:$IX$10144,5,FALSE))=0,"",VLOOKUP($B33,Database!$B$1:$IX$10144,5,FALSE)))</f>
        <v>2003</v>
      </c>
      <c r="G33" s="1" t="str">
        <f>IF($B33="","",HYPERLINK(IF(LEN(VLOOKUP($B33,Database!$B$1:$IX$10144,6,FALSE))=0,"",VLOOKUP($B33,Database!$B$1:$IX$10144,6,FALSE))))</f>
        <v>http://www3.interscience.wiley.com/cgi-bin/fulltext/118852713/PDFSTART</v>
      </c>
      <c r="H33" s="22">
        <f>IF($B33="","",IF(LEN(VLOOKUP($B33,Database!$B$1:$IX$10144,7,FALSE))=0,"",VLOOKUP($B33,Database!$B$1:$IX$10144,7,FALSE)))</f>
        <v>11</v>
      </c>
      <c r="I33" s="22">
        <f>IF($B33="","",IF(LEN(VLOOKUP($B33,Database!$B$1:$IX$10144,8,FALSE))=0,"",VLOOKUP($B33,Database!$B$1:$IX$10144,8,FALSE)))</f>
        <v>19</v>
      </c>
      <c r="J33" t="s">
        <v>1017</v>
      </c>
      <c r="K33" s="2" t="s">
        <v>1018</v>
      </c>
      <c r="L33">
        <v>3</v>
      </c>
      <c r="M33">
        <v>8</v>
      </c>
      <c r="N33">
        <f t="shared" si="8"/>
        <v>11</v>
      </c>
      <c r="O33">
        <v>5</v>
      </c>
      <c r="P33">
        <v>14</v>
      </c>
      <c r="Q33">
        <f t="shared" si="9"/>
        <v>19</v>
      </c>
      <c r="R33">
        <f t="shared" si="2"/>
        <v>11</v>
      </c>
      <c r="S33">
        <f t="shared" si="3"/>
        <v>19</v>
      </c>
      <c r="U33" s="136">
        <f t="shared" si="6"/>
        <v>27.272727272727273</v>
      </c>
      <c r="V33" s="136">
        <f t="shared" si="4"/>
        <v>26.315789473684209</v>
      </c>
      <c r="X33" s="2"/>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34.4</v>
      </c>
      <c r="AC33" s="22" t="str">
        <f>IF(OR($B33="",AC$22=""),"",IF(LEN(VLOOKUP($B33,Database!$B$1:$IX$10144,AC$22,FALSE))=0,"",VLOOKUP($B33,Database!$B$1:$IX$10144,AC$22,FALSE)))</f>
        <v/>
      </c>
      <c r="AD33" s="22">
        <f>IF(OR($B33="",AD$22=""),"",IF(LEN(VLOOKUP($B33,Database!$B$1:$IX$10144,AD$22,FALSE))=0,"",VLOOKUP($B33,Database!$B$1:$IX$10144,AD$22,FALSE)))</f>
        <v>35.9</v>
      </c>
      <c r="AE33" s="22" t="str">
        <f>IF(OR($B33="",AE$22=""),"",IF(LEN(VLOOKUP($B33,Database!$B$1:$IX$10144,AE$22,FALSE))=0,"",VLOOKUP($B33,Database!$B$1:$IX$10144,AE$22,FALSE)))</f>
        <v/>
      </c>
      <c r="AF33" s="22">
        <f>IF(OR($B33="",AF$22=""),"",IF(LEN(VLOOKUP($B33,Database!$B$1:$IX$10144,AF$22,FALSE))=0,"",VLOOKUP($B33,Database!$B$1:$IX$10144,AF$22,FALSE)))</f>
        <v>7</v>
      </c>
      <c r="AG33" s="22">
        <f>IF(OR($B33="",AG$22=""),"",IF(LEN(VLOOKUP($B33,Database!$B$1:$IX$10144,AG$22,FALSE))=0,"",VLOOKUP($B33,Database!$B$1:$IX$10144,AG$22,FALSE)))</f>
        <v>10</v>
      </c>
      <c r="AH33" s="22">
        <f>IF(OR($B33="",AH$22=""),"",IF(LEN(VLOOKUP($B33,Database!$B$1:$IX$10144,AH$22,FALSE))=0,"",VLOOKUP($B33,Database!$B$1:$IX$10144,AH$22,FALSE)))</f>
        <v>0.5</v>
      </c>
      <c r="AI33" s="22">
        <f>IF(OR($B33="",AI$22=""),"",IF(LEN(VLOOKUP($B33,Database!$B$1:$IX$10144,AI$22,FALSE))=0,"",VLOOKUP($B33,Database!$B$1:$IX$10144,AI$22,FALSE)))</f>
        <v>5</v>
      </c>
      <c r="AJ33" s="22" t="str">
        <f>IF(OR($B33="",AJ$22=""),"",IF(LEN(VLOOKUP($B33,Database!$B$1:$IX$10144,AJ$22,FALSE))=0,"",VLOOKUP($B33,Database!$B$1:$IX$10144,AJ$22,FALSE)))</f>
        <v/>
      </c>
      <c r="AK33" s="22">
        <f>IF(OR($B33="",AK$22=""),"",IF(LEN(VLOOKUP($B33,Database!$B$1:$IX$10144,AK$22,FALSE))=0,"",VLOOKUP($B33,Database!$B$1:$IX$10144,AK$22,FALSE)))</f>
        <v>26.6</v>
      </c>
      <c r="AL33" s="22">
        <f>IF(OR($B33="",AL$22=""),"",IF(LEN(VLOOKUP($B33,Database!$B$1:$IX$10144,AL$22,FALSE))=0,"",VLOOKUP($B33,Database!$B$1:$IX$10144,AL$22,FALSE)))</f>
        <v>21.9</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Silverstone T, McPherson H, Li Q, Doyle T.</v>
      </c>
      <c r="AR33" s="163"/>
      <c r="AU33" s="22"/>
      <c r="AX33" s="13"/>
      <c r="AY33" s="13"/>
      <c r="BA33" s="23"/>
      <c r="BD33" s="136"/>
      <c r="BE33" s="136"/>
      <c r="BF33" s="136"/>
      <c r="BG33" s="136"/>
    </row>
    <row r="34" spans="1:59">
      <c r="B34">
        <v>15465296</v>
      </c>
      <c r="C34" s="1" t="str">
        <f>IF($B34="","",HYPERLINK(IF(LEN(VLOOKUP($B34,Database!$B$1:$IX$10144,2,FALSE))=0,"",VLOOKUP($B34,Database!$B$1:$IX$10144,2,FALSE))))</f>
        <v/>
      </c>
      <c r="D34" s="1" t="str">
        <f t="shared" si="7"/>
        <v>http://www.ncbi.nlm.nih.gov/pubmed/15465296</v>
      </c>
      <c r="E34" s="22" t="str">
        <f>IF($B34="","",IF(LEN(VLOOKUP($B34,Database!$B$1:$IX$10144,4,FALSE))=0,"",VLOOKUP($B34,Database!$B$1:$IX$10144,4,FALSE)))</f>
        <v>Supprian T</v>
      </c>
      <c r="F34" s="22">
        <f>IF($B34="","",IF(LEN(VLOOKUP($B34,Database!$B$1:$IX$10144,5,FALSE))=0,"",VLOOKUP($B34,Database!$B$1:$IX$10144,5,FALSE)))</f>
        <v>2004</v>
      </c>
      <c r="G34" s="1" t="str">
        <f>IF($B34="","",HYPERLINK(IF(LEN(VLOOKUP($B34,Database!$B$1:$IX$10144,6,FALSE))=0,"",VLOOKUP($B34,Database!$B$1:$IX$10144,6,FALSE))))</f>
        <v>http://dx.doi.org/10.1016/j.pscychresns.2004.02.005</v>
      </c>
      <c r="H34" s="22">
        <f>IF($B34="","",IF(LEN(VLOOKUP($B34,Database!$B$1:$IX$10144,7,FALSE))=0,"",VLOOKUP($B34,Database!$B$1:$IX$10144,7,FALSE)))</f>
        <v>10</v>
      </c>
      <c r="I34" s="22">
        <f>IF($B34="","",IF(LEN(VLOOKUP($B34,Database!$B$1:$IX$10144,8,FALSE))=0,"",VLOOKUP($B34,Database!$B$1:$IX$10144,8,FALSE)))</f>
        <v>10</v>
      </c>
      <c r="J34" t="s">
        <v>1468</v>
      </c>
      <c r="K34" t="s">
        <v>1469</v>
      </c>
      <c r="L34">
        <v>6</v>
      </c>
      <c r="M34">
        <v>4</v>
      </c>
      <c r="N34">
        <f t="shared" si="8"/>
        <v>10</v>
      </c>
      <c r="O34">
        <v>4</v>
      </c>
      <c r="P34">
        <v>6</v>
      </c>
      <c r="Q34">
        <f t="shared" si="9"/>
        <v>10</v>
      </c>
      <c r="R34">
        <f t="shared" si="2"/>
        <v>10</v>
      </c>
      <c r="S34">
        <f t="shared" si="3"/>
        <v>10</v>
      </c>
      <c r="U34" s="136">
        <f t="shared" si="6"/>
        <v>60</v>
      </c>
      <c r="V34" s="136">
        <f t="shared" si="4"/>
        <v>40</v>
      </c>
      <c r="X34" s="2"/>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48.9</v>
      </c>
      <c r="AC34" s="22">
        <f>IF(OR($B34="",AC$22=""),"",IF(LEN(VLOOKUP($B34,Database!$B$1:$IX$10144,AC$22,FALSE))=0,"",VLOOKUP($B34,Database!$B$1:$IX$10144,AC$22,FALSE)))</f>
        <v>13.8</v>
      </c>
      <c r="AD34" s="22">
        <f>IF(OR($B34="",AD$22=""),"",IF(LEN(VLOOKUP($B34,Database!$B$1:$IX$10144,AD$22,FALSE))=0,"",VLOOKUP($B34,Database!$B$1:$IX$10144,AD$22,FALSE)))</f>
        <v>48.3</v>
      </c>
      <c r="AE34" s="22">
        <f>IF(OR($B34="",AE$22=""),"",IF(LEN(VLOOKUP($B34,Database!$B$1:$IX$10144,AE$22,FALSE))=0,"",VLOOKUP($B34,Database!$B$1:$IX$10144,AE$22,FALSE)))</f>
        <v>15.7</v>
      </c>
      <c r="AF34" s="22">
        <f>IF(OR($B34="",AF$22=""),"",IF(LEN(VLOOKUP($B34,Database!$B$1:$IX$10144,AF$22,FALSE))=0,"",VLOOKUP($B34,Database!$B$1:$IX$10144,AF$22,FALSE)))</f>
        <v>6</v>
      </c>
      <c r="AG34" s="22">
        <f>IF(OR($B34="",AG$22=""),"",IF(LEN(VLOOKUP($B34,Database!$B$1:$IX$10144,AG$22,FALSE))=0,"",VLOOKUP($B34,Database!$B$1:$IX$10144,AG$22,FALSE)))</f>
        <v>6</v>
      </c>
      <c r="AH34" s="22">
        <f>IF(OR($B34="",AH$22=""),"",IF(LEN(VLOOKUP($B34,Database!$B$1:$IX$10144,AH$22,FALSE))=0,"",VLOOKUP($B34,Database!$B$1:$IX$10144,AH$22,FALSE)))</f>
        <v>1.5</v>
      </c>
      <c r="AI34" s="22">
        <f>IF(OR($B34="",AI$22=""),"",IF(LEN(VLOOKUP($B34,Database!$B$1:$IX$10144,AI$22,FALSE))=0,"",VLOOKUP($B34,Database!$B$1:$IX$10144,AI$22,FALSE)))</f>
        <v>4</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f>IF(OR($B34="",AP$22=""),"",IF(LEN(VLOOKUP($B34,Database!$B$1:$IX$10144,AP$22,FALSE))=0,"",VLOOKUP($B34,Database!$B$1:$IX$10144,AP$22,FALSE)))</f>
        <v>0</v>
      </c>
      <c r="AQ34" s="22" t="str">
        <f>IF(OR($B34="",AQ$22=""),"",IF(LEN(VLOOKUP($B34,Database!$B$1:$IX$10144,AQ$22,FALSE))=0,"",VLOOKUP($B34,Database!$B$1:$IX$10144,AQ$22,FALSE)))</f>
        <v>Supprian T, Reiche W, Schmitz B, Grunwald I, Backens M, Hofmann E, Georg T, Falkai P, Reith W.</v>
      </c>
      <c r="AR34" s="163"/>
      <c r="AU34" s="22"/>
      <c r="AX34" s="13"/>
      <c r="AY34" s="13"/>
      <c r="BA34" s="23"/>
      <c r="BD34" s="136"/>
      <c r="BE34" s="136"/>
      <c r="BF34" s="136"/>
      <c r="BG34" s="136"/>
    </row>
    <row r="35" spans="1:59">
      <c r="B35">
        <v>16449707</v>
      </c>
      <c r="C35" s="1" t="str">
        <f>IF($B35="","",HYPERLINK(IF(LEN(VLOOKUP($B35,Database!$B$1:$IX$10144,2,FALSE))=0,"",VLOOKUP($B35,Database!$B$1:$IX$10144,2,FALSE))))</f>
        <v/>
      </c>
      <c r="D35" s="1" t="str">
        <f t="shared" si="7"/>
        <v>http://www.ncbi.nlm.nih.gov/pubmed/16449707</v>
      </c>
      <c r="E35" s="22" t="str">
        <f>IF($B35="","",IF(LEN(VLOOKUP($B35,Database!$B$1:$IX$10144,4,FALSE))=0,"",VLOOKUP($B35,Database!$B$1:$IX$10144,4,FALSE)))</f>
        <v>Iosifescu DV</v>
      </c>
      <c r="F35" s="22">
        <f>IF($B35="","",IF(LEN(VLOOKUP($B35,Database!$B$1:$IX$10144,5,FALSE))=0,"",VLOOKUP($B35,Database!$B$1:$IX$10144,5,FALSE)))</f>
        <v>2006</v>
      </c>
      <c r="G35" s="1" t="str">
        <f>IF($B35="","",HYPERLINK(IF(LEN(VLOOKUP($B35,Database!$B$1:$IX$10144,6,FALSE))=0,"",VLOOKUP($B35,Database!$B$1:$IX$10144,6,FALSE))))</f>
        <v>http://bjp.rcpsych.org/cgi/reprint/188/2/180</v>
      </c>
      <c r="H35" s="22">
        <f>IF($B35="","",IF(LEN(VLOOKUP($B35,Database!$B$1:$IX$10144,7,FALSE))=0,"",VLOOKUP($B35,Database!$B$1:$IX$10144,7,FALSE)))</f>
        <v>84</v>
      </c>
      <c r="I35" s="22">
        <f>IF($B35="","",IF(LEN(VLOOKUP($B35,Database!$B$1:$IX$10144,8,FALSE))=0,"",VLOOKUP($B35,Database!$B$1:$IX$10144,8,FALSE)))</f>
        <v>35</v>
      </c>
      <c r="J35" t="s">
        <v>1321</v>
      </c>
      <c r="K35" t="s">
        <v>1629</v>
      </c>
      <c r="L35">
        <v>27</v>
      </c>
      <c r="M35">
        <v>57</v>
      </c>
      <c r="N35">
        <f t="shared" si="8"/>
        <v>84</v>
      </c>
      <c r="O35">
        <v>13</v>
      </c>
      <c r="P35">
        <v>22</v>
      </c>
      <c r="Q35">
        <f t="shared" si="9"/>
        <v>35</v>
      </c>
      <c r="R35">
        <f t="shared" si="2"/>
        <v>84</v>
      </c>
      <c r="S35">
        <f t="shared" si="3"/>
        <v>35</v>
      </c>
      <c r="U35" s="136">
        <f t="shared" si="6"/>
        <v>32.142857142857146</v>
      </c>
      <c r="V35" s="136">
        <f t="shared" si="4"/>
        <v>37.142857142857146</v>
      </c>
      <c r="X35" s="2"/>
      <c r="Y35" s="22" t="str">
        <f>IF(OR($B35="",Y$22=""),"",IF(LEN(VLOOKUP($B35,Database!$B$1:$IX$10144,Y$22,FALSE))=0,"",VLOOKUP($B35,Database!$B$1:$IX$10144,Y$22,FALSE)))</f>
        <v>DSM-III-R</v>
      </c>
      <c r="Z35" s="22" t="str">
        <f>IF(OR($B35="",Z$22=""),"",IF(LEN(VLOOKUP($B35,Database!$B$1:$IX$10144,Z$22,FALSE))=0,"",VLOOKUP($B35,Database!$B$1:$IX$10144,Z$22,FALSE)))</f>
        <v>MRI</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f>IF(OR($B35="",AD$22=""),"",IF(LEN(VLOOKUP($B35,Database!$B$1:$IX$10144,AD$22,FALSE))=0,"",VLOOKUP($B35,Database!$B$1:$IX$10144,AD$22,FALSE)))</f>
        <v>39.200000000000003</v>
      </c>
      <c r="AE35" s="22">
        <f>IF(OR($B35="",AE$22=""),"",IF(LEN(VLOOKUP($B35,Database!$B$1:$IX$10144,AE$22,FALSE))=0,"",VLOOKUP($B35,Database!$B$1:$IX$10144,AE$22,FALSE)))</f>
        <v>9.8000000000000007</v>
      </c>
      <c r="AF35" s="22">
        <f>IF(OR($B35="",AF$22=""),"",IF(LEN(VLOOKUP($B35,Database!$B$1:$IX$10144,AF$22,FALSE))=0,"",VLOOKUP($B35,Database!$B$1:$IX$10144,AF$22,FALSE)))</f>
        <v>34</v>
      </c>
      <c r="AG35" s="22">
        <f>IF(OR($B35="",AG$22=""),"",IF(LEN(VLOOKUP($B35,Database!$B$1:$IX$10144,AG$22,FALSE))=0,"",VLOOKUP($B35,Database!$B$1:$IX$10144,AG$22,FALSE)))</f>
        <v>14</v>
      </c>
      <c r="AH35" s="22">
        <f>IF(OR($B35="",AH$22=""),"",IF(LEN(VLOOKUP($B35,Database!$B$1:$IX$10144,AH$22,FALSE))=0,"",VLOOKUP($B35,Database!$B$1:$IX$10144,AH$22,FALSE)))</f>
        <v>1.5</v>
      </c>
      <c r="AI35" s="22">
        <f>IF(OR($B35="",AI$22=""),"",IF(LEN(VLOOKUP($B35,Database!$B$1:$IX$10144,AI$22,FALSE))=0,"",VLOOKUP($B35,Database!$B$1:$IX$10144,AI$22,FALSE)))</f>
        <v>3</v>
      </c>
      <c r="AJ35" s="22" t="str">
        <f>IF(OR($B35="",AJ$22=""),"",IF(LEN(VLOOKUP($B35,Database!$B$1:$IX$10144,AJ$22,FALSE))=0,"",VLOOKUP($B35,Database!$B$1:$IX$10144,AJ$22,FALSE)))</f>
        <v/>
      </c>
      <c r="AK35" s="22" t="str">
        <f>IF(OR($B35="",AK$22=""),"",IF(LEN(VLOOKUP($B35,Database!$B$1:$IX$10144,AK$22,FALSE))=0,"",VLOOKUP($B35,Database!$B$1:$IX$10144,AK$22,FALSE)))</f>
        <v>ns</v>
      </c>
      <c r="AL35" s="22">
        <f>IF(OR($B35="",AL$22=""),"",IF(LEN(VLOOKUP($B35,Database!$B$1:$IX$10144,AL$22,FALSE))=0,"",VLOOKUP($B35,Database!$B$1:$IX$10144,AL$22,FALSE)))</f>
        <v>21.6</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Iosifescu DV, Renshaw PF, Lyoo IK, Lee HK, Perlis RH, Papakostas GI, Nierenberg AA, Fava M.</v>
      </c>
      <c r="AR35" s="163"/>
      <c r="AU35" s="22"/>
      <c r="AX35" s="13"/>
      <c r="AY35" s="13"/>
      <c r="BA35" s="23"/>
      <c r="BD35" s="136"/>
      <c r="BE35" s="136"/>
      <c r="BF35" s="136"/>
      <c r="BG35" s="136"/>
    </row>
    <row r="36" spans="1:59">
      <c r="A36" s="13" t="s">
        <v>364</v>
      </c>
      <c r="B36">
        <v>17335636</v>
      </c>
      <c r="C36" s="1" t="str">
        <f>IF($B36="","",HYPERLINK(IF(LEN(VLOOKUP($B36,Database!$B$1:$IX$10144,2,FALSE))=0,"",VLOOKUP($B36,Database!$B$1:$IX$10144,2,FALSE))))</f>
        <v/>
      </c>
      <c r="D36" s="1" t="str">
        <f t="shared" si="7"/>
        <v>http://www.ncbi.nlm.nih.gov/pubmed/17335636</v>
      </c>
      <c r="E36" s="22" t="str">
        <f>IF($B36="","",IF(LEN(VLOOKUP($B36,Database!$B$1:$IX$10144,4,FALSE))=0,"",VLOOKUP($B36,Database!$B$1:$IX$10144,4,FALSE)))</f>
        <v>Taylor WD</v>
      </c>
      <c r="F36" s="22">
        <f>IF($B36="","",IF(LEN(VLOOKUP($B36,Database!$B$1:$IX$10144,5,FALSE))=0,"",VLOOKUP($B36,Database!$B$1:$IX$10144,5,FALSE)))</f>
        <v>2007</v>
      </c>
      <c r="G36" s="1" t="str">
        <f>IF($B36="","",HYPERLINK(IF(LEN(VLOOKUP($B36,Database!$B$1:$IX$10144,6,FALSE))=0,"",VLOOKUP($B36,Database!$B$1:$IX$10144,6,FALSE))))</f>
        <v>http://dx.doi.org/10.1017/S0033291707000128</v>
      </c>
      <c r="H36" s="83">
        <v>224</v>
      </c>
      <c r="I36" s="22">
        <f>IF($B36="","",IF(LEN(VLOOKUP($B36,Database!$B$1:$IX$10144,8,FALSE))=0,"",VLOOKUP($B36,Database!$B$1:$IX$10144,8,FALSE)))</f>
        <v>144</v>
      </c>
      <c r="J36" t="s">
        <v>1886</v>
      </c>
      <c r="K36" t="s">
        <v>881</v>
      </c>
      <c r="L36">
        <v>188</v>
      </c>
      <c r="M36">
        <v>36</v>
      </c>
      <c r="N36">
        <f t="shared" si="8"/>
        <v>224</v>
      </c>
      <c r="O36">
        <v>118</v>
      </c>
      <c r="P36">
        <v>26</v>
      </c>
      <c r="Q36">
        <f t="shared" si="9"/>
        <v>144</v>
      </c>
      <c r="R36" s="13">
        <f t="shared" si="2"/>
        <v>224</v>
      </c>
      <c r="S36">
        <f t="shared" si="3"/>
        <v>144</v>
      </c>
      <c r="U36" s="136">
        <f t="shared" si="6"/>
        <v>83.928571428571431</v>
      </c>
      <c r="V36" s="136">
        <f t="shared" si="4"/>
        <v>81.944444444444443</v>
      </c>
      <c r="X36" s="2"/>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70</v>
      </c>
      <c r="AC36" s="22">
        <f>IF(OR($B36="",AC$22=""),"",IF(LEN(VLOOKUP($B36,Database!$B$1:$IX$10144,AC$22,FALSE))=0,"",VLOOKUP($B36,Database!$B$1:$IX$10144,AC$22,FALSE)))</f>
        <v>7.4</v>
      </c>
      <c r="AD36" s="22">
        <f>IF(OR($B36="",AD$22=""),"",IF(LEN(VLOOKUP($B36,Database!$B$1:$IX$10144,AD$22,FALSE))=0,"",VLOOKUP($B36,Database!$B$1:$IX$10144,AD$22,FALSE)))</f>
        <v>70.3</v>
      </c>
      <c r="AE36" s="22">
        <f>IF(OR($B36="",AE$22=""),"",IF(LEN(VLOOKUP($B36,Database!$B$1:$IX$10144,AE$22,FALSE))=0,"",VLOOKUP($B36,Database!$B$1:$IX$10144,AE$22,FALSE)))</f>
        <v>6.5</v>
      </c>
      <c r="AF36" s="22">
        <f>IF(OR($B36="",AF$22=""),"",IF(LEN(VLOOKUP($B36,Database!$B$1:$IX$10144,AF$22,FALSE))=0,"",VLOOKUP($B36,Database!$B$1:$IX$10144,AF$22,FALSE)))</f>
        <v>150</v>
      </c>
      <c r="AG36" s="22">
        <f>IF(OR($B36="",AG$22=""),"",IF(LEN(VLOOKUP($B36,Database!$B$1:$IX$10144,AG$22,FALSE))=0,"",VLOOKUP($B36,Database!$B$1:$IX$10144,AG$22,FALSE)))</f>
        <v>100</v>
      </c>
      <c r="AH36" s="22">
        <f>IF(OR($B36="",AH$22=""),"",IF(LEN(VLOOKUP($B36,Database!$B$1:$IX$10144,AH$22,FALSE))=0,"",VLOOKUP($B36,Database!$B$1:$IX$10144,AH$22,FALSE)))</f>
        <v>1.5</v>
      </c>
      <c r="AI36" s="22">
        <f>IF(OR($B36="",AI$22=""),"",IF(LEN(VLOOKUP($B36,Database!$B$1:$IX$10144,AI$22,FALSE))=0,"",VLOOKUP($B36,Database!$B$1:$IX$10144,AI$22,FALSE)))</f>
        <v>3</v>
      </c>
      <c r="AJ36" s="22" t="str">
        <f>IF(OR($B36="",AJ$22=""),"",IF(LEN(VLOOKUP($B36,Database!$B$1:$IX$10144,AJ$22,FALSE))=0,"",VLOOKUP($B36,Database!$B$1:$IX$10144,AJ$22,FALSE)))</f>
        <v/>
      </c>
      <c r="AK36" s="22">
        <f>IF(OR($B36="",AK$22=""),"",IF(LEN(VLOOKUP($B36,Database!$B$1:$IX$10144,AK$22,FALSE))=0,"",VLOOKUP($B36,Database!$B$1:$IX$10144,AK$22,FALSE)))</f>
        <v>45.4</v>
      </c>
      <c r="AL36" s="22" t="str">
        <f>IF(OR($B36="",AL$22=""),"",IF(LEN(VLOOKUP($B36,Database!$B$1:$IX$10144,AL$22,FALSE))=0,"",VLOOKUP($B36,Database!$B$1:$IX$10144,AL$22,FALSE)))</f>
        <v>ns</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Taylor WD, Macfall JR, Payne ME, McQuoid DR, Steffens DC, Provenzale JM, Krishnan KR.</v>
      </c>
      <c r="AR36" s="163"/>
      <c r="AU36" s="22"/>
      <c r="AX36" s="13"/>
      <c r="AY36" s="13"/>
      <c r="BA36" s="23"/>
      <c r="BD36" s="136"/>
      <c r="BE36" s="136"/>
      <c r="BF36" s="136"/>
      <c r="BG36" s="136"/>
    </row>
    <row r="37" spans="1:59">
      <c r="B37">
        <v>18700214</v>
      </c>
      <c r="C37" s="1" t="str">
        <f>IF($B37="","",HYPERLINK(IF(LEN(VLOOKUP($B37,Database!$B$1:$IX$10144,2,FALSE))=0,"",VLOOKUP($B37,Database!$B$1:$IX$10144,2,FALSE))))</f>
        <v/>
      </c>
      <c r="D37" s="1" t="str">
        <f t="shared" si="7"/>
        <v>http://www.ncbi.nlm.nih.gov/pubmed/18700214</v>
      </c>
      <c r="E37" s="22" t="str">
        <f>IF($B37="","",IF(LEN(VLOOKUP($B37,Database!$B$1:$IX$10144,4,FALSE))=0,"",VLOOKUP($B37,Database!$B$1:$IX$10144,4,FALSE)))</f>
        <v>Zanetti MV</v>
      </c>
      <c r="F37" s="22">
        <f>IF($B37="","",IF(LEN(VLOOKUP($B37,Database!$B$1:$IX$10144,5,FALSE))=0,"",VLOOKUP($B37,Database!$B$1:$IX$10144,5,FALSE)))</f>
        <v>2008</v>
      </c>
      <c r="G37" s="1" t="str">
        <f>IF($B37="","",HYPERLINK(IF(LEN(VLOOKUP($B37,Database!$B$1:$IX$10144,6,FALSE))=0,"",VLOOKUP($B37,Database!$B$1:$IX$10144,6,FALSE))))</f>
        <v>http://bjp.rcpsych.org/cgi/reprint/193/1/25</v>
      </c>
      <c r="H37" s="22">
        <f>IF($B37="","",IF(LEN(VLOOKUP($B37,Database!$B$1:$IX$10144,7,FALSE))=0,"",VLOOKUP($B37,Database!$B$1:$IX$10144,7,FALSE)))</f>
        <v>28</v>
      </c>
      <c r="I37" s="22">
        <f>IF($B37="","",IF(LEN(VLOOKUP($B37,Database!$B$1:$IX$10144,8,FALSE))=0,"",VLOOKUP($B37,Database!$B$1:$IX$10144,8,FALSE)))</f>
        <v>102</v>
      </c>
      <c r="J37" t="s">
        <v>478</v>
      </c>
      <c r="K37" t="s">
        <v>857</v>
      </c>
      <c r="L37">
        <v>5</v>
      </c>
      <c r="M37">
        <v>23</v>
      </c>
      <c r="N37">
        <f t="shared" si="8"/>
        <v>28</v>
      </c>
      <c r="O37">
        <v>26</v>
      </c>
      <c r="P37">
        <v>76</v>
      </c>
      <c r="Q37">
        <f t="shared" si="9"/>
        <v>102</v>
      </c>
      <c r="R37" s="13">
        <f t="shared" si="2"/>
        <v>28</v>
      </c>
      <c r="S37">
        <f t="shared" si="3"/>
        <v>102</v>
      </c>
      <c r="U37" s="136">
        <f t="shared" si="6"/>
        <v>17.857142857142858</v>
      </c>
      <c r="V37" s="136">
        <f t="shared" si="4"/>
        <v>25.490196078431371</v>
      </c>
      <c r="X37" s="2"/>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30.5</v>
      </c>
      <c r="AC37" s="22" t="str">
        <f>IF(OR($B37="",AC$22=""),"",IF(LEN(VLOOKUP($B37,Database!$B$1:$IX$10144,AC$22,FALSE))=0,"",VLOOKUP($B37,Database!$B$1:$IX$10144,AC$22,FALSE)))</f>
        <v>ns</v>
      </c>
      <c r="AD37" s="22">
        <f>IF(OR($B37="",AD$22=""),"",IF(LEN(VLOOKUP($B37,Database!$B$1:$IX$10144,AD$22,FALSE))=0,"",VLOOKUP($B37,Database!$B$1:$IX$10144,AD$22,FALSE)))</f>
        <v>30.4</v>
      </c>
      <c r="AE37" s="22" t="str">
        <f>IF(OR($B37="",AE$22=""),"",IF(LEN(VLOOKUP($B37,Database!$B$1:$IX$10144,AE$22,FALSE))=0,"",VLOOKUP($B37,Database!$B$1:$IX$10144,AE$22,FALSE)))</f>
        <v>ns</v>
      </c>
      <c r="AF37" s="22">
        <f>IF(OR($B37="",AF$22=""),"",IF(LEN(VLOOKUP($B37,Database!$B$1:$IX$10144,AF$22,FALSE))=0,"",VLOOKUP($B37,Database!$B$1:$IX$10144,AF$22,FALSE)))</f>
        <v>19</v>
      </c>
      <c r="AG37" s="22">
        <f>IF(OR($B37="",AG$22=""),"",IF(LEN(VLOOKUP($B37,Database!$B$1:$IX$10144,AG$22,FALSE))=0,"",VLOOKUP($B37,Database!$B$1:$IX$10144,AG$22,FALSE)))</f>
        <v>48</v>
      </c>
      <c r="AH37" s="22">
        <f>IF(OR($B37="",AH$22=""),"",IF(LEN(VLOOKUP($B37,Database!$B$1:$IX$10144,AH$22,FALSE))=0,"",VLOOKUP($B37,Database!$B$1:$IX$10144,AH$22,FALSE)))</f>
        <v>1.5</v>
      </c>
      <c r="AI37" s="22">
        <f>IF(OR($B37="",AI$22=""),"",IF(LEN(VLOOKUP($B37,Database!$B$1:$IX$10144,AI$22,FALSE))=0,"",VLOOKUP($B37,Database!$B$1:$IX$10144,AI$22,FALSE)))</f>
        <v>3</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f>IF(OR($B37="",AM$22=""),"",IF(LEN(VLOOKUP($B37,Database!$B$1:$IX$10144,AM$22,FALSE))=0,"",VLOOKUP($B37,Database!$B$1:$IX$10144,AM$22,FALSE)))</f>
        <v>50</v>
      </c>
      <c r="AN37" s="22">
        <f>IF(OR($B37="",AN$22=""),"",IF(LEN(VLOOKUP($B37,Database!$B$1:$IX$10144,AN$22,FALSE))=0,"",VLOOKUP($B37,Database!$B$1:$IX$10144,AN$22,FALSE)))</f>
        <v>14.285714285714285</v>
      </c>
      <c r="AO37" s="22">
        <f>IF(OR($B37="",AO$22=""),"",IF(LEN(VLOOKUP($B37,Database!$B$1:$IX$10144,AO$22,FALSE))=0,"",VLOOKUP($B37,Database!$B$1:$IX$10144,AO$22,FALSE)))</f>
        <v>57.142857142857139</v>
      </c>
      <c r="AP37" s="22">
        <f>IF(OR($B37="",AP$22=""),"",IF(LEN(VLOOKUP($B37,Database!$B$1:$IX$10144,AP$22,FALSE))=0,"",VLOOKUP($B37,Database!$B$1:$IX$10144,AP$22,FALSE)))</f>
        <v>25</v>
      </c>
      <c r="AQ37" s="22" t="str">
        <f>IF(OR($B37="",AQ$22=""),"",IF(LEN(VLOOKUP($B37,Database!$B$1:$IX$10144,AQ$22,FALSE))=0,"",VLOOKUP($B37,Database!$B$1:$IX$10144,AQ$22,FALSE)))</f>
        <v>Zanetti MV, Schaufelberger MS, de Castro CC, Menezes PR, Scazufca M, McGuire PK, Murray RM, Busatto GF.</v>
      </c>
      <c r="AR37" s="163"/>
      <c r="AU37" s="22"/>
      <c r="AX37" s="13"/>
      <c r="AY37" s="13"/>
      <c r="BA37" s="23"/>
      <c r="BD37" s="136"/>
      <c r="BE37" s="136"/>
      <c r="BF37" s="136"/>
      <c r="BG37" s="136"/>
    </row>
    <row r="38" spans="1:59">
      <c r="C38" s="1" t="str">
        <f>IF($B38="","",HYPERLINK(IF(LEN(VLOOKUP($B38,Database!$B$1:$IX$10144,2,FALSE))=0,"",VLOOKUP($B38,Database!$B$1:$IX$10144,2,FALSE))))</f>
        <v/>
      </c>
      <c r="D38" s="1" t="str">
        <f t="shared" si="7"/>
        <v/>
      </c>
      <c r="E38" s="22" t="str">
        <f>IF($B38="","",IF(LEN(VLOOKUP($B38,Database!$B$1:$IX$10144,4,FALSE))=0,"",VLOOKUP($B38,Database!$B$1:$IX$10144,4,FALSE)))</f>
        <v/>
      </c>
      <c r="F38" s="22" t="str">
        <f>IF($B38="","",IF(LEN(VLOOKUP($B38,Database!$B$1:$IX$10144,5,FALSE))=0,"",VLOOKUP($B38,Database!$B$1:$IX$10144,5,FALSE)))</f>
        <v/>
      </c>
      <c r="G38" s="1" t="str">
        <f>IF($B38="","",HYPERLINK(IF(LEN(VLOOKUP($B38,Database!$B$1:$IX$10144,6,FALSE))=0,"",VLOOKUP($B38,Database!$B$1:$IX$10144,6,FALSE))))</f>
        <v/>
      </c>
      <c r="H38" s="22" t="str">
        <f>IF($B38="","",IF(LEN(VLOOKUP($B38,Database!$B$1:$IX$10144,7,FALSE))=0,"",VLOOKUP($B38,Database!$B$1:$IX$10144,7,FALSE)))</f>
        <v/>
      </c>
      <c r="I38" s="22" t="str">
        <f>IF($B38="","",IF(LEN(VLOOKUP($B38,Database!$B$1:$IX$10144,8,FALSE))=0,"",VLOOKUP($B38,Database!$B$1:$IX$10144,8,FALSE)))</f>
        <v/>
      </c>
      <c r="R38" s="13"/>
      <c r="U38" s="136"/>
      <c r="V38" s="136"/>
      <c r="Y38" s="22" t="str">
        <f>IF(OR($B38="",Y$22=""),"",IF(LEN(VLOOKUP($B38,Database!$B$1:$IX$10144,Y$22,FALSE))=0,"",VLOOKUP($B38,Database!$B$1:$IX$10144,Y$22,FALSE)))</f>
        <v/>
      </c>
      <c r="Z38" s="22" t="str">
        <f>IF(OR($B38="",Z$22=""),"",IF(LEN(VLOOKUP($B38,Database!$B$1:$IX$10144,Z$22,FALSE))=0,"",VLOOKUP($B38,Database!$B$1:$IX$10144,Z$22,FALSE)))</f>
        <v/>
      </c>
      <c r="AA38" s="22" t="str">
        <f>IF(OR($B38="",AA$22=""),"",IF(LEN(VLOOKUP($B38,Database!$B$1:$IX$10144,AA$22,FALSE))=0,"",VLOOKUP($B38,Database!$B$1:$IX$10144,AA$22,FALSE)))</f>
        <v/>
      </c>
      <c r="AB38" s="22" t="str">
        <f>IF(OR($B38="",AB$22=""),"",IF(LEN(VLOOKUP($B38,Database!$B$1:$IX$10144,AB$22,FALSE))=0,"",VLOOKUP($B38,Database!$B$1:$IX$10144,AB$22,FALSE)))</f>
        <v/>
      </c>
      <c r="AC38" s="22" t="str">
        <f>IF(OR($B38="",AC$22=""),"",IF(LEN(VLOOKUP($B38,Database!$B$1:$IX$10144,AC$22,FALSE))=0,"",VLOOKUP($B38,Database!$B$1:$IX$10144,AC$22,FALSE)))</f>
        <v/>
      </c>
      <c r="AD38" s="22" t="str">
        <f>IF(OR($B38="",AD$22=""),"",IF(LEN(VLOOKUP($B38,Database!$B$1:$IX$10144,AD$22,FALSE))=0,"",VLOOKUP($B38,Database!$B$1:$IX$10144,AD$22,FALSE)))</f>
        <v/>
      </c>
      <c r="AE38" s="22" t="str">
        <f>IF(OR($B38="",AE$22=""),"",IF(LEN(VLOOKUP($B38,Database!$B$1:$IX$10144,AE$22,FALSE))=0,"",VLOOKUP($B38,Database!$B$1:$IX$10144,AE$22,FALSE)))</f>
        <v/>
      </c>
      <c r="AF38" s="22" t="str">
        <f>IF(OR($B38="",AF$22=""),"",IF(LEN(VLOOKUP($B38,Database!$B$1:$IX$10144,AF$22,FALSE))=0,"",VLOOKUP($B38,Database!$B$1:$IX$10144,AF$22,FALSE)))</f>
        <v/>
      </c>
      <c r="AG38" s="22" t="str">
        <f>IF(OR($B38="",AG$22=""),"",IF(LEN(VLOOKUP($B38,Database!$B$1:$IX$10144,AG$22,FALSE))=0,"",VLOOKUP($B38,Database!$B$1:$IX$10144,AG$22,FALSE)))</f>
        <v/>
      </c>
      <c r="AH38" s="22" t="str">
        <f>IF(OR($B38="",AH$22=""),"",IF(LEN(VLOOKUP($B38,Database!$B$1:$IX$10144,AH$22,FALSE))=0,"",VLOOKUP($B38,Database!$B$1:$IX$10144,AH$22,FALSE)))</f>
        <v/>
      </c>
      <c r="AI38" s="22" t="str">
        <f>IF(OR($B38="",AI$22=""),"",IF(LEN(VLOOKUP($B38,Database!$B$1:$IX$10144,AI$22,FALSE))=0,"",VLOOKUP($B38,Database!$B$1:$IX$10144,AI$22,FALSE)))</f>
        <v/>
      </c>
      <c r="AJ38" s="22" t="str">
        <f>IF(OR($B38="",AJ$22=""),"",IF(LEN(VLOOKUP($B38,Database!$B$1:$IX$10144,AJ$22,FALSE))=0,"",VLOOKUP($B38,Database!$B$1:$IX$10144,AJ$22,FALSE)))</f>
        <v/>
      </c>
      <c r="AK38" s="22" t="str">
        <f>IF(OR($B38="",AK$22=""),"",IF(LEN(VLOOKUP($B38,Database!$B$1:$IX$10144,AK$22,FALSE))=0,"",VLOOKUP($B38,Database!$B$1:$IX$10144,AK$22,FALSE)))</f>
        <v/>
      </c>
      <c r="AL38" s="22" t="str">
        <f>IF(OR($B38="",AL$22=""),"",IF(LEN(VLOOKUP($B38,Database!$B$1:$IX$10144,AL$22,FALSE))=0,"",VLOOKUP($B38,Database!$B$1:$IX$10144,AL$22,FALSE)))</f>
        <v/>
      </c>
      <c r="AM38" s="22" t="str">
        <f>IF(OR($B38="",AM$22=""),"",IF(LEN(VLOOKUP($B38,Database!$B$1:$IX$10144,AM$22,FALSE))=0,"",VLOOKUP($B38,Database!$B$1:$IX$10144,AM$22,FALSE)))</f>
        <v/>
      </c>
      <c r="AN38" s="22" t="str">
        <f>IF(OR($B38="",AN$22=""),"",IF(LEN(VLOOKUP($B38,Database!$B$1:$IX$10144,AN$22,FALSE))=0,"",VLOOKUP($B38,Database!$B$1:$IX$10144,AN$22,FALSE)))</f>
        <v/>
      </c>
      <c r="AO38" s="22" t="str">
        <f>IF(OR($B38="",AO$22=""),"",IF(LEN(VLOOKUP($B38,Database!$B$1:$IX$10144,AO$22,FALSE))=0,"",VLOOKUP($B38,Database!$B$1:$IX$10144,AO$22,FALSE)))</f>
        <v/>
      </c>
      <c r="AP38" s="22" t="str">
        <f>IF(OR($B38="",AP$22=""),"",IF(LEN(VLOOKUP($B38,Database!$B$1:$IX$10144,AP$22,FALSE))=0,"",VLOOKUP($B38,Database!$B$1:$IX$10144,AP$22,FALSE)))</f>
        <v/>
      </c>
      <c r="AQ38" s="22" t="str">
        <f>IF(OR($B38="",AQ$22=""),"",IF(LEN(VLOOKUP($B38,Database!$B$1:$IX$10144,AQ$22,FALSE))=0,"",VLOOKUP($B38,Database!$B$1:$IX$10144,AQ$22,FALSE)))</f>
        <v/>
      </c>
    </row>
    <row r="39" spans="1:59">
      <c r="A39" s="4" t="s">
        <v>1090</v>
      </c>
      <c r="C39" s="1"/>
      <c r="D39" s="1"/>
      <c r="E39" s="22"/>
      <c r="F39" s="22"/>
      <c r="G39" s="1"/>
      <c r="H39" s="83"/>
      <c r="I39" s="22" t="str">
        <f>IF($B39="","",IF(LEN(VLOOKUP($B39,Database!$B$1:$IX$10144,8,FALSE))=0,"",VLOOKUP($B39,Database!$B$1:$IX$10144,8,FALSE)))</f>
        <v/>
      </c>
      <c r="V39" s="13"/>
      <c r="Y39" s="22"/>
      <c r="Z39" s="22"/>
      <c r="AA39" s="22"/>
      <c r="AB39" s="22"/>
      <c r="AC39" s="22"/>
      <c r="AD39" s="22"/>
      <c r="AE39" s="22"/>
      <c r="AF39" s="22"/>
      <c r="AG39" s="22"/>
      <c r="AH39" s="22"/>
      <c r="AI39" s="22"/>
      <c r="AJ39" s="22"/>
      <c r="AK39" s="22"/>
      <c r="AL39" s="22"/>
      <c r="AM39" s="22"/>
      <c r="AN39" s="22"/>
      <c r="AO39" s="22"/>
      <c r="AP39" s="22"/>
      <c r="AQ39" s="22"/>
    </row>
    <row r="40" spans="1:59">
      <c r="A40" s="7" t="s">
        <v>18</v>
      </c>
      <c r="B40">
        <v>16298109</v>
      </c>
      <c r="C40" s="1" t="str">
        <f>IF($B40="","",HYPERLINK(IF(LEN(VLOOKUP($B40,Database!$B$1:$IX$10144,2,FALSE))=0,"",VLOOKUP($B40,Database!$B$1:$IX$10144,2,FALSE))))</f>
        <v/>
      </c>
      <c r="D40" s="1" t="str">
        <f>IF($B40="","",HYPERLINK(CONCATENATE("http://www.ncbi.nlm.nih.gov/pubmed/",B40)))</f>
        <v>http://www.ncbi.nlm.nih.gov/pubmed/16298109</v>
      </c>
      <c r="E40" s="22" t="str">
        <f>IF($B40="","",IF(LEN(VLOOKUP($B40,Database!$B$1:$IX$10144,4,FALSE))=0,"",VLOOKUP($B40,Database!$B$1:$IX$10144,4,FALSE)))</f>
        <v>Iosifescu DV</v>
      </c>
      <c r="F40" s="22">
        <f>IF($B40="","",IF(LEN(VLOOKUP($B40,Database!$B$1:$IX$10144,5,FALSE))=0,"",VLOOKUP($B40,Database!$B$1:$IX$10144,5,FALSE)))</f>
        <v>2005</v>
      </c>
      <c r="G40" s="1" t="str">
        <f>IF($B40="","",HYPERLINK(IF(LEN(VLOOKUP($B40,Database!$B$1:$IX$10144,6,FALSE))=0,"",VLOOKUP($B40,Database!$B$1:$IX$10144,6,FALSE))))</f>
        <v>http://dx.doi.org/10.1016/j.pscychresns.2005.09.003</v>
      </c>
      <c r="H40" s="22">
        <f>IF($B40="","",IF(LEN(VLOOKUP($B40,Database!$B$1:$IX$10144,7,FALSE))=0,"",VLOOKUP($B40,Database!$B$1:$IX$10144,7,FALSE)))</f>
        <v>50</v>
      </c>
      <c r="I40" s="22">
        <f>IF($B40="","",IF(LEN(VLOOKUP($B40,Database!$B$1:$IX$10144,8,FALSE))=0,"",VLOOKUP($B40,Database!$B$1:$IX$10144,8,FALSE)))</f>
        <v>35</v>
      </c>
      <c r="L40">
        <v>16</v>
      </c>
      <c r="M40">
        <v>34</v>
      </c>
      <c r="N40">
        <f>H40</f>
        <v>50</v>
      </c>
      <c r="O40">
        <v>13</v>
      </c>
      <c r="P40">
        <v>22</v>
      </c>
      <c r="Q40">
        <f>I40</f>
        <v>35</v>
      </c>
      <c r="R40">
        <f>IF(OR(L40=0,M40=0,O40=0,P40=0),((M40+0.5)*(O40+0.5))/((L40+0.5)*(P40+0.5)),((M40)*(O40))/((L40)*(P40)))</f>
        <v>1.2556818181818181</v>
      </c>
      <c r="S40">
        <f>LN(R40)</f>
        <v>0.22767870647960098</v>
      </c>
      <c r="T40">
        <f>IF(OR(L40=0,M40=0,O40=0,P40=0),(1/(L40+0.5))+(1/(M40+0.5))+(1/(O40+0.5))+(1/(P40+0.5)),(1/L40)+(1/M40)+(1/O40)+(1/P40))</f>
        <v>0.21428938708350476</v>
      </c>
      <c r="V40">
        <f>L40+M40</f>
        <v>50</v>
      </c>
      <c r="W40">
        <f>P40+O40</f>
        <v>35</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40.6</v>
      </c>
      <c r="AC40" s="22">
        <f>IF(OR($B40="",AC$22=""),"",IF(LEN(VLOOKUP($B40,Database!$B$1:$IX$10144,AC$22,FALSE))=0,"",VLOOKUP($B40,Database!$B$1:$IX$10144,AC$22,FALSE)))</f>
        <v>10.3</v>
      </c>
      <c r="AD40" s="22">
        <f>IF(OR($B40="",AD$22=""),"",IF(LEN(VLOOKUP($B40,Database!$B$1:$IX$10144,AD$22,FALSE))=0,"",VLOOKUP($B40,Database!$B$1:$IX$10144,AD$22,FALSE)))</f>
        <v>39.200000000000003</v>
      </c>
      <c r="AE40" s="22">
        <f>IF(OR($B40="",AE$22=""),"",IF(LEN(VLOOKUP($B40,Database!$B$1:$IX$10144,AE$22,FALSE))=0,"",VLOOKUP($B40,Database!$B$1:$IX$10144,AE$22,FALSE)))</f>
        <v>9.8000000000000007</v>
      </c>
      <c r="AF40" s="22">
        <f>IF(OR($B40="",AF$22=""),"",IF(LEN(VLOOKUP($B40,Database!$B$1:$IX$10144,AF$22,FALSE))=0,"",VLOOKUP($B40,Database!$B$1:$IX$10144,AF$22,FALSE)))</f>
        <v>17</v>
      </c>
      <c r="AG40" s="22">
        <f>IF(OR($B40="",AG$22=""),"",IF(LEN(VLOOKUP($B40,Database!$B$1:$IX$10144,AG$22,FALSE))=0,"",VLOOKUP($B40,Database!$B$1:$IX$10144,AG$22,FALSE)))</f>
        <v>14</v>
      </c>
      <c r="AH40" s="22">
        <f>IF(OR($B40="",AH$22=""),"",IF(LEN(VLOOKUP($B40,Database!$B$1:$IX$10144,AH$22,FALSE))=0,"",VLOOKUP($B40,Database!$B$1:$IX$10144,AH$22,FALSE)))</f>
        <v>1.5</v>
      </c>
      <c r="AI40" s="22">
        <f>IF(OR($B40="",AI$22=""),"",IF(LEN(VLOOKUP($B40,Database!$B$1:$IX$10144,AI$22,FALSE))=0,"",VLOOKUP($B40,Database!$B$1:$IX$10144,AI$22,FALSE)))</f>
        <v>5</v>
      </c>
      <c r="AJ40" s="22" t="str">
        <f>IF(OR($B40="",AJ$22=""),"",IF(LEN(VLOOKUP($B40,Database!$B$1:$IX$10144,AJ$22,FALSE))=0,"",VLOOKUP($B40,Database!$B$1:$IX$10144,AJ$22,FALSE)))</f>
        <v/>
      </c>
      <c r="AK40" s="22">
        <f>IF(OR($B40="",AK$22=""),"",IF(LEN(VLOOKUP($B40,Database!$B$1:$IX$10144,AK$22,FALSE))=0,"",VLOOKUP($B40,Database!$B$1:$IX$10144,AK$22,FALSE)))</f>
        <v>27.8</v>
      </c>
      <c r="AL40" s="22">
        <f>IF(OR($B40="",AL$22=""),"",IF(LEN(VLOOKUP($B40,Database!$B$1:$IX$10144,AL$22,FALSE))=0,"",VLOOKUP($B40,Database!$B$1:$IX$10144,AL$22,FALSE)))</f>
        <v>19.899999999999999</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f>IF(OR($B40="",AP$22=""),"",IF(LEN(VLOOKUP($B40,Database!$B$1:$IX$10144,AP$22,FALSE))=0,"",VLOOKUP($B40,Database!$B$1:$IX$10144,AP$22,FALSE)))</f>
        <v>100</v>
      </c>
      <c r="AQ40" s="22" t="str">
        <f>IF(OR($B40="",AQ$22=""),"",IF(LEN(VLOOKUP($B40,Database!$B$1:$IX$10144,AQ$22,FALSE))=0,"",VLOOKUP($B40,Database!$B$1:$IX$10144,AQ$22,FALSE)))</f>
        <v>Iosifescu DV, Papakostas GI, Lyoo IK, Lee HK, Renshaw PF, Alpert JE, Nierenberg A, Fava M.</v>
      </c>
    </row>
    <row r="41" spans="1:59">
      <c r="A41" s="10" t="s">
        <v>365</v>
      </c>
      <c r="B41">
        <v>12946881</v>
      </c>
      <c r="C41" s="1" t="str">
        <f>IF($B41="","",HYPERLINK(IF(LEN(VLOOKUP($B41,Database!$B$1:$IX$10144,2,FALSE))=0,"",VLOOKUP($B41,Database!$B$1:$IX$10144,2,FALSE))))</f>
        <v/>
      </c>
      <c r="D41" s="1" t="str">
        <f>IF($B41="","",HYPERLINK(CONCATENATE("http://www.ncbi.nlm.nih.gov/pubmed/",B41)))</f>
        <v>http://www.ncbi.nlm.nih.gov/pubmed/12946881</v>
      </c>
      <c r="E41" s="22" t="str">
        <f>IF($B41="","",IF(LEN(VLOOKUP($B41,Database!$B$1:$IX$10144,4,FALSE))=0,"",VLOOKUP($B41,Database!$B$1:$IX$10144,4,FALSE)))</f>
        <v>Lee SH</v>
      </c>
      <c r="F41" s="22">
        <f>IF($B41="","",IF(LEN(VLOOKUP($B41,Database!$B$1:$IX$10144,5,FALSE))=0,"",VLOOKUP($B41,Database!$B$1:$IX$10144,5,FALSE)))</f>
        <v>2003</v>
      </c>
      <c r="G41" s="1" t="str">
        <f>IF($B41="","",HYPERLINK(IF(LEN(VLOOKUP($B41,Database!$B$1:$IX$10144,6,FALSE))=0,"",VLOOKUP($B41,Database!$B$1:$IX$10144,6,FALSE))))</f>
        <v>http://dx.doi.org/10.1016/S0006-3223(03)00063-5</v>
      </c>
      <c r="H41" s="22">
        <f>IF($B41="","",IF(LEN(VLOOKUP($B41,Database!$B$1:$IX$10144,7,FALSE))=0,"",VLOOKUP($B41,Database!$B$1:$IX$10144,7,FALSE)))</f>
        <v>41</v>
      </c>
      <c r="I41" s="22">
        <f>IF($B41="","",IF(LEN(VLOOKUP($B41,Database!$B$1:$IX$10144,8,FALSE))=0,"",VLOOKUP($B41,Database!$B$1:$IX$10144,8,FALSE)))</f>
        <v>41</v>
      </c>
      <c r="J41" t="s">
        <v>696</v>
      </c>
      <c r="K41" t="s">
        <v>684</v>
      </c>
      <c r="L41" s="2">
        <v>34</v>
      </c>
      <c r="M41">
        <v>4</v>
      </c>
      <c r="N41">
        <f>H41</f>
        <v>41</v>
      </c>
      <c r="O41">
        <v>36</v>
      </c>
      <c r="P41">
        <v>5</v>
      </c>
      <c r="Q41">
        <f>I41</f>
        <v>41</v>
      </c>
      <c r="R41" s="2">
        <f>L41+M41</f>
        <v>38</v>
      </c>
      <c r="S41">
        <f>P41+O41</f>
        <v>41</v>
      </c>
      <c r="U41" s="136">
        <f>100*L41/N41</f>
        <v>82.926829268292678</v>
      </c>
      <c r="V41" s="136">
        <f>100*O41/Q41</f>
        <v>87.804878048780495</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68.73</v>
      </c>
      <c r="AC41" s="22">
        <f>IF(OR($B41="",AC$22=""),"",IF(LEN(VLOOKUP($B41,Database!$B$1:$IX$10144,AC$22,FALSE))=0,"",VLOOKUP($B41,Database!$B$1:$IX$10144,AC$22,FALSE)))</f>
        <v>6.98</v>
      </c>
      <c r="AD41" s="22">
        <f>IF(OR($B41="",AD$22=""),"",IF(LEN(VLOOKUP($B41,Database!$B$1:$IX$10144,AD$22,FALSE))=0,"",VLOOKUP($B41,Database!$B$1:$IX$10144,AD$22,FALSE)))</f>
        <v>71.150000000000006</v>
      </c>
      <c r="AE41" s="22">
        <f>IF(OR($B41="",AE$22=""),"",IF(LEN(VLOOKUP($B41,Database!$B$1:$IX$10144,AE$22,FALSE))=0,"",VLOOKUP($B41,Database!$B$1:$IX$10144,AE$22,FALSE)))</f>
        <v>6.25</v>
      </c>
      <c r="AF41" s="22">
        <f>IF(OR($B41="",AF$22=""),"",IF(LEN(VLOOKUP($B41,Database!$B$1:$IX$10144,AF$22,FALSE))=0,"",VLOOKUP($B41,Database!$B$1:$IX$10144,AF$22,FALSE)))</f>
        <v>21</v>
      </c>
      <c r="AG41" s="22">
        <f>IF(OR($B41="",AG$22=""),"",IF(LEN(VLOOKUP($B41,Database!$B$1:$IX$10144,AG$22,FALSE))=0,"",VLOOKUP($B41,Database!$B$1:$IX$10144,AG$22,FALSE)))</f>
        <v>34</v>
      </c>
      <c r="AH41" s="22">
        <f>IF(OR($B41="",AH$22=""),"",IF(LEN(VLOOKUP($B41,Database!$B$1:$IX$10144,AH$22,FALSE))=0,"",VLOOKUP($B41,Database!$B$1:$IX$10144,AH$22,FALSE)))</f>
        <v>1.5</v>
      </c>
      <c r="AI41" s="22" t="str">
        <f>IF(OR($B41="",AI$22=""),"",IF(LEN(VLOOKUP($B41,Database!$B$1:$IX$10144,AI$22,FALSE))=0,"",VLOOKUP($B41,Database!$B$1:$IX$10144,AI$22,FALSE)))</f>
        <v>ns</v>
      </c>
      <c r="AJ41" s="22" t="str">
        <f>IF(OR($B41="",AJ$22=""),"",IF(LEN(VLOOKUP($B41,Database!$B$1:$IX$10144,AJ$22,FALSE))=0,"",VLOOKUP($B41,Database!$B$1:$IX$10144,AJ$22,FALSE)))</f>
        <v/>
      </c>
      <c r="AK41" s="22">
        <f>IF(OR($B41="",AK$22=""),"",IF(LEN(VLOOKUP($B41,Database!$B$1:$IX$10144,AK$22,FALSE))=0,"",VLOOKUP($B41,Database!$B$1:$IX$10144,AK$22,FALSE)))</f>
        <v>47.92</v>
      </c>
      <c r="AL41" s="22">
        <f>IF(OR($B41="",AL$22=""),"",IF(LEN(VLOOKUP($B41,Database!$B$1:$IX$10144,AL$22,FALSE))=0,"",VLOOKUP($B41,Database!$B$1:$IX$10144,AL$22,FALSE)))</f>
        <v>20.2</v>
      </c>
      <c r="AM41" s="22">
        <f>IF(OR($B41="",AM$22=""),"",IF(LEN(VLOOKUP($B41,Database!$B$1:$IX$10144,AM$22,FALSE))=0,"",VLOOKUP($B41,Database!$B$1:$IX$10144,AM$22,FALSE)))</f>
        <v>56.09756097560976</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Lee SH, Payne ME, Steffens DC, McQuoid DR, Lai TJ, Provenzale JM, Krishnan KR.</v>
      </c>
      <c r="AS41" s="136"/>
      <c r="AT41" s="136"/>
    </row>
    <row r="42" spans="1:59">
      <c r="AF42" t="s">
        <v>602</v>
      </c>
      <c r="AJ42" t="s">
        <v>329</v>
      </c>
      <c r="AN42" t="s">
        <v>330</v>
      </c>
    </row>
    <row r="43" spans="1:59" ht="45" customHeight="1">
      <c r="E43" s="60" t="s">
        <v>617</v>
      </c>
      <c r="F43" s="60" t="s">
        <v>740</v>
      </c>
      <c r="G43" s="60" t="s">
        <v>244</v>
      </c>
      <c r="H43" s="60" t="s">
        <v>1208</v>
      </c>
      <c r="I43" s="60" t="s">
        <v>870</v>
      </c>
      <c r="J43" s="60" t="s">
        <v>871</v>
      </c>
      <c r="K43" s="60" t="s">
        <v>872</v>
      </c>
      <c r="L43" s="60" t="s">
        <v>873</v>
      </c>
      <c r="M43" s="60" t="s">
        <v>874</v>
      </c>
      <c r="N43" s="60" t="s">
        <v>875</v>
      </c>
      <c r="O43" s="60" t="s">
        <v>1016</v>
      </c>
      <c r="P43" s="61" t="s">
        <v>597</v>
      </c>
      <c r="Q43" s="61" t="s">
        <v>598</v>
      </c>
      <c r="R43" s="61" t="s">
        <v>599</v>
      </c>
      <c r="S43" s="61" t="s">
        <v>600</v>
      </c>
      <c r="T43" s="61" t="s">
        <v>601</v>
      </c>
      <c r="U43" s="61" t="s">
        <v>484</v>
      </c>
      <c r="V43" s="61" t="s">
        <v>485</v>
      </c>
      <c r="W43" s="61" t="s">
        <v>486</v>
      </c>
      <c r="AF43" s="61" t="s">
        <v>596</v>
      </c>
      <c r="AG43" s="62" t="s">
        <v>834</v>
      </c>
      <c r="AH43" s="62" t="s">
        <v>835</v>
      </c>
      <c r="AJ43" s="61" t="s">
        <v>836</v>
      </c>
      <c r="AK43" s="61" t="s">
        <v>837</v>
      </c>
      <c r="AL43" s="61" t="s">
        <v>487</v>
      </c>
      <c r="AN43" t="s">
        <v>488</v>
      </c>
      <c r="AO43" t="s">
        <v>489</v>
      </c>
      <c r="AP43" t="s">
        <v>490</v>
      </c>
      <c r="AQ43" t="s">
        <v>1008</v>
      </c>
      <c r="AR43" t="s">
        <v>1009</v>
      </c>
      <c r="AS43" t="s">
        <v>1010</v>
      </c>
      <c r="AT43" t="s">
        <v>1011</v>
      </c>
      <c r="AU43" t="s">
        <v>1012</v>
      </c>
      <c r="AV43" t="s">
        <v>1013</v>
      </c>
      <c r="AW43" t="s">
        <v>1014</v>
      </c>
      <c r="AX43" t="s">
        <v>1015</v>
      </c>
      <c r="AY43" t="s">
        <v>499</v>
      </c>
      <c r="AZ43" t="s">
        <v>249</v>
      </c>
      <c r="BA43" t="s">
        <v>2205</v>
      </c>
      <c r="BB43" t="s">
        <v>2204</v>
      </c>
    </row>
    <row r="44" spans="1:59">
      <c r="E44" t="str">
        <f t="shared" ref="E44:F51" si="10">E24</f>
        <v>Coffey CE</v>
      </c>
      <c r="F44">
        <f t="shared" si="10"/>
        <v>1990</v>
      </c>
      <c r="G44">
        <v>14</v>
      </c>
      <c r="H44">
        <f t="shared" ref="H44:M45" si="11">L24</f>
        <v>29</v>
      </c>
      <c r="I44">
        <f t="shared" si="11"/>
        <v>6</v>
      </c>
      <c r="J44">
        <f t="shared" si="11"/>
        <v>35</v>
      </c>
      <c r="K44">
        <f t="shared" si="11"/>
        <v>17</v>
      </c>
      <c r="L44">
        <f t="shared" si="11"/>
        <v>5</v>
      </c>
      <c r="M44">
        <f t="shared" si="11"/>
        <v>22</v>
      </c>
      <c r="N44">
        <f>IF(OR(H44=0,I44=0,K44=0,L44=0),((H44+0.5)*(L44+0.5))/((I44+0.5)*(K44+0.5)),((H44)*(L44))/((I44)*(K44)))</f>
        <v>1.4215686274509804</v>
      </c>
      <c r="O44" s="59">
        <f t="shared" ref="O44:O57" si="12">LN(N44)</f>
        <v>0.35176092913630336</v>
      </c>
      <c r="P44" s="59">
        <f>IF(OR(H44=0,I44=0,K44=0,L44=0),(1/(H44+0.5))+(1/(I44+0.5))+(1/(K44+0.5))+(1/(L44+0.5)),(1/H44)+(1/I44)+(1/K44)+(1/L44))</f>
        <v>0.45997295469912103</v>
      </c>
      <c r="Q44" s="59">
        <f t="shared" ref="Q44:Q57" si="13">$R$74*SQRT(P44)</f>
        <v>1.3292975975198869</v>
      </c>
      <c r="R44" s="59">
        <f>1/P44</f>
        <v>2.1740408643245628</v>
      </c>
      <c r="S44" s="59">
        <f>O44*R44</f>
        <v>0.76474263441510026</v>
      </c>
      <c r="T44" s="59">
        <f>R44*(O44^2)</f>
        <v>0.26900657963200003</v>
      </c>
      <c r="U44" s="59">
        <f>R44^2</f>
        <v>4.7264536797530923</v>
      </c>
      <c r="V44" s="59">
        <f t="shared" ref="V44:V57" si="14">1/((1/R44)+$I$71)</f>
        <v>2.1740408643245628</v>
      </c>
      <c r="W44" s="59">
        <f>V44*O44</f>
        <v>0.76474263441510026</v>
      </c>
      <c r="AF44" s="59">
        <f>IF($D$3=1,EXP(O44),O44)</f>
        <v>1.4215686274509804</v>
      </c>
      <c r="AG44" s="59">
        <f>IF($D$3=1,EXP(O44+Q44)-EXP(O44),Q44)</f>
        <v>3.9496699347481705</v>
      </c>
      <c r="AH44" s="59">
        <f>IF($D$3=1,EXP(O44)-EXP(O44-Q44),Q44)</f>
        <v>1.0453318732738466</v>
      </c>
      <c r="AI44">
        <f>EXP(O44+Q44)</f>
        <v>5.3712385621991512</v>
      </c>
      <c r="AJ44">
        <f>SQRT(P44)</f>
        <v>0.67821305995912595</v>
      </c>
      <c r="AK44">
        <f t="shared" ref="AK44:AK57" si="15">1/AJ44</f>
        <v>1.4744629070697448</v>
      </c>
      <c r="AL44">
        <f>O44/AJ44</f>
        <v>0.51865844216786838</v>
      </c>
      <c r="AN44" t="str">
        <f>E44</f>
        <v>Coffey CE</v>
      </c>
      <c r="AO44">
        <f>F44</f>
        <v>1990</v>
      </c>
      <c r="AP44" t="str">
        <f>CONCATENATE(AN44," ",AO44)</f>
        <v>Coffey CE 1990</v>
      </c>
      <c r="AQ44">
        <f t="shared" ref="AQ44:AV44" si="16">H44</f>
        <v>29</v>
      </c>
      <c r="AR44">
        <f t="shared" si="16"/>
        <v>6</v>
      </c>
      <c r="AS44">
        <f t="shared" si="16"/>
        <v>35</v>
      </c>
      <c r="AT44">
        <f t="shared" si="16"/>
        <v>17</v>
      </c>
      <c r="AU44">
        <f t="shared" si="16"/>
        <v>5</v>
      </c>
      <c r="AV44">
        <f t="shared" si="16"/>
        <v>22</v>
      </c>
      <c r="AW44" s="65">
        <f>O44</f>
        <v>0.35176092913630336</v>
      </c>
      <c r="AX44">
        <f>SQRT(P44)</f>
        <v>0.67821305995912595</v>
      </c>
      <c r="AY44" t="str">
        <f>$F$3</f>
        <v>Odds ratio</v>
      </c>
      <c r="AZ44">
        <f t="shared" ref="AZ44:AZ57" si="17">AB24</f>
        <v>71.7</v>
      </c>
      <c r="BA44">
        <f t="shared" ref="BA44:BA57" si="18">AH24</f>
        <v>1.5</v>
      </c>
      <c r="BB44" t="str">
        <f t="shared" ref="BB44:BB57" si="19">AJ24</f>
        <v/>
      </c>
    </row>
    <row r="45" spans="1:59">
      <c r="E45" t="str">
        <f t="shared" si="10"/>
        <v>Brown FW</v>
      </c>
      <c r="F45">
        <f t="shared" si="10"/>
        <v>1992</v>
      </c>
      <c r="G45">
        <v>13</v>
      </c>
      <c r="H45">
        <f t="shared" si="11"/>
        <v>4</v>
      </c>
      <c r="I45">
        <f t="shared" si="11"/>
        <v>24</v>
      </c>
      <c r="J45">
        <f t="shared" si="11"/>
        <v>28</v>
      </c>
      <c r="K45">
        <f t="shared" si="11"/>
        <v>9</v>
      </c>
      <c r="L45">
        <f t="shared" si="11"/>
        <v>145</v>
      </c>
      <c r="M45">
        <f t="shared" si="11"/>
        <v>154</v>
      </c>
      <c r="N45">
        <f>IF(OR(H45=0,I45=0,K45=0,L45=0),((H45+0.5)*(L45+0.5))/((I45+0.5)*(K45+0.5)),((H45)*(L45))/((I45)*(K45)))</f>
        <v>2.6851851851851851</v>
      </c>
      <c r="O45" s="59">
        <f t="shared" si="12"/>
        <v>0.98774969585630001</v>
      </c>
      <c r="P45" s="59">
        <f>IF(OR(H45=0,I45=0,K45=0,L45=0),(1/(H45+0.5))+(1/(I45+0.5))+(1/(K45+0.5))+(1/(L45+0.5)),(1/H45)+(1/I45)+(1/K45)+(1/L45))</f>
        <v>0.40967432950191573</v>
      </c>
      <c r="Q45" s="59">
        <f t="shared" si="13"/>
        <v>1.2545138118867243</v>
      </c>
      <c r="R45" s="59">
        <f>1/P45</f>
        <v>2.4409632920271216</v>
      </c>
      <c r="S45" s="59">
        <f>O45*R45</f>
        <v>2.411060749296182</v>
      </c>
      <c r="T45" s="59">
        <f>R45*(O45^2)</f>
        <v>2.3815245218083669</v>
      </c>
      <c r="U45" s="59">
        <f>R45^2</f>
        <v>5.9583017930238826</v>
      </c>
      <c r="V45" s="59">
        <f t="shared" si="14"/>
        <v>2.4409632920271216</v>
      </c>
      <c r="W45" s="59">
        <f>V45*O45</f>
        <v>2.411060749296182</v>
      </c>
      <c r="AF45" s="59">
        <f>IF($D$3=1,EXP(O45),O45)</f>
        <v>2.6851851851851851</v>
      </c>
      <c r="AG45" s="59">
        <f>IF($D$3=1,EXP(O45+Q45)-EXP(O45),Q45)</f>
        <v>6.7294320617384091</v>
      </c>
      <c r="AH45" s="59">
        <f>IF($D$3=1,EXP(O45)-EXP(O45-Q45),Q45)</f>
        <v>1.9193314824131393</v>
      </c>
      <c r="AI45">
        <f>EXP(O45-Q45)</f>
        <v>0.76585370277204567</v>
      </c>
      <c r="AJ45">
        <f>SQRT(P45)</f>
        <v>0.64005806728914505</v>
      </c>
      <c r="AK45">
        <f t="shared" si="15"/>
        <v>1.5623582470186284</v>
      </c>
      <c r="AL45">
        <f>O45/AJ45</f>
        <v>1.5432188833112324</v>
      </c>
      <c r="AN45" t="str">
        <f>E45</f>
        <v>Brown FW</v>
      </c>
      <c r="AO45">
        <f>F45</f>
        <v>1992</v>
      </c>
      <c r="AP45" t="str">
        <f>CONCATENATE(AN45," ",AO45)</f>
        <v>Brown FW 1992</v>
      </c>
      <c r="AQ45">
        <f t="shared" ref="AQ45:AQ57" si="20">H45</f>
        <v>4</v>
      </c>
      <c r="AR45">
        <f t="shared" ref="AR45:AR57" si="21">I45</f>
        <v>24</v>
      </c>
      <c r="AS45">
        <f t="shared" ref="AS45:AS57" si="22">J45</f>
        <v>28</v>
      </c>
      <c r="AT45">
        <f t="shared" ref="AT45:AT57" si="23">K45</f>
        <v>9</v>
      </c>
      <c r="AU45">
        <f t="shared" ref="AU45:AU57" si="24">L45</f>
        <v>145</v>
      </c>
      <c r="AV45">
        <f t="shared" ref="AV45:AV57" si="25">M45</f>
        <v>154</v>
      </c>
      <c r="AW45" s="65">
        <f>O45</f>
        <v>0.98774969585630001</v>
      </c>
      <c r="AX45">
        <f>SQRT(P45)</f>
        <v>0.64005806728914505</v>
      </c>
      <c r="AY45" t="str">
        <f>$F$4</f>
        <v>Total</v>
      </c>
      <c r="AZ45">
        <f t="shared" si="17"/>
        <v>40.299999999999997</v>
      </c>
      <c r="BA45">
        <f t="shared" si="18"/>
        <v>1</v>
      </c>
      <c r="BB45" t="str">
        <f t="shared" si="19"/>
        <v/>
      </c>
    </row>
    <row r="46" spans="1:59">
      <c r="E46" t="str">
        <f t="shared" si="10"/>
        <v>Miller DS</v>
      </c>
      <c r="F46">
        <f t="shared" si="10"/>
        <v>1994</v>
      </c>
      <c r="G46">
        <v>12</v>
      </c>
      <c r="H46">
        <f t="shared" ref="H46:H55" si="26">L26</f>
        <v>4</v>
      </c>
      <c r="I46">
        <f t="shared" ref="I46:I55" si="27">M26</f>
        <v>15</v>
      </c>
      <c r="J46">
        <f t="shared" ref="J46:J55" si="28">N26</f>
        <v>19</v>
      </c>
      <c r="K46">
        <f t="shared" ref="K46:K55" si="29">O26</f>
        <v>2</v>
      </c>
      <c r="L46">
        <f t="shared" ref="L46:L55" si="30">P26</f>
        <v>21</v>
      </c>
      <c r="M46">
        <f t="shared" ref="M46:M55" si="31">Q26</f>
        <v>23</v>
      </c>
      <c r="N46">
        <f t="shared" ref="N46:N55" si="32">IF(OR(H46=0,I46=0,K46=0,L46=0),((H46+0.5)*(L46+0.5))/((I46+0.5)*(K46+0.5)),((H46)*(L46))/((I46)*(K46)))</f>
        <v>2.8</v>
      </c>
      <c r="O46" s="59">
        <f t="shared" si="12"/>
        <v>1.0296194171811581</v>
      </c>
      <c r="P46" s="59">
        <f t="shared" ref="P46:P55" si="33">IF(OR(H46=0,I46=0,K46=0,L46=0),(1/(H46+0.5))+(1/(I46+0.5))+(1/(K46+0.5))+(1/(L46+0.5)),(1/H46)+(1/I46)+(1/K46)+(1/L46))</f>
        <v>0.86428571428571432</v>
      </c>
      <c r="Q46" s="59">
        <f t="shared" si="13"/>
        <v>1.8221525731946819</v>
      </c>
      <c r="R46" s="59">
        <f t="shared" ref="R46:R55" si="34">1/P46</f>
        <v>1.1570247933884297</v>
      </c>
      <c r="S46" s="59">
        <f t="shared" ref="S46:S55" si="35">O46*R46</f>
        <v>1.1912951934327449</v>
      </c>
      <c r="T46" s="59">
        <f t="shared" ref="T46:T55" si="36">R46*(O46^2)</f>
        <v>1.2265806627529379</v>
      </c>
      <c r="U46" s="59">
        <f t="shared" ref="U46:U55" si="37">R46^2</f>
        <v>1.3387063725155384</v>
      </c>
      <c r="V46" s="59">
        <f t="shared" si="14"/>
        <v>1.1570247933884297</v>
      </c>
      <c r="W46" s="59">
        <f t="shared" ref="W46:W55" si="38">V46*O46</f>
        <v>1.1912951934327449</v>
      </c>
      <c r="AF46" s="59">
        <f t="shared" ref="AF46:AF55" si="39">IF($D$3=1,EXP(O46),O46)</f>
        <v>2.8</v>
      </c>
      <c r="AG46" s="59">
        <f t="shared" ref="AG46:AG55" si="40">IF($D$3=1,EXP(O46+Q46)-EXP(O46),Q46)</f>
        <v>14.518442781031641</v>
      </c>
      <c r="AH46" s="59">
        <f t="shared" ref="AH46:AH55" si="41">IF($D$3=1,EXP(O46)-EXP(O46-Q46),Q46)</f>
        <v>2.3473034094851233</v>
      </c>
      <c r="AI46">
        <f t="shared" ref="AI46:AI55" si="42">EXP(O46-Q46)</f>
        <v>0.45269659051487648</v>
      </c>
      <c r="AJ46">
        <f t="shared" ref="AJ46:AJ55" si="43">SQRT(P46)</f>
        <v>0.92966968020136831</v>
      </c>
      <c r="AK46">
        <f t="shared" si="15"/>
        <v>1.0756508696544755</v>
      </c>
      <c r="AL46">
        <f t="shared" ref="AL46:AL55" si="44">O46/AJ46</f>
        <v>1.1075110215040471</v>
      </c>
      <c r="AN46" t="str">
        <f t="shared" ref="AN46:AN55" si="45">E46</f>
        <v>Miller DS</v>
      </c>
      <c r="AO46">
        <f t="shared" ref="AO46:AO55" si="46">F46</f>
        <v>1994</v>
      </c>
      <c r="AP46" t="str">
        <f t="shared" ref="AP46:AP55" si="47">CONCATENATE(AN46," ",AO46)</f>
        <v>Miller DS 1994</v>
      </c>
      <c r="AQ46">
        <f t="shared" si="20"/>
        <v>4</v>
      </c>
      <c r="AR46">
        <f t="shared" si="21"/>
        <v>15</v>
      </c>
      <c r="AS46">
        <f t="shared" si="22"/>
        <v>19</v>
      </c>
      <c r="AT46">
        <f t="shared" si="23"/>
        <v>2</v>
      </c>
      <c r="AU46">
        <f t="shared" si="24"/>
        <v>21</v>
      </c>
      <c r="AV46">
        <f t="shared" si="25"/>
        <v>23</v>
      </c>
      <c r="AW46" s="65">
        <f t="shared" ref="AW46:AW55" si="48">O46</f>
        <v>1.0296194171811581</v>
      </c>
      <c r="AX46">
        <f t="shared" ref="AX46:AX55" si="49">SQRT(P46)</f>
        <v>0.92966968020136831</v>
      </c>
      <c r="AZ46">
        <f t="shared" si="17"/>
        <v>69</v>
      </c>
      <c r="BA46">
        <f t="shared" si="18"/>
        <v>1.5</v>
      </c>
      <c r="BB46" t="str">
        <f t="shared" si="19"/>
        <v/>
      </c>
    </row>
    <row r="47" spans="1:59">
      <c r="E47" t="str">
        <f t="shared" si="10"/>
        <v>Lewine RR</v>
      </c>
      <c r="F47">
        <f t="shared" si="10"/>
        <v>1995</v>
      </c>
      <c r="G47">
        <v>11</v>
      </c>
      <c r="H47">
        <f t="shared" si="26"/>
        <v>3</v>
      </c>
      <c r="I47">
        <f t="shared" si="27"/>
        <v>24</v>
      </c>
      <c r="J47">
        <f t="shared" si="28"/>
        <v>27</v>
      </c>
      <c r="K47">
        <f t="shared" si="29"/>
        <v>7</v>
      </c>
      <c r="L47">
        <f t="shared" si="30"/>
        <v>143</v>
      </c>
      <c r="M47">
        <f t="shared" si="31"/>
        <v>150</v>
      </c>
      <c r="N47">
        <f t="shared" si="32"/>
        <v>2.5535714285714284</v>
      </c>
      <c r="O47" s="59">
        <f t="shared" si="12"/>
        <v>0.93749293952475798</v>
      </c>
      <c r="P47" s="59">
        <f t="shared" si="33"/>
        <v>0.52485014985014977</v>
      </c>
      <c r="Q47" s="59">
        <f t="shared" si="13"/>
        <v>1.4199522300642142</v>
      </c>
      <c r="R47" s="59">
        <f t="shared" si="34"/>
        <v>1.9053057339995245</v>
      </c>
      <c r="S47" s="59">
        <f t="shared" si="35"/>
        <v>1.7862106732605909</v>
      </c>
      <c r="T47" s="59">
        <f t="shared" si="36"/>
        <v>1.6745598946855684</v>
      </c>
      <c r="U47" s="59">
        <f t="shared" si="37"/>
        <v>3.630189940011467</v>
      </c>
      <c r="V47" s="59">
        <f t="shared" si="14"/>
        <v>1.9053057339995245</v>
      </c>
      <c r="W47" s="59">
        <f t="shared" si="38"/>
        <v>1.7862106732605909</v>
      </c>
      <c r="AF47" s="59">
        <f t="shared" si="39"/>
        <v>2.5535714285714284</v>
      </c>
      <c r="AG47" s="59">
        <f t="shared" si="40"/>
        <v>8.0103564740023696</v>
      </c>
      <c r="AH47" s="59">
        <f t="shared" si="41"/>
        <v>1.9363079352047596</v>
      </c>
      <c r="AI47">
        <f t="shared" si="42"/>
        <v>0.61726349336666864</v>
      </c>
      <c r="AJ47">
        <f t="shared" si="43"/>
        <v>0.72446542350215015</v>
      </c>
      <c r="AK47">
        <f t="shared" si="15"/>
        <v>1.3803281254830404</v>
      </c>
      <c r="AL47">
        <f t="shared" si="44"/>
        <v>1.2940478718677946</v>
      </c>
      <c r="AN47" t="str">
        <f t="shared" si="45"/>
        <v>Lewine RR</v>
      </c>
      <c r="AO47">
        <f t="shared" si="46"/>
        <v>1995</v>
      </c>
      <c r="AP47" t="str">
        <f t="shared" si="47"/>
        <v>Lewine RR 1995</v>
      </c>
      <c r="AQ47">
        <f t="shared" si="20"/>
        <v>3</v>
      </c>
      <c r="AR47">
        <f t="shared" si="21"/>
        <v>24</v>
      </c>
      <c r="AS47">
        <f t="shared" si="22"/>
        <v>27</v>
      </c>
      <c r="AT47">
        <f t="shared" si="23"/>
        <v>7</v>
      </c>
      <c r="AU47">
        <f t="shared" si="24"/>
        <v>143</v>
      </c>
      <c r="AV47">
        <f t="shared" si="25"/>
        <v>150</v>
      </c>
      <c r="AW47" s="65">
        <f t="shared" si="48"/>
        <v>0.93749293952475798</v>
      </c>
      <c r="AX47">
        <f t="shared" si="49"/>
        <v>0.72446542350215015</v>
      </c>
      <c r="AZ47" t="str">
        <f t="shared" si="17"/>
        <v/>
      </c>
      <c r="BA47">
        <f t="shared" si="18"/>
        <v>1.5</v>
      </c>
      <c r="BB47" t="str">
        <f t="shared" si="19"/>
        <v/>
      </c>
    </row>
    <row r="48" spans="1:59">
      <c r="E48" t="str">
        <f t="shared" si="10"/>
        <v>Lesser IM</v>
      </c>
      <c r="F48">
        <f t="shared" si="10"/>
        <v>1996</v>
      </c>
      <c r="G48">
        <v>10</v>
      </c>
      <c r="H48">
        <f t="shared" si="26"/>
        <v>22</v>
      </c>
      <c r="I48">
        <f t="shared" si="27"/>
        <v>73</v>
      </c>
      <c r="J48">
        <f t="shared" si="28"/>
        <v>95</v>
      </c>
      <c r="K48">
        <f t="shared" si="29"/>
        <v>45</v>
      </c>
      <c r="L48">
        <f t="shared" si="30"/>
        <v>120</v>
      </c>
      <c r="M48">
        <f t="shared" si="31"/>
        <v>165</v>
      </c>
      <c r="N48">
        <f t="shared" si="32"/>
        <v>0.80365296803652964</v>
      </c>
      <c r="O48" s="59">
        <f t="shared" si="12"/>
        <v>-0.21858773477834909</v>
      </c>
      <c r="P48" s="59">
        <f t="shared" si="33"/>
        <v>8.9708731147087314E-2</v>
      </c>
      <c r="Q48" s="59">
        <f t="shared" si="13"/>
        <v>0.58704775067676618</v>
      </c>
      <c r="R48" s="59">
        <f t="shared" si="34"/>
        <v>11.147186981837812</v>
      </c>
      <c r="S48" s="59">
        <f t="shared" si="35"/>
        <v>-2.4366383515106294</v>
      </c>
      <c r="T48" s="59">
        <f t="shared" si="36"/>
        <v>0.53261925773075913</v>
      </c>
      <c r="U48" s="59">
        <f t="shared" si="37"/>
        <v>124.25977760805439</v>
      </c>
      <c r="V48" s="59">
        <f t="shared" si="14"/>
        <v>11.147186981837812</v>
      </c>
      <c r="W48" s="59">
        <f t="shared" si="38"/>
        <v>-2.4366383515106294</v>
      </c>
      <c r="AF48" s="59">
        <f t="shared" si="39"/>
        <v>0.80365296803652964</v>
      </c>
      <c r="AG48" s="59">
        <f t="shared" si="40"/>
        <v>0.64185387414427764</v>
      </c>
      <c r="AH48" s="59">
        <f t="shared" si="41"/>
        <v>0.35684906909439101</v>
      </c>
      <c r="AI48">
        <f t="shared" si="42"/>
        <v>0.44680389894213862</v>
      </c>
      <c r="AJ48">
        <f t="shared" si="43"/>
        <v>0.29951415850855417</v>
      </c>
      <c r="AK48">
        <f t="shared" si="15"/>
        <v>3.338740328602662</v>
      </c>
      <c r="AL48">
        <f t="shared" si="44"/>
        <v>-0.72980768544237684</v>
      </c>
      <c r="AN48" t="str">
        <f t="shared" si="45"/>
        <v>Lesser IM</v>
      </c>
      <c r="AO48">
        <f t="shared" si="46"/>
        <v>1996</v>
      </c>
      <c r="AP48" t="str">
        <f t="shared" si="47"/>
        <v>Lesser IM 1996</v>
      </c>
      <c r="AQ48">
        <f t="shared" si="20"/>
        <v>22</v>
      </c>
      <c r="AR48">
        <f t="shared" si="21"/>
        <v>73</v>
      </c>
      <c r="AS48">
        <f t="shared" si="22"/>
        <v>95</v>
      </c>
      <c r="AT48">
        <f t="shared" si="23"/>
        <v>45</v>
      </c>
      <c r="AU48">
        <f t="shared" si="24"/>
        <v>120</v>
      </c>
      <c r="AV48">
        <f t="shared" si="25"/>
        <v>165</v>
      </c>
      <c r="AW48" s="65">
        <f t="shared" si="48"/>
        <v>-0.21858773477834909</v>
      </c>
      <c r="AX48">
        <f t="shared" si="49"/>
        <v>0.29951415850855417</v>
      </c>
      <c r="AZ48" t="str">
        <f t="shared" si="17"/>
        <v>ns</v>
      </c>
      <c r="BA48">
        <f t="shared" si="18"/>
        <v>1.5</v>
      </c>
      <c r="BB48" t="str">
        <f t="shared" si="19"/>
        <v/>
      </c>
    </row>
    <row r="49" spans="5:54">
      <c r="E49" t="str">
        <f t="shared" si="10"/>
        <v>Kramer-Ginsberg E</v>
      </c>
      <c r="F49">
        <f t="shared" si="10"/>
        <v>1999</v>
      </c>
      <c r="G49">
        <v>9</v>
      </c>
      <c r="H49">
        <f t="shared" si="26"/>
        <v>26</v>
      </c>
      <c r="I49">
        <f t="shared" si="27"/>
        <v>15</v>
      </c>
      <c r="J49">
        <f t="shared" si="28"/>
        <v>41</v>
      </c>
      <c r="K49">
        <f t="shared" si="29"/>
        <v>25</v>
      </c>
      <c r="L49">
        <f t="shared" si="30"/>
        <v>13</v>
      </c>
      <c r="M49">
        <f t="shared" si="31"/>
        <v>38</v>
      </c>
      <c r="N49">
        <f t="shared" si="32"/>
        <v>0.90133333333333332</v>
      </c>
      <c r="O49" s="59">
        <f t="shared" si="12"/>
        <v>-0.10388013048739204</v>
      </c>
      <c r="P49" s="59">
        <f t="shared" si="33"/>
        <v>0.22205128205128205</v>
      </c>
      <c r="Q49" s="59">
        <f t="shared" si="13"/>
        <v>0.92359742589951233</v>
      </c>
      <c r="R49" s="59">
        <f t="shared" si="34"/>
        <v>4.5034642032332561</v>
      </c>
      <c r="S49" s="59">
        <f t="shared" si="35"/>
        <v>-0.46782044907716969</v>
      </c>
      <c r="T49" s="59">
        <f t="shared" si="36"/>
        <v>4.859724929480673E-2</v>
      </c>
      <c r="U49" s="59">
        <f t="shared" si="37"/>
        <v>20.281189829803346</v>
      </c>
      <c r="V49" s="59">
        <f t="shared" si="14"/>
        <v>4.5034642032332561</v>
      </c>
      <c r="W49" s="59">
        <f t="shared" si="38"/>
        <v>-0.46782044907716969</v>
      </c>
      <c r="AF49" s="59">
        <f t="shared" si="39"/>
        <v>0.90133333333333332</v>
      </c>
      <c r="AG49" s="59">
        <f t="shared" si="40"/>
        <v>1.3685247142009846</v>
      </c>
      <c r="AH49" s="59">
        <f t="shared" si="41"/>
        <v>0.54342470611311278</v>
      </c>
      <c r="AI49">
        <f t="shared" si="42"/>
        <v>0.35790862722022049</v>
      </c>
      <c r="AJ49">
        <f t="shared" si="43"/>
        <v>0.47122317647934303</v>
      </c>
      <c r="AK49">
        <f t="shared" si="15"/>
        <v>2.1221367070085884</v>
      </c>
      <c r="AL49">
        <f t="shared" si="44"/>
        <v>-0.22044783803613663</v>
      </c>
      <c r="AN49" t="str">
        <f t="shared" si="45"/>
        <v>Kramer-Ginsberg E</v>
      </c>
      <c r="AO49">
        <f t="shared" si="46"/>
        <v>1999</v>
      </c>
      <c r="AP49" t="str">
        <f t="shared" si="47"/>
        <v>Kramer-Ginsberg E 1999</v>
      </c>
      <c r="AQ49">
        <f t="shared" si="20"/>
        <v>26</v>
      </c>
      <c r="AR49">
        <f t="shared" si="21"/>
        <v>15</v>
      </c>
      <c r="AS49">
        <f t="shared" si="22"/>
        <v>41</v>
      </c>
      <c r="AT49">
        <f t="shared" si="23"/>
        <v>25</v>
      </c>
      <c r="AU49">
        <f t="shared" si="24"/>
        <v>13</v>
      </c>
      <c r="AV49">
        <f t="shared" si="25"/>
        <v>38</v>
      </c>
      <c r="AW49" s="65">
        <f t="shared" si="48"/>
        <v>-0.10388013048739204</v>
      </c>
      <c r="AX49">
        <f t="shared" si="49"/>
        <v>0.47122317647934303</v>
      </c>
      <c r="AZ49">
        <f t="shared" si="17"/>
        <v>74.599999999999994</v>
      </c>
      <c r="BA49">
        <f t="shared" si="18"/>
        <v>1</v>
      </c>
      <c r="BB49" t="str">
        <f t="shared" si="19"/>
        <v/>
      </c>
    </row>
    <row r="50" spans="5:54">
      <c r="E50" t="str">
        <f t="shared" si="10"/>
        <v>Novaretti TM</v>
      </c>
      <c r="F50">
        <f t="shared" si="10"/>
        <v>2001</v>
      </c>
      <c r="G50">
        <v>8</v>
      </c>
      <c r="H50">
        <f t="shared" si="26"/>
        <v>29</v>
      </c>
      <c r="I50">
        <f t="shared" si="27"/>
        <v>1</v>
      </c>
      <c r="J50">
        <f t="shared" si="28"/>
        <v>30</v>
      </c>
      <c r="K50">
        <f t="shared" si="29"/>
        <v>18</v>
      </c>
      <c r="L50">
        <f t="shared" si="30"/>
        <v>2</v>
      </c>
      <c r="M50">
        <f t="shared" si="31"/>
        <v>20</v>
      </c>
      <c r="N50">
        <f t="shared" si="32"/>
        <v>3.2222222222222223</v>
      </c>
      <c r="O50" s="59">
        <f t="shared" si="12"/>
        <v>1.1700712526502546</v>
      </c>
      <c r="P50" s="59">
        <f t="shared" si="33"/>
        <v>1.5900383141762453</v>
      </c>
      <c r="Q50" s="59">
        <f t="shared" si="13"/>
        <v>2.4714957389685024</v>
      </c>
      <c r="R50" s="59">
        <f t="shared" si="34"/>
        <v>0.62891566265060239</v>
      </c>
      <c r="S50" s="59">
        <f t="shared" si="35"/>
        <v>0.73587613720895528</v>
      </c>
      <c r="T50" s="59">
        <f t="shared" si="36"/>
        <v>0.86102751365951291</v>
      </c>
      <c r="U50" s="59">
        <f t="shared" si="37"/>
        <v>0.39553491072724634</v>
      </c>
      <c r="V50" s="59">
        <f t="shared" si="14"/>
        <v>0.62891566265060239</v>
      </c>
      <c r="W50" s="59">
        <f t="shared" si="38"/>
        <v>0.73587613720895528</v>
      </c>
      <c r="AF50" s="59">
        <f t="shared" si="39"/>
        <v>3.2222222222222219</v>
      </c>
      <c r="AG50" s="59">
        <f t="shared" si="40"/>
        <v>34.929350883048478</v>
      </c>
      <c r="AH50" s="59">
        <f t="shared" si="41"/>
        <v>2.95007837062444</v>
      </c>
      <c r="AI50">
        <f t="shared" si="42"/>
        <v>0.27214385159778187</v>
      </c>
      <c r="AJ50">
        <f t="shared" si="43"/>
        <v>1.2609672137594401</v>
      </c>
      <c r="AK50">
        <f t="shared" si="15"/>
        <v>0.79304203082220193</v>
      </c>
      <c r="AL50">
        <f t="shared" si="44"/>
        <v>0.92791568240843558</v>
      </c>
      <c r="AN50" t="str">
        <f t="shared" si="45"/>
        <v>Novaretti TM</v>
      </c>
      <c r="AO50">
        <f t="shared" si="46"/>
        <v>2001</v>
      </c>
      <c r="AP50" t="str">
        <f t="shared" si="47"/>
        <v>Novaretti TM 2001</v>
      </c>
      <c r="AQ50">
        <f t="shared" si="20"/>
        <v>29</v>
      </c>
      <c r="AR50">
        <f t="shared" si="21"/>
        <v>1</v>
      </c>
      <c r="AS50">
        <f t="shared" si="22"/>
        <v>30</v>
      </c>
      <c r="AT50">
        <f t="shared" si="23"/>
        <v>18</v>
      </c>
      <c r="AU50">
        <f t="shared" si="24"/>
        <v>2</v>
      </c>
      <c r="AV50">
        <f t="shared" si="25"/>
        <v>20</v>
      </c>
      <c r="AW50" s="65">
        <f t="shared" si="48"/>
        <v>1.1700712526502546</v>
      </c>
      <c r="AX50">
        <f t="shared" si="49"/>
        <v>1.2609672137594401</v>
      </c>
      <c r="AZ50">
        <f t="shared" si="17"/>
        <v>71</v>
      </c>
      <c r="BA50" t="str">
        <f t="shared" si="18"/>
        <v>ns</v>
      </c>
      <c r="BB50" t="str">
        <f t="shared" si="19"/>
        <v/>
      </c>
    </row>
    <row r="51" spans="5:54">
      <c r="E51" t="str">
        <f t="shared" si="10"/>
        <v>Tupler LA</v>
      </c>
      <c r="F51">
        <f t="shared" si="10"/>
        <v>2002</v>
      </c>
      <c r="G51">
        <v>7</v>
      </c>
      <c r="H51">
        <f t="shared" si="26"/>
        <v>81</v>
      </c>
      <c r="I51">
        <f t="shared" si="27"/>
        <v>34</v>
      </c>
      <c r="J51">
        <f t="shared" si="28"/>
        <v>115</v>
      </c>
      <c r="K51">
        <f t="shared" si="29"/>
        <v>26</v>
      </c>
      <c r="L51">
        <f t="shared" si="30"/>
        <v>11</v>
      </c>
      <c r="M51">
        <f t="shared" si="31"/>
        <v>37</v>
      </c>
      <c r="N51">
        <f t="shared" si="32"/>
        <v>1.0079185520361991</v>
      </c>
      <c r="O51" s="59">
        <f t="shared" si="12"/>
        <v>7.8873648331658462E-3</v>
      </c>
      <c r="P51" s="59">
        <f t="shared" si="33"/>
        <v>0.17112807308885741</v>
      </c>
      <c r="Q51" s="59">
        <f t="shared" si="13"/>
        <v>0.81080552882806278</v>
      </c>
      <c r="R51" s="59">
        <f t="shared" si="34"/>
        <v>5.8435765795174639</v>
      </c>
      <c r="S51" s="59">
        <f t="shared" si="35"/>
        <v>4.6090420413197608E-2</v>
      </c>
      <c r="T51" s="59">
        <f t="shared" si="36"/>
        <v>3.635319611128841E-4</v>
      </c>
      <c r="U51" s="59">
        <f t="shared" si="37"/>
        <v>34.147387240685021</v>
      </c>
      <c r="V51" s="59">
        <f t="shared" si="14"/>
        <v>5.8435765795174639</v>
      </c>
      <c r="W51" s="59">
        <f t="shared" si="38"/>
        <v>4.6090420413197608E-2</v>
      </c>
      <c r="AF51" s="59">
        <f t="shared" si="39"/>
        <v>1.0079185520361991</v>
      </c>
      <c r="AG51" s="59">
        <f t="shared" si="40"/>
        <v>1.2596154395266912</v>
      </c>
      <c r="AH51" s="59">
        <f t="shared" si="41"/>
        <v>0.55989889221247013</v>
      </c>
      <c r="AI51">
        <f t="shared" si="42"/>
        <v>0.44801965982372888</v>
      </c>
      <c r="AJ51">
        <f t="shared" si="43"/>
        <v>0.41367629021839941</v>
      </c>
      <c r="AK51">
        <f t="shared" si="15"/>
        <v>2.417349081021908</v>
      </c>
      <c r="AL51">
        <f t="shared" si="44"/>
        <v>1.9066514131137975E-2</v>
      </c>
      <c r="AN51" t="str">
        <f t="shared" si="45"/>
        <v>Tupler LA</v>
      </c>
      <c r="AO51">
        <f t="shared" si="46"/>
        <v>2002</v>
      </c>
      <c r="AP51" t="str">
        <f t="shared" si="47"/>
        <v>Tupler LA 2002</v>
      </c>
      <c r="AQ51">
        <f t="shared" si="20"/>
        <v>81</v>
      </c>
      <c r="AR51">
        <f t="shared" si="21"/>
        <v>34</v>
      </c>
      <c r="AS51">
        <f t="shared" si="22"/>
        <v>115</v>
      </c>
      <c r="AT51">
        <f t="shared" si="23"/>
        <v>26</v>
      </c>
      <c r="AU51">
        <f t="shared" si="24"/>
        <v>11</v>
      </c>
      <c r="AV51">
        <f t="shared" si="25"/>
        <v>37</v>
      </c>
      <c r="AW51" s="65">
        <f t="shared" si="48"/>
        <v>7.8873648331658462E-3</v>
      </c>
      <c r="AX51">
        <f t="shared" si="49"/>
        <v>0.41367629021839941</v>
      </c>
      <c r="AZ51">
        <f t="shared" si="17"/>
        <v>66.7</v>
      </c>
      <c r="BA51">
        <f t="shared" si="18"/>
        <v>1.5</v>
      </c>
      <c r="BB51" t="str">
        <f t="shared" si="19"/>
        <v/>
      </c>
    </row>
    <row r="52" spans="5:54">
      <c r="E52" t="str">
        <f t="shared" ref="E52:F57" si="50">E32</f>
        <v>Sassi RB</v>
      </c>
      <c r="F52">
        <f t="shared" si="50"/>
        <v>2003</v>
      </c>
      <c r="G52">
        <v>6</v>
      </c>
      <c r="H52">
        <f t="shared" si="26"/>
        <v>3</v>
      </c>
      <c r="I52">
        <f t="shared" si="27"/>
        <v>14</v>
      </c>
      <c r="J52">
        <f t="shared" si="28"/>
        <v>18</v>
      </c>
      <c r="K52">
        <f t="shared" si="29"/>
        <v>4</v>
      </c>
      <c r="L52">
        <f t="shared" si="30"/>
        <v>34</v>
      </c>
      <c r="M52">
        <f t="shared" si="31"/>
        <v>38</v>
      </c>
      <c r="N52">
        <f t="shared" si="32"/>
        <v>1.8214285714285714</v>
      </c>
      <c r="O52" s="59">
        <f t="shared" si="12"/>
        <v>0.59962112254912181</v>
      </c>
      <c r="P52" s="59">
        <f t="shared" si="33"/>
        <v>0.68417366946778713</v>
      </c>
      <c r="Q52" s="59">
        <f t="shared" si="13"/>
        <v>1.6212099088728305</v>
      </c>
      <c r="R52" s="59">
        <f t="shared" si="34"/>
        <v>1.4616171954964177</v>
      </c>
      <c r="S52" s="59">
        <f t="shared" si="35"/>
        <v>0.87641654350066123</v>
      </c>
      <c r="T52" s="59">
        <f t="shared" si="36"/>
        <v>0.52551787163448771</v>
      </c>
      <c r="U52" s="59">
        <f t="shared" si="37"/>
        <v>2.1363248261708132</v>
      </c>
      <c r="V52" s="59">
        <f t="shared" si="14"/>
        <v>1.4616171954964177</v>
      </c>
      <c r="W52" s="59">
        <f t="shared" si="38"/>
        <v>0.87641654350066123</v>
      </c>
      <c r="AF52" s="59">
        <f t="shared" si="39"/>
        <v>1.8214285714285714</v>
      </c>
      <c r="AG52" s="59">
        <f t="shared" si="40"/>
        <v>7.3935570559486621</v>
      </c>
      <c r="AH52" s="59">
        <f t="shared" si="41"/>
        <v>1.4614060846913262</v>
      </c>
      <c r="AI52">
        <f t="shared" si="42"/>
        <v>0.36002248673724524</v>
      </c>
      <c r="AJ52">
        <f t="shared" si="43"/>
        <v>0.82714791269021959</v>
      </c>
      <c r="AK52">
        <f t="shared" si="15"/>
        <v>1.2089736124069945</v>
      </c>
      <c r="AL52">
        <f t="shared" si="44"/>
        <v>0.72492611460374889</v>
      </c>
      <c r="AN52" t="str">
        <f t="shared" si="45"/>
        <v>Sassi RB</v>
      </c>
      <c r="AO52">
        <f t="shared" si="46"/>
        <v>2003</v>
      </c>
      <c r="AP52" t="str">
        <f t="shared" si="47"/>
        <v>Sassi RB 2003</v>
      </c>
      <c r="AQ52">
        <f t="shared" si="20"/>
        <v>3</v>
      </c>
      <c r="AR52">
        <f t="shared" si="21"/>
        <v>14</v>
      </c>
      <c r="AS52">
        <f t="shared" si="22"/>
        <v>18</v>
      </c>
      <c r="AT52">
        <f t="shared" si="23"/>
        <v>4</v>
      </c>
      <c r="AU52">
        <f t="shared" si="24"/>
        <v>34</v>
      </c>
      <c r="AV52">
        <f t="shared" si="25"/>
        <v>38</v>
      </c>
      <c r="AW52" s="65">
        <f t="shared" si="48"/>
        <v>0.59962112254912181</v>
      </c>
      <c r="AX52">
        <f t="shared" si="49"/>
        <v>0.82714791269021959</v>
      </c>
      <c r="AZ52">
        <f t="shared" si="17"/>
        <v>42.8</v>
      </c>
      <c r="BA52">
        <f t="shared" si="18"/>
        <v>1.5</v>
      </c>
      <c r="BB52" t="str">
        <f t="shared" si="19"/>
        <v/>
      </c>
    </row>
    <row r="53" spans="5:54">
      <c r="E53" t="str">
        <f t="shared" si="50"/>
        <v>Silverstone T</v>
      </c>
      <c r="F53">
        <f t="shared" si="50"/>
        <v>2003</v>
      </c>
      <c r="G53">
        <v>5</v>
      </c>
      <c r="H53">
        <f t="shared" si="26"/>
        <v>3</v>
      </c>
      <c r="I53">
        <f t="shared" si="27"/>
        <v>8</v>
      </c>
      <c r="J53">
        <f t="shared" si="28"/>
        <v>11</v>
      </c>
      <c r="K53">
        <f t="shared" si="29"/>
        <v>5</v>
      </c>
      <c r="L53">
        <f t="shared" si="30"/>
        <v>14</v>
      </c>
      <c r="M53">
        <f t="shared" si="31"/>
        <v>19</v>
      </c>
      <c r="N53">
        <f t="shared" si="32"/>
        <v>1.05</v>
      </c>
      <c r="O53" s="59">
        <f t="shared" si="12"/>
        <v>4.8790164169432049E-2</v>
      </c>
      <c r="P53" s="59">
        <f t="shared" si="33"/>
        <v>0.72976190476190472</v>
      </c>
      <c r="Q53" s="59">
        <f t="shared" si="13"/>
        <v>1.6743516158003768</v>
      </c>
      <c r="R53" s="59">
        <f t="shared" si="34"/>
        <v>1.3703099510603589</v>
      </c>
      <c r="S53" s="59">
        <f t="shared" si="35"/>
        <v>6.6857647475241311E-2</v>
      </c>
      <c r="T53" s="59">
        <f t="shared" si="36"/>
        <v>3.2619955962990372E-3</v>
      </c>
      <c r="U53" s="59">
        <f t="shared" si="37"/>
        <v>1.8777493619750432</v>
      </c>
      <c r="V53" s="59">
        <f t="shared" si="14"/>
        <v>1.3703099510603589</v>
      </c>
      <c r="W53" s="59">
        <f t="shared" si="38"/>
        <v>6.6857647475241311E-2</v>
      </c>
      <c r="AF53" s="59">
        <f t="shared" si="39"/>
        <v>1.05</v>
      </c>
      <c r="AG53" s="59">
        <f t="shared" si="40"/>
        <v>4.5521014146628183</v>
      </c>
      <c r="AH53" s="59">
        <f t="shared" si="41"/>
        <v>0.85319885014677888</v>
      </c>
      <c r="AI53">
        <f t="shared" si="42"/>
        <v>0.19680114985322122</v>
      </c>
      <c r="AJ53">
        <f t="shared" si="43"/>
        <v>0.85426102846958007</v>
      </c>
      <c r="AK53">
        <f t="shared" si="15"/>
        <v>1.1706023881149221</v>
      </c>
      <c r="AL53">
        <f t="shared" si="44"/>
        <v>5.711388269325627E-2</v>
      </c>
      <c r="AN53" t="str">
        <f t="shared" si="45"/>
        <v>Silverstone T</v>
      </c>
      <c r="AO53">
        <f t="shared" si="46"/>
        <v>2003</v>
      </c>
      <c r="AP53" t="str">
        <f t="shared" si="47"/>
        <v>Silverstone T 2003</v>
      </c>
      <c r="AQ53">
        <f t="shared" si="20"/>
        <v>3</v>
      </c>
      <c r="AR53">
        <f t="shared" si="21"/>
        <v>8</v>
      </c>
      <c r="AS53">
        <f t="shared" si="22"/>
        <v>11</v>
      </c>
      <c r="AT53">
        <f t="shared" si="23"/>
        <v>5</v>
      </c>
      <c r="AU53">
        <f t="shared" si="24"/>
        <v>14</v>
      </c>
      <c r="AV53">
        <f t="shared" si="25"/>
        <v>19</v>
      </c>
      <c r="AW53" s="65">
        <f t="shared" si="48"/>
        <v>4.8790164169432049E-2</v>
      </c>
      <c r="AX53">
        <f t="shared" si="49"/>
        <v>0.85426102846958007</v>
      </c>
      <c r="AZ53">
        <f t="shared" si="17"/>
        <v>34.4</v>
      </c>
      <c r="BA53">
        <f t="shared" si="18"/>
        <v>0.5</v>
      </c>
      <c r="BB53" t="str">
        <f t="shared" si="19"/>
        <v/>
      </c>
    </row>
    <row r="54" spans="5:54">
      <c r="E54" t="str">
        <f t="shared" si="50"/>
        <v>Supprian T</v>
      </c>
      <c r="F54">
        <f t="shared" si="50"/>
        <v>2004</v>
      </c>
      <c r="G54">
        <v>4</v>
      </c>
      <c r="H54">
        <f t="shared" si="26"/>
        <v>6</v>
      </c>
      <c r="I54">
        <f t="shared" si="27"/>
        <v>4</v>
      </c>
      <c r="J54">
        <f t="shared" si="28"/>
        <v>10</v>
      </c>
      <c r="K54">
        <f t="shared" si="29"/>
        <v>4</v>
      </c>
      <c r="L54">
        <f t="shared" si="30"/>
        <v>6</v>
      </c>
      <c r="M54">
        <f t="shared" si="31"/>
        <v>10</v>
      </c>
      <c r="N54">
        <f t="shared" si="32"/>
        <v>2.25</v>
      </c>
      <c r="O54" s="59">
        <f t="shared" si="12"/>
        <v>0.81093021621632877</v>
      </c>
      <c r="P54" s="59">
        <f t="shared" si="33"/>
        <v>0.83333333333333326</v>
      </c>
      <c r="Q54" s="59">
        <f t="shared" si="13"/>
        <v>1.7892270211835424</v>
      </c>
      <c r="R54" s="59">
        <f t="shared" si="34"/>
        <v>1.2000000000000002</v>
      </c>
      <c r="S54" s="59">
        <f t="shared" si="35"/>
        <v>0.97311625945959468</v>
      </c>
      <c r="T54" s="59">
        <f t="shared" si="36"/>
        <v>0.78912937868719413</v>
      </c>
      <c r="U54" s="59">
        <f t="shared" si="37"/>
        <v>1.4400000000000004</v>
      </c>
      <c r="V54" s="59">
        <f t="shared" si="14"/>
        <v>1.2000000000000002</v>
      </c>
      <c r="W54" s="59">
        <f t="shared" si="38"/>
        <v>0.97311625945959468</v>
      </c>
      <c r="AF54" s="59">
        <f t="shared" si="39"/>
        <v>2.25</v>
      </c>
      <c r="AG54" s="59">
        <f t="shared" si="40"/>
        <v>11.215855204607621</v>
      </c>
      <c r="AH54" s="59">
        <f t="shared" si="41"/>
        <v>1.8740491284751257</v>
      </c>
      <c r="AI54">
        <f t="shared" si="42"/>
        <v>0.37595087152487433</v>
      </c>
      <c r="AJ54">
        <f t="shared" si="43"/>
        <v>0.91287092917527679</v>
      </c>
      <c r="AK54">
        <f t="shared" si="15"/>
        <v>1.0954451150103324</v>
      </c>
      <c r="AL54">
        <f t="shared" si="44"/>
        <v>0.88832954396844988</v>
      </c>
      <c r="AN54" t="str">
        <f t="shared" si="45"/>
        <v>Supprian T</v>
      </c>
      <c r="AO54">
        <f t="shared" si="46"/>
        <v>2004</v>
      </c>
      <c r="AP54" t="str">
        <f t="shared" si="47"/>
        <v>Supprian T 2004</v>
      </c>
      <c r="AQ54">
        <f t="shared" si="20"/>
        <v>6</v>
      </c>
      <c r="AR54">
        <f t="shared" si="21"/>
        <v>4</v>
      </c>
      <c r="AS54">
        <f t="shared" si="22"/>
        <v>10</v>
      </c>
      <c r="AT54">
        <f t="shared" si="23"/>
        <v>4</v>
      </c>
      <c r="AU54">
        <f t="shared" si="24"/>
        <v>6</v>
      </c>
      <c r="AV54">
        <f t="shared" si="25"/>
        <v>10</v>
      </c>
      <c r="AW54" s="65">
        <f t="shared" si="48"/>
        <v>0.81093021621632877</v>
      </c>
      <c r="AX54">
        <f t="shared" si="49"/>
        <v>0.91287092917527679</v>
      </c>
      <c r="AZ54">
        <f t="shared" si="17"/>
        <v>48.9</v>
      </c>
      <c r="BA54">
        <f t="shared" si="18"/>
        <v>1.5</v>
      </c>
      <c r="BB54" t="str">
        <f t="shared" si="19"/>
        <v/>
      </c>
    </row>
    <row r="55" spans="5:54">
      <c r="E55" t="str">
        <f t="shared" si="50"/>
        <v>Iosifescu DV</v>
      </c>
      <c r="F55">
        <f t="shared" si="50"/>
        <v>2006</v>
      </c>
      <c r="G55">
        <v>3</v>
      </c>
      <c r="H55">
        <f t="shared" si="26"/>
        <v>27</v>
      </c>
      <c r="I55">
        <f t="shared" si="27"/>
        <v>57</v>
      </c>
      <c r="J55">
        <f t="shared" si="28"/>
        <v>84</v>
      </c>
      <c r="K55">
        <f t="shared" si="29"/>
        <v>13</v>
      </c>
      <c r="L55">
        <f t="shared" si="30"/>
        <v>22</v>
      </c>
      <c r="M55">
        <f t="shared" si="31"/>
        <v>35</v>
      </c>
      <c r="N55">
        <f t="shared" si="32"/>
        <v>0.80161943319838058</v>
      </c>
      <c r="O55" s="59">
        <f t="shared" si="12"/>
        <v>-0.22112130593344195</v>
      </c>
      <c r="P55" s="59">
        <f t="shared" si="33"/>
        <v>0.17695851906378224</v>
      </c>
      <c r="Q55" s="59">
        <f t="shared" si="13"/>
        <v>0.82450218121932572</v>
      </c>
      <c r="R55" s="59">
        <f t="shared" si="34"/>
        <v>5.6510418672726566</v>
      </c>
      <c r="S55" s="59">
        <f t="shared" si="35"/>
        <v>-1.2495657575758861</v>
      </c>
      <c r="T55" s="59">
        <f t="shared" si="36"/>
        <v>0.27630561216489069</v>
      </c>
      <c r="U55" s="59">
        <f t="shared" si="37"/>
        <v>31.934274185668432</v>
      </c>
      <c r="V55" s="59">
        <f t="shared" si="14"/>
        <v>5.6510418672726566</v>
      </c>
      <c r="W55" s="59">
        <f t="shared" si="38"/>
        <v>-1.2495657575758861</v>
      </c>
      <c r="AF55" s="59">
        <f t="shared" si="39"/>
        <v>0.80161943319838058</v>
      </c>
      <c r="AG55" s="59">
        <f t="shared" si="40"/>
        <v>1.0266701490564307</v>
      </c>
      <c r="AH55" s="59">
        <f t="shared" si="41"/>
        <v>0.45014682080795798</v>
      </c>
      <c r="AI55">
        <f t="shared" si="42"/>
        <v>0.3514726123904226</v>
      </c>
      <c r="AJ55">
        <f t="shared" si="43"/>
        <v>0.42066437817312535</v>
      </c>
      <c r="AK55">
        <f t="shared" si="15"/>
        <v>2.3771920131265496</v>
      </c>
      <c r="AL55">
        <f t="shared" si="44"/>
        <v>-0.52564780239709052</v>
      </c>
      <c r="AN55" t="str">
        <f t="shared" si="45"/>
        <v>Iosifescu DV</v>
      </c>
      <c r="AO55">
        <f t="shared" si="46"/>
        <v>2006</v>
      </c>
      <c r="AP55" t="str">
        <f t="shared" si="47"/>
        <v>Iosifescu DV 2006</v>
      </c>
      <c r="AQ55">
        <f t="shared" si="20"/>
        <v>27</v>
      </c>
      <c r="AR55">
        <f t="shared" si="21"/>
        <v>57</v>
      </c>
      <c r="AS55">
        <f t="shared" si="22"/>
        <v>84</v>
      </c>
      <c r="AT55">
        <f t="shared" si="23"/>
        <v>13</v>
      </c>
      <c r="AU55">
        <f t="shared" si="24"/>
        <v>22</v>
      </c>
      <c r="AV55">
        <f t="shared" si="25"/>
        <v>35</v>
      </c>
      <c r="AW55" s="65">
        <f t="shared" si="48"/>
        <v>-0.22112130593344195</v>
      </c>
      <c r="AX55">
        <f t="shared" si="49"/>
        <v>0.42066437817312535</v>
      </c>
      <c r="AZ55" t="str">
        <f t="shared" si="17"/>
        <v/>
      </c>
      <c r="BA55">
        <f t="shared" si="18"/>
        <v>1.5</v>
      </c>
      <c r="BB55" t="str">
        <f t="shared" si="19"/>
        <v/>
      </c>
    </row>
    <row r="56" spans="5:54">
      <c r="E56" t="str">
        <f t="shared" si="50"/>
        <v>Taylor WD</v>
      </c>
      <c r="F56">
        <f t="shared" si="50"/>
        <v>2007</v>
      </c>
      <c r="G56">
        <v>2</v>
      </c>
      <c r="H56">
        <f t="shared" ref="H56:M57" si="51">L36</f>
        <v>188</v>
      </c>
      <c r="I56">
        <f t="shared" si="51"/>
        <v>36</v>
      </c>
      <c r="J56">
        <f t="shared" si="51"/>
        <v>224</v>
      </c>
      <c r="K56">
        <f t="shared" si="51"/>
        <v>118</v>
      </c>
      <c r="L56">
        <f t="shared" si="51"/>
        <v>26</v>
      </c>
      <c r="M56">
        <f t="shared" si="51"/>
        <v>144</v>
      </c>
      <c r="N56">
        <f>IF(OR(H56=0,I56=0,K56=0,L56=0),((H56+0.5)*(L56+0.5))/((I56+0.5)*(K56+0.5)),((H56)*(L56))/((I56)*(K56)))</f>
        <v>1.1506591337099812</v>
      </c>
      <c r="O56" s="59">
        <f t="shared" si="12"/>
        <v>0.14033493792965651</v>
      </c>
      <c r="P56" s="59">
        <f>IF(OR(H56=0,I56=0,K56=0,L56=0),(1/(H56+0.5))+(1/(I56+0.5))+(1/(K56+0.5))+(1/(L56+0.5)),(1/H56)+(1/I56)+(1/K56)+(1/L56))</f>
        <v>8.0033041446672892E-2</v>
      </c>
      <c r="Q56" s="59">
        <f t="shared" si="13"/>
        <v>0.55448618740374278</v>
      </c>
      <c r="R56" s="59">
        <f>1/P56</f>
        <v>12.494839405376261</v>
      </c>
      <c r="S56" s="59">
        <f>O56*R56</f>
        <v>1.7534625123945038</v>
      </c>
      <c r="T56" s="59">
        <f>R56*(O56^2)</f>
        <v>0.24607205283886224</v>
      </c>
      <c r="U56" s="59">
        <f>R56^2</f>
        <v>156.1210117661434</v>
      </c>
      <c r="V56" s="59">
        <f t="shared" si="14"/>
        <v>12.494839405376261</v>
      </c>
      <c r="W56" s="59">
        <f>V56*O56</f>
        <v>1.7534625123945038</v>
      </c>
      <c r="AF56" s="59">
        <f>IF($D$3=1,EXP(O56),O56)</f>
        <v>1.1506591337099812</v>
      </c>
      <c r="AG56" s="59">
        <f>IF($D$3=1,EXP(O56+Q56)-EXP(O56),Q56)</f>
        <v>0.85269155949220132</v>
      </c>
      <c r="AH56" s="59">
        <f>IF($D$3=1,EXP(O56)-EXP(O56-Q56),Q56)</f>
        <v>0.48975815093003716</v>
      </c>
      <c r="AI56">
        <f>EXP(O56-Q56)</f>
        <v>0.66090098277994402</v>
      </c>
      <c r="AJ56">
        <f>SQRT(P56)</f>
        <v>0.28290111602231777</v>
      </c>
      <c r="AK56">
        <f t="shared" si="15"/>
        <v>3.5348040123005773</v>
      </c>
      <c r="AL56">
        <f>O56/AJ56</f>
        <v>0.49605650165970233</v>
      </c>
      <c r="AN56" t="str">
        <f>E56</f>
        <v>Taylor WD</v>
      </c>
      <c r="AO56">
        <f>F56</f>
        <v>2007</v>
      </c>
      <c r="AP56" t="str">
        <f>CONCATENATE(AN56," ",AO56)</f>
        <v>Taylor WD 2007</v>
      </c>
      <c r="AQ56">
        <f t="shared" si="20"/>
        <v>188</v>
      </c>
      <c r="AR56">
        <f t="shared" si="21"/>
        <v>36</v>
      </c>
      <c r="AS56">
        <f t="shared" si="22"/>
        <v>224</v>
      </c>
      <c r="AT56">
        <f t="shared" si="23"/>
        <v>118</v>
      </c>
      <c r="AU56">
        <f t="shared" si="24"/>
        <v>26</v>
      </c>
      <c r="AV56">
        <f t="shared" si="25"/>
        <v>144</v>
      </c>
      <c r="AW56" s="65">
        <f>O56</f>
        <v>0.14033493792965651</v>
      </c>
      <c r="AX56">
        <f>SQRT(P56)</f>
        <v>0.28290111602231777</v>
      </c>
      <c r="AZ56">
        <f t="shared" si="17"/>
        <v>70</v>
      </c>
      <c r="BA56">
        <f t="shared" si="18"/>
        <v>1.5</v>
      </c>
      <c r="BB56" t="str">
        <f t="shared" si="19"/>
        <v/>
      </c>
    </row>
    <row r="57" spans="5:54">
      <c r="E57" t="str">
        <f t="shared" si="50"/>
        <v>Zanetti MV</v>
      </c>
      <c r="F57">
        <f t="shared" si="50"/>
        <v>2008</v>
      </c>
      <c r="G57">
        <v>1</v>
      </c>
      <c r="H57">
        <f t="shared" si="51"/>
        <v>5</v>
      </c>
      <c r="I57">
        <f t="shared" si="51"/>
        <v>23</v>
      </c>
      <c r="J57">
        <f t="shared" si="51"/>
        <v>28</v>
      </c>
      <c r="K57">
        <f t="shared" si="51"/>
        <v>26</v>
      </c>
      <c r="L57">
        <f t="shared" si="51"/>
        <v>76</v>
      </c>
      <c r="M57">
        <f t="shared" si="51"/>
        <v>102</v>
      </c>
      <c r="N57">
        <f>IF(OR(H57=0,I57=0,K57=0,L57=0),((H57+0.5)*(L57+0.5))/((I57+0.5)*(K57+0.5)),((H57)*(L57))/((I57)*(K57)))</f>
        <v>0.63545150501672243</v>
      </c>
      <c r="O57" s="59">
        <f t="shared" si="12"/>
        <v>-0.45341950123020025</v>
      </c>
      <c r="P57" s="59">
        <f>IF(OR(H57=0,I57=0,K57=0,L57=0),(1/(H57+0.5))+(1/(I57+0.5))+(1/(K57+0.5))+(1/(L57+0.5)),(1/H57)+(1/I57)+(1/K57)+(1/L57))</f>
        <v>0.29509769406794578</v>
      </c>
      <c r="Q57" s="59">
        <f t="shared" si="13"/>
        <v>1.0647287455175711</v>
      </c>
      <c r="R57" s="59">
        <f>1/P57</f>
        <v>3.3887082823824151</v>
      </c>
      <c r="S57" s="59">
        <f>O57*R57</f>
        <v>-1.5365064192124833</v>
      </c>
      <c r="T57" s="59">
        <f>R57*(O57^2)</f>
        <v>0.69668197423632505</v>
      </c>
      <c r="U57" s="59">
        <f>R57^2</f>
        <v>11.483343823087178</v>
      </c>
      <c r="V57" s="59">
        <f t="shared" si="14"/>
        <v>3.3887082823824151</v>
      </c>
      <c r="W57" s="59">
        <f>V57*O57</f>
        <v>-1.5365064192124833</v>
      </c>
      <c r="AF57" s="59">
        <f>IF($D$3=1,EXP(O57),O57)</f>
        <v>0.63545150501672243</v>
      </c>
      <c r="AG57" s="59">
        <f>IF($D$3=1,EXP(O57+Q57)-EXP(O57),Q57)</f>
        <v>1.2073910461093673</v>
      </c>
      <c r="AH57" s="59">
        <f>IF($D$3=1,EXP(O57)-EXP(O57-Q57),Q57)</f>
        <v>0.41633424240453021</v>
      </c>
      <c r="AI57">
        <f>EXP(O57-Q57)</f>
        <v>0.21911726261219219</v>
      </c>
      <c r="AJ57">
        <f>SQRT(P57)</f>
        <v>0.54322895179467912</v>
      </c>
      <c r="AK57">
        <f t="shared" si="15"/>
        <v>1.8408444481765467</v>
      </c>
      <c r="AL57">
        <f>O57/AJ57</f>
        <v>-0.83467477153459302</v>
      </c>
      <c r="AN57" t="str">
        <f>E57</f>
        <v>Zanetti MV</v>
      </c>
      <c r="AO57">
        <f>F57</f>
        <v>2008</v>
      </c>
      <c r="AP57" t="str">
        <f>CONCATENATE(AN57," ",AO57)</f>
        <v>Zanetti MV 2008</v>
      </c>
      <c r="AQ57">
        <f t="shared" si="20"/>
        <v>5</v>
      </c>
      <c r="AR57">
        <f t="shared" si="21"/>
        <v>23</v>
      </c>
      <c r="AS57">
        <f t="shared" si="22"/>
        <v>28</v>
      </c>
      <c r="AT57">
        <f t="shared" si="23"/>
        <v>26</v>
      </c>
      <c r="AU57">
        <f t="shared" si="24"/>
        <v>76</v>
      </c>
      <c r="AV57">
        <f t="shared" si="25"/>
        <v>102</v>
      </c>
      <c r="AW57" s="65">
        <f>O57</f>
        <v>-0.45341950123020025</v>
      </c>
      <c r="AX57">
        <f>SQRT(P57)</f>
        <v>0.54322895179467912</v>
      </c>
      <c r="AZ57">
        <f t="shared" si="17"/>
        <v>30.5</v>
      </c>
      <c r="BA57">
        <f t="shared" si="18"/>
        <v>1.5</v>
      </c>
      <c r="BB57" t="str">
        <f t="shared" si="19"/>
        <v/>
      </c>
    </row>
    <row r="59" spans="5:54">
      <c r="L59" t="s">
        <v>500</v>
      </c>
      <c r="N59" s="7"/>
      <c r="O59" s="66">
        <f>COUNT(O44:O57)</f>
        <v>14</v>
      </c>
      <c r="Q59" t="s">
        <v>885</v>
      </c>
      <c r="R59" s="59">
        <f t="shared" ref="R59:W59" si="52">SUM(R44:R57)</f>
        <v>55.366994812566887</v>
      </c>
      <c r="S59" s="59">
        <f t="shared" si="52"/>
        <v>4.9145977934806027</v>
      </c>
      <c r="T59" s="59">
        <f t="shared" si="52"/>
        <v>9.5312480966831234</v>
      </c>
      <c r="U59" s="59">
        <f>SUM(U44:U57)</f>
        <v>399.73024533761884</v>
      </c>
      <c r="V59" s="59">
        <f t="shared" si="52"/>
        <v>55.366994812566887</v>
      </c>
      <c r="W59" s="59">
        <f t="shared" si="52"/>
        <v>4.9145977934806027</v>
      </c>
    </row>
    <row r="60" spans="5:54">
      <c r="L60" t="s">
        <v>501</v>
      </c>
      <c r="N60" s="7"/>
      <c r="O60" s="2">
        <v>0</v>
      </c>
    </row>
    <row r="61" spans="5:54">
      <c r="N61" s="7"/>
      <c r="O61" s="7"/>
    </row>
    <row r="62" spans="5:54">
      <c r="G62" s="67" t="s">
        <v>502</v>
      </c>
      <c r="H62" s="40"/>
      <c r="I62" s="40">
        <f>S59/R59</f>
        <v>8.8764033701267731E-2</v>
      </c>
      <c r="J62" s="40"/>
      <c r="K62" s="68" t="s">
        <v>879</v>
      </c>
      <c r="L62" s="40"/>
      <c r="M62" s="42"/>
      <c r="N62" s="7"/>
      <c r="O62" s="69" t="s">
        <v>503</v>
      </c>
      <c r="P62" s="70">
        <f>T59-((S59^2)/R59)</f>
        <v>9.0950085725144358</v>
      </c>
      <c r="Q62" s="71" t="s">
        <v>824</v>
      </c>
      <c r="R62" s="28"/>
      <c r="S62" s="29"/>
      <c r="T62" s="30"/>
      <c r="U62" s="31"/>
      <c r="AF62" s="2" t="s">
        <v>1518</v>
      </c>
    </row>
    <row r="63" spans="5:54">
      <c r="G63" s="43" t="s">
        <v>504</v>
      </c>
      <c r="H63" s="31"/>
      <c r="I63" s="31">
        <f>1/R59</f>
        <v>1.8061301744573387E-2</v>
      </c>
      <c r="J63" s="31"/>
      <c r="K63" s="31"/>
      <c r="L63" s="31"/>
      <c r="M63" s="44"/>
      <c r="N63" s="7"/>
      <c r="O63" s="30" t="s">
        <v>505</v>
      </c>
      <c r="P63" s="31">
        <f>CHIDIST(P62,I67-1)</f>
        <v>0.7657306933641983</v>
      </c>
      <c r="Q63" s="31"/>
      <c r="R63" s="31"/>
      <c r="S63" s="34"/>
      <c r="T63" s="30"/>
      <c r="U63" s="31"/>
      <c r="AF63" s="2"/>
    </row>
    <row r="64" spans="5:54">
      <c r="G64" s="72" t="s">
        <v>506</v>
      </c>
      <c r="H64" s="31"/>
      <c r="I64" s="31">
        <f>1.96*SQRT(I63)</f>
        <v>0.26340899145995972</v>
      </c>
      <c r="J64" s="31"/>
      <c r="K64" s="31" t="s">
        <v>507</v>
      </c>
      <c r="L64" s="31"/>
      <c r="M64" s="44">
        <f>ABS(I62/SQRT(I63))</f>
        <v>0.66048431031228005</v>
      </c>
      <c r="N64" s="7"/>
      <c r="O64" s="35" t="s">
        <v>508</v>
      </c>
      <c r="P64" s="37">
        <f>IF(((P62-(I67-1))/P62)&lt;0,0,100*((P62-(I67-1))/P62))</f>
        <v>0</v>
      </c>
      <c r="Q64" s="36"/>
      <c r="R64" s="36"/>
      <c r="S64" s="38"/>
      <c r="T64" s="30"/>
      <c r="U64" s="31"/>
      <c r="AF64" s="2" t="s">
        <v>1535</v>
      </c>
      <c r="AH64">
        <f>IF($D$3=1,EXP(I62),I62)</f>
        <v>1.0928227565586646</v>
      </c>
    </row>
    <row r="65" spans="7:34">
      <c r="G65" s="45" t="s">
        <v>509</v>
      </c>
      <c r="H65" s="46"/>
      <c r="I65" s="46">
        <v>-2</v>
      </c>
      <c r="J65" s="46"/>
      <c r="K65" s="46" t="s">
        <v>825</v>
      </c>
      <c r="L65" s="46"/>
      <c r="M65" s="47">
        <f>2*(1-NORMDIST(M64,0,1,1))</f>
        <v>0.50894308372357111</v>
      </c>
      <c r="N65" s="7"/>
      <c r="O65" s="7"/>
      <c r="AF65" s="79" t="s">
        <v>834</v>
      </c>
      <c r="AH65">
        <f>IF($D$3=1,EXP(I62+I64)-EXP(I62),I64)</f>
        <v>0.32933181439704762</v>
      </c>
    </row>
    <row r="66" spans="7:34">
      <c r="G66" s="40"/>
      <c r="H66" s="40"/>
      <c r="I66" s="40"/>
      <c r="J66" s="40"/>
      <c r="K66" s="40"/>
      <c r="L66" s="40"/>
      <c r="M66" s="40"/>
      <c r="N66" s="7"/>
      <c r="O66" s="7"/>
      <c r="AF66" s="79" t="s">
        <v>835</v>
      </c>
      <c r="AH66">
        <f>IF($D$3=1,EXP(I62)-EXP(I62-I64),I64)</f>
        <v>0.25306764017218486</v>
      </c>
    </row>
    <row r="67" spans="7:34">
      <c r="G67" s="73" t="s">
        <v>1110</v>
      </c>
      <c r="H67" s="74"/>
      <c r="I67" s="74">
        <f>O59</f>
        <v>14</v>
      </c>
      <c r="J67" s="74"/>
      <c r="K67" s="75" t="s">
        <v>1167</v>
      </c>
      <c r="L67" s="74"/>
      <c r="M67" s="76"/>
      <c r="N67" s="77"/>
      <c r="O67" s="101" t="s">
        <v>1513</v>
      </c>
      <c r="P67" s="102"/>
      <c r="Q67" s="103"/>
      <c r="AF67" s="7"/>
    </row>
    <row r="68" spans="7:34">
      <c r="G68" s="77" t="s">
        <v>1531</v>
      </c>
      <c r="H68" s="31"/>
      <c r="I68" s="31">
        <f>R59/I67</f>
        <v>3.9547853437547777</v>
      </c>
      <c r="J68" s="31"/>
      <c r="K68" s="31"/>
      <c r="L68" s="31"/>
      <c r="M68" s="78"/>
      <c r="N68" s="77"/>
      <c r="O68" s="104" t="s">
        <v>1514</v>
      </c>
      <c r="P68" s="31"/>
      <c r="Q68" s="105">
        <f>INDEX(LINEST(AL44:AL57,AK44:AK57,TRUE,TRUE),1,2)</f>
        <v>1.2791548667400718</v>
      </c>
      <c r="AF68" s="2" t="s">
        <v>1687</v>
      </c>
      <c r="AH68">
        <f>IF($D$3=1,EXP(I73),I73)</f>
        <v>1.0928227565586646</v>
      </c>
    </row>
    <row r="69" spans="7:34">
      <c r="G69" s="77" t="s">
        <v>1532</v>
      </c>
      <c r="H69" s="31"/>
      <c r="I69" s="31">
        <f>(1/(I67-1))*(U59-(I67*I68^2))</f>
        <v>13.905051209625578</v>
      </c>
      <c r="J69" s="31"/>
      <c r="K69" s="31"/>
      <c r="L69" s="31"/>
      <c r="M69" s="78"/>
      <c r="N69" s="77"/>
      <c r="O69" s="104" t="s">
        <v>1516</v>
      </c>
      <c r="P69" s="31"/>
      <c r="Q69" s="105">
        <f>INDEX(LINEST(AL44:AL57,AK44:AK57,TRUE,TRUE),2,2)</f>
        <v>0.43067825686791972</v>
      </c>
      <c r="AF69" s="79" t="s">
        <v>834</v>
      </c>
      <c r="AG69" s="7"/>
      <c r="AH69">
        <f>IF($D$3=1,EXP(I73+I75)-EXP(I73),I75)</f>
        <v>0.32933181439704762</v>
      </c>
    </row>
    <row r="70" spans="7:34">
      <c r="G70" s="77" t="s">
        <v>1669</v>
      </c>
      <c r="H70" s="31"/>
      <c r="I70" s="31">
        <f>(I67-1)*(I68-(I69/(I67*I68)))</f>
        <v>48.147346235091803</v>
      </c>
      <c r="J70" s="31"/>
      <c r="K70" s="31"/>
      <c r="L70" s="31"/>
      <c r="M70" s="78"/>
      <c r="N70" s="77"/>
      <c r="O70" s="104" t="s">
        <v>1349</v>
      </c>
      <c r="P70" s="31"/>
      <c r="Q70" s="105">
        <f>ABS(Q68/Q69)</f>
        <v>2.9700939073234029</v>
      </c>
      <c r="AF70" s="79" t="s">
        <v>835</v>
      </c>
      <c r="AH70">
        <f>IF($D$3=1,EXP(I73)-EXP(I73-I75),I75)</f>
        <v>0.25306764017218486</v>
      </c>
    </row>
    <row r="71" spans="7:34">
      <c r="G71" s="77" t="s">
        <v>1685</v>
      </c>
      <c r="H71" s="31"/>
      <c r="I71" s="31">
        <f>IF(P62&gt;(I67-1),(P62-(I67-1))/I70,0)</f>
        <v>0</v>
      </c>
      <c r="J71" s="31"/>
      <c r="K71" s="31"/>
      <c r="L71" s="31"/>
      <c r="M71" s="78"/>
      <c r="N71" s="77"/>
      <c r="O71" s="106" t="s">
        <v>1515</v>
      </c>
      <c r="P71" s="107"/>
      <c r="Q71" s="108">
        <f>TDIST(Q70,I67-2,2)</f>
        <v>1.1699144177607064E-2</v>
      </c>
    </row>
    <row r="72" spans="7:34">
      <c r="G72" s="77"/>
      <c r="H72" s="31"/>
      <c r="I72" s="31"/>
      <c r="J72" s="31"/>
      <c r="K72" s="31"/>
      <c r="L72" s="31"/>
      <c r="M72" s="78"/>
      <c r="N72" s="77"/>
    </row>
    <row r="73" spans="7:34">
      <c r="G73" s="77" t="s">
        <v>1686</v>
      </c>
      <c r="H73" s="31"/>
      <c r="I73" s="31">
        <f>W59/V59</f>
        <v>8.8764033701267731E-2</v>
      </c>
      <c r="J73" s="31"/>
      <c r="N73" s="77"/>
    </row>
    <row r="74" spans="7:34">
      <c r="G74" s="77" t="s">
        <v>504</v>
      </c>
      <c r="H74" s="31"/>
      <c r="I74" s="31">
        <f>1/V59</f>
        <v>1.8061301744573387E-2</v>
      </c>
      <c r="J74" s="31"/>
      <c r="N74" s="77"/>
      <c r="O74" t="s">
        <v>805</v>
      </c>
      <c r="R74">
        <v>1.96</v>
      </c>
    </row>
    <row r="75" spans="7:34">
      <c r="G75" s="80" t="s">
        <v>506</v>
      </c>
      <c r="H75" s="31"/>
      <c r="I75" s="31">
        <f>1.96*SQRT(I74)</f>
        <v>0.26340899145995972</v>
      </c>
      <c r="J75" s="31"/>
      <c r="K75" s="31" t="s">
        <v>507</v>
      </c>
      <c r="L75" s="31"/>
      <c r="M75" s="78">
        <f>ABS(I73/(SQRT(I74)))</f>
        <v>0.66048431031228005</v>
      </c>
      <c r="N75" s="77"/>
    </row>
    <row r="76" spans="7:34">
      <c r="G76" s="81" t="s">
        <v>509</v>
      </c>
      <c r="H76" s="82"/>
      <c r="I76" s="82">
        <v>-3</v>
      </c>
      <c r="J76" s="82"/>
      <c r="K76" s="31" t="s">
        <v>825</v>
      </c>
      <c r="L76" s="31"/>
      <c r="M76" s="78">
        <f>2*(1-NORMDIST(M75,0,1,1))</f>
        <v>0.50894308372357111</v>
      </c>
      <c r="N76" s="77"/>
      <c r="O76" s="7"/>
    </row>
    <row r="77" spans="7:34">
      <c r="G77" s="74"/>
      <c r="H77" s="74"/>
      <c r="I77" s="74"/>
      <c r="J77" s="74"/>
      <c r="K77" s="74"/>
      <c r="L77" s="74"/>
      <c r="M77" s="74"/>
      <c r="N77" s="31"/>
      <c r="O77" s="7"/>
    </row>
  </sheetData>
  <phoneticPr fontId="10" type="noConversion"/>
  <conditionalFormatting sqref="D13 F13 D17">
    <cfRule type="cellIs" dxfId="16" priority="0" stopIfTrue="1" operator="lessThan">
      <formula>0.05</formula>
    </cfRule>
  </conditionalFormatting>
  <conditionalFormatting sqref="D21">
    <cfRule type="cellIs" dxfId="15"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2.xml><?xml version="1.0" encoding="utf-8"?>
<worksheet xmlns="http://schemas.openxmlformats.org/spreadsheetml/2006/main" xmlns:r="http://schemas.openxmlformats.org/officeDocument/2006/relationships">
  <sheetPr published="0" codeName="Sheet61" enableFormatConditionsCalculation="0"/>
  <dimension ref="A1:BM76"/>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26" width="5.6640625" customWidth="1"/>
    <col min="27" max="27" width="6.6640625" customWidth="1"/>
    <col min="28" max="34" width="5.6640625" customWidth="1"/>
    <col min="35" max="35" width="6.44140625" customWidth="1"/>
    <col min="36" max="38" width="5.6640625" customWidth="1"/>
    <col min="39" max="39" width="6.33203125" customWidth="1"/>
    <col min="40" max="40" width="5.6640625" customWidth="1"/>
    <col min="41" max="41" width="6.44140625" customWidth="1"/>
    <col min="42" max="42" width="9.6640625" customWidth="1"/>
    <col min="43" max="48" width="5.6640625" customWidth="1"/>
    <col min="49" max="49" width="6.6640625" customWidth="1"/>
    <col min="50" max="50" width="7.33203125" customWidth="1"/>
    <col min="51" max="53" width="5.6640625" customWidth="1"/>
  </cols>
  <sheetData>
    <row r="1" spans="2:30">
      <c r="B1" s="4" t="s">
        <v>166</v>
      </c>
      <c r="D1" s="10"/>
      <c r="F1" s="1" t="s">
        <v>733</v>
      </c>
    </row>
    <row r="2" spans="2:30">
      <c r="B2" s="91"/>
    </row>
    <row r="3" spans="2:30">
      <c r="B3" t="s">
        <v>1509</v>
      </c>
      <c r="D3">
        <f>Summary!C75</f>
        <v>1</v>
      </c>
      <c r="E3" t="s">
        <v>1834</v>
      </c>
      <c r="F3" s="24" t="str">
        <f>IF(D3=1,"Pooled SD","Control SD only")</f>
        <v>Pooled SD</v>
      </c>
      <c r="Y3" s="19"/>
    </row>
    <row r="4" spans="2:30">
      <c r="B4" t="s">
        <v>1642</v>
      </c>
      <c r="D4" s="25" t="s">
        <v>885</v>
      </c>
      <c r="E4" t="s">
        <v>1834</v>
      </c>
      <c r="F4" s="26" t="str">
        <f>IF($D$4="Total","Total",IF($D$4="Left","Left",IF($D$4="Right","Right","Error: enter Total, Left or Right")))</f>
        <v>Total</v>
      </c>
      <c r="Y4" s="19"/>
    </row>
    <row r="5" spans="2:30">
      <c r="B5" t="s">
        <v>1108</v>
      </c>
      <c r="D5" s="25">
        <f>Summary!C76</f>
        <v>1</v>
      </c>
      <c r="E5" t="s">
        <v>1834</v>
      </c>
      <c r="F5" s="24" t="str">
        <f>IF(D5=1,"H Correction","No H correction")</f>
        <v>H Correction</v>
      </c>
      <c r="Y5" s="19"/>
    </row>
    <row r="6" spans="2:30">
      <c r="B6" t="s">
        <v>1109</v>
      </c>
      <c r="D6" s="25">
        <f>Summary!C77</f>
        <v>0</v>
      </c>
      <c r="E6" t="s">
        <v>1834</v>
      </c>
      <c r="F6" s="24" t="str">
        <f>IF(D6=1,"% Vol Difference","Cohens Effect size")</f>
        <v>Cohens Effect size</v>
      </c>
      <c r="Y6" s="19"/>
      <c r="AD6" s="89"/>
    </row>
    <row r="7" spans="2:30">
      <c r="B7" t="s">
        <v>1110</v>
      </c>
      <c r="D7">
        <f>I66-O59</f>
        <v>9</v>
      </c>
      <c r="Y7" s="19"/>
      <c r="AD7" s="89"/>
    </row>
    <row r="8" spans="2:30">
      <c r="B8" t="s">
        <v>822</v>
      </c>
      <c r="D8">
        <f>SUM(H24:H35)</f>
        <v>357</v>
      </c>
      <c r="Y8" s="19"/>
      <c r="AD8" s="89"/>
    </row>
    <row r="9" spans="2:30">
      <c r="B9" t="s">
        <v>823</v>
      </c>
      <c r="D9">
        <f>SUM(I24:I35)</f>
        <v>318</v>
      </c>
      <c r="Y9" s="19"/>
      <c r="AD9" s="89"/>
    </row>
    <row r="11" spans="2:30">
      <c r="B11" s="27" t="s">
        <v>516</v>
      </c>
      <c r="C11" s="28"/>
      <c r="D11" s="109">
        <f>P61</f>
        <v>15.041939298205223</v>
      </c>
      <c r="E11" s="110" t="s">
        <v>1513</v>
      </c>
      <c r="F11" s="103"/>
    </row>
    <row r="12" spans="2:30">
      <c r="B12" s="30" t="s">
        <v>826</v>
      </c>
      <c r="C12" s="31"/>
      <c r="D12" s="112">
        <f>P63</f>
        <v>26.871131561390492</v>
      </c>
      <c r="E12" s="31"/>
      <c r="F12" s="105"/>
    </row>
    <row r="13" spans="2:30">
      <c r="B13" s="35" t="s">
        <v>825</v>
      </c>
      <c r="C13" s="36"/>
      <c r="D13" s="113">
        <f>P62</f>
        <v>0.18058496909005881</v>
      </c>
      <c r="E13" s="111" t="s">
        <v>825</v>
      </c>
      <c r="F13" s="115">
        <f>Q70</f>
        <v>0.10783981258139852</v>
      </c>
    </row>
    <row r="15" spans="2:30">
      <c r="B15" s="39" t="s">
        <v>879</v>
      </c>
      <c r="C15" s="40"/>
      <c r="D15" s="41">
        <f>AH63</f>
        <v>0.15681898378734113</v>
      </c>
      <c r="E15" s="116"/>
    </row>
    <row r="16" spans="2:30">
      <c r="B16" s="43" t="s">
        <v>1165</v>
      </c>
      <c r="C16" s="31"/>
      <c r="D16" s="33">
        <f>AH63-AH65</f>
        <v>1.1908193750159168E-3</v>
      </c>
      <c r="E16" s="117">
        <f>AH63+AH64</f>
        <v>0.31244714819966635</v>
      </c>
    </row>
    <row r="17" spans="1:65">
      <c r="B17" s="45" t="s">
        <v>1166</v>
      </c>
      <c r="C17" s="46"/>
      <c r="D17" s="123">
        <f>M64</f>
        <v>4.8268451712279781E-2</v>
      </c>
      <c r="E17" s="118"/>
    </row>
    <row r="18" spans="1:65">
      <c r="D18" s="48"/>
      <c r="F18" s="49"/>
    </row>
    <row r="19" spans="1:65">
      <c r="B19" s="50" t="s">
        <v>1167</v>
      </c>
      <c r="C19" s="51"/>
      <c r="D19" s="52">
        <f>AH67</f>
        <v>0.17470009970475658</v>
      </c>
      <c r="E19" s="120"/>
      <c r="F19" s="33"/>
      <c r="G19" s="31"/>
    </row>
    <row r="20" spans="1:65">
      <c r="B20" s="53" t="s">
        <v>1165</v>
      </c>
      <c r="C20" s="31"/>
      <c r="D20" s="33">
        <f>AH67-AH69</f>
        <v>-1.1466512522316757E-2</v>
      </c>
      <c r="E20" s="121">
        <f>AH67+AH68</f>
        <v>0.36086671193182995</v>
      </c>
      <c r="F20" s="31"/>
      <c r="G20" s="31"/>
    </row>
    <row r="21" spans="1:65">
      <c r="B21" s="54" t="s">
        <v>1440</v>
      </c>
      <c r="C21" s="55"/>
      <c r="D21" s="114">
        <f>M75</f>
        <v>6.5874274638805019E-2</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3" t="s">
        <v>363</v>
      </c>
      <c r="B24" s="13">
        <v>8723302</v>
      </c>
      <c r="C24" s="1" t="str">
        <f>IF($B24="","",HYPERLINK(IF(LEN(VLOOKUP($B24,Database!$B$1:$IX$10144,2,FALSE))=0,"",VLOOKUP($B24,Database!$B$1:$IX$10144,2,FALSE))))</f>
        <v/>
      </c>
      <c r="D24" s="1" t="str">
        <f t="shared" ref="D24:D40" si="0">IF($B24="","",HYPERLINK(CONCATENATE("http://www.ncbi.nlm.nih.gov/pubmed/",B24)))</f>
        <v>http://www.ncbi.nlm.nih.gov/pubmed/8723302</v>
      </c>
      <c r="E24" s="22" t="str">
        <f>IF($B24="","",IF(LEN(VLOOKUP($B24,Database!$B$1:$IX$10144,4,FALSE))=0,"",VLOOKUP($B24,Database!$B$1:$IX$10144,4,FALSE)))</f>
        <v>Keshavan MS</v>
      </c>
      <c r="F24" s="22">
        <f>IF($B24="","",IF(LEN(VLOOKUP($B24,Database!$B$1:$IX$10144,5,FALSE))=0,"",VLOOKUP($B24,Database!$B$1:$IX$10144,5,FALSE)))</f>
        <v>1996</v>
      </c>
      <c r="G24" s="1" t="str">
        <f>IF($B24="","",HYPERLINK(IF(LEN(VLOOKUP($B24,Database!$B$1:$IX$10144,6,FALSE))=0,"",VLOOKUP($B24,Database!$B$1:$IX$10144,6,FALSE))))</f>
        <v>http://dx.doi.org/10.1016/0165-1781(96)02867-3</v>
      </c>
      <c r="H24" s="22">
        <f>IF($B24="","",IF(LEN(VLOOKUP($B24,Database!$B$1:$IX$10144,7,FALSE))=0,"",VLOOKUP($B24,Database!$B$1:$IX$10144,7,FALSE)))</f>
        <v>19</v>
      </c>
      <c r="I24" s="22">
        <f>IF($B24="","",IF(LEN(VLOOKUP($B24,Database!$B$1:$IX$10144,8,FALSE))=0,"",VLOOKUP($B24,Database!$B$1:$IX$10144,8,FALSE)))</f>
        <v>19</v>
      </c>
      <c r="J24" s="13" t="s">
        <v>1772</v>
      </c>
      <c r="T24">
        <v>1.63</v>
      </c>
      <c r="U24">
        <v>0.96</v>
      </c>
      <c r="V24">
        <v>1.37</v>
      </c>
      <c r="W24">
        <v>0.68</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64.2</v>
      </c>
      <c r="AE24" s="22">
        <f>IF(OR($B24="",AE$22=""),"",IF(LEN(VLOOKUP($B24,Database!$B$1:$IX$10144,AE$22,FALSE))=0,"",VLOOKUP($B24,Database!$B$1:$IX$10144,AE$22,FALSE)))</f>
        <v>8.3000000000000007</v>
      </c>
      <c r="AF24" s="22">
        <f>IF(OR($B24="",AF$22=""),"",IF(LEN(VLOOKUP($B24,Database!$B$1:$IX$10144,AF$22,FALSE))=0,"",VLOOKUP($B24,Database!$B$1:$IX$10144,AF$22,FALSE)))</f>
        <v>16</v>
      </c>
      <c r="AG24" s="22">
        <f>IF(OR($B24="",AG$22=""),"",IF(LEN(VLOOKUP($B24,Database!$B$1:$IX$10144,AG$22,FALSE))=0,"",VLOOKUP($B24,Database!$B$1:$IX$10144,AG$22,FALSE)))</f>
        <v>16</v>
      </c>
      <c r="AH24" s="22">
        <f>IF(OR($B24="",AH$22=""),"",IF(LEN(VLOOKUP($B24,Database!$B$1:$IX$10144,AH$22,FALSE))=0,"",VLOOKUP($B24,Database!$B$1:$IX$10144,AH$22,FALSE)))</f>
        <v>1</v>
      </c>
      <c r="AI24" s="22" t="str">
        <f>IF(OR($B24="",AI$22=""),"",IF(LEN(VLOOKUP($B24,Database!$B$1:$IX$10144,AI$22,FALSE))=0,"",VLOOKUP($B24,Database!$B$1:$IX$10144,AI$22,FALSE)))</f>
        <v>ns</v>
      </c>
      <c r="AJ24" s="22" t="str">
        <f>IF(OR($B24="",AJ$22=""),"",IF(LEN(VLOOKUP($B24,Database!$B$1:$IX$10144,AJ$22,FALSE))=0,"",VLOOKUP($B24,Database!$B$1:$IX$10144,AJ$22,FALSE)))</f>
        <v/>
      </c>
      <c r="AK24" s="22">
        <f>IF(OR($B24="",AK$22=""),"",IF(LEN(VLOOKUP($B24,Database!$B$1:$IX$10144,AK$22,FALSE))=0,"",VLOOKUP($B24,Database!$B$1:$IX$10144,AK$22,FALSE)))</f>
        <v>53.8</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Keshavan MS, Mulsant BH, Sweet RA, Pasternak R, Zubenko GS, Krishnan RR.</v>
      </c>
      <c r="AR24" s="13"/>
      <c r="AX24" s="13"/>
      <c r="AY24" s="13"/>
      <c r="AZ24" s="13"/>
      <c r="BA24" s="13"/>
      <c r="BC24" s="23"/>
      <c r="BF24" s="136"/>
      <c r="BG24" s="136"/>
      <c r="BH24" s="136"/>
      <c r="BI24" s="136"/>
    </row>
    <row r="25" spans="1:65">
      <c r="B25" s="13">
        <v>9169241</v>
      </c>
      <c r="C25" s="1" t="str">
        <f>IF($B25="","",HYPERLINK(IF(LEN(VLOOKUP($B25,Database!$B$1:$IX$10144,2,FALSE))=0,"",VLOOKUP($B25,Database!$B$1:$IX$10144,2,FALSE))))</f>
        <v/>
      </c>
      <c r="D25" s="1" t="str">
        <f t="shared" si="0"/>
        <v>http://www.ncbi.nlm.nih.gov/pubmed/9169241</v>
      </c>
      <c r="E25" s="22" t="str">
        <f>IF($B25="","",IF(LEN(VLOOKUP($B25,Database!$B$1:$IX$10144,4,FALSE))=0,"",VLOOKUP($B25,Database!$B$1:$IX$10144,4,FALSE)))</f>
        <v>Kumar A</v>
      </c>
      <c r="F25" s="22">
        <f>IF($B25="","",IF(LEN(VLOOKUP($B25,Database!$B$1:$IX$10144,5,FALSE))=0,"",VLOOKUP($B25,Database!$B$1:$IX$10144,5,FALSE)))</f>
        <v>1997</v>
      </c>
      <c r="G25" s="1" t="str">
        <f>IF($B25="","",HYPERLINK(IF(LEN(VLOOKUP($B25,Database!$B$1:$IX$10144,6,FALSE))=0,"",VLOOKUP($B25,Database!$B$1:$IX$10144,6,FALSE))))</f>
        <v>http://ajgponline.org/cgi/content/abstract/5/1/15</v>
      </c>
      <c r="H25" s="22">
        <f>IF($B25="","",IF(LEN(VLOOKUP($B25,Database!$B$1:$IX$10144,7,FALSE))=0,"",VLOOKUP($B25,Database!$B$1:$IX$10144,7,FALSE)))</f>
        <v>28</v>
      </c>
      <c r="I25" s="22">
        <f>IF($B25="","",IF(LEN(VLOOKUP($B25,Database!$B$1:$IX$10144,8,FALSE))=0,"",VLOOKUP($B25,Database!$B$1:$IX$10144,8,FALSE)))</f>
        <v>29</v>
      </c>
      <c r="J25" s="13" t="s">
        <v>1358</v>
      </c>
      <c r="T25">
        <v>1.73</v>
      </c>
      <c r="U25">
        <v>0.95</v>
      </c>
      <c r="V25">
        <v>0.89</v>
      </c>
      <c r="W25">
        <v>0.81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74.2</v>
      </c>
      <c r="AC25" s="22">
        <f>IF(OR($B25="",AC$22=""),"",IF(LEN(VLOOKUP($B25,Database!$B$1:$IX$10144,AC$22,FALSE))=0,"",VLOOKUP($B25,Database!$B$1:$IX$10144,AC$22,FALSE)))</f>
        <v>8.1999999999999993</v>
      </c>
      <c r="AD25" s="22">
        <f>IF(OR($B25="",AD$22=""),"",IF(LEN(VLOOKUP($B25,Database!$B$1:$IX$10144,AD$22,FALSE))=0,"",VLOOKUP($B25,Database!$B$1:$IX$10144,AD$22,FALSE)))</f>
        <v>67.2</v>
      </c>
      <c r="AE25" s="22">
        <f>IF(OR($B25="",AE$22=""),"",IF(LEN(VLOOKUP($B25,Database!$B$1:$IX$10144,AE$22,FALSE))=0,"",VLOOKUP($B25,Database!$B$1:$IX$10144,AE$22,FALSE)))</f>
        <v>8.4</v>
      </c>
      <c r="AF25" s="22">
        <f>IF(OR($B25="",AF$22=""),"",IF(LEN(VLOOKUP($B25,Database!$B$1:$IX$10144,AF$22,FALSE))=0,"",VLOOKUP($B25,Database!$B$1:$IX$10144,AF$22,FALSE)))</f>
        <v>17</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19.57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Kumar A, Miller D, Ewbank D, Yousem D, Newberg A, Samuels S, Cowell P, Gottlieb G.</v>
      </c>
      <c r="AR25" s="13"/>
      <c r="AX25" s="13"/>
      <c r="AY25" s="13"/>
      <c r="AZ25" s="13"/>
      <c r="BA25" s="13"/>
      <c r="BC25" s="23"/>
      <c r="BF25" s="136"/>
      <c r="BG25" s="136"/>
      <c r="BH25" s="136"/>
      <c r="BI25" s="136"/>
    </row>
    <row r="26" spans="1:65">
      <c r="B26" s="13">
        <v>10518173</v>
      </c>
      <c r="C26" s="1" t="str">
        <f>IF($B26="","",HYPERLINK(IF(LEN(VLOOKUP($B26,Database!$B$1:$IX$10144,2,FALSE))=0,"",VLOOKUP($B26,Database!$B$1:$IX$10144,2,FALSE))))</f>
        <v/>
      </c>
      <c r="D26" s="1" t="str">
        <f t="shared" si="0"/>
        <v>http://www.ncbi.nlm.nih.gov/pubmed/10518173</v>
      </c>
      <c r="E26" s="22" t="str">
        <f>IF($B26="","",IF(LEN(VLOOKUP($B26,Database!$B$1:$IX$10144,4,FALSE))=0,"",VLOOKUP($B26,Database!$B$1:$IX$10144,4,FALSE)))</f>
        <v>Lenze EJ (A)</v>
      </c>
      <c r="F26" s="22">
        <f>IF($B26="","",IF(LEN(VLOOKUP($B26,Database!$B$1:$IX$10144,5,FALSE))=0,"",VLOOKUP($B26,Database!$B$1:$IX$10144,5,FALSE)))</f>
        <v>1999</v>
      </c>
      <c r="G26" s="1" t="str">
        <f>IF($B26="","",HYPERLINK(IF(LEN(VLOOKUP($B26,Database!$B$1:$IX$10144,6,FALSE))=0,"",VLOOKUP($B26,Database!$B$1:$IX$10144,6,FALSE))))</f>
        <v>http://ajp.psychiatryonline.org/cgi/reprint/156/3/438</v>
      </c>
      <c r="H26" s="22">
        <f>IF($B26="","",IF(LEN(VLOOKUP($B26,Database!$B$1:$IX$10144,7,FALSE))=0,"",VLOOKUP($B26,Database!$B$1:$IX$10144,7,FALSE)))</f>
        <v>24</v>
      </c>
      <c r="I26" s="22">
        <f>IF($B26="","",IF(LEN(VLOOKUP($B26,Database!$B$1:$IX$10144,8,FALSE))=0,"",VLOOKUP($B26,Database!$B$1:$IX$10144,8,FALSE)))</f>
        <v>24</v>
      </c>
      <c r="J26" s="13" t="s">
        <v>829</v>
      </c>
      <c r="T26">
        <v>1</v>
      </c>
      <c r="U26">
        <v>0.81</v>
      </c>
      <c r="V26">
        <v>0.83</v>
      </c>
      <c r="W26">
        <v>0.43</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52.7</v>
      </c>
      <c r="AC26" s="22">
        <f>IF(OR($B26="",AC$22=""),"",IF(LEN(VLOOKUP($B26,Database!$B$1:$IX$10144,AC$22,FALSE))=0,"",VLOOKUP($B26,Database!$B$1:$IX$10144,AC$22,FALSE)))</f>
        <v>18.399999999999999</v>
      </c>
      <c r="AD26" s="22">
        <f>IF(OR($B26="",AD$22=""),"",IF(LEN(VLOOKUP($B26,Database!$B$1:$IX$10144,AD$22,FALSE))=0,"",VLOOKUP($B26,Database!$B$1:$IX$10144,AD$22,FALSE)))</f>
        <v>52.8</v>
      </c>
      <c r="AE26" s="22" t="str">
        <f>IF(OR($B26="",AE$22=""),"",IF(LEN(VLOOKUP($B26,Database!$B$1:$IX$10144,AE$22,FALSE))=0,"",VLOOKUP($B26,Database!$B$1:$IX$10144,AE$22,FALSE)))</f>
        <v/>
      </c>
      <c r="AF26" s="22">
        <f>IF(OR($B26="",AF$22=""),"",IF(LEN(VLOOKUP($B26,Database!$B$1:$IX$10144,AF$22,FALSE))=0,"",VLOOKUP($B26,Database!$B$1:$IX$10144,AF$22,FALSE)))</f>
        <v>24</v>
      </c>
      <c r="AG26" s="22">
        <f>IF(OR($B26="",AG$22=""),"",IF(LEN(VLOOKUP($B26,Database!$B$1:$IX$10144,AG$22,FALSE))=0,"",VLOOKUP($B26,Database!$B$1:$IX$10144,AG$22,FALSE)))</f>
        <v>24</v>
      </c>
      <c r="AH26" s="22">
        <f>IF(OR($B26="",AH$22=""),"",IF(LEN(VLOOKUP($B26,Database!$B$1:$IX$10144,AH$22,FALSE))=0,"",VLOOKUP($B26,Database!$B$1:$IX$10144,AH$22,FALSE)))</f>
        <v>1.5</v>
      </c>
      <c r="AI26" s="22" t="str">
        <f>IF(OR($B26="",AI$22=""),"",IF(LEN(VLOOKUP($B26,Database!$B$1:$IX$10144,AI$22,FALSE))=0,"",VLOOKUP($B26,Database!$B$1:$IX$10144,AI$22,FALSE)))</f>
        <v>ns</v>
      </c>
      <c r="AJ26" s="22" t="str">
        <f>IF(OR($B26="",AJ$22=""),"",IF(LEN(VLOOKUP($B26,Database!$B$1:$IX$10144,AJ$22,FALSE))=0,"",VLOOKUP($B26,Database!$B$1:$IX$10144,AJ$22,FALSE)))</f>
        <v/>
      </c>
      <c r="AK26" s="22" t="str">
        <f>IF(OR($B26="",AK$22=""),"",IF(LEN(VLOOKUP($B26,Database!$B$1:$IX$10144,AK$22,FALSE))=0,"",VLOOKUP($B26,Database!$B$1:$IX$10144,AK$22,FALSE)))</f>
        <v>ns</v>
      </c>
      <c r="AL26" s="22" t="str">
        <f>IF(OR($B26="",AL$22=""),"",IF(LEN(VLOOKUP($B26,Database!$B$1:$IX$10144,AL$22,FALSE))=0,"",VLOOKUP($B26,Database!$B$1:$IX$10144,AL$22,FALSE)))</f>
        <v>ns</v>
      </c>
      <c r="AM26" s="22">
        <f>IF(OR($B26="",AM$22=""),"",IF(LEN(VLOOKUP($B26,Database!$B$1:$IX$10144,AM$22,FALSE))=0,"",VLOOKUP($B26,Database!$B$1:$IX$10144,AM$22,FALSE)))</f>
        <v>66.666666666666657</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Lenze E, Cross D, McKeel D, Neuman RJ, Sheline YI.</v>
      </c>
      <c r="AR26" s="13"/>
      <c r="AX26" s="13"/>
      <c r="AY26" s="13"/>
      <c r="AZ26" s="13"/>
      <c r="BA26" s="13"/>
      <c r="BC26" s="23"/>
      <c r="BF26" s="136"/>
      <c r="BG26" s="136"/>
      <c r="BH26" s="136"/>
      <c r="BI26" s="136"/>
    </row>
    <row r="27" spans="1:65">
      <c r="B27" s="13">
        <v>11559382</v>
      </c>
      <c r="C27" s="1" t="str">
        <f>IF($B27="","",HYPERLINK(IF(LEN(VLOOKUP($B27,Database!$B$1:$IX$10144,2,FALSE))=0,"",VLOOKUP($B27,Database!$B$1:$IX$10144,2,FALSE))))</f>
        <v/>
      </c>
      <c r="D27" s="1" t="str">
        <f t="shared" si="0"/>
        <v>http://www.ncbi.nlm.nih.gov/pubmed/11559382</v>
      </c>
      <c r="E27" s="22" t="str">
        <f>IF($B27="","",IF(LEN(VLOOKUP($B27,Database!$B$1:$IX$10144,4,FALSE))=0,"",VLOOKUP($B27,Database!$B$1:$IX$10144,4,FALSE)))</f>
        <v>Greenwald BS</v>
      </c>
      <c r="F27" s="22">
        <f>IF($B27="","",IF(LEN(VLOOKUP($B27,Database!$B$1:$IX$10144,5,FALSE))=0,"",VLOOKUP($B27,Database!$B$1:$IX$10144,5,FALSE)))</f>
        <v>2001</v>
      </c>
      <c r="G27" s="1" t="str">
        <f>IF($B27="","",HYPERLINK(IF(LEN(VLOOKUP($B27,Database!$B$1:$IX$10144,6,FALSE))=0,"",VLOOKUP($B27,Database!$B$1:$IX$10144,6,FALSE))))</f>
        <v>http://www3.interscience.wiley.com/cgi-bin/fulltext/118968191/PDFSTART</v>
      </c>
      <c r="H27" s="83">
        <v>40</v>
      </c>
      <c r="I27" s="83">
        <v>21</v>
      </c>
      <c r="J27" s="13" t="s">
        <v>446</v>
      </c>
      <c r="K27" t="s">
        <v>1263</v>
      </c>
      <c r="T27">
        <v>1.82</v>
      </c>
      <c r="U27">
        <v>1.1100000000000001</v>
      </c>
      <c r="V27">
        <v>1.86</v>
      </c>
      <c r="W27">
        <v>0.65</v>
      </c>
      <c r="Y27" s="22" t="str">
        <f>IF(OR($B27="",Y$22=""),"",IF(LEN(VLOOKUP($B27,Database!$B$1:$IX$10144,Y$22,FALSE))=0,"",VLOOKUP($B27,Database!$B$1:$IX$10144,Y$22,FALSE)))</f>
        <v>DSM-III-R</v>
      </c>
      <c r="Z27" s="22" t="str">
        <f>IF(OR($B27="",Z$22=""),"",IF(LEN(VLOOKUP($B27,Database!$B$1:$IX$10144,Z$22,FALSE))=0,"",VLOOKUP($B27,Database!$B$1:$IX$10144,Z$22,FALSE)))</f>
        <v>MRI</v>
      </c>
      <c r="AA27" s="214" t="s">
        <v>2460</v>
      </c>
      <c r="AB27" s="214">
        <v>74.599999999999994</v>
      </c>
      <c r="AC27" s="214">
        <v>6.2</v>
      </c>
      <c r="AD27" s="214">
        <v>74.599999999999994</v>
      </c>
      <c r="AE27" s="214">
        <v>5.8</v>
      </c>
      <c r="AF27" s="214">
        <v>29</v>
      </c>
      <c r="AG27" s="214">
        <v>7</v>
      </c>
      <c r="AH27" s="22">
        <f>IF(OR($B27="",AH$22=""),"",IF(LEN(VLOOKUP($B27,Database!$B$1:$IX$10144,AH$22,FALSE))=0,"",VLOOKUP($B27,Database!$B$1:$IX$10144,AH$22,FALSE)))</f>
        <v>1</v>
      </c>
      <c r="AI27" s="22">
        <f>IF(OR($B27="",AI$22=""),"",IF(LEN(VLOOKUP($B27,Database!$B$1:$IX$10144,AI$22,FALSE))=0,"",VLOOKUP($B27,Database!$B$1:$IX$10144,AI$22,FALSE)))</f>
        <v>6</v>
      </c>
      <c r="AJ27" s="22" t="str">
        <f>IF(OR($B27="",AJ$22=""),"",IF(LEN(VLOOKUP($B27,Database!$B$1:$IX$10144,AJ$22,FALSE))=0,"",VLOOKUP($B27,Database!$B$1:$IX$10144,AJ$22,FALSE)))</f>
        <v/>
      </c>
      <c r="AK27" s="214">
        <v>58.3</v>
      </c>
      <c r="AL27" s="214">
        <v>26.35</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Greenwald BS, Kramer-Ginsberg E, Krishnan KR, Hu J, Ashtari M, Wu H, Aupperle P, Patel M, Pollack S.</v>
      </c>
      <c r="AR27" s="13"/>
      <c r="AU27" s="22"/>
      <c r="AX27" s="13"/>
      <c r="AY27" s="13"/>
      <c r="AZ27" s="13"/>
      <c r="BA27" s="13"/>
      <c r="BC27" s="23"/>
      <c r="BF27" s="136"/>
      <c r="BG27" s="136"/>
      <c r="BH27" s="136"/>
      <c r="BI27" s="136"/>
    </row>
    <row r="28" spans="1:65">
      <c r="B28" s="13">
        <v>11559382</v>
      </c>
      <c r="C28" s="1" t="str">
        <f>IF($B28="","",HYPERLINK(IF(LEN(VLOOKUP($B28,Database!$B$1:$IX$10144,2,FALSE))=0,"",VLOOKUP($B28,Database!$B$1:$IX$10144,2,FALSE))))</f>
        <v/>
      </c>
      <c r="D28" s="1" t="str">
        <f>IF($B28="","",HYPERLINK(CONCATENATE("http://www.ncbi.nlm.nih.gov/pubmed/",B28)))</f>
        <v>http://www.ncbi.nlm.nih.gov/pubmed/11559382</v>
      </c>
      <c r="E28" s="22" t="str">
        <f>IF($B28="","",IF(LEN(VLOOKUP($B28,Database!$B$1:$IX$10144,4,FALSE))=0,"",VLOOKUP($B28,Database!$B$1:$IX$10144,4,FALSE)))</f>
        <v>Greenwald BS</v>
      </c>
      <c r="F28" s="22">
        <f>IF($B28="","",IF(LEN(VLOOKUP($B28,Database!$B$1:$IX$10144,5,FALSE))=0,"",VLOOKUP($B28,Database!$B$1:$IX$10144,5,FALSE)))</f>
        <v>2001</v>
      </c>
      <c r="G28" s="1" t="str">
        <f>IF($B28="","",HYPERLINK(IF(LEN(VLOOKUP($B28,Database!$B$1:$IX$10144,6,FALSE))=0,"",VLOOKUP($B28,Database!$B$1:$IX$10144,6,FALSE))))</f>
        <v>http://www3.interscience.wiley.com/cgi-bin/fulltext/118968191/PDFSTART</v>
      </c>
      <c r="H28" s="83">
        <v>41</v>
      </c>
      <c r="I28" s="83">
        <v>49</v>
      </c>
      <c r="J28" s="13" t="s">
        <v>446</v>
      </c>
      <c r="K28" t="s">
        <v>1267</v>
      </c>
      <c r="T28">
        <v>1.34</v>
      </c>
      <c r="U28">
        <v>1.1100000000000001</v>
      </c>
      <c r="V28">
        <v>1.1399999999999999</v>
      </c>
      <c r="W28">
        <v>1.1499999999999999</v>
      </c>
      <c r="Y28" s="22" t="str">
        <f>IF(OR($B28="",Y$22=""),"",IF(LEN(VLOOKUP($B28,Database!$B$1:$IX$10144,Y$22,FALSE))=0,"",VLOOKUP($B28,Database!$B$1:$IX$10144,Y$22,FALSE)))</f>
        <v>DSM-III-R</v>
      </c>
      <c r="Z28" s="22" t="str">
        <f>IF(OR($B28="",Z$22=""),"",IF(LEN(VLOOKUP($B28,Database!$B$1:$IX$10144,Z$22,FALSE))=0,"",VLOOKUP($B28,Database!$B$1:$IX$10144,Z$22,FALSE)))</f>
        <v>MRI</v>
      </c>
      <c r="AA28" s="214" t="s">
        <v>2461</v>
      </c>
      <c r="AB28" s="214">
        <v>74.7</v>
      </c>
      <c r="AC28" s="214">
        <v>6.2</v>
      </c>
      <c r="AD28" s="214">
        <v>71.900000000000006</v>
      </c>
      <c r="AE28" s="214">
        <v>5.5</v>
      </c>
      <c r="AF28" s="214">
        <v>29</v>
      </c>
      <c r="AG28" s="214">
        <v>26</v>
      </c>
      <c r="AH28" s="22">
        <f>IF(OR($B28="",AH$22=""),"",IF(LEN(VLOOKUP($B28,Database!$B$1:$IX$10144,AH$22,FALSE))=0,"",VLOOKUP($B28,Database!$B$1:$IX$10144,AH$22,FALSE)))</f>
        <v>1</v>
      </c>
      <c r="AI28" s="22">
        <f>IF(OR($B28="",AI$22=""),"",IF(LEN(VLOOKUP($B28,Database!$B$1:$IX$10144,AI$22,FALSE))=0,"",VLOOKUP($B28,Database!$B$1:$IX$10144,AI$22,FALSE)))</f>
        <v>6</v>
      </c>
      <c r="AJ28" s="22" t="str">
        <f>IF(OR($B28="",AJ$22=""),"",IF(LEN(VLOOKUP($B28,Database!$B$1:$IX$10144,AJ$22,FALSE))=0,"",VLOOKUP($B28,Database!$B$1:$IX$10144,AJ$22,FALSE)))</f>
        <v/>
      </c>
      <c r="AK28" s="214" t="s">
        <v>1688</v>
      </c>
      <c r="AL28" s="214">
        <v>26.44</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Greenwald BS, Kramer-Ginsberg E, Krishnan KR, Hu J, Ashtari M, Wu H, Aupperle P, Patel M, Pollack S.</v>
      </c>
      <c r="AR28" s="13"/>
      <c r="AU28" s="22"/>
      <c r="AX28" s="13"/>
      <c r="AY28" s="13"/>
      <c r="AZ28" s="13"/>
      <c r="BA28" s="13"/>
      <c r="BC28" s="23"/>
      <c r="BF28" s="136"/>
      <c r="BG28" s="136"/>
      <c r="BH28" s="136"/>
      <c r="BI28" s="136"/>
    </row>
    <row r="29" spans="1:65">
      <c r="B29">
        <v>16298109</v>
      </c>
      <c r="C29" s="1" t="str">
        <f>IF($B29="","",HYPERLINK(IF(LEN(VLOOKUP($B29,Database!$B$1:$IX$10144,2,FALSE))=0,"",VLOOKUP($B29,Database!$B$1:$IX$10144,2,FALSE))))</f>
        <v/>
      </c>
      <c r="D29" s="1" t="str">
        <f t="shared" si="0"/>
        <v>http://www.ncbi.nlm.nih.gov/pubmed/16298109</v>
      </c>
      <c r="E29" s="22" t="str">
        <f>IF($B29="","",IF(LEN(VLOOKUP($B29,Database!$B$1:$IX$10144,4,FALSE))=0,"",VLOOKUP($B29,Database!$B$1:$IX$10144,4,FALSE)))</f>
        <v>Iosifescu DV</v>
      </c>
      <c r="F29" s="22">
        <f>IF($B29="","",IF(LEN(VLOOKUP($B29,Database!$B$1:$IX$10144,5,FALSE))=0,"",VLOOKUP($B29,Database!$B$1:$IX$10144,5,FALSE)))</f>
        <v>2005</v>
      </c>
      <c r="G29" s="1" t="str">
        <f>IF($B29="","",HYPERLINK(IF(LEN(VLOOKUP($B29,Database!$B$1:$IX$10144,6,FALSE))=0,"",VLOOKUP($B29,Database!$B$1:$IX$10144,6,FALSE))))</f>
        <v>http://dx.doi.org/10.1016/j.pscychresns.2005.09.003</v>
      </c>
      <c r="H29" s="83">
        <v>15</v>
      </c>
      <c r="I29" s="83">
        <v>17.5</v>
      </c>
      <c r="J29" s="2" t="s">
        <v>5</v>
      </c>
      <c r="K29" s="13" t="s">
        <v>1268</v>
      </c>
      <c r="T29">
        <v>0.7</v>
      </c>
      <c r="U29">
        <v>0.85</v>
      </c>
      <c r="V29">
        <v>0.31</v>
      </c>
      <c r="W29">
        <v>0.53</v>
      </c>
      <c r="Y29" s="22" t="str">
        <f>IF(OR($B29="",Y$22=""),"",IF(LEN(VLOOKUP($B29,Database!$B$1:$IX$10144,Y$22,FALSE))=0,"",VLOOKUP($B29,Database!$B$1:$IX$10144,Y$22,FALSE)))</f>
        <v>DSM-IV</v>
      </c>
      <c r="Z29" s="22" t="str">
        <f>IF(OR($B29="",Z$22=""),"",IF(LEN(VLOOKUP($B29,Database!$B$1:$IX$10144,Z$22,FALSE))=0,"",VLOOKUP($B29,Database!$B$1:$IX$10144,Z$22,FALSE)))</f>
        <v>MRI</v>
      </c>
      <c r="AA29" s="214" t="s">
        <v>2465</v>
      </c>
      <c r="AB29" s="22">
        <f>IF(OR($B29="",AB$22=""),"",IF(LEN(VLOOKUP($B29,Database!$B$1:$IX$10144,AB$22,FALSE))=0,"",VLOOKUP($B29,Database!$B$1:$IX$10144,AB$22,FALSE)))</f>
        <v>40.6</v>
      </c>
      <c r="AC29" s="22">
        <f>IF(OR($B29="",AC$22=""),"",IF(LEN(VLOOKUP($B29,Database!$B$1:$IX$10144,AC$22,FALSE))=0,"",VLOOKUP($B29,Database!$B$1:$IX$10144,AC$22,FALSE)))</f>
        <v>10.3</v>
      </c>
      <c r="AD29" s="22">
        <f>IF(OR($B29="",AD$22=""),"",IF(LEN(VLOOKUP($B29,Database!$B$1:$IX$10144,AD$22,FALSE))=0,"",VLOOKUP($B29,Database!$B$1:$IX$10144,AD$22,FALSE)))</f>
        <v>39.200000000000003</v>
      </c>
      <c r="AE29" s="22">
        <f>IF(OR($B29="",AE$22=""),"",IF(LEN(VLOOKUP($B29,Database!$B$1:$IX$10144,AE$22,FALSE))=0,"",VLOOKUP($B29,Database!$B$1:$IX$10144,AE$22,FALSE)))</f>
        <v>9.8000000000000007</v>
      </c>
      <c r="AF29" s="22">
        <f>IF(OR($B29="",AF$22=""),"",IF(LEN(VLOOKUP($B29,Database!$B$1:$IX$10144,AF$22,FALSE))=0,"",VLOOKUP($B29,Database!$B$1:$IX$10144,AF$22,FALSE)))</f>
        <v>17</v>
      </c>
      <c r="AG29" s="22">
        <f>IF(OR($B29="",AG$22=""),"",IF(LEN(VLOOKUP($B29,Database!$B$1:$IX$10144,AG$22,FALSE))=0,"",VLOOKUP($B29,Database!$B$1:$IX$10144,AG$22,FALSE)))</f>
        <v>14</v>
      </c>
      <c r="AH29" s="22">
        <f>IF(OR($B29="",AH$22=""),"",IF(LEN(VLOOKUP($B29,Database!$B$1:$IX$10144,AH$22,FALSE))=0,"",VLOOKUP($B29,Database!$B$1:$IX$10144,AH$22,FALSE)))</f>
        <v>1.5</v>
      </c>
      <c r="AI29" s="22">
        <f>IF(OR($B29="",AI$22=""),"",IF(LEN(VLOOKUP($B29,Database!$B$1:$IX$10144,AI$22,FALSE))=0,"",VLOOKUP($B29,Database!$B$1:$IX$10144,AI$22,FALSE)))</f>
        <v>5</v>
      </c>
      <c r="AJ29" s="22" t="str">
        <f>IF(OR($B29="",AJ$22=""),"",IF(LEN(VLOOKUP($B29,Database!$B$1:$IX$10144,AJ$22,FALSE))=0,"",VLOOKUP($B29,Database!$B$1:$IX$10144,AJ$22,FALSE)))</f>
        <v/>
      </c>
      <c r="AK29" s="22">
        <f>IF(OR($B29="",AK$22=""),"",IF(LEN(VLOOKUP($B29,Database!$B$1:$IX$10144,AK$22,FALSE))=0,"",VLOOKUP($B29,Database!$B$1:$IX$10144,AK$22,FALSE)))</f>
        <v>27.8</v>
      </c>
      <c r="AL29" s="22">
        <f>IF(OR($B29="",AL$22=""),"",IF(LEN(VLOOKUP($B29,Database!$B$1:$IX$10144,AL$22,FALSE))=0,"",VLOOKUP($B29,Database!$B$1:$IX$10144,AL$22,FALSE)))</f>
        <v>19.899999999999999</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f>IF(OR($B29="",AP$22=""),"",IF(LEN(VLOOKUP($B29,Database!$B$1:$IX$10144,AP$22,FALSE))=0,"",VLOOKUP($B29,Database!$B$1:$IX$10144,AP$22,FALSE)))</f>
        <v>100</v>
      </c>
      <c r="AQ29" s="22" t="str">
        <f>IF(OR($B29="",AQ$22=""),"",IF(LEN(VLOOKUP($B29,Database!$B$1:$IX$10144,AQ$22,FALSE))=0,"",VLOOKUP($B29,Database!$B$1:$IX$10144,AQ$22,FALSE)))</f>
        <v>Iosifescu DV, Papakostas GI, Lyoo IK, Lee HK, Renshaw PF, Alpert JE, Nierenberg A, Fava M.</v>
      </c>
      <c r="AR29" s="13"/>
      <c r="AU29" s="22"/>
      <c r="AX29" s="13"/>
      <c r="AY29" s="13"/>
      <c r="AZ29" s="13"/>
      <c r="BA29" s="13"/>
      <c r="BC29" s="23"/>
      <c r="BF29" s="136"/>
      <c r="BG29" s="136"/>
      <c r="BH29" s="136"/>
      <c r="BI29" s="136"/>
    </row>
    <row r="30" spans="1:65">
      <c r="B30">
        <v>16298109</v>
      </c>
      <c r="C30" s="1" t="str">
        <f>IF($B30="","",HYPERLINK(IF(LEN(VLOOKUP($B30,Database!$B$1:$IX$10144,2,FALSE))=0,"",VLOOKUP($B30,Database!$B$1:$IX$10144,2,FALSE))))</f>
        <v/>
      </c>
      <c r="D30" s="1" t="str">
        <f>IF($B30="","",HYPERLINK(CONCATENATE("http://www.ncbi.nlm.nih.gov/pubmed/",B30)))</f>
        <v>http://www.ncbi.nlm.nih.gov/pubmed/16298109</v>
      </c>
      <c r="E30" s="22" t="str">
        <f>IF($B30="","",IF(LEN(VLOOKUP($B30,Database!$B$1:$IX$10144,4,FALSE))=0,"",VLOOKUP($B30,Database!$B$1:$IX$10144,4,FALSE)))</f>
        <v>Iosifescu DV</v>
      </c>
      <c r="F30" s="22">
        <f>IF($B30="","",IF(LEN(VLOOKUP($B30,Database!$B$1:$IX$10144,5,FALSE))=0,"",VLOOKUP($B30,Database!$B$1:$IX$10144,5,FALSE)))</f>
        <v>2005</v>
      </c>
      <c r="G30" s="1" t="str">
        <f>IF($B30="","",HYPERLINK(IF(LEN(VLOOKUP($B30,Database!$B$1:$IX$10144,6,FALSE))=0,"",VLOOKUP($B30,Database!$B$1:$IX$10144,6,FALSE))))</f>
        <v>http://dx.doi.org/10.1016/j.pscychresns.2005.09.003</v>
      </c>
      <c r="H30" s="83">
        <v>35</v>
      </c>
      <c r="I30" s="83">
        <v>17.5</v>
      </c>
      <c r="J30" s="2" t="s">
        <v>21</v>
      </c>
      <c r="K30" t="s">
        <v>1269</v>
      </c>
      <c r="T30">
        <v>0.21</v>
      </c>
      <c r="U30">
        <v>0.53</v>
      </c>
      <c r="V30">
        <v>0.31</v>
      </c>
      <c r="W30">
        <v>0.53</v>
      </c>
      <c r="Y30" s="22" t="str">
        <f>IF(OR($B30="",Y$22=""),"",IF(LEN(VLOOKUP($B30,Database!$B$1:$IX$10144,Y$22,FALSE))=0,"",VLOOKUP($B30,Database!$B$1:$IX$10144,Y$22,FALSE)))</f>
        <v>DSM-IV</v>
      </c>
      <c r="Z30" s="22" t="str">
        <f>IF(OR($B30="",Z$22=""),"",IF(LEN(VLOOKUP($B30,Database!$B$1:$IX$10144,Z$22,FALSE))=0,"",VLOOKUP($B30,Database!$B$1:$IX$10144,Z$22,FALSE)))</f>
        <v>MRI</v>
      </c>
      <c r="AA30" s="214" t="s">
        <v>2462</v>
      </c>
      <c r="AB30" s="22">
        <f>IF(OR($B30="",AB$22=""),"",IF(LEN(VLOOKUP($B30,Database!$B$1:$IX$10144,AB$22,FALSE))=0,"",VLOOKUP($B30,Database!$B$1:$IX$10144,AB$22,FALSE)))</f>
        <v>40.6</v>
      </c>
      <c r="AC30" s="22">
        <f>IF(OR($B30="",AC$22=""),"",IF(LEN(VLOOKUP($B30,Database!$B$1:$IX$10144,AC$22,FALSE))=0,"",VLOOKUP($B30,Database!$B$1:$IX$10144,AC$22,FALSE)))</f>
        <v>10.3</v>
      </c>
      <c r="AD30" s="22">
        <f>IF(OR($B30="",AD$22=""),"",IF(LEN(VLOOKUP($B30,Database!$B$1:$IX$10144,AD$22,FALSE))=0,"",VLOOKUP($B30,Database!$B$1:$IX$10144,AD$22,FALSE)))</f>
        <v>39.200000000000003</v>
      </c>
      <c r="AE30" s="22">
        <f>IF(OR($B30="",AE$22=""),"",IF(LEN(VLOOKUP($B30,Database!$B$1:$IX$10144,AE$22,FALSE))=0,"",VLOOKUP($B30,Database!$B$1:$IX$10144,AE$22,FALSE)))</f>
        <v>9.8000000000000007</v>
      </c>
      <c r="AF30" s="22">
        <f>IF(OR($B30="",AF$22=""),"",IF(LEN(VLOOKUP($B30,Database!$B$1:$IX$10144,AF$22,FALSE))=0,"",VLOOKUP($B30,Database!$B$1:$IX$10144,AF$22,FALSE)))</f>
        <v>17</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5</v>
      </c>
      <c r="AJ30" s="22" t="str">
        <f>IF(OR($B30="",AJ$22=""),"",IF(LEN(VLOOKUP($B30,Database!$B$1:$IX$10144,AJ$22,FALSE))=0,"",VLOOKUP($B30,Database!$B$1:$IX$10144,AJ$22,FALSE)))</f>
        <v/>
      </c>
      <c r="AK30" s="22">
        <f>IF(OR($B30="",AK$22=""),"",IF(LEN(VLOOKUP($B30,Database!$B$1:$IX$10144,AK$22,FALSE))=0,"",VLOOKUP($B30,Database!$B$1:$IX$10144,AK$22,FALSE)))</f>
        <v>27.8</v>
      </c>
      <c r="AL30" s="22">
        <f>IF(OR($B30="",AL$22=""),"",IF(LEN(VLOOKUP($B30,Database!$B$1:$IX$10144,AL$22,FALSE))=0,"",VLOOKUP($B30,Database!$B$1:$IX$10144,AL$22,FALSE)))</f>
        <v>19.899999999999999</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f>IF(OR($B30="",AP$22=""),"",IF(LEN(VLOOKUP($B30,Database!$B$1:$IX$10144,AP$22,FALSE))=0,"",VLOOKUP($B30,Database!$B$1:$IX$10144,AP$22,FALSE)))</f>
        <v>100</v>
      </c>
      <c r="AQ30" s="22" t="str">
        <f>IF(OR($B30="",AQ$22=""),"",IF(LEN(VLOOKUP($B30,Database!$B$1:$IX$10144,AQ$22,FALSE))=0,"",VLOOKUP($B30,Database!$B$1:$IX$10144,AQ$22,FALSE)))</f>
        <v>Iosifescu DV, Papakostas GI, Lyoo IK, Lee HK, Renshaw PF, Alpert JE, Nierenberg A, Fava M.</v>
      </c>
      <c r="AR30" s="13"/>
      <c r="AU30" s="22"/>
      <c r="AX30" s="13"/>
      <c r="AY30" s="13"/>
      <c r="AZ30" s="13"/>
      <c r="BA30" s="13"/>
      <c r="BC30" s="23"/>
      <c r="BF30" s="136"/>
      <c r="BG30" s="136"/>
      <c r="BH30" s="136"/>
      <c r="BI30" s="136"/>
    </row>
    <row r="31" spans="1:65">
      <c r="B31">
        <v>16248124</v>
      </c>
      <c r="C31" s="1" t="str">
        <f>IF($B31="","",HYPERLINK(IF(LEN(VLOOKUP($B31,Database!$B$1:$IX$10144,2,FALSE))=0,"",VLOOKUP($B31,Database!$B$1:$IX$10144,2,FALSE))))</f>
        <v/>
      </c>
      <c r="D31" s="1" t="str">
        <f t="shared" si="0"/>
        <v>http://www.ncbi.nlm.nih.gov/pubmed/16248124</v>
      </c>
      <c r="E31" s="22" t="str">
        <f>IF($B31="","",IF(LEN(VLOOKUP($B31,Database!$B$1:$IX$10144,4,FALSE))=0,"",VLOOKUP($B31,Database!$B$1:$IX$10144,4,FALSE)))</f>
        <v>Lin HF</v>
      </c>
      <c r="F31" s="22">
        <f>IF($B31="","",IF(LEN(VLOOKUP($B31,Database!$B$1:$IX$10144,5,FALSE))=0,"",VLOOKUP($B31,Database!$B$1:$IX$10144,5,FALSE)))</f>
        <v>2005</v>
      </c>
      <c r="G31" s="1" t="str">
        <f>IF($B31="","",HYPERLINK(IF(LEN(VLOOKUP($B31,Database!$B$1:$IX$10144,6,FALSE))=0,"",VLOOKUP($B31,Database!$B$1:$IX$10144,6,FALSE))))</f>
        <v>http://ajws.elsevier.com/ajws_archive/20059219A1045.pdf</v>
      </c>
      <c r="H31" s="22">
        <f>IF($B31="","",IF(LEN(VLOOKUP($B31,Database!$B$1:$IX$10144,7,FALSE))=0,"",VLOOKUP($B31,Database!$B$1:$IX$10144,7,FALSE)))</f>
        <v>37</v>
      </c>
      <c r="I31" s="22">
        <f>IF($B31="","",IF(LEN(VLOOKUP($B31,Database!$B$1:$IX$10144,8,FALSE))=0,"",VLOOKUP($B31,Database!$B$1:$IX$10144,8,FALSE)))</f>
        <v>18</v>
      </c>
      <c r="J31" t="s">
        <v>1775</v>
      </c>
      <c r="T31">
        <v>0.88</v>
      </c>
      <c r="U31">
        <v>0.74</v>
      </c>
      <c r="V31">
        <v>0.88</v>
      </c>
      <c r="W31">
        <v>0.7</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72.2</v>
      </c>
      <c r="AC31" s="22">
        <f>IF(OR($B31="",AC$22=""),"",IF(LEN(VLOOKUP($B31,Database!$B$1:$IX$10144,AC$22,FALSE))=0,"",VLOOKUP($B31,Database!$B$1:$IX$10144,AC$22,FALSE)))</f>
        <v>3.6</v>
      </c>
      <c r="AD31" s="22">
        <f>IF(OR($B31="",AD$22=""),"",IF(LEN(VLOOKUP($B31,Database!$B$1:$IX$10144,AD$22,FALSE))=0,"",VLOOKUP($B31,Database!$B$1:$IX$10144,AD$22,FALSE)))</f>
        <v>70.2</v>
      </c>
      <c r="AE31" s="22">
        <f>IF(OR($B31="",AE$22=""),"",IF(LEN(VLOOKUP($B31,Database!$B$1:$IX$10144,AE$22,FALSE))=0,"",VLOOKUP($B31,Database!$B$1:$IX$10144,AE$22,FALSE)))</f>
        <v>4.7</v>
      </c>
      <c r="AF31" s="22">
        <f>IF(OR($B31="",AF$22=""),"",IF(LEN(VLOOKUP($B31,Database!$B$1:$IX$10144,AF$22,FALSE))=0,"",VLOOKUP($B31,Database!$B$1:$IX$10144,AF$22,FALSE)))</f>
        <v>23</v>
      </c>
      <c r="AG31" s="22">
        <f>IF(OR($B31="",AG$22=""),"",IF(LEN(VLOOKUP($B31,Database!$B$1:$IX$10144,AG$22,FALSE))=0,"",VLOOKUP($B31,Database!$B$1:$IX$10144,AG$22,FALSE)))</f>
        <v>12</v>
      </c>
      <c r="AH31" s="22">
        <f>IF(OR($B31="",AH$22=""),"",IF(LEN(VLOOKUP($B31,Database!$B$1:$IX$10144,AH$22,FALSE))=0,"",VLOOKUP($B31,Database!$B$1:$IX$10144,AH$22,FALSE)))</f>
        <v>3</v>
      </c>
      <c r="AI31" s="22">
        <f>IF(OR($B31="",AI$22=""),"",IF(LEN(VLOOKUP($B31,Database!$B$1:$IX$10144,AI$22,FALSE))=0,"",VLOOKUP($B31,Database!$B$1:$IX$10144,AI$22,FALSE)))</f>
        <v>5</v>
      </c>
      <c r="AJ31" s="22" t="str">
        <f>IF(OR($B31="",AJ$22=""),"",IF(LEN(VLOOKUP($B31,Database!$B$1:$IX$10144,AJ$22,FALSE))=0,"",VLOOKUP($B31,Database!$B$1:$IX$10144,AJ$22,FALSE)))</f>
        <v/>
      </c>
      <c r="AK31" s="22">
        <f>IF(OR($B31="",AK$22=""),"",IF(LEN(VLOOKUP($B31,Database!$B$1:$IX$10144,AK$22,FALSE))=0,"",VLOOKUP($B31,Database!$B$1:$IX$10144,AK$22,FALSE)))</f>
        <v>63.7</v>
      </c>
      <c r="AL31" s="22">
        <f>IF(OR($B31="",AL$22=""),"",IF(LEN(VLOOKUP($B31,Database!$B$1:$IX$10144,AL$22,FALSE))=0,"",VLOOKUP($B31,Database!$B$1:$IX$10144,AL$22,FALSE)))</f>
        <v>21.9</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Lin HF, Kuo YT, Chiang IC, Chen HM, Chen CS.</v>
      </c>
      <c r="AR31" s="13"/>
      <c r="AU31" s="22"/>
      <c r="AX31" s="13"/>
      <c r="AY31" s="13"/>
      <c r="AZ31" s="13"/>
      <c r="BA31" s="13"/>
      <c r="BC31" s="23"/>
      <c r="BF31" s="136"/>
      <c r="BG31" s="136"/>
      <c r="BH31" s="136"/>
      <c r="BI31" s="136"/>
    </row>
    <row r="32" spans="1:65">
      <c r="B32">
        <v>15172942</v>
      </c>
      <c r="C32" s="1" t="str">
        <f>IF($B32="","",HYPERLINK(IF(LEN(VLOOKUP($B32,Database!$B$1:$IX$10144,2,FALSE))=0,"",VLOOKUP($B32,Database!$B$1:$IX$10144,2,FALSE))))</f>
        <v/>
      </c>
      <c r="D32" s="1" t="str">
        <f>IF($B32="","",HYPERLINK(CONCATENATE("http://www.ncbi.nlm.nih.gov/pubmed/",B32)))</f>
        <v>http://www.ncbi.nlm.nih.gov/pubmed/15172942</v>
      </c>
      <c r="E32" s="22" t="str">
        <f>IF($B32="","",IF(LEN(VLOOKUP($B32,Database!$B$1:$IX$10144,4,FALSE))=0,"",VLOOKUP($B32,Database!$B$1:$IX$10144,4,FALSE)))</f>
        <v>Lloyd AJ</v>
      </c>
      <c r="F32" s="22">
        <f>IF($B32="","",IF(LEN(VLOOKUP($B32,Database!$B$1:$IX$10144,5,FALSE))=0,"",VLOOKUP($B32,Database!$B$1:$IX$10144,5,FALSE)))</f>
        <v>2004</v>
      </c>
      <c r="G32" s="1" t="str">
        <f>IF($B32="","",HYPERLINK(IF(LEN(VLOOKUP($B32,Database!$B$1:$IX$10144,6,FALSE))=0,"",VLOOKUP($B32,Database!$B$1:$IX$10144,6,FALSE))))</f>
        <v>http://bjp.rcpsych.org/cgi/reprint/184/6/488</v>
      </c>
      <c r="H32" s="22">
        <f>IF($B32="","",IF(LEN(VLOOKUP($B32,Database!$B$1:$IX$10144,7,FALSE))=0,"",VLOOKUP($B32,Database!$B$1:$IX$10144,7,FALSE)))</f>
        <v>51</v>
      </c>
      <c r="I32" s="22">
        <f>IF($B32="","",IF(LEN(VLOOKUP($B32,Database!$B$1:$IX$10144,8,FALSE))=0,"",VLOOKUP($B32,Database!$B$1:$IX$10144,8,FALSE)))</f>
        <v>39</v>
      </c>
      <c r="J32" t="s">
        <v>167</v>
      </c>
      <c r="K32" t="s">
        <v>169</v>
      </c>
      <c r="T32">
        <v>6.5</v>
      </c>
      <c r="U32">
        <v>4.1900000000000004</v>
      </c>
      <c r="V32">
        <v>6.8</v>
      </c>
      <c r="W32">
        <v>6.21</v>
      </c>
      <c r="X32" s="2"/>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74</v>
      </c>
      <c r="AC32" s="22">
        <f>IF(OR($B32="",AC$22=""),"",IF(LEN(VLOOKUP($B32,Database!$B$1:$IX$10144,AC$22,FALSE))=0,"",VLOOKUP($B32,Database!$B$1:$IX$10144,AC$22,FALSE)))</f>
        <v>6.3</v>
      </c>
      <c r="AD32" s="22">
        <f>IF(OR($B32="",AD$22=""),"",IF(LEN(VLOOKUP($B32,Database!$B$1:$IX$10144,AD$22,FALSE))=0,"",VLOOKUP($B32,Database!$B$1:$IX$10144,AD$22,FALSE)))</f>
        <v>73.099999999999994</v>
      </c>
      <c r="AE32" s="22">
        <f>IF(OR($B32="",AE$22=""),"",IF(LEN(VLOOKUP($B32,Database!$B$1:$IX$10144,AE$22,FALSE))=0,"",VLOOKUP($B32,Database!$B$1:$IX$10144,AE$22,FALSE)))</f>
        <v>6.7</v>
      </c>
      <c r="AF32" s="22">
        <f>IF(OR($B32="",AF$22=""),"",IF(LEN(VLOOKUP($B32,Database!$B$1:$IX$10144,AF$22,FALSE))=0,"",VLOOKUP($B32,Database!$B$1:$IX$10144,AF$22,FALSE)))</f>
        <v>41</v>
      </c>
      <c r="AG32" s="22">
        <f>IF(OR($B32="",AG$22=""),"",IF(LEN(VLOOKUP($B32,Database!$B$1:$IX$10144,AG$22,FALSE))=0,"",VLOOKUP($B32,Database!$B$1:$IX$10144,AG$22,FALSE)))</f>
        <v>29</v>
      </c>
      <c r="AH32" s="22">
        <f>IF(OR($B32="",AH$22=""),"",IF(LEN(VLOOKUP($B32,Database!$B$1:$IX$10144,AH$22,FALSE))=0,"",VLOOKUP($B32,Database!$B$1:$IX$10144,AH$22,FALSE)))</f>
        <v>1</v>
      </c>
      <c r="AI32" s="22">
        <f>IF(OR($B32="",AI$22=""),"",IF(LEN(VLOOKUP($B32,Database!$B$1:$IX$10144,AI$22,FALSE))=0,"",VLOOKUP($B32,Database!$B$1:$IX$10144,AI$22,FALSE)))</f>
        <v>1</v>
      </c>
      <c r="AJ32" s="22" t="str">
        <f>IF(OR($B32="",AJ$22=""),"",IF(LEN(VLOOKUP($B32,Database!$B$1:$IX$10144,AJ$22,FALSE))=0,"",VLOOKUP($B32,Database!$B$1:$IX$10144,AJ$22,FALSE)))</f>
        <v/>
      </c>
      <c r="AK32" s="22">
        <f>IF(OR($B32="",AK$22=""),"",IF(LEN(VLOOKUP($B32,Database!$B$1:$IX$10144,AK$22,FALSE))=0,"",VLOOKUP($B32,Database!$B$1:$IX$10144,AK$22,FALSE)))</f>
        <v>57</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Lloyd AJ, Ferrier IN, Barber R, Gholkar A, Young AH, O'Brien JT.</v>
      </c>
      <c r="AR32" s="13"/>
      <c r="AU32" s="22"/>
      <c r="AX32" s="13"/>
      <c r="AY32" s="13"/>
      <c r="AZ32" s="13"/>
      <c r="BA32" s="13"/>
      <c r="BC32" s="23"/>
      <c r="BF32" s="136"/>
      <c r="BG32" s="136"/>
      <c r="BH32" s="136"/>
      <c r="BI32" s="136"/>
    </row>
    <row r="33" spans="1:61">
      <c r="B33">
        <v>16894588</v>
      </c>
      <c r="C33" s="1" t="str">
        <f>IF($B33="","",HYPERLINK(IF(LEN(VLOOKUP($B33,Database!$B$1:$IX$10144,2,FALSE))=0,"",VLOOKUP($B33,Database!$B$1:$IX$10144,2,FALSE))))</f>
        <v/>
      </c>
      <c r="D33" s="1" t="str">
        <f>IF($B33="","",HYPERLINK(CONCATENATE("http://www.ncbi.nlm.nih.gov/pubmed/",B33)))</f>
        <v>http://www.ncbi.nlm.nih.gov/pubmed/16894588</v>
      </c>
      <c r="E33" s="22" t="str">
        <f>IF($B33="","",IF(LEN(VLOOKUP($B33,Database!$B$1:$IX$10144,4,FALSE))=0,"",VLOOKUP($B33,Database!$B$1:$IX$10144,4,FALSE)))</f>
        <v>Naish JH</v>
      </c>
      <c r="F33" s="22">
        <f>IF($B33="","",IF(LEN(VLOOKUP($B33,Database!$B$1:$IX$10144,5,FALSE))=0,"",VLOOKUP($B33,Database!$B$1:$IX$10144,5,FALSE)))</f>
        <v>2006</v>
      </c>
      <c r="G33" s="1" t="str">
        <f>IF($B33="","",HYPERLINK(IF(LEN(VLOOKUP($B33,Database!$B$1:$IX$10144,6,FALSE))=0,"",VLOOKUP($B33,Database!$B$1:$IX$10144,6,FALSE))))</f>
        <v>http://dx.doi.org/10.1016/j.biopsych.2006.04.013</v>
      </c>
      <c r="H33" s="83">
        <v>21</v>
      </c>
      <c r="I33" s="83">
        <v>11</v>
      </c>
      <c r="J33" t="s">
        <v>147</v>
      </c>
      <c r="K33" s="13" t="s">
        <v>148</v>
      </c>
      <c r="T33">
        <v>6.78</v>
      </c>
      <c r="U33">
        <v>5.65</v>
      </c>
      <c r="V33">
        <v>5.4</v>
      </c>
      <c r="W33">
        <v>4.7</v>
      </c>
      <c r="X33" s="2"/>
      <c r="Y33" s="22" t="str">
        <f>IF(OR($B33="",Y$22=""),"",IF(LEN(VLOOKUP($B33,Database!$B$1:$IX$10144,Y$22,FALSE))=0,"",VLOOKUP($B33,Database!$B$1:$IX$10144,Y$22,FALSE)))</f>
        <v>DSM-IV</v>
      </c>
      <c r="Z33" s="22" t="str">
        <f>IF(OR($B33="",Z$22=""),"",IF(LEN(VLOOKUP($B33,Database!$B$1:$IX$10144,Z$22,FALSE))=0,"",VLOOKUP($B33,Database!$B$1:$IX$10144,Z$22,FALSE)))</f>
        <v>MRI</v>
      </c>
      <c r="AA33" s="214" t="s">
        <v>2463</v>
      </c>
      <c r="AB33" s="22">
        <f>IF(OR($B33="",AB$22=""),"",IF(LEN(VLOOKUP($B33,Database!$B$1:$IX$10144,AB$22,FALSE))=0,"",VLOOKUP($B33,Database!$B$1:$IX$10144,AB$22,FALSE)))</f>
        <v>71</v>
      </c>
      <c r="AC33" s="22">
        <f>IF(OR($B33="",AC$22=""),"",IF(LEN(VLOOKUP($B33,Database!$B$1:$IX$10144,AC$22,FALSE))=0,"",VLOOKUP($B33,Database!$B$1:$IX$10144,AC$22,FALSE)))</f>
        <v>6.54</v>
      </c>
      <c r="AD33" s="22">
        <f>IF(OR($B33="",AD$22=""),"",IF(LEN(VLOOKUP($B33,Database!$B$1:$IX$10144,AD$22,FALSE))=0,"",VLOOKUP($B33,Database!$B$1:$IX$10144,AD$22,FALSE)))</f>
        <v>72.900000000000006</v>
      </c>
      <c r="AE33" s="22">
        <f>IF(OR($B33="",AE$22=""),"",IF(LEN(VLOOKUP($B33,Database!$B$1:$IX$10144,AE$22,FALSE))=0,"",VLOOKUP($B33,Database!$B$1:$IX$10144,AE$22,FALSE)))</f>
        <v>5.38</v>
      </c>
      <c r="AF33" s="22">
        <f>IF(OR($B33="",AF$22=""),"",IF(LEN(VLOOKUP($B33,Database!$B$1:$IX$10144,AF$22,FALSE))=0,"",VLOOKUP($B33,Database!$B$1:$IX$10144,AF$22,FALSE)))</f>
        <v>12</v>
      </c>
      <c r="AG33" s="22">
        <f>IF(OR($B33="",AG$22=""),"",IF(LEN(VLOOKUP($B33,Database!$B$1:$IX$10144,AG$22,FALSE))=0,"",VLOOKUP($B33,Database!$B$1:$IX$10144,AG$22,FALSE)))</f>
        <v>16</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Naish JH, Baldwin RC, Patankar T, Jeffries S, Burns AS, Taylor CJ, Waterton JC, Jackson A.</v>
      </c>
      <c r="AR33" s="13"/>
      <c r="AU33" s="22"/>
      <c r="AX33" s="13"/>
      <c r="AY33" s="13"/>
      <c r="AZ33" s="13"/>
      <c r="BA33" s="13"/>
      <c r="BC33" s="23"/>
      <c r="BF33" s="136"/>
      <c r="BG33" s="136"/>
      <c r="BH33" s="136"/>
      <c r="BI33" s="136"/>
    </row>
    <row r="34" spans="1:61">
      <c r="B34">
        <v>16894588</v>
      </c>
      <c r="C34" s="1" t="str">
        <f>IF($B34="","",HYPERLINK(IF(LEN(VLOOKUP($B34,Database!$B$1:$IX$10144,2,FALSE))=0,"",VLOOKUP($B34,Database!$B$1:$IX$10144,2,FALSE))))</f>
        <v/>
      </c>
      <c r="D34" s="1" t="str">
        <f>IF($B34="","",HYPERLINK(CONCATENATE("http://www.ncbi.nlm.nih.gov/pubmed/",B34)))</f>
        <v>http://www.ncbi.nlm.nih.gov/pubmed/16894588</v>
      </c>
      <c r="E34" s="22" t="str">
        <f>IF($B34="","",IF(LEN(VLOOKUP($B34,Database!$B$1:$IX$10144,4,FALSE))=0,"",VLOOKUP($B34,Database!$B$1:$IX$10144,4,FALSE)))</f>
        <v>Naish JH</v>
      </c>
      <c r="F34" s="22">
        <f>IF($B34="","",IF(LEN(VLOOKUP($B34,Database!$B$1:$IX$10144,5,FALSE))=0,"",VLOOKUP($B34,Database!$B$1:$IX$10144,5,FALSE)))</f>
        <v>2006</v>
      </c>
      <c r="G34" s="1" t="str">
        <f>IF($B34="","",HYPERLINK(IF(LEN(VLOOKUP($B34,Database!$B$1:$IX$10144,6,FALSE))=0,"",VLOOKUP($B34,Database!$B$1:$IX$10144,6,FALSE))))</f>
        <v>http://dx.doi.org/10.1016/j.biopsych.2006.04.013</v>
      </c>
      <c r="H34" s="83">
        <v>8</v>
      </c>
      <c r="I34" s="83">
        <v>11</v>
      </c>
      <c r="J34" t="s">
        <v>147</v>
      </c>
      <c r="K34" s="13" t="s">
        <v>234</v>
      </c>
      <c r="T34">
        <v>9.1999999999999993</v>
      </c>
      <c r="U34">
        <v>6.36</v>
      </c>
      <c r="V34">
        <v>5.4</v>
      </c>
      <c r="W34">
        <v>4.7</v>
      </c>
      <c r="X34" s="2"/>
      <c r="Y34" s="22" t="str">
        <f>IF(OR($B34="",Y$22=""),"",IF(LEN(VLOOKUP($B34,Database!$B$1:$IX$10144,Y$22,FALSE))=0,"",VLOOKUP($B34,Database!$B$1:$IX$10144,Y$22,FALSE)))</f>
        <v>DSM-IV</v>
      </c>
      <c r="Z34" s="22" t="str">
        <f>IF(OR($B34="",Z$22=""),"",IF(LEN(VLOOKUP($B34,Database!$B$1:$IX$10144,Z$22,FALSE))=0,"",VLOOKUP($B34,Database!$B$1:$IX$10144,Z$22,FALSE)))</f>
        <v>MRI</v>
      </c>
      <c r="AA34" s="214" t="s">
        <v>2464</v>
      </c>
      <c r="AB34" s="22">
        <f>IF(OR($B34="",AB$22=""),"",IF(LEN(VLOOKUP($B34,Database!$B$1:$IX$10144,AB$22,FALSE))=0,"",VLOOKUP($B34,Database!$B$1:$IX$10144,AB$22,FALSE)))</f>
        <v>71</v>
      </c>
      <c r="AC34" s="22">
        <f>IF(OR($B34="",AC$22=""),"",IF(LEN(VLOOKUP($B34,Database!$B$1:$IX$10144,AC$22,FALSE))=0,"",VLOOKUP($B34,Database!$B$1:$IX$10144,AC$22,FALSE)))</f>
        <v>6.54</v>
      </c>
      <c r="AD34" s="22">
        <f>IF(OR($B34="",AD$22=""),"",IF(LEN(VLOOKUP($B34,Database!$B$1:$IX$10144,AD$22,FALSE))=0,"",VLOOKUP($B34,Database!$B$1:$IX$10144,AD$22,FALSE)))</f>
        <v>72.900000000000006</v>
      </c>
      <c r="AE34" s="22">
        <f>IF(OR($B34="",AE$22=""),"",IF(LEN(VLOOKUP($B34,Database!$B$1:$IX$10144,AE$22,FALSE))=0,"",VLOOKUP($B34,Database!$B$1:$IX$10144,AE$22,FALSE)))</f>
        <v>5.38</v>
      </c>
      <c r="AF34" s="22">
        <f>IF(OR($B34="",AF$22=""),"",IF(LEN(VLOOKUP($B34,Database!$B$1:$IX$10144,AF$22,FALSE))=0,"",VLOOKUP($B34,Database!$B$1:$IX$10144,AF$22,FALSE)))</f>
        <v>12</v>
      </c>
      <c r="AG34" s="22">
        <f>IF(OR($B34="",AG$22=""),"",IF(LEN(VLOOKUP($B34,Database!$B$1:$IX$10144,AG$22,FALSE))=0,"",VLOOKUP($B34,Database!$B$1:$IX$10144,AG$22,FALSE)))</f>
        <v>16</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Naish JH, Baldwin RC, Patankar T, Jeffries S, Burns AS, Taylor CJ, Waterton JC, Jackson A.</v>
      </c>
      <c r="AR34" s="13"/>
      <c r="AU34" s="22"/>
      <c r="AX34" s="13"/>
      <c r="AY34" s="13"/>
      <c r="AZ34" s="13"/>
      <c r="BA34" s="13"/>
      <c r="BC34" s="23"/>
      <c r="BF34" s="136"/>
      <c r="BG34" s="136"/>
      <c r="BH34" s="136"/>
      <c r="BI34" s="136"/>
    </row>
    <row r="35" spans="1:61">
      <c r="B35">
        <v>20018381</v>
      </c>
      <c r="C35" s="1" t="str">
        <f>IF($B35="","",HYPERLINK(IF(LEN(VLOOKUP($B35,Database!$B$1:$IX$10144,2,FALSE))=0,"",VLOOKUP($B35,Database!$B$1:$IX$10144,2,FALSE))))</f>
        <v/>
      </c>
      <c r="D35" s="1" t="str">
        <f>IF($B35="","",HYPERLINK(CONCATENATE("http://www.ncbi.nlm.nih.gov/pubmed/",B35)))</f>
        <v>http://www.ncbi.nlm.nih.gov/pubmed/20018381</v>
      </c>
      <c r="E35" s="22" t="str">
        <f>IF($B35="","",IF(LEN(VLOOKUP($B35,Database!$B$1:$IX$10144,4,FALSE))=0,"",VLOOKUP($B35,Database!$B$1:$IX$10144,4,FALSE)))</f>
        <v>Weber K</v>
      </c>
      <c r="F35" s="22">
        <f>IF($B35="","",IF(LEN(VLOOKUP($B35,Database!$B$1:$IX$10144,5,FALSE))=0,"",VLOOKUP($B35,Database!$B$1:$IX$10144,5,FALSE)))</f>
        <v>2009</v>
      </c>
      <c r="G35" s="1" t="str">
        <f>IF($B35="","",HYPERLINK(IF(LEN(VLOOKUP($B35,Database!$B$1:$IX$10144,6,FALSE))=0,"",VLOOKUP($B35,Database!$B$1:$IX$10144,6,FALSE))))</f>
        <v>http://dx.doi.org/10.1016/j.jad.2009.11.016</v>
      </c>
      <c r="H35" s="22">
        <f>IF($B35="","",IF(LEN(VLOOKUP($B35,Database!$B$1:$IX$10144,7,FALSE))=0,"",VLOOKUP($B35,Database!$B$1:$IX$10144,7,FALSE)))</f>
        <v>38</v>
      </c>
      <c r="I35" s="22">
        <f>IF($B35="","",IF(LEN(VLOOKUP($B35,Database!$B$1:$IX$10144,8,FALSE))=0,"",VLOOKUP($B35,Database!$B$1:$IX$10144,8,FALSE)))</f>
        <v>62</v>
      </c>
      <c r="J35" t="s">
        <v>147</v>
      </c>
      <c r="T35">
        <v>3</v>
      </c>
      <c r="U35">
        <v>4.1100000000000003</v>
      </c>
      <c r="V35">
        <v>3.36</v>
      </c>
      <c r="W35">
        <v>4.7300000000000004</v>
      </c>
      <c r="X35" s="2"/>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66.11</v>
      </c>
      <c r="AC35" s="22">
        <f>IF(OR($B35="",AC$22=""),"",IF(LEN(VLOOKUP($B35,Database!$B$1:$IX$10144,AC$22,FALSE))=0,"",VLOOKUP($B35,Database!$B$1:$IX$10144,AC$22,FALSE)))</f>
        <v>6.22</v>
      </c>
      <c r="AD35" s="22">
        <f>IF(OR($B35="",AD$22=""),"",IF(LEN(VLOOKUP($B35,Database!$B$1:$IX$10144,AD$22,FALSE))=0,"",VLOOKUP($B35,Database!$B$1:$IX$10144,AD$22,FALSE)))</f>
        <v>71.099999999999994</v>
      </c>
      <c r="AE35" s="22">
        <f>IF(OR($B35="",AE$22=""),"",IF(LEN(VLOOKUP($B35,Database!$B$1:$IX$10144,AE$22,FALSE))=0,"",VLOOKUP($B35,Database!$B$1:$IX$10144,AE$22,FALSE)))</f>
        <v>7.26</v>
      </c>
      <c r="AF35" s="22">
        <f>IF(OR($B35="",AF$22=""),"",IF(LEN(VLOOKUP($B35,Database!$B$1:$IX$10144,AF$22,FALSE))=0,"",VLOOKUP($B35,Database!$B$1:$IX$10144,AF$22,FALSE)))</f>
        <v>31</v>
      </c>
      <c r="AG35" s="22">
        <f>IF(OR($B35="",AG$22=""),"",IF(LEN(VLOOKUP($B35,Database!$B$1:$IX$10144,AG$22,FALSE))=0,"",VLOOKUP($B35,Database!$B$1:$IX$10144,AG$22,FALSE)))</f>
        <v>48</v>
      </c>
      <c r="AH35" s="22">
        <f>IF(OR($B35="",AH$22=""),"",IF(LEN(VLOOKUP($B35,Database!$B$1:$IX$10144,AH$22,FALSE))=0,"",VLOOKUP($B35,Database!$B$1:$IX$10144,AH$22,FALSE)))</f>
        <v>3</v>
      </c>
      <c r="AI35" s="22">
        <f>IF(OR($B35="",AI$22=""),"",IF(LEN(VLOOKUP($B35,Database!$B$1:$IX$10144,AI$22,FALSE))=0,"",VLOOKUP($B35,Database!$B$1:$IX$10144,AI$22,FALSE)))</f>
        <v>0.9</v>
      </c>
      <c r="AJ35" s="22" t="str">
        <f>IF(OR($B35="",AJ$22=""),"",IF(LEN(VLOOKUP($B35,Database!$B$1:$IX$10144,AJ$22,FALSE))=0,"",VLOOKUP($B35,Database!$B$1:$IX$10144,AJ$22,FALSE)))</f>
        <v/>
      </c>
      <c r="AK35" s="22">
        <f>IF(OR($B35="",AK$22=""),"",IF(LEN(VLOOKUP($B35,Database!$B$1:$IX$10144,AK$22,FALSE))=0,"",VLOOKUP($B35,Database!$B$1:$IX$10144,AK$22,FALSE)))</f>
        <v>37.76</v>
      </c>
      <c r="AL35" s="22" t="str">
        <f>IF(OR($B35="",AL$22=""),"",IF(LEN(VLOOKUP($B35,Database!$B$1:$IX$10144,AL$22,FALSE))=0,"",VLOOKUP($B35,Database!$B$1:$IX$10144,AL$22,FALSE)))</f>
        <v>ns</v>
      </c>
      <c r="AM35" s="22">
        <f>IF(OR($B35="",AM$22=""),"",IF(LEN(VLOOKUP($B35,Database!$B$1:$IX$10144,AM$22,FALSE))=0,"",VLOOKUP($B35,Database!$B$1:$IX$10144,AM$22,FALSE)))</f>
        <v>47.368421052631575</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Weber K, Giannakopoulos P, Delaloye C, de Bilbao F, Moy G, Moussa A, Rubio MM, Ebbing K, Meuli R, Lazeyras F, Meiler-Mititelu C, Herrmann FR, Gold G, Canuto A.</v>
      </c>
      <c r="AR35" s="13"/>
      <c r="AX35" s="13"/>
      <c r="AY35" s="13"/>
      <c r="AZ35" s="13"/>
      <c r="BA35" s="13"/>
      <c r="BC35" s="23"/>
      <c r="BF35" s="136"/>
      <c r="BG35" s="136"/>
      <c r="BH35" s="136"/>
      <c r="BI35" s="136"/>
    </row>
    <row r="36" spans="1:61">
      <c r="C36" s="1" t="str">
        <f>IF($B36="","",HYPERLINK(IF(LEN(VLOOKUP($B36,Database!$B$1:$IX$10144,2,FALSE))=0,"",VLOOKUP($B36,Database!$B$1:$IX$10144,2,FALSE))))</f>
        <v/>
      </c>
      <c r="D36" s="1" t="str">
        <f t="shared" si="0"/>
        <v/>
      </c>
      <c r="E36" s="22" t="str">
        <f>IF($B36="","",IF(LEN(VLOOKUP($B36,Database!$B$1:$IX$10144,4,FALSE))=0,"",VLOOKUP($B36,Database!$B$1:$IX$10144,4,FALSE)))</f>
        <v/>
      </c>
      <c r="F36" s="22" t="str">
        <f>IF($B36="","",IF(LEN(VLOOKUP($B36,Database!$B$1:$IX$10144,5,FALSE))=0,"",VLOOKUP($B36,Database!$B$1:$IX$10144,5,FALSE)))</f>
        <v/>
      </c>
      <c r="G36" s="1" t="str">
        <f>IF($B36="","",HYPERLINK(IF(LEN(VLOOKUP($B36,Database!$B$1:$IX$10144,6,FALSE))=0,"",VLOOKUP($B36,Database!$B$1:$IX$10144,6,FALSE))))</f>
        <v/>
      </c>
      <c r="H36" s="22" t="str">
        <f>IF($B36="","",IF(LEN(VLOOKUP($B36,Database!$B$1:$IX$10144,7,FALSE))=0,"",VLOOKUP($B36,Database!$B$1:$IX$10144,7,FALSE)))</f>
        <v/>
      </c>
      <c r="I36" s="22" t="str">
        <f>IF($B36="","",IF(LEN(VLOOKUP($B36,Database!$B$1:$IX$10144,8,FALSE))=0,"",VLOOKUP($B36,Database!$B$1:$IX$10144,8,FALSE)))</f>
        <v/>
      </c>
      <c r="Y36" s="22" t="str">
        <f>IF(OR($B36="",Y$22=""),"",IF(LEN(VLOOKUP($B36,Database!$B$1:$IX$10144,Y$22,FALSE))=0,"",VLOOKUP($B36,Database!$B$1:$IX$10144,Y$22,FALSE)))</f>
        <v/>
      </c>
      <c r="Z36" s="22" t="str">
        <f>IF(OR($B36="",Z$22=""),"",IF(LEN(VLOOKUP($B36,Database!$B$1:$IX$10144,Z$22,FALSE))=0,"",VLOOKUP($B36,Database!$B$1:$IX$10144,Z$22,FALSE)))</f>
        <v/>
      </c>
      <c r="AA36" s="22" t="str">
        <f>IF(OR($B36="",AA$22=""),"",IF(LEN(VLOOKUP($B36,Database!$B$1:$IX$10144,AA$22,FALSE))=0,"",VLOOKUP($B36,Database!$B$1:$IX$10144,AA$22,FALSE)))</f>
        <v/>
      </c>
      <c r="AB36" s="22" t="str">
        <f>IF(OR($B36="",AB$22=""),"",IF(LEN(VLOOKUP($B36,Database!$B$1:$IX$10144,AB$22,FALSE))=0,"",VLOOKUP($B36,Database!$B$1:$IX$10144,AB$22,FALSE)))</f>
        <v/>
      </c>
      <c r="AC36" s="22" t="str">
        <f>IF(OR($B36="",AC$22=""),"",IF(LEN(VLOOKUP($B36,Database!$B$1:$IX$10144,AC$22,FALSE))=0,"",VLOOKUP($B36,Database!$B$1:$IX$10144,AC$22,FALSE)))</f>
        <v/>
      </c>
      <c r="AD36" s="22" t="str">
        <f>IF(OR($B36="",AD$22=""),"",IF(LEN(VLOOKUP($B36,Database!$B$1:$IX$10144,AD$22,FALSE))=0,"",VLOOKUP($B36,Database!$B$1:$IX$10144,AD$22,FALSE)))</f>
        <v/>
      </c>
      <c r="AE36" s="22" t="str">
        <f>IF(OR($B36="",AE$22=""),"",IF(LEN(VLOOKUP($B36,Database!$B$1:$IX$10144,AE$22,FALSE))=0,"",VLOOKUP($B36,Database!$B$1:$IX$10144,AE$22,FALSE)))</f>
        <v/>
      </c>
      <c r="AF36" s="22" t="str">
        <f>IF(OR($B36="",AF$22=""),"",IF(LEN(VLOOKUP($B36,Database!$B$1:$IX$10144,AF$22,FALSE))=0,"",VLOOKUP($B36,Database!$B$1:$IX$10144,AF$22,FALSE)))</f>
        <v/>
      </c>
      <c r="AG36" s="22" t="str">
        <f>IF(OR($B36="",AG$22=""),"",IF(LEN(VLOOKUP($B36,Database!$B$1:$IX$10144,AG$22,FALSE))=0,"",VLOOKUP($B36,Database!$B$1:$IX$10144,AG$22,FALSE)))</f>
        <v/>
      </c>
      <c r="AH36" s="22" t="str">
        <f>IF(OR($B36="",AH$22=""),"",IF(LEN(VLOOKUP($B36,Database!$B$1:$IX$10144,AH$22,FALSE))=0,"",VLOOKUP($B36,Database!$B$1:$IX$10144,AH$22,FALSE)))</f>
        <v/>
      </c>
      <c r="AI36" s="22" t="str">
        <f>IF(OR($B36="",AI$22=""),"",IF(LEN(VLOOKUP($B36,Database!$B$1:$IX$10144,AI$22,FALSE))=0,"",VLOOKUP($B36,Database!$B$1:$IX$10144,AI$22,FALSE)))</f>
        <v/>
      </c>
      <c r="AJ36" s="22" t="str">
        <f>IF(OR($B36="",AJ$22=""),"",IF(LEN(VLOOKUP($B36,Database!$B$1:$IX$10144,AJ$22,FALSE))=0,"",VLOOKUP($B36,Database!$B$1:$IX$10144,AJ$22,FALSE)))</f>
        <v/>
      </c>
      <c r="AK36" s="22" t="str">
        <f>IF(OR($B36="",AK$22=""),"",IF(LEN(VLOOKUP($B36,Database!$B$1:$IX$10144,AK$22,FALSE))=0,"",VLOOKUP($B36,Database!$B$1:$IX$10144,AK$22,FALSE)))</f>
        <v/>
      </c>
      <c r="AL36" s="22" t="str">
        <f>IF(OR($B36="",AL$22=""),"",IF(LEN(VLOOKUP($B36,Database!$B$1:$IX$10144,AL$22,FALSE))=0,"",VLOOKUP($B36,Database!$B$1:$IX$10144,AL$22,FALSE)))</f>
        <v/>
      </c>
      <c r="AM36" s="22" t="str">
        <f>IF(OR($B36="",AM$22=""),"",IF(LEN(VLOOKUP($B36,Database!$B$1:$IX$10144,AM$22,FALSE))=0,"",VLOOKUP($B36,Database!$B$1:$IX$10144,AM$22,FALSE)))</f>
        <v/>
      </c>
      <c r="AN36" s="22" t="str">
        <f>IF(OR($B36="",AN$22=""),"",IF(LEN(VLOOKUP($B36,Database!$B$1:$IX$10144,AN$22,FALSE))=0,"",VLOOKUP($B36,Database!$B$1:$IX$10144,AN$22,FALSE)))</f>
        <v/>
      </c>
      <c r="AO36" s="22" t="str">
        <f>IF(OR($B36="",AO$22=""),"",IF(LEN(VLOOKUP($B36,Database!$B$1:$IX$10144,AO$22,FALSE))=0,"",VLOOKUP($B36,Database!$B$1:$IX$10144,AO$22,FALSE)))</f>
        <v/>
      </c>
      <c r="AP36" s="22" t="str">
        <f>IF(OR($B36="",AP$22=""),"",IF(LEN(VLOOKUP($B36,Database!$B$1:$IX$10144,AP$22,FALSE))=0,"",VLOOKUP($B36,Database!$B$1:$IX$10144,AP$22,FALSE)))</f>
        <v/>
      </c>
      <c r="AQ36" s="22" t="str">
        <f>IF(OR($B36="",AQ$22=""),"",IF(LEN(VLOOKUP($B36,Database!$B$1:$IX$10144,AQ$22,FALSE))=0,"",VLOOKUP($B36,Database!$B$1:$IX$10144,AQ$22,FALSE)))</f>
        <v/>
      </c>
    </row>
    <row r="37" spans="1:61">
      <c r="A37" s="4" t="s">
        <v>1510</v>
      </c>
      <c r="C37" s="1" t="str">
        <f>IF($B37="","",HYPERLINK(IF(LEN(VLOOKUP($B37,Database!$B$1:$IX$10144,2,FALSE))=0,"",VLOOKUP($B37,Database!$B$1:$IX$10144,2,FALSE))))</f>
        <v/>
      </c>
      <c r="D37" s="1" t="str">
        <f t="shared" si="0"/>
        <v/>
      </c>
      <c r="E37" s="22" t="str">
        <f>IF($B37="","",IF(LEN(VLOOKUP($B37,Database!$B$1:$IX$10144,4,FALSE))=0,"",VLOOKUP($B37,Database!$B$1:$IX$10144,4,FALSE)))</f>
        <v/>
      </c>
      <c r="F37" s="22" t="str">
        <f>IF($B37="","",IF(LEN(VLOOKUP($B37,Database!$B$1:$IX$10144,5,FALSE))=0,"",VLOOKUP($B37,Database!$B$1:$IX$10144,5,FALSE)))</f>
        <v/>
      </c>
      <c r="G37" s="1" t="str">
        <f>IF($B37="","",HYPERLINK(IF(LEN(VLOOKUP($B37,Database!$B$1:$IX$10144,6,FALSE))=0,"",VLOOKUP($B37,Database!$B$1:$IX$10144,6,FALSE))))</f>
        <v/>
      </c>
      <c r="H37" s="22" t="str">
        <f>IF($B37="","",IF(LEN(VLOOKUP($B37,Database!$B$1:$IX$10144,7,FALSE))=0,"",VLOOKUP($B37,Database!$B$1:$IX$10144,7,FALSE)))</f>
        <v/>
      </c>
      <c r="I37" s="22" t="str">
        <f>IF($B37="","",IF(LEN(VLOOKUP($B37,Database!$B$1:$IX$10144,8,FALSE))=0,"",VLOOKUP($B37,Database!$B$1:$IX$10144,8,FALSE)))</f>
        <v/>
      </c>
      <c r="Y37" s="22" t="str">
        <f>IF(OR($B37="",Y$22=""),"",IF(LEN(VLOOKUP($B37,Database!$B$1:$IX$10144,Y$22,FALSE))=0,"",VLOOKUP($B37,Database!$B$1:$IX$10144,Y$22,FALSE)))</f>
        <v/>
      </c>
      <c r="Z37" s="22" t="str">
        <f>IF(OR($B37="",Z$22=""),"",IF(LEN(VLOOKUP($B37,Database!$B$1:$IX$10144,Z$22,FALSE))=0,"",VLOOKUP($B37,Database!$B$1:$IX$10144,Z$22,FALSE)))</f>
        <v/>
      </c>
      <c r="AA37" s="22" t="str">
        <f>IF(OR($B37="",AA$22=""),"",IF(LEN(VLOOKUP($B37,Database!$B$1:$IX$10144,AA$22,FALSE))=0,"",VLOOKUP($B37,Database!$B$1:$IX$10144,AA$22,FALSE)))</f>
        <v/>
      </c>
      <c r="AB37" s="22" t="str">
        <f>IF(OR($B37="",AB$22=""),"",IF(LEN(VLOOKUP($B37,Database!$B$1:$IX$10144,AB$22,FALSE))=0,"",VLOOKUP($B37,Database!$B$1:$IX$10144,AB$22,FALSE)))</f>
        <v/>
      </c>
      <c r="AC37" s="22" t="str">
        <f>IF(OR($B37="",AC$22=""),"",IF(LEN(VLOOKUP($B37,Database!$B$1:$IX$10144,AC$22,FALSE))=0,"",VLOOKUP($B37,Database!$B$1:$IX$10144,AC$22,FALSE)))</f>
        <v/>
      </c>
      <c r="AD37" s="22" t="str">
        <f>IF(OR($B37="",AD$22=""),"",IF(LEN(VLOOKUP($B37,Database!$B$1:$IX$10144,AD$22,FALSE))=0,"",VLOOKUP($B37,Database!$B$1:$IX$10144,AD$22,FALSE)))</f>
        <v/>
      </c>
      <c r="AE37" s="22" t="str">
        <f>IF(OR($B37="",AE$22=""),"",IF(LEN(VLOOKUP($B37,Database!$B$1:$IX$10144,AE$22,FALSE))=0,"",VLOOKUP($B37,Database!$B$1:$IX$10144,AE$22,FALSE)))</f>
        <v/>
      </c>
      <c r="AF37" s="22" t="str">
        <f>IF(OR($B37="",AF$22=""),"",IF(LEN(VLOOKUP($B37,Database!$B$1:$IX$10144,AF$22,FALSE))=0,"",VLOOKUP($B37,Database!$B$1:$IX$10144,AF$22,FALSE)))</f>
        <v/>
      </c>
      <c r="AG37" s="22" t="str">
        <f>IF(OR($B37="",AG$22=""),"",IF(LEN(VLOOKUP($B37,Database!$B$1:$IX$10144,AG$22,FALSE))=0,"",VLOOKUP($B37,Database!$B$1:$IX$10144,AG$22,FALSE)))</f>
        <v/>
      </c>
      <c r="AH37" s="22" t="str">
        <f>IF(OR($B37="",AH$22=""),"",IF(LEN(VLOOKUP($B37,Database!$B$1:$IX$10144,AH$22,FALSE))=0,"",VLOOKUP($B37,Database!$B$1:$IX$10144,AH$22,FALSE)))</f>
        <v/>
      </c>
      <c r="AI37" s="22" t="str">
        <f>IF(OR($B37="",AI$22=""),"",IF(LEN(VLOOKUP($B37,Database!$B$1:$IX$10144,AI$22,FALSE))=0,"",VLOOKUP($B37,Database!$B$1:$IX$10144,AI$22,FALSE)))</f>
        <v/>
      </c>
      <c r="AJ37" s="22" t="str">
        <f>IF(OR($B37="",AJ$22=""),"",IF(LEN(VLOOKUP($B37,Database!$B$1:$IX$10144,AJ$22,FALSE))=0,"",VLOOKUP($B37,Database!$B$1:$IX$10144,AJ$22,FALSE)))</f>
        <v/>
      </c>
      <c r="AK37" s="22" t="str">
        <f>IF(OR($B37="",AK$22=""),"",IF(LEN(VLOOKUP($B37,Database!$B$1:$IX$10144,AK$22,FALSE))=0,"",VLOOKUP($B37,Database!$B$1:$IX$10144,AK$22,FALSE)))</f>
        <v/>
      </c>
      <c r="AL37" s="22" t="str">
        <f>IF(OR($B37="",AL$22=""),"",IF(LEN(VLOOKUP($B37,Database!$B$1:$IX$10144,AL$22,FALSE))=0,"",VLOOKUP($B37,Database!$B$1:$IX$10144,AL$22,FALSE)))</f>
        <v/>
      </c>
      <c r="AM37" s="22" t="str">
        <f>IF(OR($B37="",AM$22=""),"",IF(LEN(VLOOKUP($B37,Database!$B$1:$IX$10144,AM$22,FALSE))=0,"",VLOOKUP($B37,Database!$B$1:$IX$10144,AM$22,FALSE)))</f>
        <v/>
      </c>
      <c r="AN37" s="22" t="str">
        <f>IF(OR($B37="",AN$22=""),"",IF(LEN(VLOOKUP($B37,Database!$B$1:$IX$10144,AN$22,FALSE))=0,"",VLOOKUP($B37,Database!$B$1:$IX$10144,AN$22,FALSE)))</f>
        <v/>
      </c>
      <c r="AO37" s="22" t="str">
        <f>IF(OR($B37="",AO$22=""),"",IF(LEN(VLOOKUP($B37,Database!$B$1:$IX$10144,AO$22,FALSE))=0,"",VLOOKUP($B37,Database!$B$1:$IX$10144,AO$22,FALSE)))</f>
        <v/>
      </c>
      <c r="AP37" s="22" t="str">
        <f>IF(OR($B37="",AP$22=""),"",IF(LEN(VLOOKUP($B37,Database!$B$1:$IX$10144,AP$22,FALSE))=0,"",VLOOKUP($B37,Database!$B$1:$IX$10144,AP$22,FALSE)))</f>
        <v/>
      </c>
      <c r="AQ37" s="22" t="str">
        <f>IF(OR($B37="",AQ$22=""),"",IF(LEN(VLOOKUP($B37,Database!$B$1:$IX$10144,AQ$22,FALSE))=0,"",VLOOKUP($B37,Database!$B$1:$IX$10144,AQ$22,FALSE)))</f>
        <v/>
      </c>
    </row>
    <row r="38" spans="1:61">
      <c r="A38" s="172" t="s">
        <v>2324</v>
      </c>
      <c r="B38" s="13">
        <v>2018163</v>
      </c>
      <c r="C38" s="1" t="str">
        <f>IF($B38="","",HYPERLINK(IF(LEN(VLOOKUP($B38,Database!$B$1:$IX$10144,2,FALSE))=0,"",VLOOKUP($B38,Database!$B$1:$IX$10144,2,FALSE))))</f>
        <v/>
      </c>
      <c r="D38" s="1" t="str">
        <f>IF($B38="","",HYPERLINK(CONCATENATE("http://www.ncbi.nlm.nih.gov/pubmed/",B38)))</f>
        <v>http://www.ncbi.nlm.nih.gov/pubmed/2018163</v>
      </c>
      <c r="E38" s="22" t="str">
        <f>IF($B38="","",IF(LEN(VLOOKUP($B38,Database!$B$1:$IX$10144,4,FALSE))=0,"",VLOOKUP($B38,Database!$B$1:$IX$10144,4,FALSE)))</f>
        <v>Rabins PV</v>
      </c>
      <c r="F38" s="22">
        <f>IF($B38="","",IF(LEN(VLOOKUP($B38,Database!$B$1:$IX$10144,5,FALSE))=0,"",VLOOKUP($B38,Database!$B$1:$IX$10144,5,FALSE)))</f>
        <v>1991</v>
      </c>
      <c r="G38" s="1" t="str">
        <f>IF($B38="","",HYPERLINK(IF(LEN(VLOOKUP($B38,Database!$B$1:$IX$10144,6,FALSE))=0,"",VLOOKUP($B38,Database!$B$1:$IX$10144,6,FALSE))))</f>
        <v>http://ajp.psychiatryonline.org/cgi/reprint/148/5/617</v>
      </c>
      <c r="H38" s="22">
        <f>IF($B38="","",IF(LEN(VLOOKUP($B38,Database!$B$1:$IX$10144,7,FALSE))=0,"",VLOOKUP($B38,Database!$B$1:$IX$10144,7,FALSE)))</f>
        <v>21</v>
      </c>
      <c r="I38" s="22">
        <f>IF($B38="","",IF(LEN(VLOOKUP($B38,Database!$B$1:$IX$10144,8,FALSE))=0,"",VLOOKUP($B38,Database!$B$1:$IX$10144,8,FALSE)))</f>
        <v>14</v>
      </c>
      <c r="J38" s="138" t="s">
        <v>619</v>
      </c>
      <c r="Y38" s="22" t="str">
        <f>IF(OR($B38="",Y$22=""),"",IF(LEN(VLOOKUP($B38,Database!$B$1:$IX$10144,Y$22,FALSE))=0,"",VLOOKUP($B38,Database!$B$1:$IX$10144,Y$22,FALSE)))</f>
        <v>DSM-III-R</v>
      </c>
      <c r="Z38" s="22" t="str">
        <f>IF(OR($B38="",Z$22=""),"",IF(LEN(VLOOKUP($B38,Database!$B$1:$IX$10144,Z$22,FALSE))=0,"",VLOOKUP($B38,Database!$B$1:$IX$10144,Z$22,FALSE)))</f>
        <v>MRI</v>
      </c>
      <c r="AA38" s="22" t="str">
        <f>IF(OR($B38="",AA$22=""),"",IF(LEN(VLOOKUP($B38,Database!$B$1:$IX$10144,AA$22,FALSE))=0,"",VLOOKUP($B38,Database!$B$1:$IX$10144,AA$22,FALSE)))</f>
        <v/>
      </c>
      <c r="AB38" s="22" t="str">
        <f>IF(OR($B38="",AB$22=""),"",IF(LEN(VLOOKUP($B38,Database!$B$1:$IX$10144,AB$22,FALSE))=0,"",VLOOKUP($B38,Database!$B$1:$IX$10144,AB$22,FALSE)))</f>
        <v>ns</v>
      </c>
      <c r="AC38" s="22" t="str">
        <f>IF(OR($B38="",AC$22=""),"",IF(LEN(VLOOKUP($B38,Database!$B$1:$IX$10144,AC$22,FALSE))=0,"",VLOOKUP($B38,Database!$B$1:$IX$10144,AC$22,FALSE)))</f>
        <v>ns</v>
      </c>
      <c r="AD38" s="22" t="str">
        <f>IF(OR($B38="",AD$22=""),"",IF(LEN(VLOOKUP($B38,Database!$B$1:$IX$10144,AD$22,FALSE))=0,"",VLOOKUP($B38,Database!$B$1:$IX$10144,AD$22,FALSE)))</f>
        <v>ns</v>
      </c>
      <c r="AE38" s="22" t="str">
        <f>IF(OR($B38="",AE$22=""),"",IF(LEN(VLOOKUP($B38,Database!$B$1:$IX$10144,AE$22,FALSE))=0,"",VLOOKUP($B38,Database!$B$1:$IX$10144,AE$22,FALSE)))</f>
        <v>ns</v>
      </c>
      <c r="AF38" s="22" t="str">
        <f>IF(OR($B38="",AF$22=""),"",IF(LEN(VLOOKUP($B38,Database!$B$1:$IX$10144,AF$22,FALSE))=0,"",VLOOKUP($B38,Database!$B$1:$IX$10144,AF$22,FALSE)))</f>
        <v>ns</v>
      </c>
      <c r="AG38" s="22" t="str">
        <f>IF(OR($B38="",AG$22=""),"",IF(LEN(VLOOKUP($B38,Database!$B$1:$IX$10144,AG$22,FALSE))=0,"",VLOOKUP($B38,Database!$B$1:$IX$10144,AG$22,FALSE)))</f>
        <v>ns</v>
      </c>
      <c r="AH38" s="22">
        <f>IF(OR($B38="",AH$22=""),"",IF(LEN(VLOOKUP($B38,Database!$B$1:$IX$10144,AH$22,FALSE))=0,"",VLOOKUP($B38,Database!$B$1:$IX$10144,AH$22,FALSE)))</f>
        <v>1.5</v>
      </c>
      <c r="AI38" s="22" t="str">
        <f>IF(OR($B38="",AI$22=""),"",IF(LEN(VLOOKUP($B38,Database!$B$1:$IX$10144,AI$22,FALSE))=0,"",VLOOKUP($B38,Database!$B$1:$IX$10144,AI$22,FALSE)))</f>
        <v>ns</v>
      </c>
      <c r="AJ38" s="22" t="str">
        <f>IF(OR($B38="",AJ$22=""),"",IF(LEN(VLOOKUP($B38,Database!$B$1:$IX$10144,AJ$22,FALSE))=0,"",VLOOKUP($B38,Database!$B$1:$IX$10144,AJ$22,FALSE)))</f>
        <v/>
      </c>
      <c r="AK38" s="22">
        <f>IF(OR($B38="",AK$22=""),"",IF(LEN(VLOOKUP($B38,Database!$B$1:$IX$10144,AK$22,FALSE))=0,"",VLOOKUP($B38,Database!$B$1:$IX$10144,AK$22,FALSE)))</f>
        <v>54.2</v>
      </c>
      <c r="AL38" s="22" t="str">
        <f>IF(OR($B38="",AL$22=""),"",IF(LEN(VLOOKUP($B38,Database!$B$1:$IX$10144,AL$22,FALSE))=0,"",VLOOKUP($B38,Database!$B$1:$IX$10144,AL$22,FALSE)))</f>
        <v>ns</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Rabins PV, Pearlson GD, Aylward E, Kumar AJ, Dowell K.</v>
      </c>
    </row>
    <row r="39" spans="1:61">
      <c r="A39" s="172" t="s">
        <v>2326</v>
      </c>
      <c r="B39" s="13">
        <v>9506601</v>
      </c>
      <c r="C39" s="1" t="str">
        <f>IF($B39="","",HYPERLINK(IF(LEN(VLOOKUP($B39,Database!$B$1:$IX$10144,2,FALSE))=0,"",VLOOKUP($B39,Database!$B$1:$IX$10144,2,FALSE))))</f>
        <v/>
      </c>
      <c r="D39" s="1" t="str">
        <f t="shared" si="0"/>
        <v>http://www.ncbi.nlm.nih.gov/pubmed/9506601</v>
      </c>
      <c r="E39" s="22" t="str">
        <f>IF($B39="","",IF(LEN(VLOOKUP($B39,Database!$B$1:$IX$10144,4,FALSE))=0,"",VLOOKUP($B39,Database!$B$1:$IX$10144,4,FALSE)))</f>
        <v>Greenwald BS</v>
      </c>
      <c r="F39" s="22">
        <f>IF($B39="","",IF(LEN(VLOOKUP($B39,Database!$B$1:$IX$10144,5,FALSE))=0,"",VLOOKUP($B39,Database!$B$1:$IX$10144,5,FALSE)))</f>
        <v>1998</v>
      </c>
      <c r="G39" s="1" t="str">
        <f>IF($B39="","",HYPERLINK(IF(LEN(VLOOKUP($B39,Database!$B$1:$IX$10144,6,FALSE))=0,"",VLOOKUP($B39,Database!$B$1:$IX$10144,6,FALSE))))</f>
        <v>http://stroke.ahajournals.org/cgi/reprint/29/3/613</v>
      </c>
      <c r="H39" s="22">
        <f>IF($B39="","",IF(LEN(VLOOKUP($B39,Database!$B$1:$IX$10144,7,FALSE))=0,"",VLOOKUP($B39,Database!$B$1:$IX$10144,7,FALSE)))</f>
        <v>35</v>
      </c>
      <c r="I39" s="22">
        <f>IF($B39="","",IF(LEN(VLOOKUP($B39,Database!$B$1:$IX$10144,8,FALSE))=0,"",VLOOKUP($B39,Database!$B$1:$IX$10144,8,FALSE)))</f>
        <v>31</v>
      </c>
      <c r="J39" s="13" t="s">
        <v>692</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74.7</v>
      </c>
      <c r="AC39" s="22">
        <f>IF(OR($B39="",AC$22=""),"",IF(LEN(VLOOKUP($B39,Database!$B$1:$IX$10144,AC$22,FALSE))=0,"",VLOOKUP($B39,Database!$B$1:$IX$10144,AC$22,FALSE)))</f>
        <v>6.4</v>
      </c>
      <c r="AD39" s="22">
        <f>IF(OR($B39="",AD$22=""),"",IF(LEN(VLOOKUP($B39,Database!$B$1:$IX$10144,AD$22,FALSE))=0,"",VLOOKUP($B39,Database!$B$1:$IX$10144,AD$22,FALSE)))</f>
        <v>72.900000000000006</v>
      </c>
      <c r="AE39" s="22">
        <f>IF(OR($B39="",AE$22=""),"",IF(LEN(VLOOKUP($B39,Database!$B$1:$IX$10144,AE$22,FALSE))=0,"",VLOOKUP($B39,Database!$B$1:$IX$10144,AE$22,FALSE)))</f>
        <v>4.7</v>
      </c>
      <c r="AF39" s="22">
        <f>IF(OR($B39="",AF$22=""),"",IF(LEN(VLOOKUP($B39,Database!$B$1:$IX$10144,AF$22,FALSE))=0,"",VLOOKUP($B39,Database!$B$1:$IX$10144,AF$22,FALSE)))</f>
        <v>26</v>
      </c>
      <c r="AG39" s="22">
        <f>IF(OR($B39="",AG$22=""),"",IF(LEN(VLOOKUP($B39,Database!$B$1:$IX$10144,AG$22,FALSE))=0,"",VLOOKUP($B39,Database!$B$1:$IX$10144,AG$22,FALSE)))</f>
        <v>13</v>
      </c>
      <c r="AH39" s="22">
        <f>IF(OR($B39="",AH$22=""),"",IF(LEN(VLOOKUP($B39,Database!$B$1:$IX$10144,AH$22,FALSE))=0,"",VLOOKUP($B39,Database!$B$1:$IX$10144,AH$22,FALSE)))</f>
        <v>1</v>
      </c>
      <c r="AI39" s="22">
        <f>IF(OR($B39="",AI$22=""),"",IF(LEN(VLOOKUP($B39,Database!$B$1:$IX$10144,AI$22,FALSE))=0,"",VLOOKUP($B39,Database!$B$1:$IX$10144,AI$22,FALSE)))</f>
        <v>5</v>
      </c>
      <c r="AJ39" s="22" t="str">
        <f>IF(OR($B39="",AJ$22=""),"",IF(LEN(VLOOKUP($B39,Database!$B$1:$IX$10144,AJ$22,FALSE))=0,"",VLOOKUP($B39,Database!$B$1:$IX$10144,AJ$22,FALSE)))</f>
        <v/>
      </c>
      <c r="AK39" s="22">
        <f>IF(OR($B39="",AK$22=""),"",IF(LEN(VLOOKUP($B39,Database!$B$1:$IX$10144,AK$22,FALSE))=0,"",VLOOKUP($B39,Database!$B$1:$IX$10144,AK$22,FALSE)))</f>
        <v>56.5</v>
      </c>
      <c r="AL39" s="22">
        <f>IF(OR($B39="",AL$22=""),"",IF(LEN(VLOOKUP($B39,Database!$B$1:$IX$10144,AL$22,FALSE))=0,"",VLOOKUP($B39,Database!$B$1:$IX$10144,AL$22,FALSE)))</f>
        <v>27</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Greenwald BS, Kramer-Ginsberg E, Krishnan KR, Ashtari M, Auerbach C, Patel M.</v>
      </c>
    </row>
    <row r="40" spans="1:61">
      <c r="A40" s="172" t="s">
        <v>19</v>
      </c>
      <c r="B40" s="13">
        <v>14971633</v>
      </c>
      <c r="C40" s="1" t="str">
        <f>IF($B40="","",HYPERLINK(IF(LEN(VLOOKUP($B40,Database!$B$1:$IX$10144,2,FALSE))=0,"",VLOOKUP($B40,Database!$B$1:$IX$10144,2,FALSE))))</f>
        <v/>
      </c>
      <c r="D40" s="1" t="str">
        <f t="shared" si="0"/>
        <v>http://www.ncbi.nlm.nih.gov/pubmed/14971633</v>
      </c>
      <c r="E40" s="22" t="str">
        <f>IF($B40="","",IF(LEN(VLOOKUP($B40,Database!$B$1:$IX$10144,4,FALSE))=0,"",VLOOKUP($B40,Database!$B$1:$IX$10144,4,FALSE)))</f>
        <v>Baldwin R</v>
      </c>
      <c r="F40" s="22">
        <f>IF($B40="","",IF(LEN(VLOOKUP($B40,Database!$B$1:$IX$10144,5,FALSE))=0,"",VLOOKUP($B40,Database!$B$1:$IX$10144,5,FALSE)))</f>
        <v>2004</v>
      </c>
      <c r="G40" s="1" t="str">
        <f>IF($B40="","",HYPERLINK(IF(LEN(VLOOKUP($B40,Database!$B$1:$IX$10144,6,FALSE))=0,"",VLOOKUP($B40,Database!$B$1:$IX$10144,6,FALSE))))</f>
        <v>http://dx.doi.org/10.1017/S0033291703008870</v>
      </c>
      <c r="H40" s="22">
        <f>IF($B40="","",IF(LEN(VLOOKUP($B40,Database!$B$1:$IX$10144,7,FALSE))=0,"",VLOOKUP($B40,Database!$B$1:$IX$10144,7,FALSE)))</f>
        <v>50</v>
      </c>
      <c r="I40" s="22">
        <f>IF($B40="","",IF(LEN(VLOOKUP($B40,Database!$B$1:$IX$10144,8,FALSE))=0,"",VLOOKUP($B40,Database!$B$1:$IX$10144,8,FALSE)))</f>
        <v>35</v>
      </c>
      <c r="J40" t="s">
        <v>1551</v>
      </c>
      <c r="K40" s="91"/>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f>IF(OR($B40="",AD$22=""),"",IF(LEN(VLOOKUP($B40,Database!$B$1:$IX$10144,AD$22,FALSE))=0,"",VLOOKUP($B40,Database!$B$1:$IX$10144,AD$22,FALSE)))</f>
        <v>72.8</v>
      </c>
      <c r="AE40" s="22">
        <f>IF(OR($B40="",AE$22=""),"",IF(LEN(VLOOKUP($B40,Database!$B$1:$IX$10144,AE$22,FALSE))=0,"",VLOOKUP($B40,Database!$B$1:$IX$10144,AE$22,FALSE)))</f>
        <v>6.56</v>
      </c>
      <c r="AF40" s="22">
        <f>IF(OR($B40="",AF$22=""),"",IF(LEN(VLOOKUP($B40,Database!$B$1:$IX$10144,AF$22,FALSE))=0,"",VLOOKUP($B40,Database!$B$1:$IX$10144,AF$22,FALSE)))</f>
        <v>30</v>
      </c>
      <c r="AG40" s="22">
        <f>IF(OR($B40="",AG$22=""),"",IF(LEN(VLOOKUP($B40,Database!$B$1:$IX$10144,AG$22,FALSE))=0,"",VLOOKUP($B40,Database!$B$1:$IX$10144,AG$22,FALSE)))</f>
        <v>24</v>
      </c>
      <c r="AH40" s="22">
        <f>IF(OR($B40="",AH$22=""),"",IF(LEN(VLOOKUP($B40,Database!$B$1:$IX$10144,AH$22,FALSE))=0,"",VLOOKUP($B40,Database!$B$1:$IX$10144,AH$22,FALSE)))</f>
        <v>1.5</v>
      </c>
      <c r="AI40" s="22">
        <f>IF(OR($B40="",AI$22=""),"",IF(LEN(VLOOKUP($B40,Database!$B$1:$IX$10144,AI$22,FALSE))=0,"",VLOOKUP($B40,Database!$B$1:$IX$10144,AI$22,FALSE)))</f>
        <v>3</v>
      </c>
      <c r="AJ40" s="22" t="str">
        <f>IF(OR($B40="",AJ$22=""),"",IF(LEN(VLOOKUP($B40,Database!$B$1:$IX$10144,AJ$22,FALSE))=0,"",VLOOKUP($B40,Database!$B$1:$IX$10144,AJ$22,FALSE)))</f>
        <v/>
      </c>
      <c r="AK40" s="22" t="str">
        <f>IF(OR($B40="",AK$22=""),"",IF(LEN(VLOOKUP($B40,Database!$B$1:$IX$10144,AK$22,FALSE))=0,"",VLOOKUP($B40,Database!$B$1:$IX$10144,AK$22,FALSE)))</f>
        <v>ns</v>
      </c>
      <c r="AL40" s="22">
        <f>IF(OR($B40="",AL$22=""),"",IF(LEN(VLOOKUP($B40,Database!$B$1:$IX$10144,AL$22,FALSE))=0,"",VLOOKUP($B40,Database!$B$1:$IX$10144,AL$22,FALSE)))</f>
        <v>4.8</v>
      </c>
      <c r="AM40" s="22" t="str">
        <f>IF(OR($B40="",AM$22=""),"",IF(LEN(VLOOKUP($B40,Database!$B$1:$IX$10144,AM$22,FALSE))=0,"",VLOOKUP($B40,Database!$B$1:$IX$10144,AM$22,FALSE)))</f>
        <v>ns</v>
      </c>
      <c r="AN40" s="22" t="str">
        <f>IF(OR($B40="",AN$22=""),"",IF(LEN(VLOOKUP($B40,Database!$B$1:$IX$10144,AN$22,FALSE))=0,"",VLOOKUP($B40,Database!$B$1:$IX$10144,AN$22,FALSE)))</f>
        <v>ns</v>
      </c>
      <c r="AO40" s="22">
        <f>IF(OR($B40="",AO$22=""),"",IF(LEN(VLOOKUP($B40,Database!$B$1:$IX$10144,AO$22,FALSE))=0,"",VLOOKUP($B40,Database!$B$1:$IX$10144,AO$22,FALSE)))</f>
        <v>14.000000000000002</v>
      </c>
      <c r="AP40" s="22" t="str">
        <f>IF(OR($B40="",AP$22=""),"",IF(LEN(VLOOKUP($B40,Database!$B$1:$IX$10144,AP$22,FALSE))=0,"",VLOOKUP($B40,Database!$B$1:$IX$10144,AP$22,FALSE)))</f>
        <v>ns</v>
      </c>
      <c r="AQ40" s="22" t="str">
        <f>IF(OR($B40="",AQ$22=""),"",IF(LEN(VLOOKUP($B40,Database!$B$1:$IX$10144,AQ$22,FALSE))=0,"",VLOOKUP($B40,Database!$B$1:$IX$10144,AQ$22,FALSE)))</f>
        <v>Baldwin R, Jeffries S, Jackson A, Sutcliffe C, Thacker N, Scott M, Burns A.</v>
      </c>
    </row>
    <row r="41" spans="1:61">
      <c r="A41" s="172" t="s">
        <v>2325</v>
      </c>
      <c r="B41">
        <v>16323250</v>
      </c>
      <c r="C41" s="1" t="str">
        <f>IF($B41="","",HYPERLINK(IF(LEN(VLOOKUP($B41,Database!$B$1:$IX$10144,2,FALSE))=0,"",VLOOKUP($B41,Database!$B$1:$IX$10144,2,FALSE))))</f>
        <v/>
      </c>
      <c r="D41" s="1" t="str">
        <f>IF($B41="","",HYPERLINK(CONCATENATE("http://www.ncbi.nlm.nih.gov/pubmed/",B41)))</f>
        <v>http://www.ncbi.nlm.nih.gov/pubmed/16323250</v>
      </c>
      <c r="E41" s="22" t="str">
        <f>IF($B41="","",IF(LEN(VLOOKUP($B41,Database!$B$1:$IX$10144,4,FALSE))=0,"",VLOOKUP($B41,Database!$B$1:$IX$10144,4,FALSE)))</f>
        <v>Chen CS</v>
      </c>
      <c r="F41" s="22">
        <f>IF($B41="","",IF(LEN(VLOOKUP($B41,Database!$B$1:$IX$10144,5,FALSE))=0,"",VLOOKUP($B41,Database!$B$1:$IX$10144,5,FALSE)))</f>
        <v>2006</v>
      </c>
      <c r="G41" s="1" t="str">
        <f>IF($B41="","",HYPERLINK(IF(LEN(VLOOKUP($B41,Database!$B$1:$IX$10144,6,FALSE))=0,"",VLOOKUP($B41,Database!$B$1:$IX$10144,6,FALSE))))</f>
        <v>http://www3.interscience.wiley.com/cgi-bin/fulltext/112161700/PDFSTART</v>
      </c>
      <c r="H41" s="22">
        <f>IF($B41="","",IF(LEN(VLOOKUP($B41,Database!$B$1:$IX$10144,7,FALSE))=0,"",VLOOKUP($B41,Database!$B$1:$IX$10144,7,FALSE)))</f>
        <v>14</v>
      </c>
      <c r="I41" s="22">
        <f>IF($B41="","",IF(LEN(VLOOKUP($B41,Database!$B$1:$IX$10144,8,FALSE))=0,"",VLOOKUP($B41,Database!$B$1:$IX$10144,8,FALSE)))</f>
        <v>11</v>
      </c>
      <c r="J41" t="s">
        <v>1191</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75.099999999999994</v>
      </c>
      <c r="AC41" s="22">
        <f>IF(OR($B41="",AC$22=""),"",IF(LEN(VLOOKUP($B41,Database!$B$1:$IX$10144,AC$22,FALSE))=0,"",VLOOKUP($B41,Database!$B$1:$IX$10144,AC$22,FALSE)))</f>
        <v>6.3</v>
      </c>
      <c r="AD41" s="22">
        <f>IF(OR($B41="",AD$22=""),"",IF(LEN(VLOOKUP($B41,Database!$B$1:$IX$10144,AD$22,FALSE))=0,"",VLOOKUP($B41,Database!$B$1:$IX$10144,AD$22,FALSE)))</f>
        <v>72.599999999999994</v>
      </c>
      <c r="AE41" s="22">
        <f>IF(OR($B41="",AE$22=""),"",IF(LEN(VLOOKUP($B41,Database!$B$1:$IX$10144,AE$22,FALSE))=0,"",VLOOKUP($B41,Database!$B$1:$IX$10144,AE$22,FALSE)))</f>
        <v>8.1</v>
      </c>
      <c r="AF41" s="22">
        <f>IF(OR($B41="",AF$22=""),"",IF(LEN(VLOOKUP($B41,Database!$B$1:$IX$10144,AF$22,FALSE))=0,"",VLOOKUP($B41,Database!$B$1:$IX$10144,AF$22,FALSE)))</f>
        <v>8</v>
      </c>
      <c r="AG41" s="22">
        <f>IF(OR($B41="",AG$22=""),"",IF(LEN(VLOOKUP($B41,Database!$B$1:$IX$10144,AG$22,FALSE))=0,"",VLOOKUP($B41,Database!$B$1:$IX$10144,AG$22,FALSE)))</f>
        <v>7</v>
      </c>
      <c r="AH41" s="22">
        <f>IF(OR($B41="",AH$22=""),"",IF(LEN(VLOOKUP($B41,Database!$B$1:$IX$10144,AH$22,FALSE))=0,"",VLOOKUP($B41,Database!$B$1:$IX$10144,AH$22,FALSE)))</f>
        <v>3</v>
      </c>
      <c r="AI41" s="22">
        <f>IF(OR($B41="",AI$22=""),"",IF(LEN(VLOOKUP($B41,Database!$B$1:$IX$10144,AI$22,FALSE))=0,"",VLOOKUP($B41,Database!$B$1:$IX$10144,AI$22,FALSE)))</f>
        <v>5</v>
      </c>
      <c r="AJ41" s="22" t="str">
        <f>IF(OR($B41="",AJ$22=""),"",IF(LEN(VLOOKUP($B41,Database!$B$1:$IX$10144,AJ$22,FALSE))=0,"",VLOOKUP($B41,Database!$B$1:$IX$10144,AJ$22,FALSE)))</f>
        <v/>
      </c>
      <c r="AK41" s="22">
        <f>IF(OR($B41="",AK$22=""),"",IF(LEN(VLOOKUP($B41,Database!$B$1:$IX$10144,AK$22,FALSE))=0,"",VLOOKUP($B41,Database!$B$1:$IX$10144,AK$22,FALSE)))</f>
        <v>70</v>
      </c>
      <c r="AL41" s="22">
        <f>IF(OR($B41="",AL$22=""),"",IF(LEN(VLOOKUP($B41,Database!$B$1:$IX$10144,AL$22,FALSE))=0,"",VLOOKUP($B41,Database!$B$1:$IX$10144,AL$22,FALSE)))</f>
        <v>22</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Chen CS, Chen CC, Kuo YT, Chiang IC, Ko CH, Lin HF.</v>
      </c>
    </row>
    <row r="42" spans="1:61">
      <c r="A42" s="172" t="s">
        <v>1189</v>
      </c>
      <c r="B42" s="13">
        <v>8780429</v>
      </c>
      <c r="C42" s="1" t="str">
        <f>IF($B42="","",HYPERLINK(IF(LEN(VLOOKUP($B42,Database!$B$1:$IX$10144,2,FALSE))=0,"",VLOOKUP($B42,Database!$B$1:$IX$10144,2,FALSE))))</f>
        <v/>
      </c>
      <c r="D42" s="1" t="str">
        <f>IF($B42="","",HYPERLINK(CONCATENATE("http://www.ncbi.nlm.nih.gov/pubmed/",B42)))</f>
        <v>http://www.ncbi.nlm.nih.gov/pubmed/8780429</v>
      </c>
      <c r="E42" s="22" t="str">
        <f>IF($B42="","",IF(LEN(VLOOKUP($B42,Database!$B$1:$IX$10144,4,FALSE))=0,"",VLOOKUP($B42,Database!$B$1:$IX$10144,4,FALSE)))</f>
        <v>Greenwald BS</v>
      </c>
      <c r="F42" s="22">
        <f>IF($B42="","",IF(LEN(VLOOKUP($B42,Database!$B$1:$IX$10144,5,FALSE))=0,"",VLOOKUP($B42,Database!$B$1:$IX$10144,5,FALSE)))</f>
        <v>1996</v>
      </c>
      <c r="G42" s="1" t="str">
        <f>IF($B42="","",HYPERLINK(IF(LEN(VLOOKUP($B42,Database!$B$1:$IX$10144,6,FALSE))=0,"",VLOOKUP($B42,Database!$B$1:$IX$10144,6,FALSE))))</f>
        <v>http://ajp.psychiatryonline.org/cgi/reprint/153/9/1212</v>
      </c>
      <c r="H42" s="22">
        <f>IF($B42="","",IF(LEN(VLOOKUP($B42,Database!$B$1:$IX$10144,7,FALSE))=0,"",VLOOKUP($B42,Database!$B$1:$IX$10144,7,FALSE)))</f>
        <v>48</v>
      </c>
      <c r="I42" s="22">
        <f>IF($B42="","",IF(LEN(VLOOKUP($B42,Database!$B$1:$IX$10144,8,FALSE))=0,"",VLOOKUP($B42,Database!$B$1:$IX$10144,8,FALSE)))</f>
        <v>39</v>
      </c>
      <c r="J42" s="13" t="s">
        <v>962</v>
      </c>
      <c r="T42">
        <v>1.25</v>
      </c>
      <c r="U42">
        <v>1.0900000000000001</v>
      </c>
      <c r="V42">
        <v>1.26</v>
      </c>
      <c r="W42">
        <v>1.04</v>
      </c>
      <c r="Y42" s="22" t="str">
        <f>IF(OR($B42="",Y$22=""),"",IF(LEN(VLOOKUP($B42,Database!$B$1:$IX$10144,Y$22,FALSE))=0,"",VLOOKUP($B42,Database!$B$1:$IX$10144,Y$22,FALSE)))</f>
        <v>DSM-III-R</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74.599999999999994</v>
      </c>
      <c r="AC42" s="22">
        <f>IF(OR($B42="",AC$22=""),"",IF(LEN(VLOOKUP($B42,Database!$B$1:$IX$10144,AC$22,FALSE))=0,"",VLOOKUP($B42,Database!$B$1:$IX$10144,AC$22,FALSE)))</f>
        <v>6.1</v>
      </c>
      <c r="AD42" s="22">
        <f>IF(OR($B42="",AD$22=""),"",IF(LEN(VLOOKUP($B42,Database!$B$1:$IX$10144,AD$22,FALSE))=0,"",VLOOKUP($B42,Database!$B$1:$IX$10144,AD$22,FALSE)))</f>
        <v>72.599999999999994</v>
      </c>
      <c r="AE42" s="22">
        <f>IF(OR($B42="",AE$22=""),"",IF(LEN(VLOOKUP($B42,Database!$B$1:$IX$10144,AE$22,FALSE))=0,"",VLOOKUP($B42,Database!$B$1:$IX$10144,AE$22,FALSE)))</f>
        <v>6.4</v>
      </c>
      <c r="AF42" s="22">
        <f>IF(OR($B42="",AF$22=""),"",IF(LEN(VLOOKUP($B42,Database!$B$1:$IX$10144,AF$22,FALSE))=0,"",VLOOKUP($B42,Database!$B$1:$IX$10144,AF$22,FALSE)))</f>
        <v>33</v>
      </c>
      <c r="AG42" s="22">
        <f>IF(OR($B42="",AG$22=""),"",IF(LEN(VLOOKUP($B42,Database!$B$1:$IX$10144,AG$22,FALSE))=0,"",VLOOKUP($B42,Database!$B$1:$IX$10144,AG$22,FALSE)))</f>
        <v>20</v>
      </c>
      <c r="AH42" s="22">
        <f>IF(OR($B42="",AH$22=""),"",IF(LEN(VLOOKUP($B42,Database!$B$1:$IX$10144,AH$22,FALSE))=0,"",VLOOKUP($B42,Database!$B$1:$IX$10144,AH$22,FALSE)))</f>
        <v>1</v>
      </c>
      <c r="AI42" s="22">
        <f>IF(OR($B42="",AI$22=""),"",IF(LEN(VLOOKUP($B42,Database!$B$1:$IX$10144,AI$22,FALSE))=0,"",VLOOKUP($B42,Database!$B$1:$IX$10144,AI$22,FALSE)))</f>
        <v>10</v>
      </c>
      <c r="AJ42" s="22" t="str">
        <f>IF(OR($B42="",AJ$22=""),"",IF(LEN(VLOOKUP($B42,Database!$B$1:$IX$10144,AJ$22,FALSE))=0,"",VLOOKUP($B42,Database!$B$1:$IX$10144,AJ$22,FALSE)))</f>
        <v/>
      </c>
      <c r="AK42" s="22">
        <f>IF(OR($B42="",AK$22=""),"",IF(LEN(VLOOKUP($B42,Database!$B$1:$IX$10144,AK$22,FALSE))=0,"",VLOOKUP($B42,Database!$B$1:$IX$10144,AK$22,FALSE)))</f>
        <v>62.4</v>
      </c>
      <c r="AL42" s="22">
        <f>IF(OR($B42="",AL$22=""),"",IF(LEN(VLOOKUP($B42,Database!$B$1:$IX$10144,AL$22,FALSE))=0,"",VLOOKUP($B42,Database!$B$1:$IX$10144,AL$22,FALSE)))</f>
        <v>25.9</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Greenwald BS, Kramer-Ginsberg E, Krishnan RR, Ashtari M, Aupperle PM, Patel M.</v>
      </c>
    </row>
    <row r="43" spans="1:61">
      <c r="I43" s="22" t="str">
        <f>IF($B43="","",IF(LEN(VLOOKUP($B43,Database!$B$1:$IX$10144,8,FALSE))=0,"",VLOOKUP($B43,Database!$B$1:$IX$10144,8,FALSE)))</f>
        <v/>
      </c>
      <c r="AF43" t="s">
        <v>602</v>
      </c>
      <c r="AJ43" t="s">
        <v>329</v>
      </c>
      <c r="AN43" t="s">
        <v>330</v>
      </c>
    </row>
    <row r="44" spans="1:61" ht="45" customHeight="1">
      <c r="E44" s="60" t="s">
        <v>617</v>
      </c>
      <c r="F44" s="60" t="s">
        <v>740</v>
      </c>
      <c r="G44" s="60" t="s">
        <v>244</v>
      </c>
      <c r="H44" s="60" t="s">
        <v>245</v>
      </c>
      <c r="I44" s="60" t="s">
        <v>246</v>
      </c>
      <c r="J44" s="60" t="s">
        <v>593</v>
      </c>
      <c r="K44" s="60" t="s">
        <v>1039</v>
      </c>
      <c r="L44" s="60" t="s">
        <v>594</v>
      </c>
      <c r="M44" s="60" t="s">
        <v>1299</v>
      </c>
      <c r="N44" s="61" t="s">
        <v>595</v>
      </c>
      <c r="O44" s="61" t="s">
        <v>596</v>
      </c>
      <c r="P44" s="61" t="s">
        <v>597</v>
      </c>
      <c r="Q44" s="61" t="s">
        <v>598</v>
      </c>
      <c r="R44" s="61" t="s">
        <v>599</v>
      </c>
      <c r="S44" s="61" t="s">
        <v>600</v>
      </c>
      <c r="T44" s="61" t="s">
        <v>601</v>
      </c>
      <c r="U44" s="61" t="s">
        <v>484</v>
      </c>
      <c r="V44" s="61" t="s">
        <v>485</v>
      </c>
      <c r="W44" s="61" t="s">
        <v>486</v>
      </c>
      <c r="AF44" s="61" t="s">
        <v>1517</v>
      </c>
      <c r="AG44" s="62" t="s">
        <v>834</v>
      </c>
      <c r="AH44" s="62" t="s">
        <v>835</v>
      </c>
      <c r="AJ44" s="61" t="s">
        <v>836</v>
      </c>
      <c r="AK44" s="61" t="s">
        <v>837</v>
      </c>
      <c r="AL44" s="61" t="s">
        <v>487</v>
      </c>
      <c r="AN44" t="s">
        <v>488</v>
      </c>
      <c r="AO44" t="s">
        <v>489</v>
      </c>
      <c r="AP44" t="s">
        <v>490</v>
      </c>
      <c r="AQ44" t="s">
        <v>491</v>
      </c>
      <c r="AR44" t="s">
        <v>492</v>
      </c>
      <c r="AS44" t="s">
        <v>493</v>
      </c>
      <c r="AT44" t="s">
        <v>494</v>
      </c>
      <c r="AU44" t="s">
        <v>495</v>
      </c>
      <c r="AV44" t="s">
        <v>496</v>
      </c>
      <c r="AW44" t="s">
        <v>497</v>
      </c>
      <c r="AX44" t="s">
        <v>498</v>
      </c>
      <c r="AY44" t="s">
        <v>499</v>
      </c>
    </row>
    <row r="45" spans="1:61">
      <c r="E45" t="str">
        <f t="shared" ref="E45:F51" si="1">E24</f>
        <v>Keshavan MS</v>
      </c>
      <c r="F45">
        <f t="shared" si="1"/>
        <v>1996</v>
      </c>
      <c r="G45">
        <v>12</v>
      </c>
      <c r="H45">
        <f t="shared" ref="H45:I51" si="2">H24</f>
        <v>19</v>
      </c>
      <c r="I45">
        <f t="shared" si="2"/>
        <v>19</v>
      </c>
      <c r="J45">
        <f t="shared" ref="J45:J51" si="3">IF($D$4="Total",T24,IF($D$4="Left",L24,IF($D$4="Right",P24,"error")))</f>
        <v>1.63</v>
      </c>
      <c r="K45">
        <f t="shared" ref="K45:K51" si="4">IF($D$4="Total",U24,IF($D$4="Left",M24,IF($D$4="Right",Q24,"error")))</f>
        <v>0.96</v>
      </c>
      <c r="L45">
        <f t="shared" ref="L45:L51" si="5">IF($D$4="Total",V24,IF($D$4="Left",N24,IF($D$4="Right",R24,"error")))</f>
        <v>1.37</v>
      </c>
      <c r="M45">
        <f t="shared" ref="M45:M51" si="6">IF($D$4="Total",W24,IF($D$4="Left",O24,IF($D$4="Right",S24,"error")))</f>
        <v>0.68</v>
      </c>
      <c r="N45">
        <f t="shared" ref="N45:N50" si="7">IF($D$3=1,SQRT((((I45-1)*(M45)^2)+((H45-1)*(K45)^2))/(H45+I45-2)),M45)</f>
        <v>0.83186537372341685</v>
      </c>
      <c r="O45" s="59">
        <f t="shared" ref="O45:O50" si="8">IF($D$6=1,LN(J45/L45),IF($D$5=1,(1-3/(4*(H45+I45)-9))*((J45-L45)/N45),(J45-L45)/N45))</f>
        <v>0.30599356889458296</v>
      </c>
      <c r="P45" s="63">
        <f t="shared" ref="P45:P50" si="9">IF($D$6=1,(K45^2)/(H45*J45^2)+(M45^2)/(I45*L45^2),(IF($D$5=1,((H45+I45)/(H45*I45))+(O45*O45)/(2*(H45+I45-3.94)),((H45+I45)/(H45*I45))+((O45^2)/(2*(H45+I45-2))))))</f>
        <v>0.10663767439803754</v>
      </c>
      <c r="Q45" s="59">
        <f t="shared" ref="Q45:Q56" si="10">$R$73*SQRT(P45)</f>
        <v>0.64004631861100569</v>
      </c>
      <c r="R45" s="59">
        <f t="shared" ref="R45:R50" si="11">1/P45</f>
        <v>9.3775488413914907</v>
      </c>
      <c r="S45" s="59">
        <f t="shared" ref="S45:S50" si="12">O45*R45</f>
        <v>2.8694696374606439</v>
      </c>
      <c r="T45" s="59">
        <f t="shared" ref="T45:T50" si="13">R45*(O45^2)</f>
        <v>0.8780392552012275</v>
      </c>
      <c r="U45" s="23">
        <f t="shared" ref="U45:U50" si="14">R45^2</f>
        <v>87.938422272682885</v>
      </c>
      <c r="V45" s="59">
        <f t="shared" ref="V45:V51" si="15">1/((1/R45)+$I$70)</f>
        <v>7.4090871020623865</v>
      </c>
      <c r="W45" s="59">
        <f t="shared" ref="W45:W50" si="16">V45*O45</f>
        <v>2.2671330046108928</v>
      </c>
      <c r="AF45" s="59">
        <f t="shared" ref="AF45:AF50" si="17">IF($D$6=1,100*((EXP(O45))-1),O45)</f>
        <v>0.30599356889458296</v>
      </c>
      <c r="AG45" s="59">
        <f t="shared" ref="AG45:AG50" si="18">IF($D$6=1,100*(EXP(O45+Q45)-EXP(O45)),Q45)</f>
        <v>0.64004631861100569</v>
      </c>
      <c r="AH45" s="59">
        <f t="shared" ref="AH45:AH50" si="19">IF($D$6=1,100*(EXP(O45)-EXP(O45-Q45)),Q45)</f>
        <v>0.64004631861100569</v>
      </c>
      <c r="AJ45">
        <f t="shared" ref="AJ45:AJ50" si="20">SQRT(P45)</f>
        <v>0.32655424418928863</v>
      </c>
      <c r="AK45">
        <f t="shared" ref="AK45:AK56" si="21">1/AJ45</f>
        <v>3.0622783742487374</v>
      </c>
      <c r="AL45">
        <f t="shared" ref="AL45:AL50" si="22">O45/AJ45</f>
        <v>0.93703748868507253</v>
      </c>
      <c r="AN45" t="str">
        <f t="shared" ref="AN45:AN50" si="23">E45</f>
        <v>Keshavan MS</v>
      </c>
      <c r="AO45">
        <f t="shared" ref="AO45:AO50" si="24">F45</f>
        <v>1996</v>
      </c>
      <c r="AP45" t="str">
        <f t="shared" ref="AP45:AP50" si="25">CONCATENATE(AN45," ",AO45)</f>
        <v>Keshavan MS 1996</v>
      </c>
      <c r="AQ45">
        <f t="shared" ref="AQ45:AQ50" si="26">INT(H45)</f>
        <v>19</v>
      </c>
      <c r="AR45">
        <f t="shared" ref="AR45:AR50" si="27">J45</f>
        <v>1.63</v>
      </c>
      <c r="AS45">
        <f t="shared" ref="AS45:AS50" si="28">K45</f>
        <v>0.96</v>
      </c>
      <c r="AT45">
        <f t="shared" ref="AT45:AT50" si="29">INT(I45)</f>
        <v>19</v>
      </c>
      <c r="AU45">
        <f t="shared" ref="AU45:AU50" si="30">L45</f>
        <v>1.37</v>
      </c>
      <c r="AV45">
        <f t="shared" ref="AV45:AV50" si="31">M45</f>
        <v>0.68</v>
      </c>
      <c r="AW45" s="65">
        <f t="shared" ref="AW45:AW50" si="32">O45</f>
        <v>0.30599356889458296</v>
      </c>
      <c r="AX45">
        <f t="shared" ref="AX45:AX50" si="33">SQRT(P45)</f>
        <v>0.32655424418928863</v>
      </c>
      <c r="AY45" t="str">
        <f>$F$6</f>
        <v>Cohens Effect size</v>
      </c>
    </row>
    <row r="46" spans="1:61">
      <c r="E46" t="str">
        <f t="shared" si="1"/>
        <v>Kumar A</v>
      </c>
      <c r="F46">
        <f t="shared" si="1"/>
        <v>1997</v>
      </c>
      <c r="G46">
        <v>11</v>
      </c>
      <c r="H46">
        <f t="shared" si="2"/>
        <v>28</v>
      </c>
      <c r="I46">
        <f t="shared" si="2"/>
        <v>29</v>
      </c>
      <c r="J46">
        <f t="shared" si="3"/>
        <v>1.73</v>
      </c>
      <c r="K46">
        <f t="shared" si="4"/>
        <v>0.95</v>
      </c>
      <c r="L46">
        <f t="shared" si="5"/>
        <v>0.89</v>
      </c>
      <c r="M46">
        <f t="shared" si="6"/>
        <v>0.81</v>
      </c>
      <c r="N46">
        <f t="shared" si="7"/>
        <v>0.88151006800830134</v>
      </c>
      <c r="O46" s="59">
        <f t="shared" si="8"/>
        <v>0.93985670811093824</v>
      </c>
      <c r="P46" s="63">
        <f t="shared" si="9"/>
        <v>7.8520928916403276E-2</v>
      </c>
      <c r="Q46" s="59">
        <f t="shared" si="10"/>
        <v>0.54922308812107934</v>
      </c>
      <c r="R46" s="59">
        <f t="shared" si="11"/>
        <v>12.735458097606596</v>
      </c>
      <c r="S46" s="59">
        <f t="shared" si="12"/>
        <v>11.969505723901328</v>
      </c>
      <c r="T46" s="59">
        <f t="shared" si="13"/>
        <v>11.249620247380934</v>
      </c>
      <c r="U46" s="23">
        <f t="shared" si="14"/>
        <v>162.19189295589342</v>
      </c>
      <c r="V46" s="59">
        <f t="shared" si="15"/>
        <v>9.3586823456434516</v>
      </c>
      <c r="W46" s="59">
        <f t="shared" si="16"/>
        <v>8.7958203816324083</v>
      </c>
      <c r="AF46" s="59">
        <f t="shared" si="17"/>
        <v>0.93985670811093824</v>
      </c>
      <c r="AG46" s="59">
        <f t="shared" si="18"/>
        <v>0.54922308812107934</v>
      </c>
      <c r="AH46" s="59">
        <f t="shared" si="19"/>
        <v>0.54922308812107934</v>
      </c>
      <c r="AJ46">
        <f t="shared" si="20"/>
        <v>0.28021586128626497</v>
      </c>
      <c r="AK46">
        <f t="shared" si="21"/>
        <v>3.5686773596959691</v>
      </c>
      <c r="AL46">
        <f t="shared" si="22"/>
        <v>3.3540453555938883</v>
      </c>
      <c r="AN46" t="str">
        <f t="shared" si="23"/>
        <v>Kumar A</v>
      </c>
      <c r="AO46">
        <f t="shared" si="24"/>
        <v>1997</v>
      </c>
      <c r="AP46" t="str">
        <f t="shared" si="25"/>
        <v>Kumar A 1997</v>
      </c>
      <c r="AQ46">
        <f t="shared" si="26"/>
        <v>28</v>
      </c>
      <c r="AR46">
        <f t="shared" si="27"/>
        <v>1.73</v>
      </c>
      <c r="AS46">
        <f t="shared" si="28"/>
        <v>0.95</v>
      </c>
      <c r="AT46">
        <f t="shared" si="29"/>
        <v>29</v>
      </c>
      <c r="AU46">
        <f t="shared" si="30"/>
        <v>0.89</v>
      </c>
      <c r="AV46">
        <f t="shared" si="31"/>
        <v>0.81</v>
      </c>
      <c r="AW46" s="65">
        <f t="shared" si="32"/>
        <v>0.93985670811093824</v>
      </c>
      <c r="AX46">
        <f t="shared" si="33"/>
        <v>0.28021586128626497</v>
      </c>
      <c r="AY46" t="str">
        <f>$F$5</f>
        <v>H Correction</v>
      </c>
    </row>
    <row r="47" spans="1:61">
      <c r="E47" t="str">
        <f t="shared" si="1"/>
        <v>Lenze EJ (A)</v>
      </c>
      <c r="F47">
        <f t="shared" si="1"/>
        <v>1999</v>
      </c>
      <c r="G47">
        <v>10</v>
      </c>
      <c r="H47">
        <f t="shared" si="2"/>
        <v>24</v>
      </c>
      <c r="I47">
        <f t="shared" si="2"/>
        <v>24</v>
      </c>
      <c r="J47">
        <f t="shared" si="3"/>
        <v>1</v>
      </c>
      <c r="K47">
        <f t="shared" si="4"/>
        <v>0.81</v>
      </c>
      <c r="L47">
        <f t="shared" si="5"/>
        <v>0.83</v>
      </c>
      <c r="M47">
        <f t="shared" si="6"/>
        <v>0.43</v>
      </c>
      <c r="N47">
        <f t="shared" si="7"/>
        <v>0.64845971347493914</v>
      </c>
      <c r="O47" s="59">
        <f t="shared" si="8"/>
        <v>0.25786199401354276</v>
      </c>
      <c r="P47" s="63">
        <f t="shared" si="9"/>
        <v>8.4087904463118174E-2</v>
      </c>
      <c r="Q47" s="59">
        <f t="shared" si="10"/>
        <v>0.56835912395730459</v>
      </c>
      <c r="R47" s="59">
        <f t="shared" si="11"/>
        <v>11.89231681280166</v>
      </c>
      <c r="S47" s="59">
        <f t="shared" si="12"/>
        <v>3.0665765267898157</v>
      </c>
      <c r="T47" s="59">
        <f t="shared" si="13"/>
        <v>0.79075353799314618</v>
      </c>
      <c r="U47" s="23">
        <f t="shared" si="14"/>
        <v>141.42719917604504</v>
      </c>
      <c r="V47" s="59">
        <f t="shared" si="15"/>
        <v>8.8952440805992392</v>
      </c>
      <c r="W47" s="59">
        <f t="shared" si="16"/>
        <v>2.2937453758604827</v>
      </c>
      <c r="AF47" s="59">
        <f t="shared" si="17"/>
        <v>0.25786199401354276</v>
      </c>
      <c r="AG47" s="59">
        <f t="shared" si="18"/>
        <v>0.56835912395730459</v>
      </c>
      <c r="AH47" s="59">
        <f t="shared" si="19"/>
        <v>0.56835912395730459</v>
      </c>
      <c r="AJ47">
        <f t="shared" si="20"/>
        <v>0.28997914487617582</v>
      </c>
      <c r="AK47">
        <f t="shared" si="21"/>
        <v>3.4485238599727945</v>
      </c>
      <c r="AL47">
        <f t="shared" si="22"/>
        <v>0.8892432389358641</v>
      </c>
      <c r="AN47" t="str">
        <f t="shared" si="23"/>
        <v>Lenze EJ (A)</v>
      </c>
      <c r="AO47">
        <f t="shared" si="24"/>
        <v>1999</v>
      </c>
      <c r="AP47" t="str">
        <f t="shared" si="25"/>
        <v>Lenze EJ (A) 1999</v>
      </c>
      <c r="AQ47">
        <f t="shared" si="26"/>
        <v>24</v>
      </c>
      <c r="AR47">
        <f t="shared" si="27"/>
        <v>1</v>
      </c>
      <c r="AS47">
        <f t="shared" si="28"/>
        <v>0.81</v>
      </c>
      <c r="AT47">
        <f t="shared" si="29"/>
        <v>24</v>
      </c>
      <c r="AU47">
        <f t="shared" si="30"/>
        <v>0.83</v>
      </c>
      <c r="AV47">
        <f t="shared" si="31"/>
        <v>0.43</v>
      </c>
      <c r="AW47" s="65">
        <f t="shared" si="32"/>
        <v>0.25786199401354276</v>
      </c>
      <c r="AX47">
        <f t="shared" si="33"/>
        <v>0.28997914487617582</v>
      </c>
    </row>
    <row r="48" spans="1:61">
      <c r="E48" t="str">
        <f t="shared" si="1"/>
        <v>Greenwald BS</v>
      </c>
      <c r="F48">
        <f t="shared" si="1"/>
        <v>2001</v>
      </c>
      <c r="G48">
        <v>9</v>
      </c>
      <c r="H48">
        <f t="shared" si="2"/>
        <v>40</v>
      </c>
      <c r="I48">
        <f t="shared" si="2"/>
        <v>21</v>
      </c>
      <c r="J48">
        <f t="shared" si="3"/>
        <v>1.82</v>
      </c>
      <c r="K48">
        <f t="shared" si="4"/>
        <v>1.1100000000000001</v>
      </c>
      <c r="L48">
        <f t="shared" si="5"/>
        <v>1.86</v>
      </c>
      <c r="M48">
        <f t="shared" si="6"/>
        <v>0.65</v>
      </c>
      <c r="N48">
        <f t="shared" si="7"/>
        <v>0.97860069590916321</v>
      </c>
      <c r="O48" s="59">
        <f t="shared" si="8"/>
        <v>-4.0352885367039654E-2</v>
      </c>
      <c r="P48" s="63">
        <f t="shared" si="9"/>
        <v>7.2633316418184019E-2</v>
      </c>
      <c r="Q48" s="59">
        <f t="shared" si="10"/>
        <v>0.52823115049388725</v>
      </c>
      <c r="R48" s="59">
        <f t="shared" si="11"/>
        <v>13.767786593173465</v>
      </c>
      <c r="S48" s="59">
        <f t="shared" si="12"/>
        <v>-0.55556991415219426</v>
      </c>
      <c r="T48" s="59">
        <f t="shared" si="13"/>
        <v>2.2418849059159557E-2</v>
      </c>
      <c r="U48" s="23">
        <f t="shared" si="14"/>
        <v>189.55194767516701</v>
      </c>
      <c r="V48" s="59">
        <f t="shared" si="15"/>
        <v>9.9044187415428695</v>
      </c>
      <c r="W48" s="59">
        <f t="shared" si="16"/>
        <v>-0.39967187410463856</v>
      </c>
      <c r="AF48" s="59">
        <f t="shared" si="17"/>
        <v>-4.0352885367039654E-2</v>
      </c>
      <c r="AG48" s="59">
        <f t="shared" si="18"/>
        <v>0.52823115049388725</v>
      </c>
      <c r="AH48" s="59">
        <f t="shared" si="19"/>
        <v>0.52823115049388725</v>
      </c>
      <c r="AJ48">
        <f t="shared" si="20"/>
        <v>0.2695056890274935</v>
      </c>
      <c r="AK48">
        <f t="shared" si="21"/>
        <v>3.710496812176701</v>
      </c>
      <c r="AL48">
        <f t="shared" si="22"/>
        <v>-0.14972925251653249</v>
      </c>
      <c r="AN48" t="str">
        <f t="shared" si="23"/>
        <v>Greenwald BS</v>
      </c>
      <c r="AO48">
        <f t="shared" si="24"/>
        <v>2001</v>
      </c>
      <c r="AP48" t="str">
        <f t="shared" si="25"/>
        <v>Greenwald BS 2001</v>
      </c>
      <c r="AQ48">
        <f t="shared" si="26"/>
        <v>40</v>
      </c>
      <c r="AR48">
        <f t="shared" si="27"/>
        <v>1.82</v>
      </c>
      <c r="AS48">
        <f t="shared" si="28"/>
        <v>1.1100000000000001</v>
      </c>
      <c r="AT48">
        <f t="shared" si="29"/>
        <v>21</v>
      </c>
      <c r="AU48">
        <f t="shared" si="30"/>
        <v>1.86</v>
      </c>
      <c r="AV48">
        <f t="shared" si="31"/>
        <v>0.65</v>
      </c>
      <c r="AW48" s="65">
        <f t="shared" si="32"/>
        <v>-4.0352885367039654E-2</v>
      </c>
      <c r="AX48">
        <f t="shared" si="33"/>
        <v>0.2695056890274935</v>
      </c>
    </row>
    <row r="49" spans="5:50">
      <c r="E49" t="str">
        <f t="shared" si="1"/>
        <v>Greenwald BS</v>
      </c>
      <c r="F49">
        <f t="shared" si="1"/>
        <v>2001</v>
      </c>
      <c r="G49">
        <v>8</v>
      </c>
      <c r="H49">
        <f t="shared" si="2"/>
        <v>41</v>
      </c>
      <c r="I49">
        <f t="shared" si="2"/>
        <v>49</v>
      </c>
      <c r="J49">
        <f t="shared" si="3"/>
        <v>1.34</v>
      </c>
      <c r="K49">
        <f t="shared" si="4"/>
        <v>1.1100000000000001</v>
      </c>
      <c r="L49">
        <f t="shared" si="5"/>
        <v>1.1399999999999999</v>
      </c>
      <c r="M49">
        <f t="shared" si="6"/>
        <v>1.1499999999999999</v>
      </c>
      <c r="N49">
        <f>IF($D$3=1,SQRT((((I49-1)*(M49)^2)+((H49-1)*(K49)^2))/(H49+I49-2)),M49)</f>
        <v>1.1319934146933412</v>
      </c>
      <c r="O49" s="59">
        <f>IF($D$6=1,LN(J49/L49),IF($D$5=1,(1-3/(4*(H49+I49)-9))*((J49-L49)/N49),(J49-L49)/N49))</f>
        <v>0.17516939208017893</v>
      </c>
      <c r="P49" s="63">
        <f>IF($D$6=1,(K49^2)/(H49*J49^2)+(M49^2)/(I49*L49^2),(IF($D$5=1,((H49+I49)/(H49*I49))+(O49*O49)/(2*(H49+I49-3.94)),((H49+I49)/(H49*I49))+((O49^2)/(2*(H49+I49-2))))))</f>
        <v>4.4976679976958138E-2</v>
      </c>
      <c r="Q49" s="59">
        <f t="shared" si="10"/>
        <v>0.41567104036663699</v>
      </c>
      <c r="R49" s="59">
        <f>1/P49</f>
        <v>22.233744253962428</v>
      </c>
      <c r="S49" s="59">
        <f>O49*R49</f>
        <v>3.8946714646327698</v>
      </c>
      <c r="T49" s="59">
        <f>R49*(O49^2)</f>
        <v>0.68222723281174236</v>
      </c>
      <c r="U49" s="23">
        <f>R49^2</f>
        <v>494.33938355060729</v>
      </c>
      <c r="V49" s="59">
        <f t="shared" si="15"/>
        <v>13.641001561288252</v>
      </c>
      <c r="W49" s="59">
        <f>V49*O49</f>
        <v>2.3894859508556348</v>
      </c>
      <c r="AF49" s="59">
        <f>IF($D$6=1,100*((EXP(O49))-1),O49)</f>
        <v>0.17516939208017893</v>
      </c>
      <c r="AG49" s="59">
        <f>IF($D$6=1,100*(EXP(O49+Q49)-EXP(O49)),Q49)</f>
        <v>0.41567104036663699</v>
      </c>
      <c r="AH49" s="59">
        <f>IF($D$6=1,100*(EXP(O49)-EXP(O49-Q49)),Q49)</f>
        <v>0.41567104036663699</v>
      </c>
      <c r="AJ49">
        <f>SQRT(P49)</f>
        <v>0.2120770614115495</v>
      </c>
      <c r="AK49">
        <f t="shared" si="21"/>
        <v>4.7152671455562754</v>
      </c>
      <c r="AL49">
        <f>O49/AJ49</f>
        <v>0.82597047938273338</v>
      </c>
      <c r="AN49" t="str">
        <f>E49</f>
        <v>Greenwald BS</v>
      </c>
      <c r="AO49">
        <f>F49</f>
        <v>2001</v>
      </c>
      <c r="AP49" t="str">
        <f>CONCATENATE(AN49," ",AO49)</f>
        <v>Greenwald BS 2001</v>
      </c>
      <c r="AQ49">
        <f>INT(H49)</f>
        <v>41</v>
      </c>
      <c r="AR49">
        <f>J49</f>
        <v>1.34</v>
      </c>
      <c r="AS49">
        <f>K49</f>
        <v>1.1100000000000001</v>
      </c>
      <c r="AT49">
        <f>INT(I49)</f>
        <v>49</v>
      </c>
      <c r="AU49">
        <f>L49</f>
        <v>1.1399999999999999</v>
      </c>
      <c r="AV49">
        <f>M49</f>
        <v>1.1499999999999999</v>
      </c>
      <c r="AW49" s="65">
        <f>O49</f>
        <v>0.17516939208017893</v>
      </c>
      <c r="AX49">
        <f>SQRT(P49)</f>
        <v>0.2120770614115495</v>
      </c>
    </row>
    <row r="50" spans="5:50">
      <c r="E50" t="str">
        <f t="shared" si="1"/>
        <v>Iosifescu DV</v>
      </c>
      <c r="F50">
        <f t="shared" si="1"/>
        <v>2005</v>
      </c>
      <c r="G50">
        <v>7</v>
      </c>
      <c r="H50">
        <f t="shared" si="2"/>
        <v>15</v>
      </c>
      <c r="I50">
        <f t="shared" si="2"/>
        <v>17.5</v>
      </c>
      <c r="J50">
        <f t="shared" si="3"/>
        <v>0.7</v>
      </c>
      <c r="K50">
        <f t="shared" si="4"/>
        <v>0.85</v>
      </c>
      <c r="L50">
        <f t="shared" si="5"/>
        <v>0.31</v>
      </c>
      <c r="M50">
        <f t="shared" si="6"/>
        <v>0.53</v>
      </c>
      <c r="N50">
        <f t="shared" si="7"/>
        <v>0.69541472471055876</v>
      </c>
      <c r="O50" s="59">
        <f t="shared" si="8"/>
        <v>0.54691188581129846</v>
      </c>
      <c r="P50" s="63">
        <f t="shared" si="9"/>
        <v>0.1290460891253794</v>
      </c>
      <c r="Q50" s="59">
        <f t="shared" si="10"/>
        <v>0.70409051689683866</v>
      </c>
      <c r="R50" s="59">
        <f t="shared" si="11"/>
        <v>7.7491693609436991</v>
      </c>
      <c r="S50" s="59">
        <f t="shared" si="12"/>
        <v>4.2381128286648533</v>
      </c>
      <c r="T50" s="59">
        <f t="shared" si="13"/>
        <v>2.3178742794061513</v>
      </c>
      <c r="U50" s="23">
        <f t="shared" si="14"/>
        <v>60.049625784588578</v>
      </c>
      <c r="V50" s="59">
        <f t="shared" si="15"/>
        <v>6.3541359793858234</v>
      </c>
      <c r="W50" s="59">
        <f t="shared" si="16"/>
        <v>3.4751524911873224</v>
      </c>
      <c r="AF50" s="59">
        <f t="shared" si="17"/>
        <v>0.54691188581129846</v>
      </c>
      <c r="AG50" s="59">
        <f t="shared" si="18"/>
        <v>0.70409051689683866</v>
      </c>
      <c r="AH50" s="59">
        <f t="shared" si="19"/>
        <v>0.70409051689683866</v>
      </c>
      <c r="AJ50">
        <f t="shared" si="20"/>
        <v>0.35922985555961157</v>
      </c>
      <c r="AK50">
        <f t="shared" si="21"/>
        <v>2.7837329902387729</v>
      </c>
      <c r="AL50">
        <f t="shared" si="22"/>
        <v>1.5224566592866122</v>
      </c>
      <c r="AN50" t="str">
        <f t="shared" si="23"/>
        <v>Iosifescu DV</v>
      </c>
      <c r="AO50">
        <f t="shared" si="24"/>
        <v>2005</v>
      </c>
      <c r="AP50" t="str">
        <f t="shared" si="25"/>
        <v>Iosifescu DV 2005</v>
      </c>
      <c r="AQ50">
        <f t="shared" si="26"/>
        <v>15</v>
      </c>
      <c r="AR50">
        <f t="shared" si="27"/>
        <v>0.7</v>
      </c>
      <c r="AS50">
        <f t="shared" si="28"/>
        <v>0.85</v>
      </c>
      <c r="AT50">
        <f t="shared" si="29"/>
        <v>17</v>
      </c>
      <c r="AU50">
        <f t="shared" si="30"/>
        <v>0.31</v>
      </c>
      <c r="AV50">
        <f t="shared" si="31"/>
        <v>0.53</v>
      </c>
      <c r="AW50" s="65">
        <f t="shared" si="32"/>
        <v>0.54691188581129846</v>
      </c>
      <c r="AX50">
        <f t="shared" si="33"/>
        <v>0.35922985555961157</v>
      </c>
    </row>
    <row r="51" spans="5:50">
      <c r="E51" t="str">
        <f t="shared" si="1"/>
        <v>Iosifescu DV</v>
      </c>
      <c r="F51">
        <f t="shared" si="1"/>
        <v>2005</v>
      </c>
      <c r="G51">
        <v>6</v>
      </c>
      <c r="H51">
        <f t="shared" si="2"/>
        <v>35</v>
      </c>
      <c r="I51">
        <f t="shared" si="2"/>
        <v>17.5</v>
      </c>
      <c r="J51">
        <f t="shared" si="3"/>
        <v>0.21</v>
      </c>
      <c r="K51">
        <f t="shared" si="4"/>
        <v>0.53</v>
      </c>
      <c r="L51">
        <f t="shared" si="5"/>
        <v>0.31</v>
      </c>
      <c r="M51">
        <f t="shared" si="6"/>
        <v>0.53</v>
      </c>
      <c r="N51">
        <f t="shared" ref="N51:N56" si="34">IF($D$3=1,SQRT((((I51-1)*(M51)^2)+((H51-1)*(K51)^2))/(H51+I51-2)),M51)</f>
        <v>0.53</v>
      </c>
      <c r="O51" s="59">
        <f t="shared" ref="O51:O56" si="35">IF($D$6=1,LN(J51/L51),IF($D$5=1,(1-3/(4*(H51+I51)-9))*((J51-L51)/N51),(J51-L51)/N51))</f>
        <v>-0.18586313714446634</v>
      </c>
      <c r="P51" s="63">
        <f t="shared" ref="P51:P56" si="36">IF($D$6=1,(K51^2)/(H51*J51^2)+(M51^2)/(I51*L51^2),(IF($D$5=1,((H51+I51)/(H51*I51))+(O51*O51)/(2*(H51+I51-3.94)),((H51+I51)/(H51*I51))+((O51^2)/(2*(H51+I51-2))))))</f>
        <v>8.6069980789956868E-2</v>
      </c>
      <c r="Q51" s="59">
        <f t="shared" si="10"/>
        <v>0.57501864161320748</v>
      </c>
      <c r="R51" s="59">
        <f t="shared" ref="R51:R56" si="37">1/P51</f>
        <v>11.618452691890058</v>
      </c>
      <c r="S51" s="59">
        <f t="shared" ref="S51:S56" si="38">O51*R51</f>
        <v>-2.1594420660792557</v>
      </c>
      <c r="T51" s="59">
        <f t="shared" ref="T51:T56" si="39">R51*(O51^2)</f>
        <v>0.40136067688321847</v>
      </c>
      <c r="U51" s="23">
        <f t="shared" ref="U51:U56" si="40">R51^2</f>
        <v>134.98844295368733</v>
      </c>
      <c r="V51" s="59">
        <f t="shared" si="15"/>
        <v>8.7411287783320333</v>
      </c>
      <c r="W51" s="59">
        <f t="shared" ref="W51:W56" si="41">V51*O51</f>
        <v>-1.6246536169245682</v>
      </c>
      <c r="AF51" s="59">
        <f t="shared" ref="AF51:AF56" si="42">IF($D$6=1,100*((EXP(O51))-1),O51)</f>
        <v>-0.18586313714446634</v>
      </c>
      <c r="AG51" s="59">
        <f t="shared" ref="AG51:AG56" si="43">IF($D$6=1,100*(EXP(O51+Q51)-EXP(O51)),Q51)</f>
        <v>0.57501864161320748</v>
      </c>
      <c r="AH51" s="59">
        <f t="shared" ref="AH51:AH56" si="44">IF($D$6=1,100*(EXP(O51)-EXP(O51-Q51)),Q51)</f>
        <v>0.57501864161320748</v>
      </c>
      <c r="AJ51">
        <f t="shared" ref="AJ51:AJ56" si="45">SQRT(P51)</f>
        <v>0.29337685796592217</v>
      </c>
      <c r="AK51">
        <f t="shared" si="21"/>
        <v>3.4085851451724158</v>
      </c>
      <c r="AL51">
        <f t="shared" ref="AL51:AL56" si="46">O51/AJ51</f>
        <v>-0.63353032830577138</v>
      </c>
      <c r="AN51" t="str">
        <f t="shared" ref="AN51:AO56" si="47">E51</f>
        <v>Iosifescu DV</v>
      </c>
      <c r="AO51">
        <f t="shared" si="47"/>
        <v>2005</v>
      </c>
      <c r="AP51" t="str">
        <f t="shared" ref="AP51:AP56" si="48">CONCATENATE(AN51," ",AO51)</f>
        <v>Iosifescu DV 2005</v>
      </c>
      <c r="AQ51">
        <f t="shared" ref="AQ51:AQ56" si="49">INT(H51)</f>
        <v>35</v>
      </c>
      <c r="AR51">
        <f t="shared" ref="AR51:AS56" si="50">J51</f>
        <v>0.21</v>
      </c>
      <c r="AS51">
        <f t="shared" si="50"/>
        <v>0.53</v>
      </c>
      <c r="AT51">
        <f t="shared" ref="AT51:AT56" si="51">INT(I51)</f>
        <v>17</v>
      </c>
      <c r="AU51">
        <f t="shared" ref="AU51:AV56" si="52">L51</f>
        <v>0.31</v>
      </c>
      <c r="AV51">
        <f t="shared" si="52"/>
        <v>0.53</v>
      </c>
      <c r="AW51" s="65">
        <f t="shared" ref="AW51:AW56" si="53">O51</f>
        <v>-0.18586313714446634</v>
      </c>
      <c r="AX51">
        <f t="shared" ref="AX51:AX56" si="54">SQRT(P51)</f>
        <v>0.29337685796592217</v>
      </c>
    </row>
    <row r="52" spans="5:50">
      <c r="E52" t="str">
        <f t="shared" ref="E52:F56" si="55">E31</f>
        <v>Lin HF</v>
      </c>
      <c r="F52">
        <f t="shared" si="55"/>
        <v>2005</v>
      </c>
      <c r="G52">
        <v>5</v>
      </c>
      <c r="H52">
        <f t="shared" ref="H52:I56" si="56">H31</f>
        <v>37</v>
      </c>
      <c r="I52">
        <f t="shared" si="56"/>
        <v>18</v>
      </c>
      <c r="J52">
        <f t="shared" ref="J52:M56" si="57">IF($D$4="Total",T31,IF($D$4="Left",L31,IF($D$4="Right",P31,"error")))</f>
        <v>0.88</v>
      </c>
      <c r="K52">
        <f t="shared" si="57"/>
        <v>0.74</v>
      </c>
      <c r="L52">
        <f t="shared" si="57"/>
        <v>0.88</v>
      </c>
      <c r="M52">
        <f t="shared" si="57"/>
        <v>0.7</v>
      </c>
      <c r="N52">
        <f t="shared" si="34"/>
        <v>0.72740946398977158</v>
      </c>
      <c r="O52" s="59">
        <f t="shared" si="35"/>
        <v>0</v>
      </c>
      <c r="P52" s="63">
        <f t="shared" si="36"/>
        <v>8.2582582582582581E-2</v>
      </c>
      <c r="Q52" s="59">
        <f t="shared" si="10"/>
        <v>0.56324883421916572</v>
      </c>
      <c r="R52" s="59">
        <f t="shared" si="37"/>
        <v>12.109090909090909</v>
      </c>
      <c r="S52" s="59">
        <f t="shared" si="38"/>
        <v>0</v>
      </c>
      <c r="T52" s="59">
        <f t="shared" si="39"/>
        <v>0</v>
      </c>
      <c r="U52" s="23">
        <f t="shared" si="40"/>
        <v>146.63008264462812</v>
      </c>
      <c r="V52" s="59">
        <f>1/((1/R52)+$I$70)</f>
        <v>9.0159697690139549</v>
      </c>
      <c r="W52" s="59">
        <f t="shared" si="41"/>
        <v>0</v>
      </c>
      <c r="AF52" s="59">
        <f t="shared" si="42"/>
        <v>0</v>
      </c>
      <c r="AG52" s="59">
        <f t="shared" si="43"/>
        <v>0.56324883421916572</v>
      </c>
      <c r="AH52" s="59">
        <f t="shared" si="44"/>
        <v>0.56324883421916572</v>
      </c>
      <c r="AJ52">
        <f t="shared" si="45"/>
        <v>0.2873718541934519</v>
      </c>
      <c r="AK52">
        <f t="shared" si="21"/>
        <v>3.4798119071425266</v>
      </c>
      <c r="AL52">
        <f t="shared" si="46"/>
        <v>0</v>
      </c>
      <c r="AN52" t="str">
        <f t="shared" si="47"/>
        <v>Lin HF</v>
      </c>
      <c r="AO52">
        <f t="shared" si="47"/>
        <v>2005</v>
      </c>
      <c r="AP52" t="str">
        <f t="shared" si="48"/>
        <v>Lin HF 2005</v>
      </c>
      <c r="AQ52">
        <f t="shared" si="49"/>
        <v>37</v>
      </c>
      <c r="AR52">
        <f t="shared" si="50"/>
        <v>0.88</v>
      </c>
      <c r="AS52">
        <f t="shared" si="50"/>
        <v>0.74</v>
      </c>
      <c r="AT52">
        <f t="shared" si="51"/>
        <v>18</v>
      </c>
      <c r="AU52">
        <f t="shared" si="52"/>
        <v>0.88</v>
      </c>
      <c r="AV52">
        <f t="shared" si="52"/>
        <v>0.7</v>
      </c>
      <c r="AW52" s="65">
        <f t="shared" si="53"/>
        <v>0</v>
      </c>
      <c r="AX52">
        <f t="shared" si="54"/>
        <v>0.2873718541934519</v>
      </c>
    </row>
    <row r="53" spans="5:50">
      <c r="E53" t="str">
        <f t="shared" si="55"/>
        <v>Lloyd AJ</v>
      </c>
      <c r="F53">
        <f t="shared" si="55"/>
        <v>2004</v>
      </c>
      <c r="G53">
        <v>4</v>
      </c>
      <c r="H53">
        <f t="shared" si="56"/>
        <v>51</v>
      </c>
      <c r="I53">
        <f t="shared" si="56"/>
        <v>39</v>
      </c>
      <c r="J53">
        <f t="shared" si="57"/>
        <v>6.5</v>
      </c>
      <c r="K53">
        <f t="shared" si="57"/>
        <v>4.1900000000000004</v>
      </c>
      <c r="L53">
        <f t="shared" si="57"/>
        <v>6.8</v>
      </c>
      <c r="M53">
        <f t="shared" si="57"/>
        <v>6.21</v>
      </c>
      <c r="N53">
        <f t="shared" si="34"/>
        <v>5.1602070078279185</v>
      </c>
      <c r="O53" s="59">
        <f t="shared" si="35"/>
        <v>-5.7640303380212012E-2</v>
      </c>
      <c r="P53" s="63">
        <f t="shared" si="36"/>
        <v>4.5268171616845279E-2</v>
      </c>
      <c r="Q53" s="59">
        <f t="shared" si="10"/>
        <v>0.41701583672958131</v>
      </c>
      <c r="R53" s="59">
        <f t="shared" si="37"/>
        <v>22.090576320689703</v>
      </c>
      <c r="S53" s="59">
        <f t="shared" si="38"/>
        <v>-1.273307520968282</v>
      </c>
      <c r="T53" s="59">
        <f t="shared" si="39"/>
        <v>7.3393831804917445E-2</v>
      </c>
      <c r="U53" s="23">
        <f t="shared" si="40"/>
        <v>487.9935621802166</v>
      </c>
      <c r="V53" s="59">
        <f>1/((1/R53)+$I$70)</f>
        <v>13.586976510141094</v>
      </c>
      <c r="W53" s="59">
        <f t="shared" si="41"/>
        <v>-0.78315744806434684</v>
      </c>
      <c r="AF53" s="59">
        <f t="shared" si="42"/>
        <v>-5.7640303380212012E-2</v>
      </c>
      <c r="AG53" s="59">
        <f t="shared" si="43"/>
        <v>0.41701583672958131</v>
      </c>
      <c r="AH53" s="59">
        <f t="shared" si="44"/>
        <v>0.41701583672958131</v>
      </c>
      <c r="AJ53">
        <f t="shared" si="45"/>
        <v>0.21276318200488842</v>
      </c>
      <c r="AK53">
        <f t="shared" si="21"/>
        <v>4.7000613103117823</v>
      </c>
      <c r="AL53">
        <f t="shared" si="46"/>
        <v>-0.27091295983196789</v>
      </c>
      <c r="AN53" t="str">
        <f t="shared" si="47"/>
        <v>Lloyd AJ</v>
      </c>
      <c r="AO53">
        <f t="shared" si="47"/>
        <v>2004</v>
      </c>
      <c r="AP53" t="str">
        <f t="shared" si="48"/>
        <v>Lloyd AJ 2004</v>
      </c>
      <c r="AQ53">
        <f t="shared" si="49"/>
        <v>51</v>
      </c>
      <c r="AR53">
        <f t="shared" si="50"/>
        <v>6.5</v>
      </c>
      <c r="AS53">
        <f t="shared" si="50"/>
        <v>4.1900000000000004</v>
      </c>
      <c r="AT53">
        <f t="shared" si="51"/>
        <v>39</v>
      </c>
      <c r="AU53">
        <f t="shared" si="52"/>
        <v>6.8</v>
      </c>
      <c r="AV53">
        <f t="shared" si="52"/>
        <v>6.21</v>
      </c>
      <c r="AW53" s="65">
        <f t="shared" si="53"/>
        <v>-5.7640303380212012E-2</v>
      </c>
      <c r="AX53">
        <f t="shared" si="54"/>
        <v>0.21276318200488842</v>
      </c>
    </row>
    <row r="54" spans="5:50">
      <c r="E54" t="str">
        <f t="shared" si="55"/>
        <v>Naish JH</v>
      </c>
      <c r="F54">
        <f t="shared" si="55"/>
        <v>2006</v>
      </c>
      <c r="G54">
        <v>3</v>
      </c>
      <c r="H54">
        <f t="shared" si="56"/>
        <v>21</v>
      </c>
      <c r="I54">
        <f t="shared" si="56"/>
        <v>11</v>
      </c>
      <c r="J54">
        <f t="shared" si="57"/>
        <v>6.78</v>
      </c>
      <c r="K54">
        <f t="shared" si="57"/>
        <v>5.65</v>
      </c>
      <c r="L54">
        <f t="shared" si="57"/>
        <v>5.4</v>
      </c>
      <c r="M54">
        <f t="shared" si="57"/>
        <v>4.7</v>
      </c>
      <c r="N54">
        <f t="shared" si="34"/>
        <v>5.3521023906498657</v>
      </c>
      <c r="O54" s="59">
        <f t="shared" si="35"/>
        <v>0.2513423671385096</v>
      </c>
      <c r="P54" s="63">
        <f t="shared" si="36"/>
        <v>0.13965381539055458</v>
      </c>
      <c r="Q54" s="59">
        <f t="shared" si="10"/>
        <v>0.73245757365485298</v>
      </c>
      <c r="R54" s="59">
        <f t="shared" si="37"/>
        <v>7.1605634060437895</v>
      </c>
      <c r="S54" s="59">
        <f t="shared" si="38"/>
        <v>1.7997529565204349</v>
      </c>
      <c r="T54" s="59">
        <f t="shared" si="39"/>
        <v>0.45235416835637721</v>
      </c>
      <c r="U54" s="23">
        <f t="shared" si="40"/>
        <v>51.273668291973436</v>
      </c>
      <c r="V54" s="59">
        <f>1/((1/R54)+$I$70)</f>
        <v>5.9528934859686995</v>
      </c>
      <c r="W54" s="59">
        <f t="shared" si="41"/>
        <v>1.4962143400867871</v>
      </c>
      <c r="AF54" s="59">
        <f t="shared" si="42"/>
        <v>0.2513423671385096</v>
      </c>
      <c r="AG54" s="59">
        <f t="shared" si="43"/>
        <v>0.73245757365485298</v>
      </c>
      <c r="AH54" s="59">
        <f t="shared" si="44"/>
        <v>0.73245757365485298</v>
      </c>
      <c r="AJ54">
        <f t="shared" si="45"/>
        <v>0.37370284370145562</v>
      </c>
      <c r="AK54">
        <f t="shared" si="21"/>
        <v>2.675922907343145</v>
      </c>
      <c r="AL54">
        <f t="shared" si="46"/>
        <v>0.67257279781178869</v>
      </c>
      <c r="AN54" t="str">
        <f t="shared" si="47"/>
        <v>Naish JH</v>
      </c>
      <c r="AO54">
        <f t="shared" si="47"/>
        <v>2006</v>
      </c>
      <c r="AP54" t="str">
        <f t="shared" si="48"/>
        <v>Naish JH 2006</v>
      </c>
      <c r="AQ54">
        <f t="shared" si="49"/>
        <v>21</v>
      </c>
      <c r="AR54">
        <f t="shared" si="50"/>
        <v>6.78</v>
      </c>
      <c r="AS54">
        <f t="shared" si="50"/>
        <v>5.65</v>
      </c>
      <c r="AT54">
        <f t="shared" si="51"/>
        <v>11</v>
      </c>
      <c r="AU54">
        <f t="shared" si="52"/>
        <v>5.4</v>
      </c>
      <c r="AV54">
        <f t="shared" si="52"/>
        <v>4.7</v>
      </c>
      <c r="AW54" s="65">
        <f t="shared" si="53"/>
        <v>0.2513423671385096</v>
      </c>
      <c r="AX54">
        <f t="shared" si="54"/>
        <v>0.37370284370145562</v>
      </c>
    </row>
    <row r="55" spans="5:50">
      <c r="E55" t="str">
        <f t="shared" si="55"/>
        <v>Naish JH</v>
      </c>
      <c r="F55">
        <f t="shared" si="55"/>
        <v>2006</v>
      </c>
      <c r="G55">
        <v>2</v>
      </c>
      <c r="H55">
        <f t="shared" si="56"/>
        <v>8</v>
      </c>
      <c r="I55">
        <f t="shared" si="56"/>
        <v>11</v>
      </c>
      <c r="J55">
        <f t="shared" si="57"/>
        <v>9.1999999999999993</v>
      </c>
      <c r="K55">
        <f t="shared" si="57"/>
        <v>6.36</v>
      </c>
      <c r="L55">
        <f t="shared" si="57"/>
        <v>5.4</v>
      </c>
      <c r="M55">
        <f t="shared" si="57"/>
        <v>4.7</v>
      </c>
      <c r="N55">
        <f t="shared" si="34"/>
        <v>5.4451662320004202</v>
      </c>
      <c r="O55" s="59">
        <f t="shared" si="35"/>
        <v>0.66661890410922087</v>
      </c>
      <c r="P55" s="63">
        <f t="shared" si="36"/>
        <v>0.23066276831001317</v>
      </c>
      <c r="Q55" s="59">
        <f t="shared" si="10"/>
        <v>0.9413363324230859</v>
      </c>
      <c r="R55" s="59">
        <f t="shared" si="37"/>
        <v>4.3353333844324178</v>
      </c>
      <c r="S55" s="59">
        <f t="shared" si="38"/>
        <v>2.8900151896784578</v>
      </c>
      <c r="T55" s="59">
        <f t="shared" si="39"/>
        <v>1.9265387586024556</v>
      </c>
      <c r="U55" s="23">
        <f t="shared" si="40"/>
        <v>18.795115554174242</v>
      </c>
      <c r="V55" s="59">
        <f>1/((1/R55)+$I$70)</f>
        <v>3.8610860258543709</v>
      </c>
      <c r="W55" s="59">
        <f t="shared" si="41"/>
        <v>2.5738729352264675</v>
      </c>
      <c r="AF55" s="59">
        <f t="shared" si="42"/>
        <v>0.66661890410922087</v>
      </c>
      <c r="AG55" s="59">
        <f t="shared" si="43"/>
        <v>0.9413363324230859</v>
      </c>
      <c r="AH55" s="59">
        <f t="shared" si="44"/>
        <v>0.9413363324230859</v>
      </c>
      <c r="AJ55">
        <f t="shared" si="45"/>
        <v>0.48027363899137038</v>
      </c>
      <c r="AK55">
        <f t="shared" si="21"/>
        <v>2.0821463407821308</v>
      </c>
      <c r="AL55">
        <f t="shared" si="46"/>
        <v>1.3879981118872085</v>
      </c>
      <c r="AN55" t="str">
        <f t="shared" si="47"/>
        <v>Naish JH</v>
      </c>
      <c r="AO55">
        <f t="shared" si="47"/>
        <v>2006</v>
      </c>
      <c r="AP55" t="str">
        <f t="shared" si="48"/>
        <v>Naish JH 2006</v>
      </c>
      <c r="AQ55">
        <f t="shared" si="49"/>
        <v>8</v>
      </c>
      <c r="AR55">
        <f t="shared" si="50"/>
        <v>9.1999999999999993</v>
      </c>
      <c r="AS55">
        <f t="shared" si="50"/>
        <v>6.36</v>
      </c>
      <c r="AT55">
        <f t="shared" si="51"/>
        <v>11</v>
      </c>
      <c r="AU55">
        <f t="shared" si="52"/>
        <v>5.4</v>
      </c>
      <c r="AV55">
        <f t="shared" si="52"/>
        <v>4.7</v>
      </c>
      <c r="AW55" s="65">
        <f t="shared" si="53"/>
        <v>0.66661890410922087</v>
      </c>
      <c r="AX55">
        <f t="shared" si="54"/>
        <v>0.48027363899137038</v>
      </c>
    </row>
    <row r="56" spans="5:50">
      <c r="E56" t="str">
        <f t="shared" si="55"/>
        <v>Weber K</v>
      </c>
      <c r="F56">
        <f t="shared" si="55"/>
        <v>2009</v>
      </c>
      <c r="G56">
        <v>1</v>
      </c>
      <c r="H56">
        <f t="shared" si="56"/>
        <v>38</v>
      </c>
      <c r="I56">
        <f t="shared" si="56"/>
        <v>62</v>
      </c>
      <c r="J56">
        <f t="shared" si="57"/>
        <v>3</v>
      </c>
      <c r="K56">
        <f t="shared" si="57"/>
        <v>4.1100000000000003</v>
      </c>
      <c r="L56">
        <f t="shared" si="57"/>
        <v>3.36</v>
      </c>
      <c r="M56">
        <f t="shared" si="57"/>
        <v>4.7300000000000004</v>
      </c>
      <c r="N56">
        <f t="shared" si="34"/>
        <v>4.5059536579226984</v>
      </c>
      <c r="O56" s="59">
        <f t="shared" si="35"/>
        <v>-7.9281297319665531E-2</v>
      </c>
      <c r="P56" s="63">
        <f t="shared" si="36"/>
        <v>4.2477538388550146E-2</v>
      </c>
      <c r="Q56" s="59">
        <f t="shared" si="10"/>
        <v>0.40395756147577461</v>
      </c>
      <c r="R56" s="59">
        <f t="shared" si="37"/>
        <v>23.541853834673969</v>
      </c>
      <c r="S56" s="59">
        <f t="shared" si="38"/>
        <v>-1.866428713322895</v>
      </c>
      <c r="T56" s="59">
        <f t="shared" si="39"/>
        <v>0.14797288974691322</v>
      </c>
      <c r="U56" s="23">
        <f t="shared" si="40"/>
        <v>554.21888197315343</v>
      </c>
      <c r="V56" s="59">
        <f>1/((1/R56)+$I$70)</f>
        <v>14.122446997008002</v>
      </c>
      <c r="W56" s="59">
        <f t="shared" si="41"/>
        <v>-1.1196459192510091</v>
      </c>
      <c r="AF56" s="59">
        <f t="shared" si="42"/>
        <v>-7.9281297319665531E-2</v>
      </c>
      <c r="AG56" s="59">
        <f t="shared" si="43"/>
        <v>0.40395756147577461</v>
      </c>
      <c r="AH56" s="59">
        <f t="shared" si="44"/>
        <v>0.40395756147577461</v>
      </c>
      <c r="AJ56">
        <f t="shared" si="45"/>
        <v>0.20610079667131359</v>
      </c>
      <c r="AK56">
        <f t="shared" si="21"/>
        <v>4.8519948304459239</v>
      </c>
      <c r="AL56">
        <f t="shared" si="46"/>
        <v>-0.38467244474606344</v>
      </c>
      <c r="AN56" t="str">
        <f t="shared" si="47"/>
        <v>Weber K</v>
      </c>
      <c r="AO56">
        <f t="shared" si="47"/>
        <v>2009</v>
      </c>
      <c r="AP56" t="str">
        <f t="shared" si="48"/>
        <v>Weber K 2009</v>
      </c>
      <c r="AQ56">
        <f t="shared" si="49"/>
        <v>38</v>
      </c>
      <c r="AR56">
        <f t="shared" si="50"/>
        <v>3</v>
      </c>
      <c r="AS56">
        <f t="shared" si="50"/>
        <v>4.1100000000000003</v>
      </c>
      <c r="AT56">
        <f t="shared" si="51"/>
        <v>62</v>
      </c>
      <c r="AU56">
        <f t="shared" si="52"/>
        <v>3.36</v>
      </c>
      <c r="AV56">
        <f t="shared" si="52"/>
        <v>4.7300000000000004</v>
      </c>
      <c r="AW56" s="65">
        <f t="shared" si="53"/>
        <v>-7.9281297319665531E-2</v>
      </c>
      <c r="AX56">
        <f t="shared" si="54"/>
        <v>0.20610079667131359</v>
      </c>
    </row>
    <row r="57" spans="5:50">
      <c r="U57" s="23"/>
    </row>
    <row r="58" spans="5:50">
      <c r="L58" t="s">
        <v>500</v>
      </c>
      <c r="N58" s="7"/>
      <c r="O58" s="66">
        <f>COUNT(O45:O56)</f>
        <v>12</v>
      </c>
      <c r="Q58" t="s">
        <v>885</v>
      </c>
      <c r="R58" s="59">
        <f t="shared" ref="R58:W58" si="58">SUM(R45:R56)</f>
        <v>158.6118945067002</v>
      </c>
      <c r="S58" s="59">
        <f t="shared" si="58"/>
        <v>24.873356113125681</v>
      </c>
      <c r="T58" s="59">
        <f t="shared" si="58"/>
        <v>18.942553727246242</v>
      </c>
      <c r="U58" s="23">
        <f t="shared" si="58"/>
        <v>2529.3982250128179</v>
      </c>
      <c r="V58" s="59">
        <f t="shared" si="58"/>
        <v>110.84307137684019</v>
      </c>
      <c r="W58" s="59">
        <f t="shared" si="58"/>
        <v>19.364295621115431</v>
      </c>
    </row>
    <row r="59" spans="5:50">
      <c r="L59" t="s">
        <v>501</v>
      </c>
      <c r="N59" s="7"/>
      <c r="O59" s="2">
        <v>3</v>
      </c>
    </row>
    <row r="60" spans="5:50">
      <c r="N60" s="7"/>
      <c r="O60" s="7"/>
    </row>
    <row r="61" spans="5:50">
      <c r="G61" s="67" t="s">
        <v>502</v>
      </c>
      <c r="H61" s="40"/>
      <c r="I61" s="40">
        <f>S58/R58</f>
        <v>0.15681898378734113</v>
      </c>
      <c r="J61" s="40"/>
      <c r="K61" s="68" t="s">
        <v>879</v>
      </c>
      <c r="L61" s="40"/>
      <c r="M61" s="42"/>
      <c r="N61" s="7"/>
      <c r="O61" s="69" t="s">
        <v>503</v>
      </c>
      <c r="P61" s="70">
        <f>T58-((S58^2)/R58)</f>
        <v>15.041939298205223</v>
      </c>
      <c r="Q61" s="71" t="s">
        <v>824</v>
      </c>
      <c r="R61" s="28"/>
      <c r="S61" s="29"/>
      <c r="T61" s="30"/>
      <c r="U61" s="31"/>
      <c r="AF61" s="2" t="s">
        <v>1518</v>
      </c>
    </row>
    <row r="62" spans="5:50">
      <c r="G62" s="43" t="s">
        <v>504</v>
      </c>
      <c r="H62" s="31"/>
      <c r="I62" s="31">
        <f>1/R58</f>
        <v>6.3046974069006995E-3</v>
      </c>
      <c r="J62" s="31"/>
      <c r="K62" s="31"/>
      <c r="L62" s="31"/>
      <c r="M62" s="44"/>
      <c r="N62" s="7"/>
      <c r="O62" s="30" t="s">
        <v>505</v>
      </c>
      <c r="P62" s="31">
        <f>CHIDIST(P61,I66-1)</f>
        <v>0.18058496909005881</v>
      </c>
      <c r="Q62" s="31"/>
      <c r="R62" s="31"/>
      <c r="S62" s="34"/>
      <c r="T62" s="30"/>
      <c r="U62" s="31"/>
      <c r="AF62" s="2"/>
    </row>
    <row r="63" spans="5:50">
      <c r="G63" s="72" t="s">
        <v>506</v>
      </c>
      <c r="H63" s="31"/>
      <c r="I63" s="31">
        <f>$R$73*SQRT(I62)</f>
        <v>0.15562816441232522</v>
      </c>
      <c r="J63" s="31"/>
      <c r="K63" s="31" t="s">
        <v>507</v>
      </c>
      <c r="L63" s="31"/>
      <c r="M63" s="44">
        <f>ABS(I61/SQRT(I62))</f>
        <v>1.9749973238060394</v>
      </c>
      <c r="N63" s="7"/>
      <c r="O63" s="35" t="s">
        <v>508</v>
      </c>
      <c r="P63" s="37">
        <f>IF(((P61-(I66-1))/P61)&lt;0,0,100*((P61-(I66-1))/P61))</f>
        <v>26.871131561390492</v>
      </c>
      <c r="Q63" s="36"/>
      <c r="R63" s="36"/>
      <c r="S63" s="38"/>
      <c r="T63" s="30"/>
      <c r="U63" s="31"/>
      <c r="AF63" s="2" t="s">
        <v>1535</v>
      </c>
      <c r="AH63">
        <f>IF($D$6=1,100*((EXP(I61))-1),I61)</f>
        <v>0.15681898378734113</v>
      </c>
    </row>
    <row r="64" spans="5:50">
      <c r="G64" s="45" t="s">
        <v>509</v>
      </c>
      <c r="H64" s="46"/>
      <c r="I64" s="46">
        <v>-2</v>
      </c>
      <c r="J64" s="46"/>
      <c r="K64" s="46" t="s">
        <v>825</v>
      </c>
      <c r="L64" s="46"/>
      <c r="M64" s="47">
        <f>2*(1-NORMDIST(M63,0,1,1))</f>
        <v>4.8268451712279781E-2</v>
      </c>
      <c r="N64" s="7"/>
      <c r="O64" s="7"/>
      <c r="AF64" s="79" t="s">
        <v>834</v>
      </c>
      <c r="AH64">
        <f>IF($D$6=1,100*(EXP(I61+I63)-EXP(I61)),I63)</f>
        <v>0.15562816441232522</v>
      </c>
    </row>
    <row r="65" spans="7:34">
      <c r="G65" s="40"/>
      <c r="H65" s="40"/>
      <c r="I65" s="40"/>
      <c r="J65" s="40"/>
      <c r="K65" s="40"/>
      <c r="L65" s="40"/>
      <c r="M65" s="40"/>
      <c r="N65" s="7"/>
      <c r="O65" s="7"/>
      <c r="AF65" s="79" t="s">
        <v>835</v>
      </c>
      <c r="AH65">
        <f>IF($D$6=1,100*(EXP(I61)-EXP(I61-I63)),I63)</f>
        <v>0.15562816441232522</v>
      </c>
    </row>
    <row r="66" spans="7:34">
      <c r="G66" s="73" t="s">
        <v>1110</v>
      </c>
      <c r="H66" s="74"/>
      <c r="I66" s="74">
        <f>O58</f>
        <v>12</v>
      </c>
      <c r="J66" s="74"/>
      <c r="K66" s="75" t="s">
        <v>1167</v>
      </c>
      <c r="L66" s="74"/>
      <c r="M66" s="76"/>
      <c r="N66" s="77"/>
      <c r="O66" s="101" t="s">
        <v>1513</v>
      </c>
      <c r="P66" s="102"/>
      <c r="Q66" s="103"/>
      <c r="AF66" s="7"/>
    </row>
    <row r="67" spans="7:34">
      <c r="G67" s="77" t="s">
        <v>1531</v>
      </c>
      <c r="H67" s="31"/>
      <c r="I67" s="31">
        <f>R58/I66</f>
        <v>13.21765787555835</v>
      </c>
      <c r="J67" s="31"/>
      <c r="K67" s="31"/>
      <c r="L67" s="31"/>
      <c r="M67" s="78"/>
      <c r="N67" s="77"/>
      <c r="O67" s="104" t="s">
        <v>1514</v>
      </c>
      <c r="P67" s="31"/>
      <c r="Q67" s="105">
        <f>INDEX(LINEST(AL45:AL56,AK45:AK56,TRUE,TRUE),1,2)</f>
        <v>2.4039106629978839</v>
      </c>
      <c r="AF67" s="2" t="s">
        <v>1687</v>
      </c>
      <c r="AH67">
        <f>IF($D$6=1,100*((EXP(I72))-1),I72)</f>
        <v>0.17470009970475658</v>
      </c>
    </row>
    <row r="68" spans="7:34">
      <c r="G68" s="77" t="s">
        <v>1532</v>
      </c>
      <c r="H68" s="31"/>
      <c r="I68" s="31">
        <f>(1/(I66-1))*(U58-(I66*I67^2))</f>
        <v>39.356406220827424</v>
      </c>
      <c r="J68" s="31"/>
      <c r="K68" s="31"/>
      <c r="L68" s="31"/>
      <c r="M68" s="78"/>
      <c r="N68" s="77"/>
      <c r="O68" s="104" t="s">
        <v>1516</v>
      </c>
      <c r="P68" s="31"/>
      <c r="Q68" s="105">
        <f>INDEX(LINEST(AL45:AL56,AK45:AK56,TRUE,TRUE),2,2)</f>
        <v>1.3611736682760378</v>
      </c>
      <c r="AF68" s="79" t="s">
        <v>834</v>
      </c>
      <c r="AG68" s="7"/>
      <c r="AH68">
        <f>IF($D$6=1,100*(EXP(I72+I74)-EXP(I72)),I74)</f>
        <v>0.18616661222707334</v>
      </c>
    </row>
    <row r="69" spans="7:34">
      <c r="G69" s="77" t="s">
        <v>1669</v>
      </c>
      <c r="H69" s="31"/>
      <c r="I69" s="31">
        <f>(I66-1)*(I67-(I68/(I66*I67)))</f>
        <v>142.66480407644266</v>
      </c>
      <c r="J69" s="31"/>
      <c r="K69" s="31"/>
      <c r="L69" s="31"/>
      <c r="M69" s="78"/>
      <c r="N69" s="77"/>
      <c r="O69" s="104" t="s">
        <v>1349</v>
      </c>
      <c r="P69" s="31"/>
      <c r="Q69" s="105">
        <f>ABS(Q67/Q68)</f>
        <v>1.7660572776451808</v>
      </c>
      <c r="AF69" s="79" t="s">
        <v>835</v>
      </c>
      <c r="AH69">
        <f>IF($D$6=1,100*(EXP(I72)-EXP(I72-I74)),I74)</f>
        <v>0.18616661222707334</v>
      </c>
    </row>
    <row r="70" spans="7:34">
      <c r="G70" s="77" t="s">
        <v>1685</v>
      </c>
      <c r="H70" s="31"/>
      <c r="I70" s="31">
        <f>IF(P61&gt;(I66-1),(P61-(I66-1))/I69,0)</f>
        <v>2.8331720106940121E-2</v>
      </c>
      <c r="J70" s="31"/>
      <c r="K70" s="31"/>
      <c r="L70" s="31"/>
      <c r="M70" s="78"/>
      <c r="N70" s="77"/>
      <c r="O70" s="106" t="s">
        <v>1515</v>
      </c>
      <c r="P70" s="107"/>
      <c r="Q70" s="108">
        <f>TDIST(Q69,I66-2,2)</f>
        <v>0.10783981258139852</v>
      </c>
    </row>
    <row r="71" spans="7:34">
      <c r="G71" s="77"/>
      <c r="H71" s="31"/>
      <c r="I71" s="31"/>
      <c r="J71" s="31"/>
      <c r="K71" s="31"/>
      <c r="L71" s="31"/>
      <c r="M71" s="78"/>
      <c r="N71" s="77"/>
    </row>
    <row r="72" spans="7:34">
      <c r="G72" s="77" t="s">
        <v>1686</v>
      </c>
      <c r="H72" s="31"/>
      <c r="I72" s="31">
        <f>W58/V58</f>
        <v>0.17470009970475658</v>
      </c>
      <c r="J72" s="31"/>
      <c r="N72" s="77"/>
    </row>
    <row r="73" spans="7:34">
      <c r="G73" s="77" t="s">
        <v>504</v>
      </c>
      <c r="H73" s="31"/>
      <c r="I73" s="31">
        <f>1/V58</f>
        <v>9.021763720352325E-3</v>
      </c>
      <c r="J73" s="31"/>
      <c r="N73" s="77"/>
      <c r="O73" t="s">
        <v>805</v>
      </c>
      <c r="R73">
        <v>1.96</v>
      </c>
    </row>
    <row r="74" spans="7:34">
      <c r="G74" s="80" t="s">
        <v>506</v>
      </c>
      <c r="H74" s="31"/>
      <c r="I74" s="31">
        <f>$R$73*SQRT(I73)</f>
        <v>0.18616661222707334</v>
      </c>
      <c r="J74" s="31"/>
      <c r="K74" s="31" t="s">
        <v>507</v>
      </c>
      <c r="L74" s="31"/>
      <c r="M74" s="78">
        <f>ABS(I72/(SQRT(I73)))</f>
        <v>1.8392782214013319</v>
      </c>
      <c r="N74" s="77"/>
    </row>
    <row r="75" spans="7:34">
      <c r="G75" s="81" t="s">
        <v>509</v>
      </c>
      <c r="H75" s="82"/>
      <c r="I75" s="82">
        <v>-3</v>
      </c>
      <c r="J75" s="82"/>
      <c r="K75" s="31" t="s">
        <v>825</v>
      </c>
      <c r="L75" s="31"/>
      <c r="M75" s="78">
        <f>2*(1-NORMDIST(M74,0,1,1))</f>
        <v>6.5874274638805019E-2</v>
      </c>
      <c r="N75" s="77"/>
    </row>
    <row r="76" spans="7:34">
      <c r="G76" s="74"/>
      <c r="H76" s="74"/>
      <c r="I76" s="74"/>
      <c r="J76" s="74"/>
      <c r="K76" s="74"/>
      <c r="L76" s="74"/>
      <c r="M76" s="74"/>
      <c r="N76" s="31"/>
      <c r="O76" s="7"/>
    </row>
  </sheetData>
  <phoneticPr fontId="10" type="noConversion"/>
  <conditionalFormatting sqref="D17 D13 F13">
    <cfRule type="cellIs" dxfId="14" priority="0" stopIfTrue="1" operator="lessThan">
      <formula>0.05</formula>
    </cfRule>
  </conditionalFormatting>
  <conditionalFormatting sqref="D21">
    <cfRule type="cellIs" dxfId="1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3.xml><?xml version="1.0" encoding="utf-8"?>
<worksheet xmlns="http://schemas.openxmlformats.org/spreadsheetml/2006/main" xmlns:r="http://schemas.openxmlformats.org/officeDocument/2006/relationships">
  <sheetPr published="0" codeName="Sheet66" enableFormatConditionsCalculation="0"/>
  <dimension ref="A1:BK69"/>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6640625" customWidth="1"/>
    <col min="7" max="23" width="5.6640625" customWidth="1"/>
    <col min="24" max="24" width="9.6640625" customWidth="1"/>
    <col min="25" max="25" width="7.33203125" customWidth="1"/>
    <col min="26" max="55" width="5.6640625" customWidth="1"/>
  </cols>
  <sheetData>
    <row r="1" spans="2:8">
      <c r="B1" s="4" t="s">
        <v>362</v>
      </c>
      <c r="D1" s="10"/>
      <c r="F1" s="1" t="s">
        <v>733</v>
      </c>
    </row>
    <row r="3" spans="2:8">
      <c r="B3" t="s">
        <v>1007</v>
      </c>
      <c r="D3">
        <v>1</v>
      </c>
      <c r="E3" t="s">
        <v>1834</v>
      </c>
      <c r="F3" s="24" t="str">
        <f>IF(D3=1,"Odds ratio","LN (Odds ratio)")</f>
        <v>Odds ratio</v>
      </c>
    </row>
    <row r="4" spans="2:8">
      <c r="B4" t="s">
        <v>1642</v>
      </c>
      <c r="D4" s="25" t="s">
        <v>885</v>
      </c>
      <c r="E4" t="s">
        <v>1834</v>
      </c>
      <c r="F4" s="26" t="str">
        <f>IF($D$4="Total","Total",IF($D$4="Left","Left",IF($D$4="Right","Right","Error: enter Total, Left or Right")))</f>
        <v>Total</v>
      </c>
    </row>
    <row r="5" spans="2:8">
      <c r="D5" s="25"/>
      <c r="F5" s="24"/>
    </row>
    <row r="6" spans="2:8">
      <c r="D6" s="25"/>
      <c r="F6" s="24"/>
    </row>
    <row r="7" spans="2:8">
      <c r="B7" t="s">
        <v>1110</v>
      </c>
      <c r="D7">
        <f>I59-O52</f>
        <v>11</v>
      </c>
    </row>
    <row r="8" spans="2:8">
      <c r="B8" t="s">
        <v>822</v>
      </c>
      <c r="D8">
        <f>SUM(H24:H34)</f>
        <v>419</v>
      </c>
    </row>
    <row r="9" spans="2:8">
      <c r="B9" t="s">
        <v>823</v>
      </c>
      <c r="D9">
        <f>SUM(I24:I34)</f>
        <v>498</v>
      </c>
    </row>
    <row r="11" spans="2:8">
      <c r="B11" s="27" t="s">
        <v>516</v>
      </c>
      <c r="C11" s="28"/>
      <c r="D11" s="109">
        <f>P54</f>
        <v>10.856424320403971</v>
      </c>
      <c r="E11" s="110" t="s">
        <v>1513</v>
      </c>
      <c r="F11" s="103"/>
      <c r="G11" s="137"/>
      <c r="H11" s="5"/>
    </row>
    <row r="12" spans="2:8">
      <c r="B12" s="30" t="s">
        <v>826</v>
      </c>
      <c r="C12" s="31"/>
      <c r="D12" s="112">
        <f>P56</f>
        <v>7.8886408188225898</v>
      </c>
      <c r="E12" s="31"/>
      <c r="F12" s="105"/>
      <c r="G12" s="137"/>
      <c r="H12" s="5"/>
    </row>
    <row r="13" spans="2:8">
      <c r="B13" s="35" t="s">
        <v>825</v>
      </c>
      <c r="C13" s="36"/>
      <c r="D13" s="113">
        <f>P55</f>
        <v>0.36881281987902187</v>
      </c>
      <c r="E13" s="111" t="s">
        <v>825</v>
      </c>
      <c r="F13" s="115">
        <f>Q63</f>
        <v>0.95892817305240474</v>
      </c>
      <c r="G13" s="137"/>
      <c r="H13" s="5"/>
    </row>
    <row r="15" spans="2:8">
      <c r="B15" s="39" t="s">
        <v>879</v>
      </c>
      <c r="C15" s="40"/>
      <c r="D15" s="41">
        <f>AH56</f>
        <v>1.1605922842812268</v>
      </c>
      <c r="E15" s="116"/>
      <c r="F15" s="33"/>
      <c r="G15" s="31"/>
    </row>
    <row r="16" spans="2:8">
      <c r="B16" s="43" t="s">
        <v>1165</v>
      </c>
      <c r="C16" s="31"/>
      <c r="D16" s="33">
        <f>AH56-AH58</f>
        <v>0.74321840102868686</v>
      </c>
      <c r="E16" s="117">
        <f>AH56+AH57</f>
        <v>1.8123534730420718</v>
      </c>
      <c r="F16" s="33"/>
      <c r="G16" s="31"/>
    </row>
    <row r="17" spans="1:63">
      <c r="B17" s="45" t="s">
        <v>1166</v>
      </c>
      <c r="C17" s="46"/>
      <c r="D17" s="123">
        <f>M57</f>
        <v>0.51250681093916572</v>
      </c>
      <c r="E17" s="118"/>
      <c r="F17" s="119"/>
      <c r="G17" s="31"/>
    </row>
    <row r="18" spans="1:63">
      <c r="D18" s="48"/>
      <c r="F18" s="49"/>
    </row>
    <row r="19" spans="1:63">
      <c r="B19" s="50" t="s">
        <v>1167</v>
      </c>
      <c r="C19" s="51"/>
      <c r="D19" s="52">
        <f>AH60</f>
        <v>1.1714939523149086</v>
      </c>
      <c r="E19" s="120"/>
      <c r="F19" s="33"/>
      <c r="G19" s="31"/>
    </row>
    <row r="20" spans="1:63">
      <c r="B20" s="53" t="s">
        <v>1165</v>
      </c>
      <c r="C20" s="31"/>
      <c r="D20" s="33">
        <f>AH60-AH62</f>
        <v>0.72562519696590178</v>
      </c>
      <c r="E20" s="121">
        <f>AH60+AH61</f>
        <v>1.8913318970301638</v>
      </c>
      <c r="F20" s="33"/>
      <c r="G20" s="31"/>
    </row>
    <row r="21" spans="1:63">
      <c r="B21" s="54" t="s">
        <v>1440</v>
      </c>
      <c r="C21" s="55"/>
      <c r="D21" s="114">
        <f>M68</f>
        <v>0.51720711292572141</v>
      </c>
      <c r="E21" s="56"/>
      <c r="F21" s="119"/>
      <c r="G21" s="31"/>
      <c r="L21" s="4" t="s">
        <v>1511</v>
      </c>
      <c r="Q21" s="4" t="str">
        <f>F3</f>
        <v>Odds ratio</v>
      </c>
    </row>
    <row r="22" spans="1:63">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3" ht="46.5" customHeight="1">
      <c r="B23" s="57" t="s">
        <v>1162</v>
      </c>
      <c r="C23" s="57" t="s">
        <v>618</v>
      </c>
      <c r="D23" s="57" t="s">
        <v>953</v>
      </c>
      <c r="E23" s="57" t="s">
        <v>617</v>
      </c>
      <c r="F23" s="57" t="s">
        <v>740</v>
      </c>
      <c r="G23" s="57" t="s">
        <v>1033</v>
      </c>
      <c r="H23" s="58" t="s">
        <v>1034</v>
      </c>
      <c r="I23" s="58" t="s">
        <v>1035</v>
      </c>
      <c r="J23" s="58" t="s">
        <v>1036</v>
      </c>
      <c r="K23" s="58" t="s">
        <v>1037</v>
      </c>
      <c r="L23" s="58" t="s">
        <v>1208</v>
      </c>
      <c r="M23" s="58" t="s">
        <v>870</v>
      </c>
      <c r="N23" s="58" t="s">
        <v>871</v>
      </c>
      <c r="O23" s="58" t="s">
        <v>872</v>
      </c>
      <c r="P23" s="58" t="s">
        <v>873</v>
      </c>
      <c r="Q23" s="58" t="s">
        <v>874</v>
      </c>
      <c r="R23" s="58" t="s">
        <v>1402</v>
      </c>
      <c r="S23" s="58" t="s">
        <v>1403</v>
      </c>
      <c r="T23" s="58"/>
      <c r="U23" s="100" t="s">
        <v>1077</v>
      </c>
      <c r="V23" s="100" t="s">
        <v>1078</v>
      </c>
      <c r="W23" s="58"/>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row>
    <row r="24" spans="1:63">
      <c r="B24">
        <v>2301657</v>
      </c>
      <c r="C24" s="1" t="str">
        <f>IF($B24="","",HYPERLINK(IF(LEN(VLOOKUP($B24,Database!$B$1:$IX$10144,2,FALSE))=0,"",VLOOKUP($B24,Database!$B$1:$IX$10144,2,FALSE))))</f>
        <v/>
      </c>
      <c r="D24" s="1" t="str">
        <f t="shared" ref="D24:D33" si="0">IF($B24="","",HYPERLINK(CONCATENATE("http://www.ncbi.nlm.nih.gov/pubmed/",B24)))</f>
        <v>http://www.ncbi.nlm.nih.gov/pubmed/2301657</v>
      </c>
      <c r="E24" s="22" t="str">
        <f>IF($B24="","",IF(LEN(VLOOKUP($B24,Database!$B$1:$IX$10144,4,FALSE))=0,"",VLOOKUP($B24,Database!$B$1:$IX$10144,4,FALSE)))</f>
        <v>Coffey CE</v>
      </c>
      <c r="F24" s="22">
        <f>IF($B24="","",IF(LEN(VLOOKUP($B24,Database!$B$1:$IX$10144,5,FALSE))=0,"",VLOOKUP($B24,Database!$B$1:$IX$10144,5,FALSE)))</f>
        <v>1990</v>
      </c>
      <c r="G24" s="1" t="str">
        <f>IF($B24="","",HYPERLINK(IF(LEN(VLOOKUP($B24,Database!$B$1:$IX$10144,6,FALSE))=0,"",VLOOKUP($B24,Database!$B$1:$IX$10144,6,FALSE))))</f>
        <v>http://ajp.psychiatryonline.org/cgi/reprint/147/2/187</v>
      </c>
      <c r="H24" s="22">
        <f>IF($B24="","",IF(LEN(VLOOKUP($B24,Database!$B$1:$IX$10144,7,FALSE))=0,"",VLOOKUP($B24,Database!$B$1:$IX$10144,7,FALSE)))</f>
        <v>35</v>
      </c>
      <c r="I24" s="22">
        <f>IF($B24="","",IF(LEN(VLOOKUP($B24,Database!$B$1:$IX$10144,8,FALSE))=0,"",VLOOKUP($B24,Database!$B$1:$IX$10144,8,FALSE)))</f>
        <v>22</v>
      </c>
      <c r="J24" s="22" t="s">
        <v>662</v>
      </c>
      <c r="K24" s="22" t="s">
        <v>1767</v>
      </c>
      <c r="L24" s="22">
        <v>20</v>
      </c>
      <c r="M24" s="22">
        <v>15</v>
      </c>
      <c r="N24">
        <f t="shared" ref="N24:N34" si="1">H24</f>
        <v>35</v>
      </c>
      <c r="O24" s="22">
        <v>5</v>
      </c>
      <c r="P24" s="22">
        <v>17</v>
      </c>
      <c r="Q24">
        <f t="shared" ref="Q24:Q34" si="2">I24</f>
        <v>22</v>
      </c>
      <c r="R24" s="13">
        <f t="shared" ref="R24:R34" si="3">L24+M24</f>
        <v>35</v>
      </c>
      <c r="S24" s="13">
        <f t="shared" ref="S24:S33" si="4">P24+O24</f>
        <v>22</v>
      </c>
      <c r="U24" s="136">
        <f t="shared" ref="U24:U34" si="5">100*L24/N24</f>
        <v>57.142857142857146</v>
      </c>
      <c r="V24" s="136">
        <f t="shared" ref="V24:V34" si="6">100*O24/Q24</f>
        <v>22.727272727272727</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71.7</v>
      </c>
      <c r="AC24" s="22">
        <f>IF(OR($B24="",AC$22=""),"",IF(LEN(VLOOKUP($B24,Database!$B$1:$IX$10144,AC$22,FALSE))=0,"",VLOOKUP($B24,Database!$B$1:$IX$10144,AC$22,FALSE)))</f>
        <v>8.1</v>
      </c>
      <c r="AD24" s="22">
        <f>IF(OR($B24="",AD$22=""),"",IF(LEN(VLOOKUP($B24,Database!$B$1:$IX$10144,AD$22,FALSE))=0,"",VLOOKUP($B24,Database!$B$1:$IX$10144,AD$22,FALSE)))</f>
        <v>70.7</v>
      </c>
      <c r="AE24" s="22">
        <f>IF(OR($B24="",AE$22=""),"",IF(LEN(VLOOKUP($B24,Database!$B$1:$IX$10144,AE$22,FALSE))=0,"",VLOOKUP($B24,Database!$B$1:$IX$10144,AE$22,FALSE)))</f>
        <v>5.5</v>
      </c>
      <c r="AF24" s="22">
        <f>IF(OR($B24="",AF$22=""),"",IF(LEN(VLOOKUP($B24,Database!$B$1:$IX$10144,AF$22,FALSE))=0,"",VLOOKUP($B24,Database!$B$1:$IX$10144,AF$22,FALSE)))</f>
        <v>28</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Coffey CE, Figiel GS, Djang WT, Weiner RD.</v>
      </c>
      <c r="AR24" s="13"/>
      <c r="AX24" s="13"/>
      <c r="AY24" s="13"/>
      <c r="BA24" s="23"/>
      <c r="BD24" s="136"/>
      <c r="BE24" s="136"/>
      <c r="BF24" s="136"/>
      <c r="BG24" s="136"/>
    </row>
    <row r="25" spans="1:63">
      <c r="B25">
        <v>1575251</v>
      </c>
      <c r="C25" s="1" t="str">
        <f>IF($B25="","",HYPERLINK(IF(LEN(VLOOKUP($B25,Database!$B$1:$IX$10144,2,FALSE))=0,"",VLOOKUP($B25,Database!$B$1:$IX$10144,2,FALSE))))</f>
        <v/>
      </c>
      <c r="D25" s="1" t="str">
        <f t="shared" si="0"/>
        <v>http://www.ncbi.nlm.nih.gov/pubmed/1575251</v>
      </c>
      <c r="E25" s="22" t="str">
        <f>IF($B25="","",IF(LEN(VLOOKUP($B25,Database!$B$1:$IX$10144,4,FALSE))=0,"",VLOOKUP($B25,Database!$B$1:$IX$10144,4,FALSE)))</f>
        <v>Brown FW</v>
      </c>
      <c r="F25" s="22">
        <f>IF($B25="","",IF(LEN(VLOOKUP($B25,Database!$B$1:$IX$10144,5,FALSE))=0,"",VLOOKUP($B25,Database!$B$1:$IX$10144,5,FALSE)))</f>
        <v>1992</v>
      </c>
      <c r="G25" s="1" t="str">
        <f>IF($B25="","",HYPERLINK(IF(LEN(VLOOKUP($B25,Database!$B$1:$IX$10144,6,FALSE))=0,"",VLOOKUP($B25,Database!$B$1:$IX$10144,6,FALSE))))</f>
        <v>http://ajp.psychiatryonline.org/cgi/reprint/149/5/620</v>
      </c>
      <c r="H25" s="22">
        <f>IF($B25="","",IF(LEN(VLOOKUP($B25,Database!$B$1:$IX$10144,7,FALSE))=0,"",VLOOKUP($B25,Database!$B$1:$IX$10144,7,FALSE)))</f>
        <v>28</v>
      </c>
      <c r="I25" s="22">
        <f>IF($B25="","",IF(LEN(VLOOKUP($B25,Database!$B$1:$IX$10144,8,FALSE))=0,"",VLOOKUP($B25,Database!$B$1:$IX$10144,8,FALSE)))</f>
        <v>154</v>
      </c>
      <c r="J25" t="s">
        <v>1482</v>
      </c>
      <c r="K25" t="s">
        <v>1577</v>
      </c>
      <c r="L25">
        <v>1</v>
      </c>
      <c r="M25">
        <v>27</v>
      </c>
      <c r="N25">
        <f t="shared" si="1"/>
        <v>28</v>
      </c>
      <c r="O25">
        <v>6</v>
      </c>
      <c r="P25">
        <v>148</v>
      </c>
      <c r="Q25">
        <f t="shared" si="2"/>
        <v>154</v>
      </c>
      <c r="R25" s="13">
        <f t="shared" si="3"/>
        <v>28</v>
      </c>
      <c r="S25" s="13">
        <f t="shared" si="4"/>
        <v>154</v>
      </c>
      <c r="U25" s="136">
        <f t="shared" si="5"/>
        <v>3.5714285714285716</v>
      </c>
      <c r="V25" s="136">
        <f t="shared" si="6"/>
        <v>3.8961038961038961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40.299999999999997</v>
      </c>
      <c r="AC25" s="22">
        <f>IF(OR($B25="",AC$22=""),"",IF(LEN(VLOOKUP($B25,Database!$B$1:$IX$10144,AC$22,FALSE))=0,"",VLOOKUP($B25,Database!$B$1:$IX$10144,AC$22,FALSE)))</f>
        <v>10.5</v>
      </c>
      <c r="AD25" s="22">
        <f>IF(OR($B25="",AD$22=""),"",IF(LEN(VLOOKUP($B25,Database!$B$1:$IX$10144,AD$22,FALSE))=0,"",VLOOKUP($B25,Database!$B$1:$IX$10144,AD$22,FALSE)))</f>
        <v>34</v>
      </c>
      <c r="AE25" s="22">
        <f>IF(OR($B25="",AE$22=""),"",IF(LEN(VLOOKUP($B25,Database!$B$1:$IX$10144,AE$22,FALSE))=0,"",VLOOKUP($B25,Database!$B$1:$IX$10144,AE$22,FALSE)))</f>
        <v>9.5</v>
      </c>
      <c r="AF25" s="22" t="str">
        <f>IF(OR($B25="",AF$22=""),"",IF(LEN(VLOOKUP($B25,Database!$B$1:$IX$10144,AF$22,FALSE))=0,"",VLOOKUP($B25,Database!$B$1:$IX$10144,AF$22,FALSE)))</f>
        <v>ns</v>
      </c>
      <c r="AG25" s="22" t="str">
        <f>IF(OR($B25="",AG$22=""),"",IF(LEN(VLOOKUP($B25,Database!$B$1:$IX$10144,AG$22,FALSE))=0,"",VLOOKUP($B25,Database!$B$1:$IX$10144,AG$22,FALSE)))</f>
        <v>ns</v>
      </c>
      <c r="AH25" s="22">
        <f>IF(OR($B25="",AH$22=""),"",IF(LEN(VLOOKUP($B25,Database!$B$1:$IX$10144,AH$22,FALSE))=0,"",VLOOKUP($B25,Database!$B$1:$IX$10144,AH$22,FALSE)))</f>
        <v>1</v>
      </c>
      <c r="AI25" s="22">
        <f>IF(OR($B25="",AI$22=""),"",IF(LEN(VLOOKUP($B25,Database!$B$1:$IX$10144,AI$22,FALSE))=0,"",VLOOKUP($B25,Database!$B$1:$IX$10144,AI$22,FALSE)))</f>
        <v>7</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Brown FW, Lewine RJ, Hudgins PA, Risch SC.</v>
      </c>
      <c r="AR25" s="13"/>
      <c r="AX25" s="13"/>
      <c r="AY25" s="13"/>
      <c r="BA25" s="23"/>
      <c r="BD25" s="136"/>
      <c r="BE25" s="136"/>
      <c r="BF25" s="136"/>
      <c r="BG25" s="136"/>
    </row>
    <row r="26" spans="1:63">
      <c r="B26" t="s">
        <v>1474</v>
      </c>
      <c r="C26" s="1" t="str">
        <f>IF($B26="","",HYPERLINK(IF(LEN(VLOOKUP($B26,Database!$B$1:$IX$10144,2,FALSE))=0,"",VLOOKUP($B26,Database!$B$1:$IX$10144,2,FALSE))))</f>
        <v/>
      </c>
      <c r="D26" s="1" t="str">
        <f>IF($B26="","",HYPERLINK(CONCATENATE("http://www.ncbi.nlm.nih.gov/pubmed/",B26)))</f>
        <v>http://www.ncbi.nlm.nih.gov/pubmed/NPD001</v>
      </c>
      <c r="E26" s="22" t="str">
        <f>IF($B26="","",IF(LEN(VLOOKUP($B26,Database!$B$1:$IX$10144,4,FALSE))=0,"",VLOOKUP($B26,Database!$B$1:$IX$10144,4,FALSE)))</f>
        <v>Miller DS</v>
      </c>
      <c r="F26" s="22">
        <f>IF($B26="","",IF(LEN(VLOOKUP($B26,Database!$B$1:$IX$10144,5,FALSE))=0,"",VLOOKUP($B26,Database!$B$1:$IX$10144,5,FALSE)))</f>
        <v>1994</v>
      </c>
      <c r="G26" s="1" t="str">
        <f>IF($B26="","",HYPERLINK(IF(LEN(VLOOKUP($B26,Database!$B$1:$IX$10144,6,FALSE))=0,"",VLOOKUP($B26,Database!$B$1:$IX$10144,6,FALSE))))</f>
        <v>http://journals.lww.com/ajgponline/Abstract/1994/02040/MRI_High_Intensity_Signals_in_Late_Life_Depression.8.aspx</v>
      </c>
      <c r="H26" s="22">
        <f>IF($B26="","",IF(LEN(VLOOKUP($B26,Database!$B$1:$IX$10144,7,FALSE))=0,"",VLOOKUP($B26,Database!$B$1:$IX$10144,7,FALSE)))</f>
        <v>19</v>
      </c>
      <c r="I26" s="22">
        <f>IF($B26="","",IF(LEN(VLOOKUP($B26,Database!$B$1:$IX$10144,8,FALSE))=0,"",VLOOKUP($B26,Database!$B$1:$IX$10144,8,FALSE)))</f>
        <v>23</v>
      </c>
      <c r="J26" t="s">
        <v>1476</v>
      </c>
      <c r="K26" t="s">
        <v>1283</v>
      </c>
      <c r="L26">
        <v>3</v>
      </c>
      <c r="M26">
        <v>16</v>
      </c>
      <c r="N26">
        <f>H26</f>
        <v>19</v>
      </c>
      <c r="O26">
        <v>4</v>
      </c>
      <c r="P26">
        <v>19</v>
      </c>
      <c r="Q26">
        <f>I26</f>
        <v>23</v>
      </c>
      <c r="R26" s="13">
        <f>L26+M26</f>
        <v>19</v>
      </c>
      <c r="S26" s="13">
        <f>P26+O26</f>
        <v>23</v>
      </c>
      <c r="U26" s="136">
        <f>100*L26/N26</f>
        <v>15.789473684210526</v>
      </c>
      <c r="V26" s="136">
        <f>100*O26/Q26</f>
        <v>17.391304347826086</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69</v>
      </c>
      <c r="AC26" s="22">
        <f>IF(OR($B26="",AC$22=""),"",IF(LEN(VLOOKUP($B26,Database!$B$1:$IX$10144,AC$22,FALSE))=0,"",VLOOKUP($B26,Database!$B$1:$IX$10144,AC$22,FALSE)))</f>
        <v>6</v>
      </c>
      <c r="AD26" s="22">
        <f>IF(OR($B26="",AD$22=""),"",IF(LEN(VLOOKUP($B26,Database!$B$1:$IX$10144,AD$22,FALSE))=0,"",VLOOKUP($B26,Database!$B$1:$IX$10144,AD$22,FALSE)))</f>
        <v>68</v>
      </c>
      <c r="AE26" s="22">
        <f>IF(OR($B26="",AE$22=""),"",IF(LEN(VLOOKUP($B26,Database!$B$1:$IX$10144,AE$22,FALSE))=0,"",VLOOKUP($B26,Database!$B$1:$IX$10144,AE$22,FALSE)))</f>
        <v>8</v>
      </c>
      <c r="AF26" s="22">
        <f>IF(OR($B26="",AF$22=""),"",IF(LEN(VLOOKUP($B26,Database!$B$1:$IX$10144,AF$22,FALSE))=0,"",VLOOKUP($B26,Database!$B$1:$IX$10144,AF$22,FALSE)))</f>
        <v>13</v>
      </c>
      <c r="AG26" s="22">
        <f>IF(OR($B26="",AG$22=""),"",IF(LEN(VLOOKUP($B26,Database!$B$1:$IX$10144,AG$22,FALSE))=0,"",VLOOKUP($B26,Database!$B$1:$IX$10144,AG$22,FALSE)))</f>
        <v>12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22</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Miller DS, Kumar A, Yousem DM, Gottlieb GL</v>
      </c>
      <c r="AR26" s="13"/>
      <c r="AU26" s="22"/>
      <c r="AX26" s="13"/>
      <c r="AY26" s="13"/>
      <c r="BA26" s="23"/>
      <c r="BD26" s="136"/>
      <c r="BE26" s="136"/>
      <c r="BF26" s="136"/>
      <c r="BG26" s="136"/>
    </row>
    <row r="27" spans="1:63">
      <c r="A27" s="13" t="s">
        <v>364</v>
      </c>
      <c r="B27">
        <v>10080561</v>
      </c>
      <c r="C27" s="1" t="str">
        <f>IF($B27="","",HYPERLINK(IF(LEN(VLOOKUP($B27,Database!$B$1:$IX$10144,2,FALSE))=0,"",VLOOKUP($B27,Database!$B$1:$IX$10144,2,FALSE))))</f>
        <v/>
      </c>
      <c r="D27" s="1" t="str">
        <f t="shared" si="0"/>
        <v>http://www.ncbi.nlm.nih.gov/pubmed/10080561</v>
      </c>
      <c r="E27" s="22" t="str">
        <f>IF($B27="","",IF(LEN(VLOOKUP($B27,Database!$B$1:$IX$10144,4,FALSE))=0,"",VLOOKUP($B27,Database!$B$1:$IX$10144,4,FALSE)))</f>
        <v>Kramer-Ginsberg E</v>
      </c>
      <c r="F27" s="22">
        <f>IF($B27="","",IF(LEN(VLOOKUP($B27,Database!$B$1:$IX$10144,5,FALSE))=0,"",VLOOKUP($B27,Database!$B$1:$IX$10144,5,FALSE)))</f>
        <v>1999</v>
      </c>
      <c r="G27" s="1" t="str">
        <f>IF($B27="","",HYPERLINK(IF(LEN(VLOOKUP($B27,Database!$B$1:$IX$10144,6,FALSE))=0,"",VLOOKUP($B27,Database!$B$1:$IX$10144,6,FALSE))))</f>
        <v>http://ajp.psychiatryonline.org/cgi/reprint/156/3/438</v>
      </c>
      <c r="H27" s="22">
        <f>IF($B27="","",IF(LEN(VLOOKUP($B27,Database!$B$1:$IX$10144,7,FALSE))=0,"",VLOOKUP($B27,Database!$B$1:$IX$10144,7,FALSE)))</f>
        <v>41</v>
      </c>
      <c r="I27" s="22">
        <f>IF($B27="","",IF(LEN(VLOOKUP($B27,Database!$B$1:$IX$10144,8,FALSE))=0,"",VLOOKUP($B27,Database!$B$1:$IX$10144,8,FALSE)))</f>
        <v>38</v>
      </c>
      <c r="J27" s="13" t="s">
        <v>693</v>
      </c>
      <c r="K27" t="s">
        <v>980</v>
      </c>
      <c r="L27">
        <v>39</v>
      </c>
      <c r="M27">
        <v>2</v>
      </c>
      <c r="N27">
        <f t="shared" si="1"/>
        <v>41</v>
      </c>
      <c r="O27">
        <v>35</v>
      </c>
      <c r="P27">
        <v>3</v>
      </c>
      <c r="Q27">
        <f t="shared" si="2"/>
        <v>38</v>
      </c>
      <c r="R27" s="13">
        <f t="shared" si="3"/>
        <v>41</v>
      </c>
      <c r="S27" s="13">
        <f t="shared" si="4"/>
        <v>38</v>
      </c>
      <c r="U27" s="136">
        <f t="shared" si="5"/>
        <v>95.121951219512198</v>
      </c>
      <c r="V27" s="136">
        <f t="shared" si="6"/>
        <v>92.10526315789474</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74.599999999999994</v>
      </c>
      <c r="AC27" s="22">
        <f>IF(OR($B27="",AC$22=""),"",IF(LEN(VLOOKUP($B27,Database!$B$1:$IX$10144,AC$22,FALSE))=0,"",VLOOKUP($B27,Database!$B$1:$IX$10144,AC$22,FALSE)))</f>
        <v>6</v>
      </c>
      <c r="AD27" s="22">
        <f>IF(OR($B27="",AD$22=""),"",IF(LEN(VLOOKUP($B27,Database!$B$1:$IX$10144,AD$22,FALSE))=0,"",VLOOKUP($B27,Database!$B$1:$IX$10144,AD$22,FALSE)))</f>
        <v>72.8</v>
      </c>
      <c r="AE27" s="22">
        <f>IF(OR($B27="",AE$22=""),"",IF(LEN(VLOOKUP($B27,Database!$B$1:$IX$10144,AE$22,FALSE))=0,"",VLOOKUP($B27,Database!$B$1:$IX$10144,AE$22,FALSE)))</f>
        <v>6.4</v>
      </c>
      <c r="AF27" s="22">
        <f>IF(OR($B27="",AF$22=""),"",IF(LEN(VLOOKUP($B27,Database!$B$1:$IX$10144,AF$22,FALSE))=0,"",VLOOKUP($B27,Database!$B$1:$IX$10144,AF$22,FALSE)))</f>
        <v>30</v>
      </c>
      <c r="AG27" s="22">
        <f>IF(OR($B27="",AG$22=""),"",IF(LEN(VLOOKUP($B27,Database!$B$1:$IX$10144,AG$22,FALSE))=0,"",VLOOKUP($B27,Database!$B$1:$IX$10144,AG$22,FALSE)))</f>
        <v>19</v>
      </c>
      <c r="AH27" s="22">
        <f>IF(OR($B27="",AH$22=""),"",IF(LEN(VLOOKUP($B27,Database!$B$1:$IX$10144,AH$22,FALSE))=0,"",VLOOKUP($B27,Database!$B$1:$IX$10144,AH$22,FALSE)))</f>
        <v>1</v>
      </c>
      <c r="AI27" s="22">
        <f>IF(OR($B27="",AI$22=""),"",IF(LEN(VLOOKUP($B27,Database!$B$1:$IX$10144,AI$22,FALSE))=0,"",VLOOKUP($B27,Database!$B$1:$IX$10144,AI$22,FALSE)))</f>
        <v>7</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26</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Kramer-Ginsberg E, Greenwald BS, Krishnan KR, Christiansen B, Hu J, Ashtari M, Patel M, Pollack S.</v>
      </c>
      <c r="AR27" s="163"/>
      <c r="AU27" s="22"/>
      <c r="AX27" s="13"/>
      <c r="AY27" s="13"/>
      <c r="BA27" s="23"/>
      <c r="BD27" s="136"/>
      <c r="BE27" s="136"/>
      <c r="BF27" s="136"/>
      <c r="BG27" s="136"/>
    </row>
    <row r="28" spans="1:63">
      <c r="B28">
        <v>11593278</v>
      </c>
      <c r="C28" s="1" t="str">
        <f>IF($B28="","",HYPERLINK(IF(LEN(VLOOKUP($B28,Database!$B$1:$IX$10144,2,FALSE))=0,"",VLOOKUP($B28,Database!$B$1:$IX$10144,2,FALSE))))</f>
        <v/>
      </c>
      <c r="D28" s="1" t="str">
        <f t="shared" si="0"/>
        <v>http://www.ncbi.nlm.nih.gov/pubmed/11593278</v>
      </c>
      <c r="E28" s="22" t="str">
        <f>IF($B28="","",IF(LEN(VLOOKUP($B28,Database!$B$1:$IX$10144,4,FALSE))=0,"",VLOOKUP($B28,Database!$B$1:$IX$10144,4,FALSE)))</f>
        <v>Novaretti TM</v>
      </c>
      <c r="F28" s="22">
        <f>IF($B28="","",IF(LEN(VLOOKUP($B28,Database!$B$1:$IX$10144,5,FALSE))=0,"",VLOOKUP($B28,Database!$B$1:$IX$10144,5,FALSE)))</f>
        <v>2001</v>
      </c>
      <c r="G28" s="1" t="str">
        <f>IF($B28="","",HYPERLINK(IF(LEN(VLOOKUP($B28,Database!$B$1:$IX$10144,6,FALSE))=0,"",VLOOKUP($B28,Database!$B$1:$IX$10144,6,FALSE))))</f>
        <v>http://www.scielo.br/pdf/anp/v59n3B/5967.pdf</v>
      </c>
      <c r="H28" s="22">
        <f>IF($B28="","",IF(LEN(VLOOKUP($B28,Database!$B$1:$IX$10144,7,FALSE))=0,"",VLOOKUP($B28,Database!$B$1:$IX$10144,7,FALSE)))</f>
        <v>30</v>
      </c>
      <c r="I28" s="22">
        <f>IF($B28="","",IF(LEN(VLOOKUP($B28,Database!$B$1:$IX$10144,8,FALSE))=0,"",VLOOKUP($B28,Database!$B$1:$IX$10144,8,FALSE)))</f>
        <v>20</v>
      </c>
      <c r="J28" s="2" t="s">
        <v>20</v>
      </c>
      <c r="K28" s="2" t="s">
        <v>20</v>
      </c>
      <c r="L28">
        <v>29</v>
      </c>
      <c r="M28">
        <v>1</v>
      </c>
      <c r="N28">
        <f t="shared" si="1"/>
        <v>30</v>
      </c>
      <c r="O28">
        <v>17</v>
      </c>
      <c r="P28">
        <v>3</v>
      </c>
      <c r="Q28">
        <f t="shared" si="2"/>
        <v>20</v>
      </c>
      <c r="R28" s="13">
        <f t="shared" si="3"/>
        <v>30</v>
      </c>
      <c r="S28" s="13">
        <f t="shared" si="4"/>
        <v>20</v>
      </c>
      <c r="U28" s="136">
        <f t="shared" si="5"/>
        <v>96.666666666666671</v>
      </c>
      <c r="V28" s="136">
        <f t="shared" si="6"/>
        <v>85</v>
      </c>
      <c r="Y28" s="22" t="str">
        <f>IF(OR($B28="",Y$22=""),"",IF(LEN(VLOOKUP($B28,Database!$B$1:$IX$10144,Y$22,FALSE))=0,"",VLOOKUP($B28,Database!$B$1:$IX$10144,Y$22,FALSE)))</f>
        <v>ICD-10</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71</v>
      </c>
      <c r="AC28" s="22">
        <f>IF(OR($B28="",AC$22=""),"",IF(LEN(VLOOKUP($B28,Database!$B$1:$IX$10144,AC$22,FALSE))=0,"",VLOOKUP($B28,Database!$B$1:$IX$10144,AC$22,FALSE)))</f>
        <v>8.1999999999999993</v>
      </c>
      <c r="AD28" s="22">
        <f>IF(OR($B28="",AD$22=""),"",IF(LEN(VLOOKUP($B28,Database!$B$1:$IX$10144,AD$22,FALSE))=0,"",VLOOKUP($B28,Database!$B$1:$IX$10144,AD$22,FALSE)))</f>
        <v>66.5</v>
      </c>
      <c r="AE28" s="22" t="str">
        <f>IF(OR($B28="",AE$22=""),"",IF(LEN(VLOOKUP($B28,Database!$B$1:$IX$10144,AE$22,FALSE))=0,"",VLOOKUP($B28,Database!$B$1:$IX$10144,AE$22,FALSE)))</f>
        <v xml:space="preserve">probable error. States 25.9 but max=81 and min=61 </v>
      </c>
      <c r="AF28" s="22">
        <f>IF(OR($B28="",AF$22=""),"",IF(LEN(VLOOKUP($B28,Database!$B$1:$IX$10144,AF$22,FALSE))=0,"",VLOOKUP($B28,Database!$B$1:$IX$10144,AF$22,FALSE)))</f>
        <v>23</v>
      </c>
      <c r="AG28" s="22">
        <f>IF(OR($B28="",AG$22=""),"",IF(LEN(VLOOKUP($B28,Database!$B$1:$IX$10144,AG$22,FALSE))=0,"",VLOOKUP($B28,Database!$B$1:$IX$10144,AG$22,FALSE)))</f>
        <v>14</v>
      </c>
      <c r="AH28" s="22" t="str">
        <f>IF(OR($B28="",AH$22=""),"",IF(LEN(VLOOKUP($B28,Database!$B$1:$IX$10144,AH$22,FALSE))=0,"",VLOOKUP($B28,Database!$B$1:$IX$10144,AH$22,FALSE)))</f>
        <v>ns</v>
      </c>
      <c r="AI28" s="22" t="str">
        <f>IF(OR($B28="",AI$22=""),"",IF(LEN(VLOOKUP($B28,Database!$B$1:$IX$10144,AI$22,FALSE))=0,"",VLOOKUP($B28,Database!$B$1:$IX$10144,AI$22,FALSE)))</f>
        <v>ns</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Novaretti TM, Marcolin MA, Meira S Jr, Gelas PL, Baudelin CG, Bottino CM.</v>
      </c>
      <c r="AR28" s="163"/>
      <c r="AU28" s="22"/>
      <c r="AX28" s="13"/>
      <c r="AY28" s="13"/>
      <c r="BA28" s="23"/>
      <c r="BD28" s="136"/>
      <c r="BE28" s="136"/>
      <c r="BF28" s="136"/>
      <c r="BG28" s="136"/>
    </row>
    <row r="29" spans="1:63">
      <c r="A29" s="13" t="s">
        <v>364</v>
      </c>
      <c r="B29">
        <v>12169341</v>
      </c>
      <c r="C29" s="1" t="str">
        <f>IF($B29="","",HYPERLINK(IF(LEN(VLOOKUP($B29,Database!$B$1:$IX$10144,2,FALSE))=0,"",VLOOKUP($B29,Database!$B$1:$IX$10144,2,FALSE))))</f>
        <v/>
      </c>
      <c r="D29" s="1" t="str">
        <f t="shared" si="0"/>
        <v>http://www.ncbi.nlm.nih.gov/pubmed/12169341</v>
      </c>
      <c r="E29" s="22" t="str">
        <f>IF($B29="","",IF(LEN(VLOOKUP($B29,Database!$B$1:$IX$10144,4,FALSE))=0,"",VLOOKUP($B29,Database!$B$1:$IX$10144,4,FALSE)))</f>
        <v>Tupler LA</v>
      </c>
      <c r="F29" s="22">
        <f>IF($B29="","",IF(LEN(VLOOKUP($B29,Database!$B$1:$IX$10144,5,FALSE))=0,"",VLOOKUP($B29,Database!$B$1:$IX$10144,5,FALSE)))</f>
        <v>2002</v>
      </c>
      <c r="G29" s="1" t="str">
        <f>IF($B29="","",HYPERLINK(IF(LEN(VLOOKUP($B29,Database!$B$1:$IX$10144,6,FALSE))=0,"",VLOOKUP($B29,Database!$B$1:$IX$10144,6,FALSE))))</f>
        <v>http://dx.doi.org/10.1016/S0022-3999(02)00425-7</v>
      </c>
      <c r="H29" s="22">
        <f>IF($B29="","",IF(LEN(VLOOKUP($B29,Database!$B$1:$IX$10144,7,FALSE))=0,"",VLOOKUP($B29,Database!$B$1:$IX$10144,7,FALSE)))</f>
        <v>115</v>
      </c>
      <c r="I29" s="22">
        <f>IF($B29="","",IF(LEN(VLOOKUP($B29,Database!$B$1:$IX$10144,8,FALSE))=0,"",VLOOKUP($B29,Database!$B$1:$IX$10144,8,FALSE)))</f>
        <v>37</v>
      </c>
      <c r="J29" s="13" t="s">
        <v>886</v>
      </c>
      <c r="K29" t="s">
        <v>980</v>
      </c>
      <c r="L29">
        <v>113</v>
      </c>
      <c r="M29">
        <v>2</v>
      </c>
      <c r="N29">
        <f t="shared" si="1"/>
        <v>115</v>
      </c>
      <c r="O29">
        <v>37</v>
      </c>
      <c r="P29">
        <v>0</v>
      </c>
      <c r="Q29">
        <f t="shared" si="2"/>
        <v>37</v>
      </c>
      <c r="R29" s="13">
        <f t="shared" si="3"/>
        <v>115</v>
      </c>
      <c r="S29" s="13">
        <f t="shared" si="4"/>
        <v>37</v>
      </c>
      <c r="U29" s="136">
        <f t="shared" si="5"/>
        <v>98.260869565217391</v>
      </c>
      <c r="V29" s="136">
        <f t="shared" si="6"/>
        <v>100</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66.7</v>
      </c>
      <c r="AC29" s="22">
        <f>IF(OR($B29="",AC$22=""),"",IF(LEN(VLOOKUP($B29,Database!$B$1:$IX$10144,AC$22,FALSE))=0,"",VLOOKUP($B29,Database!$B$1:$IX$10144,AC$22,FALSE)))</f>
        <v>10.9</v>
      </c>
      <c r="AD29" s="22">
        <f>IF(OR($B29="",AD$22=""),"",IF(LEN(VLOOKUP($B29,Database!$B$1:$IX$10144,AD$22,FALSE))=0,"",VLOOKUP($B29,Database!$B$1:$IX$10144,AD$22,FALSE)))</f>
        <v>65.900000000000006</v>
      </c>
      <c r="AE29" s="22">
        <f>IF(OR($B29="",AE$22=""),"",IF(LEN(VLOOKUP($B29,Database!$B$1:$IX$10144,AE$22,FALSE))=0,"",VLOOKUP($B29,Database!$B$1:$IX$10144,AE$22,FALSE)))</f>
        <v>9.4</v>
      </c>
      <c r="AF29" s="22">
        <f>IF(OR($B29="",AF$22=""),"",IF(LEN(VLOOKUP($B29,Database!$B$1:$IX$10144,AF$22,FALSE))=0,"",VLOOKUP($B29,Database!$B$1:$IX$10144,AF$22,FALSE)))</f>
        <v>84</v>
      </c>
      <c r="AG29" s="22">
        <f>IF(OR($B29="",AG$22=""),"",IF(LEN(VLOOKUP($B29,Database!$B$1:$IX$10144,AG$22,FALSE))=0,"",VLOOKUP($B29,Database!$B$1:$IX$10144,AG$22,FALSE)))</f>
        <v>24</v>
      </c>
      <c r="AH29" s="22">
        <f>IF(OR($B29="",AH$22=""),"",IF(LEN(VLOOKUP($B29,Database!$B$1:$IX$10144,AH$22,FALSE))=0,"",VLOOKUP($B29,Database!$B$1:$IX$10144,AH$22,FALSE)))</f>
        <v>1.5</v>
      </c>
      <c r="AI29" s="22">
        <f>IF(OR($B29="",AI$22=""),"",IF(LEN(VLOOKUP($B29,Database!$B$1:$IX$10144,AI$22,FALSE))=0,"",VLOOKUP($B29,Database!$B$1:$IX$10144,AI$22,FALSE)))</f>
        <v>5</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Tupler LA, Krishnan KR, McDonald WM, Dombeck CB, D'Souza S, Steffens DC.</v>
      </c>
      <c r="AR29" s="163"/>
      <c r="AU29" s="22"/>
      <c r="AX29" s="13"/>
      <c r="AY29" s="13"/>
      <c r="BA29" s="23"/>
      <c r="BD29" s="136"/>
      <c r="BE29" s="136"/>
      <c r="BF29" s="136"/>
      <c r="BG29" s="136"/>
    </row>
    <row r="30" spans="1:63">
      <c r="B30">
        <v>14612223</v>
      </c>
      <c r="C30" s="1" t="str">
        <f>IF($B30="","",HYPERLINK(IF(LEN(VLOOKUP($B30,Database!$B$1:$IX$10144,2,FALSE))=0,"",VLOOKUP($B30,Database!$B$1:$IX$10144,2,FALSE))))</f>
        <v/>
      </c>
      <c r="D30" s="1" t="str">
        <f t="shared" si="0"/>
        <v>http://www.ncbi.nlm.nih.gov/pubmed/14612223</v>
      </c>
      <c r="E30" s="22" t="str">
        <f>IF($B30="","",IF(LEN(VLOOKUP($B30,Database!$B$1:$IX$10144,4,FALSE))=0,"",VLOOKUP($B30,Database!$B$1:$IX$10144,4,FALSE)))</f>
        <v>Sassi RB</v>
      </c>
      <c r="F30" s="22">
        <f>IF($B30="","",IF(LEN(VLOOKUP($B30,Database!$B$1:$IX$10144,5,FALSE))=0,"",VLOOKUP($B30,Database!$B$1:$IX$10144,5,FALSE)))</f>
        <v>2003</v>
      </c>
      <c r="G30" s="1" t="str">
        <f>IF($B30="","",HYPERLINK(IF(LEN(VLOOKUP($B30,Database!$B$1:$IX$10144,6,FALSE))=0,"",VLOOKUP($B30,Database!$B$1:$IX$10144,6,FALSE))))</f>
        <v>http://dx.doi.org/10.1016/S0165-0327(02)00170-2</v>
      </c>
      <c r="H30" s="22">
        <f>IF($B30="","",IF(LEN(VLOOKUP($B30,Database!$B$1:$IX$10144,7,FALSE))=0,"",VLOOKUP($B30,Database!$B$1:$IX$10144,7,FALSE)))</f>
        <v>18</v>
      </c>
      <c r="I30" s="22">
        <f>IF($B30="","",IF(LEN(VLOOKUP($B30,Database!$B$1:$IX$10144,8,FALSE))=0,"",VLOOKUP($B30,Database!$B$1:$IX$10144,8,FALSE)))</f>
        <v>38</v>
      </c>
      <c r="J30" t="s">
        <v>697</v>
      </c>
      <c r="K30" s="213" t="s">
        <v>2440</v>
      </c>
      <c r="L30" s="2">
        <v>6</v>
      </c>
      <c r="M30">
        <v>11</v>
      </c>
      <c r="N30">
        <f t="shared" si="1"/>
        <v>18</v>
      </c>
      <c r="O30">
        <v>21</v>
      </c>
      <c r="P30">
        <v>17</v>
      </c>
      <c r="Q30">
        <f t="shared" si="2"/>
        <v>38</v>
      </c>
      <c r="R30" s="13">
        <f t="shared" si="3"/>
        <v>17</v>
      </c>
      <c r="S30" s="13">
        <f t="shared" si="4"/>
        <v>38</v>
      </c>
      <c r="U30" s="136">
        <f t="shared" si="5"/>
        <v>33.333333333333336</v>
      </c>
      <c r="V30" s="136">
        <f t="shared" si="6"/>
        <v>55.263157894736842</v>
      </c>
      <c r="X30" s="2"/>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42.8</v>
      </c>
      <c r="AC30" s="22">
        <f>IF(OR($B30="",AC$22=""),"",IF(LEN(VLOOKUP($B30,Database!$B$1:$IX$10144,AC$22,FALSE))=0,"",VLOOKUP($B30,Database!$B$1:$IX$10144,AC$22,FALSE)))</f>
        <v>9.1999999999999993</v>
      </c>
      <c r="AD30" s="22">
        <f>IF(OR($B30="",AD$22=""),"",IF(LEN(VLOOKUP($B30,Database!$B$1:$IX$10144,AD$22,FALSE))=0,"",VLOOKUP($B30,Database!$B$1:$IX$10144,AD$22,FALSE)))</f>
        <v>36.799999999999997</v>
      </c>
      <c r="AE30" s="22">
        <f>IF(OR($B30="",AE$22=""),"",IF(LEN(VLOOKUP($B30,Database!$B$1:$IX$10144,AE$22,FALSE))=0,"",VLOOKUP($B30,Database!$B$1:$IX$10144,AE$22,FALSE)))</f>
        <v>9.6999999999999993</v>
      </c>
      <c r="AF30" s="22">
        <f>IF(OR($B30="",AF$22=""),"",IF(LEN(VLOOKUP($B30,Database!$B$1:$IX$10144,AF$22,FALSE))=0,"",VLOOKUP($B30,Database!$B$1:$IX$10144,AF$22,FALSE)))</f>
        <v>16</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30</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Sassi RB, Brambilla P, Nicoletti M, Mallinger AG, Frank E, Kupfer DJ, Keshavan MS, Soares JC.</v>
      </c>
      <c r="AR30" s="163"/>
      <c r="AU30" s="22"/>
      <c r="AX30" s="13"/>
      <c r="AY30" s="13"/>
      <c r="BA30" s="23"/>
      <c r="BD30" s="136"/>
      <c r="BE30" s="136"/>
      <c r="BF30" s="136"/>
      <c r="BG30" s="136"/>
    </row>
    <row r="31" spans="1:63">
      <c r="B31">
        <v>12656939</v>
      </c>
      <c r="C31" s="1" t="str">
        <f>IF($B31="","",HYPERLINK(IF(LEN(VLOOKUP($B31,Database!$B$1:$IX$10144,2,FALSE))=0,"",VLOOKUP($B31,Database!$B$1:$IX$10144,2,FALSE))))</f>
        <v/>
      </c>
      <c r="D31" s="1" t="str">
        <f t="shared" si="0"/>
        <v>http://www.ncbi.nlm.nih.gov/pubmed/12656939</v>
      </c>
      <c r="E31" s="22" t="str">
        <f>IF($B31="","",IF(LEN(VLOOKUP($B31,Database!$B$1:$IX$10144,4,FALSE))=0,"",VLOOKUP($B31,Database!$B$1:$IX$10144,4,FALSE)))</f>
        <v>Silverstone T</v>
      </c>
      <c r="F31" s="22">
        <f>IF($B31="","",IF(LEN(VLOOKUP($B31,Database!$B$1:$IX$10144,5,FALSE))=0,"",VLOOKUP($B31,Database!$B$1:$IX$10144,5,FALSE)))</f>
        <v>2003</v>
      </c>
      <c r="G31" s="1" t="str">
        <f>IF($B31="","",HYPERLINK(IF(LEN(VLOOKUP($B31,Database!$B$1:$IX$10144,6,FALSE))=0,"",VLOOKUP($B31,Database!$B$1:$IX$10144,6,FALSE))))</f>
        <v>http://www3.interscience.wiley.com/cgi-bin/fulltext/118852713/PDFSTART</v>
      </c>
      <c r="H31" s="22">
        <f>IF($B31="","",IF(LEN(VLOOKUP($B31,Database!$B$1:$IX$10144,7,FALSE))=0,"",VLOOKUP($B31,Database!$B$1:$IX$10144,7,FALSE)))</f>
        <v>11</v>
      </c>
      <c r="I31" s="22">
        <f>IF($B31="","",IF(LEN(VLOOKUP($B31,Database!$B$1:$IX$10144,8,FALSE))=0,"",VLOOKUP($B31,Database!$B$1:$IX$10144,8,FALSE)))</f>
        <v>19</v>
      </c>
      <c r="J31" t="s">
        <v>1017</v>
      </c>
      <c r="K31" t="s">
        <v>1128</v>
      </c>
      <c r="L31">
        <v>5</v>
      </c>
      <c r="M31">
        <v>6</v>
      </c>
      <c r="N31">
        <f t="shared" si="1"/>
        <v>11</v>
      </c>
      <c r="O31">
        <v>8</v>
      </c>
      <c r="P31">
        <v>11</v>
      </c>
      <c r="Q31">
        <f t="shared" si="2"/>
        <v>19</v>
      </c>
      <c r="R31" s="13">
        <f t="shared" si="3"/>
        <v>11</v>
      </c>
      <c r="S31" s="13">
        <f t="shared" si="4"/>
        <v>19</v>
      </c>
      <c r="U31" s="136">
        <f t="shared" si="5"/>
        <v>45.454545454545453</v>
      </c>
      <c r="V31" s="136">
        <f t="shared" si="6"/>
        <v>42.10526315789474</v>
      </c>
      <c r="X31" s="2"/>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34.4</v>
      </c>
      <c r="AC31" s="22" t="str">
        <f>IF(OR($B31="",AC$22=""),"",IF(LEN(VLOOKUP($B31,Database!$B$1:$IX$10144,AC$22,FALSE))=0,"",VLOOKUP($B31,Database!$B$1:$IX$10144,AC$22,FALSE)))</f>
        <v/>
      </c>
      <c r="AD31" s="22">
        <f>IF(OR($B31="",AD$22=""),"",IF(LEN(VLOOKUP($B31,Database!$B$1:$IX$10144,AD$22,FALSE))=0,"",VLOOKUP($B31,Database!$B$1:$IX$10144,AD$22,FALSE)))</f>
        <v>35.9</v>
      </c>
      <c r="AE31" s="22" t="str">
        <f>IF(OR($B31="",AE$22=""),"",IF(LEN(VLOOKUP($B31,Database!$B$1:$IX$10144,AE$22,FALSE))=0,"",VLOOKUP($B31,Database!$B$1:$IX$10144,AE$22,FALSE)))</f>
        <v/>
      </c>
      <c r="AF31" s="22">
        <f>IF(OR($B31="",AF$22=""),"",IF(LEN(VLOOKUP($B31,Database!$B$1:$IX$10144,AF$22,FALSE))=0,"",VLOOKUP($B31,Database!$B$1:$IX$10144,AF$22,FALSE)))</f>
        <v>7</v>
      </c>
      <c r="AG31" s="22">
        <f>IF(OR($B31="",AG$22=""),"",IF(LEN(VLOOKUP($B31,Database!$B$1:$IX$10144,AG$22,FALSE))=0,"",VLOOKUP($B31,Database!$B$1:$IX$10144,AG$22,FALSE)))</f>
        <v>10</v>
      </c>
      <c r="AH31" s="22">
        <f>IF(OR($B31="",AH$22=""),"",IF(LEN(VLOOKUP($B31,Database!$B$1:$IX$10144,AH$22,FALSE))=0,"",VLOOKUP($B31,Database!$B$1:$IX$10144,AH$22,FALSE)))</f>
        <v>0.5</v>
      </c>
      <c r="AI31" s="22">
        <f>IF(OR($B31="",AI$22=""),"",IF(LEN(VLOOKUP($B31,Database!$B$1:$IX$10144,AI$22,FALSE))=0,"",VLOOKUP($B31,Database!$B$1:$IX$10144,AI$22,FALSE)))</f>
        <v>5</v>
      </c>
      <c r="AJ31" s="22" t="str">
        <f>IF(OR($B31="",AJ$22=""),"",IF(LEN(VLOOKUP($B31,Database!$B$1:$IX$10144,AJ$22,FALSE))=0,"",VLOOKUP($B31,Database!$B$1:$IX$10144,AJ$22,FALSE)))</f>
        <v/>
      </c>
      <c r="AK31" s="22">
        <f>IF(OR($B31="",AK$22=""),"",IF(LEN(VLOOKUP($B31,Database!$B$1:$IX$10144,AK$22,FALSE))=0,"",VLOOKUP($B31,Database!$B$1:$IX$10144,AK$22,FALSE)))</f>
        <v>26.6</v>
      </c>
      <c r="AL31" s="22">
        <f>IF(OR($B31="",AL$22=""),"",IF(LEN(VLOOKUP($B31,Database!$B$1:$IX$10144,AL$22,FALSE))=0,"",VLOOKUP($B31,Database!$B$1:$IX$10144,AL$22,FALSE)))</f>
        <v>21.9</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Silverstone T, McPherson H, Li Q, Doyle T.</v>
      </c>
      <c r="AR31" s="163"/>
      <c r="AU31" s="22"/>
      <c r="AX31" s="13"/>
      <c r="AY31" s="13"/>
      <c r="BA31" s="23"/>
      <c r="BD31" s="136"/>
      <c r="BE31" s="136"/>
      <c r="BF31" s="136"/>
      <c r="BG31" s="136"/>
    </row>
    <row r="32" spans="1:63">
      <c r="B32">
        <v>15465296</v>
      </c>
      <c r="C32" s="1" t="str">
        <f>IF($B32="","",HYPERLINK(IF(LEN(VLOOKUP($B32,Database!$B$1:$IX$10144,2,FALSE))=0,"",VLOOKUP($B32,Database!$B$1:$IX$10144,2,FALSE))))</f>
        <v/>
      </c>
      <c r="D32" s="1" t="str">
        <f t="shared" si="0"/>
        <v>http://www.ncbi.nlm.nih.gov/pubmed/15465296</v>
      </c>
      <c r="E32" s="22" t="str">
        <f>IF($B32="","",IF(LEN(VLOOKUP($B32,Database!$B$1:$IX$10144,4,FALSE))=0,"",VLOOKUP($B32,Database!$B$1:$IX$10144,4,FALSE)))</f>
        <v>Supprian T</v>
      </c>
      <c r="F32" s="22">
        <f>IF($B32="","",IF(LEN(VLOOKUP($B32,Database!$B$1:$IX$10144,5,FALSE))=0,"",VLOOKUP($B32,Database!$B$1:$IX$10144,5,FALSE)))</f>
        <v>2004</v>
      </c>
      <c r="G32" s="1" t="str">
        <f>IF($B32="","",HYPERLINK(IF(LEN(VLOOKUP($B32,Database!$B$1:$IX$10144,6,FALSE))=0,"",VLOOKUP($B32,Database!$B$1:$IX$10144,6,FALSE))))</f>
        <v>http://dx.doi.org/10.1016/j.pscychresns.2004.02.005</v>
      </c>
      <c r="H32" s="22">
        <f>IF($B32="","",IF(LEN(VLOOKUP($B32,Database!$B$1:$IX$10144,7,FALSE))=0,"",VLOOKUP($B32,Database!$B$1:$IX$10144,7,FALSE)))</f>
        <v>10</v>
      </c>
      <c r="I32" s="22">
        <f>IF($B32="","",IF(LEN(VLOOKUP($B32,Database!$B$1:$IX$10144,8,FALSE))=0,"",VLOOKUP($B32,Database!$B$1:$IX$10144,8,FALSE)))</f>
        <v>10</v>
      </c>
      <c r="J32" t="s">
        <v>1468</v>
      </c>
      <c r="K32" t="s">
        <v>1417</v>
      </c>
      <c r="L32">
        <v>6</v>
      </c>
      <c r="M32">
        <v>4</v>
      </c>
      <c r="N32">
        <f t="shared" si="1"/>
        <v>10</v>
      </c>
      <c r="O32">
        <v>5</v>
      </c>
      <c r="P32">
        <v>5</v>
      </c>
      <c r="Q32">
        <f t="shared" si="2"/>
        <v>10</v>
      </c>
      <c r="R32" s="13">
        <f t="shared" si="3"/>
        <v>10</v>
      </c>
      <c r="S32" s="13">
        <f t="shared" si="4"/>
        <v>10</v>
      </c>
      <c r="U32" s="136">
        <f t="shared" si="5"/>
        <v>60</v>
      </c>
      <c r="V32" s="136">
        <f t="shared" si="6"/>
        <v>50</v>
      </c>
      <c r="X32" s="2"/>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48.9</v>
      </c>
      <c r="AC32" s="22">
        <f>IF(OR($B32="",AC$22=""),"",IF(LEN(VLOOKUP($B32,Database!$B$1:$IX$10144,AC$22,FALSE))=0,"",VLOOKUP($B32,Database!$B$1:$IX$10144,AC$22,FALSE)))</f>
        <v>13.8</v>
      </c>
      <c r="AD32" s="22">
        <f>IF(OR($B32="",AD$22=""),"",IF(LEN(VLOOKUP($B32,Database!$B$1:$IX$10144,AD$22,FALSE))=0,"",VLOOKUP($B32,Database!$B$1:$IX$10144,AD$22,FALSE)))</f>
        <v>48.3</v>
      </c>
      <c r="AE32" s="22">
        <f>IF(OR($B32="",AE$22=""),"",IF(LEN(VLOOKUP($B32,Database!$B$1:$IX$10144,AE$22,FALSE))=0,"",VLOOKUP($B32,Database!$B$1:$IX$10144,AE$22,FALSE)))</f>
        <v>15.7</v>
      </c>
      <c r="AF32" s="22">
        <f>IF(OR($B32="",AF$22=""),"",IF(LEN(VLOOKUP($B32,Database!$B$1:$IX$10144,AF$22,FALSE))=0,"",VLOOKUP($B32,Database!$B$1:$IX$10144,AF$22,FALSE)))</f>
        <v>6</v>
      </c>
      <c r="AG32" s="22">
        <f>IF(OR($B32="",AG$22=""),"",IF(LEN(VLOOKUP($B32,Database!$B$1:$IX$10144,AG$22,FALSE))=0,"",VLOOKUP($B32,Database!$B$1:$IX$10144,AG$22,FALSE)))</f>
        <v>6</v>
      </c>
      <c r="AH32" s="22">
        <f>IF(OR($B32="",AH$22=""),"",IF(LEN(VLOOKUP($B32,Database!$B$1:$IX$10144,AH$22,FALSE))=0,"",VLOOKUP($B32,Database!$B$1:$IX$10144,AH$22,FALSE)))</f>
        <v>1.5</v>
      </c>
      <c r="AI32" s="22">
        <f>IF(OR($B32="",AI$22=""),"",IF(LEN(VLOOKUP($B32,Database!$B$1:$IX$10144,AI$22,FALSE))=0,"",VLOOKUP($B32,Database!$B$1:$IX$10144,AI$22,FALSE)))</f>
        <v>4</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f>IF(OR($B32="",AP$22=""),"",IF(LEN(VLOOKUP($B32,Database!$B$1:$IX$10144,AP$22,FALSE))=0,"",VLOOKUP($B32,Database!$B$1:$IX$10144,AP$22,FALSE)))</f>
        <v>0</v>
      </c>
      <c r="AQ32" s="22" t="str">
        <f>IF(OR($B32="",AQ$22=""),"",IF(LEN(VLOOKUP($B32,Database!$B$1:$IX$10144,AQ$22,FALSE))=0,"",VLOOKUP($B32,Database!$B$1:$IX$10144,AQ$22,FALSE)))</f>
        <v>Supprian T, Reiche W, Schmitz B, Grunwald I, Backens M, Hofmann E, Georg T, Falkai P, Reith W.</v>
      </c>
      <c r="AR32" s="163"/>
      <c r="AU32" s="22"/>
      <c r="AX32" s="13"/>
      <c r="AY32" s="13"/>
      <c r="BA32" s="23"/>
      <c r="BD32" s="136"/>
      <c r="BE32" s="136"/>
      <c r="BF32" s="136"/>
      <c r="BG32" s="136"/>
    </row>
    <row r="33" spans="1:59">
      <c r="B33">
        <v>16449707</v>
      </c>
      <c r="C33" s="1" t="str">
        <f>IF($B33="","",HYPERLINK(IF(LEN(VLOOKUP($B33,Database!$B$1:$IX$10144,2,FALSE))=0,"",VLOOKUP($B33,Database!$B$1:$IX$10144,2,FALSE))))</f>
        <v/>
      </c>
      <c r="D33" s="1" t="str">
        <f t="shared" si="0"/>
        <v>http://www.ncbi.nlm.nih.gov/pubmed/16449707</v>
      </c>
      <c r="E33" s="22" t="str">
        <f>IF($B33="","",IF(LEN(VLOOKUP($B33,Database!$B$1:$IX$10144,4,FALSE))=0,"",VLOOKUP($B33,Database!$B$1:$IX$10144,4,FALSE)))</f>
        <v>Iosifescu DV</v>
      </c>
      <c r="F33" s="22">
        <f>IF($B33="","",IF(LEN(VLOOKUP($B33,Database!$B$1:$IX$10144,5,FALSE))=0,"",VLOOKUP($B33,Database!$B$1:$IX$10144,5,FALSE)))</f>
        <v>2006</v>
      </c>
      <c r="G33" s="1" t="str">
        <f>IF($B33="","",HYPERLINK(IF(LEN(VLOOKUP($B33,Database!$B$1:$IX$10144,6,FALSE))=0,"",VLOOKUP($B33,Database!$B$1:$IX$10144,6,FALSE))))</f>
        <v>http://bjp.rcpsych.org/cgi/reprint/188/2/180</v>
      </c>
      <c r="H33" s="22">
        <f>IF($B33="","",IF(LEN(VLOOKUP($B33,Database!$B$1:$IX$10144,7,FALSE))=0,"",VLOOKUP($B33,Database!$B$1:$IX$10144,7,FALSE)))</f>
        <v>84</v>
      </c>
      <c r="I33" s="22">
        <f>IF($B33="","",IF(LEN(VLOOKUP($B33,Database!$B$1:$IX$10144,8,FALSE))=0,"",VLOOKUP($B33,Database!$B$1:$IX$10144,8,FALSE)))</f>
        <v>35</v>
      </c>
      <c r="J33" t="s">
        <v>1321</v>
      </c>
      <c r="K33" t="s">
        <v>1384</v>
      </c>
      <c r="L33">
        <v>35</v>
      </c>
      <c r="M33">
        <v>49</v>
      </c>
      <c r="N33">
        <f t="shared" si="1"/>
        <v>84</v>
      </c>
      <c r="O33">
        <v>15</v>
      </c>
      <c r="P33">
        <v>20</v>
      </c>
      <c r="Q33">
        <f t="shared" si="2"/>
        <v>35</v>
      </c>
      <c r="R33" s="13">
        <f t="shared" si="3"/>
        <v>84</v>
      </c>
      <c r="S33" s="13">
        <f t="shared" si="4"/>
        <v>35</v>
      </c>
      <c r="U33" s="136">
        <f t="shared" si="5"/>
        <v>41.666666666666664</v>
      </c>
      <c r="V33" s="136">
        <f t="shared" si="6"/>
        <v>42.857142857142854</v>
      </c>
      <c r="X33" s="2"/>
      <c r="Y33" s="22" t="str">
        <f>IF(OR($B33="",Y$22=""),"",IF(LEN(VLOOKUP($B33,Database!$B$1:$IX$10144,Y$22,FALSE))=0,"",VLOOKUP($B33,Database!$B$1:$IX$10144,Y$22,FALSE)))</f>
        <v>DSM-III-R</v>
      </c>
      <c r="Z33" s="22" t="str">
        <f>IF(OR($B33="",Z$22=""),"",IF(LEN(VLOOKUP($B33,Database!$B$1:$IX$10144,Z$22,FALSE))=0,"",VLOOKUP($B33,Database!$B$1:$IX$10144,Z$22,FALSE)))</f>
        <v>MRI</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f>IF(OR($B33="",AD$22=""),"",IF(LEN(VLOOKUP($B33,Database!$B$1:$IX$10144,AD$22,FALSE))=0,"",VLOOKUP($B33,Database!$B$1:$IX$10144,AD$22,FALSE)))</f>
        <v>39.200000000000003</v>
      </c>
      <c r="AE33" s="22">
        <f>IF(OR($B33="",AE$22=""),"",IF(LEN(VLOOKUP($B33,Database!$B$1:$IX$10144,AE$22,FALSE))=0,"",VLOOKUP($B33,Database!$B$1:$IX$10144,AE$22,FALSE)))</f>
        <v>9.8000000000000007</v>
      </c>
      <c r="AF33" s="22">
        <f>IF(OR($B33="",AF$22=""),"",IF(LEN(VLOOKUP($B33,Database!$B$1:$IX$10144,AF$22,FALSE))=0,"",VLOOKUP($B33,Database!$B$1:$IX$10144,AF$22,FALSE)))</f>
        <v>34</v>
      </c>
      <c r="AG33" s="22">
        <f>IF(OR($B33="",AG$22=""),"",IF(LEN(VLOOKUP($B33,Database!$B$1:$IX$10144,AG$22,FALSE))=0,"",VLOOKUP($B33,Database!$B$1:$IX$10144,AG$22,FALSE)))</f>
        <v>14</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f>IF(OR($B33="",AL$22=""),"",IF(LEN(VLOOKUP($B33,Database!$B$1:$IX$10144,AL$22,FALSE))=0,"",VLOOKUP($B33,Database!$B$1:$IX$10144,AL$22,FALSE)))</f>
        <v>21.6</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Iosifescu DV, Renshaw PF, Lyoo IK, Lee HK, Perlis RH, Papakostas GI, Nierenberg AA, Fava M.</v>
      </c>
      <c r="AR33" s="163"/>
      <c r="AU33" s="22"/>
      <c r="AX33" s="13"/>
      <c r="AY33" s="13"/>
      <c r="BA33" s="23"/>
      <c r="BD33" s="136"/>
      <c r="BE33" s="136"/>
      <c r="BF33" s="136"/>
      <c r="BG33" s="136"/>
    </row>
    <row r="34" spans="1:59">
      <c r="B34">
        <v>18700214</v>
      </c>
      <c r="C34" s="1" t="str">
        <f>IF($B34="","",HYPERLINK(IF(LEN(VLOOKUP($B34,Database!$B$1:$IX$10144,2,FALSE))=0,"",VLOOKUP($B34,Database!$B$1:$IX$10144,2,FALSE))))</f>
        <v/>
      </c>
      <c r="D34" s="1" t="str">
        <f>IF($B34="","",HYPERLINK(CONCATENATE("http://www.ncbi.nlm.nih.gov/pubmed/",B34)))</f>
        <v>http://www.ncbi.nlm.nih.gov/pubmed/18700214</v>
      </c>
      <c r="E34" s="22" t="str">
        <f>IF($B34="","",IF(LEN(VLOOKUP($B34,Database!$B$1:$IX$10144,4,FALSE))=0,"",VLOOKUP($B34,Database!$B$1:$IX$10144,4,FALSE)))</f>
        <v>Zanetti MV</v>
      </c>
      <c r="F34" s="22">
        <f>IF($B34="","",IF(LEN(VLOOKUP($B34,Database!$B$1:$IX$10144,5,FALSE))=0,"",VLOOKUP($B34,Database!$B$1:$IX$10144,5,FALSE)))</f>
        <v>2008</v>
      </c>
      <c r="G34" s="1" t="str">
        <f>IF($B34="","",HYPERLINK(IF(LEN(VLOOKUP($B34,Database!$B$1:$IX$10144,6,FALSE))=0,"",VLOOKUP($B34,Database!$B$1:$IX$10144,6,FALSE))))</f>
        <v>http://bjp.rcpsych.org/cgi/reprint/193/1/25</v>
      </c>
      <c r="H34" s="22">
        <f>IF($B34="","",IF(LEN(VLOOKUP($B34,Database!$B$1:$IX$10144,7,FALSE))=0,"",VLOOKUP($B34,Database!$B$1:$IX$10144,7,FALSE)))</f>
        <v>28</v>
      </c>
      <c r="I34" s="22">
        <f>IF($B34="","",IF(LEN(VLOOKUP($B34,Database!$B$1:$IX$10144,8,FALSE))=0,"",VLOOKUP($B34,Database!$B$1:$IX$10144,8,FALSE)))</f>
        <v>102</v>
      </c>
      <c r="J34" t="s">
        <v>478</v>
      </c>
      <c r="K34" t="s">
        <v>650</v>
      </c>
      <c r="L34">
        <v>0</v>
      </c>
      <c r="M34">
        <v>28</v>
      </c>
      <c r="N34">
        <f t="shared" si="1"/>
        <v>28</v>
      </c>
      <c r="O34">
        <v>6</v>
      </c>
      <c r="P34">
        <v>96</v>
      </c>
      <c r="Q34">
        <f t="shared" si="2"/>
        <v>102</v>
      </c>
      <c r="R34" s="13">
        <f t="shared" si="3"/>
        <v>28</v>
      </c>
      <c r="S34" s="13">
        <f>P34+O34</f>
        <v>102</v>
      </c>
      <c r="U34" s="136">
        <f t="shared" si="5"/>
        <v>0</v>
      </c>
      <c r="V34" s="136">
        <f t="shared" si="6"/>
        <v>5.882352941176471</v>
      </c>
      <c r="X34" s="2"/>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30.5</v>
      </c>
      <c r="AC34" s="22" t="str">
        <f>IF(OR($B34="",AC$22=""),"",IF(LEN(VLOOKUP($B34,Database!$B$1:$IX$10144,AC$22,FALSE))=0,"",VLOOKUP($B34,Database!$B$1:$IX$10144,AC$22,FALSE)))</f>
        <v>ns</v>
      </c>
      <c r="AD34" s="22">
        <f>IF(OR($B34="",AD$22=""),"",IF(LEN(VLOOKUP($B34,Database!$B$1:$IX$10144,AD$22,FALSE))=0,"",VLOOKUP($B34,Database!$B$1:$IX$10144,AD$22,FALSE)))</f>
        <v>30.4</v>
      </c>
      <c r="AE34" s="22" t="str">
        <f>IF(OR($B34="",AE$22=""),"",IF(LEN(VLOOKUP($B34,Database!$B$1:$IX$10144,AE$22,FALSE))=0,"",VLOOKUP($B34,Database!$B$1:$IX$10144,AE$22,FALSE)))</f>
        <v>ns</v>
      </c>
      <c r="AF34" s="22">
        <f>IF(OR($B34="",AF$22=""),"",IF(LEN(VLOOKUP($B34,Database!$B$1:$IX$10144,AF$22,FALSE))=0,"",VLOOKUP($B34,Database!$B$1:$IX$10144,AF$22,FALSE)))</f>
        <v>19</v>
      </c>
      <c r="AG34" s="22">
        <f>IF(OR($B34="",AG$22=""),"",IF(LEN(VLOOKUP($B34,Database!$B$1:$IX$10144,AG$22,FALSE))=0,"",VLOOKUP($B34,Database!$B$1:$IX$10144,AG$22,FALSE)))</f>
        <v>48</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f>IF(OR($B34="",AM$22=""),"",IF(LEN(VLOOKUP($B34,Database!$B$1:$IX$10144,AM$22,FALSE))=0,"",VLOOKUP($B34,Database!$B$1:$IX$10144,AM$22,FALSE)))</f>
        <v>50</v>
      </c>
      <c r="AN34" s="22">
        <f>IF(OR($B34="",AN$22=""),"",IF(LEN(VLOOKUP($B34,Database!$B$1:$IX$10144,AN$22,FALSE))=0,"",VLOOKUP($B34,Database!$B$1:$IX$10144,AN$22,FALSE)))</f>
        <v>14.285714285714285</v>
      </c>
      <c r="AO34" s="22">
        <f>IF(OR($B34="",AO$22=""),"",IF(LEN(VLOOKUP($B34,Database!$B$1:$IX$10144,AO$22,FALSE))=0,"",VLOOKUP($B34,Database!$B$1:$IX$10144,AO$22,FALSE)))</f>
        <v>57.142857142857139</v>
      </c>
      <c r="AP34" s="22">
        <f>IF(OR($B34="",AP$22=""),"",IF(LEN(VLOOKUP($B34,Database!$B$1:$IX$10144,AP$22,FALSE))=0,"",VLOOKUP($B34,Database!$B$1:$IX$10144,AP$22,FALSE)))</f>
        <v>25</v>
      </c>
      <c r="AQ34" s="22" t="str">
        <f>IF(OR($B34="",AQ$22=""),"",IF(LEN(VLOOKUP($B34,Database!$B$1:$IX$10144,AQ$22,FALSE))=0,"",VLOOKUP($B34,Database!$B$1:$IX$10144,AQ$22,FALSE)))</f>
        <v>Zanetti MV, Schaufelberger MS, de Castro CC, Menezes PR, Scazufca M, McGuire PK, Murray RM, Busatto GF.</v>
      </c>
      <c r="AR34" s="163"/>
      <c r="AU34" s="22"/>
      <c r="AX34" s="13"/>
      <c r="AY34" s="13"/>
      <c r="BA34" s="23"/>
      <c r="BD34" s="136"/>
      <c r="BE34" s="136"/>
      <c r="BF34" s="136"/>
      <c r="BG34" s="136"/>
    </row>
    <row r="35" spans="1:59">
      <c r="A35" s="4" t="s">
        <v>1090</v>
      </c>
      <c r="C35" s="1"/>
      <c r="D35" s="1"/>
      <c r="E35" s="22"/>
      <c r="F35" s="22"/>
      <c r="G35" s="1"/>
      <c r="H35" s="83"/>
      <c r="I35" s="22" t="str">
        <f>IF($B35="","",IF(LEN(VLOOKUP($B35,Database!$B$1:$IX$10144,8,FALSE))=0,"",VLOOKUP($B35,Database!$B$1:$IX$10144,8,FALSE)))</f>
        <v/>
      </c>
      <c r="R35" s="13"/>
      <c r="S35" s="13"/>
      <c r="U35" s="136"/>
      <c r="V35" s="136"/>
      <c r="Y35" s="22"/>
      <c r="Z35" s="22"/>
      <c r="AA35" s="22"/>
      <c r="AB35" s="22"/>
      <c r="AC35" s="22"/>
      <c r="AD35" s="22"/>
      <c r="AE35" s="22"/>
      <c r="AF35" s="22"/>
      <c r="AG35" s="22"/>
      <c r="AH35" s="22"/>
      <c r="AI35" s="22"/>
      <c r="AJ35" s="22"/>
      <c r="AK35" s="22"/>
      <c r="AL35" s="22"/>
      <c r="AM35" s="22"/>
      <c r="AN35" s="22"/>
      <c r="AO35" s="22"/>
      <c r="AP35" s="22"/>
      <c r="AQ35" s="22"/>
    </row>
    <row r="36" spans="1:59">
      <c r="A36" s="10" t="s">
        <v>2164</v>
      </c>
      <c r="B36">
        <v>16298109</v>
      </c>
      <c r="C36" s="1" t="str">
        <f>IF($B36="","",HYPERLINK(IF(LEN(VLOOKUP($B36,Database!$B$1:$IX$10144,2,FALSE))=0,"",VLOOKUP($B36,Database!$B$1:$IX$10144,2,FALSE))))</f>
        <v/>
      </c>
      <c r="D36" s="1" t="str">
        <f>IF($B36="","",HYPERLINK(CONCATENATE("http://www.ncbi.nlm.nih.gov/pubmed/",B36)))</f>
        <v>http://www.ncbi.nlm.nih.gov/pubmed/16298109</v>
      </c>
      <c r="E36" s="22" t="str">
        <f>IF($B36="","",IF(LEN(VLOOKUP($B36,Database!$B$1:$IX$10144,4,FALSE))=0,"",VLOOKUP($B36,Database!$B$1:$IX$10144,4,FALSE)))</f>
        <v>Iosifescu DV</v>
      </c>
      <c r="F36" s="22">
        <f>IF($B36="","",IF(LEN(VLOOKUP($B36,Database!$B$1:$IX$10144,5,FALSE))=0,"",VLOOKUP($B36,Database!$B$1:$IX$10144,5,FALSE)))</f>
        <v>2005</v>
      </c>
      <c r="G36" s="1" t="str">
        <f>IF($B36="","",HYPERLINK(IF(LEN(VLOOKUP($B36,Database!$B$1:$IX$10144,6,FALSE))=0,"",VLOOKUP($B36,Database!$B$1:$IX$10144,6,FALSE))))</f>
        <v>http://dx.doi.org/10.1016/j.pscychresns.2005.09.003</v>
      </c>
      <c r="H36" s="22">
        <f>IF($B36="","",IF(LEN(VLOOKUP($B36,Database!$B$1:$IX$10144,7,FALSE))=0,"",VLOOKUP($B36,Database!$B$1:$IX$10144,7,FALSE)))</f>
        <v>50</v>
      </c>
      <c r="I36" s="22">
        <f>IF($B36="","",IF(LEN(VLOOKUP($B36,Database!$B$1:$IX$10144,8,FALSE))=0,"",VLOOKUP($B36,Database!$B$1:$IX$10144,8,FALSE)))</f>
        <v>35</v>
      </c>
      <c r="J36" s="2" t="s">
        <v>21</v>
      </c>
      <c r="K36" t="s">
        <v>1983</v>
      </c>
      <c r="L36">
        <v>26</v>
      </c>
      <c r="M36">
        <v>24</v>
      </c>
      <c r="N36">
        <f>H36</f>
        <v>50</v>
      </c>
      <c r="O36">
        <v>15</v>
      </c>
      <c r="P36">
        <v>20</v>
      </c>
      <c r="Q36">
        <f>I36</f>
        <v>35</v>
      </c>
      <c r="R36" s="13">
        <f>L36+M36</f>
        <v>50</v>
      </c>
      <c r="S36" s="13">
        <f>P36+O36</f>
        <v>35</v>
      </c>
      <c r="U36" s="136">
        <f>100*L36/N36</f>
        <v>52</v>
      </c>
      <c r="V36" s="136">
        <f>100*O36/Q36</f>
        <v>42.857142857142854</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40.6</v>
      </c>
      <c r="AC36" s="22">
        <f>IF(OR($B36="",AC$22=""),"",IF(LEN(VLOOKUP($B36,Database!$B$1:$IX$10144,AC$22,FALSE))=0,"",VLOOKUP($B36,Database!$B$1:$IX$10144,AC$22,FALSE)))</f>
        <v>10.3</v>
      </c>
      <c r="AD36" s="22">
        <f>IF(OR($B36="",AD$22=""),"",IF(LEN(VLOOKUP($B36,Database!$B$1:$IX$10144,AD$22,FALSE))=0,"",VLOOKUP($B36,Database!$B$1:$IX$10144,AD$22,FALSE)))</f>
        <v>39.200000000000003</v>
      </c>
      <c r="AE36" s="22">
        <f>IF(OR($B36="",AE$22=""),"",IF(LEN(VLOOKUP($B36,Database!$B$1:$IX$10144,AE$22,FALSE))=0,"",VLOOKUP($B36,Database!$B$1:$IX$10144,AE$22,FALSE)))</f>
        <v>9.8000000000000007</v>
      </c>
      <c r="AF36" s="22">
        <f>IF(OR($B36="",AF$22=""),"",IF(LEN(VLOOKUP($B36,Database!$B$1:$IX$10144,AF$22,FALSE))=0,"",VLOOKUP($B36,Database!$B$1:$IX$10144,AF$22,FALSE)))</f>
        <v>17</v>
      </c>
      <c r="AG36" s="22">
        <f>IF(OR($B36="",AG$22=""),"",IF(LEN(VLOOKUP($B36,Database!$B$1:$IX$10144,AG$22,FALSE))=0,"",VLOOKUP($B36,Database!$B$1:$IX$10144,AG$22,FALSE)))</f>
        <v>14</v>
      </c>
      <c r="AH36" s="22">
        <f>IF(OR($B36="",AH$22=""),"",IF(LEN(VLOOKUP($B36,Database!$B$1:$IX$10144,AH$22,FALSE))=0,"",VLOOKUP($B36,Database!$B$1:$IX$10144,AH$22,FALSE)))</f>
        <v>1.5</v>
      </c>
      <c r="AI36" s="22">
        <f>IF(OR($B36="",AI$22=""),"",IF(LEN(VLOOKUP($B36,Database!$B$1:$IX$10144,AI$22,FALSE))=0,"",VLOOKUP($B36,Database!$B$1:$IX$10144,AI$22,FALSE)))</f>
        <v>5</v>
      </c>
      <c r="AJ36" s="22" t="str">
        <f>IF(OR($B36="",AJ$22=""),"",IF(LEN(VLOOKUP($B36,Database!$B$1:$IX$10144,AJ$22,FALSE))=0,"",VLOOKUP($B36,Database!$B$1:$IX$10144,AJ$22,FALSE)))</f>
        <v/>
      </c>
      <c r="AK36" s="22">
        <f>IF(OR($B36="",AK$22=""),"",IF(LEN(VLOOKUP($B36,Database!$B$1:$IX$10144,AK$22,FALSE))=0,"",VLOOKUP($B36,Database!$B$1:$IX$10144,AK$22,FALSE)))</f>
        <v>27.8</v>
      </c>
      <c r="AL36" s="22">
        <f>IF(OR($B36="",AL$22=""),"",IF(LEN(VLOOKUP($B36,Database!$B$1:$IX$10144,AL$22,FALSE))=0,"",VLOOKUP($B36,Database!$B$1:$IX$10144,AL$22,FALSE)))</f>
        <v>19.899999999999999</v>
      </c>
      <c r="AM36" s="22" t="str">
        <f>IF(OR($B36="",AM$22=""),"",IF(LEN(VLOOKUP($B36,Database!$B$1:$IX$10144,AM$22,FALSE))=0,"",VLOOKUP($B36,Database!$B$1:$IX$10144,AM$22,FALSE)))</f>
        <v>ns</v>
      </c>
      <c r="AN36" s="22" t="str">
        <f>IF(OR($B36="",AN$22=""),"",IF(LEN(VLOOKUP($B36,Database!$B$1:$IX$10144,AN$22,FALSE))=0,"",VLOOKUP($B36,Database!$B$1:$IX$10144,AN$22,FALSE)))</f>
        <v>ns</v>
      </c>
      <c r="AO36" s="22" t="str">
        <f>IF(OR($B36="",AO$22=""),"",IF(LEN(VLOOKUP($B36,Database!$B$1:$IX$10144,AO$22,FALSE))=0,"",VLOOKUP($B36,Database!$B$1:$IX$10144,AO$22,FALSE)))</f>
        <v>ns</v>
      </c>
      <c r="AP36" s="22">
        <f>IF(OR($B36="",AP$22=""),"",IF(LEN(VLOOKUP($B36,Database!$B$1:$IX$10144,AP$22,FALSE))=0,"",VLOOKUP($B36,Database!$B$1:$IX$10144,AP$22,FALSE)))</f>
        <v>100</v>
      </c>
      <c r="AQ36" s="22" t="str">
        <f>IF(OR($B36="",AQ$22=""),"",IF(LEN(VLOOKUP($B36,Database!$B$1:$IX$10144,AQ$22,FALSE))=0,"",VLOOKUP($B36,Database!$B$1:$IX$10144,AQ$22,FALSE)))</f>
        <v>Iosifescu DV, Papakostas GI, Lyoo IK, Lee HK, Renshaw PF, Alpert JE, Nierenberg A, Fava M.</v>
      </c>
      <c r="AS36" s="136"/>
      <c r="AT36" s="136"/>
    </row>
    <row r="37" spans="1:59">
      <c r="AF37" t="s">
        <v>602</v>
      </c>
      <c r="AJ37" t="s">
        <v>329</v>
      </c>
      <c r="AN37" t="s">
        <v>330</v>
      </c>
    </row>
    <row r="38" spans="1:59" ht="45" customHeight="1">
      <c r="E38" s="60" t="s">
        <v>617</v>
      </c>
      <c r="F38" s="60" t="s">
        <v>740</v>
      </c>
      <c r="G38" s="60" t="s">
        <v>244</v>
      </c>
      <c r="H38" s="60" t="s">
        <v>1208</v>
      </c>
      <c r="I38" s="60" t="s">
        <v>870</v>
      </c>
      <c r="J38" s="60" t="s">
        <v>871</v>
      </c>
      <c r="K38" s="60" t="s">
        <v>872</v>
      </c>
      <c r="L38" s="60" t="s">
        <v>873</v>
      </c>
      <c r="M38" s="60" t="s">
        <v>874</v>
      </c>
      <c r="N38" s="60" t="s">
        <v>875</v>
      </c>
      <c r="O38" s="60" t="s">
        <v>1016</v>
      </c>
      <c r="P38" s="61" t="s">
        <v>597</v>
      </c>
      <c r="Q38" s="61" t="s">
        <v>598</v>
      </c>
      <c r="R38" s="61" t="s">
        <v>599</v>
      </c>
      <c r="S38" s="61" t="s">
        <v>600</v>
      </c>
      <c r="T38" s="61" t="s">
        <v>601</v>
      </c>
      <c r="U38" s="61" t="s">
        <v>484</v>
      </c>
      <c r="V38" s="61" t="s">
        <v>485</v>
      </c>
      <c r="W38" s="61" t="s">
        <v>486</v>
      </c>
      <c r="AF38" s="61" t="s">
        <v>596</v>
      </c>
      <c r="AG38" s="62" t="s">
        <v>834</v>
      </c>
      <c r="AH38" s="62" t="s">
        <v>835</v>
      </c>
      <c r="AJ38" s="61" t="s">
        <v>836</v>
      </c>
      <c r="AK38" s="61" t="s">
        <v>837</v>
      </c>
      <c r="AL38" s="61" t="s">
        <v>487</v>
      </c>
      <c r="AN38" t="s">
        <v>488</v>
      </c>
      <c r="AO38" t="s">
        <v>489</v>
      </c>
      <c r="AP38" t="s">
        <v>490</v>
      </c>
      <c r="AQ38" t="s">
        <v>1008</v>
      </c>
      <c r="AR38" t="s">
        <v>1009</v>
      </c>
      <c r="AS38" t="s">
        <v>1010</v>
      </c>
      <c r="AT38" t="s">
        <v>1011</v>
      </c>
      <c r="AU38" t="s">
        <v>1012</v>
      </c>
      <c r="AV38" t="s">
        <v>1013</v>
      </c>
      <c r="AW38" t="s">
        <v>1014</v>
      </c>
      <c r="AX38" t="s">
        <v>1015</v>
      </c>
      <c r="AY38" t="s">
        <v>499</v>
      </c>
    </row>
    <row r="39" spans="1:59">
      <c r="E39" t="str">
        <f t="shared" ref="E39:F49" si="7">E24</f>
        <v>Coffey CE</v>
      </c>
      <c r="F39">
        <f t="shared" si="7"/>
        <v>1990</v>
      </c>
      <c r="G39">
        <v>11</v>
      </c>
      <c r="H39">
        <f t="shared" ref="H39:M41" si="8">L24</f>
        <v>20</v>
      </c>
      <c r="I39">
        <f t="shared" si="8"/>
        <v>15</v>
      </c>
      <c r="J39">
        <f t="shared" si="8"/>
        <v>35</v>
      </c>
      <c r="K39">
        <f t="shared" si="8"/>
        <v>5</v>
      </c>
      <c r="L39">
        <f t="shared" si="8"/>
        <v>17</v>
      </c>
      <c r="M39">
        <f t="shared" si="8"/>
        <v>22</v>
      </c>
      <c r="N39">
        <f>IF(OR(H39=0,I39=0,K39=0,L39=0),((H39+0.5)*(L39+0.5))/((I39+0.5)*(K39+0.5)),((H39)*(L39))/((I39)*(K39)))</f>
        <v>4.5333333333333332</v>
      </c>
      <c r="O39" s="59">
        <f t="shared" ref="O39:O49" si="9">LN(N39)</f>
        <v>1.5114575040738967</v>
      </c>
      <c r="P39" s="59">
        <f>IF(OR(H39=0,I39=0,K39=0,L39=0),(1/(H39+0.5))+(1/(I39+0.5))+(1/(K39+0.5))+(1/(L39+0.5)),(1/H39)+(1/I39)+(1/K39)+(1/L39))</f>
        <v>0.37549019607843137</v>
      </c>
      <c r="Q39" s="59">
        <f t="shared" ref="Q39:Q49" si="10">$R$66*SQRT(P39)</f>
        <v>1.2010341948732774</v>
      </c>
      <c r="R39" s="59">
        <f>1/P39</f>
        <v>2.6631853785900783</v>
      </c>
      <c r="S39" s="59">
        <f>O39*R39</f>
        <v>4.0252915252098553</v>
      </c>
      <c r="T39" s="59">
        <f>R39*(O39^2)</f>
        <v>6.0840570818634969</v>
      </c>
      <c r="U39" s="59">
        <f>R39^2</f>
        <v>7.0925563607359789</v>
      </c>
      <c r="V39" s="59">
        <f t="shared" ref="V39:V49" si="11">1/((1/R39)+$I$63)</f>
        <v>2.3347902706343464</v>
      </c>
      <c r="W39" s="59">
        <f>V39*O39</f>
        <v>3.528936274989007</v>
      </c>
      <c r="AF39" s="59">
        <f>IF($D$3=1,EXP(O39),O39)</f>
        <v>4.5333333333333332</v>
      </c>
      <c r="AG39" s="59">
        <f>IF($D$3=1,EXP(O39+Q39)-EXP(O39),Q39)</f>
        <v>10.533437305400355</v>
      </c>
      <c r="AH39" s="59">
        <f>IF($D$3=1,EXP(O39)-EXP(O39-Q39),Q39)</f>
        <v>3.169330946632213</v>
      </c>
      <c r="AJ39">
        <f>SQRT(P39)</f>
        <v>0.61277254840473339</v>
      </c>
      <c r="AK39">
        <f t="shared" ref="AK39:AK49" si="12">1/AJ39</f>
        <v>1.6319268913128673</v>
      </c>
      <c r="AL39">
        <f>O39/AJ39</f>
        <v>2.4665881459748196</v>
      </c>
      <c r="AN39" t="str">
        <f t="shared" ref="AN39:AO42" si="13">E39</f>
        <v>Coffey CE</v>
      </c>
      <c r="AO39">
        <f t="shared" si="13"/>
        <v>1990</v>
      </c>
      <c r="AP39" t="str">
        <f>CONCATENATE(AN39," ",AO39)</f>
        <v>Coffey CE 1990</v>
      </c>
      <c r="AQ39">
        <f t="shared" ref="AQ39:AV39" si="14">H39</f>
        <v>20</v>
      </c>
      <c r="AR39">
        <f t="shared" si="14"/>
        <v>15</v>
      </c>
      <c r="AS39">
        <f t="shared" si="14"/>
        <v>35</v>
      </c>
      <c r="AT39">
        <f t="shared" si="14"/>
        <v>5</v>
      </c>
      <c r="AU39">
        <f t="shared" si="14"/>
        <v>17</v>
      </c>
      <c r="AV39">
        <f t="shared" si="14"/>
        <v>22</v>
      </c>
      <c r="AW39" s="65">
        <f>O39</f>
        <v>1.5114575040738967</v>
      </c>
      <c r="AX39">
        <f>SQRT(P39)</f>
        <v>0.61277254840473339</v>
      </c>
      <c r="AY39" t="str">
        <f>$F$3</f>
        <v>Odds ratio</v>
      </c>
    </row>
    <row r="40" spans="1:59">
      <c r="E40" t="str">
        <f t="shared" si="7"/>
        <v>Brown FW</v>
      </c>
      <c r="F40">
        <f t="shared" si="7"/>
        <v>1992</v>
      </c>
      <c r="G40">
        <v>10</v>
      </c>
      <c r="H40">
        <f t="shared" si="8"/>
        <v>1</v>
      </c>
      <c r="I40">
        <f t="shared" si="8"/>
        <v>27</v>
      </c>
      <c r="J40">
        <f t="shared" si="8"/>
        <v>28</v>
      </c>
      <c r="K40">
        <f t="shared" si="8"/>
        <v>6</v>
      </c>
      <c r="L40">
        <f t="shared" si="8"/>
        <v>148</v>
      </c>
      <c r="M40">
        <f t="shared" si="8"/>
        <v>154</v>
      </c>
      <c r="N40">
        <f>IF(OR(H40=0,I40=0,K40=0,L40=0),((H40+0.5)*(L40+0.5))/((I40+0.5)*(K40+0.5)),((H40)*(L40))/((I40)*(K40)))</f>
        <v>0.9135802469135802</v>
      </c>
      <c r="O40" s="59">
        <f t="shared" si="9"/>
        <v>-9.0384061468269064E-2</v>
      </c>
      <c r="P40" s="59">
        <f>IF(OR(H40=0,I40=0,K40=0,L40=0),(1/(H40+0.5))+(1/(I40+0.5))+(1/(K40+0.5))+(1/(L40+0.5)),(1/H40)+(1/I40)+(1/K40)+(1/L40))</f>
        <v>1.2104604604604605</v>
      </c>
      <c r="Q40" s="59">
        <f t="shared" si="10"/>
        <v>2.1564101893899741</v>
      </c>
      <c r="R40" s="59">
        <f>1/P40</f>
        <v>0.82613189993797809</v>
      </c>
      <c r="S40" s="59">
        <f>O40*R40</f>
        <v>-7.4669156424892122E-2</v>
      </c>
      <c r="T40" s="59">
        <f>R40*(O40^2)</f>
        <v>6.7489016240912473E-3</v>
      </c>
      <c r="U40" s="59">
        <f>R40^2</f>
        <v>0.68249391609513343</v>
      </c>
      <c r="V40" s="59">
        <f t="shared" si="11"/>
        <v>0.79159374356660961</v>
      </c>
      <c r="W40" s="59">
        <f>V40*O40</f>
        <v>-7.1547457576421655E-2</v>
      </c>
      <c r="AF40" s="59">
        <f>IF($D$3=1,EXP(O40),O40)</f>
        <v>0.9135802469135802</v>
      </c>
      <c r="AG40" s="59">
        <f>IF($D$3=1,EXP(O40+Q40)-EXP(O40),Q40)</f>
        <v>6.9798131278722932</v>
      </c>
      <c r="AH40" s="59">
        <f>IF($D$3=1,EXP(O40)-EXP(O40-Q40),Q40)</f>
        <v>0.80784259671401448</v>
      </c>
      <c r="AJ40">
        <f>SQRT(P40)</f>
        <v>1.1002092803010073</v>
      </c>
      <c r="AK40">
        <f t="shared" si="12"/>
        <v>0.90891798306446669</v>
      </c>
      <c r="AL40">
        <f>O40/AJ40</f>
        <v>-8.215169885091389E-2</v>
      </c>
      <c r="AN40" t="str">
        <f t="shared" si="13"/>
        <v>Brown FW</v>
      </c>
      <c r="AO40">
        <f t="shared" si="13"/>
        <v>1992</v>
      </c>
      <c r="AP40" t="str">
        <f>CONCATENATE(AN40," ",AO40)</f>
        <v>Brown FW 1992</v>
      </c>
      <c r="AQ40">
        <f t="shared" ref="AQ40:AQ49" si="15">H40</f>
        <v>1</v>
      </c>
      <c r="AR40">
        <f t="shared" ref="AR40:AR49" si="16">I40</f>
        <v>27</v>
      </c>
      <c r="AS40">
        <f t="shared" ref="AS40:AS49" si="17">J40</f>
        <v>28</v>
      </c>
      <c r="AT40">
        <f t="shared" ref="AT40:AT49" si="18">K40</f>
        <v>6</v>
      </c>
      <c r="AU40">
        <f t="shared" ref="AU40:AU49" si="19">L40</f>
        <v>148</v>
      </c>
      <c r="AV40">
        <f t="shared" ref="AV40:AV49" si="20">M40</f>
        <v>154</v>
      </c>
      <c r="AW40" s="65">
        <f>O40</f>
        <v>-9.0384061468269064E-2</v>
      </c>
      <c r="AX40">
        <f>SQRT(P40)</f>
        <v>1.1002092803010073</v>
      </c>
      <c r="AY40" t="str">
        <f>$F$4</f>
        <v>Total</v>
      </c>
    </row>
    <row r="41" spans="1:59">
      <c r="E41" t="str">
        <f t="shared" si="7"/>
        <v>Miller DS</v>
      </c>
      <c r="F41">
        <f t="shared" si="7"/>
        <v>1994</v>
      </c>
      <c r="G41">
        <v>9</v>
      </c>
      <c r="H41">
        <f t="shared" si="8"/>
        <v>3</v>
      </c>
      <c r="I41">
        <f t="shared" si="8"/>
        <v>16</v>
      </c>
      <c r="J41">
        <f t="shared" si="8"/>
        <v>19</v>
      </c>
      <c r="K41">
        <f t="shared" si="8"/>
        <v>4</v>
      </c>
      <c r="L41">
        <f t="shared" si="8"/>
        <v>19</v>
      </c>
      <c r="M41">
        <f t="shared" si="8"/>
        <v>23</v>
      </c>
      <c r="N41">
        <f>IF(OR(H41=0,I41=0,K41=0,L41=0),((H41+0.5)*(L41+0.5))/((I41+0.5)*(K41+0.5)),((H41)*(L41))/((I41)*(K41)))</f>
        <v>0.890625</v>
      </c>
      <c r="O41" s="59">
        <f t="shared" si="9"/>
        <v>-0.1158318155251217</v>
      </c>
      <c r="P41" s="59">
        <f>IF(OR(H41=0,I41=0,K41=0,L41=0),(1/(H41+0.5))+(1/(I41+0.5))+(1/(K41+0.5))+(1/(L41+0.5)),(1/H41)+(1/I41)+(1/K41)+(1/L41))</f>
        <v>0.69846491228070162</v>
      </c>
      <c r="Q41" s="59">
        <f t="shared" si="10"/>
        <v>1.6380545799873529</v>
      </c>
      <c r="R41" s="59">
        <f>1/P41</f>
        <v>1.4317111459968606</v>
      </c>
      <c r="S41" s="59">
        <f>O41*R41</f>
        <v>-0.16583770134836892</v>
      </c>
      <c r="T41" s="59">
        <f>R41*(O41^2)</f>
        <v>1.9209282029694498E-2</v>
      </c>
      <c r="U41" s="59">
        <f>R41^2</f>
        <v>2.0497968055716438</v>
      </c>
      <c r="V41" s="59">
        <f t="shared" si="11"/>
        <v>1.3310639384784906</v>
      </c>
      <c r="W41" s="59">
        <f>V41*O41</f>
        <v>-0.15417955257398247</v>
      </c>
      <c r="AF41" s="59">
        <f>IF($D$3=1,EXP(O41),O41)</f>
        <v>0.890625</v>
      </c>
      <c r="AG41" s="59">
        <f>IF($D$3=1,EXP(O41+Q41)-EXP(O41),Q41)</f>
        <v>3.691774478147595</v>
      </c>
      <c r="AH41" s="59">
        <f>IF($D$3=1,EXP(O41)-EXP(O41-Q41),Q41)</f>
        <v>0.71752510017510496</v>
      </c>
      <c r="AJ41">
        <f>SQRT(P41)</f>
        <v>0.83574213264660868</v>
      </c>
      <c r="AK41">
        <f t="shared" si="12"/>
        <v>1.1965413264893363</v>
      </c>
      <c r="AL41">
        <f>O41/AJ41</f>
        <v>-0.13859755419809722</v>
      </c>
      <c r="AN41" t="str">
        <f t="shared" si="13"/>
        <v>Miller DS</v>
      </c>
      <c r="AO41">
        <f t="shared" si="13"/>
        <v>1994</v>
      </c>
      <c r="AP41" t="str">
        <f>CONCATENATE(AN41," ",AO41)</f>
        <v>Miller DS 1994</v>
      </c>
      <c r="AQ41">
        <f t="shared" si="15"/>
        <v>3</v>
      </c>
      <c r="AR41">
        <f t="shared" si="16"/>
        <v>16</v>
      </c>
      <c r="AS41">
        <f t="shared" si="17"/>
        <v>19</v>
      </c>
      <c r="AT41">
        <f t="shared" si="18"/>
        <v>4</v>
      </c>
      <c r="AU41">
        <f t="shared" si="19"/>
        <v>19</v>
      </c>
      <c r="AV41">
        <f t="shared" si="20"/>
        <v>23</v>
      </c>
      <c r="AW41" s="65">
        <f>O41</f>
        <v>-0.1158318155251217</v>
      </c>
      <c r="AX41">
        <f>SQRT(P41)</f>
        <v>0.83574213264660868</v>
      </c>
    </row>
    <row r="42" spans="1:59">
      <c r="E42" t="str">
        <f t="shared" si="7"/>
        <v>Kramer-Ginsberg E</v>
      </c>
      <c r="F42">
        <f t="shared" si="7"/>
        <v>1999</v>
      </c>
      <c r="G42">
        <v>8</v>
      </c>
      <c r="H42">
        <f t="shared" ref="H42:M48" si="21">L27</f>
        <v>39</v>
      </c>
      <c r="I42">
        <f t="shared" si="21"/>
        <v>2</v>
      </c>
      <c r="J42">
        <f t="shared" si="21"/>
        <v>41</v>
      </c>
      <c r="K42">
        <f t="shared" si="21"/>
        <v>35</v>
      </c>
      <c r="L42">
        <f t="shared" si="21"/>
        <v>3</v>
      </c>
      <c r="M42">
        <f t="shared" si="21"/>
        <v>38</v>
      </c>
      <c r="N42">
        <f>IF(OR(H42=0,I42=0,K42=0,L42=0),((H42+0.5)*(L42+0.5))/((I42+0.5)*(K42+0.5)),((H42)*(L42))/((I42)*(K42)))</f>
        <v>1.6714285714285715</v>
      </c>
      <c r="O42" s="59">
        <f t="shared" si="9"/>
        <v>0.51367869274839717</v>
      </c>
      <c r="P42" s="59">
        <f>IF(OR(H42=0,I42=0,K42=0,L42=0),(1/(H42+0.5))+(1/(I42+0.5))+(1/(K42+0.5))+(1/(L42+0.5)),(1/H42)+(1/I42)+(1/K42)+(1/L42))</f>
        <v>0.8875457875457875</v>
      </c>
      <c r="Q42" s="59">
        <f t="shared" si="10"/>
        <v>1.8465091111164054</v>
      </c>
      <c r="R42" s="59">
        <f>1/P42</f>
        <v>1.1267024349979364</v>
      </c>
      <c r="S42" s="59">
        <f>O42*R42</f>
        <v>0.5787630339261759</v>
      </c>
      <c r="T42" s="59">
        <f>R42*(O42^2)</f>
        <v>0.2972982386782943</v>
      </c>
      <c r="U42" s="59">
        <f>R42^2</f>
        <v>1.2694583770302792</v>
      </c>
      <c r="V42" s="59">
        <f t="shared" si="11"/>
        <v>1.0634229868797327</v>
      </c>
      <c r="W42" s="59">
        <f>V42*O42</f>
        <v>0.54625772973897702</v>
      </c>
      <c r="AF42" s="59">
        <f>IF($D$3=1,EXP(O42),O42)</f>
        <v>1.6714285714285715</v>
      </c>
      <c r="AG42" s="59">
        <f>IF($D$3=1,EXP(O42+Q42)-EXP(O42),Q42)</f>
        <v>8.9215120894045796</v>
      </c>
      <c r="AH42" s="59">
        <f>IF($D$3=1,EXP(O42)-EXP(O42-Q42),Q42)</f>
        <v>1.4076988330267302</v>
      </c>
      <c r="AJ42">
        <f>SQRT(P42)</f>
        <v>0.94209648526347212</v>
      </c>
      <c r="AK42">
        <f t="shared" si="12"/>
        <v>1.0614624039493517</v>
      </c>
      <c r="AL42">
        <f>O42/AJ42</f>
        <v>0.54525062006227398</v>
      </c>
      <c r="AN42" t="str">
        <f t="shared" si="13"/>
        <v>Kramer-Ginsberg E</v>
      </c>
      <c r="AO42">
        <f t="shared" si="13"/>
        <v>1999</v>
      </c>
      <c r="AP42" t="str">
        <f>CONCATENATE(AN42," ",AO42)</f>
        <v>Kramer-Ginsberg E 1999</v>
      </c>
      <c r="AQ42">
        <f t="shared" si="15"/>
        <v>39</v>
      </c>
      <c r="AR42">
        <f t="shared" si="16"/>
        <v>2</v>
      </c>
      <c r="AS42">
        <f t="shared" si="17"/>
        <v>41</v>
      </c>
      <c r="AT42">
        <f t="shared" si="18"/>
        <v>35</v>
      </c>
      <c r="AU42">
        <f t="shared" si="19"/>
        <v>3</v>
      </c>
      <c r="AV42">
        <f t="shared" si="20"/>
        <v>38</v>
      </c>
      <c r="AW42" s="65">
        <f>O42</f>
        <v>0.51367869274839717</v>
      </c>
      <c r="AX42">
        <f>SQRT(P42)</f>
        <v>0.94209648526347212</v>
      </c>
    </row>
    <row r="43" spans="1:59">
      <c r="E43" t="str">
        <f t="shared" si="7"/>
        <v>Novaretti TM</v>
      </c>
      <c r="F43">
        <f t="shared" si="7"/>
        <v>2001</v>
      </c>
      <c r="G43">
        <v>7</v>
      </c>
      <c r="H43">
        <f t="shared" si="21"/>
        <v>29</v>
      </c>
      <c r="I43">
        <f t="shared" si="21"/>
        <v>1</v>
      </c>
      <c r="J43">
        <f t="shared" si="21"/>
        <v>30</v>
      </c>
      <c r="K43">
        <f t="shared" si="21"/>
        <v>17</v>
      </c>
      <c r="L43">
        <f t="shared" si="21"/>
        <v>3</v>
      </c>
      <c r="M43">
        <f t="shared" si="21"/>
        <v>20</v>
      </c>
      <c r="N43">
        <f t="shared" ref="N43:N48" si="22">IF(OR(H43=0,I43=0,K43=0,L43=0),((H43+0.5)*(L43+0.5))/((I43+0.5)*(K43+0.5)),((H43)*(L43))/((I43)*(K43)))</f>
        <v>5.117647058823529</v>
      </c>
      <c r="O43" s="59">
        <f t="shared" si="9"/>
        <v>1.6326947745983675</v>
      </c>
      <c r="P43" s="59">
        <f t="shared" ref="P43:P48" si="23">IF(OR(H43=0,I43=0,K43=0,L43=0),(1/(H43+0.5))+(1/(I43+0.5))+(1/(K43+0.5))+(1/(L43+0.5)),(1/H43)+(1/I43)+(1/K43)+(1/L43))</f>
        <v>1.4266396213657877</v>
      </c>
      <c r="Q43" s="59">
        <f t="shared" si="10"/>
        <v>2.3410635979056207</v>
      </c>
      <c r="R43" s="59">
        <f t="shared" ref="R43:R48" si="24">1/P43</f>
        <v>0.70094786729857816</v>
      </c>
      <c r="S43" s="59">
        <f t="shared" ref="S43:S48" si="25">O43*R43</f>
        <v>1.1444339202042586</v>
      </c>
      <c r="T43" s="59">
        <f t="shared" ref="T43:T48" si="26">R43*(O43^2)</f>
        <v>1.868511281390618</v>
      </c>
      <c r="U43" s="59">
        <f t="shared" ref="U43:U48" si="27">R43^2</f>
        <v>0.49132791267042514</v>
      </c>
      <c r="V43" s="59">
        <f t="shared" si="11"/>
        <v>0.67592530214402935</v>
      </c>
      <c r="W43" s="59">
        <f t="shared" ref="W43:W48" si="28">V43*O43</f>
        <v>1.1035797088293795</v>
      </c>
      <c r="AF43" s="59">
        <f t="shared" ref="AF43:AF48" si="29">IF($D$3=1,EXP(O43),O43)</f>
        <v>5.117647058823529</v>
      </c>
      <c r="AG43" s="59">
        <f t="shared" ref="AG43:AG48" si="30">IF($D$3=1,EXP(O43+Q43)-EXP(O43),Q43)</f>
        <v>48.06639406683751</v>
      </c>
      <c r="AH43" s="59">
        <f t="shared" ref="AH43:AH48" si="31">IF($D$3=1,EXP(O43)-EXP(O43-Q43),Q43)</f>
        <v>4.6252002483827104</v>
      </c>
      <c r="AJ43">
        <f t="shared" ref="AJ43:AJ48" si="32">SQRT(P43)</f>
        <v>1.1944202030130717</v>
      </c>
      <c r="AK43">
        <f t="shared" si="12"/>
        <v>0.83722629396034753</v>
      </c>
      <c r="AL43">
        <f t="shared" ref="AL43:AL48" si="33">O43/AJ43</f>
        <v>1.3669349953054162</v>
      </c>
      <c r="AN43" t="str">
        <f t="shared" ref="AN43:AN48" si="34">E43</f>
        <v>Novaretti TM</v>
      </c>
      <c r="AO43">
        <f t="shared" ref="AO43:AO48" si="35">F43</f>
        <v>2001</v>
      </c>
      <c r="AP43" t="str">
        <f t="shared" ref="AP43:AP48" si="36">CONCATENATE(AN43," ",AO43)</f>
        <v>Novaretti TM 2001</v>
      </c>
      <c r="AQ43">
        <f t="shared" si="15"/>
        <v>29</v>
      </c>
      <c r="AR43">
        <f t="shared" si="16"/>
        <v>1</v>
      </c>
      <c r="AS43">
        <f t="shared" si="17"/>
        <v>30</v>
      </c>
      <c r="AT43">
        <f t="shared" si="18"/>
        <v>17</v>
      </c>
      <c r="AU43">
        <f t="shared" si="19"/>
        <v>3</v>
      </c>
      <c r="AV43">
        <f t="shared" si="20"/>
        <v>20</v>
      </c>
      <c r="AW43" s="65">
        <f t="shared" ref="AW43:AW48" si="37">O43</f>
        <v>1.6326947745983675</v>
      </c>
      <c r="AX43">
        <f t="shared" ref="AX43:AX48" si="38">SQRT(P43)</f>
        <v>1.1944202030130717</v>
      </c>
    </row>
    <row r="44" spans="1:59">
      <c r="E44" t="str">
        <f t="shared" si="7"/>
        <v>Tupler LA</v>
      </c>
      <c r="F44">
        <f t="shared" si="7"/>
        <v>2002</v>
      </c>
      <c r="G44">
        <v>6</v>
      </c>
      <c r="H44">
        <f t="shared" si="21"/>
        <v>113</v>
      </c>
      <c r="I44">
        <f t="shared" si="21"/>
        <v>2</v>
      </c>
      <c r="J44">
        <f t="shared" si="21"/>
        <v>115</v>
      </c>
      <c r="K44">
        <f t="shared" si="21"/>
        <v>37</v>
      </c>
      <c r="L44">
        <f t="shared" si="21"/>
        <v>0</v>
      </c>
      <c r="M44">
        <f t="shared" si="21"/>
        <v>37</v>
      </c>
      <c r="N44">
        <f t="shared" si="22"/>
        <v>0.60533333333333328</v>
      </c>
      <c r="O44" s="59">
        <f t="shared" si="9"/>
        <v>-0.50197600848900825</v>
      </c>
      <c r="P44" s="59">
        <f t="shared" si="23"/>
        <v>2.4354772393538915</v>
      </c>
      <c r="Q44" s="59">
        <f t="shared" si="10"/>
        <v>3.0587790640551189</v>
      </c>
      <c r="R44" s="59">
        <f t="shared" si="24"/>
        <v>0.41059714451090101</v>
      </c>
      <c r="S44" s="59">
        <f t="shared" si="25"/>
        <v>-0.2061099156985666</v>
      </c>
      <c r="T44" s="59">
        <f t="shared" si="26"/>
        <v>0.10346223279237245</v>
      </c>
      <c r="U44" s="59">
        <f t="shared" si="27"/>
        <v>0.16859001508050572</v>
      </c>
      <c r="V44" s="59">
        <f t="shared" si="11"/>
        <v>0.40188224957876412</v>
      </c>
      <c r="W44" s="59">
        <f t="shared" si="28"/>
        <v>-0.20173524752613142</v>
      </c>
      <c r="AF44" s="59">
        <f t="shared" si="29"/>
        <v>0.60533333333333328</v>
      </c>
      <c r="AG44" s="59">
        <f t="shared" si="30"/>
        <v>12.289194927617704</v>
      </c>
      <c r="AH44" s="59">
        <f t="shared" si="31"/>
        <v>0.57691597388993954</v>
      </c>
      <c r="AJ44">
        <f t="shared" si="32"/>
        <v>1.560601563293428</v>
      </c>
      <c r="AK44">
        <f t="shared" si="12"/>
        <v>0.64077854560752967</v>
      </c>
      <c r="AL44">
        <f t="shared" si="33"/>
        <v>-0.32165545664945966</v>
      </c>
      <c r="AN44" t="str">
        <f t="shared" si="34"/>
        <v>Tupler LA</v>
      </c>
      <c r="AO44">
        <f t="shared" si="35"/>
        <v>2002</v>
      </c>
      <c r="AP44" t="str">
        <f t="shared" si="36"/>
        <v>Tupler LA 2002</v>
      </c>
      <c r="AQ44">
        <f t="shared" si="15"/>
        <v>113</v>
      </c>
      <c r="AR44">
        <f t="shared" si="16"/>
        <v>2</v>
      </c>
      <c r="AS44">
        <f t="shared" si="17"/>
        <v>115</v>
      </c>
      <c r="AT44">
        <f t="shared" si="18"/>
        <v>37</v>
      </c>
      <c r="AU44">
        <f t="shared" si="19"/>
        <v>0</v>
      </c>
      <c r="AV44">
        <f t="shared" si="20"/>
        <v>37</v>
      </c>
      <c r="AW44" s="65">
        <f t="shared" si="37"/>
        <v>-0.50197600848900825</v>
      </c>
      <c r="AX44">
        <f t="shared" si="38"/>
        <v>1.560601563293428</v>
      </c>
    </row>
    <row r="45" spans="1:59">
      <c r="E45" t="str">
        <f t="shared" si="7"/>
        <v>Sassi RB</v>
      </c>
      <c r="F45">
        <f t="shared" si="7"/>
        <v>2003</v>
      </c>
      <c r="G45">
        <v>5</v>
      </c>
      <c r="H45">
        <f t="shared" si="21"/>
        <v>6</v>
      </c>
      <c r="I45">
        <f t="shared" si="21"/>
        <v>11</v>
      </c>
      <c r="J45">
        <f t="shared" si="21"/>
        <v>18</v>
      </c>
      <c r="K45">
        <f t="shared" si="21"/>
        <v>21</v>
      </c>
      <c r="L45">
        <f t="shared" si="21"/>
        <v>17</v>
      </c>
      <c r="M45">
        <f t="shared" si="21"/>
        <v>38</v>
      </c>
      <c r="N45">
        <f t="shared" si="22"/>
        <v>0.44155844155844154</v>
      </c>
      <c r="O45" s="59">
        <f t="shared" si="9"/>
        <v>-0.81744489723752245</v>
      </c>
      <c r="P45" s="59">
        <f t="shared" si="23"/>
        <v>0.3640183346065699</v>
      </c>
      <c r="Q45" s="59">
        <f t="shared" si="10"/>
        <v>1.1825450664666437</v>
      </c>
      <c r="R45" s="59">
        <f t="shared" si="24"/>
        <v>2.7471143756558236</v>
      </c>
      <c r="S45" s="59">
        <f t="shared" si="25"/>
        <v>-2.2456146285076954</v>
      </c>
      <c r="T45" s="59">
        <f t="shared" si="26"/>
        <v>1.8356662192355502</v>
      </c>
      <c r="U45" s="59">
        <f t="shared" si="27"/>
        <v>7.546637392934886</v>
      </c>
      <c r="V45" s="59">
        <f t="shared" si="11"/>
        <v>2.3990472902044626</v>
      </c>
      <c r="W45" s="59">
        <f t="shared" si="28"/>
        <v>-1.9610889656091437</v>
      </c>
      <c r="AF45" s="59">
        <f t="shared" si="29"/>
        <v>0.44155844155844154</v>
      </c>
      <c r="AG45" s="59">
        <f t="shared" si="30"/>
        <v>0.99909986899572001</v>
      </c>
      <c r="AH45" s="59">
        <f t="shared" si="31"/>
        <v>0.30622180005007349</v>
      </c>
      <c r="AJ45">
        <f t="shared" si="32"/>
        <v>0.60333931962583864</v>
      </c>
      <c r="AK45">
        <f t="shared" si="12"/>
        <v>1.6574421183425452</v>
      </c>
      <c r="AL45">
        <f t="shared" si="33"/>
        <v>-1.3548676021056634</v>
      </c>
      <c r="AN45" t="str">
        <f t="shared" si="34"/>
        <v>Sassi RB</v>
      </c>
      <c r="AO45">
        <f t="shared" si="35"/>
        <v>2003</v>
      </c>
      <c r="AP45" t="str">
        <f t="shared" si="36"/>
        <v>Sassi RB 2003</v>
      </c>
      <c r="AQ45">
        <f t="shared" si="15"/>
        <v>6</v>
      </c>
      <c r="AR45">
        <f t="shared" si="16"/>
        <v>11</v>
      </c>
      <c r="AS45">
        <f t="shared" si="17"/>
        <v>18</v>
      </c>
      <c r="AT45">
        <f t="shared" si="18"/>
        <v>21</v>
      </c>
      <c r="AU45">
        <f t="shared" si="19"/>
        <v>17</v>
      </c>
      <c r="AV45">
        <f t="shared" si="20"/>
        <v>38</v>
      </c>
      <c r="AW45" s="65">
        <f t="shared" si="37"/>
        <v>-0.81744489723752245</v>
      </c>
      <c r="AX45">
        <f t="shared" si="38"/>
        <v>0.60333931962583864</v>
      </c>
    </row>
    <row r="46" spans="1:59">
      <c r="E46" t="str">
        <f t="shared" si="7"/>
        <v>Silverstone T</v>
      </c>
      <c r="F46">
        <f t="shared" si="7"/>
        <v>2003</v>
      </c>
      <c r="G46">
        <v>4</v>
      </c>
      <c r="H46">
        <f t="shared" si="21"/>
        <v>5</v>
      </c>
      <c r="I46">
        <f t="shared" si="21"/>
        <v>6</v>
      </c>
      <c r="J46">
        <f t="shared" si="21"/>
        <v>11</v>
      </c>
      <c r="K46">
        <f t="shared" si="21"/>
        <v>8</v>
      </c>
      <c r="L46">
        <f t="shared" si="21"/>
        <v>11</v>
      </c>
      <c r="M46">
        <f t="shared" si="21"/>
        <v>19</v>
      </c>
      <c r="N46">
        <f t="shared" si="22"/>
        <v>1.1458333333333333</v>
      </c>
      <c r="O46" s="59">
        <f t="shared" si="9"/>
        <v>0.13613217432457991</v>
      </c>
      <c r="P46" s="59">
        <f t="shared" si="23"/>
        <v>0.58257575757575764</v>
      </c>
      <c r="Q46" s="59">
        <f t="shared" si="10"/>
        <v>1.4960023496983654</v>
      </c>
      <c r="R46" s="59">
        <f t="shared" si="24"/>
        <v>1.7165149544863458</v>
      </c>
      <c r="S46" s="59">
        <f t="shared" si="25"/>
        <v>0.23367291301488358</v>
      </c>
      <c r="T46" s="59">
        <f t="shared" si="26"/>
        <v>3.1810401729474531E-2</v>
      </c>
      <c r="U46" s="59">
        <f t="shared" si="27"/>
        <v>2.9464235889752621</v>
      </c>
      <c r="V46" s="59">
        <f t="shared" si="11"/>
        <v>1.5738376403007817</v>
      </c>
      <c r="W46" s="59">
        <f t="shared" si="28"/>
        <v>0.21424994000801151</v>
      </c>
      <c r="AF46" s="59">
        <f t="shared" si="29"/>
        <v>1.1458333333333333</v>
      </c>
      <c r="AG46" s="59">
        <f t="shared" si="30"/>
        <v>3.9689473637960502</v>
      </c>
      <c r="AH46" s="59">
        <f t="shared" si="31"/>
        <v>0.88913923332731581</v>
      </c>
      <c r="AJ46">
        <f t="shared" si="32"/>
        <v>0.76326650494814563</v>
      </c>
      <c r="AK46">
        <f t="shared" si="12"/>
        <v>1.3101583700020185</v>
      </c>
      <c r="AL46">
        <f t="shared" si="33"/>
        <v>0.17835470761792224</v>
      </c>
      <c r="AN46" t="str">
        <f t="shared" si="34"/>
        <v>Silverstone T</v>
      </c>
      <c r="AO46">
        <f t="shared" si="35"/>
        <v>2003</v>
      </c>
      <c r="AP46" t="str">
        <f t="shared" si="36"/>
        <v>Silverstone T 2003</v>
      </c>
      <c r="AQ46">
        <f t="shared" si="15"/>
        <v>5</v>
      </c>
      <c r="AR46">
        <f t="shared" si="16"/>
        <v>6</v>
      </c>
      <c r="AS46">
        <f t="shared" si="17"/>
        <v>11</v>
      </c>
      <c r="AT46">
        <f t="shared" si="18"/>
        <v>8</v>
      </c>
      <c r="AU46">
        <f t="shared" si="19"/>
        <v>11</v>
      </c>
      <c r="AV46">
        <f t="shared" si="20"/>
        <v>19</v>
      </c>
      <c r="AW46" s="65">
        <f t="shared" si="37"/>
        <v>0.13613217432457991</v>
      </c>
      <c r="AX46">
        <f t="shared" si="38"/>
        <v>0.76326650494814563</v>
      </c>
    </row>
    <row r="47" spans="1:59">
      <c r="E47" t="str">
        <f t="shared" si="7"/>
        <v>Supprian T</v>
      </c>
      <c r="F47">
        <f t="shared" si="7"/>
        <v>2004</v>
      </c>
      <c r="G47">
        <v>3</v>
      </c>
      <c r="H47">
        <f t="shared" si="21"/>
        <v>6</v>
      </c>
      <c r="I47">
        <f t="shared" si="21"/>
        <v>4</v>
      </c>
      <c r="J47">
        <f t="shared" si="21"/>
        <v>10</v>
      </c>
      <c r="K47">
        <f t="shared" si="21"/>
        <v>5</v>
      </c>
      <c r="L47">
        <f t="shared" si="21"/>
        <v>5</v>
      </c>
      <c r="M47">
        <f t="shared" si="21"/>
        <v>10</v>
      </c>
      <c r="N47">
        <f t="shared" si="22"/>
        <v>1.5</v>
      </c>
      <c r="O47" s="59">
        <f t="shared" si="9"/>
        <v>0.40546510810816438</v>
      </c>
      <c r="P47" s="59">
        <f t="shared" si="23"/>
        <v>0.81666666666666665</v>
      </c>
      <c r="Q47" s="59">
        <f t="shared" si="10"/>
        <v>1.7712443836655252</v>
      </c>
      <c r="R47" s="59">
        <f t="shared" si="24"/>
        <v>1.2244897959183674</v>
      </c>
      <c r="S47" s="59">
        <f t="shared" si="25"/>
        <v>0.49648788747938499</v>
      </c>
      <c r="T47" s="59">
        <f t="shared" si="26"/>
        <v>0.20130851497122296</v>
      </c>
      <c r="U47" s="59">
        <f t="shared" si="27"/>
        <v>1.4993752603082049</v>
      </c>
      <c r="V47" s="59">
        <f t="shared" si="11"/>
        <v>1.1501120954113841</v>
      </c>
      <c r="W47" s="59">
        <f t="shared" si="28"/>
        <v>0.46633032510248434</v>
      </c>
      <c r="AF47" s="59">
        <f t="shared" si="29"/>
        <v>1.5</v>
      </c>
      <c r="AG47" s="59">
        <f t="shared" si="30"/>
        <v>7.317245254162744</v>
      </c>
      <c r="AH47" s="59">
        <f t="shared" si="31"/>
        <v>1.2448182584081187</v>
      </c>
      <c r="AJ47">
        <f t="shared" si="32"/>
        <v>0.9036961141150639</v>
      </c>
      <c r="AK47">
        <f t="shared" si="12"/>
        <v>1.1065666703449764</v>
      </c>
      <c r="AL47">
        <f t="shared" si="33"/>
        <v>0.44867417462031733</v>
      </c>
      <c r="AN47" t="str">
        <f t="shared" si="34"/>
        <v>Supprian T</v>
      </c>
      <c r="AO47">
        <f t="shared" si="35"/>
        <v>2004</v>
      </c>
      <c r="AP47" t="str">
        <f t="shared" si="36"/>
        <v>Supprian T 2004</v>
      </c>
      <c r="AQ47">
        <f t="shared" si="15"/>
        <v>6</v>
      </c>
      <c r="AR47">
        <f t="shared" si="16"/>
        <v>4</v>
      </c>
      <c r="AS47">
        <f t="shared" si="17"/>
        <v>10</v>
      </c>
      <c r="AT47">
        <f t="shared" si="18"/>
        <v>5</v>
      </c>
      <c r="AU47">
        <f t="shared" si="19"/>
        <v>5</v>
      </c>
      <c r="AV47">
        <f t="shared" si="20"/>
        <v>10</v>
      </c>
      <c r="AW47" s="65">
        <f t="shared" si="37"/>
        <v>0.40546510810816438</v>
      </c>
      <c r="AX47">
        <f t="shared" si="38"/>
        <v>0.9036961141150639</v>
      </c>
    </row>
    <row r="48" spans="1:59">
      <c r="E48" t="str">
        <f t="shared" si="7"/>
        <v>Iosifescu DV</v>
      </c>
      <c r="F48">
        <f t="shared" si="7"/>
        <v>2006</v>
      </c>
      <c r="G48">
        <v>2</v>
      </c>
      <c r="H48">
        <f t="shared" si="21"/>
        <v>35</v>
      </c>
      <c r="I48">
        <f t="shared" si="21"/>
        <v>49</v>
      </c>
      <c r="J48">
        <f t="shared" si="21"/>
        <v>84</v>
      </c>
      <c r="K48">
        <f t="shared" si="21"/>
        <v>15</v>
      </c>
      <c r="L48">
        <f t="shared" si="21"/>
        <v>20</v>
      </c>
      <c r="M48">
        <f t="shared" si="21"/>
        <v>35</v>
      </c>
      <c r="N48">
        <f t="shared" si="22"/>
        <v>0.95238095238095233</v>
      </c>
      <c r="O48" s="59">
        <f t="shared" si="9"/>
        <v>-4.8790164169432056E-2</v>
      </c>
      <c r="P48" s="59">
        <f t="shared" si="23"/>
        <v>0.16564625850340137</v>
      </c>
      <c r="Q48" s="59">
        <f t="shared" si="10"/>
        <v>0.79771339882608627</v>
      </c>
      <c r="R48" s="59">
        <f t="shared" si="24"/>
        <v>6.0369609856262834</v>
      </c>
      <c r="S48" s="59">
        <f t="shared" si="25"/>
        <v>-0.29454431757316274</v>
      </c>
      <c r="T48" s="59">
        <f t="shared" si="26"/>
        <v>1.437086560956794E-2</v>
      </c>
      <c r="U48" s="59">
        <f t="shared" si="27"/>
        <v>36.444897941973863</v>
      </c>
      <c r="V48" s="59">
        <f t="shared" si="11"/>
        <v>4.5774958249625284</v>
      </c>
      <c r="W48" s="59">
        <f t="shared" si="28"/>
        <v>-0.22333677278481159</v>
      </c>
      <c r="AF48" s="59">
        <f t="shared" si="29"/>
        <v>0.95238095238095233</v>
      </c>
      <c r="AG48" s="59">
        <f t="shared" si="30"/>
        <v>1.1623407787914986</v>
      </c>
      <c r="AH48" s="59">
        <f t="shared" si="31"/>
        <v>0.52346897541121096</v>
      </c>
      <c r="AJ48">
        <f t="shared" si="32"/>
        <v>0.40699663205412567</v>
      </c>
      <c r="AK48">
        <f t="shared" si="12"/>
        <v>2.4570227889920524</v>
      </c>
      <c r="AL48">
        <f t="shared" si="33"/>
        <v>-0.11987854524295805</v>
      </c>
      <c r="AN48" t="str">
        <f t="shared" si="34"/>
        <v>Iosifescu DV</v>
      </c>
      <c r="AO48">
        <f t="shared" si="35"/>
        <v>2006</v>
      </c>
      <c r="AP48" t="str">
        <f t="shared" si="36"/>
        <v>Iosifescu DV 2006</v>
      </c>
      <c r="AQ48">
        <f t="shared" si="15"/>
        <v>35</v>
      </c>
      <c r="AR48">
        <f t="shared" si="16"/>
        <v>49</v>
      </c>
      <c r="AS48">
        <f t="shared" si="17"/>
        <v>84</v>
      </c>
      <c r="AT48">
        <f t="shared" si="18"/>
        <v>15</v>
      </c>
      <c r="AU48">
        <f t="shared" si="19"/>
        <v>20</v>
      </c>
      <c r="AV48">
        <f t="shared" si="20"/>
        <v>35</v>
      </c>
      <c r="AW48" s="65">
        <f t="shared" si="37"/>
        <v>-4.8790164169432056E-2</v>
      </c>
      <c r="AX48">
        <f t="shared" si="38"/>
        <v>0.40699663205412567</v>
      </c>
    </row>
    <row r="49" spans="5:50">
      <c r="E49" t="str">
        <f t="shared" si="7"/>
        <v>Zanetti MV</v>
      </c>
      <c r="F49">
        <f t="shared" si="7"/>
        <v>2008</v>
      </c>
      <c r="G49">
        <v>1</v>
      </c>
      <c r="H49">
        <f t="shared" ref="H49:M49" si="39">L34</f>
        <v>0</v>
      </c>
      <c r="I49">
        <f t="shared" si="39"/>
        <v>28</v>
      </c>
      <c r="J49">
        <f t="shared" si="39"/>
        <v>28</v>
      </c>
      <c r="K49">
        <f t="shared" si="39"/>
        <v>6</v>
      </c>
      <c r="L49">
        <f t="shared" si="39"/>
        <v>96</v>
      </c>
      <c r="M49">
        <f t="shared" si="39"/>
        <v>102</v>
      </c>
      <c r="N49">
        <f>IF(OR(H49=0,I49=0,K49=0,L49=0),((H49+0.5)*(L49+0.5))/((I49+0.5)*(K49+0.5)),((H49)*(L49))/((I49)*(K49)))</f>
        <v>0.26045883940620784</v>
      </c>
      <c r="O49" s="59">
        <f t="shared" si="9"/>
        <v>-1.3453104363912012</v>
      </c>
      <c r="P49" s="59">
        <f>IF(OR(H49=0,I49=0,K49=0,L49=0),(1/(H49+0.5))+(1/(I49+0.5))+(1/(K49+0.5))+(1/(L49+0.5)),(1/H49)+(1/I49)+(1/K49)+(1/L49))</f>
        <v>2.1992965674449176</v>
      </c>
      <c r="Q49" s="59">
        <f t="shared" si="10"/>
        <v>2.9066850007347536</v>
      </c>
      <c r="R49" s="59">
        <f>1/P49</f>
        <v>0.45469083833553769</v>
      </c>
      <c r="S49" s="59">
        <f>O49*R49</f>
        <v>-0.61170033014426328</v>
      </c>
      <c r="T49" s="59">
        <f>R49*(O49^2)</f>
        <v>0.82292683808702072</v>
      </c>
      <c r="U49" s="59">
        <f>R49^2</f>
        <v>0.20674375846627407</v>
      </c>
      <c r="V49" s="59">
        <f t="shared" si="11"/>
        <v>0.44402797261193711</v>
      </c>
      <c r="W49" s="59">
        <f>V49*O49</f>
        <v>-0.5973554656044654</v>
      </c>
      <c r="AF49" s="59">
        <f>IF($D$3=1,EXP(O49),O49)</f>
        <v>0.26045883940620784</v>
      </c>
      <c r="AG49" s="59">
        <f>IF($D$3=1,EXP(O49+Q49)-EXP(O49),Q49)</f>
        <v>4.5049082095161417</v>
      </c>
      <c r="AH49" s="59">
        <f>IF($D$3=1,EXP(O49)-EXP(O49-Q49),Q49)</f>
        <v>0.24622304049955909</v>
      </c>
      <c r="AJ49">
        <f>SQRT(P49)</f>
        <v>1.4830025513952825</v>
      </c>
      <c r="AK49">
        <f t="shared" si="12"/>
        <v>0.6743076733476624</v>
      </c>
      <c r="AL49">
        <f>O49/AJ49</f>
        <v>-0.90715315029327914</v>
      </c>
      <c r="AN49" t="str">
        <f>E49</f>
        <v>Zanetti MV</v>
      </c>
      <c r="AO49">
        <f>F49</f>
        <v>2008</v>
      </c>
      <c r="AP49" t="str">
        <f>CONCATENATE(AN49," ",AO49)</f>
        <v>Zanetti MV 2008</v>
      </c>
      <c r="AQ49">
        <f t="shared" si="15"/>
        <v>0</v>
      </c>
      <c r="AR49">
        <f t="shared" si="16"/>
        <v>28</v>
      </c>
      <c r="AS49">
        <f t="shared" si="17"/>
        <v>28</v>
      </c>
      <c r="AT49">
        <f t="shared" si="18"/>
        <v>6</v>
      </c>
      <c r="AU49">
        <f t="shared" si="19"/>
        <v>96</v>
      </c>
      <c r="AV49">
        <f t="shared" si="20"/>
        <v>102</v>
      </c>
      <c r="AW49" s="65">
        <f>O49</f>
        <v>-1.3453104363912012</v>
      </c>
      <c r="AX49">
        <f>SQRT(P49)</f>
        <v>1.4830025513952825</v>
      </c>
    </row>
    <row r="51" spans="5:50">
      <c r="L51" t="s">
        <v>500</v>
      </c>
      <c r="N51" s="7"/>
      <c r="O51" s="66">
        <f>COUNT(O39:O49)</f>
        <v>11</v>
      </c>
      <c r="Q51" t="s">
        <v>885</v>
      </c>
      <c r="R51" s="59">
        <f t="shared" ref="R51:W51" si="40">SUM(R39:R49)</f>
        <v>19.339046821354692</v>
      </c>
      <c r="S51" s="59">
        <f t="shared" si="40"/>
        <v>2.88017323013761</v>
      </c>
      <c r="T51" s="59">
        <f t="shared" si="40"/>
        <v>11.285369858011403</v>
      </c>
      <c r="U51" s="59">
        <f t="shared" si="40"/>
        <v>60.398301329842454</v>
      </c>
      <c r="V51" s="59">
        <f t="shared" si="40"/>
        <v>16.743199314773069</v>
      </c>
      <c r="W51" s="59">
        <f t="shared" si="40"/>
        <v>2.6501105169929033</v>
      </c>
    </row>
    <row r="52" spans="5:50">
      <c r="L52" t="s">
        <v>501</v>
      </c>
      <c r="N52" s="7"/>
      <c r="O52" s="2">
        <v>0</v>
      </c>
    </row>
    <row r="53" spans="5:50">
      <c r="N53" s="7"/>
      <c r="O53" s="7"/>
    </row>
    <row r="54" spans="5:50">
      <c r="G54" s="67" t="s">
        <v>502</v>
      </c>
      <c r="H54" s="40"/>
      <c r="I54" s="40">
        <f>S51/R51</f>
        <v>0.14893046470921439</v>
      </c>
      <c r="J54" s="40"/>
      <c r="K54" s="68" t="s">
        <v>879</v>
      </c>
      <c r="L54" s="40"/>
      <c r="M54" s="42"/>
      <c r="N54" s="7"/>
      <c r="O54" s="69" t="s">
        <v>503</v>
      </c>
      <c r="P54" s="70">
        <f>T51-((S51^2)/R51)</f>
        <v>10.856424320403971</v>
      </c>
      <c r="Q54" s="71" t="s">
        <v>824</v>
      </c>
      <c r="R54" s="28"/>
      <c r="S54" s="29"/>
      <c r="T54" s="30"/>
      <c r="U54" s="31"/>
      <c r="AF54" s="2" t="s">
        <v>1518</v>
      </c>
    </row>
    <row r="55" spans="5:50">
      <c r="G55" s="43" t="s">
        <v>504</v>
      </c>
      <c r="H55" s="31"/>
      <c r="I55" s="31">
        <f>1/R51</f>
        <v>5.1708856658631869E-2</v>
      </c>
      <c r="J55" s="31"/>
      <c r="K55" s="31"/>
      <c r="L55" s="31"/>
      <c r="M55" s="44"/>
      <c r="N55" s="7"/>
      <c r="O55" s="30" t="s">
        <v>505</v>
      </c>
      <c r="P55" s="31">
        <f>CHIDIST(P54,I59-1)</f>
        <v>0.36881281987902187</v>
      </c>
      <c r="Q55" s="31"/>
      <c r="R55" s="31"/>
      <c r="S55" s="34"/>
      <c r="T55" s="30"/>
      <c r="U55" s="31"/>
      <c r="AF55" s="2"/>
    </row>
    <row r="56" spans="5:50">
      <c r="G56" s="72" t="s">
        <v>506</v>
      </c>
      <c r="H56" s="31"/>
      <c r="I56" s="31">
        <f>1.96*SQRT(I55)</f>
        <v>0.44569579731000397</v>
      </c>
      <c r="J56" s="31"/>
      <c r="K56" s="31" t="s">
        <v>507</v>
      </c>
      <c r="L56" s="31"/>
      <c r="M56" s="44">
        <f>ABS(I54/SQRT(I55))</f>
        <v>0.65493933887607736</v>
      </c>
      <c r="N56" s="7"/>
      <c r="O56" s="35" t="s">
        <v>508</v>
      </c>
      <c r="P56" s="37">
        <f>IF(((P54-(I59-1))/P54)&lt;0,0,100*((P54-(I59-1))/P54))</f>
        <v>7.8886408188225898</v>
      </c>
      <c r="Q56" s="36"/>
      <c r="R56" s="36"/>
      <c r="S56" s="38"/>
      <c r="T56" s="30"/>
      <c r="U56" s="31"/>
      <c r="AF56" s="2" t="s">
        <v>1535</v>
      </c>
      <c r="AH56">
        <f>IF($D$3=1,EXP(I54),I54)</f>
        <v>1.1605922842812268</v>
      </c>
    </row>
    <row r="57" spans="5:50">
      <c r="G57" s="45" t="s">
        <v>509</v>
      </c>
      <c r="H57" s="46"/>
      <c r="I57" s="46">
        <v>-2</v>
      </c>
      <c r="J57" s="46"/>
      <c r="K57" s="46" t="s">
        <v>825</v>
      </c>
      <c r="L57" s="46"/>
      <c r="M57" s="47">
        <f>2*(1-NORMDIST(M56,0,1,1))</f>
        <v>0.51250681093916572</v>
      </c>
      <c r="N57" s="7"/>
      <c r="O57" s="7"/>
      <c r="AF57" s="79" t="s">
        <v>834</v>
      </c>
      <c r="AH57">
        <f>IF($D$3=1,EXP(I54+I56)-EXP(I54),I56)</f>
        <v>0.65176118876084499</v>
      </c>
    </row>
    <row r="58" spans="5:50">
      <c r="G58" s="40"/>
      <c r="H58" s="40"/>
      <c r="I58" s="40"/>
      <c r="J58" s="40"/>
      <c r="K58" s="40"/>
      <c r="L58" s="40"/>
      <c r="M58" s="40"/>
      <c r="N58" s="7"/>
      <c r="O58" s="7"/>
      <c r="AF58" s="79" t="s">
        <v>835</v>
      </c>
      <c r="AH58">
        <f>IF($D$3=1,EXP(I54)-EXP(I54-I56),I56)</f>
        <v>0.41737388325253999</v>
      </c>
    </row>
    <row r="59" spans="5:50">
      <c r="G59" s="73" t="s">
        <v>1110</v>
      </c>
      <c r="H59" s="74"/>
      <c r="I59" s="74">
        <f>O51</f>
        <v>11</v>
      </c>
      <c r="J59" s="74"/>
      <c r="K59" s="75" t="s">
        <v>1167</v>
      </c>
      <c r="L59" s="74"/>
      <c r="M59" s="76"/>
      <c r="N59" s="77"/>
      <c r="O59" s="101" t="s">
        <v>1513</v>
      </c>
      <c r="P59" s="102"/>
      <c r="Q59" s="103"/>
      <c r="AF59" s="7"/>
    </row>
    <row r="60" spans="5:50">
      <c r="G60" s="77" t="s">
        <v>1531</v>
      </c>
      <c r="H60" s="31"/>
      <c r="I60" s="31">
        <f>R51/I59</f>
        <v>1.7580951655776993</v>
      </c>
      <c r="J60" s="31"/>
      <c r="K60" s="31"/>
      <c r="L60" s="31"/>
      <c r="M60" s="78"/>
      <c r="N60" s="77"/>
      <c r="O60" s="104" t="s">
        <v>1514</v>
      </c>
      <c r="P60" s="31"/>
      <c r="Q60" s="105">
        <f>INDEX(LINEST(AL39:AL49,AK39:AK49,TRUE,TRUE),1,2)</f>
        <v>4.5958961608948967E-2</v>
      </c>
      <c r="AF60" s="2" t="s">
        <v>1687</v>
      </c>
      <c r="AH60">
        <f>IF($D$3=1,EXP(I65),I65)</f>
        <v>1.1714939523149086</v>
      </c>
    </row>
    <row r="61" spans="5:50">
      <c r="G61" s="77" t="s">
        <v>1532</v>
      </c>
      <c r="H61" s="31"/>
      <c r="I61" s="31">
        <f>(1/(I59-1))*(U51-(I59*I60^2))</f>
        <v>2.6398416606337998</v>
      </c>
      <c r="J61" s="31"/>
      <c r="K61" s="31"/>
      <c r="L61" s="31"/>
      <c r="M61" s="78"/>
      <c r="N61" s="77"/>
      <c r="O61" s="104" t="s">
        <v>1516</v>
      </c>
      <c r="P61" s="31"/>
      <c r="Q61" s="105">
        <f>INDEX(LINEST(AL39:AL49,AK39:AK49,TRUE,TRUE),2,2)</f>
        <v>0.86796368977885974</v>
      </c>
      <c r="AF61" s="79" t="s">
        <v>834</v>
      </c>
      <c r="AG61" s="7"/>
      <c r="AH61">
        <f>IF($D$3=1,EXP(I65+I67)-EXP(I65),I67)</f>
        <v>0.7198379447152552</v>
      </c>
    </row>
    <row r="62" spans="5:50">
      <c r="G62" s="77" t="s">
        <v>1669</v>
      </c>
      <c r="H62" s="31"/>
      <c r="I62" s="31">
        <f>(I59-1)*(I60-(I61/(I59*I60)))</f>
        <v>16.215919715465013</v>
      </c>
      <c r="J62" s="31"/>
      <c r="K62" s="31"/>
      <c r="L62" s="31"/>
      <c r="M62" s="78"/>
      <c r="N62" s="77"/>
      <c r="O62" s="104" t="s">
        <v>1349</v>
      </c>
      <c r="P62" s="31"/>
      <c r="Q62" s="105">
        <f>ABS(Q60/Q61)</f>
        <v>5.2950327473558732E-2</v>
      </c>
      <c r="AF62" s="79" t="s">
        <v>835</v>
      </c>
      <c r="AH62">
        <f>IF($D$3=1,EXP(I65)-EXP(I65-I67),I67)</f>
        <v>0.44586875534900683</v>
      </c>
    </row>
    <row r="63" spans="5:50">
      <c r="G63" s="77" t="s">
        <v>1685</v>
      </c>
      <c r="H63" s="31"/>
      <c r="I63" s="31">
        <f>IF(P54&gt;(I59-1),(P54-(I59-1))/I62,0)</f>
        <v>5.2813798750323389E-2</v>
      </c>
      <c r="J63" s="31"/>
      <c r="K63" s="31"/>
      <c r="L63" s="31"/>
      <c r="M63" s="78"/>
      <c r="N63" s="77"/>
      <c r="O63" s="106" t="s">
        <v>1515</v>
      </c>
      <c r="P63" s="107"/>
      <c r="Q63" s="108">
        <f>TDIST(Q62,I59-2,2)</f>
        <v>0.95892817305240474</v>
      </c>
    </row>
    <row r="64" spans="5:50">
      <c r="G64" s="77"/>
      <c r="H64" s="31"/>
      <c r="I64" s="31"/>
      <c r="J64" s="31"/>
      <c r="K64" s="31"/>
      <c r="L64" s="31"/>
      <c r="M64" s="78"/>
      <c r="N64" s="77"/>
    </row>
    <row r="65" spans="7:18">
      <c r="G65" s="77" t="s">
        <v>1686</v>
      </c>
      <c r="H65" s="31"/>
      <c r="I65" s="31">
        <f>W51/V51</f>
        <v>0.15827981660916052</v>
      </c>
      <c r="J65" s="31"/>
      <c r="N65" s="77"/>
    </row>
    <row r="66" spans="7:18">
      <c r="G66" s="77" t="s">
        <v>504</v>
      </c>
      <c r="H66" s="31"/>
      <c r="I66" s="31">
        <f>1/V51</f>
        <v>5.9725741848970733E-2</v>
      </c>
      <c r="J66" s="31"/>
      <c r="N66" s="77"/>
      <c r="O66" t="s">
        <v>805</v>
      </c>
      <c r="R66">
        <v>1.96</v>
      </c>
    </row>
    <row r="67" spans="7:18">
      <c r="G67" s="80" t="s">
        <v>506</v>
      </c>
      <c r="H67" s="31"/>
      <c r="I67" s="31">
        <f>1.96*SQRT(I66)</f>
        <v>0.47900147169607521</v>
      </c>
      <c r="J67" s="31"/>
      <c r="K67" s="31" t="s">
        <v>507</v>
      </c>
      <c r="L67" s="31"/>
      <c r="M67" s="78">
        <f>ABS(I65/(SQRT(I66)))</f>
        <v>0.6476565498963508</v>
      </c>
      <c r="N67" s="77"/>
    </row>
    <row r="68" spans="7:18">
      <c r="G68" s="81" t="s">
        <v>509</v>
      </c>
      <c r="H68" s="82"/>
      <c r="I68" s="82">
        <v>-3</v>
      </c>
      <c r="J68" s="82"/>
      <c r="K68" s="31" t="s">
        <v>825</v>
      </c>
      <c r="L68" s="31"/>
      <c r="M68" s="78">
        <f>2*(1-NORMDIST(M67,0,1,1))</f>
        <v>0.51720711292572141</v>
      </c>
      <c r="N68" s="77"/>
      <c r="O68" s="7"/>
    </row>
    <row r="69" spans="7:18">
      <c r="G69" s="74"/>
      <c r="H69" s="74"/>
      <c r="I69" s="74"/>
      <c r="J69" s="74"/>
      <c r="K69" s="74"/>
      <c r="L69" s="74"/>
      <c r="M69" s="74"/>
      <c r="N69" s="31"/>
      <c r="O69" s="7"/>
    </row>
  </sheetData>
  <phoneticPr fontId="10" type="noConversion"/>
  <conditionalFormatting sqref="D13 F13 D17">
    <cfRule type="cellIs" dxfId="12" priority="0" stopIfTrue="1" operator="lessThan">
      <formula>0.05</formula>
    </cfRule>
  </conditionalFormatting>
  <conditionalFormatting sqref="D21">
    <cfRule type="cellIs" dxfId="11"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4.xml><?xml version="1.0" encoding="utf-8"?>
<worksheet xmlns="http://schemas.openxmlformats.org/spreadsheetml/2006/main" xmlns:r="http://schemas.openxmlformats.org/officeDocument/2006/relationships">
  <sheetPr published="0" codeName="Sheet62" enableFormatConditionsCalculation="0"/>
  <dimension ref="A1:BM77"/>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215</v>
      </c>
      <c r="D1" s="10"/>
      <c r="F1" s="1" t="s">
        <v>733</v>
      </c>
    </row>
    <row r="2" spans="2:30">
      <c r="B2" s="91"/>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I67-O60</f>
        <v>9</v>
      </c>
      <c r="AD7" s="89"/>
    </row>
    <row r="8" spans="2:30">
      <c r="B8" t="s">
        <v>822</v>
      </c>
      <c r="D8">
        <f>SUM(H24:H35)</f>
        <v>324</v>
      </c>
      <c r="AD8" s="89"/>
    </row>
    <row r="9" spans="2:30">
      <c r="B9" t="s">
        <v>823</v>
      </c>
      <c r="D9">
        <f>SUM(I24:I35)</f>
        <v>287</v>
      </c>
      <c r="AD9" s="89"/>
    </row>
    <row r="11" spans="2:30">
      <c r="B11" s="27" t="s">
        <v>516</v>
      </c>
      <c r="C11" s="28"/>
      <c r="D11" s="109">
        <f>P62</f>
        <v>16.820671983530065</v>
      </c>
      <c r="E11" s="110" t="s">
        <v>1513</v>
      </c>
      <c r="F11" s="103"/>
    </row>
    <row r="12" spans="2:30">
      <c r="B12" s="30" t="s">
        <v>826</v>
      </c>
      <c r="C12" s="31"/>
      <c r="D12" s="112">
        <f>P64</f>
        <v>34.604277339391473</v>
      </c>
      <c r="E12" s="31"/>
      <c r="F12" s="105"/>
    </row>
    <row r="13" spans="2:30">
      <c r="B13" s="35" t="s">
        <v>825</v>
      </c>
      <c r="C13" s="36"/>
      <c r="D13" s="113">
        <f>P63</f>
        <v>0.11329311632340576</v>
      </c>
      <c r="E13" s="111" t="s">
        <v>825</v>
      </c>
      <c r="F13" s="115">
        <f>Q71</f>
        <v>0.20699960544559326</v>
      </c>
    </row>
    <row r="15" spans="2:30">
      <c r="B15" s="39" t="s">
        <v>879</v>
      </c>
      <c r="C15" s="40"/>
      <c r="D15" s="41">
        <f>AH64</f>
        <v>0.26622053662706019</v>
      </c>
      <c r="E15" s="116"/>
    </row>
    <row r="16" spans="2:30">
      <c r="B16" s="43" t="s">
        <v>1165</v>
      </c>
      <c r="C16" s="31"/>
      <c r="D16" s="33">
        <f>AH64-AH66</f>
        <v>0.10233616768484693</v>
      </c>
      <c r="E16" s="117">
        <f>AH64+AH65</f>
        <v>0.43010490556927344</v>
      </c>
    </row>
    <row r="17" spans="1:65">
      <c r="B17" s="45" t="s">
        <v>1166</v>
      </c>
      <c r="C17" s="46"/>
      <c r="D17" s="123">
        <f>M65</f>
        <v>1.4530272115262921E-3</v>
      </c>
      <c r="E17" s="118"/>
    </row>
    <row r="18" spans="1:65">
      <c r="D18" s="48"/>
      <c r="F18" s="49"/>
    </row>
    <row r="19" spans="1:65">
      <c r="B19" s="50" t="s">
        <v>1167</v>
      </c>
      <c r="C19" s="51"/>
      <c r="D19" s="52">
        <f>AH68</f>
        <v>0.28936202888451656</v>
      </c>
      <c r="E19" s="120"/>
      <c r="F19" s="33"/>
      <c r="G19" s="31"/>
    </row>
    <row r="20" spans="1:65">
      <c r="B20" s="53" t="s">
        <v>1165</v>
      </c>
      <c r="C20" s="31"/>
      <c r="D20" s="33">
        <f>AH68-AH70</f>
        <v>8.1918849495295543E-2</v>
      </c>
      <c r="E20" s="121">
        <f>AH68+AH69</f>
        <v>0.49680520827373759</v>
      </c>
      <c r="F20" s="31"/>
      <c r="G20" s="31"/>
    </row>
    <row r="21" spans="1:65">
      <c r="B21" s="54" t="s">
        <v>1440</v>
      </c>
      <c r="C21" s="55"/>
      <c r="D21" s="114">
        <f>M76</f>
        <v>6.2570113889357515E-3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s="13">
        <v>8780429</v>
      </c>
      <c r="C24" s="1" t="str">
        <f>IF($B24="","",HYPERLINK(IF(LEN(VLOOKUP($B24,Database!$B$1:$IX$10144,2,FALSE))=0,"",VLOOKUP($B24,Database!$B$1:$IX$10144,2,FALSE))))</f>
        <v/>
      </c>
      <c r="D24" s="1" t="str">
        <f t="shared" ref="D24:D43" si="0">IF($B24="","",HYPERLINK(CONCATENATE("http://www.ncbi.nlm.nih.gov/pubmed/",B24)))</f>
        <v>http://www.ncbi.nlm.nih.gov/pubmed/8780429</v>
      </c>
      <c r="E24" s="22" t="str">
        <f>IF($B24="","",IF(LEN(VLOOKUP($B24,Database!$B$1:$IX$10144,4,FALSE))=0,"",VLOOKUP($B24,Database!$B$1:$IX$10144,4,FALSE)))</f>
        <v>Greenwald BS</v>
      </c>
      <c r="F24" s="22">
        <f>IF($B24="","",IF(LEN(VLOOKUP($B24,Database!$B$1:$IX$10144,5,FALSE))=0,"",VLOOKUP($B24,Database!$B$1:$IX$10144,5,FALSE)))</f>
        <v>1996</v>
      </c>
      <c r="G24" s="1" t="str">
        <f>IF($B24="","",HYPERLINK(IF(LEN(VLOOKUP($B24,Database!$B$1:$IX$10144,6,FALSE))=0,"",VLOOKUP($B24,Database!$B$1:$IX$10144,6,FALSE))))</f>
        <v>http://ajp.psychiatryonline.org/cgi/reprint/153/9/1212</v>
      </c>
      <c r="H24" s="22">
        <f>IF($B24="","",IF(LEN(VLOOKUP($B24,Database!$B$1:$IX$10144,7,FALSE))=0,"",VLOOKUP($B24,Database!$B$1:$IX$10144,7,FALSE)))</f>
        <v>48</v>
      </c>
      <c r="I24" s="22">
        <f>IF($B24="","",IF(LEN(VLOOKUP($B24,Database!$B$1:$IX$10144,8,FALSE))=0,"",VLOOKUP($B24,Database!$B$1:$IX$10144,8,FALSE)))</f>
        <v>39</v>
      </c>
      <c r="J24" s="13" t="s">
        <v>962</v>
      </c>
      <c r="T24">
        <v>1.85</v>
      </c>
      <c r="U24">
        <v>0.83</v>
      </c>
      <c r="V24">
        <v>1.69</v>
      </c>
      <c r="W24">
        <v>0.89</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74.599999999999994</v>
      </c>
      <c r="AC24" s="22">
        <f>IF(OR($B24="",AC$22=""),"",IF(LEN(VLOOKUP($B24,Database!$B$1:$IX$10144,AC$22,FALSE))=0,"",VLOOKUP($B24,Database!$B$1:$IX$10144,AC$22,FALSE)))</f>
        <v>6.1</v>
      </c>
      <c r="AD24" s="22">
        <f>IF(OR($B24="",AD$22=""),"",IF(LEN(VLOOKUP($B24,Database!$B$1:$IX$10144,AD$22,FALSE))=0,"",VLOOKUP($B24,Database!$B$1:$IX$10144,AD$22,FALSE)))</f>
        <v>72.599999999999994</v>
      </c>
      <c r="AE24" s="22">
        <f>IF(OR($B24="",AE$22=""),"",IF(LEN(VLOOKUP($B24,Database!$B$1:$IX$10144,AE$22,FALSE))=0,"",VLOOKUP($B24,Database!$B$1:$IX$10144,AE$22,FALSE)))</f>
        <v>6.4</v>
      </c>
      <c r="AF24" s="22">
        <f>IF(OR($B24="",AF$22=""),"",IF(LEN(VLOOKUP($B24,Database!$B$1:$IX$10144,AF$22,FALSE))=0,"",VLOOKUP($B24,Database!$B$1:$IX$10144,AF$22,FALSE)))</f>
        <v>33</v>
      </c>
      <c r="AG24" s="22">
        <f>IF(OR($B24="",AG$22=""),"",IF(LEN(VLOOKUP($B24,Database!$B$1:$IX$10144,AG$22,FALSE))=0,"",VLOOKUP($B24,Database!$B$1:$IX$10144,AG$22,FALSE)))</f>
        <v>20</v>
      </c>
      <c r="AH24" s="22">
        <f>IF(OR($B24="",AH$22=""),"",IF(LEN(VLOOKUP($B24,Database!$B$1:$IX$10144,AH$22,FALSE))=0,"",VLOOKUP($B24,Database!$B$1:$IX$10144,AH$22,FALSE)))</f>
        <v>1</v>
      </c>
      <c r="AI24" s="22">
        <f>IF(OR($B24="",AI$22=""),"",IF(LEN(VLOOKUP($B24,Database!$B$1:$IX$10144,AI$22,FALSE))=0,"",VLOOKUP($B24,Database!$B$1:$IX$10144,AI$22,FALSE)))</f>
        <v>10</v>
      </c>
      <c r="AJ24" s="22" t="str">
        <f>IF(OR($B24="",AJ$22=""),"",IF(LEN(VLOOKUP($B24,Database!$B$1:$IX$10144,AJ$22,FALSE))=0,"",VLOOKUP($B24,Database!$B$1:$IX$10144,AJ$22,FALSE)))</f>
        <v/>
      </c>
      <c r="AK24" s="22">
        <f>IF(OR($B24="",AK$22=""),"",IF(LEN(VLOOKUP($B24,Database!$B$1:$IX$10144,AK$22,FALSE))=0,"",VLOOKUP($B24,Database!$B$1:$IX$10144,AK$22,FALSE)))</f>
        <v>62.4</v>
      </c>
      <c r="AL24" s="22">
        <f>IF(OR($B24="",AL$22=""),"",IF(LEN(VLOOKUP($B24,Database!$B$1:$IX$10144,AL$22,FALSE))=0,"",VLOOKUP($B24,Database!$B$1:$IX$10144,AL$22,FALSE)))</f>
        <v>25.9</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Greenwald BS, Kramer-Ginsberg E, Krishnan RR, Ashtari M, Aupperle PM, Patel M.</v>
      </c>
      <c r="AR24" s="13"/>
      <c r="AX24" s="13"/>
      <c r="AY24" s="13"/>
      <c r="AZ24" s="13"/>
      <c r="BA24" s="13"/>
      <c r="BC24" s="23"/>
      <c r="BF24" s="136"/>
      <c r="BG24" s="136"/>
      <c r="BH24" s="136"/>
      <c r="BI24" s="136"/>
    </row>
    <row r="25" spans="1:65">
      <c r="A25" s="13" t="s">
        <v>1190</v>
      </c>
      <c r="B25" s="13">
        <v>8723302</v>
      </c>
      <c r="C25" s="1" t="str">
        <f>IF($B25="","",HYPERLINK(IF(LEN(VLOOKUP($B25,Database!$B$1:$IX$10144,2,FALSE))=0,"",VLOOKUP($B25,Database!$B$1:$IX$10144,2,FALSE))))</f>
        <v/>
      </c>
      <c r="D25" s="1" t="str">
        <f t="shared" si="0"/>
        <v>http://www.ncbi.nlm.nih.gov/pubmed/8723302</v>
      </c>
      <c r="E25" s="22" t="str">
        <f>IF($B25="","",IF(LEN(VLOOKUP($B25,Database!$B$1:$IX$10144,4,FALSE))=0,"",VLOOKUP($B25,Database!$B$1:$IX$10144,4,FALSE)))</f>
        <v>Keshavan MS</v>
      </c>
      <c r="F25" s="22">
        <f>IF($B25="","",IF(LEN(VLOOKUP($B25,Database!$B$1:$IX$10144,5,FALSE))=0,"",VLOOKUP($B25,Database!$B$1:$IX$10144,5,FALSE)))</f>
        <v>1996</v>
      </c>
      <c r="G25" s="1" t="str">
        <f>IF($B25="","",HYPERLINK(IF(LEN(VLOOKUP($B25,Database!$B$1:$IX$10144,6,FALSE))=0,"",VLOOKUP($B25,Database!$B$1:$IX$10144,6,FALSE))))</f>
        <v>http://dx.doi.org/10.1016/0165-1781(96)02867-3</v>
      </c>
      <c r="H25" s="22">
        <f>IF($B25="","",IF(LEN(VLOOKUP($B25,Database!$B$1:$IX$10144,7,FALSE))=0,"",VLOOKUP($B25,Database!$B$1:$IX$10144,7,FALSE)))</f>
        <v>19</v>
      </c>
      <c r="I25" s="22">
        <f>IF($B25="","",IF(LEN(VLOOKUP($B25,Database!$B$1:$IX$10144,8,FALSE))=0,"",VLOOKUP($B25,Database!$B$1:$IX$10144,8,FALSE)))</f>
        <v>19</v>
      </c>
      <c r="J25" s="13" t="s">
        <v>1772</v>
      </c>
      <c r="T25">
        <v>2.11</v>
      </c>
      <c r="U25">
        <v>0.94</v>
      </c>
      <c r="V25">
        <v>2</v>
      </c>
      <c r="W25">
        <v>1.1100000000000001</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c r="AC25" s="22"/>
      <c r="AD25" s="22">
        <f>IF(OR($B25="",AD$22=""),"",IF(LEN(VLOOKUP($B25,Database!$B$1:$IX$10144,AD$22,FALSE))=0,"",VLOOKUP($B25,Database!$B$1:$IX$10144,AD$22,FALSE)))</f>
        <v>64.2</v>
      </c>
      <c r="AE25" s="22">
        <f>IF(OR($B25="",AE$22=""),"",IF(LEN(VLOOKUP($B25,Database!$B$1:$IX$10144,AE$22,FALSE))=0,"",VLOOKUP($B25,Database!$B$1:$IX$10144,AE$22,FALSE)))</f>
        <v>8.3000000000000007</v>
      </c>
      <c r="AF25" s="22">
        <f>IF(OR($B25="",AF$22=""),"",IF(LEN(VLOOKUP($B25,Database!$B$1:$IX$10144,AF$22,FALSE))=0,"",VLOOKUP($B25,Database!$B$1:$IX$10144,AF$22,FALSE)))</f>
        <v>16</v>
      </c>
      <c r="AG25" s="22">
        <f>IF(OR($B25="",AG$22=""),"",IF(LEN(VLOOKUP($B25,Database!$B$1:$IX$10144,AG$22,FALSE))=0,"",VLOOKUP($B25,Database!$B$1:$IX$10144,AG$22,FALSE)))</f>
        <v>16</v>
      </c>
      <c r="AH25" s="22">
        <f>IF(OR($B25="",AH$22=""),"",IF(LEN(VLOOKUP($B25,Database!$B$1:$IX$10144,AH$22,FALSE))=0,"",VLOOKUP($B25,Database!$B$1:$IX$10144,AH$22,FALSE)))</f>
        <v>1</v>
      </c>
      <c r="AI25" s="22" t="str">
        <f>IF(OR($B25="",AI$22=""),"",IF(LEN(VLOOKUP($B25,Database!$B$1:$IX$10144,AI$22,FALSE))=0,"",VLOOKUP($B25,Database!$B$1:$IX$10144,AI$22,FALSE)))</f>
        <v>ns</v>
      </c>
      <c r="AJ25" s="22" t="str">
        <f>IF(OR($B25="",AJ$22=""),"",IF(LEN(VLOOKUP($B25,Database!$B$1:$IX$10144,AJ$22,FALSE))=0,"",VLOOKUP($B25,Database!$B$1:$IX$10144,AJ$22,FALSE)))</f>
        <v/>
      </c>
      <c r="AK25" s="22">
        <f>IF(OR($B25="",AK$22=""),"",IF(LEN(VLOOKUP($B25,Database!$B$1:$IX$10144,AK$22,FALSE))=0,"",VLOOKUP($B25,Database!$B$1:$IX$10144,AK$22,FALSE)))</f>
        <v>53.8</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Keshavan MS, Mulsant BH, Sweet RA, Pasternak R, Zubenko GS, Krishnan RR.</v>
      </c>
      <c r="AR25" s="13"/>
      <c r="AX25" s="13"/>
      <c r="AY25" s="13"/>
      <c r="AZ25" s="13"/>
      <c r="BA25" s="13"/>
      <c r="BC25" s="23"/>
      <c r="BF25" s="136"/>
      <c r="BG25" s="136"/>
      <c r="BH25" s="136"/>
      <c r="BI25" s="136"/>
    </row>
    <row r="26" spans="1:65">
      <c r="B26" s="13">
        <v>9169241</v>
      </c>
      <c r="C26" s="1" t="str">
        <f>IF($B26="","",HYPERLINK(IF(LEN(VLOOKUP($B26,Database!$B$1:$IX$10144,2,FALSE))=0,"",VLOOKUP($B26,Database!$B$1:$IX$10144,2,FALSE))))</f>
        <v/>
      </c>
      <c r="D26" s="1" t="str">
        <f t="shared" si="0"/>
        <v>http://www.ncbi.nlm.nih.gov/pubmed/9169241</v>
      </c>
      <c r="E26" s="22" t="str">
        <f>IF($B26="","",IF(LEN(VLOOKUP($B26,Database!$B$1:$IX$10144,4,FALSE))=0,"",VLOOKUP($B26,Database!$B$1:$IX$10144,4,FALSE)))</f>
        <v>Kumar A</v>
      </c>
      <c r="F26" s="22">
        <f>IF($B26="","",IF(LEN(VLOOKUP($B26,Database!$B$1:$IX$10144,5,FALSE))=0,"",VLOOKUP($B26,Database!$B$1:$IX$10144,5,FALSE)))</f>
        <v>1997</v>
      </c>
      <c r="G26" s="1" t="str">
        <f>IF($B26="","",HYPERLINK(IF(LEN(VLOOKUP($B26,Database!$B$1:$IX$10144,6,FALSE))=0,"",VLOOKUP($B26,Database!$B$1:$IX$10144,6,FALSE))))</f>
        <v>http://ajgponline.org/cgi/content/abstract/5/1/15</v>
      </c>
      <c r="H26" s="22">
        <f>IF($B26="","",IF(LEN(VLOOKUP($B26,Database!$B$1:$IX$10144,7,FALSE))=0,"",VLOOKUP($B26,Database!$B$1:$IX$10144,7,FALSE)))</f>
        <v>28</v>
      </c>
      <c r="I26" s="22">
        <f>IF($B26="","",IF(LEN(VLOOKUP($B26,Database!$B$1:$IX$10144,8,FALSE))=0,"",VLOOKUP($B26,Database!$B$1:$IX$10144,8,FALSE)))</f>
        <v>29</v>
      </c>
      <c r="J26" s="2" t="s">
        <v>23</v>
      </c>
      <c r="T26">
        <v>1.88</v>
      </c>
      <c r="U26">
        <v>0.98</v>
      </c>
      <c r="V26">
        <v>0.87</v>
      </c>
      <c r="W26">
        <v>0.96</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74.2</v>
      </c>
      <c r="AC26" s="22">
        <f>IF(OR($B26="",AC$22=""),"",IF(LEN(VLOOKUP($B26,Database!$B$1:$IX$10144,AC$22,FALSE))=0,"",VLOOKUP($B26,Database!$B$1:$IX$10144,AC$22,FALSE)))</f>
        <v>8.1999999999999993</v>
      </c>
      <c r="AD26" s="22">
        <f>IF(OR($B26="",AD$22=""),"",IF(LEN(VLOOKUP($B26,Database!$B$1:$IX$10144,AD$22,FALSE))=0,"",VLOOKUP($B26,Database!$B$1:$IX$10144,AD$22,FALSE)))</f>
        <v>67.2</v>
      </c>
      <c r="AE26" s="22">
        <f>IF(OR($B26="",AE$22=""),"",IF(LEN(VLOOKUP($B26,Database!$B$1:$IX$10144,AE$22,FALSE))=0,"",VLOOKUP($B26,Database!$B$1:$IX$10144,AE$22,FALSE)))</f>
        <v>8.4</v>
      </c>
      <c r="AF26" s="22">
        <f>IF(OR($B26="",AF$22=""),"",IF(LEN(VLOOKUP($B26,Database!$B$1:$IX$10144,AF$22,FALSE))=0,"",VLOOKUP($B26,Database!$B$1:$IX$10144,AF$22,FALSE)))</f>
        <v>17</v>
      </c>
      <c r="AG26" s="22">
        <f>IF(OR($B26="",AG$22=""),"",IF(LEN(VLOOKUP($B26,Database!$B$1:$IX$10144,AG$22,FALSE))=0,"",VLOOKUP($B26,Database!$B$1:$IX$10144,AG$22,FALSE)))</f>
        <v>17</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19.57</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Kumar A, Miller D, Ewbank D, Yousem D, Newberg A, Samuels S, Cowell P, Gottlieb G.</v>
      </c>
      <c r="AR26" s="13"/>
      <c r="AX26" s="13"/>
      <c r="AY26" s="13"/>
      <c r="AZ26" s="13"/>
      <c r="BA26" s="13"/>
      <c r="BC26" s="23"/>
      <c r="BF26" s="136"/>
      <c r="BG26" s="136"/>
      <c r="BH26" s="136"/>
      <c r="BI26" s="136"/>
    </row>
    <row r="27" spans="1:65">
      <c r="B27" s="13">
        <v>10518173</v>
      </c>
      <c r="C27" s="1" t="str">
        <f>IF($B27="","",HYPERLINK(IF(LEN(VLOOKUP($B27,Database!$B$1:$IX$10144,2,FALSE))=0,"",VLOOKUP($B27,Database!$B$1:$IX$10144,2,FALSE))))</f>
        <v/>
      </c>
      <c r="D27" s="1" t="str">
        <f t="shared" si="0"/>
        <v>http://www.ncbi.nlm.nih.gov/pubmed/10518173</v>
      </c>
      <c r="E27" s="22" t="str">
        <f>IF($B27="","",IF(LEN(VLOOKUP($B27,Database!$B$1:$IX$10144,4,FALSE))=0,"",VLOOKUP($B27,Database!$B$1:$IX$10144,4,FALSE)))</f>
        <v>Lenze EJ (A)</v>
      </c>
      <c r="F27" s="22">
        <f>IF($B27="","",IF(LEN(VLOOKUP($B27,Database!$B$1:$IX$10144,5,FALSE))=0,"",VLOOKUP($B27,Database!$B$1:$IX$10144,5,FALSE)))</f>
        <v>1999</v>
      </c>
      <c r="G27" s="1" t="str">
        <f>IF($B27="","",HYPERLINK(IF(LEN(VLOOKUP($B27,Database!$B$1:$IX$10144,6,FALSE))=0,"",VLOOKUP($B27,Database!$B$1:$IX$10144,6,FALSE))))</f>
        <v>http://ajp.psychiatryonline.org/cgi/reprint/156/3/438</v>
      </c>
      <c r="H27" s="22">
        <f>IF($B27="","",IF(LEN(VLOOKUP($B27,Database!$B$1:$IX$10144,7,FALSE))=0,"",VLOOKUP($B27,Database!$B$1:$IX$10144,7,FALSE)))</f>
        <v>24</v>
      </c>
      <c r="I27" s="22">
        <f>IF($B27="","",IF(LEN(VLOOKUP($B27,Database!$B$1:$IX$10144,8,FALSE))=0,"",VLOOKUP($B27,Database!$B$1:$IX$10144,8,FALSE)))</f>
        <v>24</v>
      </c>
      <c r="J27" s="13" t="s">
        <v>829</v>
      </c>
      <c r="T27">
        <v>0.73</v>
      </c>
      <c r="U27">
        <v>0.83</v>
      </c>
      <c r="V27">
        <v>0.63</v>
      </c>
      <c r="W27">
        <v>0.66</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52.7</v>
      </c>
      <c r="AC27" s="22">
        <f>IF(OR($B27="",AC$22=""),"",IF(LEN(VLOOKUP($B27,Database!$B$1:$IX$10144,AC$22,FALSE))=0,"",VLOOKUP($B27,Database!$B$1:$IX$10144,AC$22,FALSE)))</f>
        <v>18.399999999999999</v>
      </c>
      <c r="AD27" s="22">
        <f>IF(OR($B27="",AD$22=""),"",IF(LEN(VLOOKUP($B27,Database!$B$1:$IX$10144,AD$22,FALSE))=0,"",VLOOKUP($B27,Database!$B$1:$IX$10144,AD$22,FALSE)))</f>
        <v>52.8</v>
      </c>
      <c r="AE27" s="22" t="str">
        <f>IF(OR($B27="",AE$22=""),"",IF(LEN(VLOOKUP($B27,Database!$B$1:$IX$10144,AE$22,FALSE))=0,"",VLOOKUP($B27,Database!$B$1:$IX$10144,AE$22,FALSE)))</f>
        <v/>
      </c>
      <c r="AF27" s="22">
        <f>IF(OR($B27="",AF$22=""),"",IF(LEN(VLOOKUP($B27,Database!$B$1:$IX$10144,AF$22,FALSE))=0,"",VLOOKUP($B27,Database!$B$1:$IX$10144,AF$22,FALSE)))</f>
        <v>24</v>
      </c>
      <c r="AG27" s="22">
        <f>IF(OR($B27="",AG$22=""),"",IF(LEN(VLOOKUP($B27,Database!$B$1:$IX$10144,AG$22,FALSE))=0,"",VLOOKUP($B27,Database!$B$1:$IX$10144,AG$22,FALSE)))</f>
        <v>24</v>
      </c>
      <c r="AH27" s="22">
        <f>IF(OR($B27="",AH$22=""),"",IF(LEN(VLOOKUP($B27,Database!$B$1:$IX$10144,AH$22,FALSE))=0,"",VLOOKUP($B27,Database!$B$1:$IX$10144,AH$22,FALSE)))</f>
        <v>1.5</v>
      </c>
      <c r="AI27" s="22" t="str">
        <f>IF(OR($B27="",AI$22=""),"",IF(LEN(VLOOKUP($B27,Database!$B$1:$IX$10144,AI$22,FALSE))=0,"",VLOOKUP($B27,Database!$B$1:$IX$10144,AI$22,FALSE)))</f>
        <v>ns</v>
      </c>
      <c r="AJ27" s="22" t="str">
        <f>IF(OR($B27="",AJ$22=""),"",IF(LEN(VLOOKUP($B27,Database!$B$1:$IX$10144,AJ$22,FALSE))=0,"",VLOOKUP($B27,Database!$B$1:$IX$10144,AJ$22,FALSE)))</f>
        <v/>
      </c>
      <c r="AK27" s="22" t="str">
        <f>IF(OR($B27="",AK$22=""),"",IF(LEN(VLOOKUP($B27,Database!$B$1:$IX$10144,AK$22,FALSE))=0,"",VLOOKUP($B27,Database!$B$1:$IX$10144,AK$22,FALSE)))</f>
        <v>ns</v>
      </c>
      <c r="AL27" s="22" t="str">
        <f>IF(OR($B27="",AL$22=""),"",IF(LEN(VLOOKUP($B27,Database!$B$1:$IX$10144,AL$22,FALSE))=0,"",VLOOKUP($B27,Database!$B$1:$IX$10144,AL$22,FALSE)))</f>
        <v>ns</v>
      </c>
      <c r="AM27" s="22">
        <f>IF(OR($B27="",AM$22=""),"",IF(LEN(VLOOKUP($B27,Database!$B$1:$IX$10144,AM$22,FALSE))=0,"",VLOOKUP($B27,Database!$B$1:$IX$10144,AM$22,FALSE)))</f>
        <v>66.666666666666657</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Lenze E, Cross D, McKeel D, Neuman RJ, Sheline YI.</v>
      </c>
      <c r="AR27" s="13"/>
      <c r="AX27" s="13"/>
      <c r="AY27" s="13"/>
      <c r="AZ27" s="13"/>
      <c r="BA27" s="13"/>
      <c r="BC27" s="23"/>
      <c r="BF27" s="136"/>
      <c r="BG27" s="136"/>
      <c r="BH27" s="136"/>
      <c r="BI27" s="136"/>
    </row>
    <row r="28" spans="1:65">
      <c r="B28">
        <v>15172942</v>
      </c>
      <c r="C28" s="1" t="str">
        <f>IF($B28="","",HYPERLINK(IF(LEN(VLOOKUP($B28,Database!$B$1:$IX$10144,2,FALSE))=0,"",VLOOKUP($B28,Database!$B$1:$IX$10144,2,FALSE))))</f>
        <v/>
      </c>
      <c r="D28" s="1" t="str">
        <f>IF($B28="","",HYPERLINK(CONCATENATE("http://www.ncbi.nlm.nih.gov/pubmed/",B28)))</f>
        <v>http://www.ncbi.nlm.nih.gov/pubmed/15172942</v>
      </c>
      <c r="E28" s="22" t="str">
        <f>IF($B28="","",IF(LEN(VLOOKUP($B28,Database!$B$1:$IX$10144,4,FALSE))=0,"",VLOOKUP($B28,Database!$B$1:$IX$10144,4,FALSE)))</f>
        <v>Lloyd AJ</v>
      </c>
      <c r="F28" s="22">
        <f>IF($B28="","",IF(LEN(VLOOKUP($B28,Database!$B$1:$IX$10144,5,FALSE))=0,"",VLOOKUP($B28,Database!$B$1:$IX$10144,5,FALSE)))</f>
        <v>2004</v>
      </c>
      <c r="G28" s="1" t="str">
        <f>IF($B28="","",HYPERLINK(IF(LEN(VLOOKUP($B28,Database!$B$1:$IX$10144,6,FALSE))=0,"",VLOOKUP($B28,Database!$B$1:$IX$10144,6,FALSE))))</f>
        <v>http://bjp.rcpsych.org/cgi/reprint/184/6/488</v>
      </c>
      <c r="H28" s="83">
        <v>23</v>
      </c>
      <c r="I28" s="83">
        <v>19.5</v>
      </c>
      <c r="J28" s="2" t="s">
        <v>24</v>
      </c>
      <c r="K28" t="s">
        <v>681</v>
      </c>
      <c r="T28">
        <v>3.2</v>
      </c>
      <c r="U28">
        <v>1.71</v>
      </c>
      <c r="V28">
        <v>2.9</v>
      </c>
      <c r="W28">
        <v>1.75</v>
      </c>
      <c r="Y28" s="22" t="str">
        <f>IF(OR($B28="",Y$22=""),"",IF(LEN(VLOOKUP($B28,Database!$B$1:$IX$10144,Y$22,FALSE))=0,"",VLOOKUP($B28,Database!$B$1:$IX$10144,Y$22,FALSE)))</f>
        <v>DSM-IV</v>
      </c>
      <c r="Z28" s="22" t="str">
        <f>IF(OR($B28="",Z$22=""),"",IF(LEN(VLOOKUP($B28,Database!$B$1:$IX$10144,Z$22,FALSE))=0,"",VLOOKUP($B28,Database!$B$1:$IX$10144,Z$22,FALSE)))</f>
        <v>MRI</v>
      </c>
      <c r="AA28" s="214" t="s">
        <v>2445</v>
      </c>
      <c r="AB28" s="83">
        <v>72.7</v>
      </c>
      <c r="AC28" s="83">
        <v>6.7</v>
      </c>
      <c r="AD28" s="22">
        <f>IF(OR($B28="",AD$22=""),"",IF(LEN(VLOOKUP($B28,Database!$B$1:$IX$10144,AD$22,FALSE))=0,"",VLOOKUP($B28,Database!$B$1:$IX$10144,AD$22,FALSE)))</f>
        <v>73.099999999999994</v>
      </c>
      <c r="AE28" s="22">
        <f>IF(OR($B28="",AE$22=""),"",IF(LEN(VLOOKUP($B28,Database!$B$1:$IX$10144,AE$22,FALSE))=0,"",VLOOKUP($B28,Database!$B$1:$IX$10144,AE$22,FALSE)))</f>
        <v>6.7</v>
      </c>
      <c r="AF28" s="83">
        <v>22</v>
      </c>
      <c r="AG28" s="22">
        <f>IF(OR($B28="",AG$22=""),"",IF(LEN(VLOOKUP($B28,Database!$B$1:$IX$10144,AG$22,FALSE))=0,"",VLOOKUP($B28,Database!$B$1:$IX$10144,AG$22,FALSE)))</f>
        <v>29</v>
      </c>
      <c r="AH28" s="22">
        <f>IF(OR($B28="",AH$22=""),"",IF(LEN(VLOOKUP($B28,Database!$B$1:$IX$10144,AH$22,FALSE))=0,"",VLOOKUP($B28,Database!$B$1:$IX$10144,AH$22,FALSE)))</f>
        <v>1</v>
      </c>
      <c r="AI28" s="22">
        <f>IF(OR($B28="",AI$22=""),"",IF(LEN(VLOOKUP($B28,Database!$B$1:$IX$10144,AI$22,FALSE))=0,"",VLOOKUP($B28,Database!$B$1:$IX$10144,AI$22,FALSE)))</f>
        <v>1</v>
      </c>
      <c r="AJ28" s="22" t="str">
        <f>IF(OR($B28="",AJ$22=""),"",IF(LEN(VLOOKUP($B28,Database!$B$1:$IX$10144,AJ$22,FALSE))=0,"",VLOOKUP($B28,Database!$B$1:$IX$10144,AJ$22,FALSE)))</f>
        <v/>
      </c>
      <c r="AK28" s="83">
        <v>38.700000000000003</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Lloyd AJ, Ferrier IN, Barber R, Gholkar A, Young AH, O'Brien JT.</v>
      </c>
      <c r="AR28" s="13"/>
      <c r="AU28" s="22"/>
      <c r="AX28" s="13"/>
      <c r="AY28" s="13"/>
      <c r="AZ28" s="13"/>
      <c r="BA28" s="13"/>
      <c r="BC28" s="23"/>
      <c r="BF28" s="136"/>
      <c r="BG28" s="136"/>
      <c r="BH28" s="136"/>
      <c r="BI28" s="136"/>
    </row>
    <row r="29" spans="1:65">
      <c r="B29">
        <v>15172942</v>
      </c>
      <c r="C29" s="1" t="str">
        <f>IF($B29="","",HYPERLINK(IF(LEN(VLOOKUP($B29,Database!$B$1:$IX$10144,2,FALSE))=0,"",VLOOKUP($B29,Database!$B$1:$IX$10144,2,FALSE))))</f>
        <v/>
      </c>
      <c r="D29" s="1" t="str">
        <f>IF($B29="","",HYPERLINK(CONCATENATE("http://www.ncbi.nlm.nih.gov/pubmed/",B29)))</f>
        <v>http://www.ncbi.nlm.nih.gov/pubmed/15172942</v>
      </c>
      <c r="E29" s="22" t="str">
        <f>IF($B29="","",IF(LEN(VLOOKUP($B29,Database!$B$1:$IX$10144,4,FALSE))=0,"",VLOOKUP($B29,Database!$B$1:$IX$10144,4,FALSE)))</f>
        <v>Lloyd AJ</v>
      </c>
      <c r="F29" s="22">
        <f>IF($B29="","",IF(LEN(VLOOKUP($B29,Database!$B$1:$IX$10144,5,FALSE))=0,"",VLOOKUP($B29,Database!$B$1:$IX$10144,5,FALSE)))</f>
        <v>2004</v>
      </c>
      <c r="G29" s="1" t="str">
        <f>IF($B29="","",HYPERLINK(IF(LEN(VLOOKUP($B29,Database!$B$1:$IX$10144,6,FALSE))=0,"",VLOOKUP($B29,Database!$B$1:$IX$10144,6,FALSE))))</f>
        <v>http://bjp.rcpsych.org/cgi/reprint/184/6/488</v>
      </c>
      <c r="H29" s="83">
        <v>28</v>
      </c>
      <c r="I29" s="83">
        <v>19.5</v>
      </c>
      <c r="J29" s="2" t="s">
        <v>24</v>
      </c>
      <c r="K29" t="s">
        <v>682</v>
      </c>
      <c r="T29">
        <v>3.6</v>
      </c>
      <c r="U29">
        <v>1.59</v>
      </c>
      <c r="V29">
        <v>2.9</v>
      </c>
      <c r="W29">
        <v>1.75</v>
      </c>
      <c r="Y29" s="22" t="str">
        <f>IF(OR($B29="",Y$22=""),"",IF(LEN(VLOOKUP($B29,Database!$B$1:$IX$10144,Y$22,FALSE))=0,"",VLOOKUP($B29,Database!$B$1:$IX$10144,Y$22,FALSE)))</f>
        <v>DSM-IV</v>
      </c>
      <c r="Z29" s="22" t="str">
        <f>IF(OR($B29="",Z$22=""),"",IF(LEN(VLOOKUP($B29,Database!$B$1:$IX$10144,Z$22,FALSE))=0,"",VLOOKUP($B29,Database!$B$1:$IX$10144,Z$22,FALSE)))</f>
        <v>MRI</v>
      </c>
      <c r="AA29" s="214" t="s">
        <v>2446</v>
      </c>
      <c r="AB29" s="83">
        <v>75.099999999999994</v>
      </c>
      <c r="AC29" s="83">
        <v>5.8</v>
      </c>
      <c r="AD29" s="22">
        <f>IF(OR($B29="",AD$22=""),"",IF(LEN(VLOOKUP($B29,Database!$B$1:$IX$10144,AD$22,FALSE))=0,"",VLOOKUP($B29,Database!$B$1:$IX$10144,AD$22,FALSE)))</f>
        <v>73.099999999999994</v>
      </c>
      <c r="AE29" s="22">
        <f>IF(OR($B29="",AE$22=""),"",IF(LEN(VLOOKUP($B29,Database!$B$1:$IX$10144,AE$22,FALSE))=0,"",VLOOKUP($B29,Database!$B$1:$IX$10144,AE$22,FALSE)))</f>
        <v>6.7</v>
      </c>
      <c r="AF29" s="83">
        <v>19</v>
      </c>
      <c r="AG29" s="22">
        <f>IF(OR($B29="",AG$22=""),"",IF(LEN(VLOOKUP($B29,Database!$B$1:$IX$10144,AG$22,FALSE))=0,"",VLOOKUP($B29,Database!$B$1:$IX$10144,AG$22,FALSE)))</f>
        <v>29</v>
      </c>
      <c r="AH29" s="22">
        <f>IF(OR($B29="",AH$22=""),"",IF(LEN(VLOOKUP($B29,Database!$B$1:$IX$10144,AH$22,FALSE))=0,"",VLOOKUP($B29,Database!$B$1:$IX$10144,AH$22,FALSE)))</f>
        <v>1</v>
      </c>
      <c r="AI29" s="22">
        <f>IF(OR($B29="",AI$22=""),"",IF(LEN(VLOOKUP($B29,Database!$B$1:$IX$10144,AI$22,FALSE))=0,"",VLOOKUP($B29,Database!$B$1:$IX$10144,AI$22,FALSE)))</f>
        <v>1</v>
      </c>
      <c r="AJ29" s="22" t="str">
        <f>IF(OR($B29="",AJ$22=""),"",IF(LEN(VLOOKUP($B29,Database!$B$1:$IX$10144,AJ$22,FALSE))=0,"",VLOOKUP($B29,Database!$B$1:$IX$10144,AJ$22,FALSE)))</f>
        <v/>
      </c>
      <c r="AK29" s="83">
        <v>72</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Lloyd AJ, Ferrier IN, Barber R, Gholkar A, Young AH, O'Brien JT.</v>
      </c>
      <c r="AR29" s="13"/>
      <c r="AU29" s="22"/>
      <c r="AX29" s="13"/>
      <c r="AY29" s="13"/>
      <c r="AZ29" s="13"/>
      <c r="BA29" s="13"/>
      <c r="BC29" s="23"/>
      <c r="BF29" s="136"/>
      <c r="BG29" s="136"/>
      <c r="BH29" s="136"/>
      <c r="BI29" s="136"/>
    </row>
    <row r="30" spans="1:65">
      <c r="B30">
        <v>16298109</v>
      </c>
      <c r="C30" s="1" t="str">
        <f>IF($B30="","",HYPERLINK(IF(LEN(VLOOKUP($B30,Database!$B$1:$IX$10144,2,FALSE))=0,"",VLOOKUP($B30,Database!$B$1:$IX$10144,2,FALSE))))</f>
        <v/>
      </c>
      <c r="D30" s="1" t="str">
        <f t="shared" si="0"/>
        <v>http://www.ncbi.nlm.nih.gov/pubmed/16298109</v>
      </c>
      <c r="E30" s="22" t="str">
        <f>IF($B30="","",IF(LEN(VLOOKUP($B30,Database!$B$1:$IX$10144,4,FALSE))=0,"",VLOOKUP($B30,Database!$B$1:$IX$10144,4,FALSE)))</f>
        <v>Iosifescu DV</v>
      </c>
      <c r="F30" s="22">
        <f>IF($B30="","",IF(LEN(VLOOKUP($B30,Database!$B$1:$IX$10144,5,FALSE))=0,"",VLOOKUP($B30,Database!$B$1:$IX$10144,5,FALSE)))</f>
        <v>2005</v>
      </c>
      <c r="G30" s="1" t="str">
        <f>IF($B30="","",HYPERLINK(IF(LEN(VLOOKUP($B30,Database!$B$1:$IX$10144,6,FALSE))=0,"",VLOOKUP($B30,Database!$B$1:$IX$10144,6,FALSE))))</f>
        <v>http://dx.doi.org/10.1016/j.pscychresns.2005.09.003</v>
      </c>
      <c r="H30" s="83">
        <v>15</v>
      </c>
      <c r="I30" s="83">
        <v>17.5</v>
      </c>
      <c r="J30" s="2" t="s">
        <v>5</v>
      </c>
      <c r="K30" t="s">
        <v>1268</v>
      </c>
      <c r="T30">
        <v>0.61</v>
      </c>
      <c r="U30">
        <v>0.5</v>
      </c>
      <c r="V30">
        <v>0.45</v>
      </c>
      <c r="W30">
        <v>0.56000000000000005</v>
      </c>
      <c r="Y30" s="22" t="str">
        <f>IF(OR($B30="",Y$22=""),"",IF(LEN(VLOOKUP($B30,Database!$B$1:$IX$10144,Y$22,FALSE))=0,"",VLOOKUP($B30,Database!$B$1:$IX$10144,Y$22,FALSE)))</f>
        <v>DSM-IV</v>
      </c>
      <c r="Z30" s="22" t="str">
        <f>IF(OR($B30="",Z$22=""),"",IF(LEN(VLOOKUP($B30,Database!$B$1:$IX$10144,Z$22,FALSE))=0,"",VLOOKUP($B30,Database!$B$1:$IX$10144,Z$22,FALSE)))</f>
        <v>MRI</v>
      </c>
      <c r="AA30" s="214" t="s">
        <v>2465</v>
      </c>
      <c r="AB30" s="22">
        <f>IF(OR($B30="",AB$22=""),"",IF(LEN(VLOOKUP($B30,Database!$B$1:$IX$10144,AB$22,FALSE))=0,"",VLOOKUP($B30,Database!$B$1:$IX$10144,AB$22,FALSE)))</f>
        <v>40.6</v>
      </c>
      <c r="AC30" s="22">
        <f>IF(OR($B30="",AC$22=""),"",IF(LEN(VLOOKUP($B30,Database!$B$1:$IX$10144,AC$22,FALSE))=0,"",VLOOKUP($B30,Database!$B$1:$IX$10144,AC$22,FALSE)))</f>
        <v>10.3</v>
      </c>
      <c r="AD30" s="22">
        <f>IF(OR($B30="",AD$22=""),"",IF(LEN(VLOOKUP($B30,Database!$B$1:$IX$10144,AD$22,FALSE))=0,"",VLOOKUP($B30,Database!$B$1:$IX$10144,AD$22,FALSE)))</f>
        <v>39.200000000000003</v>
      </c>
      <c r="AE30" s="22">
        <f>IF(OR($B30="",AE$22=""),"",IF(LEN(VLOOKUP($B30,Database!$B$1:$IX$10144,AE$22,FALSE))=0,"",VLOOKUP($B30,Database!$B$1:$IX$10144,AE$22,FALSE)))</f>
        <v>9.8000000000000007</v>
      </c>
      <c r="AF30" s="22">
        <f>IF(OR($B30="",AF$22=""),"",IF(LEN(VLOOKUP($B30,Database!$B$1:$IX$10144,AF$22,FALSE))=0,"",VLOOKUP($B30,Database!$B$1:$IX$10144,AF$22,FALSE)))</f>
        <v>17</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5</v>
      </c>
      <c r="AJ30" s="22" t="str">
        <f>IF(OR($B30="",AJ$22=""),"",IF(LEN(VLOOKUP($B30,Database!$B$1:$IX$10144,AJ$22,FALSE))=0,"",VLOOKUP($B30,Database!$B$1:$IX$10144,AJ$22,FALSE)))</f>
        <v/>
      </c>
      <c r="AK30" s="22">
        <f>IF(OR($B30="",AK$22=""),"",IF(LEN(VLOOKUP($B30,Database!$B$1:$IX$10144,AK$22,FALSE))=0,"",VLOOKUP($B30,Database!$B$1:$IX$10144,AK$22,FALSE)))</f>
        <v>27.8</v>
      </c>
      <c r="AL30" s="22">
        <f>IF(OR($B30="",AL$22=""),"",IF(LEN(VLOOKUP($B30,Database!$B$1:$IX$10144,AL$22,FALSE))=0,"",VLOOKUP($B30,Database!$B$1:$IX$10144,AL$22,FALSE)))</f>
        <v>19.899999999999999</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f>IF(OR($B30="",AP$22=""),"",IF(LEN(VLOOKUP($B30,Database!$B$1:$IX$10144,AP$22,FALSE))=0,"",VLOOKUP($B30,Database!$B$1:$IX$10144,AP$22,FALSE)))</f>
        <v>100</v>
      </c>
      <c r="AQ30" s="22" t="str">
        <f>IF(OR($B30="",AQ$22=""),"",IF(LEN(VLOOKUP($B30,Database!$B$1:$IX$10144,AQ$22,FALSE))=0,"",VLOOKUP($B30,Database!$B$1:$IX$10144,AQ$22,FALSE)))</f>
        <v>Iosifescu DV, Papakostas GI, Lyoo IK, Lee HK, Renshaw PF, Alpert JE, Nierenberg A, Fava M.</v>
      </c>
      <c r="AR30" s="13"/>
      <c r="AU30" s="22"/>
      <c r="AX30" s="13"/>
      <c r="AY30" s="13"/>
      <c r="AZ30" s="13"/>
      <c r="BA30" s="13"/>
      <c r="BC30" s="23"/>
      <c r="BF30" s="136"/>
      <c r="BG30" s="136"/>
      <c r="BH30" s="136"/>
      <c r="BI30" s="136"/>
    </row>
    <row r="31" spans="1:65">
      <c r="B31">
        <v>16298109</v>
      </c>
      <c r="C31" s="1" t="str">
        <f>IF($B31="","",HYPERLINK(IF(LEN(VLOOKUP($B31,Database!$B$1:$IX$10144,2,FALSE))=0,"",VLOOKUP($B31,Database!$B$1:$IX$10144,2,FALSE))))</f>
        <v/>
      </c>
      <c r="D31" s="1" t="str">
        <f t="shared" si="0"/>
        <v>http://www.ncbi.nlm.nih.gov/pubmed/16298109</v>
      </c>
      <c r="E31" s="22" t="str">
        <f>IF($B31="","",IF(LEN(VLOOKUP($B31,Database!$B$1:$IX$10144,4,FALSE))=0,"",VLOOKUP($B31,Database!$B$1:$IX$10144,4,FALSE)))</f>
        <v>Iosifescu DV</v>
      </c>
      <c r="F31" s="22">
        <f>IF($B31="","",IF(LEN(VLOOKUP($B31,Database!$B$1:$IX$10144,5,FALSE))=0,"",VLOOKUP($B31,Database!$B$1:$IX$10144,5,FALSE)))</f>
        <v>2005</v>
      </c>
      <c r="G31" s="1" t="str">
        <f>IF($B31="","",HYPERLINK(IF(LEN(VLOOKUP($B31,Database!$B$1:$IX$10144,6,FALSE))=0,"",VLOOKUP($B31,Database!$B$1:$IX$10144,6,FALSE))))</f>
        <v>http://dx.doi.org/10.1016/j.pscychresns.2005.09.003</v>
      </c>
      <c r="H31" s="83">
        <v>35</v>
      </c>
      <c r="I31" s="83">
        <v>17.5</v>
      </c>
      <c r="J31" s="2" t="s">
        <v>5</v>
      </c>
      <c r="K31" t="s">
        <v>1269</v>
      </c>
      <c r="T31">
        <v>0.54</v>
      </c>
      <c r="U31">
        <v>0.6</v>
      </c>
      <c r="V31">
        <v>0.45</v>
      </c>
      <c r="W31">
        <v>0.56000000000000005</v>
      </c>
      <c r="Y31" s="22" t="str">
        <f>IF(OR($B31="",Y$22=""),"",IF(LEN(VLOOKUP($B31,Database!$B$1:$IX$10144,Y$22,FALSE))=0,"",VLOOKUP($B31,Database!$B$1:$IX$10144,Y$22,FALSE)))</f>
        <v>DSM-IV</v>
      </c>
      <c r="Z31" s="22" t="str">
        <f>IF(OR($B31="",Z$22=""),"",IF(LEN(VLOOKUP($B31,Database!$B$1:$IX$10144,Z$22,FALSE))=0,"",VLOOKUP($B31,Database!$B$1:$IX$10144,Z$22,FALSE)))</f>
        <v>MRI</v>
      </c>
      <c r="AA31" s="214" t="s">
        <v>2462</v>
      </c>
      <c r="AB31" s="22">
        <f>IF(OR($B31="",AB$22=""),"",IF(LEN(VLOOKUP($B31,Database!$B$1:$IX$10144,AB$22,FALSE))=0,"",VLOOKUP($B31,Database!$B$1:$IX$10144,AB$22,FALSE)))</f>
        <v>40.6</v>
      </c>
      <c r="AC31" s="22">
        <f>IF(OR($B31="",AC$22=""),"",IF(LEN(VLOOKUP($B31,Database!$B$1:$IX$10144,AC$22,FALSE))=0,"",VLOOKUP($B31,Database!$B$1:$IX$10144,AC$22,FALSE)))</f>
        <v>10.3</v>
      </c>
      <c r="AD31" s="22">
        <f>IF(OR($B31="",AD$22=""),"",IF(LEN(VLOOKUP($B31,Database!$B$1:$IX$10144,AD$22,FALSE))=0,"",VLOOKUP($B31,Database!$B$1:$IX$10144,AD$22,FALSE)))</f>
        <v>39.200000000000003</v>
      </c>
      <c r="AE31" s="22">
        <f>IF(OR($B31="",AE$22=""),"",IF(LEN(VLOOKUP($B31,Database!$B$1:$IX$10144,AE$22,FALSE))=0,"",VLOOKUP($B31,Database!$B$1:$IX$10144,AE$22,FALSE)))</f>
        <v>9.8000000000000007</v>
      </c>
      <c r="AF31" s="22">
        <f>IF(OR($B31="",AF$22=""),"",IF(LEN(VLOOKUP($B31,Database!$B$1:$IX$10144,AF$22,FALSE))=0,"",VLOOKUP($B31,Database!$B$1:$IX$10144,AF$22,FALSE)))</f>
        <v>17</v>
      </c>
      <c r="AG31" s="22">
        <f>IF(OR($B31="",AG$22=""),"",IF(LEN(VLOOKUP($B31,Database!$B$1:$IX$10144,AG$22,FALSE))=0,"",VLOOKUP($B31,Database!$B$1:$IX$10144,AG$22,FALSE)))</f>
        <v>14</v>
      </c>
      <c r="AH31" s="22">
        <f>IF(OR($B31="",AH$22=""),"",IF(LEN(VLOOKUP($B31,Database!$B$1:$IX$10144,AH$22,FALSE))=0,"",VLOOKUP($B31,Database!$B$1:$IX$10144,AH$22,FALSE)))</f>
        <v>1.5</v>
      </c>
      <c r="AI31" s="22">
        <f>IF(OR($B31="",AI$22=""),"",IF(LEN(VLOOKUP($B31,Database!$B$1:$IX$10144,AI$22,FALSE))=0,"",VLOOKUP($B31,Database!$B$1:$IX$10144,AI$22,FALSE)))</f>
        <v>5</v>
      </c>
      <c r="AJ31" s="22" t="str">
        <f>IF(OR($B31="",AJ$22=""),"",IF(LEN(VLOOKUP($B31,Database!$B$1:$IX$10144,AJ$22,FALSE))=0,"",VLOOKUP($B31,Database!$B$1:$IX$10144,AJ$22,FALSE)))</f>
        <v/>
      </c>
      <c r="AK31" s="22">
        <f>IF(OR($B31="",AK$22=""),"",IF(LEN(VLOOKUP($B31,Database!$B$1:$IX$10144,AK$22,FALSE))=0,"",VLOOKUP($B31,Database!$B$1:$IX$10144,AK$22,FALSE)))</f>
        <v>27.8</v>
      </c>
      <c r="AL31" s="22">
        <f>IF(OR($B31="",AL$22=""),"",IF(LEN(VLOOKUP($B31,Database!$B$1:$IX$10144,AL$22,FALSE))=0,"",VLOOKUP($B31,Database!$B$1:$IX$10144,AL$22,FALSE)))</f>
        <v>19.899999999999999</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f>IF(OR($B31="",AP$22=""),"",IF(LEN(VLOOKUP($B31,Database!$B$1:$IX$10144,AP$22,FALSE))=0,"",VLOOKUP($B31,Database!$B$1:$IX$10144,AP$22,FALSE)))</f>
        <v>100</v>
      </c>
      <c r="AQ31" s="22" t="str">
        <f>IF(OR($B31="",AQ$22=""),"",IF(LEN(VLOOKUP($B31,Database!$B$1:$IX$10144,AQ$22,FALSE))=0,"",VLOOKUP($B31,Database!$B$1:$IX$10144,AQ$22,FALSE)))</f>
        <v>Iosifescu DV, Papakostas GI, Lyoo IK, Lee HK, Renshaw PF, Alpert JE, Nierenberg A, Fava M.</v>
      </c>
      <c r="AR31" s="13"/>
      <c r="AU31" s="22"/>
      <c r="AX31" s="13"/>
      <c r="AY31" s="13"/>
      <c r="AZ31" s="13"/>
      <c r="BA31" s="13"/>
      <c r="BC31" s="23"/>
      <c r="BF31" s="136"/>
      <c r="BG31" s="136"/>
      <c r="BH31" s="136"/>
      <c r="BI31" s="136"/>
    </row>
    <row r="32" spans="1:65">
      <c r="B32">
        <v>16248124</v>
      </c>
      <c r="C32" s="1" t="str">
        <f>IF($B32="","",HYPERLINK(IF(LEN(VLOOKUP($B32,Database!$B$1:$IX$10144,2,FALSE))=0,"",VLOOKUP($B32,Database!$B$1:$IX$10144,2,FALSE))))</f>
        <v/>
      </c>
      <c r="D32" s="1" t="str">
        <f t="shared" si="0"/>
        <v>http://www.ncbi.nlm.nih.gov/pubmed/16248124</v>
      </c>
      <c r="E32" s="22" t="str">
        <f>IF($B32="","",IF(LEN(VLOOKUP($B32,Database!$B$1:$IX$10144,4,FALSE))=0,"",VLOOKUP($B32,Database!$B$1:$IX$10144,4,FALSE)))</f>
        <v>Lin HF</v>
      </c>
      <c r="F32" s="22">
        <f>IF($B32="","",IF(LEN(VLOOKUP($B32,Database!$B$1:$IX$10144,5,FALSE))=0,"",VLOOKUP($B32,Database!$B$1:$IX$10144,5,FALSE)))</f>
        <v>2005</v>
      </c>
      <c r="G32" s="1" t="str">
        <f>IF($B32="","",HYPERLINK(IF(LEN(VLOOKUP($B32,Database!$B$1:$IX$10144,6,FALSE))=0,"",VLOOKUP($B32,Database!$B$1:$IX$10144,6,FALSE))))</f>
        <v>http://ajws.elsevier.com/ajws_archive/20059219A1045.pdf</v>
      </c>
      <c r="H32" s="22">
        <f>IF($B32="","",IF(LEN(VLOOKUP($B32,Database!$B$1:$IX$10144,7,FALSE))=0,"",VLOOKUP($B32,Database!$B$1:$IX$10144,7,FALSE)))</f>
        <v>37</v>
      </c>
      <c r="I32" s="22">
        <f>IF($B32="","",IF(LEN(VLOOKUP($B32,Database!$B$1:$IX$10144,8,FALSE))=0,"",VLOOKUP($B32,Database!$B$1:$IX$10144,8,FALSE)))</f>
        <v>18</v>
      </c>
      <c r="J32" s="2" t="s">
        <v>6</v>
      </c>
      <c r="T32">
        <v>1.52</v>
      </c>
      <c r="U32">
        <v>0.8</v>
      </c>
      <c r="V32">
        <v>0.88</v>
      </c>
      <c r="W32">
        <v>0.86</v>
      </c>
      <c r="X32" s="151"/>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72.2</v>
      </c>
      <c r="AC32" s="22">
        <f>IF(OR($B32="",AC$22=""),"",IF(LEN(VLOOKUP($B32,Database!$B$1:$IX$10144,AC$22,FALSE))=0,"",VLOOKUP($B32,Database!$B$1:$IX$10144,AC$22,FALSE)))</f>
        <v>3.6</v>
      </c>
      <c r="AD32" s="22">
        <f>IF(OR($B32="",AD$22=""),"",IF(LEN(VLOOKUP($B32,Database!$B$1:$IX$10144,AD$22,FALSE))=0,"",VLOOKUP($B32,Database!$B$1:$IX$10144,AD$22,FALSE)))</f>
        <v>70.2</v>
      </c>
      <c r="AE32" s="22">
        <f>IF(OR($B32="",AE$22=""),"",IF(LEN(VLOOKUP($B32,Database!$B$1:$IX$10144,AE$22,FALSE))=0,"",VLOOKUP($B32,Database!$B$1:$IX$10144,AE$22,FALSE)))</f>
        <v>4.7</v>
      </c>
      <c r="AF32" s="22">
        <f>IF(OR($B32="",AF$22=""),"",IF(LEN(VLOOKUP($B32,Database!$B$1:$IX$10144,AF$22,FALSE))=0,"",VLOOKUP($B32,Database!$B$1:$IX$10144,AF$22,FALSE)))</f>
        <v>23</v>
      </c>
      <c r="AG32" s="22">
        <f>IF(OR($B32="",AG$22=""),"",IF(LEN(VLOOKUP($B32,Database!$B$1:$IX$10144,AG$22,FALSE))=0,"",VLOOKUP($B32,Database!$B$1:$IX$10144,AG$22,FALSE)))</f>
        <v>12</v>
      </c>
      <c r="AH32" s="22">
        <f>IF(OR($B32="",AH$22=""),"",IF(LEN(VLOOKUP($B32,Database!$B$1:$IX$10144,AH$22,FALSE))=0,"",VLOOKUP($B32,Database!$B$1:$IX$10144,AH$22,FALSE)))</f>
        <v>3</v>
      </c>
      <c r="AI32" s="22">
        <f>IF(OR($B32="",AI$22=""),"",IF(LEN(VLOOKUP($B32,Database!$B$1:$IX$10144,AI$22,FALSE))=0,"",VLOOKUP($B32,Database!$B$1:$IX$10144,AI$22,FALSE)))</f>
        <v>5</v>
      </c>
      <c r="AJ32" s="22" t="str">
        <f>IF(OR($B32="",AJ$22=""),"",IF(LEN(VLOOKUP($B32,Database!$B$1:$IX$10144,AJ$22,FALSE))=0,"",VLOOKUP($B32,Database!$B$1:$IX$10144,AJ$22,FALSE)))</f>
        <v/>
      </c>
      <c r="AK32" s="22">
        <f>IF(OR($B32="",AK$22=""),"",IF(LEN(VLOOKUP($B32,Database!$B$1:$IX$10144,AK$22,FALSE))=0,"",VLOOKUP($B32,Database!$B$1:$IX$10144,AK$22,FALSE)))</f>
        <v>63.7</v>
      </c>
      <c r="AL32" s="22">
        <f>IF(OR($B32="",AL$22=""),"",IF(LEN(VLOOKUP($B32,Database!$B$1:$IX$10144,AL$22,FALSE))=0,"",VLOOKUP($B32,Database!$B$1:$IX$10144,AL$22,FALSE)))</f>
        <v>21.9</v>
      </c>
      <c r="AM32" s="22" t="str">
        <f>IF(OR($B32="",AM$22=""),"",IF(LEN(VLOOKUP($B32,Database!$B$1:$IX$10144,AM$22,FALSE))=0,"",VLOOKUP($B32,Database!$B$1:$IX$10144,AM$22,FALSE)))</f>
        <v>ns</v>
      </c>
      <c r="AN32" s="22" t="str">
        <f>IF(OR($B32="",AN$22=""),"",IF(LEN(VLOOKUP($B32,Database!$B$1:$IX$10144,AN$22,FALSE))=0,"",VLOOKUP($B32,Database!$B$1:$IX$10144,AN$22,FALSE)))</f>
        <v>ns</v>
      </c>
      <c r="AO32" s="22" t="str">
        <f>IF(OR($B32="",AO$22=""),"",IF(LEN(VLOOKUP($B32,Database!$B$1:$IX$10144,AO$22,FALSE))=0,"",VLOOKUP($B32,Database!$B$1:$IX$10144,AO$22,FALSE)))</f>
        <v>ns</v>
      </c>
      <c r="AP32" s="22" t="str">
        <f>IF(OR($B32="",AP$22=""),"",IF(LEN(VLOOKUP($B32,Database!$B$1:$IX$10144,AP$22,FALSE))=0,"",VLOOKUP($B32,Database!$B$1:$IX$10144,AP$22,FALSE)))</f>
        <v>ns</v>
      </c>
      <c r="AQ32" s="22" t="str">
        <f>IF(OR($B32="",AQ$22=""),"",IF(LEN(VLOOKUP($B32,Database!$B$1:$IX$10144,AQ$22,FALSE))=0,"",VLOOKUP($B32,Database!$B$1:$IX$10144,AQ$22,FALSE)))</f>
        <v>Lin HF, Kuo YT, Chiang IC, Chen HM, Chen CS.</v>
      </c>
      <c r="AR32" s="13"/>
      <c r="AX32" s="13"/>
      <c r="AY32" s="13"/>
      <c r="AZ32" s="13"/>
      <c r="BA32" s="13"/>
      <c r="BC32" s="23"/>
      <c r="BF32" s="136"/>
      <c r="BG32" s="136"/>
      <c r="BH32" s="136"/>
      <c r="BI32" s="136"/>
    </row>
    <row r="33" spans="1:61">
      <c r="B33">
        <v>16894588</v>
      </c>
      <c r="C33" s="1" t="str">
        <f>IF($B33="","",HYPERLINK(IF(LEN(VLOOKUP($B33,Database!$B$1:$IX$10144,2,FALSE))=0,"",VLOOKUP($B33,Database!$B$1:$IX$10144,2,FALSE))))</f>
        <v/>
      </c>
      <c r="D33" s="1" t="str">
        <f>IF($B33="","",HYPERLINK(CONCATENATE("http://www.ncbi.nlm.nih.gov/pubmed/",B33)))</f>
        <v>http://www.ncbi.nlm.nih.gov/pubmed/16894588</v>
      </c>
      <c r="E33" s="22" t="str">
        <f>IF($B33="","",IF(LEN(VLOOKUP($B33,Database!$B$1:$IX$10144,4,FALSE))=0,"",VLOOKUP($B33,Database!$B$1:$IX$10144,4,FALSE)))</f>
        <v>Naish JH</v>
      </c>
      <c r="F33" s="22">
        <f>IF($B33="","",IF(LEN(VLOOKUP($B33,Database!$B$1:$IX$10144,5,FALSE))=0,"",VLOOKUP($B33,Database!$B$1:$IX$10144,5,FALSE)))</f>
        <v>2006</v>
      </c>
      <c r="G33" s="1" t="str">
        <f>IF($B33="","",HYPERLINK(IF(LEN(VLOOKUP($B33,Database!$B$1:$IX$10144,6,FALSE))=0,"",VLOOKUP($B33,Database!$B$1:$IX$10144,6,FALSE))))</f>
        <v>http://dx.doi.org/10.1016/j.biopsych.2006.04.013</v>
      </c>
      <c r="H33" s="83">
        <v>21</v>
      </c>
      <c r="I33" s="83">
        <v>11</v>
      </c>
      <c r="J33" t="s">
        <v>212</v>
      </c>
      <c r="K33" t="s">
        <v>148</v>
      </c>
      <c r="T33">
        <v>3.05</v>
      </c>
      <c r="U33">
        <v>4.2300000000000004</v>
      </c>
      <c r="V33">
        <v>2.72</v>
      </c>
      <c r="W33">
        <v>1.72</v>
      </c>
      <c r="Y33" s="22" t="str">
        <f>IF(OR($B33="",Y$22=""),"",IF(LEN(VLOOKUP($B33,Database!$B$1:$IX$10144,Y$22,FALSE))=0,"",VLOOKUP($B33,Database!$B$1:$IX$10144,Y$22,FALSE)))</f>
        <v>DSM-IV</v>
      </c>
      <c r="Z33" s="22" t="str">
        <f>IF(OR($B33="",Z$22=""),"",IF(LEN(VLOOKUP($B33,Database!$B$1:$IX$10144,Z$22,FALSE))=0,"",VLOOKUP($B33,Database!$B$1:$IX$10144,Z$22,FALSE)))</f>
        <v>MRI</v>
      </c>
      <c r="AA33" s="214" t="s">
        <v>2463</v>
      </c>
      <c r="AB33" s="22">
        <f>IF(OR($B33="",AB$22=""),"",IF(LEN(VLOOKUP($B33,Database!$B$1:$IX$10144,AB$22,FALSE))=0,"",VLOOKUP($B33,Database!$B$1:$IX$10144,AB$22,FALSE)))</f>
        <v>71</v>
      </c>
      <c r="AC33" s="22">
        <f>IF(OR($B33="",AC$22=""),"",IF(LEN(VLOOKUP($B33,Database!$B$1:$IX$10144,AC$22,FALSE))=0,"",VLOOKUP($B33,Database!$B$1:$IX$10144,AC$22,FALSE)))</f>
        <v>6.54</v>
      </c>
      <c r="AD33" s="22">
        <f>IF(OR($B33="",AD$22=""),"",IF(LEN(VLOOKUP($B33,Database!$B$1:$IX$10144,AD$22,FALSE))=0,"",VLOOKUP($B33,Database!$B$1:$IX$10144,AD$22,FALSE)))</f>
        <v>72.900000000000006</v>
      </c>
      <c r="AE33" s="22">
        <f>IF(OR($B33="",AE$22=""),"",IF(LEN(VLOOKUP($B33,Database!$B$1:$IX$10144,AE$22,FALSE))=0,"",VLOOKUP($B33,Database!$B$1:$IX$10144,AE$22,FALSE)))</f>
        <v>5.38</v>
      </c>
      <c r="AF33" s="22">
        <f>IF(OR($B33="",AF$22=""),"",IF(LEN(VLOOKUP($B33,Database!$B$1:$IX$10144,AF$22,FALSE))=0,"",VLOOKUP($B33,Database!$B$1:$IX$10144,AF$22,FALSE)))</f>
        <v>12</v>
      </c>
      <c r="AG33" s="22">
        <f>IF(OR($B33="",AG$22=""),"",IF(LEN(VLOOKUP($B33,Database!$B$1:$IX$10144,AG$22,FALSE))=0,"",VLOOKUP($B33,Database!$B$1:$IX$10144,AG$22,FALSE)))</f>
        <v>16</v>
      </c>
      <c r="AH33" s="22">
        <f>IF(OR($B33="",AH$22=""),"",IF(LEN(VLOOKUP($B33,Database!$B$1:$IX$10144,AH$22,FALSE))=0,"",VLOOKUP($B33,Database!$B$1:$IX$10144,AH$22,FALSE)))</f>
        <v>1.5</v>
      </c>
      <c r="AI33" s="22">
        <f>IF(OR($B33="",AI$22=""),"",IF(LEN(VLOOKUP($B33,Database!$B$1:$IX$10144,AI$22,FALSE))=0,"",VLOOKUP($B33,Database!$B$1:$IX$10144,AI$22,FALSE)))</f>
        <v>3</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t="str">
        <f>IF(OR($B33="",AO$22=""),"",IF(LEN(VLOOKUP($B33,Database!$B$1:$IX$10144,AO$22,FALSE))=0,"",VLOOKUP($B33,Database!$B$1:$IX$10144,AO$22,FALSE)))</f>
        <v>ns</v>
      </c>
      <c r="AP33" s="22" t="str">
        <f>IF(OR($B33="",AP$22=""),"",IF(LEN(VLOOKUP($B33,Database!$B$1:$IX$10144,AP$22,FALSE))=0,"",VLOOKUP($B33,Database!$B$1:$IX$10144,AP$22,FALSE)))</f>
        <v>ns</v>
      </c>
      <c r="AQ33" s="22" t="str">
        <f>IF(OR($B33="",AQ$22=""),"",IF(LEN(VLOOKUP($B33,Database!$B$1:$IX$10144,AQ$22,FALSE))=0,"",VLOOKUP($B33,Database!$B$1:$IX$10144,AQ$22,FALSE)))</f>
        <v>Naish JH, Baldwin RC, Patankar T, Jeffries S, Burns AS, Taylor CJ, Waterton JC, Jackson A.</v>
      </c>
      <c r="AR33" s="13"/>
      <c r="AU33" s="22"/>
      <c r="AX33" s="13"/>
      <c r="AY33" s="13"/>
      <c r="AZ33" s="13"/>
      <c r="BA33" s="13"/>
      <c r="BC33" s="23"/>
      <c r="BF33" s="136"/>
      <c r="BG33" s="136"/>
      <c r="BH33" s="136"/>
      <c r="BI33" s="136"/>
    </row>
    <row r="34" spans="1:61">
      <c r="B34">
        <v>16894588</v>
      </c>
      <c r="C34" s="1" t="str">
        <f>IF($B34="","",HYPERLINK(IF(LEN(VLOOKUP($B34,Database!$B$1:$IX$10144,2,FALSE))=0,"",VLOOKUP($B34,Database!$B$1:$IX$10144,2,FALSE))))</f>
        <v/>
      </c>
      <c r="D34" s="1" t="str">
        <f>IF($B34="","",HYPERLINK(CONCATENATE("http://www.ncbi.nlm.nih.gov/pubmed/",B34)))</f>
        <v>http://www.ncbi.nlm.nih.gov/pubmed/16894588</v>
      </c>
      <c r="E34" s="22" t="str">
        <f>IF($B34="","",IF(LEN(VLOOKUP($B34,Database!$B$1:$IX$10144,4,FALSE))=0,"",VLOOKUP($B34,Database!$B$1:$IX$10144,4,FALSE)))</f>
        <v>Naish JH</v>
      </c>
      <c r="F34" s="22">
        <f>IF($B34="","",IF(LEN(VLOOKUP($B34,Database!$B$1:$IX$10144,5,FALSE))=0,"",VLOOKUP($B34,Database!$B$1:$IX$10144,5,FALSE)))</f>
        <v>2006</v>
      </c>
      <c r="G34" s="1" t="str">
        <f>IF($B34="","",HYPERLINK(IF(LEN(VLOOKUP($B34,Database!$B$1:$IX$10144,6,FALSE))=0,"",VLOOKUP($B34,Database!$B$1:$IX$10144,6,FALSE))))</f>
        <v>http://dx.doi.org/10.1016/j.biopsych.2006.04.013</v>
      </c>
      <c r="H34" s="83">
        <v>8</v>
      </c>
      <c r="I34" s="83">
        <v>11</v>
      </c>
      <c r="J34" t="s">
        <v>212</v>
      </c>
      <c r="K34" t="s">
        <v>234</v>
      </c>
      <c r="T34">
        <v>4.3</v>
      </c>
      <c r="U34">
        <v>2.71</v>
      </c>
      <c r="V34">
        <v>2.72</v>
      </c>
      <c r="W34">
        <v>1.72</v>
      </c>
      <c r="Y34" s="22" t="str">
        <f>IF(OR($B34="",Y$22=""),"",IF(LEN(VLOOKUP($B34,Database!$B$1:$IX$10144,Y$22,FALSE))=0,"",VLOOKUP($B34,Database!$B$1:$IX$10144,Y$22,FALSE)))</f>
        <v>DSM-IV</v>
      </c>
      <c r="Z34" s="22" t="str">
        <f>IF(OR($B34="",Z$22=""),"",IF(LEN(VLOOKUP($B34,Database!$B$1:$IX$10144,Z$22,FALSE))=0,"",VLOOKUP($B34,Database!$B$1:$IX$10144,Z$22,FALSE)))</f>
        <v>MRI</v>
      </c>
      <c r="AA34" s="214" t="s">
        <v>2464</v>
      </c>
      <c r="AB34" s="22">
        <f>IF(OR($B34="",AB$22=""),"",IF(LEN(VLOOKUP($B34,Database!$B$1:$IX$10144,AB$22,FALSE))=0,"",VLOOKUP($B34,Database!$B$1:$IX$10144,AB$22,FALSE)))</f>
        <v>71</v>
      </c>
      <c r="AC34" s="22">
        <f>IF(OR($B34="",AC$22=""),"",IF(LEN(VLOOKUP($B34,Database!$B$1:$IX$10144,AC$22,FALSE))=0,"",VLOOKUP($B34,Database!$B$1:$IX$10144,AC$22,FALSE)))</f>
        <v>6.54</v>
      </c>
      <c r="AD34" s="22">
        <f>IF(OR($B34="",AD$22=""),"",IF(LEN(VLOOKUP($B34,Database!$B$1:$IX$10144,AD$22,FALSE))=0,"",VLOOKUP($B34,Database!$B$1:$IX$10144,AD$22,FALSE)))</f>
        <v>72.900000000000006</v>
      </c>
      <c r="AE34" s="22">
        <f>IF(OR($B34="",AE$22=""),"",IF(LEN(VLOOKUP($B34,Database!$B$1:$IX$10144,AE$22,FALSE))=0,"",VLOOKUP($B34,Database!$B$1:$IX$10144,AE$22,FALSE)))</f>
        <v>5.38</v>
      </c>
      <c r="AF34" s="22">
        <f>IF(OR($B34="",AF$22=""),"",IF(LEN(VLOOKUP($B34,Database!$B$1:$IX$10144,AF$22,FALSE))=0,"",VLOOKUP($B34,Database!$B$1:$IX$10144,AF$22,FALSE)))</f>
        <v>12</v>
      </c>
      <c r="AG34" s="22">
        <f>IF(OR($B34="",AG$22=""),"",IF(LEN(VLOOKUP($B34,Database!$B$1:$IX$10144,AG$22,FALSE))=0,"",VLOOKUP($B34,Database!$B$1:$IX$10144,AG$22,FALSE)))</f>
        <v>16</v>
      </c>
      <c r="AH34" s="22">
        <f>IF(OR($B34="",AH$22=""),"",IF(LEN(VLOOKUP($B34,Database!$B$1:$IX$10144,AH$22,FALSE))=0,"",VLOOKUP($B34,Database!$B$1:$IX$10144,AH$22,FALSE)))</f>
        <v>1.5</v>
      </c>
      <c r="AI34" s="22">
        <f>IF(OR($B34="",AI$22=""),"",IF(LEN(VLOOKUP($B34,Database!$B$1:$IX$10144,AI$22,FALSE))=0,"",VLOOKUP($B34,Database!$B$1:$IX$10144,AI$22,FALSE)))</f>
        <v>3</v>
      </c>
      <c r="AJ34" s="22" t="str">
        <f>IF(OR($B34="",AJ$22=""),"",IF(LEN(VLOOKUP($B34,Database!$B$1:$IX$10144,AJ$22,FALSE))=0,"",VLOOKUP($B34,Database!$B$1:$IX$10144,AJ$22,FALSE)))</f>
        <v/>
      </c>
      <c r="AK34" s="22" t="str">
        <f>IF(OR($B34="",AK$22=""),"",IF(LEN(VLOOKUP($B34,Database!$B$1:$IX$10144,AK$22,FALSE))=0,"",VLOOKUP($B34,Database!$B$1:$IX$10144,AK$22,FALSE)))</f>
        <v>ns</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Naish JH, Baldwin RC, Patankar T, Jeffries S, Burns AS, Taylor CJ, Waterton JC, Jackson A.</v>
      </c>
      <c r="AR34" s="13"/>
      <c r="AU34" s="22"/>
      <c r="AX34" s="13"/>
      <c r="AY34" s="13"/>
      <c r="AZ34" s="13"/>
      <c r="BA34" s="13"/>
      <c r="BC34" s="23"/>
      <c r="BF34" s="136"/>
      <c r="BG34" s="136"/>
      <c r="BH34" s="136"/>
      <c r="BI34" s="136"/>
    </row>
    <row r="35" spans="1:61">
      <c r="B35">
        <v>20018381</v>
      </c>
      <c r="C35" s="1" t="str">
        <f>IF($B35="","",HYPERLINK(IF(LEN(VLOOKUP($B35,Database!$B$1:$IX$10144,2,FALSE))=0,"",VLOOKUP($B35,Database!$B$1:$IX$10144,2,FALSE))))</f>
        <v/>
      </c>
      <c r="D35" s="1" t="str">
        <f>IF($B35="","",HYPERLINK(CONCATENATE("http://www.ncbi.nlm.nih.gov/pubmed/",B35)))</f>
        <v>http://www.ncbi.nlm.nih.gov/pubmed/20018381</v>
      </c>
      <c r="E35" s="22" t="str">
        <f>IF($B35="","",IF(LEN(VLOOKUP($B35,Database!$B$1:$IX$10144,4,FALSE))=0,"",VLOOKUP($B35,Database!$B$1:$IX$10144,4,FALSE)))</f>
        <v>Weber K</v>
      </c>
      <c r="F35" s="22">
        <f>IF($B35="","",IF(LEN(VLOOKUP($B35,Database!$B$1:$IX$10144,5,FALSE))=0,"",VLOOKUP($B35,Database!$B$1:$IX$10144,5,FALSE)))</f>
        <v>2009</v>
      </c>
      <c r="G35" s="1" t="str">
        <f>IF($B35="","",HYPERLINK(IF(LEN(VLOOKUP($B35,Database!$B$1:$IX$10144,6,FALSE))=0,"",VLOOKUP($B35,Database!$B$1:$IX$10144,6,FALSE))))</f>
        <v>http://dx.doi.org/10.1016/j.jad.2009.11.016</v>
      </c>
      <c r="H35" s="22">
        <f>IF($B35="","",IF(LEN(VLOOKUP($B35,Database!$B$1:$IX$10144,7,FALSE))=0,"",VLOOKUP($B35,Database!$B$1:$IX$10144,7,FALSE)))</f>
        <v>38</v>
      </c>
      <c r="I35" s="22">
        <f>IF($B35="","",IF(LEN(VLOOKUP($B35,Database!$B$1:$IX$10144,8,FALSE))=0,"",VLOOKUP($B35,Database!$B$1:$IX$10144,8,FALSE)))</f>
        <v>62</v>
      </c>
      <c r="J35" t="s">
        <v>192</v>
      </c>
      <c r="T35">
        <v>0.7</v>
      </c>
      <c r="U35">
        <v>0.95</v>
      </c>
      <c r="V35">
        <v>0.89</v>
      </c>
      <c r="W35">
        <v>1.1299999999999999</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66.11</v>
      </c>
      <c r="AC35" s="22">
        <f>IF(OR($B35="",AC$22=""),"",IF(LEN(VLOOKUP($B35,Database!$B$1:$IX$10144,AC$22,FALSE))=0,"",VLOOKUP($B35,Database!$B$1:$IX$10144,AC$22,FALSE)))</f>
        <v>6.22</v>
      </c>
      <c r="AD35" s="22">
        <f>IF(OR($B35="",AD$22=""),"",IF(LEN(VLOOKUP($B35,Database!$B$1:$IX$10144,AD$22,FALSE))=0,"",VLOOKUP($B35,Database!$B$1:$IX$10144,AD$22,FALSE)))</f>
        <v>71.099999999999994</v>
      </c>
      <c r="AE35" s="22">
        <f>IF(OR($B35="",AE$22=""),"",IF(LEN(VLOOKUP($B35,Database!$B$1:$IX$10144,AE$22,FALSE))=0,"",VLOOKUP($B35,Database!$B$1:$IX$10144,AE$22,FALSE)))</f>
        <v>7.26</v>
      </c>
      <c r="AF35" s="22">
        <f>IF(OR($B35="",AF$22=""),"",IF(LEN(VLOOKUP($B35,Database!$B$1:$IX$10144,AF$22,FALSE))=0,"",VLOOKUP($B35,Database!$B$1:$IX$10144,AF$22,FALSE)))</f>
        <v>31</v>
      </c>
      <c r="AG35" s="22">
        <f>IF(OR($B35="",AG$22=""),"",IF(LEN(VLOOKUP($B35,Database!$B$1:$IX$10144,AG$22,FALSE))=0,"",VLOOKUP($B35,Database!$B$1:$IX$10144,AG$22,FALSE)))</f>
        <v>48</v>
      </c>
      <c r="AH35" s="22">
        <f>IF(OR($B35="",AH$22=""),"",IF(LEN(VLOOKUP($B35,Database!$B$1:$IX$10144,AH$22,FALSE))=0,"",VLOOKUP($B35,Database!$B$1:$IX$10144,AH$22,FALSE)))</f>
        <v>3</v>
      </c>
      <c r="AI35" s="22">
        <f>IF(OR($B35="",AI$22=""),"",IF(LEN(VLOOKUP($B35,Database!$B$1:$IX$10144,AI$22,FALSE))=0,"",VLOOKUP($B35,Database!$B$1:$IX$10144,AI$22,FALSE)))</f>
        <v>0.9</v>
      </c>
      <c r="AJ35" s="22" t="str">
        <f>IF(OR($B35="",AJ$22=""),"",IF(LEN(VLOOKUP($B35,Database!$B$1:$IX$10144,AJ$22,FALSE))=0,"",VLOOKUP($B35,Database!$B$1:$IX$10144,AJ$22,FALSE)))</f>
        <v/>
      </c>
      <c r="AK35" s="22">
        <f>IF(OR($B35="",AK$22=""),"",IF(LEN(VLOOKUP($B35,Database!$B$1:$IX$10144,AK$22,FALSE))=0,"",VLOOKUP($B35,Database!$B$1:$IX$10144,AK$22,FALSE)))</f>
        <v>37.76</v>
      </c>
      <c r="AL35" s="22" t="str">
        <f>IF(OR($B35="",AL$22=""),"",IF(LEN(VLOOKUP($B35,Database!$B$1:$IX$10144,AL$22,FALSE))=0,"",VLOOKUP($B35,Database!$B$1:$IX$10144,AL$22,FALSE)))</f>
        <v>ns</v>
      </c>
      <c r="AM35" s="22">
        <f>IF(OR($B35="",AM$22=""),"",IF(LEN(VLOOKUP($B35,Database!$B$1:$IX$10144,AM$22,FALSE))=0,"",VLOOKUP($B35,Database!$B$1:$IX$10144,AM$22,FALSE)))</f>
        <v>47.368421052631575</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Weber K, Giannakopoulos P, Delaloye C, de Bilbao F, Moy G, Moussa A, Rubio MM, Ebbing K, Meuli R, Lazeyras F, Meiler-Mititelu C, Herrmann FR, Gold G, Canuto A.</v>
      </c>
      <c r="AR35" s="13"/>
      <c r="AX35" s="13"/>
      <c r="AY35" s="13"/>
      <c r="AZ35" s="13"/>
      <c r="BA35" s="13"/>
      <c r="BC35" s="23"/>
      <c r="BF35" s="136"/>
      <c r="BG35" s="136"/>
      <c r="BH35" s="136"/>
      <c r="BI35" s="136"/>
    </row>
    <row r="36" spans="1:61">
      <c r="C36" s="1" t="str">
        <f>IF($B36="","",HYPERLINK(IF(LEN(VLOOKUP($B36,Database!$B$1:$IX$10144,2,FALSE))=0,"",VLOOKUP($B36,Database!$B$1:$IX$10144,2,FALSE))))</f>
        <v/>
      </c>
      <c r="D36" s="1" t="str">
        <f t="shared" si="0"/>
        <v/>
      </c>
      <c r="E36" s="22" t="str">
        <f>IF($B36="","",IF(LEN(VLOOKUP($B36,Database!$B$1:$IX$10144,4,FALSE))=0,"",VLOOKUP($B36,Database!$B$1:$IX$10144,4,FALSE)))</f>
        <v/>
      </c>
      <c r="F36" s="22" t="str">
        <f>IF($B36="","",IF(LEN(VLOOKUP($B36,Database!$B$1:$IX$10144,5,FALSE))=0,"",VLOOKUP($B36,Database!$B$1:$IX$10144,5,FALSE)))</f>
        <v/>
      </c>
      <c r="G36" s="1" t="str">
        <f>IF($B36="","",HYPERLINK(IF(LEN(VLOOKUP($B36,Database!$B$1:$IX$10144,6,FALSE))=0,"",VLOOKUP($B36,Database!$B$1:$IX$10144,6,FALSE))))</f>
        <v/>
      </c>
      <c r="H36" s="22" t="str">
        <f>IF($B36="","",IF(LEN(VLOOKUP($B36,Database!$B$1:$IX$10144,7,FALSE))=0,"",VLOOKUP($B36,Database!$B$1:$IX$10144,7,FALSE)))</f>
        <v/>
      </c>
      <c r="I36" s="22" t="str">
        <f>IF($B36="","",IF(LEN(VLOOKUP($B36,Database!$B$1:$IX$10144,8,FALSE))=0,"",VLOOKUP($B36,Database!$B$1:$IX$10144,8,FALSE)))</f>
        <v/>
      </c>
      <c r="Y36" s="22" t="str">
        <f>IF(OR($B36="",Y$22=""),"",IF(LEN(VLOOKUP($B36,Database!$B$1:$IX$10144,Y$22,FALSE))=0,"",VLOOKUP($B36,Database!$B$1:$IX$10144,Y$22,FALSE)))</f>
        <v/>
      </c>
      <c r="Z36" s="22" t="str">
        <f>IF(OR($B36="",Z$22=""),"",IF(LEN(VLOOKUP($B36,Database!$B$1:$IX$10144,Z$22,FALSE))=0,"",VLOOKUP($B36,Database!$B$1:$IX$10144,Z$22,FALSE)))</f>
        <v/>
      </c>
      <c r="AA36" s="22" t="str">
        <f>IF(OR($B36="",AA$22=""),"",IF(LEN(VLOOKUP($B36,Database!$B$1:$IX$10144,AA$22,FALSE))=0,"",VLOOKUP($B36,Database!$B$1:$IX$10144,AA$22,FALSE)))</f>
        <v/>
      </c>
      <c r="AB36" s="22" t="str">
        <f>IF(OR($B36="",AB$22=""),"",IF(LEN(VLOOKUP($B36,Database!$B$1:$IX$10144,AB$22,FALSE))=0,"",VLOOKUP($B36,Database!$B$1:$IX$10144,AB$22,FALSE)))</f>
        <v/>
      </c>
      <c r="AC36" s="22" t="str">
        <f>IF(OR($B36="",AC$22=""),"",IF(LEN(VLOOKUP($B36,Database!$B$1:$IX$10144,AC$22,FALSE))=0,"",VLOOKUP($B36,Database!$B$1:$IX$10144,AC$22,FALSE)))</f>
        <v/>
      </c>
      <c r="AD36" s="22" t="str">
        <f>IF(OR($B36="",AD$22=""),"",IF(LEN(VLOOKUP($B36,Database!$B$1:$IX$10144,AD$22,FALSE))=0,"",VLOOKUP($B36,Database!$B$1:$IX$10144,AD$22,FALSE)))</f>
        <v/>
      </c>
      <c r="AE36" s="22" t="str">
        <f>IF(OR($B36="",AE$22=""),"",IF(LEN(VLOOKUP($B36,Database!$B$1:$IX$10144,AE$22,FALSE))=0,"",VLOOKUP($B36,Database!$B$1:$IX$10144,AE$22,FALSE)))</f>
        <v/>
      </c>
      <c r="AF36" s="22" t="str">
        <f>IF(OR($B36="",AF$22=""),"",IF(LEN(VLOOKUP($B36,Database!$B$1:$IX$10144,AF$22,FALSE))=0,"",VLOOKUP($B36,Database!$B$1:$IX$10144,AF$22,FALSE)))</f>
        <v/>
      </c>
      <c r="AG36" s="22" t="str">
        <f>IF(OR($B36="",AG$22=""),"",IF(LEN(VLOOKUP($B36,Database!$B$1:$IX$10144,AG$22,FALSE))=0,"",VLOOKUP($B36,Database!$B$1:$IX$10144,AG$22,FALSE)))</f>
        <v/>
      </c>
      <c r="AH36" s="22" t="str">
        <f>IF(OR($B36="",AH$22=""),"",IF(LEN(VLOOKUP($B36,Database!$B$1:$IX$10144,AH$22,FALSE))=0,"",VLOOKUP($B36,Database!$B$1:$IX$10144,AH$22,FALSE)))</f>
        <v/>
      </c>
      <c r="AI36" s="22" t="str">
        <f>IF(OR($B36="",AI$22=""),"",IF(LEN(VLOOKUP($B36,Database!$B$1:$IX$10144,AI$22,FALSE))=0,"",VLOOKUP($B36,Database!$B$1:$IX$10144,AI$22,FALSE)))</f>
        <v/>
      </c>
      <c r="AJ36" s="22" t="str">
        <f>IF(OR($B36="",AJ$22=""),"",IF(LEN(VLOOKUP($B36,Database!$B$1:$IX$10144,AJ$22,FALSE))=0,"",VLOOKUP($B36,Database!$B$1:$IX$10144,AJ$22,FALSE)))</f>
        <v/>
      </c>
      <c r="AK36" s="22" t="str">
        <f>IF(OR($B36="",AK$22=""),"",IF(LEN(VLOOKUP($B36,Database!$B$1:$IX$10144,AK$22,FALSE))=0,"",VLOOKUP($B36,Database!$B$1:$IX$10144,AK$22,FALSE)))</f>
        <v/>
      </c>
      <c r="AL36" s="22" t="str">
        <f>IF(OR($B36="",AL$22=""),"",IF(LEN(VLOOKUP($B36,Database!$B$1:$IX$10144,AL$22,FALSE))=0,"",VLOOKUP($B36,Database!$B$1:$IX$10144,AL$22,FALSE)))</f>
        <v/>
      </c>
      <c r="AM36" s="22" t="str">
        <f>IF(OR($B36="",AM$22=""),"",IF(LEN(VLOOKUP($B36,Database!$B$1:$IX$10144,AM$22,FALSE))=0,"",VLOOKUP($B36,Database!$B$1:$IX$10144,AM$22,FALSE)))</f>
        <v/>
      </c>
      <c r="AN36" s="22" t="str">
        <f>IF(OR($B36="",AN$22=""),"",IF(LEN(VLOOKUP($B36,Database!$B$1:$IX$10144,AN$22,FALSE))=0,"",VLOOKUP($B36,Database!$B$1:$IX$10144,AN$22,FALSE)))</f>
        <v/>
      </c>
      <c r="AO36" s="22" t="str">
        <f>IF(OR($B36="",AO$22=""),"",IF(LEN(VLOOKUP($B36,Database!$B$1:$IX$10144,AO$22,FALSE))=0,"",VLOOKUP($B36,Database!$B$1:$IX$10144,AO$22,FALSE)))</f>
        <v/>
      </c>
      <c r="AP36" s="22" t="str">
        <f>IF(OR($B36="",AP$22=""),"",IF(LEN(VLOOKUP($B36,Database!$B$1:$IX$10144,AP$22,FALSE))=0,"",VLOOKUP($B36,Database!$B$1:$IX$10144,AP$22,FALSE)))</f>
        <v/>
      </c>
      <c r="AQ36" s="22" t="str">
        <f>IF(OR($B36="",AQ$22=""),"",IF(LEN(VLOOKUP($B36,Database!$B$1:$IX$10144,AQ$22,FALSE))=0,"",VLOOKUP($B36,Database!$B$1:$IX$10144,AQ$22,FALSE)))</f>
        <v/>
      </c>
    </row>
    <row r="37" spans="1:61">
      <c r="A37" s="4" t="s">
        <v>1510</v>
      </c>
      <c r="C37" s="1" t="str">
        <f>IF($B37="","",HYPERLINK(IF(LEN(VLOOKUP($B37,Database!$B$1:$IX$10144,2,FALSE))=0,"",VLOOKUP($B37,Database!$B$1:$IX$10144,2,FALSE))))</f>
        <v/>
      </c>
      <c r="D37" s="1" t="str">
        <f t="shared" si="0"/>
        <v/>
      </c>
      <c r="E37" s="22" t="str">
        <f>IF($B37="","",IF(LEN(VLOOKUP($B37,Database!$B$1:$IX$10144,4,FALSE))=0,"",VLOOKUP($B37,Database!$B$1:$IX$10144,4,FALSE)))</f>
        <v/>
      </c>
      <c r="F37" s="22" t="str">
        <f>IF($B37="","",IF(LEN(VLOOKUP($B37,Database!$B$1:$IX$10144,5,FALSE))=0,"",VLOOKUP($B37,Database!$B$1:$IX$10144,5,FALSE)))</f>
        <v/>
      </c>
      <c r="G37" s="1" t="str">
        <f>IF($B37="","",HYPERLINK(IF(LEN(VLOOKUP($B37,Database!$B$1:$IX$10144,6,FALSE))=0,"",VLOOKUP($B37,Database!$B$1:$IX$10144,6,FALSE))))</f>
        <v/>
      </c>
      <c r="H37" s="22" t="str">
        <f>IF($B37="","",IF(LEN(VLOOKUP($B37,Database!$B$1:$IX$10144,7,FALSE))=0,"",VLOOKUP($B37,Database!$B$1:$IX$10144,7,FALSE)))</f>
        <v/>
      </c>
      <c r="I37" s="22" t="str">
        <f>IF($B37="","",IF(LEN(VLOOKUP($B37,Database!$B$1:$IX$10144,8,FALSE))=0,"",VLOOKUP($B37,Database!$B$1:$IX$10144,8,FALSE)))</f>
        <v/>
      </c>
      <c r="Y37" s="22" t="str">
        <f>IF(OR($B37="",Y$22=""),"",IF(LEN(VLOOKUP($B37,Database!$B$1:$IX$10144,Y$22,FALSE))=0,"",VLOOKUP($B37,Database!$B$1:$IX$10144,Y$22,FALSE)))</f>
        <v/>
      </c>
      <c r="Z37" s="22" t="str">
        <f>IF(OR($B37="",Z$22=""),"",IF(LEN(VLOOKUP($B37,Database!$B$1:$IX$10144,Z$22,FALSE))=0,"",VLOOKUP($B37,Database!$B$1:$IX$10144,Z$22,FALSE)))</f>
        <v/>
      </c>
      <c r="AA37" s="22" t="str">
        <f>IF(OR($B37="",AA$22=""),"",IF(LEN(VLOOKUP($B37,Database!$B$1:$IX$10144,AA$22,FALSE))=0,"",VLOOKUP($B37,Database!$B$1:$IX$10144,AA$22,FALSE)))</f>
        <v/>
      </c>
      <c r="AB37" s="22" t="str">
        <f>IF(OR($B37="",AB$22=""),"",IF(LEN(VLOOKUP($B37,Database!$B$1:$IX$10144,AB$22,FALSE))=0,"",VLOOKUP($B37,Database!$B$1:$IX$10144,AB$22,FALSE)))</f>
        <v/>
      </c>
      <c r="AC37" s="22" t="str">
        <f>IF(OR($B37="",AC$22=""),"",IF(LEN(VLOOKUP($B37,Database!$B$1:$IX$10144,AC$22,FALSE))=0,"",VLOOKUP($B37,Database!$B$1:$IX$10144,AC$22,FALSE)))</f>
        <v/>
      </c>
      <c r="AD37" s="22" t="str">
        <f>IF(OR($B37="",AD$22=""),"",IF(LEN(VLOOKUP($B37,Database!$B$1:$IX$10144,AD$22,FALSE))=0,"",VLOOKUP($B37,Database!$B$1:$IX$10144,AD$22,FALSE)))</f>
        <v/>
      </c>
      <c r="AE37" s="22" t="str">
        <f>IF(OR($B37="",AE$22=""),"",IF(LEN(VLOOKUP($B37,Database!$B$1:$IX$10144,AE$22,FALSE))=0,"",VLOOKUP($B37,Database!$B$1:$IX$10144,AE$22,FALSE)))</f>
        <v/>
      </c>
      <c r="AF37" s="22" t="str">
        <f>IF(OR($B37="",AF$22=""),"",IF(LEN(VLOOKUP($B37,Database!$B$1:$IX$10144,AF$22,FALSE))=0,"",VLOOKUP($B37,Database!$B$1:$IX$10144,AF$22,FALSE)))</f>
        <v/>
      </c>
      <c r="AG37" s="22" t="str">
        <f>IF(OR($B37="",AG$22=""),"",IF(LEN(VLOOKUP($B37,Database!$B$1:$IX$10144,AG$22,FALSE))=0,"",VLOOKUP($B37,Database!$B$1:$IX$10144,AG$22,FALSE)))</f>
        <v/>
      </c>
      <c r="AH37" s="22" t="str">
        <f>IF(OR($B37="",AH$22=""),"",IF(LEN(VLOOKUP($B37,Database!$B$1:$IX$10144,AH$22,FALSE))=0,"",VLOOKUP($B37,Database!$B$1:$IX$10144,AH$22,FALSE)))</f>
        <v/>
      </c>
      <c r="AI37" s="22" t="str">
        <f>IF(OR($B37="",AI$22=""),"",IF(LEN(VLOOKUP($B37,Database!$B$1:$IX$10144,AI$22,FALSE))=0,"",VLOOKUP($B37,Database!$B$1:$IX$10144,AI$22,FALSE)))</f>
        <v/>
      </c>
      <c r="AJ37" s="22" t="str">
        <f>IF(OR($B37="",AJ$22=""),"",IF(LEN(VLOOKUP($B37,Database!$B$1:$IX$10144,AJ$22,FALSE))=0,"",VLOOKUP($B37,Database!$B$1:$IX$10144,AJ$22,FALSE)))</f>
        <v/>
      </c>
      <c r="AK37" s="22" t="str">
        <f>IF(OR($B37="",AK$22=""),"",IF(LEN(VLOOKUP($B37,Database!$B$1:$IX$10144,AK$22,FALSE))=0,"",VLOOKUP($B37,Database!$B$1:$IX$10144,AK$22,FALSE)))</f>
        <v/>
      </c>
      <c r="AL37" s="22" t="str">
        <f>IF(OR($B37="",AL$22=""),"",IF(LEN(VLOOKUP($B37,Database!$B$1:$IX$10144,AL$22,FALSE))=0,"",VLOOKUP($B37,Database!$B$1:$IX$10144,AL$22,FALSE)))</f>
        <v/>
      </c>
      <c r="AM37" s="22" t="str">
        <f>IF(OR($B37="",AM$22=""),"",IF(LEN(VLOOKUP($B37,Database!$B$1:$IX$10144,AM$22,FALSE))=0,"",VLOOKUP($B37,Database!$B$1:$IX$10144,AM$22,FALSE)))</f>
        <v/>
      </c>
      <c r="AN37" s="22" t="str">
        <f>IF(OR($B37="",AN$22=""),"",IF(LEN(VLOOKUP($B37,Database!$B$1:$IX$10144,AN$22,FALSE))=0,"",VLOOKUP($B37,Database!$B$1:$IX$10144,AN$22,FALSE)))</f>
        <v/>
      </c>
      <c r="AO37" s="22" t="str">
        <f>IF(OR($B37="",AO$22=""),"",IF(LEN(VLOOKUP($B37,Database!$B$1:$IX$10144,AO$22,FALSE))=0,"",VLOOKUP($B37,Database!$B$1:$IX$10144,AO$22,FALSE)))</f>
        <v/>
      </c>
      <c r="AP37" s="22" t="str">
        <f>IF(OR($B37="",AP$22=""),"",IF(LEN(VLOOKUP($B37,Database!$B$1:$IX$10144,AP$22,FALSE))=0,"",VLOOKUP($B37,Database!$B$1:$IX$10144,AP$22,FALSE)))</f>
        <v/>
      </c>
      <c r="AQ37" s="22" t="str">
        <f>IF(OR($B37="",AQ$22=""),"",IF(LEN(VLOOKUP($B37,Database!$B$1:$IX$10144,AQ$22,FALSE))=0,"",VLOOKUP($B37,Database!$B$1:$IX$10144,AQ$22,FALSE)))</f>
        <v/>
      </c>
    </row>
    <row r="38" spans="1:61">
      <c r="A38" s="10" t="s">
        <v>2329</v>
      </c>
      <c r="B38" s="13">
        <v>2018163</v>
      </c>
      <c r="C38" s="1" t="str">
        <f>IF($B38="","",HYPERLINK(IF(LEN(VLOOKUP($B38,Database!$B$1:$IX$10144,2,FALSE))=0,"",VLOOKUP($B38,Database!$B$1:$IX$10144,2,FALSE))))</f>
        <v/>
      </c>
      <c r="D38" s="1" t="str">
        <f t="shared" si="0"/>
        <v>http://www.ncbi.nlm.nih.gov/pubmed/2018163</v>
      </c>
      <c r="E38" s="22" t="str">
        <f>IF($B38="","",IF(LEN(VLOOKUP($B38,Database!$B$1:$IX$10144,4,FALSE))=0,"",VLOOKUP($B38,Database!$B$1:$IX$10144,4,FALSE)))</f>
        <v>Rabins PV</v>
      </c>
      <c r="F38" s="22">
        <f>IF($B38="","",IF(LEN(VLOOKUP($B38,Database!$B$1:$IX$10144,5,FALSE))=0,"",VLOOKUP($B38,Database!$B$1:$IX$10144,5,FALSE)))</f>
        <v>1991</v>
      </c>
      <c r="G38" s="1" t="str">
        <f>IF($B38="","",HYPERLINK(IF(LEN(VLOOKUP($B38,Database!$B$1:$IX$10144,6,FALSE))=0,"",VLOOKUP($B38,Database!$B$1:$IX$10144,6,FALSE))))</f>
        <v>http://ajp.psychiatryonline.org/cgi/reprint/148/5/617</v>
      </c>
      <c r="H38" s="22">
        <f>IF($B38="","",IF(LEN(VLOOKUP($B38,Database!$B$1:$IX$10144,7,FALSE))=0,"",VLOOKUP($B38,Database!$B$1:$IX$10144,7,FALSE)))</f>
        <v>21</v>
      </c>
      <c r="I38" s="22">
        <f>IF($B38="","",IF(LEN(VLOOKUP($B38,Database!$B$1:$IX$10144,8,FALSE))=0,"",VLOOKUP($B38,Database!$B$1:$IX$10144,8,FALSE)))</f>
        <v>14</v>
      </c>
      <c r="J38" s="138" t="s">
        <v>619</v>
      </c>
      <c r="Y38" s="22" t="str">
        <f>IF(OR($B38="",Y$22=""),"",IF(LEN(VLOOKUP($B38,Database!$B$1:$IX$10144,Y$22,FALSE))=0,"",VLOOKUP($B38,Database!$B$1:$IX$10144,Y$22,FALSE)))</f>
        <v>DSM-III-R</v>
      </c>
      <c r="Z38" s="22" t="str">
        <f>IF(OR($B38="",Z$22=""),"",IF(LEN(VLOOKUP($B38,Database!$B$1:$IX$10144,Z$22,FALSE))=0,"",VLOOKUP($B38,Database!$B$1:$IX$10144,Z$22,FALSE)))</f>
        <v>MRI</v>
      </c>
      <c r="AA38" s="22" t="str">
        <f>IF(OR($B38="",AA$22=""),"",IF(LEN(VLOOKUP($B38,Database!$B$1:$IX$10144,AA$22,FALSE))=0,"",VLOOKUP($B38,Database!$B$1:$IX$10144,AA$22,FALSE)))</f>
        <v/>
      </c>
      <c r="AB38" s="22" t="str">
        <f>IF(OR($B38="",AB$22=""),"",IF(LEN(VLOOKUP($B38,Database!$B$1:$IX$10144,AB$22,FALSE))=0,"",VLOOKUP($B38,Database!$B$1:$IX$10144,AB$22,FALSE)))</f>
        <v>ns</v>
      </c>
      <c r="AC38" s="22" t="str">
        <f>IF(OR($B38="",AC$22=""),"",IF(LEN(VLOOKUP($B38,Database!$B$1:$IX$10144,AC$22,FALSE))=0,"",VLOOKUP($B38,Database!$B$1:$IX$10144,AC$22,FALSE)))</f>
        <v>ns</v>
      </c>
      <c r="AD38" s="22" t="str">
        <f>IF(OR($B38="",AD$22=""),"",IF(LEN(VLOOKUP($B38,Database!$B$1:$IX$10144,AD$22,FALSE))=0,"",VLOOKUP($B38,Database!$B$1:$IX$10144,AD$22,FALSE)))</f>
        <v>ns</v>
      </c>
      <c r="AE38" s="22" t="str">
        <f>IF(OR($B38="",AE$22=""),"",IF(LEN(VLOOKUP($B38,Database!$B$1:$IX$10144,AE$22,FALSE))=0,"",VLOOKUP($B38,Database!$B$1:$IX$10144,AE$22,FALSE)))</f>
        <v>ns</v>
      </c>
      <c r="AF38" s="22" t="str">
        <f>IF(OR($B38="",AF$22=""),"",IF(LEN(VLOOKUP($B38,Database!$B$1:$IX$10144,AF$22,FALSE))=0,"",VLOOKUP($B38,Database!$B$1:$IX$10144,AF$22,FALSE)))</f>
        <v>ns</v>
      </c>
      <c r="AG38" s="22" t="str">
        <f>IF(OR($B38="",AG$22=""),"",IF(LEN(VLOOKUP($B38,Database!$B$1:$IX$10144,AG$22,FALSE))=0,"",VLOOKUP($B38,Database!$B$1:$IX$10144,AG$22,FALSE)))</f>
        <v>ns</v>
      </c>
      <c r="AH38" s="22">
        <f>IF(OR($B38="",AH$22=""),"",IF(LEN(VLOOKUP($B38,Database!$B$1:$IX$10144,AH$22,FALSE))=0,"",VLOOKUP($B38,Database!$B$1:$IX$10144,AH$22,FALSE)))</f>
        <v>1.5</v>
      </c>
      <c r="AI38" s="22" t="str">
        <f>IF(OR($B38="",AI$22=""),"",IF(LEN(VLOOKUP($B38,Database!$B$1:$IX$10144,AI$22,FALSE))=0,"",VLOOKUP($B38,Database!$B$1:$IX$10144,AI$22,FALSE)))</f>
        <v>ns</v>
      </c>
      <c r="AJ38" s="22" t="str">
        <f>IF(OR($B38="",AJ$22=""),"",IF(LEN(VLOOKUP($B38,Database!$B$1:$IX$10144,AJ$22,FALSE))=0,"",VLOOKUP($B38,Database!$B$1:$IX$10144,AJ$22,FALSE)))</f>
        <v/>
      </c>
      <c r="AK38" s="22">
        <f>IF(OR($B38="",AK$22=""),"",IF(LEN(VLOOKUP($B38,Database!$B$1:$IX$10144,AK$22,FALSE))=0,"",VLOOKUP($B38,Database!$B$1:$IX$10144,AK$22,FALSE)))</f>
        <v>54.2</v>
      </c>
      <c r="AL38" s="22" t="str">
        <f>IF(OR($B38="",AL$22=""),"",IF(LEN(VLOOKUP($B38,Database!$B$1:$IX$10144,AL$22,FALSE))=0,"",VLOOKUP($B38,Database!$B$1:$IX$10144,AL$22,FALSE)))</f>
        <v>ns</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Rabins PV, Pearlson GD, Aylward E, Kumar AJ, Dowell K.</v>
      </c>
    </row>
    <row r="39" spans="1:61">
      <c r="A39" s="10" t="s">
        <v>2330</v>
      </c>
      <c r="B39" s="13">
        <v>9506601</v>
      </c>
      <c r="C39" s="1" t="str">
        <f>IF($B39="","",HYPERLINK(IF(LEN(VLOOKUP($B39,Database!$B$1:$IX$10144,2,FALSE))=0,"",VLOOKUP($B39,Database!$B$1:$IX$10144,2,FALSE))))</f>
        <v/>
      </c>
      <c r="D39" s="1" t="str">
        <f t="shared" si="0"/>
        <v>http://www.ncbi.nlm.nih.gov/pubmed/9506601</v>
      </c>
      <c r="E39" s="22" t="str">
        <f>IF($B39="","",IF(LEN(VLOOKUP($B39,Database!$B$1:$IX$10144,4,FALSE))=0,"",VLOOKUP($B39,Database!$B$1:$IX$10144,4,FALSE)))</f>
        <v>Greenwald BS</v>
      </c>
      <c r="F39" s="22">
        <f>IF($B39="","",IF(LEN(VLOOKUP($B39,Database!$B$1:$IX$10144,5,FALSE))=0,"",VLOOKUP($B39,Database!$B$1:$IX$10144,5,FALSE)))</f>
        <v>1998</v>
      </c>
      <c r="G39" s="1" t="str">
        <f>IF($B39="","",HYPERLINK(IF(LEN(VLOOKUP($B39,Database!$B$1:$IX$10144,6,FALSE))=0,"",VLOOKUP($B39,Database!$B$1:$IX$10144,6,FALSE))))</f>
        <v>http://stroke.ahajournals.org/cgi/reprint/29/3/613</v>
      </c>
      <c r="H39" s="22">
        <f>IF($B39="","",IF(LEN(VLOOKUP($B39,Database!$B$1:$IX$10144,7,FALSE))=0,"",VLOOKUP($B39,Database!$B$1:$IX$10144,7,FALSE)))</f>
        <v>35</v>
      </c>
      <c r="I39" s="22">
        <f>IF($B39="","",IF(LEN(VLOOKUP($B39,Database!$B$1:$IX$10144,8,FALSE))=0,"",VLOOKUP($B39,Database!$B$1:$IX$10144,8,FALSE)))</f>
        <v>31</v>
      </c>
      <c r="J39" s="13" t="s">
        <v>692</v>
      </c>
      <c r="Y39" s="22" t="str">
        <f>IF(OR($B39="",Y$22=""),"",IF(LEN(VLOOKUP($B39,Database!$B$1:$IX$10144,Y$22,FALSE))=0,"",VLOOKUP($B39,Database!$B$1:$IX$10144,Y$22,FALSE)))</f>
        <v>DSM-III-R</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74.7</v>
      </c>
      <c r="AC39" s="22">
        <f>IF(OR($B39="",AC$22=""),"",IF(LEN(VLOOKUP($B39,Database!$B$1:$IX$10144,AC$22,FALSE))=0,"",VLOOKUP($B39,Database!$B$1:$IX$10144,AC$22,FALSE)))</f>
        <v>6.4</v>
      </c>
      <c r="AD39" s="22">
        <f>IF(OR($B39="",AD$22=""),"",IF(LEN(VLOOKUP($B39,Database!$B$1:$IX$10144,AD$22,FALSE))=0,"",VLOOKUP($B39,Database!$B$1:$IX$10144,AD$22,FALSE)))</f>
        <v>72.900000000000006</v>
      </c>
      <c r="AE39" s="22">
        <f>IF(OR($B39="",AE$22=""),"",IF(LEN(VLOOKUP($B39,Database!$B$1:$IX$10144,AE$22,FALSE))=0,"",VLOOKUP($B39,Database!$B$1:$IX$10144,AE$22,FALSE)))</f>
        <v>4.7</v>
      </c>
      <c r="AF39" s="22">
        <f>IF(OR($B39="",AF$22=""),"",IF(LEN(VLOOKUP($B39,Database!$B$1:$IX$10144,AF$22,FALSE))=0,"",VLOOKUP($B39,Database!$B$1:$IX$10144,AF$22,FALSE)))</f>
        <v>26</v>
      </c>
      <c r="AG39" s="22">
        <f>IF(OR($B39="",AG$22=""),"",IF(LEN(VLOOKUP($B39,Database!$B$1:$IX$10144,AG$22,FALSE))=0,"",VLOOKUP($B39,Database!$B$1:$IX$10144,AG$22,FALSE)))</f>
        <v>13</v>
      </c>
      <c r="AH39" s="22">
        <f>IF(OR($B39="",AH$22=""),"",IF(LEN(VLOOKUP($B39,Database!$B$1:$IX$10144,AH$22,FALSE))=0,"",VLOOKUP($B39,Database!$B$1:$IX$10144,AH$22,FALSE)))</f>
        <v>1</v>
      </c>
      <c r="AI39" s="22">
        <f>IF(OR($B39="",AI$22=""),"",IF(LEN(VLOOKUP($B39,Database!$B$1:$IX$10144,AI$22,FALSE))=0,"",VLOOKUP($B39,Database!$B$1:$IX$10144,AI$22,FALSE)))</f>
        <v>5</v>
      </c>
      <c r="AJ39" s="22" t="str">
        <f>IF(OR($B39="",AJ$22=""),"",IF(LEN(VLOOKUP($B39,Database!$B$1:$IX$10144,AJ$22,FALSE))=0,"",VLOOKUP($B39,Database!$B$1:$IX$10144,AJ$22,FALSE)))</f>
        <v/>
      </c>
      <c r="AK39" s="22">
        <f>IF(OR($B39="",AK$22=""),"",IF(LEN(VLOOKUP($B39,Database!$B$1:$IX$10144,AK$22,FALSE))=0,"",VLOOKUP($B39,Database!$B$1:$IX$10144,AK$22,FALSE)))</f>
        <v>56.5</v>
      </c>
      <c r="AL39" s="22">
        <f>IF(OR($B39="",AL$22=""),"",IF(LEN(VLOOKUP($B39,Database!$B$1:$IX$10144,AL$22,FALSE))=0,"",VLOOKUP($B39,Database!$B$1:$IX$10144,AL$22,FALSE)))</f>
        <v>27</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Greenwald BS, Kramer-Ginsberg E, Krishnan KR, Ashtari M, Auerbach C, Patel M.</v>
      </c>
    </row>
    <row r="40" spans="1:61">
      <c r="A40" s="10" t="s">
        <v>2328</v>
      </c>
      <c r="B40" s="13">
        <v>11559382</v>
      </c>
      <c r="C40" s="1" t="str">
        <f>IF($B40="","",HYPERLINK(IF(LEN(VLOOKUP($B40,Database!$B$1:$IX$10144,2,FALSE))=0,"",VLOOKUP($B40,Database!$B$1:$IX$10144,2,FALSE))))</f>
        <v/>
      </c>
      <c r="D40" s="1" t="str">
        <f>IF($B40="","",HYPERLINK(CONCATENATE("http://www.ncbi.nlm.nih.gov/pubmed/",B40)))</f>
        <v>http://www.ncbi.nlm.nih.gov/pubmed/11559382</v>
      </c>
      <c r="E40" s="22" t="str">
        <f>IF($B40="","",IF(LEN(VLOOKUP($B40,Database!$B$1:$IX$10144,4,FALSE))=0,"",VLOOKUP($B40,Database!$B$1:$IX$10144,4,FALSE)))</f>
        <v>Greenwald BS</v>
      </c>
      <c r="F40" s="22">
        <f>IF($B40="","",IF(LEN(VLOOKUP($B40,Database!$B$1:$IX$10144,5,FALSE))=0,"",VLOOKUP($B40,Database!$B$1:$IX$10144,5,FALSE)))</f>
        <v>2001</v>
      </c>
      <c r="G40" s="1" t="str">
        <f>IF($B40="","",HYPERLINK(IF(LEN(VLOOKUP($B40,Database!$B$1:$IX$10144,6,FALSE))=0,"",VLOOKUP($B40,Database!$B$1:$IX$10144,6,FALSE))))</f>
        <v>http://www3.interscience.wiley.com/cgi-bin/fulltext/118968191/PDFSTART</v>
      </c>
      <c r="H40" s="22">
        <f>IF($B40="","",IF(LEN(VLOOKUP($B40,Database!$B$1:$IX$10144,7,FALSE))=0,"",VLOOKUP($B40,Database!$B$1:$IX$10144,7,FALSE)))</f>
        <v>81</v>
      </c>
      <c r="I40" s="22">
        <f>IF($B40="","",IF(LEN(VLOOKUP($B40,Database!$B$1:$IX$10144,8,FALSE))=0,"",VLOOKUP($B40,Database!$B$1:$IX$10144,8,FALSE)))</f>
        <v>70</v>
      </c>
      <c r="J40" s="2" t="s">
        <v>7</v>
      </c>
      <c r="Y40" s="22" t="str">
        <f>IF(OR($B40="",Y$22=""),"",IF(LEN(VLOOKUP($B40,Database!$B$1:$IX$10144,Y$22,FALSE))=0,"",VLOOKUP($B40,Database!$B$1:$IX$10144,Y$22,FALSE)))</f>
        <v>DSM-III-R</v>
      </c>
      <c r="Z40" s="22" t="str">
        <f>IF(OR($B40="",Z$22=""),"",IF(LEN(VLOOKUP($B40,Database!$B$1:$IX$10144,Z$22,FALSE))=0,"",VLOOKUP($B40,Database!$B$1:$IX$10144,Z$22,FALSE)))</f>
        <v>MRI</v>
      </c>
      <c r="AA40" s="22" t="str">
        <f>IF(OR($B40="",AA$22=""),"",IF(LEN(VLOOKUP($B40,Database!$B$1:$IX$10144,AA$22,FALSE))=0,"",VLOOKUP($B40,Database!$B$1:$IX$10144,AA$22,FALSE)))</f>
        <v/>
      </c>
      <c r="AB40" s="22" t="str">
        <f>IF(OR($B40="",AB$22=""),"",IF(LEN(VLOOKUP($B40,Database!$B$1:$IX$10144,AB$22,FALSE))=0,"",VLOOKUP($B40,Database!$B$1:$IX$10144,AB$22,FALSE)))</f>
        <v/>
      </c>
      <c r="AC40" s="22" t="str">
        <f>IF(OR($B40="",AC$22=""),"",IF(LEN(VLOOKUP($B40,Database!$B$1:$IX$10144,AC$22,FALSE))=0,"",VLOOKUP($B40,Database!$B$1:$IX$10144,AC$22,FALSE)))</f>
        <v/>
      </c>
      <c r="AD40" s="22" t="str">
        <f>IF(OR($B40="",AD$22=""),"",IF(LEN(VLOOKUP($B40,Database!$B$1:$IX$10144,AD$22,FALSE))=0,"",VLOOKUP($B40,Database!$B$1:$IX$10144,AD$22,FALSE)))</f>
        <v/>
      </c>
      <c r="AE40" s="22" t="str">
        <f>IF(OR($B40="",AE$22=""),"",IF(LEN(VLOOKUP($B40,Database!$B$1:$IX$10144,AE$22,FALSE))=0,"",VLOOKUP($B40,Database!$B$1:$IX$10144,AE$22,FALSE)))</f>
        <v/>
      </c>
      <c r="AF40" s="22">
        <f>IF(OR($B40="",AF$22=""),"",IF(LEN(VLOOKUP($B40,Database!$B$1:$IX$10144,AF$22,FALSE))=0,"",VLOOKUP($B40,Database!$B$1:$IX$10144,AF$22,FALSE)))</f>
        <v>58</v>
      </c>
      <c r="AG40" s="22">
        <f>IF(OR($B40="",AG$22=""),"",IF(LEN(VLOOKUP($B40,Database!$B$1:$IX$10144,AG$22,FALSE))=0,"",VLOOKUP($B40,Database!$B$1:$IX$10144,AG$22,FALSE)))</f>
        <v>33</v>
      </c>
      <c r="AH40" s="22">
        <f>IF(OR($B40="",AH$22=""),"",IF(LEN(VLOOKUP($B40,Database!$B$1:$IX$10144,AH$22,FALSE))=0,"",VLOOKUP($B40,Database!$B$1:$IX$10144,AH$22,FALSE)))</f>
        <v>1</v>
      </c>
      <c r="AI40" s="22">
        <f>IF(OR($B40="",AI$22=""),"",IF(LEN(VLOOKUP($B40,Database!$B$1:$IX$10144,AI$22,FALSE))=0,"",VLOOKUP($B40,Database!$B$1:$IX$10144,AI$22,FALSE)))</f>
        <v>6</v>
      </c>
      <c r="AJ40" s="22" t="str">
        <f>IF(OR($B40="",AJ$22=""),"",IF(LEN(VLOOKUP($B40,Database!$B$1:$IX$10144,AJ$22,FALSE))=0,"",VLOOKUP($B40,Database!$B$1:$IX$10144,AJ$22,FALSE)))</f>
        <v/>
      </c>
      <c r="AK40" s="22" t="str">
        <f>IF(OR($B40="",AK$22=""),"",IF(LEN(VLOOKUP($B40,Database!$B$1:$IX$10144,AK$22,FALSE))=0,"",VLOOKUP($B40,Database!$B$1:$IX$10144,AK$22,FALSE)))</f>
        <v>divided into 2 sub-groups</v>
      </c>
      <c r="AL40" s="22" t="str">
        <f>IF(OR($B40="",AL$22=""),"",IF(LEN(VLOOKUP($B40,Database!$B$1:$IX$10144,AL$22,FALSE))=0,"",VLOOKUP($B40,Database!$B$1:$IX$10144,AL$22,FALSE)))</f>
        <v>divided into 2 sub-groups</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Greenwald BS, Kramer-Ginsberg E, Krishnan KR, Hu J, Ashtari M, Wu H, Aupperle P, Patel M, Pollack S.</v>
      </c>
    </row>
    <row r="41" spans="1:61">
      <c r="A41" s="7" t="s">
        <v>22</v>
      </c>
      <c r="B41" s="13">
        <v>14971633</v>
      </c>
      <c r="C41" s="1" t="str">
        <f>IF($B41="","",HYPERLINK(IF(LEN(VLOOKUP($B41,Database!$B$1:$IX$10144,2,FALSE))=0,"",VLOOKUP($B41,Database!$B$1:$IX$10144,2,FALSE))))</f>
        <v/>
      </c>
      <c r="D41" s="1" t="str">
        <f t="shared" si="0"/>
        <v>http://www.ncbi.nlm.nih.gov/pubmed/14971633</v>
      </c>
      <c r="E41" s="22" t="str">
        <f>IF($B41="","",IF(LEN(VLOOKUP($B41,Database!$B$1:$IX$10144,4,FALSE))=0,"",VLOOKUP($B41,Database!$B$1:$IX$10144,4,FALSE)))</f>
        <v>Baldwin R</v>
      </c>
      <c r="F41" s="22">
        <f>IF($B41="","",IF(LEN(VLOOKUP($B41,Database!$B$1:$IX$10144,5,FALSE))=0,"",VLOOKUP($B41,Database!$B$1:$IX$10144,5,FALSE)))</f>
        <v>2004</v>
      </c>
      <c r="G41" s="1" t="str">
        <f>IF($B41="","",HYPERLINK(IF(LEN(VLOOKUP($B41,Database!$B$1:$IX$10144,6,FALSE))=0,"",VLOOKUP($B41,Database!$B$1:$IX$10144,6,FALSE))))</f>
        <v>http://dx.doi.org/10.1017/S0033291703008870</v>
      </c>
      <c r="H41" s="22">
        <f>IF($B41="","",IF(LEN(VLOOKUP($B41,Database!$B$1:$IX$10144,7,FALSE))=0,"",VLOOKUP($B41,Database!$B$1:$IX$10144,7,FALSE)))</f>
        <v>50</v>
      </c>
      <c r="I41" s="22">
        <f>IF($B41="","",IF(LEN(VLOOKUP($B41,Database!$B$1:$IX$10144,8,FALSE))=0,"",VLOOKUP($B41,Database!$B$1:$IX$10144,8,FALSE)))</f>
        <v>35</v>
      </c>
      <c r="J41" t="s">
        <v>1551</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22" t="str">
        <f>IF(OR($B41="",AB$22=""),"",IF(LEN(VLOOKUP($B41,Database!$B$1:$IX$10144,AB$22,FALSE))=0,"",VLOOKUP($B41,Database!$B$1:$IX$10144,AB$22,FALSE)))</f>
        <v/>
      </c>
      <c r="AC41" s="22" t="str">
        <f>IF(OR($B41="",AC$22=""),"",IF(LEN(VLOOKUP($B41,Database!$B$1:$IX$10144,AC$22,FALSE))=0,"",VLOOKUP($B41,Database!$B$1:$IX$10144,AC$22,FALSE)))</f>
        <v/>
      </c>
      <c r="AD41" s="22">
        <f>IF(OR($B41="",AD$22=""),"",IF(LEN(VLOOKUP($B41,Database!$B$1:$IX$10144,AD$22,FALSE))=0,"",VLOOKUP($B41,Database!$B$1:$IX$10144,AD$22,FALSE)))</f>
        <v>72.8</v>
      </c>
      <c r="AE41" s="22">
        <f>IF(OR($B41="",AE$22=""),"",IF(LEN(VLOOKUP($B41,Database!$B$1:$IX$10144,AE$22,FALSE))=0,"",VLOOKUP($B41,Database!$B$1:$IX$10144,AE$22,FALSE)))</f>
        <v>6.56</v>
      </c>
      <c r="AF41" s="22">
        <f>IF(OR($B41="",AF$22=""),"",IF(LEN(VLOOKUP($B41,Database!$B$1:$IX$10144,AF$22,FALSE))=0,"",VLOOKUP($B41,Database!$B$1:$IX$10144,AF$22,FALSE)))</f>
        <v>30</v>
      </c>
      <c r="AG41" s="22">
        <f>IF(OR($B41="",AG$22=""),"",IF(LEN(VLOOKUP($B41,Database!$B$1:$IX$10144,AG$22,FALSE))=0,"",VLOOKUP($B41,Database!$B$1:$IX$10144,AG$22,FALSE)))</f>
        <v>24</v>
      </c>
      <c r="AH41" s="22">
        <f>IF(OR($B41="",AH$22=""),"",IF(LEN(VLOOKUP($B41,Database!$B$1:$IX$10144,AH$22,FALSE))=0,"",VLOOKUP($B41,Database!$B$1:$IX$10144,AH$22,FALSE)))</f>
        <v>1.5</v>
      </c>
      <c r="AI41" s="22">
        <f>IF(OR($B41="",AI$22=""),"",IF(LEN(VLOOKUP($B41,Database!$B$1:$IX$10144,AI$22,FALSE))=0,"",VLOOKUP($B41,Database!$B$1:$IX$10144,AI$22,FALSE)))</f>
        <v>3</v>
      </c>
      <c r="AJ41" s="22" t="str">
        <f>IF(OR($B41="",AJ$22=""),"",IF(LEN(VLOOKUP($B41,Database!$B$1:$IX$10144,AJ$22,FALSE))=0,"",VLOOKUP($B41,Database!$B$1:$IX$10144,AJ$22,FALSE)))</f>
        <v/>
      </c>
      <c r="AK41" s="22" t="str">
        <f>IF(OR($B41="",AK$22=""),"",IF(LEN(VLOOKUP($B41,Database!$B$1:$IX$10144,AK$22,FALSE))=0,"",VLOOKUP($B41,Database!$B$1:$IX$10144,AK$22,FALSE)))</f>
        <v>ns</v>
      </c>
      <c r="AL41" s="22">
        <f>IF(OR($B41="",AL$22=""),"",IF(LEN(VLOOKUP($B41,Database!$B$1:$IX$10144,AL$22,FALSE))=0,"",VLOOKUP($B41,Database!$B$1:$IX$10144,AL$22,FALSE)))</f>
        <v>4.8</v>
      </c>
      <c r="AM41" s="22" t="str">
        <f>IF(OR($B41="",AM$22=""),"",IF(LEN(VLOOKUP($B41,Database!$B$1:$IX$10144,AM$22,FALSE))=0,"",VLOOKUP($B41,Database!$B$1:$IX$10144,AM$22,FALSE)))</f>
        <v>ns</v>
      </c>
      <c r="AN41" s="22" t="str">
        <f>IF(OR($B41="",AN$22=""),"",IF(LEN(VLOOKUP($B41,Database!$B$1:$IX$10144,AN$22,FALSE))=0,"",VLOOKUP($B41,Database!$B$1:$IX$10144,AN$22,FALSE)))</f>
        <v>ns</v>
      </c>
      <c r="AO41" s="22">
        <f>IF(OR($B41="",AO$22=""),"",IF(LEN(VLOOKUP($B41,Database!$B$1:$IX$10144,AO$22,FALSE))=0,"",VLOOKUP($B41,Database!$B$1:$IX$10144,AO$22,FALSE)))</f>
        <v>14.000000000000002</v>
      </c>
      <c r="AP41" s="22" t="str">
        <f>IF(OR($B41="",AP$22=""),"",IF(LEN(VLOOKUP($B41,Database!$B$1:$IX$10144,AP$22,FALSE))=0,"",VLOOKUP($B41,Database!$B$1:$IX$10144,AP$22,FALSE)))</f>
        <v>ns</v>
      </c>
      <c r="AQ41" s="22" t="str">
        <f>IF(OR($B41="",AQ$22=""),"",IF(LEN(VLOOKUP($B41,Database!$B$1:$IX$10144,AQ$22,FALSE))=0,"",VLOOKUP($B41,Database!$B$1:$IX$10144,AQ$22,FALSE)))</f>
        <v>Baldwin R, Jeffries S, Jackson A, Sutcliffe C, Thacker N, Scott M, Burns A.</v>
      </c>
    </row>
    <row r="42" spans="1:61">
      <c r="A42" s="10" t="s">
        <v>2327</v>
      </c>
      <c r="B42">
        <v>16323250</v>
      </c>
      <c r="C42" s="1" t="str">
        <f>IF($B42="","",HYPERLINK(IF(LEN(VLOOKUP($B42,Database!$B$1:$IX$10144,2,FALSE))=0,"",VLOOKUP($B42,Database!$B$1:$IX$10144,2,FALSE))))</f>
        <v/>
      </c>
      <c r="D42" s="1" t="str">
        <f t="shared" si="0"/>
        <v>http://www.ncbi.nlm.nih.gov/pubmed/16323250</v>
      </c>
      <c r="E42" s="22" t="str">
        <f>IF($B42="","",IF(LEN(VLOOKUP($B42,Database!$B$1:$IX$10144,4,FALSE))=0,"",VLOOKUP($B42,Database!$B$1:$IX$10144,4,FALSE)))</f>
        <v>Chen CS</v>
      </c>
      <c r="F42" s="22">
        <f>IF($B42="","",IF(LEN(VLOOKUP($B42,Database!$B$1:$IX$10144,5,FALSE))=0,"",VLOOKUP($B42,Database!$B$1:$IX$10144,5,FALSE)))</f>
        <v>2006</v>
      </c>
      <c r="G42" s="1" t="str">
        <f>IF($B42="","",HYPERLINK(IF(LEN(VLOOKUP($B42,Database!$B$1:$IX$10144,6,FALSE))=0,"",VLOOKUP($B42,Database!$B$1:$IX$10144,6,FALSE))))</f>
        <v>http://www3.interscience.wiley.com/cgi-bin/fulltext/112161700/PDFSTART</v>
      </c>
      <c r="H42" s="22">
        <f>IF($B42="","",IF(LEN(VLOOKUP($B42,Database!$B$1:$IX$10144,7,FALSE))=0,"",VLOOKUP($B42,Database!$B$1:$IX$10144,7,FALSE)))</f>
        <v>14</v>
      </c>
      <c r="I42" s="22">
        <f>IF($B42="","",IF(LEN(VLOOKUP($B42,Database!$B$1:$IX$10144,8,FALSE))=0,"",VLOOKUP($B42,Database!$B$1:$IX$10144,8,FALSE)))</f>
        <v>11</v>
      </c>
      <c r="J42" t="s">
        <v>1191</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22">
        <f>IF(OR($B42="",AB$22=""),"",IF(LEN(VLOOKUP($B42,Database!$B$1:$IX$10144,AB$22,FALSE))=0,"",VLOOKUP($B42,Database!$B$1:$IX$10144,AB$22,FALSE)))</f>
        <v>75.099999999999994</v>
      </c>
      <c r="AC42" s="22">
        <f>IF(OR($B42="",AC$22=""),"",IF(LEN(VLOOKUP($B42,Database!$B$1:$IX$10144,AC$22,FALSE))=0,"",VLOOKUP($B42,Database!$B$1:$IX$10144,AC$22,FALSE)))</f>
        <v>6.3</v>
      </c>
      <c r="AD42" s="22">
        <f>IF(OR($B42="",AD$22=""),"",IF(LEN(VLOOKUP($B42,Database!$B$1:$IX$10144,AD$22,FALSE))=0,"",VLOOKUP($B42,Database!$B$1:$IX$10144,AD$22,FALSE)))</f>
        <v>72.599999999999994</v>
      </c>
      <c r="AE42" s="22">
        <f>IF(OR($B42="",AE$22=""),"",IF(LEN(VLOOKUP($B42,Database!$B$1:$IX$10144,AE$22,FALSE))=0,"",VLOOKUP($B42,Database!$B$1:$IX$10144,AE$22,FALSE)))</f>
        <v>8.1</v>
      </c>
      <c r="AF42" s="22">
        <f>IF(OR($B42="",AF$22=""),"",IF(LEN(VLOOKUP($B42,Database!$B$1:$IX$10144,AF$22,FALSE))=0,"",VLOOKUP($B42,Database!$B$1:$IX$10144,AF$22,FALSE)))</f>
        <v>8</v>
      </c>
      <c r="AG42" s="22">
        <f>IF(OR($B42="",AG$22=""),"",IF(LEN(VLOOKUP($B42,Database!$B$1:$IX$10144,AG$22,FALSE))=0,"",VLOOKUP($B42,Database!$B$1:$IX$10144,AG$22,FALSE)))</f>
        <v>7</v>
      </c>
      <c r="AH42" s="22">
        <f>IF(OR($B42="",AH$22=""),"",IF(LEN(VLOOKUP($B42,Database!$B$1:$IX$10144,AH$22,FALSE))=0,"",VLOOKUP($B42,Database!$B$1:$IX$10144,AH$22,FALSE)))</f>
        <v>3</v>
      </c>
      <c r="AI42" s="22">
        <f>IF(OR($B42="",AI$22=""),"",IF(LEN(VLOOKUP($B42,Database!$B$1:$IX$10144,AI$22,FALSE))=0,"",VLOOKUP($B42,Database!$B$1:$IX$10144,AI$22,FALSE)))</f>
        <v>5</v>
      </c>
      <c r="AJ42" s="22" t="str">
        <f>IF(OR($B42="",AJ$22=""),"",IF(LEN(VLOOKUP($B42,Database!$B$1:$IX$10144,AJ$22,FALSE))=0,"",VLOOKUP($B42,Database!$B$1:$IX$10144,AJ$22,FALSE)))</f>
        <v/>
      </c>
      <c r="AK42" s="22">
        <f>IF(OR($B42="",AK$22=""),"",IF(LEN(VLOOKUP($B42,Database!$B$1:$IX$10144,AK$22,FALSE))=0,"",VLOOKUP($B42,Database!$B$1:$IX$10144,AK$22,FALSE)))</f>
        <v>70</v>
      </c>
      <c r="AL42" s="22">
        <f>IF(OR($B42="",AL$22=""),"",IF(LEN(VLOOKUP($B42,Database!$B$1:$IX$10144,AL$22,FALSE))=0,"",VLOOKUP($B42,Database!$B$1:$IX$10144,AL$22,FALSE)))</f>
        <v>22</v>
      </c>
      <c r="AM42" s="22" t="str">
        <f>IF(OR($B42="",AM$22=""),"",IF(LEN(VLOOKUP($B42,Database!$B$1:$IX$10144,AM$22,FALSE))=0,"",VLOOKUP($B42,Database!$B$1:$IX$10144,AM$22,FALSE)))</f>
        <v>ns</v>
      </c>
      <c r="AN42" s="22" t="str">
        <f>IF(OR($B42="",AN$22=""),"",IF(LEN(VLOOKUP($B42,Database!$B$1:$IX$10144,AN$22,FALSE))=0,"",VLOOKUP($B42,Database!$B$1:$IX$10144,AN$22,FALSE)))</f>
        <v>ns</v>
      </c>
      <c r="AO42" s="22" t="str">
        <f>IF(OR($B42="",AO$22=""),"",IF(LEN(VLOOKUP($B42,Database!$B$1:$IX$10144,AO$22,FALSE))=0,"",VLOOKUP($B42,Database!$B$1:$IX$10144,AO$22,FALSE)))</f>
        <v>ns</v>
      </c>
      <c r="AP42" s="22" t="str">
        <f>IF(OR($B42="",AP$22=""),"",IF(LEN(VLOOKUP($B42,Database!$B$1:$IX$10144,AP$22,FALSE))=0,"",VLOOKUP($B42,Database!$B$1:$IX$10144,AP$22,FALSE)))</f>
        <v>ns</v>
      </c>
      <c r="AQ42" s="22" t="str">
        <f>IF(OR($B42="",AQ$22=""),"",IF(LEN(VLOOKUP($B42,Database!$B$1:$IX$10144,AQ$22,FALSE))=0,"",VLOOKUP($B42,Database!$B$1:$IX$10144,AQ$22,FALSE)))</f>
        <v>Chen CS, Chen CC, Kuo YT, Chiang IC, Ko CH, Lin HF.</v>
      </c>
    </row>
    <row r="43" spans="1:61">
      <c r="B43" s="13"/>
      <c r="C43" s="1" t="str">
        <f>IF($B43="","",HYPERLINK(IF(LEN(VLOOKUP($B43,Database!$B$1:$IX$10144,2,FALSE))=0,"",VLOOKUP($B43,Database!$B$1:$IX$10144,2,FALSE))))</f>
        <v/>
      </c>
      <c r="D43" s="1" t="str">
        <f t="shared" si="0"/>
        <v/>
      </c>
      <c r="E43" s="22" t="str">
        <f>IF($B43="","",IF(LEN(VLOOKUP($B43,Database!$B$1:$IX$10144,4,FALSE))=0,"",VLOOKUP($B43,Database!$B$1:$IX$10144,4,FALSE)))</f>
        <v/>
      </c>
      <c r="F43" s="22" t="str">
        <f>IF($B43="","",IF(LEN(VLOOKUP($B43,Database!$B$1:$IX$10144,5,FALSE))=0,"",VLOOKUP($B43,Database!$B$1:$IX$10144,5,FALSE)))</f>
        <v/>
      </c>
      <c r="G43" s="1" t="str">
        <f>IF($B43="","",HYPERLINK(IF(LEN(VLOOKUP($B43,Database!$B$1:$IX$10144,6,FALSE))=0,"",VLOOKUP($B43,Database!$B$1:$IX$10144,6,FALSE))))</f>
        <v/>
      </c>
      <c r="H43" s="22" t="str">
        <f>IF($B43="","",IF(LEN(VLOOKUP($B43,Database!$B$1:$IX$10144,7,FALSE))=0,"",VLOOKUP($B43,Database!$B$1:$IX$10144,7,FALSE)))</f>
        <v/>
      </c>
      <c r="I43" s="22" t="str">
        <f>IF($B43="","",IF(LEN(VLOOKUP($B43,Database!$B$1:$IX$10144,8,FALSE))=0,"",VLOOKUP($B43,Database!$B$1:$IX$10144,8,FALSE)))</f>
        <v/>
      </c>
      <c r="Y43" s="22" t="str">
        <f>IF(OR($B43="",Y$22=""),"",IF(LEN(VLOOKUP($B43,Database!$B$1:$IX$10144,Y$22,FALSE))=0,"",VLOOKUP($B43,Database!$B$1:$IX$10144,Y$22,FALSE)))</f>
        <v/>
      </c>
      <c r="Z43" s="22" t="str">
        <f>IF(OR($B43="",Z$22=""),"",IF(LEN(VLOOKUP($B43,Database!$B$1:$IX$10144,Z$22,FALSE))=0,"",VLOOKUP($B43,Database!$B$1:$IX$10144,Z$22,FALSE)))</f>
        <v/>
      </c>
      <c r="AA43" s="22" t="str">
        <f>IF(OR($B43="",AA$22=""),"",IF(LEN(VLOOKUP($B43,Database!$B$1:$IX$10144,AA$22,FALSE))=0,"",VLOOKUP($B43,Database!$B$1:$IX$10144,AA$22,FALSE)))</f>
        <v/>
      </c>
      <c r="AB43" s="22" t="str">
        <f>IF(OR($B43="",AB$22=""),"",IF(LEN(VLOOKUP($B43,Database!$B$1:$IX$10144,AB$22,FALSE))=0,"",VLOOKUP($B43,Database!$B$1:$IX$10144,AB$22,FALSE)))</f>
        <v/>
      </c>
      <c r="AC43" s="22" t="str">
        <f>IF(OR($B43="",AC$22=""),"",IF(LEN(VLOOKUP($B43,Database!$B$1:$IX$10144,AC$22,FALSE))=0,"",VLOOKUP($B43,Database!$B$1:$IX$10144,AC$22,FALSE)))</f>
        <v/>
      </c>
      <c r="AD43" s="22" t="str">
        <f>IF(OR($B43="",AD$22=""),"",IF(LEN(VLOOKUP($B43,Database!$B$1:$IX$10144,AD$22,FALSE))=0,"",VLOOKUP($B43,Database!$B$1:$IX$10144,AD$22,FALSE)))</f>
        <v/>
      </c>
      <c r="AE43" s="22" t="str">
        <f>IF(OR($B43="",AE$22=""),"",IF(LEN(VLOOKUP($B43,Database!$B$1:$IX$10144,AE$22,FALSE))=0,"",VLOOKUP($B43,Database!$B$1:$IX$10144,AE$22,FALSE)))</f>
        <v/>
      </c>
      <c r="AF43" s="22" t="str">
        <f>IF(OR($B43="",AF$22=""),"",IF(LEN(VLOOKUP($B43,Database!$B$1:$IX$10144,AF$22,FALSE))=0,"",VLOOKUP($B43,Database!$B$1:$IX$10144,AF$22,FALSE)))</f>
        <v/>
      </c>
      <c r="AG43" s="22" t="str">
        <f>IF(OR($B43="",AG$22=""),"",IF(LEN(VLOOKUP($B43,Database!$B$1:$IX$10144,AG$22,FALSE))=0,"",VLOOKUP($B43,Database!$B$1:$IX$10144,AG$22,FALSE)))</f>
        <v/>
      </c>
      <c r="AH43" s="22" t="str">
        <f>IF(OR($B43="",AH$22=""),"",IF(LEN(VLOOKUP($B43,Database!$B$1:$IX$10144,AH$22,FALSE))=0,"",VLOOKUP($B43,Database!$B$1:$IX$10144,AH$22,FALSE)))</f>
        <v/>
      </c>
      <c r="AI43" s="22" t="str">
        <f>IF(OR($B43="",AI$22=""),"",IF(LEN(VLOOKUP($B43,Database!$B$1:$IX$10144,AI$22,FALSE))=0,"",VLOOKUP($B43,Database!$B$1:$IX$10144,AI$22,FALSE)))</f>
        <v/>
      </c>
      <c r="AJ43" s="22" t="str">
        <f>IF(OR($B43="",AJ$22=""),"",IF(LEN(VLOOKUP($B43,Database!$B$1:$IX$10144,AJ$22,FALSE))=0,"",VLOOKUP($B43,Database!$B$1:$IX$10144,AJ$22,FALSE)))</f>
        <v/>
      </c>
      <c r="AK43" s="22" t="str">
        <f>IF(OR($B43="",AK$22=""),"",IF(LEN(VLOOKUP($B43,Database!$B$1:$IX$10144,AK$22,FALSE))=0,"",VLOOKUP($B43,Database!$B$1:$IX$10144,AK$22,FALSE)))</f>
        <v/>
      </c>
      <c r="AL43" s="22" t="str">
        <f>IF(OR($B43="",AL$22=""),"",IF(LEN(VLOOKUP($B43,Database!$B$1:$IX$10144,AL$22,FALSE))=0,"",VLOOKUP($B43,Database!$B$1:$IX$10144,AL$22,FALSE)))</f>
        <v/>
      </c>
      <c r="AM43" s="22" t="str">
        <f>IF(OR($B43="",AM$22=""),"",IF(LEN(VLOOKUP($B43,Database!$B$1:$IX$10144,AM$22,FALSE))=0,"",VLOOKUP($B43,Database!$B$1:$IX$10144,AM$22,FALSE)))</f>
        <v/>
      </c>
      <c r="AN43" s="22" t="str">
        <f>IF(OR($B43="",AN$22=""),"",IF(LEN(VLOOKUP($B43,Database!$B$1:$IX$10144,AN$22,FALSE))=0,"",VLOOKUP($B43,Database!$B$1:$IX$10144,AN$22,FALSE)))</f>
        <v/>
      </c>
      <c r="AO43" s="22" t="str">
        <f>IF(OR($B43="",AO$22=""),"",IF(LEN(VLOOKUP($B43,Database!$B$1:$IX$10144,AO$22,FALSE))=0,"",VLOOKUP($B43,Database!$B$1:$IX$10144,AO$22,FALSE)))</f>
        <v/>
      </c>
      <c r="AP43" s="22" t="str">
        <f>IF(OR($B43="",AP$22=""),"",IF(LEN(VLOOKUP($B43,Database!$B$1:$IX$10144,AP$22,FALSE))=0,"",VLOOKUP($B43,Database!$B$1:$IX$10144,AP$22,FALSE)))</f>
        <v/>
      </c>
      <c r="AQ43" s="22" t="str">
        <f>IF(OR($B43="",AQ$22=""),"",IF(LEN(VLOOKUP($B43,Database!$B$1:$IX$10144,AQ$22,FALSE))=0,"",VLOOKUP($B43,Database!$B$1:$IX$10144,AQ$22,FALSE)))</f>
        <v/>
      </c>
    </row>
    <row r="44" spans="1:61">
      <c r="I44" s="22" t="str">
        <f>IF($B44="","",IF(LEN(VLOOKUP($B44,Database!$B$1:$IX$10144,8,FALSE))=0,"",VLOOKUP($B44,Database!$B$1:$IX$10144,8,FALSE)))</f>
        <v/>
      </c>
      <c r="AF44" t="s">
        <v>602</v>
      </c>
      <c r="AJ44" t="s">
        <v>329</v>
      </c>
      <c r="AN44" t="s">
        <v>330</v>
      </c>
    </row>
    <row r="45" spans="1:61" ht="45" customHeight="1">
      <c r="E45" s="60" t="s">
        <v>617</v>
      </c>
      <c r="F45" s="60" t="s">
        <v>740</v>
      </c>
      <c r="G45" s="60" t="s">
        <v>244</v>
      </c>
      <c r="H45" s="60" t="s">
        <v>245</v>
      </c>
      <c r="I45" s="60" t="s">
        <v>246</v>
      </c>
      <c r="J45" s="60" t="s">
        <v>593</v>
      </c>
      <c r="K45" s="60" t="s">
        <v>1039</v>
      </c>
      <c r="L45" s="60" t="s">
        <v>594</v>
      </c>
      <c r="M45" s="60" t="s">
        <v>1299</v>
      </c>
      <c r="N45" s="61" t="s">
        <v>595</v>
      </c>
      <c r="O45" s="61" t="s">
        <v>596</v>
      </c>
      <c r="P45" s="61" t="s">
        <v>597</v>
      </c>
      <c r="Q45" s="61" t="s">
        <v>598</v>
      </c>
      <c r="R45" s="61" t="s">
        <v>599</v>
      </c>
      <c r="S45" s="61" t="s">
        <v>600</v>
      </c>
      <c r="T45" s="61" t="s">
        <v>601</v>
      </c>
      <c r="U45" s="61" t="s">
        <v>484</v>
      </c>
      <c r="V45" s="61" t="s">
        <v>485</v>
      </c>
      <c r="W45" s="61" t="s">
        <v>486</v>
      </c>
      <c r="AF45" s="61" t="s">
        <v>1517</v>
      </c>
      <c r="AG45" s="62" t="s">
        <v>834</v>
      </c>
      <c r="AH45" s="62" t="s">
        <v>835</v>
      </c>
      <c r="AJ45" s="61" t="s">
        <v>836</v>
      </c>
      <c r="AK45" s="61" t="s">
        <v>837</v>
      </c>
      <c r="AL45" s="61" t="s">
        <v>487</v>
      </c>
      <c r="AN45" s="31" t="s">
        <v>488</v>
      </c>
      <c r="AO45" s="31" t="s">
        <v>489</v>
      </c>
      <c r="AP45" s="31" t="s">
        <v>490</v>
      </c>
      <c r="AQ45" s="31" t="s">
        <v>491</v>
      </c>
      <c r="AR45" s="31" t="s">
        <v>492</v>
      </c>
      <c r="AS45" s="31" t="s">
        <v>493</v>
      </c>
      <c r="AT45" s="31" t="s">
        <v>494</v>
      </c>
      <c r="AU45" s="31" t="s">
        <v>495</v>
      </c>
      <c r="AV45" s="31" t="s">
        <v>496</v>
      </c>
      <c r="AW45" s="31" t="s">
        <v>497</v>
      </c>
      <c r="AX45" s="31" t="s">
        <v>498</v>
      </c>
      <c r="AY45" s="31" t="s">
        <v>499</v>
      </c>
      <c r="AZ45" s="31"/>
    </row>
    <row r="46" spans="1:61">
      <c r="E46" t="str">
        <f t="shared" ref="E46:F51" si="1">E24</f>
        <v>Greenwald BS</v>
      </c>
      <c r="F46">
        <f t="shared" si="1"/>
        <v>1996</v>
      </c>
      <c r="G46">
        <v>12</v>
      </c>
      <c r="H46">
        <f t="shared" ref="H46:I51" si="2">H24</f>
        <v>48</v>
      </c>
      <c r="I46">
        <f t="shared" si="2"/>
        <v>39</v>
      </c>
      <c r="J46">
        <f t="shared" ref="J46:M49" si="3">IF($D$4="Total",T24,IF($D$4="Left",L24,IF($D$4="Right",P24,"error")))</f>
        <v>1.85</v>
      </c>
      <c r="K46">
        <f t="shared" si="3"/>
        <v>0.83</v>
      </c>
      <c r="L46">
        <f t="shared" si="3"/>
        <v>1.69</v>
      </c>
      <c r="M46">
        <f t="shared" si="3"/>
        <v>0.89</v>
      </c>
      <c r="N46">
        <f t="shared" ref="N46:N53" si="4">IF($D$3=1,SQRT((((I46-1)*(M46)^2)+((H46-1)*(K46)^2))/(H46+I46-2)),M46)</f>
        <v>0.85734267978926326</v>
      </c>
      <c r="O46" s="59">
        <f t="shared" ref="O46:O53" si="5">IF($D$6=1,LN(J46/L46),IF($D$5=1,(1-3/(4*(H46+I46)-9))*((J46-L46)/N46),(J46-L46)/N46))</f>
        <v>0.18497162748906965</v>
      </c>
      <c r="P46" s="63">
        <f t="shared" ref="P46:P53" si="6">IF($D$6=1,(K46^2)/(H46*J46^2)+(M46^2)/(I46*L46^2),(IF($D$5=1,((H46+I46)/(H46*I46))+(O46*O46)/(2*(H46+I46-3.94)),((H46+I46)/(H46*I46))+((O46^2)/(2*(H46+I46-2))))))</f>
        <v>4.6680321549461043E-2</v>
      </c>
      <c r="Q46" s="59">
        <f t="shared" ref="Q46:Q57" si="7">$R$74*SQRT(P46)</f>
        <v>0.42347033339350887</v>
      </c>
      <c r="R46" s="59">
        <f t="shared" ref="R46:R53" si="8">1/P46</f>
        <v>21.422303163452519</v>
      </c>
      <c r="S46" s="59">
        <f t="shared" ref="S46:S53" si="9">O46*R46</f>
        <v>3.9625182807080574</v>
      </c>
      <c r="T46" s="59">
        <f t="shared" ref="T46:T53" si="10">R46*(O46^2)</f>
        <v>0.73295345533775946</v>
      </c>
      <c r="U46" s="23">
        <f t="shared" ref="U46:U53" si="11">R46^2</f>
        <v>458.9150728268678</v>
      </c>
      <c r="V46" s="59">
        <f t="shared" ref="V46:V53" si="12">1/((1/R46)+$I$71)</f>
        <v>10.885475263008775</v>
      </c>
      <c r="W46" s="59">
        <f t="shared" ref="W46:W53" si="13">V46*O46</f>
        <v>2.0135040753907414</v>
      </c>
      <c r="AF46" s="59">
        <f t="shared" ref="AF46:AF53" si="14">IF($D$6=1,100*((EXP(O46))-1),O46)</f>
        <v>0.18497162748906965</v>
      </c>
      <c r="AG46" s="59">
        <f t="shared" ref="AG46:AG53" si="15">IF($D$6=1,100*(EXP(O46+Q46)-EXP(O46)),Q46)</f>
        <v>0.42347033339350887</v>
      </c>
      <c r="AH46" s="59">
        <f t="shared" ref="AH46:AH53" si="16">IF($D$6=1,100*(EXP(O46)-EXP(O46-Q46)),Q46)</f>
        <v>0.42347033339350887</v>
      </c>
      <c r="AJ46">
        <f t="shared" ref="AJ46:AJ53" si="17">SQRT(P46)</f>
        <v>0.21605629254770861</v>
      </c>
      <c r="AK46">
        <f t="shared" ref="AK46:AK57" si="18">1/AJ46</f>
        <v>4.6284233993286001</v>
      </c>
      <c r="AL46">
        <f t="shared" ref="AL46:AL53" si="19">O46/AJ46</f>
        <v>0.85612700888230331</v>
      </c>
      <c r="AN46" s="31" t="str">
        <f t="shared" ref="AN46:AN53" si="20">E46</f>
        <v>Greenwald BS</v>
      </c>
      <c r="AO46" s="31">
        <f t="shared" ref="AO46:AO53" si="21">F46</f>
        <v>1996</v>
      </c>
      <c r="AP46" s="31" t="str">
        <f t="shared" ref="AP46:AP53" si="22">CONCATENATE(AN46," ",AO46)</f>
        <v>Greenwald BS 1996</v>
      </c>
      <c r="AQ46" s="31">
        <f t="shared" ref="AQ46:AQ53" si="23">INT(H46)</f>
        <v>48</v>
      </c>
      <c r="AR46" s="31">
        <f t="shared" ref="AR46:AR53" si="24">J46</f>
        <v>1.85</v>
      </c>
      <c r="AS46" s="31">
        <f t="shared" ref="AS46:AS53" si="25">K46</f>
        <v>0.83</v>
      </c>
      <c r="AT46" s="31">
        <f t="shared" ref="AT46:AT53" si="26">INT(I46)</f>
        <v>39</v>
      </c>
      <c r="AU46" s="31">
        <f t="shared" ref="AU46:AU53" si="27">L46</f>
        <v>1.69</v>
      </c>
      <c r="AV46" s="31">
        <f t="shared" ref="AV46:AV53" si="28">M46</f>
        <v>0.89</v>
      </c>
      <c r="AW46" s="164">
        <f t="shared" ref="AW46:AW53" si="29">O46</f>
        <v>0.18497162748906965</v>
      </c>
      <c r="AX46" s="31">
        <f t="shared" ref="AX46:AX53" si="30">SQRT(P46)</f>
        <v>0.21605629254770861</v>
      </c>
      <c r="AY46" s="31" t="str">
        <f>$F$4</f>
        <v>Total</v>
      </c>
      <c r="AZ46" s="31"/>
    </row>
    <row r="47" spans="1:61">
      <c r="E47" t="str">
        <f t="shared" si="1"/>
        <v>Keshavan MS</v>
      </c>
      <c r="F47">
        <f t="shared" si="1"/>
        <v>1996</v>
      </c>
      <c r="G47">
        <v>11</v>
      </c>
      <c r="H47">
        <f t="shared" si="2"/>
        <v>19</v>
      </c>
      <c r="I47">
        <f t="shared" si="2"/>
        <v>19</v>
      </c>
      <c r="J47">
        <f t="shared" si="3"/>
        <v>2.11</v>
      </c>
      <c r="K47">
        <f t="shared" si="3"/>
        <v>0.94</v>
      </c>
      <c r="L47">
        <f t="shared" si="3"/>
        <v>2</v>
      </c>
      <c r="M47">
        <f t="shared" si="3"/>
        <v>1.1100000000000001</v>
      </c>
      <c r="N47">
        <f t="shared" si="4"/>
        <v>1.0285183518051586</v>
      </c>
      <c r="O47" s="59">
        <f t="shared" si="5"/>
        <v>0.10470625779627186</v>
      </c>
      <c r="P47" s="63">
        <f t="shared" si="6"/>
        <v>0.10542410035541945</v>
      </c>
      <c r="Q47" s="59">
        <f t="shared" si="7"/>
        <v>0.63639392197394473</v>
      </c>
      <c r="R47" s="59">
        <f t="shared" si="8"/>
        <v>9.4854971171550897</v>
      </c>
      <c r="S47" s="59">
        <f t="shared" si="9"/>
        <v>0.99319090647463437</v>
      </c>
      <c r="T47" s="59">
        <f t="shared" si="10"/>
        <v>0.10399330309424601</v>
      </c>
      <c r="U47" s="23">
        <f t="shared" si="11"/>
        <v>89.974655559557519</v>
      </c>
      <c r="V47" s="59">
        <f t="shared" si="12"/>
        <v>6.6396956474751301</v>
      </c>
      <c r="W47" s="59">
        <f t="shared" si="13"/>
        <v>0.6952176841533152</v>
      </c>
      <c r="AF47" s="59">
        <f t="shared" si="14"/>
        <v>0.10470625779627186</v>
      </c>
      <c r="AG47" s="59">
        <f t="shared" si="15"/>
        <v>0.63639392197394473</v>
      </c>
      <c r="AH47" s="59">
        <f t="shared" si="16"/>
        <v>0.63639392197394473</v>
      </c>
      <c r="AJ47">
        <f t="shared" si="17"/>
        <v>0.32469077651731876</v>
      </c>
      <c r="AK47">
        <f t="shared" si="18"/>
        <v>3.0798534246218749</v>
      </c>
      <c r="AL47">
        <f t="shared" si="19"/>
        <v>0.32247992665318881</v>
      </c>
      <c r="AN47" s="31" t="str">
        <f t="shared" si="20"/>
        <v>Keshavan MS</v>
      </c>
      <c r="AO47" s="31">
        <f t="shared" si="21"/>
        <v>1996</v>
      </c>
      <c r="AP47" s="31" t="str">
        <f t="shared" si="22"/>
        <v>Keshavan MS 1996</v>
      </c>
      <c r="AQ47" s="31">
        <f t="shared" si="23"/>
        <v>19</v>
      </c>
      <c r="AR47" s="31">
        <f t="shared" si="24"/>
        <v>2.11</v>
      </c>
      <c r="AS47" s="31">
        <f t="shared" si="25"/>
        <v>0.94</v>
      </c>
      <c r="AT47" s="31">
        <f t="shared" si="26"/>
        <v>19</v>
      </c>
      <c r="AU47" s="31">
        <f t="shared" si="27"/>
        <v>2</v>
      </c>
      <c r="AV47" s="31">
        <f t="shared" si="28"/>
        <v>1.1100000000000001</v>
      </c>
      <c r="AW47" s="164">
        <f t="shared" si="29"/>
        <v>0.10470625779627186</v>
      </c>
      <c r="AX47" s="31">
        <f t="shared" si="30"/>
        <v>0.32469077651731876</v>
      </c>
      <c r="AY47" s="31" t="str">
        <f>$F$6</f>
        <v>Cohens Effect size</v>
      </c>
      <c r="AZ47" s="31"/>
    </row>
    <row r="48" spans="1:61">
      <c r="E48" t="str">
        <f t="shared" si="1"/>
        <v>Kumar A</v>
      </c>
      <c r="F48">
        <f t="shared" si="1"/>
        <v>1997</v>
      </c>
      <c r="G48">
        <v>10</v>
      </c>
      <c r="H48">
        <f t="shared" si="2"/>
        <v>28</v>
      </c>
      <c r="I48">
        <f t="shared" si="2"/>
        <v>29</v>
      </c>
      <c r="J48">
        <f t="shared" si="3"/>
        <v>1.88</v>
      </c>
      <c r="K48">
        <f t="shared" si="3"/>
        <v>0.98</v>
      </c>
      <c r="L48">
        <f t="shared" si="3"/>
        <v>0.87</v>
      </c>
      <c r="M48">
        <f t="shared" si="3"/>
        <v>0.96</v>
      </c>
      <c r="N48">
        <f t="shared" si="4"/>
        <v>0.96986971946095557</v>
      </c>
      <c r="O48" s="59">
        <f t="shared" si="5"/>
        <v>1.0271115424815018</v>
      </c>
      <c r="P48" s="63">
        <f t="shared" si="6"/>
        <v>8.0138225268811869E-2</v>
      </c>
      <c r="Q48" s="59">
        <f t="shared" si="7"/>
        <v>0.55485043587679339</v>
      </c>
      <c r="R48" s="59">
        <f t="shared" si="8"/>
        <v>12.478439554228302</v>
      </c>
      <c r="S48" s="59">
        <f t="shared" si="9"/>
        <v>12.816749298305616</v>
      </c>
      <c r="T48" s="59">
        <f t="shared" si="10"/>
        <v>13.164231141381388</v>
      </c>
      <c r="U48" s="23">
        <f t="shared" si="11"/>
        <v>155.71145370852943</v>
      </c>
      <c r="V48" s="59">
        <f t="shared" si="12"/>
        <v>7.9793533966523285</v>
      </c>
      <c r="W48" s="59">
        <f t="shared" si="13"/>
        <v>8.1956859752405844</v>
      </c>
      <c r="AF48" s="59">
        <f t="shared" si="14"/>
        <v>1.0271115424815018</v>
      </c>
      <c r="AG48" s="59">
        <f t="shared" si="15"/>
        <v>0.55485043587679339</v>
      </c>
      <c r="AH48" s="59">
        <f t="shared" si="16"/>
        <v>0.55485043587679339</v>
      </c>
      <c r="AJ48">
        <f t="shared" si="17"/>
        <v>0.28308695707999665</v>
      </c>
      <c r="AK48">
        <f t="shared" si="18"/>
        <v>3.5324834825131601</v>
      </c>
      <c r="AL48">
        <f t="shared" si="19"/>
        <v>3.6282545585145192</v>
      </c>
      <c r="AN48" s="31" t="str">
        <f t="shared" si="20"/>
        <v>Kumar A</v>
      </c>
      <c r="AO48" s="31">
        <f t="shared" si="21"/>
        <v>1997</v>
      </c>
      <c r="AP48" s="31" t="str">
        <f t="shared" si="22"/>
        <v>Kumar A 1997</v>
      </c>
      <c r="AQ48" s="31">
        <f t="shared" si="23"/>
        <v>28</v>
      </c>
      <c r="AR48" s="31">
        <f t="shared" si="24"/>
        <v>1.88</v>
      </c>
      <c r="AS48" s="31">
        <f t="shared" si="25"/>
        <v>0.98</v>
      </c>
      <c r="AT48" s="31">
        <f t="shared" si="26"/>
        <v>29</v>
      </c>
      <c r="AU48" s="31">
        <f t="shared" si="27"/>
        <v>0.87</v>
      </c>
      <c r="AV48" s="31">
        <f t="shared" si="28"/>
        <v>0.96</v>
      </c>
      <c r="AW48" s="164">
        <f t="shared" si="29"/>
        <v>1.0271115424815018</v>
      </c>
      <c r="AX48" s="31">
        <f t="shared" si="30"/>
        <v>0.28308695707999665</v>
      </c>
      <c r="AY48" s="31" t="str">
        <f>$F$5</f>
        <v>H Correction</v>
      </c>
      <c r="AZ48" s="31"/>
    </row>
    <row r="49" spans="5:52">
      <c r="E49" t="str">
        <f t="shared" si="1"/>
        <v>Lenze EJ (A)</v>
      </c>
      <c r="F49">
        <f t="shared" si="1"/>
        <v>1999</v>
      </c>
      <c r="G49">
        <v>9</v>
      </c>
      <c r="H49">
        <f t="shared" si="2"/>
        <v>24</v>
      </c>
      <c r="I49">
        <f t="shared" si="2"/>
        <v>24</v>
      </c>
      <c r="J49">
        <f t="shared" si="3"/>
        <v>0.73</v>
      </c>
      <c r="K49">
        <f t="shared" si="3"/>
        <v>0.83</v>
      </c>
      <c r="L49">
        <f t="shared" si="3"/>
        <v>0.63</v>
      </c>
      <c r="M49">
        <f t="shared" si="3"/>
        <v>0.66</v>
      </c>
      <c r="N49">
        <f t="shared" si="4"/>
        <v>0.74983331481069848</v>
      </c>
      <c r="O49" s="59">
        <f t="shared" si="5"/>
        <v>0.13117669459983494</v>
      </c>
      <c r="P49" s="63">
        <f t="shared" si="6"/>
        <v>8.352860484043885E-2</v>
      </c>
      <c r="Q49" s="59">
        <f t="shared" si="7"/>
        <v>0.56646578745324927</v>
      </c>
      <c r="R49" s="59">
        <f t="shared" si="8"/>
        <v>11.971946639241223</v>
      </c>
      <c r="S49" s="59">
        <f t="shared" si="9"/>
        <v>1.5704403880612661</v>
      </c>
      <c r="T49" s="59">
        <f t="shared" si="10"/>
        <v>0.20600517917195899</v>
      </c>
      <c r="U49" s="23">
        <f t="shared" si="11"/>
        <v>143.32750633283919</v>
      </c>
      <c r="V49" s="59">
        <f t="shared" si="12"/>
        <v>7.7691736562075802</v>
      </c>
      <c r="W49" s="59">
        <f t="shared" si="13"/>
        <v>1.0191345199934247</v>
      </c>
      <c r="AF49" s="59">
        <f t="shared" si="14"/>
        <v>0.13117669459983494</v>
      </c>
      <c r="AG49" s="59">
        <f t="shared" si="15"/>
        <v>0.56646578745324927</v>
      </c>
      <c r="AH49" s="59">
        <f t="shared" si="16"/>
        <v>0.56646578745324927</v>
      </c>
      <c r="AJ49">
        <f t="shared" si="17"/>
        <v>0.28901315686390272</v>
      </c>
      <c r="AK49">
        <f t="shared" si="18"/>
        <v>3.4600500920132968</v>
      </c>
      <c r="AL49">
        <f t="shared" si="19"/>
        <v>0.45387793422015904</v>
      </c>
      <c r="AN49" s="31" t="str">
        <f t="shared" si="20"/>
        <v>Lenze EJ (A)</v>
      </c>
      <c r="AO49" s="31">
        <f t="shared" si="21"/>
        <v>1999</v>
      </c>
      <c r="AP49" s="31" t="str">
        <f t="shared" si="22"/>
        <v>Lenze EJ (A) 1999</v>
      </c>
      <c r="AQ49" s="31">
        <f t="shared" si="23"/>
        <v>24</v>
      </c>
      <c r="AR49" s="31">
        <f t="shared" si="24"/>
        <v>0.73</v>
      </c>
      <c r="AS49" s="31">
        <f t="shared" si="25"/>
        <v>0.83</v>
      </c>
      <c r="AT49" s="31">
        <f t="shared" si="26"/>
        <v>24</v>
      </c>
      <c r="AU49" s="31">
        <f t="shared" si="27"/>
        <v>0.63</v>
      </c>
      <c r="AV49" s="31">
        <f t="shared" si="28"/>
        <v>0.66</v>
      </c>
      <c r="AW49" s="164">
        <f t="shared" si="29"/>
        <v>0.13117669459983494</v>
      </c>
      <c r="AX49" s="31">
        <f t="shared" si="30"/>
        <v>0.28901315686390272</v>
      </c>
      <c r="AY49" s="31"/>
      <c r="AZ49" s="31"/>
    </row>
    <row r="50" spans="5:52">
      <c r="E50" t="str">
        <f t="shared" si="1"/>
        <v>Lloyd AJ</v>
      </c>
      <c r="F50">
        <f t="shared" si="1"/>
        <v>2004</v>
      </c>
      <c r="G50">
        <v>8</v>
      </c>
      <c r="H50">
        <f t="shared" si="2"/>
        <v>23</v>
      </c>
      <c r="I50">
        <f t="shared" si="2"/>
        <v>19.5</v>
      </c>
      <c r="J50">
        <f t="shared" ref="J50:M51" si="31">IF($D$4="Total",T28,IF($D$4="Left",L28,IF($D$4="Right",P28,"error")))</f>
        <v>3.2</v>
      </c>
      <c r="K50">
        <f t="shared" si="31"/>
        <v>1.71</v>
      </c>
      <c r="L50">
        <f t="shared" si="31"/>
        <v>2.9</v>
      </c>
      <c r="M50">
        <f t="shared" si="31"/>
        <v>1.75</v>
      </c>
      <c r="N50">
        <f>IF($D$3=1,SQRT((((I50-1)*(M50)^2)+((H50-1)*(K50)^2))/(H50+I50-2)),M50)</f>
        <v>1.7283864594142191</v>
      </c>
      <c r="O50" s="59">
        <f>IF($D$6=1,LN(J50/L50),IF($D$5=1,(1-3/(4*(H50+I50)-9))*((J50-L50)/N50),(J50-L50)/N50))</f>
        <v>0.1703380261310192</v>
      </c>
      <c r="P50" s="63">
        <f>IF($D$6=1,(K50^2)/(H50*J50^2)+(M50^2)/(I50*L50^2),(IF($D$5=1,((H50+I50)/(H50*I50))+(O50*O50)/(2*(H50+I50-3.94)),((H50+I50)/(H50*I50))+((O50^2)/(2*(H50+I50-2))))))</f>
        <v>9.5136544557558045E-2</v>
      </c>
      <c r="Q50" s="59">
        <f t="shared" si="7"/>
        <v>0.60454656526384709</v>
      </c>
      <c r="R50" s="59">
        <f>1/P50</f>
        <v>10.511207913327096</v>
      </c>
      <c r="S50" s="59">
        <f>O50*R50</f>
        <v>1.7904584082088868</v>
      </c>
      <c r="T50" s="59">
        <f>R50*(O50^2)</f>
        <v>0.30498315112398838</v>
      </c>
      <c r="U50" s="23">
        <f>R50^2</f>
        <v>110.48549179719018</v>
      </c>
      <c r="V50" s="59">
        <f>1/((1/R50)+$I$71)</f>
        <v>7.1264786012794854</v>
      </c>
      <c r="W50" s="59">
        <f>V50*O50</f>
        <v>1.2139102982068941</v>
      </c>
      <c r="AF50" s="59">
        <f>IF($D$6=1,100*((EXP(O50))-1),O50)</f>
        <v>0.1703380261310192</v>
      </c>
      <c r="AG50" s="59">
        <f>IF($D$6=1,100*(EXP(O50+Q50)-EXP(O50)),Q50)</f>
        <v>0.60454656526384709</v>
      </c>
      <c r="AH50" s="59">
        <f>IF($D$6=1,100*(EXP(O50)-EXP(O50-Q50)),Q50)</f>
        <v>0.60454656526384709</v>
      </c>
      <c r="AJ50">
        <f>SQRT(P50)</f>
        <v>0.30844212513461589</v>
      </c>
      <c r="AK50">
        <f t="shared" si="18"/>
        <v>3.2420993065184009</v>
      </c>
      <c r="AL50">
        <f>O50/AJ50</f>
        <v>0.55225279639309055</v>
      </c>
      <c r="AN50" s="31" t="str">
        <f>E50</f>
        <v>Lloyd AJ</v>
      </c>
      <c r="AO50" s="31">
        <f>F50</f>
        <v>2004</v>
      </c>
      <c r="AP50" s="31" t="str">
        <f>CONCATENATE(AN50," ",AO50)</f>
        <v>Lloyd AJ 2004</v>
      </c>
      <c r="AQ50" s="31">
        <f>INT(H50)</f>
        <v>23</v>
      </c>
      <c r="AR50" s="31">
        <f>J50</f>
        <v>3.2</v>
      </c>
      <c r="AS50" s="31">
        <f>K50</f>
        <v>1.71</v>
      </c>
      <c r="AT50" s="31">
        <f>INT(I50)</f>
        <v>19</v>
      </c>
      <c r="AU50" s="31">
        <f>L50</f>
        <v>2.9</v>
      </c>
      <c r="AV50" s="31">
        <f>M50</f>
        <v>1.75</v>
      </c>
      <c r="AW50" s="164">
        <f>O50</f>
        <v>0.1703380261310192</v>
      </c>
      <c r="AX50" s="31">
        <f>SQRT(P50)</f>
        <v>0.30844212513461589</v>
      </c>
      <c r="AY50" s="31"/>
      <c r="AZ50" s="31"/>
    </row>
    <row r="51" spans="5:52">
      <c r="E51" t="str">
        <f t="shared" si="1"/>
        <v>Lloyd AJ</v>
      </c>
      <c r="F51">
        <f t="shared" si="1"/>
        <v>2004</v>
      </c>
      <c r="G51">
        <v>7</v>
      </c>
      <c r="H51">
        <f t="shared" si="2"/>
        <v>28</v>
      </c>
      <c r="I51">
        <f t="shared" si="2"/>
        <v>19.5</v>
      </c>
      <c r="J51">
        <f t="shared" si="31"/>
        <v>3.6</v>
      </c>
      <c r="K51">
        <f t="shared" si="31"/>
        <v>1.59</v>
      </c>
      <c r="L51">
        <f t="shared" si="31"/>
        <v>2.9</v>
      </c>
      <c r="M51">
        <f t="shared" si="31"/>
        <v>1.75</v>
      </c>
      <c r="N51">
        <f>IF($D$3=1,SQRT((((I51-1)*(M51)^2)+((H51-1)*(K51)^2))/(H51+I51-2)),M51)</f>
        <v>1.6569198883722522</v>
      </c>
      <c r="O51" s="59">
        <f>IF($D$6=1,LN(J51/L51),IF($D$5=1,(1-3/(4*(H51+I51)-9))*((J51-L51)/N51),(J51-L51)/N51))</f>
        <v>0.41546836083398486</v>
      </c>
      <c r="P51" s="63">
        <f>IF($D$6=1,(K51^2)/(H51*J51^2)+(M51^2)/(I51*L51^2),(IF($D$5=1,((H51+I51)/(H51*I51))+(O51*O51)/(2*(H51+I51-3.94)),((H51+I51)/(H51*I51))+((O51^2)/(2*(H51+I51-2))))))</f>
        <v>8.8977672612201061E-2</v>
      </c>
      <c r="Q51" s="59">
        <f t="shared" si="7"/>
        <v>0.58465085915188009</v>
      </c>
      <c r="R51" s="59">
        <f>1/P51</f>
        <v>11.238774522215083</v>
      </c>
      <c r="S51" s="59">
        <f>O51*R51</f>
        <v>4.6693552285274516</v>
      </c>
      <c r="T51" s="59">
        <f>R51*(O51^2)</f>
        <v>1.9399693629478971</v>
      </c>
      <c r="U51" s="23">
        <f>R51^2</f>
        <v>126.31005276119086</v>
      </c>
      <c r="V51" s="59">
        <f>1/((1/R51)+$I$71)</f>
        <v>7.4536262251724201</v>
      </c>
      <c r="W51" s="59">
        <f>V51*O51</f>
        <v>3.0967458700415875</v>
      </c>
      <c r="AF51" s="59">
        <f>IF($D$6=1,100*((EXP(O51))-1),O51)</f>
        <v>0.41546836083398486</v>
      </c>
      <c r="AG51" s="59">
        <f>IF($D$6=1,100*(EXP(O51+Q51)-EXP(O51)),Q51)</f>
        <v>0.58465085915188009</v>
      </c>
      <c r="AH51" s="59">
        <f>IF($D$6=1,100*(EXP(O51)-EXP(O51-Q51)),Q51)</f>
        <v>0.58465085915188009</v>
      </c>
      <c r="AJ51">
        <f>SQRT(P51)</f>
        <v>0.2982912546693266</v>
      </c>
      <c r="AK51">
        <f t="shared" si="18"/>
        <v>3.3524281531771987</v>
      </c>
      <c r="AL51">
        <f>O51/AJ51</f>
        <v>1.3928278296142338</v>
      </c>
      <c r="AN51" s="31" t="str">
        <f>E51</f>
        <v>Lloyd AJ</v>
      </c>
      <c r="AO51" s="31">
        <f>F51</f>
        <v>2004</v>
      </c>
      <c r="AP51" s="31" t="str">
        <f>CONCATENATE(AN51," ",AO51)</f>
        <v>Lloyd AJ 2004</v>
      </c>
      <c r="AQ51" s="31">
        <f>INT(H51)</f>
        <v>28</v>
      </c>
      <c r="AR51" s="31">
        <f>J51</f>
        <v>3.6</v>
      </c>
      <c r="AS51" s="31">
        <f>K51</f>
        <v>1.59</v>
      </c>
      <c r="AT51" s="31">
        <f>INT(I51)</f>
        <v>19</v>
      </c>
      <c r="AU51" s="31">
        <f>L51</f>
        <v>2.9</v>
      </c>
      <c r="AV51" s="31">
        <f>M51</f>
        <v>1.75</v>
      </c>
      <c r="AW51" s="164">
        <f>O51</f>
        <v>0.41546836083398486</v>
      </c>
      <c r="AX51" s="31">
        <f>SQRT(P51)</f>
        <v>0.2982912546693266</v>
      </c>
      <c r="AY51" s="31"/>
      <c r="AZ51" s="31"/>
    </row>
    <row r="52" spans="5:52">
      <c r="E52" t="str">
        <f t="shared" ref="E52:F57" si="32">E30</f>
        <v>Iosifescu DV</v>
      </c>
      <c r="F52">
        <f t="shared" si="32"/>
        <v>2005</v>
      </c>
      <c r="G52">
        <v>6</v>
      </c>
      <c r="H52">
        <f t="shared" ref="H52:I57" si="33">H30</f>
        <v>15</v>
      </c>
      <c r="I52">
        <f t="shared" si="33"/>
        <v>17.5</v>
      </c>
      <c r="J52">
        <f t="shared" ref="J52:M53" si="34">IF($D$4="Total",T30,IF($D$4="Left",L30,IF($D$4="Right",P30,"error")))</f>
        <v>0.61</v>
      </c>
      <c r="K52">
        <f t="shared" si="34"/>
        <v>0.5</v>
      </c>
      <c r="L52">
        <f t="shared" si="34"/>
        <v>0.45</v>
      </c>
      <c r="M52">
        <f t="shared" si="34"/>
        <v>0.56000000000000005</v>
      </c>
      <c r="N52">
        <f t="shared" si="4"/>
        <v>0.53329781302481372</v>
      </c>
      <c r="O52" s="59">
        <f t="shared" si="5"/>
        <v>0.29258146956619829</v>
      </c>
      <c r="P52" s="63">
        <f t="shared" si="6"/>
        <v>0.12530819181256156</v>
      </c>
      <c r="Q52" s="59">
        <f t="shared" si="7"/>
        <v>0.69381838377714988</v>
      </c>
      <c r="R52" s="59">
        <f t="shared" si="8"/>
        <v>7.9803242352728185</v>
      </c>
      <c r="S52" s="59">
        <f t="shared" si="9"/>
        <v>2.3348949923708688</v>
      </c>
      <c r="T52" s="59">
        <f t="shared" si="10"/>
        <v>0.68314700815062612</v>
      </c>
      <c r="U52" s="23">
        <f t="shared" si="11"/>
        <v>63.685574900082699</v>
      </c>
      <c r="V52" s="59">
        <f t="shared" si="12"/>
        <v>5.8653295309569637</v>
      </c>
      <c r="W52" s="59">
        <f t="shared" si="13"/>
        <v>1.716086733657409</v>
      </c>
      <c r="AF52" s="59">
        <f t="shared" si="14"/>
        <v>0.29258146956619829</v>
      </c>
      <c r="AG52" s="59">
        <f t="shared" si="15"/>
        <v>0.69381838377714988</v>
      </c>
      <c r="AH52" s="59">
        <f t="shared" si="16"/>
        <v>0.69381838377714988</v>
      </c>
      <c r="AJ52">
        <f t="shared" si="17"/>
        <v>0.35398897131487239</v>
      </c>
      <c r="AK52">
        <f t="shared" si="18"/>
        <v>2.8249467668033712</v>
      </c>
      <c r="AL52">
        <f t="shared" si="19"/>
        <v>0.82652707647761081</v>
      </c>
      <c r="AN52" s="31" t="str">
        <f t="shared" si="20"/>
        <v>Iosifescu DV</v>
      </c>
      <c r="AO52" s="31">
        <f t="shared" si="21"/>
        <v>2005</v>
      </c>
      <c r="AP52" s="31" t="str">
        <f t="shared" si="22"/>
        <v>Iosifescu DV 2005</v>
      </c>
      <c r="AQ52" s="31">
        <f t="shared" si="23"/>
        <v>15</v>
      </c>
      <c r="AR52" s="31">
        <f t="shared" si="24"/>
        <v>0.61</v>
      </c>
      <c r="AS52" s="31">
        <f t="shared" si="25"/>
        <v>0.5</v>
      </c>
      <c r="AT52" s="31">
        <f t="shared" si="26"/>
        <v>17</v>
      </c>
      <c r="AU52" s="31">
        <f t="shared" si="27"/>
        <v>0.45</v>
      </c>
      <c r="AV52" s="31">
        <f t="shared" si="28"/>
        <v>0.56000000000000005</v>
      </c>
      <c r="AW52" s="164">
        <f t="shared" si="29"/>
        <v>0.29258146956619829</v>
      </c>
      <c r="AX52" s="31">
        <f t="shared" si="30"/>
        <v>0.35398897131487239</v>
      </c>
      <c r="AY52" s="31"/>
      <c r="AZ52" s="31"/>
    </row>
    <row r="53" spans="5:52">
      <c r="E53" t="str">
        <f t="shared" si="32"/>
        <v>Iosifescu DV</v>
      </c>
      <c r="F53">
        <f t="shared" si="32"/>
        <v>2005</v>
      </c>
      <c r="G53">
        <v>5</v>
      </c>
      <c r="H53">
        <f t="shared" si="33"/>
        <v>35</v>
      </c>
      <c r="I53">
        <f t="shared" si="33"/>
        <v>17.5</v>
      </c>
      <c r="J53">
        <f t="shared" si="34"/>
        <v>0.54</v>
      </c>
      <c r="K53">
        <f t="shared" si="34"/>
        <v>0.6</v>
      </c>
      <c r="L53">
        <f t="shared" si="34"/>
        <v>0.45</v>
      </c>
      <c r="M53">
        <f t="shared" si="34"/>
        <v>0.56000000000000005</v>
      </c>
      <c r="N53">
        <f t="shared" si="4"/>
        <v>0.58723045217392811</v>
      </c>
      <c r="O53" s="59">
        <f t="shared" si="5"/>
        <v>0.15097431696483579</v>
      </c>
      <c r="P53" s="63">
        <f t="shared" si="6"/>
        <v>8.5948977275066174E-2</v>
      </c>
      <c r="Q53" s="59">
        <f t="shared" si="7"/>
        <v>0.57461429768140493</v>
      </c>
      <c r="R53" s="59">
        <f t="shared" si="8"/>
        <v>11.634809763933053</v>
      </c>
      <c r="S53" s="59">
        <f t="shared" si="9"/>
        <v>1.7565574571255951</v>
      </c>
      <c r="T53" s="59">
        <f t="shared" si="10"/>
        <v>0.26519506229902551</v>
      </c>
      <c r="U53" s="23">
        <f t="shared" si="11"/>
        <v>135.36879824291191</v>
      </c>
      <c r="V53" s="59">
        <f t="shared" si="12"/>
        <v>7.6257763181926874</v>
      </c>
      <c r="W53" s="59">
        <f t="shared" si="13"/>
        <v>1.1512963709657613</v>
      </c>
      <c r="AF53" s="59">
        <f t="shared" si="14"/>
        <v>0.15097431696483579</v>
      </c>
      <c r="AG53" s="59">
        <f t="shared" si="15"/>
        <v>0.57461429768140493</v>
      </c>
      <c r="AH53" s="59">
        <f t="shared" si="16"/>
        <v>0.57461429768140493</v>
      </c>
      <c r="AJ53">
        <f t="shared" si="17"/>
        <v>0.29317056004153313</v>
      </c>
      <c r="AK53">
        <f t="shared" si="18"/>
        <v>3.4109836944689507</v>
      </c>
      <c r="AL53">
        <f t="shared" si="19"/>
        <v>0.51497093345064193</v>
      </c>
      <c r="AN53" s="31" t="str">
        <f t="shared" si="20"/>
        <v>Iosifescu DV</v>
      </c>
      <c r="AO53" s="31">
        <f t="shared" si="21"/>
        <v>2005</v>
      </c>
      <c r="AP53" s="31" t="str">
        <f t="shared" si="22"/>
        <v>Iosifescu DV 2005</v>
      </c>
      <c r="AQ53" s="31">
        <f t="shared" si="23"/>
        <v>35</v>
      </c>
      <c r="AR53" s="31">
        <f t="shared" si="24"/>
        <v>0.54</v>
      </c>
      <c r="AS53" s="31">
        <f t="shared" si="25"/>
        <v>0.6</v>
      </c>
      <c r="AT53" s="31">
        <f t="shared" si="26"/>
        <v>17</v>
      </c>
      <c r="AU53" s="31">
        <f t="shared" si="27"/>
        <v>0.45</v>
      </c>
      <c r="AV53" s="31">
        <f t="shared" si="28"/>
        <v>0.56000000000000005</v>
      </c>
      <c r="AW53" s="164">
        <f t="shared" si="29"/>
        <v>0.15097431696483579</v>
      </c>
      <c r="AX53" s="31">
        <f t="shared" si="30"/>
        <v>0.29317056004153313</v>
      </c>
      <c r="AY53" s="31"/>
      <c r="AZ53" s="31"/>
    </row>
    <row r="54" spans="5:52">
      <c r="E54" t="str">
        <f t="shared" si="32"/>
        <v>Lin HF</v>
      </c>
      <c r="F54">
        <f t="shared" si="32"/>
        <v>2005</v>
      </c>
      <c r="G54">
        <v>4</v>
      </c>
      <c r="H54">
        <f t="shared" si="33"/>
        <v>37</v>
      </c>
      <c r="I54">
        <f t="shared" si="33"/>
        <v>18</v>
      </c>
      <c r="J54">
        <f t="shared" ref="J54:M57" si="35">IF($D$4="Total",T32,IF($D$4="Left",L32,IF($D$4="Right",P32,"error")))</f>
        <v>1.52</v>
      </c>
      <c r="K54">
        <f t="shared" si="35"/>
        <v>0.8</v>
      </c>
      <c r="L54">
        <f t="shared" si="35"/>
        <v>0.88</v>
      </c>
      <c r="M54">
        <f t="shared" si="35"/>
        <v>0.86</v>
      </c>
      <c r="N54">
        <f>IF($D$3=1,SQRT((((I54-1)*(M54)^2)+((H54-1)*(K54)^2))/(H54+I54-2)),M54)</f>
        <v>0.81972383752781086</v>
      </c>
      <c r="O54" s="59">
        <f>IF($D$6=1,LN(J54/L54),IF($D$5=1,(1-3/(4*(H54+I54)-9))*((J54-L54)/N54),(J54-L54)/N54))</f>
        <v>0.76965002730232868</v>
      </c>
      <c r="P54" s="63">
        <f>IF($D$6=1,(K54^2)/(H54*J54^2)+(M54^2)/(I54*L54^2),(IF($D$5=1,((H54+I54)/(H54*I54))+(O54*O54)/(2*(H54+I54-3.94)),((H54+I54)/(H54*I54))+((O54^2)/(2*(H54+I54-2))))))</f>
        <v>8.8383220699763107E-2</v>
      </c>
      <c r="Q54" s="59">
        <f t="shared" si="7"/>
        <v>0.58269458607422286</v>
      </c>
      <c r="R54" s="59">
        <f>1/P54</f>
        <v>11.314364786467669</v>
      </c>
      <c r="S54" s="59">
        <f>O54*R54</f>
        <v>8.7081011668133481</v>
      </c>
      <c r="T54" s="59">
        <f>R54*(O54^2)</f>
        <v>6.7021903007893329</v>
      </c>
      <c r="U54" s="23">
        <f>R54^2</f>
        <v>128.01485052125958</v>
      </c>
      <c r="V54" s="59">
        <f>1/((1/R54)+$I$71)</f>
        <v>7.4867989011796716</v>
      </c>
      <c r="W54" s="59">
        <f>V54*O54</f>
        <v>5.762214978699979</v>
      </c>
      <c r="AF54" s="59">
        <f>IF($D$6=1,100*((EXP(O54))-1),O54)</f>
        <v>0.76965002730232868</v>
      </c>
      <c r="AG54" s="59">
        <f>IF($D$6=1,100*(EXP(O54+Q54)-EXP(O54)),Q54)</f>
        <v>0.58269458607422286</v>
      </c>
      <c r="AH54" s="59">
        <f>IF($D$6=1,100*(EXP(O54)-EXP(O54-Q54)),Q54)</f>
        <v>0.58269458607422286</v>
      </c>
      <c r="AJ54">
        <f>SQRT(P54)</f>
        <v>0.29729315616031782</v>
      </c>
      <c r="AK54">
        <f t="shared" si="18"/>
        <v>3.3636832173181332</v>
      </c>
      <c r="AL54">
        <f>O54/AJ54</f>
        <v>2.5888588800452861</v>
      </c>
      <c r="AN54" s="31" t="str">
        <f t="shared" ref="AN54:AO57" si="36">E54</f>
        <v>Lin HF</v>
      </c>
      <c r="AO54" s="31">
        <f t="shared" si="36"/>
        <v>2005</v>
      </c>
      <c r="AP54" s="31" t="str">
        <f>CONCATENATE(AN54," ",AO54)</f>
        <v>Lin HF 2005</v>
      </c>
      <c r="AQ54" s="31">
        <f>INT(H54)</f>
        <v>37</v>
      </c>
      <c r="AR54" s="31">
        <f t="shared" ref="AR54:AS57" si="37">J54</f>
        <v>1.52</v>
      </c>
      <c r="AS54" s="31">
        <f t="shared" si="37"/>
        <v>0.8</v>
      </c>
      <c r="AT54" s="31">
        <f>INT(I54)</f>
        <v>18</v>
      </c>
      <c r="AU54" s="31">
        <f t="shared" ref="AU54:AV57" si="38">L54</f>
        <v>0.88</v>
      </c>
      <c r="AV54" s="31">
        <f t="shared" si="38"/>
        <v>0.86</v>
      </c>
      <c r="AW54" s="164">
        <f>O54</f>
        <v>0.76965002730232868</v>
      </c>
      <c r="AX54" s="31">
        <f>SQRT(P54)</f>
        <v>0.29729315616031782</v>
      </c>
      <c r="AY54" s="31"/>
      <c r="AZ54" s="31"/>
    </row>
    <row r="55" spans="5:52">
      <c r="E55" t="str">
        <f t="shared" si="32"/>
        <v>Naish JH</v>
      </c>
      <c r="F55">
        <f t="shared" si="32"/>
        <v>2006</v>
      </c>
      <c r="G55">
        <v>3</v>
      </c>
      <c r="H55">
        <f t="shared" si="33"/>
        <v>21</v>
      </c>
      <c r="I55">
        <f t="shared" si="33"/>
        <v>11</v>
      </c>
      <c r="J55">
        <f t="shared" si="35"/>
        <v>3.05</v>
      </c>
      <c r="K55">
        <f t="shared" si="35"/>
        <v>4.2300000000000004</v>
      </c>
      <c r="L55">
        <f t="shared" si="35"/>
        <v>2.72</v>
      </c>
      <c r="M55">
        <f t="shared" si="35"/>
        <v>1.72</v>
      </c>
      <c r="N55">
        <f>IF($D$3=1,SQRT((((I55-1)*(M55)^2)+((H55-1)*(K55)^2))/(H55+I55-2)),M55)</f>
        <v>3.5937074635163802</v>
      </c>
      <c r="O55" s="59">
        <f>IF($D$6=1,LN(J55/L55),IF($D$5=1,(1-3/(4*(H55+I55)-9))*((J55-L55)/N55),(J55-L55)/N55))</f>
        <v>8.9512203075691715E-2</v>
      </c>
      <c r="P55" s="63">
        <f>IF($D$6=1,(K55^2)/(H55*J55^2)+(M55^2)/(I55*L55^2),(IF($D$5=1,((H55+I55)/(H55*I55))+(O55*O55)/(2*(H55+I55-3.94)),((H55+I55)/(H55*I55))+((O55^2)/(2*(H55+I55-2))))))</f>
        <v>0.13867091177296148</v>
      </c>
      <c r="Q55" s="59">
        <f t="shared" si="7"/>
        <v>0.72987545147580402</v>
      </c>
      <c r="R55" s="59">
        <f>1/P55</f>
        <v>7.2113176960806813</v>
      </c>
      <c r="S55" s="59">
        <f>O55*R55</f>
        <v>0.64550093405490327</v>
      </c>
      <c r="T55" s="59">
        <f>R55*(O55^2)</f>
        <v>5.7780210694671187E-2</v>
      </c>
      <c r="U55" s="23">
        <f>R55^2</f>
        <v>52.003102913806387</v>
      </c>
      <c r="V55" s="59">
        <f>1/((1/R55)+$I$71)</f>
        <v>5.4390355674262985</v>
      </c>
      <c r="W55" s="59">
        <f>V55*O55</f>
        <v>0.48686005624737294</v>
      </c>
      <c r="AF55" s="59">
        <f>IF($D$6=1,100*((EXP(O55))-1),O55)</f>
        <v>8.9512203075691715E-2</v>
      </c>
      <c r="AG55" s="59">
        <f>IF($D$6=1,100*(EXP(O55+Q55)-EXP(O55)),Q55)</f>
        <v>0.72987545147580402</v>
      </c>
      <c r="AH55" s="59">
        <f>IF($D$6=1,100*(EXP(O55)-EXP(O55-Q55)),Q55)</f>
        <v>0.72987545147580402</v>
      </c>
      <c r="AJ55">
        <f>SQRT(P55)</f>
        <v>0.37238543442643063</v>
      </c>
      <c r="AK55">
        <f t="shared" si="18"/>
        <v>2.6853896730420117</v>
      </c>
      <c r="AL55">
        <f>O55/AJ55</f>
        <v>0.24037514575070193</v>
      </c>
      <c r="AN55" s="31" t="str">
        <f t="shared" si="36"/>
        <v>Naish JH</v>
      </c>
      <c r="AO55" s="31">
        <f t="shared" si="36"/>
        <v>2006</v>
      </c>
      <c r="AP55" s="31" t="str">
        <f>CONCATENATE(AN55," ",AO55)</f>
        <v>Naish JH 2006</v>
      </c>
      <c r="AQ55" s="31">
        <f>INT(H55)</f>
        <v>21</v>
      </c>
      <c r="AR55" s="31">
        <f t="shared" si="37"/>
        <v>3.05</v>
      </c>
      <c r="AS55" s="31">
        <f t="shared" si="37"/>
        <v>4.2300000000000004</v>
      </c>
      <c r="AT55" s="31">
        <f>INT(I55)</f>
        <v>11</v>
      </c>
      <c r="AU55" s="31">
        <f t="shared" si="38"/>
        <v>2.72</v>
      </c>
      <c r="AV55" s="31">
        <f t="shared" si="38"/>
        <v>1.72</v>
      </c>
      <c r="AW55" s="164">
        <f>O55</f>
        <v>8.9512203075691715E-2</v>
      </c>
      <c r="AX55" s="31">
        <f>SQRT(P55)</f>
        <v>0.37238543442643063</v>
      </c>
      <c r="AY55" s="31"/>
      <c r="AZ55" s="31"/>
    </row>
    <row r="56" spans="5:52">
      <c r="E56" t="str">
        <f t="shared" si="32"/>
        <v>Naish JH</v>
      </c>
      <c r="F56">
        <f t="shared" si="32"/>
        <v>2006</v>
      </c>
      <c r="G56">
        <v>2</v>
      </c>
      <c r="H56">
        <f t="shared" si="33"/>
        <v>8</v>
      </c>
      <c r="I56">
        <f t="shared" si="33"/>
        <v>11</v>
      </c>
      <c r="J56">
        <f t="shared" si="35"/>
        <v>4.3</v>
      </c>
      <c r="K56">
        <f t="shared" si="35"/>
        <v>2.71</v>
      </c>
      <c r="L56">
        <f t="shared" si="35"/>
        <v>2.72</v>
      </c>
      <c r="M56">
        <f t="shared" si="35"/>
        <v>1.72</v>
      </c>
      <c r="N56">
        <f>IF($D$3=1,SQRT((((I56-1)*(M56)^2)+((H56-1)*(K56)^2))/(H56+I56-2)),M56)</f>
        <v>2.1827222614405701</v>
      </c>
      <c r="O56" s="59">
        <f>IF($D$6=1,LN(J56/L56),IF($D$5=1,(1-3/(4*(H56+I56)-9))*((J56-L56)/N56),(J56-L56)/N56))</f>
        <v>0.69145477553667056</v>
      </c>
      <c r="P56" s="63">
        <f>IF($D$6=1,(K56^2)/(H56*J56^2)+(M56^2)/(I56*L56^2),(IF($D$5=1,((H56+I56)/(H56*I56))+(O56*O56)/(2*(H56+I56-3.94)),((H56+I56)/(H56*I56))+((O56^2)/(2*(H56+I56-2))))))</f>
        <v>0.23178258714456459</v>
      </c>
      <c r="Q56" s="59">
        <f t="shared" si="7"/>
        <v>0.9436185599989857</v>
      </c>
      <c r="R56" s="59">
        <f>1/P56</f>
        <v>4.3143879457014265</v>
      </c>
      <c r="S56" s="59">
        <f>O56*R56</f>
        <v>2.9832041485730971</v>
      </c>
      <c r="T56" s="59">
        <f>R56*(O56^2)</f>
        <v>2.0627507549316753</v>
      </c>
      <c r="U56" s="23">
        <f>R56^2</f>
        <v>18.613943346013777</v>
      </c>
      <c r="V56" s="59">
        <f>1/((1/R56)+$I$71)</f>
        <v>3.6105280135768569</v>
      </c>
      <c r="W56" s="59">
        <f>V56*O56</f>
        <v>2.4965168371966469</v>
      </c>
      <c r="AF56" s="59">
        <f>IF($D$6=1,100*((EXP(O56))-1),O56)</f>
        <v>0.69145477553667056</v>
      </c>
      <c r="AG56" s="59">
        <f>IF($D$6=1,100*(EXP(O56+Q56)-EXP(O56)),Q56)</f>
        <v>0.9436185599989857</v>
      </c>
      <c r="AH56" s="59">
        <f>IF($D$6=1,100*(EXP(O56)-EXP(O56-Q56)),Q56)</f>
        <v>0.9436185599989857</v>
      </c>
      <c r="AJ56">
        <f>SQRT(P56)</f>
        <v>0.48143804081580904</v>
      </c>
      <c r="AK56">
        <f t="shared" si="18"/>
        <v>2.0771104798978377</v>
      </c>
      <c r="AL56">
        <f>O56/AJ56</f>
        <v>1.4362279606426256</v>
      </c>
      <c r="AN56" s="31" t="str">
        <f t="shared" si="36"/>
        <v>Naish JH</v>
      </c>
      <c r="AO56" s="31">
        <f t="shared" si="36"/>
        <v>2006</v>
      </c>
      <c r="AP56" s="31" t="str">
        <f>CONCATENATE(AN56," ",AO56)</f>
        <v>Naish JH 2006</v>
      </c>
      <c r="AQ56" s="31">
        <f>INT(H56)</f>
        <v>8</v>
      </c>
      <c r="AR56" s="31">
        <f t="shared" si="37"/>
        <v>4.3</v>
      </c>
      <c r="AS56" s="31">
        <f t="shared" si="37"/>
        <v>2.71</v>
      </c>
      <c r="AT56" s="31">
        <f>INT(I56)</f>
        <v>11</v>
      </c>
      <c r="AU56" s="31">
        <f t="shared" si="38"/>
        <v>2.72</v>
      </c>
      <c r="AV56" s="31">
        <f t="shared" si="38"/>
        <v>1.72</v>
      </c>
      <c r="AW56" s="164">
        <f>O56</f>
        <v>0.69145477553667056</v>
      </c>
      <c r="AX56" s="31">
        <f>SQRT(P56)</f>
        <v>0.48143804081580904</v>
      </c>
      <c r="AY56" s="31"/>
      <c r="AZ56" s="31"/>
    </row>
    <row r="57" spans="5:52">
      <c r="E57" t="str">
        <f t="shared" si="32"/>
        <v>Weber K</v>
      </c>
      <c r="F57">
        <f t="shared" si="32"/>
        <v>2009</v>
      </c>
      <c r="G57">
        <v>1</v>
      </c>
      <c r="H57">
        <f t="shared" si="33"/>
        <v>38</v>
      </c>
      <c r="I57">
        <f t="shared" si="33"/>
        <v>62</v>
      </c>
      <c r="J57">
        <f t="shared" si="35"/>
        <v>0.7</v>
      </c>
      <c r="K57">
        <f t="shared" si="35"/>
        <v>0.95</v>
      </c>
      <c r="L57">
        <f t="shared" si="35"/>
        <v>0.89</v>
      </c>
      <c r="M57">
        <f t="shared" si="35"/>
        <v>1.1299999999999999</v>
      </c>
      <c r="N57">
        <f>IF($D$3=1,SQRT((((I57-1)*(M57)^2)+((H57-1)*(K57)^2))/(H57+I57-2)),M57)</f>
        <v>1.0656194902305343</v>
      </c>
      <c r="O57" s="59">
        <f>IF($D$6=1,LN(J57/L57),IF($D$5=1,(1-3/(4*(H57+I57)-9))*((J57-L57)/N57),(J57-L57)/N57))</f>
        <v>-0.17693201111374401</v>
      </c>
      <c r="P57" s="63">
        <f>IF($D$6=1,(K57^2)/(H57*J57^2)+(M57^2)/(I57*L57^2),(IF($D$5=1,((H57+I57)/(H57*I57))+(O57*O57)/(2*(H57+I57-3.94)),((H57+I57)/(H57*I57))+((O57^2)/(2*(H57+I57-2))))))</f>
        <v>4.260776643587507E-2</v>
      </c>
      <c r="Q57" s="59">
        <f t="shared" si="7"/>
        <v>0.40457631608889033</v>
      </c>
      <c r="R57" s="59">
        <f>1/P57</f>
        <v>23.469899589902365</v>
      </c>
      <c r="S57" s="59">
        <f>O57*R57</f>
        <v>-4.1525765350790618</v>
      </c>
      <c r="T57" s="59">
        <f>R57*(O57^2)</f>
        <v>0.73472371765528111</v>
      </c>
      <c r="U57" s="23">
        <f>R57^2</f>
        <v>550.83618676009917</v>
      </c>
      <c r="V57" s="59">
        <f>1/((1/R57)+$I$71)</f>
        <v>11.390432474965294</v>
      </c>
      <c r="W57" s="59">
        <f>V57*O57</f>
        <v>-2.01533212525091</v>
      </c>
      <c r="AF57" s="59">
        <f>IF($D$6=1,100*((EXP(O57))-1),O57)</f>
        <v>-0.17693201111374401</v>
      </c>
      <c r="AG57" s="59">
        <f>IF($D$6=1,100*(EXP(O57+Q57)-EXP(O57)),Q57)</f>
        <v>0.40457631608889033</v>
      </c>
      <c r="AH57" s="59">
        <f>IF($D$6=1,100*(EXP(O57)-EXP(O57-Q57)),Q57)</f>
        <v>0.40457631608889033</v>
      </c>
      <c r="AJ57">
        <f>SQRT(P57)</f>
        <v>0.20641648780045424</v>
      </c>
      <c r="AK57">
        <f t="shared" si="18"/>
        <v>4.8445742423769671</v>
      </c>
      <c r="AL57">
        <f>O57/AJ57</f>
        <v>-0.85716026369359943</v>
      </c>
      <c r="AN57" s="31" t="str">
        <f t="shared" si="36"/>
        <v>Weber K</v>
      </c>
      <c r="AO57" s="31">
        <f t="shared" si="36"/>
        <v>2009</v>
      </c>
      <c r="AP57" s="31" t="str">
        <f>CONCATENATE(AN57," ",AO57)</f>
        <v>Weber K 2009</v>
      </c>
      <c r="AQ57" s="31">
        <f>INT(H57)</f>
        <v>38</v>
      </c>
      <c r="AR57" s="31">
        <f t="shared" si="37"/>
        <v>0.7</v>
      </c>
      <c r="AS57" s="31">
        <f t="shared" si="37"/>
        <v>0.95</v>
      </c>
      <c r="AT57" s="31">
        <f>INT(I57)</f>
        <v>62</v>
      </c>
      <c r="AU57" s="31">
        <f t="shared" si="38"/>
        <v>0.89</v>
      </c>
      <c r="AV57" s="31">
        <f t="shared" si="38"/>
        <v>1.1299999999999999</v>
      </c>
      <c r="AW57" s="164">
        <f>O57</f>
        <v>-0.17693201111374401</v>
      </c>
      <c r="AX57" s="31">
        <f>SQRT(P57)</f>
        <v>0.20641648780045424</v>
      </c>
      <c r="AY57" s="31"/>
      <c r="AZ57" s="31"/>
    </row>
    <row r="58" spans="5:52">
      <c r="U58" s="23"/>
    </row>
    <row r="59" spans="5:52">
      <c r="L59" t="s">
        <v>500</v>
      </c>
      <c r="N59" s="7"/>
      <c r="O59" s="66">
        <f>COUNT(O46:O57)</f>
        <v>12</v>
      </c>
      <c r="Q59" t="s">
        <v>885</v>
      </c>
      <c r="R59" s="59">
        <f t="shared" ref="R59:W59" si="39">SUM(R46:R57)</f>
        <v>143.0332729269773</v>
      </c>
      <c r="S59" s="59">
        <f t="shared" si="39"/>
        <v>38.078394674144654</v>
      </c>
      <c r="T59" s="59">
        <f t="shared" si="39"/>
        <v>26.957922647577846</v>
      </c>
      <c r="U59" s="23">
        <f t="shared" si="39"/>
        <v>2033.2466896703486</v>
      </c>
      <c r="V59" s="59">
        <f t="shared" si="39"/>
        <v>89.271703596093488</v>
      </c>
      <c r="W59" s="59">
        <f t="shared" si="39"/>
        <v>25.831841274542807</v>
      </c>
    </row>
    <row r="60" spans="5:52">
      <c r="L60" t="s">
        <v>501</v>
      </c>
      <c r="N60" s="7"/>
      <c r="O60" s="2">
        <v>3</v>
      </c>
    </row>
    <row r="61" spans="5:52">
      <c r="N61" s="7"/>
      <c r="O61" s="7"/>
    </row>
    <row r="62" spans="5:52">
      <c r="G62" s="67" t="s">
        <v>502</v>
      </c>
      <c r="H62" s="40"/>
      <c r="I62" s="40">
        <f>S59/R59</f>
        <v>0.26622053662706019</v>
      </c>
      <c r="J62" s="40"/>
      <c r="K62" s="68" t="s">
        <v>879</v>
      </c>
      <c r="L62" s="40"/>
      <c r="M62" s="42"/>
      <c r="N62" s="7"/>
      <c r="O62" s="69" t="s">
        <v>503</v>
      </c>
      <c r="P62" s="70">
        <f>T59-((S59^2)/R59)</f>
        <v>16.820671983530065</v>
      </c>
      <c r="Q62" s="71" t="s">
        <v>824</v>
      </c>
      <c r="R62" s="28"/>
      <c r="S62" s="29"/>
      <c r="T62" s="30"/>
      <c r="U62" s="31"/>
      <c r="AF62" s="2" t="s">
        <v>1518</v>
      </c>
    </row>
    <row r="63" spans="5:52">
      <c r="G63" s="43" t="s">
        <v>504</v>
      </c>
      <c r="H63" s="31"/>
      <c r="I63" s="31">
        <f>1/R59</f>
        <v>6.9913802539534244E-3</v>
      </c>
      <c r="J63" s="31"/>
      <c r="K63" s="31"/>
      <c r="L63" s="31"/>
      <c r="M63" s="44"/>
      <c r="N63" s="7"/>
      <c r="O63" s="30" t="s">
        <v>505</v>
      </c>
      <c r="P63" s="31">
        <f>CHIDIST(P62,I67-1)</f>
        <v>0.11329311632340576</v>
      </c>
      <c r="Q63" s="31"/>
      <c r="R63" s="31"/>
      <c r="S63" s="34"/>
      <c r="T63" s="30"/>
      <c r="U63" s="31"/>
      <c r="AF63" s="2"/>
    </row>
    <row r="64" spans="5:52">
      <c r="G64" s="72" t="s">
        <v>506</v>
      </c>
      <c r="H64" s="31"/>
      <c r="I64" s="31">
        <f>$R$74*SQRT(I63)</f>
        <v>0.16388436894221325</v>
      </c>
      <c r="J64" s="31"/>
      <c r="K64" s="31" t="s">
        <v>507</v>
      </c>
      <c r="L64" s="31"/>
      <c r="M64" s="44">
        <f>ABS(I62/SQRT(I63))</f>
        <v>3.1839049395432304</v>
      </c>
      <c r="N64" s="7"/>
      <c r="O64" s="35" t="s">
        <v>508</v>
      </c>
      <c r="P64" s="37">
        <f>IF(((P62-(I67-1))/P62)&lt;0,0,100*((P62-(I67-1))/P62))</f>
        <v>34.604277339391473</v>
      </c>
      <c r="Q64" s="36"/>
      <c r="R64" s="36"/>
      <c r="S64" s="38"/>
      <c r="T64" s="30"/>
      <c r="U64" s="31"/>
      <c r="AF64" s="2" t="s">
        <v>1535</v>
      </c>
      <c r="AH64">
        <f>IF($D$6=1,100*((EXP(I62))-1),I62)</f>
        <v>0.26622053662706019</v>
      </c>
    </row>
    <row r="65" spans="7:34">
      <c r="G65" s="45" t="s">
        <v>509</v>
      </c>
      <c r="H65" s="46"/>
      <c r="I65" s="46">
        <v>-2</v>
      </c>
      <c r="J65" s="46"/>
      <c r="K65" s="46" t="s">
        <v>825</v>
      </c>
      <c r="L65" s="46"/>
      <c r="M65" s="47">
        <f>2*(1-NORMDIST(M64,0,1,1))</f>
        <v>1.4530272115262921E-3</v>
      </c>
      <c r="N65" s="7"/>
      <c r="O65" s="7"/>
      <c r="AF65" s="79" t="s">
        <v>834</v>
      </c>
      <c r="AH65">
        <f>IF($D$6=1,100*(EXP(I62+I64)-EXP(I62)),I64)</f>
        <v>0.16388436894221325</v>
      </c>
    </row>
    <row r="66" spans="7:34">
      <c r="G66" s="40"/>
      <c r="H66" s="40"/>
      <c r="I66" s="40"/>
      <c r="J66" s="40"/>
      <c r="K66" s="40"/>
      <c r="L66" s="40"/>
      <c r="M66" s="40"/>
      <c r="N66" s="7"/>
      <c r="O66" s="7"/>
      <c r="AF66" s="79" t="s">
        <v>835</v>
      </c>
      <c r="AH66">
        <f>IF($D$6=1,100*(EXP(I62)-EXP(I62-I64)),I64)</f>
        <v>0.16388436894221325</v>
      </c>
    </row>
    <row r="67" spans="7:34">
      <c r="G67" s="73" t="s">
        <v>1110</v>
      </c>
      <c r="H67" s="74"/>
      <c r="I67" s="74">
        <f>O59</f>
        <v>12</v>
      </c>
      <c r="J67" s="74"/>
      <c r="K67" s="75" t="s">
        <v>1167</v>
      </c>
      <c r="L67" s="74"/>
      <c r="M67" s="76"/>
      <c r="N67" s="77"/>
      <c r="O67" s="101" t="s">
        <v>1513</v>
      </c>
      <c r="P67" s="102"/>
      <c r="Q67" s="103"/>
      <c r="AF67" s="7"/>
    </row>
    <row r="68" spans="7:34">
      <c r="G68" s="77" t="s">
        <v>1531</v>
      </c>
      <c r="H68" s="31"/>
      <c r="I68" s="31">
        <f>R59/I67</f>
        <v>11.919439410581441</v>
      </c>
      <c r="J68" s="31"/>
      <c r="K68" s="31"/>
      <c r="L68" s="31"/>
      <c r="M68" s="78"/>
      <c r="N68" s="77"/>
      <c r="O68" s="104" t="s">
        <v>1514</v>
      </c>
      <c r="P68" s="31"/>
      <c r="Q68" s="105">
        <f>INDEX(LINEST(AL46:AL57,AK46:AK57,TRUE,TRUE),1,2)</f>
        <v>2.208316416265065</v>
      </c>
      <c r="AF68" s="2" t="s">
        <v>1687</v>
      </c>
      <c r="AH68">
        <f>IF($D$6=1,100*((EXP(I73))-1),I73)</f>
        <v>0.28936202888451656</v>
      </c>
    </row>
    <row r="69" spans="7:34">
      <c r="G69" s="77" t="s">
        <v>1532</v>
      </c>
      <c r="H69" s="31"/>
      <c r="I69" s="31">
        <f>(1/(I67-1))*(U59-(I67*I68^2))</f>
        <v>29.85184175637125</v>
      </c>
      <c r="J69" s="31"/>
      <c r="K69" s="31"/>
      <c r="L69" s="31"/>
      <c r="M69" s="78"/>
      <c r="N69" s="77"/>
      <c r="O69" s="104" t="s">
        <v>1516</v>
      </c>
      <c r="P69" s="31"/>
      <c r="Q69" s="105">
        <f>INDEX(LINEST(AL46:AL57,AK46:AK57,TRUE,TRUE),2,2)</f>
        <v>1.6366521694004927</v>
      </c>
      <c r="AF69" s="79" t="s">
        <v>834</v>
      </c>
      <c r="AG69" s="7"/>
      <c r="AH69">
        <f>IF($D$6=1,100*(EXP(I73+I75)-EXP(I73)),I75)</f>
        <v>0.20744317938922102</v>
      </c>
    </row>
    <row r="70" spans="7:34">
      <c r="G70" s="77" t="s">
        <v>1669</v>
      </c>
      <c r="H70" s="31"/>
      <c r="I70" s="31">
        <f>(I67-1)*(I68-(I69/(I67*I68)))</f>
        <v>128.81807216939987</v>
      </c>
      <c r="J70" s="31"/>
      <c r="K70" s="31"/>
      <c r="L70" s="31"/>
      <c r="M70" s="78"/>
      <c r="N70" s="77"/>
      <c r="O70" s="104" t="s">
        <v>1349</v>
      </c>
      <c r="P70" s="31"/>
      <c r="Q70" s="105">
        <f>ABS(Q68/Q69)</f>
        <v>1.3492887844788508</v>
      </c>
      <c r="AF70" s="79" t="s">
        <v>835</v>
      </c>
      <c r="AH70">
        <f>IF($D$6=1,100*(EXP(I73)-EXP(I73-I75)),I75)</f>
        <v>0.20744317938922102</v>
      </c>
    </row>
    <row r="71" spans="7:34">
      <c r="G71" s="77" t="s">
        <v>1685</v>
      </c>
      <c r="H71" s="31"/>
      <c r="I71" s="31">
        <f>IF(P62&gt;(I67-1),(P62-(I67-1))/I70,0)</f>
        <v>4.5185212645285487E-2</v>
      </c>
      <c r="J71" s="31"/>
      <c r="K71" s="31"/>
      <c r="L71" s="31"/>
      <c r="M71" s="78"/>
      <c r="N71" s="77"/>
      <c r="O71" s="106" t="s">
        <v>1515</v>
      </c>
      <c r="P71" s="107"/>
      <c r="Q71" s="108">
        <f>TDIST(Q70,I67-2,2)</f>
        <v>0.20699960544559326</v>
      </c>
    </row>
    <row r="72" spans="7:34">
      <c r="G72" s="77"/>
      <c r="H72" s="31"/>
      <c r="I72" s="31"/>
      <c r="J72" s="31"/>
      <c r="K72" s="31"/>
      <c r="L72" s="31"/>
      <c r="M72" s="78"/>
      <c r="N72" s="77"/>
    </row>
    <row r="73" spans="7:34">
      <c r="G73" s="77" t="s">
        <v>1686</v>
      </c>
      <c r="H73" s="31"/>
      <c r="I73" s="31">
        <f>W59/V59</f>
        <v>0.28936202888451656</v>
      </c>
      <c r="J73" s="31"/>
      <c r="N73" s="77"/>
    </row>
    <row r="74" spans="7:34">
      <c r="G74" s="77" t="s">
        <v>504</v>
      </c>
      <c r="H74" s="31"/>
      <c r="I74" s="31">
        <f>1/V59</f>
        <v>1.1201757776735873E-2</v>
      </c>
      <c r="J74" s="31"/>
      <c r="N74" s="77"/>
      <c r="O74" t="s">
        <v>805</v>
      </c>
      <c r="R74">
        <v>1.96</v>
      </c>
    </row>
    <row r="75" spans="7:34">
      <c r="G75" s="80" t="s">
        <v>506</v>
      </c>
      <c r="H75" s="31"/>
      <c r="I75" s="31">
        <f>$R$74*SQRT(I74)</f>
        <v>0.20744317938922102</v>
      </c>
      <c r="J75" s="31"/>
      <c r="K75" s="31" t="s">
        <v>507</v>
      </c>
      <c r="L75" s="31"/>
      <c r="M75" s="78">
        <f>ABS(I73/(SQRT(I74)))</f>
        <v>2.733999634422891</v>
      </c>
      <c r="N75" s="77"/>
    </row>
    <row r="76" spans="7:34">
      <c r="G76" s="81" t="s">
        <v>509</v>
      </c>
      <c r="H76" s="82"/>
      <c r="I76" s="82">
        <v>-3</v>
      </c>
      <c r="J76" s="82"/>
      <c r="K76" s="31" t="s">
        <v>825</v>
      </c>
      <c r="L76" s="31"/>
      <c r="M76" s="78">
        <f>2*(1-NORMDIST(M75,0,1,1))</f>
        <v>6.2570113889357515E-3</v>
      </c>
      <c r="N76" s="77"/>
    </row>
    <row r="77" spans="7:34">
      <c r="G77" s="74"/>
      <c r="H77" s="74"/>
      <c r="I77" s="74"/>
      <c r="J77" s="74"/>
      <c r="K77" s="74"/>
      <c r="L77" s="74"/>
      <c r="M77" s="74"/>
      <c r="N77" s="31"/>
      <c r="O77" s="7"/>
    </row>
  </sheetData>
  <phoneticPr fontId="10" type="noConversion"/>
  <conditionalFormatting sqref="D17 D13 F13">
    <cfRule type="cellIs" dxfId="10" priority="0" stopIfTrue="1" operator="lessThan">
      <formula>0.05</formula>
    </cfRule>
  </conditionalFormatting>
  <conditionalFormatting sqref="D21">
    <cfRule type="cellIs" dxfId="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5.xml><?xml version="1.0" encoding="utf-8"?>
<worksheet xmlns="http://schemas.openxmlformats.org/spreadsheetml/2006/main" xmlns:r="http://schemas.openxmlformats.org/officeDocument/2006/relationships">
  <sheetPr published="0" codeName="Sheet67" enableFormatConditionsCalculation="0"/>
  <dimension ref="A1:BK64"/>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6640625" customWidth="1"/>
    <col min="7" max="23" width="5.6640625" customWidth="1"/>
    <col min="24" max="24" width="9.6640625" customWidth="1"/>
    <col min="25" max="25" width="7.33203125" customWidth="1"/>
    <col min="26" max="55" width="5.6640625" customWidth="1"/>
  </cols>
  <sheetData>
    <row r="1" spans="2:8">
      <c r="B1" s="4" t="s">
        <v>1889</v>
      </c>
      <c r="D1" s="10"/>
      <c r="F1" s="1" t="s">
        <v>733</v>
      </c>
    </row>
    <row r="3" spans="2:8">
      <c r="B3" t="s">
        <v>1007</v>
      </c>
      <c r="D3">
        <v>1</v>
      </c>
      <c r="E3" t="s">
        <v>1834</v>
      </c>
      <c r="F3" s="24" t="str">
        <f>IF(D3=1,"Odds ratio","LN (Odds ratio)")</f>
        <v>Odds ratio</v>
      </c>
    </row>
    <row r="4" spans="2:8">
      <c r="B4" t="s">
        <v>1642</v>
      </c>
      <c r="D4" s="25" t="s">
        <v>885</v>
      </c>
      <c r="E4" t="s">
        <v>1834</v>
      </c>
      <c r="F4" s="26" t="str">
        <f>IF($D$4="Total","Total",IF($D$4="Left","Left",IF($D$4="Right","Right","Error: enter Total, Left or Right")))</f>
        <v>Total</v>
      </c>
    </row>
    <row r="5" spans="2:8">
      <c r="D5" s="25"/>
      <c r="F5" s="24"/>
    </row>
    <row r="6" spans="2:8">
      <c r="D6" s="25"/>
      <c r="F6" s="24"/>
    </row>
    <row r="7" spans="2:8">
      <c r="B7" t="s">
        <v>1110</v>
      </c>
      <c r="D7">
        <f>I54-O47</f>
        <v>8</v>
      </c>
    </row>
    <row r="8" spans="2:8">
      <c r="B8" t="s">
        <v>822</v>
      </c>
      <c r="D8">
        <f>SUM(H24:H31)</f>
        <v>503</v>
      </c>
    </row>
    <row r="9" spans="2:8">
      <c r="B9" t="s">
        <v>823</v>
      </c>
      <c r="D9">
        <f>SUM(I24:I31)</f>
        <v>343</v>
      </c>
    </row>
    <row r="11" spans="2:8">
      <c r="B11" s="27" t="s">
        <v>516</v>
      </c>
      <c r="C11" s="28"/>
      <c r="D11" s="109">
        <f>P49</f>
        <v>11.586033150115476</v>
      </c>
      <c r="E11" s="110" t="s">
        <v>1513</v>
      </c>
      <c r="F11" s="103"/>
      <c r="G11" s="137"/>
      <c r="H11" s="5"/>
    </row>
    <row r="12" spans="2:8">
      <c r="B12" s="30" t="s">
        <v>826</v>
      </c>
      <c r="C12" s="31"/>
      <c r="D12" s="112">
        <f>P51</f>
        <v>39.582427313094371</v>
      </c>
      <c r="E12" s="31"/>
      <c r="F12" s="105"/>
      <c r="G12" s="137"/>
      <c r="H12" s="5"/>
    </row>
    <row r="13" spans="2:8">
      <c r="B13" s="35" t="s">
        <v>825</v>
      </c>
      <c r="C13" s="36"/>
      <c r="D13" s="113">
        <f>P50</f>
        <v>0.11502082412422787</v>
      </c>
      <c r="E13" s="111" t="s">
        <v>825</v>
      </c>
      <c r="F13" s="115">
        <f>Q58</f>
        <v>0.99023193790021391</v>
      </c>
      <c r="G13" s="137"/>
      <c r="H13" s="5"/>
    </row>
    <row r="15" spans="2:8">
      <c r="B15" s="39" t="s">
        <v>879</v>
      </c>
      <c r="C15" s="40"/>
      <c r="D15" s="41">
        <f>AH51</f>
        <v>1.7537511266642849</v>
      </c>
      <c r="E15" s="116"/>
      <c r="F15" s="33"/>
      <c r="G15" s="31"/>
    </row>
    <row r="16" spans="2:8">
      <c r="B16" s="43" t="s">
        <v>1165</v>
      </c>
      <c r="C16" s="31"/>
      <c r="D16" s="33">
        <f>AH51-AH53</f>
        <v>1.2501081524098718</v>
      </c>
      <c r="E16" s="117">
        <f>AH51+AH52</f>
        <v>2.460301541388429</v>
      </c>
      <c r="F16" s="33"/>
      <c r="G16" s="31"/>
    </row>
    <row r="17" spans="1:63">
      <c r="B17" s="45" t="s">
        <v>1166</v>
      </c>
      <c r="C17" s="46"/>
      <c r="D17" s="123">
        <f>M52</f>
        <v>1.1441256940141198E-3</v>
      </c>
      <c r="E17" s="118"/>
      <c r="F17" s="119"/>
      <c r="G17" s="31"/>
    </row>
    <row r="18" spans="1:63">
      <c r="D18" s="48"/>
      <c r="F18" s="49"/>
    </row>
    <row r="19" spans="1:63">
      <c r="B19" s="50" t="s">
        <v>1167</v>
      </c>
      <c r="C19" s="51"/>
      <c r="D19" s="52">
        <f>AH55</f>
        <v>1.8965192588709316</v>
      </c>
      <c r="E19" s="120"/>
      <c r="F19" s="33"/>
      <c r="G19" s="31"/>
    </row>
    <row r="20" spans="1:63">
      <c r="B20" s="53" t="s">
        <v>1165</v>
      </c>
      <c r="C20" s="31"/>
      <c r="D20" s="33">
        <f>AH55-AH57</f>
        <v>1.0542654988799642</v>
      </c>
      <c r="E20" s="121">
        <f>AH55+AH56</f>
        <v>3.411650388910116</v>
      </c>
      <c r="F20" s="33"/>
      <c r="G20" s="31"/>
    </row>
    <row r="21" spans="1:63">
      <c r="B21" s="54" t="s">
        <v>1440</v>
      </c>
      <c r="C21" s="55"/>
      <c r="D21" s="114">
        <f>M63</f>
        <v>3.2647236762663567E-2</v>
      </c>
      <c r="E21" s="56"/>
      <c r="F21" s="119"/>
      <c r="G21" s="31"/>
      <c r="L21" s="4" t="s">
        <v>1511</v>
      </c>
      <c r="Q21" s="4" t="str">
        <f>F3</f>
        <v>Odds ratio</v>
      </c>
    </row>
    <row r="22" spans="1:63">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3" ht="46.5" customHeight="1">
      <c r="B23" s="57" t="s">
        <v>1162</v>
      </c>
      <c r="C23" s="57" t="s">
        <v>618</v>
      </c>
      <c r="D23" s="57" t="s">
        <v>953</v>
      </c>
      <c r="E23" s="57" t="s">
        <v>617</v>
      </c>
      <c r="F23" s="57" t="s">
        <v>740</v>
      </c>
      <c r="G23" s="57" t="s">
        <v>1033</v>
      </c>
      <c r="H23" s="58" t="s">
        <v>1034</v>
      </c>
      <c r="I23" s="58" t="s">
        <v>1035</v>
      </c>
      <c r="J23" s="58" t="s">
        <v>1036</v>
      </c>
      <c r="K23" s="58" t="s">
        <v>1037</v>
      </c>
      <c r="L23" s="58" t="s">
        <v>1208</v>
      </c>
      <c r="M23" s="58" t="s">
        <v>870</v>
      </c>
      <c r="N23" s="58" t="s">
        <v>871</v>
      </c>
      <c r="O23" s="58" t="s">
        <v>872</v>
      </c>
      <c r="P23" s="58" t="s">
        <v>873</v>
      </c>
      <c r="Q23" s="58" t="s">
        <v>874</v>
      </c>
      <c r="R23" s="58" t="s">
        <v>1402</v>
      </c>
      <c r="S23" s="58" t="s">
        <v>1403</v>
      </c>
      <c r="T23" s="58"/>
      <c r="U23" s="100" t="s">
        <v>1077</v>
      </c>
      <c r="V23" s="100" t="s">
        <v>1078</v>
      </c>
      <c r="W23" s="58"/>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row>
    <row r="24" spans="1:63">
      <c r="B24">
        <v>2301657</v>
      </c>
      <c r="C24" s="1" t="str">
        <f>IF($B24="","",HYPERLINK(IF(LEN(VLOOKUP($B24,Database!$B$1:$IX$10144,2,FALSE))=0,"",VLOOKUP($B24,Database!$B$1:$IX$10144,2,FALSE))))</f>
        <v/>
      </c>
      <c r="D24" s="1" t="str">
        <f t="shared" ref="D24:D31" si="0">IF($B24="","",HYPERLINK(CONCATENATE("http://www.ncbi.nlm.nih.gov/pubmed/",B24)))</f>
        <v>http://www.ncbi.nlm.nih.gov/pubmed/2301657</v>
      </c>
      <c r="E24" s="22" t="str">
        <f>IF($B24="","",IF(LEN(VLOOKUP($B24,Database!$B$1:$IX$10144,4,FALSE))=0,"",VLOOKUP($B24,Database!$B$1:$IX$10144,4,FALSE)))</f>
        <v>Coffey CE</v>
      </c>
      <c r="F24" s="22">
        <f>IF($B24="","",IF(LEN(VLOOKUP($B24,Database!$B$1:$IX$10144,5,FALSE))=0,"",VLOOKUP($B24,Database!$B$1:$IX$10144,5,FALSE)))</f>
        <v>1990</v>
      </c>
      <c r="G24" s="1" t="str">
        <f>IF($B24="","",HYPERLINK(IF(LEN(VLOOKUP($B24,Database!$B$1:$IX$10144,6,FALSE))=0,"",VLOOKUP($B24,Database!$B$1:$IX$10144,6,FALSE))))</f>
        <v>http://ajp.psychiatryonline.org/cgi/reprint/147/2/187</v>
      </c>
      <c r="H24" s="22">
        <f>IF($B24="","",IF(LEN(VLOOKUP($B24,Database!$B$1:$IX$10144,7,FALSE))=0,"",VLOOKUP($B24,Database!$B$1:$IX$10144,7,FALSE)))</f>
        <v>35</v>
      </c>
      <c r="I24" s="22">
        <f>IF($B24="","",IF(LEN(VLOOKUP($B24,Database!$B$1:$IX$10144,8,FALSE))=0,"",VLOOKUP($B24,Database!$B$1:$IX$10144,8,FALSE)))</f>
        <v>22</v>
      </c>
      <c r="J24" s="22" t="s">
        <v>662</v>
      </c>
      <c r="K24" s="22" t="s">
        <v>1768</v>
      </c>
      <c r="L24" s="22">
        <v>14</v>
      </c>
      <c r="M24" s="22">
        <v>21</v>
      </c>
      <c r="N24">
        <f t="shared" ref="N24:N31" si="1">H24</f>
        <v>35</v>
      </c>
      <c r="O24" s="22">
        <v>1</v>
      </c>
      <c r="P24" s="22">
        <v>21</v>
      </c>
      <c r="Q24">
        <f t="shared" ref="Q24:Q31" si="2">I24</f>
        <v>22</v>
      </c>
      <c r="R24" s="13">
        <f t="shared" ref="R24:R31" si="3">L24+M24</f>
        <v>35</v>
      </c>
      <c r="S24" s="13">
        <f t="shared" ref="S24:S31" si="4">P24+O24</f>
        <v>22</v>
      </c>
      <c r="U24" s="136">
        <f t="shared" ref="U24:U31" si="5">100*L24/N24</f>
        <v>40</v>
      </c>
      <c r="V24" s="136">
        <f t="shared" ref="V24:V31" si="6">100*O24/Q24</f>
        <v>4.5454545454545459</v>
      </c>
      <c r="Y24" s="22" t="str">
        <f>IF(OR($B24="",Y$22=""),"",IF(LEN(VLOOKUP($B24,Database!$B$1:$IX$10144,Y$22,FALSE))=0,"",VLOOKUP($B24,Database!$B$1:$IX$10144,Y$22,FALSE)))</f>
        <v>DSM-III</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71.7</v>
      </c>
      <c r="AC24" s="22">
        <f>IF(OR($B24="",AC$22=""),"",IF(LEN(VLOOKUP($B24,Database!$B$1:$IX$10144,AC$22,FALSE))=0,"",VLOOKUP($B24,Database!$B$1:$IX$10144,AC$22,FALSE)))</f>
        <v>8.1</v>
      </c>
      <c r="AD24" s="22">
        <f>IF(OR($B24="",AD$22=""),"",IF(LEN(VLOOKUP($B24,Database!$B$1:$IX$10144,AD$22,FALSE))=0,"",VLOOKUP($B24,Database!$B$1:$IX$10144,AD$22,FALSE)))</f>
        <v>70.7</v>
      </c>
      <c r="AE24" s="22">
        <f>IF(OR($B24="",AE$22=""),"",IF(LEN(VLOOKUP($B24,Database!$B$1:$IX$10144,AE$22,FALSE))=0,"",VLOOKUP($B24,Database!$B$1:$IX$10144,AE$22,FALSE)))</f>
        <v>5.5</v>
      </c>
      <c r="AF24" s="22">
        <f>IF(OR($B24="",AF$22=""),"",IF(LEN(VLOOKUP($B24,Database!$B$1:$IX$10144,AF$22,FALSE))=0,"",VLOOKUP($B24,Database!$B$1:$IX$10144,AF$22,FALSE)))</f>
        <v>28</v>
      </c>
      <c r="AG24" s="22">
        <f>IF(OR($B24="",AG$22=""),"",IF(LEN(VLOOKUP($B24,Database!$B$1:$IX$10144,AG$22,FALSE))=0,"",VLOOKUP($B24,Database!$B$1:$IX$10144,AG$22,FALSE)))</f>
        <v>15</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Coffey CE, Figiel GS, Djang WT, Weiner RD.</v>
      </c>
      <c r="AR24" s="13"/>
      <c r="AX24" s="13"/>
      <c r="AY24" s="13"/>
      <c r="BA24" s="23"/>
      <c r="BD24" s="136"/>
      <c r="BE24" s="136"/>
      <c r="BF24" s="136"/>
      <c r="BG24" s="136"/>
    </row>
    <row r="25" spans="1:63">
      <c r="A25" s="13" t="s">
        <v>364</v>
      </c>
      <c r="B25">
        <v>8294897</v>
      </c>
      <c r="C25" s="1" t="str">
        <f>IF($B25="","",HYPERLINK(IF(LEN(VLOOKUP($B25,Database!$B$1:$IX$10144,2,FALSE))=0,"",VLOOKUP($B25,Database!$B$1:$IX$10144,2,FALSE))))</f>
        <v/>
      </c>
      <c r="D25" s="1" t="str">
        <f t="shared" si="0"/>
        <v>http://www.ncbi.nlm.nih.gov/pubmed/8294897</v>
      </c>
      <c r="E25" s="22" t="str">
        <f>IF($B25="","",IF(LEN(VLOOKUP($B25,Database!$B$1:$IX$10144,4,FALSE))=0,"",VLOOKUP($B25,Database!$B$1:$IX$10144,4,FALSE)))</f>
        <v>Lisanby SH</v>
      </c>
      <c r="F25" s="22">
        <f>IF($B25="","",IF(LEN(VLOOKUP($B25,Database!$B$1:$IX$10144,5,FALSE))=0,"",VLOOKUP($B25,Database!$B$1:$IX$10144,5,FALSE)))</f>
        <v>1993</v>
      </c>
      <c r="G25" s="1" t="str">
        <f>IF($B25="","",HYPERLINK(IF(LEN(VLOOKUP($B25,Database!$B$1:$IX$10144,6,FALSE))=0,"",VLOOKUP($B25,Database!$B$1:$IX$10144,6,FALSE))))</f>
        <v>Not available on internet</v>
      </c>
      <c r="H25" s="22">
        <f>IF($B25="","",IF(LEN(VLOOKUP($B25,Database!$B$1:$IX$10144,7,FALSE))=0,"",VLOOKUP($B25,Database!$B$1:$IX$10144,7,FALSE)))</f>
        <v>21</v>
      </c>
      <c r="I25" s="22">
        <f>IF($B25="","",IF(LEN(VLOOKUP($B25,Database!$B$1:$IX$10144,8,FALSE))=0,"",VLOOKUP($B25,Database!$B$1:$IX$10144,8,FALSE)))</f>
        <v>21</v>
      </c>
      <c r="J25" t="s">
        <v>1478</v>
      </c>
      <c r="K25" t="s">
        <v>1478</v>
      </c>
      <c r="L25" s="22">
        <v>5</v>
      </c>
      <c r="M25" s="22">
        <v>16</v>
      </c>
      <c r="N25">
        <f t="shared" si="1"/>
        <v>21</v>
      </c>
      <c r="O25" s="22">
        <v>5</v>
      </c>
      <c r="P25" s="22">
        <v>16</v>
      </c>
      <c r="Q25">
        <f t="shared" si="2"/>
        <v>21</v>
      </c>
      <c r="R25" s="13">
        <f t="shared" si="3"/>
        <v>21</v>
      </c>
      <c r="S25" s="13">
        <f t="shared" si="4"/>
        <v>21</v>
      </c>
      <c r="U25" s="136">
        <f t="shared" si="5"/>
        <v>23.80952380952381</v>
      </c>
      <c r="V25" s="136">
        <f t="shared" si="6"/>
        <v>23.80952380952381</v>
      </c>
      <c r="X25" s="2"/>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65</v>
      </c>
      <c r="AC25" s="22">
        <f>IF(OR($B25="",AC$22=""),"",IF(LEN(VLOOKUP($B25,Database!$B$1:$IX$10144,AC$22,FALSE))=0,"",VLOOKUP($B25,Database!$B$1:$IX$10144,AC$22,FALSE)))</f>
        <v>11</v>
      </c>
      <c r="AD25" s="22">
        <f>IF(OR($B25="",AD$22=""),"",IF(LEN(VLOOKUP($B25,Database!$B$1:$IX$10144,AD$22,FALSE))=0,"",VLOOKUP($B25,Database!$B$1:$IX$10144,AD$22,FALSE)))</f>
        <v>63.5</v>
      </c>
      <c r="AE25" s="22">
        <f>IF(OR($B25="",AE$22=""),"",IF(LEN(VLOOKUP($B25,Database!$B$1:$IX$10144,AE$22,FALSE))=0,"",VLOOKUP($B25,Database!$B$1:$IX$10144,AE$22,FALSE)))</f>
        <v>11</v>
      </c>
      <c r="AF25" s="22">
        <f>IF(OR($B25="",AF$22=""),"",IF(LEN(VLOOKUP($B25,Database!$B$1:$IX$10144,AF$22,FALSE))=0,"",VLOOKUP($B25,Database!$B$1:$IX$10144,AF$22,FALSE)))</f>
        <v>9</v>
      </c>
      <c r="AG25" s="22">
        <f>IF(OR($B25="",AG$22=""),"",IF(LEN(VLOOKUP($B25,Database!$B$1:$IX$10144,AG$22,FALSE))=0,"",VLOOKUP($B25,Database!$B$1:$IX$10144,AG$22,FALSE)))</f>
        <v>9</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t="str">
        <f>IF(OR($B25="",AL$22=""),"",IF(LEN(VLOOKUP($B25,Database!$B$1:$IX$10144,AL$22,FALSE))=0,"",VLOOKUP($B25,Database!$B$1:$IX$10144,AL$22,FALSE)))</f>
        <v>ns</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Lisanby SH, McDonald WM, Massey EW, Doraiswamy PM, Rozear M, Boyko OB, Krishnan KR, Nemeroff C.</v>
      </c>
      <c r="AR25" s="13"/>
      <c r="AX25" s="13"/>
      <c r="AY25" s="13"/>
      <c r="BA25" s="23"/>
      <c r="BD25" s="136"/>
      <c r="BE25" s="136"/>
      <c r="BF25" s="136"/>
      <c r="BG25" s="136"/>
    </row>
    <row r="26" spans="1:63">
      <c r="B26" t="s">
        <v>1474</v>
      </c>
      <c r="C26" s="1" t="str">
        <f>IF($B26="","",HYPERLINK(IF(LEN(VLOOKUP($B26,Database!$B$1:$IX$10144,2,FALSE))=0,"",VLOOKUP($B26,Database!$B$1:$IX$10144,2,FALSE))))</f>
        <v/>
      </c>
      <c r="D26" s="1" t="str">
        <f>IF($B26="","",HYPERLINK(CONCATENATE("http://www.ncbi.nlm.nih.gov/pubmed/",B26)))</f>
        <v>http://www.ncbi.nlm.nih.gov/pubmed/NPD001</v>
      </c>
      <c r="E26" s="22" t="str">
        <f>IF($B26="","",IF(LEN(VLOOKUP($B26,Database!$B$1:$IX$10144,4,FALSE))=0,"",VLOOKUP($B26,Database!$B$1:$IX$10144,4,FALSE)))</f>
        <v>Miller DS</v>
      </c>
      <c r="F26" s="22">
        <f>IF($B26="","",IF(LEN(VLOOKUP($B26,Database!$B$1:$IX$10144,5,FALSE))=0,"",VLOOKUP($B26,Database!$B$1:$IX$10144,5,FALSE)))</f>
        <v>1994</v>
      </c>
      <c r="G26" s="1" t="str">
        <f>IF($B26="","",HYPERLINK(IF(LEN(VLOOKUP($B26,Database!$B$1:$IX$10144,6,FALSE))=0,"",VLOOKUP($B26,Database!$B$1:$IX$10144,6,FALSE))))</f>
        <v>http://journals.lww.com/ajgponline/Abstract/1994/02040/MRI_High_Intensity_Signals_in_Late_Life_Depression.8.aspx</v>
      </c>
      <c r="H26" s="22">
        <f>IF($B26="","",IF(LEN(VLOOKUP($B26,Database!$B$1:$IX$10144,7,FALSE))=0,"",VLOOKUP($B26,Database!$B$1:$IX$10144,7,FALSE)))</f>
        <v>19</v>
      </c>
      <c r="I26" s="22">
        <f>IF($B26="","",IF(LEN(VLOOKUP($B26,Database!$B$1:$IX$10144,8,FALSE))=0,"",VLOOKUP($B26,Database!$B$1:$IX$10144,8,FALSE)))</f>
        <v>23</v>
      </c>
      <c r="J26" t="s">
        <v>1476</v>
      </c>
      <c r="K26" t="s">
        <v>1479</v>
      </c>
      <c r="L26">
        <v>0</v>
      </c>
      <c r="M26">
        <v>19</v>
      </c>
      <c r="N26">
        <f>H26</f>
        <v>19</v>
      </c>
      <c r="O26">
        <v>2</v>
      </c>
      <c r="P26">
        <v>21</v>
      </c>
      <c r="Q26">
        <f>I26</f>
        <v>23</v>
      </c>
      <c r="R26" s="13">
        <f t="shared" si="3"/>
        <v>19</v>
      </c>
      <c r="S26" s="13">
        <f t="shared" si="4"/>
        <v>23</v>
      </c>
      <c r="U26" s="136">
        <f>100*L26/N26</f>
        <v>0</v>
      </c>
      <c r="V26" s="136">
        <f>100*O26/Q26</f>
        <v>8.695652173913043</v>
      </c>
      <c r="Y26" s="22" t="str">
        <f>IF(OR($B26="",Y$22=""),"",IF(LEN(VLOOKUP($B26,Database!$B$1:$IX$10144,Y$22,FALSE))=0,"",VLOOKUP($B26,Database!$B$1:$IX$10144,Y$22,FALSE)))</f>
        <v>DSM-III-R</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69</v>
      </c>
      <c r="AC26" s="22">
        <f>IF(OR($B26="",AC$22=""),"",IF(LEN(VLOOKUP($B26,Database!$B$1:$IX$10144,AC$22,FALSE))=0,"",VLOOKUP($B26,Database!$B$1:$IX$10144,AC$22,FALSE)))</f>
        <v>6</v>
      </c>
      <c r="AD26" s="22">
        <f>IF(OR($B26="",AD$22=""),"",IF(LEN(VLOOKUP($B26,Database!$B$1:$IX$10144,AD$22,FALSE))=0,"",VLOOKUP($B26,Database!$B$1:$IX$10144,AD$22,FALSE)))</f>
        <v>68</v>
      </c>
      <c r="AE26" s="22">
        <f>IF(OR($B26="",AE$22=""),"",IF(LEN(VLOOKUP($B26,Database!$B$1:$IX$10144,AE$22,FALSE))=0,"",VLOOKUP($B26,Database!$B$1:$IX$10144,AE$22,FALSE)))</f>
        <v>8</v>
      </c>
      <c r="AF26" s="22">
        <f>IF(OR($B26="",AF$22=""),"",IF(LEN(VLOOKUP($B26,Database!$B$1:$IX$10144,AF$22,FALSE))=0,"",VLOOKUP($B26,Database!$B$1:$IX$10144,AF$22,FALSE)))</f>
        <v>13</v>
      </c>
      <c r="AG26" s="22">
        <f>IF(OR($B26="",AG$22=""),"",IF(LEN(VLOOKUP($B26,Database!$B$1:$IX$10144,AG$22,FALSE))=0,"",VLOOKUP($B26,Database!$B$1:$IX$10144,AG$22,FALSE)))</f>
        <v>12</v>
      </c>
      <c r="AH26" s="22">
        <f>IF(OR($B26="",AH$22=""),"",IF(LEN(VLOOKUP($B26,Database!$B$1:$IX$10144,AH$22,FALSE))=0,"",VLOOKUP($B26,Database!$B$1:$IX$10144,AH$22,FALSE)))</f>
        <v>1.5</v>
      </c>
      <c r="AI26" s="22">
        <f>IF(OR($B26="",AI$22=""),"",IF(LEN(VLOOKUP($B26,Database!$B$1:$IX$10144,AI$22,FALSE))=0,"",VLOOKUP($B26,Database!$B$1:$IX$10144,AI$22,FALSE)))</f>
        <v>5</v>
      </c>
      <c r="AJ26" s="22" t="str">
        <f>IF(OR($B26="",AJ$22=""),"",IF(LEN(VLOOKUP($B26,Database!$B$1:$IX$10144,AJ$22,FALSE))=0,"",VLOOKUP($B26,Database!$B$1:$IX$10144,AJ$22,FALSE)))</f>
        <v/>
      </c>
      <c r="AK26" s="22" t="str">
        <f>IF(OR($B26="",AK$22=""),"",IF(LEN(VLOOKUP($B26,Database!$B$1:$IX$10144,AK$22,FALSE))=0,"",VLOOKUP($B26,Database!$B$1:$IX$10144,AK$22,FALSE)))</f>
        <v>ns</v>
      </c>
      <c r="AL26" s="22">
        <f>IF(OR($B26="",AL$22=""),"",IF(LEN(VLOOKUP($B26,Database!$B$1:$IX$10144,AL$22,FALSE))=0,"",VLOOKUP($B26,Database!$B$1:$IX$10144,AL$22,FALSE)))</f>
        <v>22</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Miller DS, Kumar A, Yousem DM, Gottlieb GL</v>
      </c>
      <c r="AR26" s="13"/>
      <c r="AU26" s="22"/>
      <c r="AX26" s="13"/>
      <c r="AY26" s="13"/>
      <c r="BA26" s="23"/>
      <c r="BD26" s="136"/>
      <c r="BE26" s="136"/>
      <c r="BF26" s="136"/>
      <c r="BG26" s="136"/>
    </row>
    <row r="27" spans="1:63">
      <c r="A27" s="13" t="s">
        <v>364</v>
      </c>
      <c r="B27">
        <v>10080561</v>
      </c>
      <c r="C27" s="1" t="str">
        <f>IF($B27="","",HYPERLINK(IF(LEN(VLOOKUP($B27,Database!$B$1:$IX$10144,2,FALSE))=0,"",VLOOKUP($B27,Database!$B$1:$IX$10144,2,FALSE))))</f>
        <v/>
      </c>
      <c r="D27" s="1" t="str">
        <f t="shared" si="0"/>
        <v>http://www.ncbi.nlm.nih.gov/pubmed/10080561</v>
      </c>
      <c r="E27" s="22" t="str">
        <f>IF($B27="","",IF(LEN(VLOOKUP($B27,Database!$B$1:$IX$10144,4,FALSE))=0,"",VLOOKUP($B27,Database!$B$1:$IX$10144,4,FALSE)))</f>
        <v>Kramer-Ginsberg E</v>
      </c>
      <c r="F27" s="22">
        <f>IF($B27="","",IF(LEN(VLOOKUP($B27,Database!$B$1:$IX$10144,5,FALSE))=0,"",VLOOKUP($B27,Database!$B$1:$IX$10144,5,FALSE)))</f>
        <v>1999</v>
      </c>
      <c r="G27" s="1" t="str">
        <f>IF($B27="","",HYPERLINK(IF(LEN(VLOOKUP($B27,Database!$B$1:$IX$10144,6,FALSE))=0,"",VLOOKUP($B27,Database!$B$1:$IX$10144,6,FALSE))))</f>
        <v>http://ajp.psychiatryonline.org/cgi/reprint/156/3/438</v>
      </c>
      <c r="H27" s="22">
        <f>IF($B27="","",IF(LEN(VLOOKUP($B27,Database!$B$1:$IX$10144,7,FALSE))=0,"",VLOOKUP($B27,Database!$B$1:$IX$10144,7,FALSE)))</f>
        <v>41</v>
      </c>
      <c r="I27" s="22">
        <f>IF($B27="","",IF(LEN(VLOOKUP($B27,Database!$B$1:$IX$10144,8,FALSE))=0,"",VLOOKUP($B27,Database!$B$1:$IX$10144,8,FALSE)))</f>
        <v>38</v>
      </c>
      <c r="J27" s="13" t="s">
        <v>693</v>
      </c>
      <c r="K27" t="s">
        <v>981</v>
      </c>
      <c r="L27">
        <v>12</v>
      </c>
      <c r="M27">
        <v>29</v>
      </c>
      <c r="N27">
        <f t="shared" si="1"/>
        <v>41</v>
      </c>
      <c r="O27">
        <v>6</v>
      </c>
      <c r="P27">
        <v>32</v>
      </c>
      <c r="Q27">
        <f t="shared" si="2"/>
        <v>38</v>
      </c>
      <c r="R27" s="13">
        <f t="shared" si="3"/>
        <v>41</v>
      </c>
      <c r="S27" s="13">
        <f t="shared" si="4"/>
        <v>38</v>
      </c>
      <c r="U27" s="136">
        <f t="shared" si="5"/>
        <v>29.26829268292683</v>
      </c>
      <c r="V27" s="136">
        <f t="shared" si="6"/>
        <v>15.789473684210526</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74.599999999999994</v>
      </c>
      <c r="AC27" s="22">
        <f>IF(OR($B27="",AC$22=""),"",IF(LEN(VLOOKUP($B27,Database!$B$1:$IX$10144,AC$22,FALSE))=0,"",VLOOKUP($B27,Database!$B$1:$IX$10144,AC$22,FALSE)))</f>
        <v>6</v>
      </c>
      <c r="AD27" s="22">
        <f>IF(OR($B27="",AD$22=""),"",IF(LEN(VLOOKUP($B27,Database!$B$1:$IX$10144,AD$22,FALSE))=0,"",VLOOKUP($B27,Database!$B$1:$IX$10144,AD$22,FALSE)))</f>
        <v>72.8</v>
      </c>
      <c r="AE27" s="22">
        <f>IF(OR($B27="",AE$22=""),"",IF(LEN(VLOOKUP($B27,Database!$B$1:$IX$10144,AE$22,FALSE))=0,"",VLOOKUP($B27,Database!$B$1:$IX$10144,AE$22,FALSE)))</f>
        <v>6.4</v>
      </c>
      <c r="AF27" s="22">
        <f>IF(OR($B27="",AF$22=""),"",IF(LEN(VLOOKUP($B27,Database!$B$1:$IX$10144,AF$22,FALSE))=0,"",VLOOKUP($B27,Database!$B$1:$IX$10144,AF$22,FALSE)))</f>
        <v>30</v>
      </c>
      <c r="AG27" s="22">
        <f>IF(OR($B27="",AG$22=""),"",IF(LEN(VLOOKUP($B27,Database!$B$1:$IX$10144,AG$22,FALSE))=0,"",VLOOKUP($B27,Database!$B$1:$IX$10144,AG$22,FALSE)))</f>
        <v>19</v>
      </c>
      <c r="AH27" s="22">
        <f>IF(OR($B27="",AH$22=""),"",IF(LEN(VLOOKUP($B27,Database!$B$1:$IX$10144,AH$22,FALSE))=0,"",VLOOKUP($B27,Database!$B$1:$IX$10144,AH$22,FALSE)))</f>
        <v>1</v>
      </c>
      <c r="AI27" s="22">
        <f>IF(OR($B27="",AI$22=""),"",IF(LEN(VLOOKUP($B27,Database!$B$1:$IX$10144,AI$22,FALSE))=0,"",VLOOKUP($B27,Database!$B$1:$IX$10144,AI$22,FALSE)))</f>
        <v>7</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26</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Kramer-Ginsberg E, Greenwald BS, Krishnan KR, Christiansen B, Hu J, Ashtari M, Patel M, Pollack S.</v>
      </c>
      <c r="AR27" s="163"/>
      <c r="AU27" s="22"/>
      <c r="AX27" s="13"/>
      <c r="AY27" s="13"/>
      <c r="BA27" s="23"/>
      <c r="BD27" s="136"/>
      <c r="BE27" s="136"/>
      <c r="BF27" s="136"/>
      <c r="BG27" s="136"/>
    </row>
    <row r="28" spans="1:63">
      <c r="B28">
        <v>11593278</v>
      </c>
      <c r="C28" s="1" t="str">
        <f>IF($B28="","",HYPERLINK(IF(LEN(VLOOKUP($B28,Database!$B$1:$IX$10144,2,FALSE))=0,"",VLOOKUP($B28,Database!$B$1:$IX$10144,2,FALSE))))</f>
        <v/>
      </c>
      <c r="D28" s="1" t="str">
        <f t="shared" si="0"/>
        <v>http://www.ncbi.nlm.nih.gov/pubmed/11593278</v>
      </c>
      <c r="E28" s="22" t="str">
        <f>IF($B28="","",IF(LEN(VLOOKUP($B28,Database!$B$1:$IX$10144,4,FALSE))=0,"",VLOOKUP($B28,Database!$B$1:$IX$10144,4,FALSE)))</f>
        <v>Novaretti TM</v>
      </c>
      <c r="F28" s="22">
        <f>IF($B28="","",IF(LEN(VLOOKUP($B28,Database!$B$1:$IX$10144,5,FALSE))=0,"",VLOOKUP($B28,Database!$B$1:$IX$10144,5,FALSE)))</f>
        <v>2001</v>
      </c>
      <c r="G28" s="1" t="str">
        <f>IF($B28="","",HYPERLINK(IF(LEN(VLOOKUP($B28,Database!$B$1:$IX$10144,6,FALSE))=0,"",VLOOKUP($B28,Database!$B$1:$IX$10144,6,FALSE))))</f>
        <v>http://www.scielo.br/pdf/anp/v59n3B/5967.pdf</v>
      </c>
      <c r="H28" s="22">
        <f>IF($B28="","",IF(LEN(VLOOKUP($B28,Database!$B$1:$IX$10144,7,FALSE))=0,"",VLOOKUP($B28,Database!$B$1:$IX$10144,7,FALSE)))</f>
        <v>30</v>
      </c>
      <c r="I28" s="22">
        <f>IF($B28="","",IF(LEN(VLOOKUP($B28,Database!$B$1:$IX$10144,8,FALSE))=0,"",VLOOKUP($B28,Database!$B$1:$IX$10144,8,FALSE)))</f>
        <v>20</v>
      </c>
      <c r="J28" s="2" t="s">
        <v>12</v>
      </c>
      <c r="K28" s="2" t="s">
        <v>12</v>
      </c>
      <c r="L28" s="13">
        <v>28</v>
      </c>
      <c r="M28" s="13">
        <v>2</v>
      </c>
      <c r="N28">
        <f t="shared" si="1"/>
        <v>30</v>
      </c>
      <c r="O28" s="13">
        <v>20</v>
      </c>
      <c r="P28" s="13">
        <v>0</v>
      </c>
      <c r="Q28">
        <f t="shared" si="2"/>
        <v>20</v>
      </c>
      <c r="R28" s="13">
        <f t="shared" si="3"/>
        <v>30</v>
      </c>
      <c r="S28" s="13">
        <f t="shared" si="4"/>
        <v>20</v>
      </c>
      <c r="U28" s="136">
        <f t="shared" si="5"/>
        <v>93.333333333333329</v>
      </c>
      <c r="V28" s="136">
        <f t="shared" si="6"/>
        <v>100</v>
      </c>
      <c r="Y28" s="22" t="str">
        <f>IF(OR($B28="",Y$22=""),"",IF(LEN(VLOOKUP($B28,Database!$B$1:$IX$10144,Y$22,FALSE))=0,"",VLOOKUP($B28,Database!$B$1:$IX$10144,Y$22,FALSE)))</f>
        <v>ICD-10</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71</v>
      </c>
      <c r="AC28" s="22">
        <f>IF(OR($B28="",AC$22=""),"",IF(LEN(VLOOKUP($B28,Database!$B$1:$IX$10144,AC$22,FALSE))=0,"",VLOOKUP($B28,Database!$B$1:$IX$10144,AC$22,FALSE)))</f>
        <v>8.1999999999999993</v>
      </c>
      <c r="AD28" s="22">
        <f>IF(OR($B28="",AD$22=""),"",IF(LEN(VLOOKUP($B28,Database!$B$1:$IX$10144,AD$22,FALSE))=0,"",VLOOKUP($B28,Database!$B$1:$IX$10144,AD$22,FALSE)))</f>
        <v>66.5</v>
      </c>
      <c r="AE28" s="22" t="str">
        <f>IF(OR($B28="",AE$22=""),"",IF(LEN(VLOOKUP($B28,Database!$B$1:$IX$10144,AE$22,FALSE))=0,"",VLOOKUP($B28,Database!$B$1:$IX$10144,AE$22,FALSE)))</f>
        <v xml:space="preserve">probable error. States 25.9 but max=81 and min=61 </v>
      </c>
      <c r="AF28" s="22">
        <f>IF(OR($B28="",AF$22=""),"",IF(LEN(VLOOKUP($B28,Database!$B$1:$IX$10144,AF$22,FALSE))=0,"",VLOOKUP($B28,Database!$B$1:$IX$10144,AF$22,FALSE)))</f>
        <v>23</v>
      </c>
      <c r="AG28" s="22">
        <f>IF(OR($B28="",AG$22=""),"",IF(LEN(VLOOKUP($B28,Database!$B$1:$IX$10144,AG$22,FALSE))=0,"",VLOOKUP($B28,Database!$B$1:$IX$10144,AG$22,FALSE)))</f>
        <v>14</v>
      </c>
      <c r="AH28" s="22" t="str">
        <f>IF(OR($B28="",AH$22=""),"",IF(LEN(VLOOKUP($B28,Database!$B$1:$IX$10144,AH$22,FALSE))=0,"",VLOOKUP($B28,Database!$B$1:$IX$10144,AH$22,FALSE)))</f>
        <v>ns</v>
      </c>
      <c r="AI28" s="22" t="str">
        <f>IF(OR($B28="",AI$22=""),"",IF(LEN(VLOOKUP($B28,Database!$B$1:$IX$10144,AI$22,FALSE))=0,"",VLOOKUP($B28,Database!$B$1:$IX$10144,AI$22,FALSE)))</f>
        <v>ns</v>
      </c>
      <c r="AJ28" s="22" t="str">
        <f>IF(OR($B28="",AJ$22=""),"",IF(LEN(VLOOKUP($B28,Database!$B$1:$IX$10144,AJ$22,FALSE))=0,"",VLOOKUP($B28,Database!$B$1:$IX$10144,AJ$22,FALSE)))</f>
        <v/>
      </c>
      <c r="AK28" s="22" t="str">
        <f>IF(OR($B28="",AK$22=""),"",IF(LEN(VLOOKUP($B28,Database!$B$1:$IX$10144,AK$22,FALSE))=0,"",VLOOKUP($B28,Database!$B$1:$IX$10144,AK$22,FALSE)))</f>
        <v>ns</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Novaretti TM, Marcolin MA, Meira S Jr, Gelas PL, Baudelin CG, Bottino CM.</v>
      </c>
      <c r="AR28" s="163"/>
      <c r="AU28" s="22"/>
      <c r="AX28" s="13"/>
      <c r="AY28" s="13"/>
      <c r="BA28" s="23"/>
      <c r="BD28" s="136"/>
      <c r="BE28" s="136"/>
      <c r="BF28" s="136"/>
      <c r="BG28" s="136"/>
    </row>
    <row r="29" spans="1:63">
      <c r="A29" s="13" t="s">
        <v>364</v>
      </c>
      <c r="B29">
        <v>12169341</v>
      </c>
      <c r="C29" s="1" t="str">
        <f>IF($B29="","",HYPERLINK(IF(LEN(VLOOKUP($B29,Database!$B$1:$IX$10144,2,FALSE))=0,"",VLOOKUP($B29,Database!$B$1:$IX$10144,2,FALSE))))</f>
        <v/>
      </c>
      <c r="D29" s="1" t="str">
        <f t="shared" si="0"/>
        <v>http://www.ncbi.nlm.nih.gov/pubmed/12169341</v>
      </c>
      <c r="E29" s="22" t="str">
        <f>IF($B29="","",IF(LEN(VLOOKUP($B29,Database!$B$1:$IX$10144,4,FALSE))=0,"",VLOOKUP($B29,Database!$B$1:$IX$10144,4,FALSE)))</f>
        <v>Tupler LA</v>
      </c>
      <c r="F29" s="22">
        <f>IF($B29="","",IF(LEN(VLOOKUP($B29,Database!$B$1:$IX$10144,5,FALSE))=0,"",VLOOKUP($B29,Database!$B$1:$IX$10144,5,FALSE)))</f>
        <v>2002</v>
      </c>
      <c r="G29" s="1" t="str">
        <f>IF($B29="","",HYPERLINK(IF(LEN(VLOOKUP($B29,Database!$B$1:$IX$10144,6,FALSE))=0,"",VLOOKUP($B29,Database!$B$1:$IX$10144,6,FALSE))))</f>
        <v>http://dx.doi.org/10.1016/S0022-3999(02)00425-7</v>
      </c>
      <c r="H29" s="22">
        <f>IF($B29="","",IF(LEN(VLOOKUP($B29,Database!$B$1:$IX$10144,7,FALSE))=0,"",VLOOKUP($B29,Database!$B$1:$IX$10144,7,FALSE)))</f>
        <v>115</v>
      </c>
      <c r="I29" s="22">
        <f>IF($B29="","",IF(LEN(VLOOKUP($B29,Database!$B$1:$IX$10144,8,FALSE))=0,"",VLOOKUP($B29,Database!$B$1:$IX$10144,8,FALSE)))</f>
        <v>37</v>
      </c>
      <c r="J29" s="13" t="s">
        <v>886</v>
      </c>
      <c r="K29" t="s">
        <v>981</v>
      </c>
      <c r="L29">
        <v>56</v>
      </c>
      <c r="M29">
        <v>59</v>
      </c>
      <c r="N29">
        <f t="shared" si="1"/>
        <v>115</v>
      </c>
      <c r="O29">
        <v>7</v>
      </c>
      <c r="P29">
        <v>30</v>
      </c>
      <c r="Q29">
        <f t="shared" si="2"/>
        <v>37</v>
      </c>
      <c r="R29" s="13">
        <f t="shared" si="3"/>
        <v>115</v>
      </c>
      <c r="S29" s="13">
        <f t="shared" si="4"/>
        <v>37</v>
      </c>
      <c r="U29" s="136">
        <f t="shared" si="5"/>
        <v>48.695652173913047</v>
      </c>
      <c r="V29" s="136">
        <f t="shared" si="6"/>
        <v>18.918918918918919</v>
      </c>
      <c r="Y29" s="22" t="str">
        <f>IF(OR($B29="",Y$22=""),"",IF(LEN(VLOOKUP($B29,Database!$B$1:$IX$10144,Y$22,FALSE))=0,"",VLOOKUP($B29,Database!$B$1:$IX$10144,Y$22,FALSE)))</f>
        <v>DSM-III-R</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66.7</v>
      </c>
      <c r="AC29" s="22">
        <f>IF(OR($B29="",AC$22=""),"",IF(LEN(VLOOKUP($B29,Database!$B$1:$IX$10144,AC$22,FALSE))=0,"",VLOOKUP($B29,Database!$B$1:$IX$10144,AC$22,FALSE)))</f>
        <v>10.9</v>
      </c>
      <c r="AD29" s="22">
        <f>IF(OR($B29="",AD$22=""),"",IF(LEN(VLOOKUP($B29,Database!$B$1:$IX$10144,AD$22,FALSE))=0,"",VLOOKUP($B29,Database!$B$1:$IX$10144,AD$22,FALSE)))</f>
        <v>65.900000000000006</v>
      </c>
      <c r="AE29" s="22">
        <f>IF(OR($B29="",AE$22=""),"",IF(LEN(VLOOKUP($B29,Database!$B$1:$IX$10144,AE$22,FALSE))=0,"",VLOOKUP($B29,Database!$B$1:$IX$10144,AE$22,FALSE)))</f>
        <v>9.4</v>
      </c>
      <c r="AF29" s="22">
        <f>IF(OR($B29="",AF$22=""),"",IF(LEN(VLOOKUP($B29,Database!$B$1:$IX$10144,AF$22,FALSE))=0,"",VLOOKUP($B29,Database!$B$1:$IX$10144,AF$22,FALSE)))</f>
        <v>84</v>
      </c>
      <c r="AG29" s="22">
        <f>IF(OR($B29="",AG$22=""),"",IF(LEN(VLOOKUP($B29,Database!$B$1:$IX$10144,AG$22,FALSE))=0,"",VLOOKUP($B29,Database!$B$1:$IX$10144,AG$22,FALSE)))</f>
        <v>24</v>
      </c>
      <c r="AH29" s="22">
        <f>IF(OR($B29="",AH$22=""),"",IF(LEN(VLOOKUP($B29,Database!$B$1:$IX$10144,AH$22,FALSE))=0,"",VLOOKUP($B29,Database!$B$1:$IX$10144,AH$22,FALSE)))</f>
        <v>1.5</v>
      </c>
      <c r="AI29" s="22">
        <f>IF(OR($B29="",AI$22=""),"",IF(LEN(VLOOKUP($B29,Database!$B$1:$IX$10144,AI$22,FALSE))=0,"",VLOOKUP($B29,Database!$B$1:$IX$10144,AI$22,FALSE)))</f>
        <v>5</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Tupler LA, Krishnan KR, McDonald WM, Dombeck CB, D'Souza S, Steffens DC.</v>
      </c>
      <c r="AR29" s="163"/>
      <c r="AU29" s="22"/>
      <c r="AX29" s="13"/>
      <c r="AY29" s="13"/>
      <c r="BA29" s="23"/>
      <c r="BD29" s="136"/>
      <c r="BE29" s="136"/>
      <c r="BF29" s="136"/>
      <c r="BG29" s="136"/>
    </row>
    <row r="30" spans="1:63">
      <c r="B30">
        <v>14612223</v>
      </c>
      <c r="C30" s="1" t="str">
        <f>IF($B30="","",HYPERLINK(IF(LEN(VLOOKUP($B30,Database!$B$1:$IX$10144,2,FALSE))=0,"",VLOOKUP($B30,Database!$B$1:$IX$10144,2,FALSE))))</f>
        <v/>
      </c>
      <c r="D30" s="1" t="str">
        <f t="shared" si="0"/>
        <v>http://www.ncbi.nlm.nih.gov/pubmed/14612223</v>
      </c>
      <c r="E30" s="22" t="str">
        <f>IF($B30="","",IF(LEN(VLOOKUP($B30,Database!$B$1:$IX$10144,4,FALSE))=0,"",VLOOKUP($B30,Database!$B$1:$IX$10144,4,FALSE)))</f>
        <v>Sassi RB</v>
      </c>
      <c r="F30" s="22">
        <f>IF($B30="","",IF(LEN(VLOOKUP($B30,Database!$B$1:$IX$10144,5,FALSE))=0,"",VLOOKUP($B30,Database!$B$1:$IX$10144,5,FALSE)))</f>
        <v>2003</v>
      </c>
      <c r="G30" s="1" t="str">
        <f>IF($B30="","",HYPERLINK(IF(LEN(VLOOKUP($B30,Database!$B$1:$IX$10144,6,FALSE))=0,"",VLOOKUP($B30,Database!$B$1:$IX$10144,6,FALSE))))</f>
        <v>http://dx.doi.org/10.1016/S0165-0327(02)00170-2</v>
      </c>
      <c r="H30" s="22">
        <f>IF($B30="","",IF(LEN(VLOOKUP($B30,Database!$B$1:$IX$10144,7,FALSE))=0,"",VLOOKUP($B30,Database!$B$1:$IX$10144,7,FALSE)))</f>
        <v>18</v>
      </c>
      <c r="I30" s="22">
        <f>IF($B30="","",IF(LEN(VLOOKUP($B30,Database!$B$1:$IX$10144,8,FALSE))=0,"",VLOOKUP($B30,Database!$B$1:$IX$10144,8,FALSE)))</f>
        <v>38</v>
      </c>
      <c r="J30" t="s">
        <v>697</v>
      </c>
      <c r="K30" s="213" t="s">
        <v>2441</v>
      </c>
      <c r="L30" s="2">
        <v>2</v>
      </c>
      <c r="M30">
        <v>15</v>
      </c>
      <c r="N30">
        <f t="shared" si="1"/>
        <v>18</v>
      </c>
      <c r="O30">
        <v>3</v>
      </c>
      <c r="P30">
        <v>35</v>
      </c>
      <c r="Q30">
        <f t="shared" si="2"/>
        <v>38</v>
      </c>
      <c r="R30" s="13">
        <f t="shared" si="3"/>
        <v>17</v>
      </c>
      <c r="S30" s="13">
        <f t="shared" si="4"/>
        <v>38</v>
      </c>
      <c r="U30" s="136">
        <f t="shared" si="5"/>
        <v>11.111111111111111</v>
      </c>
      <c r="V30" s="136">
        <f t="shared" si="6"/>
        <v>7.8947368421052628</v>
      </c>
      <c r="X30" s="2"/>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42.8</v>
      </c>
      <c r="AC30" s="22">
        <f>IF(OR($B30="",AC$22=""),"",IF(LEN(VLOOKUP($B30,Database!$B$1:$IX$10144,AC$22,FALSE))=0,"",VLOOKUP($B30,Database!$B$1:$IX$10144,AC$22,FALSE)))</f>
        <v>9.1999999999999993</v>
      </c>
      <c r="AD30" s="22">
        <f>IF(OR($B30="",AD$22=""),"",IF(LEN(VLOOKUP($B30,Database!$B$1:$IX$10144,AD$22,FALSE))=0,"",VLOOKUP($B30,Database!$B$1:$IX$10144,AD$22,FALSE)))</f>
        <v>36.799999999999997</v>
      </c>
      <c r="AE30" s="22">
        <f>IF(OR($B30="",AE$22=""),"",IF(LEN(VLOOKUP($B30,Database!$B$1:$IX$10144,AE$22,FALSE))=0,"",VLOOKUP($B30,Database!$B$1:$IX$10144,AE$22,FALSE)))</f>
        <v>9.6999999999999993</v>
      </c>
      <c r="AF30" s="22">
        <f>IF(OR($B30="",AF$22=""),"",IF(LEN(VLOOKUP($B30,Database!$B$1:$IX$10144,AF$22,FALSE))=0,"",VLOOKUP($B30,Database!$B$1:$IX$10144,AF$22,FALSE)))</f>
        <v>16</v>
      </c>
      <c r="AG30" s="22">
        <f>IF(OR($B30="",AG$22=""),"",IF(LEN(VLOOKUP($B30,Database!$B$1:$IX$10144,AG$22,FALSE))=0,"",VLOOKUP($B30,Database!$B$1:$IX$10144,AG$22,FALSE)))</f>
        <v>14</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2">
        <f>IF(OR($B30="",AK$22=""),"",IF(LEN(VLOOKUP($B30,Database!$B$1:$IX$10144,AK$22,FALSE))=0,"",VLOOKUP($B30,Database!$B$1:$IX$10144,AK$22,FALSE)))</f>
        <v>30</v>
      </c>
      <c r="AL30" s="22" t="str">
        <f>IF(OR($B30="",AL$22=""),"",IF(LEN(VLOOKUP($B30,Database!$B$1:$IX$10144,AL$22,FALSE))=0,"",VLOOKUP($B30,Database!$B$1:$IX$10144,AL$22,FALSE)))</f>
        <v>ns</v>
      </c>
      <c r="AM30" s="22">
        <f>IF(OR($B30="",AM$22=""),"",IF(LEN(VLOOKUP($B30,Database!$B$1:$IX$10144,AM$22,FALSE))=0,"",VLOOKUP($B30,Database!$B$1:$IX$10144,AM$22,FALSE)))</f>
        <v>0</v>
      </c>
      <c r="AN30" s="22">
        <f>IF(OR($B30="",AN$22=""),"",IF(LEN(VLOOKUP($B30,Database!$B$1:$IX$10144,AN$22,FALSE))=0,"",VLOOKUP($B30,Database!$B$1:$IX$10144,AN$22,FALSE)))</f>
        <v>0</v>
      </c>
      <c r="AO30" s="22">
        <f>IF(OR($B30="",AO$22=""),"",IF(LEN(VLOOKUP($B30,Database!$B$1:$IX$10144,AO$22,FALSE))=0,"",VLOOKUP($B30,Database!$B$1:$IX$10144,AO$22,FALSE)))</f>
        <v>0</v>
      </c>
      <c r="AP30" s="22">
        <f>IF(OR($B30="",AP$22=""),"",IF(LEN(VLOOKUP($B30,Database!$B$1:$IX$10144,AP$22,FALSE))=0,"",VLOOKUP($B30,Database!$B$1:$IX$10144,AP$22,FALSE)))</f>
        <v>100</v>
      </c>
      <c r="AQ30" s="22" t="str">
        <f>IF(OR($B30="",AQ$22=""),"",IF(LEN(VLOOKUP($B30,Database!$B$1:$IX$10144,AQ$22,FALSE))=0,"",VLOOKUP($B30,Database!$B$1:$IX$10144,AQ$22,FALSE)))</f>
        <v>Sassi RB, Brambilla P, Nicoletti M, Mallinger AG, Frank E, Kupfer DJ, Keshavan MS, Soares JC.</v>
      </c>
      <c r="AR30" s="163"/>
      <c r="AU30" s="22"/>
      <c r="AX30" s="13"/>
      <c r="AY30" s="13"/>
      <c r="BA30" s="23"/>
      <c r="BD30" s="136"/>
      <c r="BE30" s="136"/>
      <c r="BF30" s="136"/>
      <c r="BG30" s="136"/>
    </row>
    <row r="31" spans="1:63">
      <c r="A31" s="13" t="s">
        <v>364</v>
      </c>
      <c r="B31">
        <v>17335636</v>
      </c>
      <c r="C31" s="1" t="str">
        <f>IF($B31="","",HYPERLINK(IF(LEN(VLOOKUP($B31,Database!$B$1:$IX$10144,2,FALSE))=0,"",VLOOKUP($B31,Database!$B$1:$IX$10144,2,FALSE))))</f>
        <v/>
      </c>
      <c r="D31" s="1" t="str">
        <f t="shared" si="0"/>
        <v>http://www.ncbi.nlm.nih.gov/pubmed/17335636</v>
      </c>
      <c r="E31" s="22" t="str">
        <f>IF($B31="","",IF(LEN(VLOOKUP($B31,Database!$B$1:$IX$10144,4,FALSE))=0,"",VLOOKUP($B31,Database!$B$1:$IX$10144,4,FALSE)))</f>
        <v>Taylor WD</v>
      </c>
      <c r="F31" s="22">
        <f>IF($B31="","",IF(LEN(VLOOKUP($B31,Database!$B$1:$IX$10144,5,FALSE))=0,"",VLOOKUP($B31,Database!$B$1:$IX$10144,5,FALSE)))</f>
        <v>2007</v>
      </c>
      <c r="G31" s="1" t="str">
        <f>IF($B31="","",HYPERLINK(IF(LEN(VLOOKUP($B31,Database!$B$1:$IX$10144,6,FALSE))=0,"",VLOOKUP($B31,Database!$B$1:$IX$10144,6,FALSE))))</f>
        <v>http://dx.doi.org/10.1017/S0033291707000128</v>
      </c>
      <c r="H31" s="167">
        <v>224</v>
      </c>
      <c r="I31" s="22">
        <f>IF($B31="","",IF(LEN(VLOOKUP($B31,Database!$B$1:$IX$10144,8,FALSE))=0,"",VLOOKUP($B31,Database!$B$1:$IX$10144,8,FALSE)))</f>
        <v>144</v>
      </c>
      <c r="J31" t="s">
        <v>880</v>
      </c>
      <c r="K31" t="s">
        <v>882</v>
      </c>
      <c r="L31">
        <v>145</v>
      </c>
      <c r="M31">
        <v>79</v>
      </c>
      <c r="N31">
        <f t="shared" si="1"/>
        <v>224</v>
      </c>
      <c r="O31">
        <v>80</v>
      </c>
      <c r="P31">
        <v>64</v>
      </c>
      <c r="Q31">
        <f t="shared" si="2"/>
        <v>144</v>
      </c>
      <c r="R31" s="13">
        <f t="shared" si="3"/>
        <v>224</v>
      </c>
      <c r="S31" s="13">
        <f t="shared" si="4"/>
        <v>144</v>
      </c>
      <c r="U31" s="136">
        <f t="shared" si="5"/>
        <v>64.732142857142861</v>
      </c>
      <c r="V31" s="136">
        <f t="shared" si="6"/>
        <v>55.555555555555557</v>
      </c>
      <c r="X31" s="2"/>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70</v>
      </c>
      <c r="AC31" s="22">
        <f>IF(OR($B31="",AC$22=""),"",IF(LEN(VLOOKUP($B31,Database!$B$1:$IX$10144,AC$22,FALSE))=0,"",VLOOKUP($B31,Database!$B$1:$IX$10144,AC$22,FALSE)))</f>
        <v>7.4</v>
      </c>
      <c r="AD31" s="22">
        <f>IF(OR($B31="",AD$22=""),"",IF(LEN(VLOOKUP($B31,Database!$B$1:$IX$10144,AD$22,FALSE))=0,"",VLOOKUP($B31,Database!$B$1:$IX$10144,AD$22,FALSE)))</f>
        <v>70.3</v>
      </c>
      <c r="AE31" s="22">
        <f>IF(OR($B31="",AE$22=""),"",IF(LEN(VLOOKUP($B31,Database!$B$1:$IX$10144,AE$22,FALSE))=0,"",VLOOKUP($B31,Database!$B$1:$IX$10144,AE$22,FALSE)))</f>
        <v>6.5</v>
      </c>
      <c r="AF31" s="22">
        <f>IF(OR($B31="",AF$22=""),"",IF(LEN(VLOOKUP($B31,Database!$B$1:$IX$10144,AF$22,FALSE))=0,"",VLOOKUP($B31,Database!$B$1:$IX$10144,AF$22,FALSE)))</f>
        <v>150</v>
      </c>
      <c r="AG31" s="22">
        <f>IF(OR($B31="",AG$22=""),"",IF(LEN(VLOOKUP($B31,Database!$B$1:$IX$10144,AG$22,FALSE))=0,"",VLOOKUP($B31,Database!$B$1:$IX$10144,AG$22,FALSE)))</f>
        <v>100</v>
      </c>
      <c r="AH31" s="22">
        <f>IF(OR($B31="",AH$22=""),"",IF(LEN(VLOOKUP($B31,Database!$B$1:$IX$10144,AH$22,FALSE))=0,"",VLOOKUP($B31,Database!$B$1:$IX$10144,AH$22,FALSE)))</f>
        <v>1.5</v>
      </c>
      <c r="AI31" s="22">
        <f>IF(OR($B31="",AI$22=""),"",IF(LEN(VLOOKUP($B31,Database!$B$1:$IX$10144,AI$22,FALSE))=0,"",VLOOKUP($B31,Database!$B$1:$IX$10144,AI$22,FALSE)))</f>
        <v>3</v>
      </c>
      <c r="AJ31" s="22" t="str">
        <f>IF(OR($B31="",AJ$22=""),"",IF(LEN(VLOOKUP($B31,Database!$B$1:$IX$10144,AJ$22,FALSE))=0,"",VLOOKUP($B31,Database!$B$1:$IX$10144,AJ$22,FALSE)))</f>
        <v/>
      </c>
      <c r="AK31" s="22">
        <f>IF(OR($B31="",AK$22=""),"",IF(LEN(VLOOKUP($B31,Database!$B$1:$IX$10144,AK$22,FALSE))=0,"",VLOOKUP($B31,Database!$B$1:$IX$10144,AK$22,FALSE)))</f>
        <v>45.4</v>
      </c>
      <c r="AL31" s="22" t="str">
        <f>IF(OR($B31="",AL$22=""),"",IF(LEN(VLOOKUP($B31,Database!$B$1:$IX$10144,AL$22,FALSE))=0,"",VLOOKUP($B31,Database!$B$1:$IX$10144,AL$22,FALSE)))</f>
        <v>ns</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Taylor WD, Macfall JR, Payne ME, McQuoid DR, Steffens DC, Provenzale JM, Krishnan KR.</v>
      </c>
      <c r="AR31" s="163"/>
      <c r="AU31" s="22"/>
      <c r="AX31" s="13"/>
      <c r="AY31" s="13"/>
      <c r="BA31" s="23"/>
      <c r="BD31" s="136"/>
      <c r="BE31" s="136"/>
      <c r="BF31" s="136"/>
      <c r="BG31" s="136"/>
    </row>
    <row r="32" spans="1:63">
      <c r="C32" s="1"/>
      <c r="D32" s="1"/>
      <c r="E32" s="22"/>
      <c r="F32" s="22"/>
      <c r="G32" s="1"/>
      <c r="H32" s="83"/>
      <c r="I32" s="22"/>
      <c r="R32" s="13"/>
      <c r="S32" s="13"/>
      <c r="U32" s="136"/>
      <c r="V32" s="136"/>
      <c r="Y32" s="22"/>
      <c r="Z32" s="22"/>
      <c r="AA32" s="22"/>
      <c r="AB32" s="22"/>
      <c r="AC32" s="22"/>
      <c r="AD32" s="22"/>
      <c r="AE32" s="22"/>
      <c r="AF32" s="22"/>
      <c r="AG32" s="22"/>
      <c r="AH32" s="22"/>
      <c r="AI32" s="22"/>
      <c r="AJ32" s="22"/>
      <c r="AK32" s="22"/>
      <c r="AL32" s="22"/>
      <c r="AM32" s="22"/>
      <c r="AN32" s="22"/>
      <c r="AO32" s="22"/>
      <c r="AP32" s="22"/>
      <c r="AQ32" s="22"/>
    </row>
    <row r="33" spans="1:51">
      <c r="A33" s="4" t="s">
        <v>1090</v>
      </c>
      <c r="C33" s="1"/>
      <c r="D33" s="1"/>
      <c r="E33" s="22"/>
      <c r="F33" s="22"/>
      <c r="G33" s="1"/>
      <c r="H33" s="83"/>
      <c r="I33" s="22" t="str">
        <f>IF($B33="","",IF(LEN(VLOOKUP($B33,Database!$B$1:$IX$10144,8,FALSE))=0,"",VLOOKUP($B33,Database!$B$1:$IX$10144,8,FALSE)))</f>
        <v/>
      </c>
      <c r="R33" s="13"/>
      <c r="S33" s="13"/>
      <c r="U33" s="136"/>
      <c r="V33" s="136"/>
      <c r="Y33" s="22"/>
      <c r="Z33" s="22"/>
      <c r="AA33" s="22"/>
      <c r="AB33" s="22"/>
      <c r="AC33" s="22"/>
      <c r="AD33" s="22"/>
      <c r="AE33" s="22"/>
      <c r="AF33" s="22"/>
      <c r="AG33" s="22"/>
      <c r="AH33" s="22"/>
      <c r="AI33" s="22"/>
      <c r="AJ33" s="22"/>
      <c r="AK33" s="22"/>
      <c r="AL33" s="22"/>
      <c r="AM33" s="22"/>
      <c r="AN33" s="22"/>
      <c r="AO33" s="22"/>
      <c r="AP33" s="22"/>
      <c r="AQ33" s="22"/>
    </row>
    <row r="34" spans="1:51">
      <c r="A34" s="10" t="s">
        <v>365</v>
      </c>
      <c r="B34">
        <v>12946881</v>
      </c>
      <c r="C34" s="1" t="str">
        <f>IF($B34="","",HYPERLINK(IF(LEN(VLOOKUP($B34,Database!$B$1:$IX$10144,2,FALSE))=0,"",VLOOKUP($B34,Database!$B$1:$IX$10144,2,FALSE))))</f>
        <v/>
      </c>
      <c r="D34" s="1" t="str">
        <f>IF($B34="","",HYPERLINK(CONCATENATE("http://www.ncbi.nlm.nih.gov/pubmed/",B34)))</f>
        <v>http://www.ncbi.nlm.nih.gov/pubmed/12946881</v>
      </c>
      <c r="E34" s="22" t="str">
        <f>IF($B34="","",IF(LEN(VLOOKUP($B34,Database!$B$1:$IX$10144,4,FALSE))=0,"",VLOOKUP($B34,Database!$B$1:$IX$10144,4,FALSE)))</f>
        <v>Lee SH</v>
      </c>
      <c r="F34" s="22">
        <f>IF($B34="","",IF(LEN(VLOOKUP($B34,Database!$B$1:$IX$10144,5,FALSE))=0,"",VLOOKUP($B34,Database!$B$1:$IX$10144,5,FALSE)))</f>
        <v>2003</v>
      </c>
      <c r="G34" s="1" t="str">
        <f>IF($B34="","",HYPERLINK(IF(LEN(VLOOKUP($B34,Database!$B$1:$IX$10144,6,FALSE))=0,"",VLOOKUP($B34,Database!$B$1:$IX$10144,6,FALSE))))</f>
        <v>http://dx.doi.org/10.1016/S0006-3223(03)00063-5</v>
      </c>
      <c r="H34" s="22">
        <f>IF($B34="","",IF(LEN(VLOOKUP($B34,Database!$B$1:$IX$10144,7,FALSE))=0,"",VLOOKUP($B34,Database!$B$1:$IX$10144,7,FALSE)))</f>
        <v>41</v>
      </c>
      <c r="I34" s="22">
        <f>IF($B34="","",IF(LEN(VLOOKUP($B34,Database!$B$1:$IX$10144,8,FALSE))=0,"",VLOOKUP($B34,Database!$B$1:$IX$10144,8,FALSE)))</f>
        <v>41</v>
      </c>
      <c r="J34" t="s">
        <v>696</v>
      </c>
      <c r="K34" t="s">
        <v>685</v>
      </c>
      <c r="L34" s="2">
        <v>25</v>
      </c>
      <c r="M34">
        <v>13</v>
      </c>
      <c r="N34">
        <f>H34</f>
        <v>41</v>
      </c>
      <c r="O34">
        <v>28</v>
      </c>
      <c r="P34">
        <v>13</v>
      </c>
      <c r="Q34">
        <f>I34</f>
        <v>41</v>
      </c>
      <c r="R34" s="13">
        <f>L34+M34</f>
        <v>38</v>
      </c>
      <c r="S34" s="13">
        <f>P34+O34</f>
        <v>41</v>
      </c>
      <c r="U34" s="136">
        <f>100*L34/N34</f>
        <v>60.975609756097562</v>
      </c>
      <c r="V34" s="136">
        <f>100*O34/Q34</f>
        <v>68.292682926829272</v>
      </c>
      <c r="Y34" s="22" t="str">
        <f>IF(OR($B34="",Y$22=""),"",IF(LEN(VLOOKUP($B34,Database!$B$1:$IX$10144,Y$22,FALSE))=0,"",VLOOKUP($B34,Database!$B$1:$IX$10144,Y$22,FALSE)))</f>
        <v>DSM-IV</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68.73</v>
      </c>
      <c r="AC34" s="22">
        <f>IF(OR($B34="",AC$22=""),"",IF(LEN(VLOOKUP($B34,Database!$B$1:$IX$10144,AC$22,FALSE))=0,"",VLOOKUP($B34,Database!$B$1:$IX$10144,AC$22,FALSE)))</f>
        <v>6.98</v>
      </c>
      <c r="AD34" s="22">
        <f>IF(OR($B34="",AD$22=""),"",IF(LEN(VLOOKUP($B34,Database!$B$1:$IX$10144,AD$22,FALSE))=0,"",VLOOKUP($B34,Database!$B$1:$IX$10144,AD$22,FALSE)))</f>
        <v>71.150000000000006</v>
      </c>
      <c r="AE34" s="22">
        <f>IF(OR($B34="",AE$22=""),"",IF(LEN(VLOOKUP($B34,Database!$B$1:$IX$10144,AE$22,FALSE))=0,"",VLOOKUP($B34,Database!$B$1:$IX$10144,AE$22,FALSE)))</f>
        <v>6.25</v>
      </c>
      <c r="AF34" s="22">
        <f>IF(OR($B34="",AF$22=""),"",IF(LEN(VLOOKUP($B34,Database!$B$1:$IX$10144,AF$22,FALSE))=0,"",VLOOKUP($B34,Database!$B$1:$IX$10144,AF$22,FALSE)))</f>
        <v>21</v>
      </c>
      <c r="AG34" s="22">
        <f>IF(OR($B34="",AG$22=""),"",IF(LEN(VLOOKUP($B34,Database!$B$1:$IX$10144,AG$22,FALSE))=0,"",VLOOKUP($B34,Database!$B$1:$IX$10144,AG$22,FALSE)))</f>
        <v>34</v>
      </c>
      <c r="AH34" s="22">
        <f>IF(OR($B34="",AH$22=""),"",IF(LEN(VLOOKUP($B34,Database!$B$1:$IX$10144,AH$22,FALSE))=0,"",VLOOKUP($B34,Database!$B$1:$IX$10144,AH$22,FALSE)))</f>
        <v>1.5</v>
      </c>
      <c r="AI34" s="22" t="str">
        <f>IF(OR($B34="",AI$22=""),"",IF(LEN(VLOOKUP($B34,Database!$B$1:$IX$10144,AI$22,FALSE))=0,"",VLOOKUP($B34,Database!$B$1:$IX$10144,AI$22,FALSE)))</f>
        <v>ns</v>
      </c>
      <c r="AJ34" s="22" t="str">
        <f>IF(OR($B34="",AJ$22=""),"",IF(LEN(VLOOKUP($B34,Database!$B$1:$IX$10144,AJ$22,FALSE))=0,"",VLOOKUP($B34,Database!$B$1:$IX$10144,AJ$22,FALSE)))</f>
        <v/>
      </c>
      <c r="AK34" s="22">
        <f>IF(OR($B34="",AK$22=""),"",IF(LEN(VLOOKUP($B34,Database!$B$1:$IX$10144,AK$22,FALSE))=0,"",VLOOKUP($B34,Database!$B$1:$IX$10144,AK$22,FALSE)))</f>
        <v>47.92</v>
      </c>
      <c r="AL34" s="22">
        <f>IF(OR($B34="",AL$22=""),"",IF(LEN(VLOOKUP($B34,Database!$B$1:$IX$10144,AL$22,FALSE))=0,"",VLOOKUP($B34,Database!$B$1:$IX$10144,AL$22,FALSE)))</f>
        <v>20.2</v>
      </c>
      <c r="AM34" s="22">
        <f>IF(OR($B34="",AM$22=""),"",IF(LEN(VLOOKUP($B34,Database!$B$1:$IX$10144,AM$22,FALSE))=0,"",VLOOKUP($B34,Database!$B$1:$IX$10144,AM$22,FALSE)))</f>
        <v>56.09756097560976</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Lee SH, Payne ME, Steffens DC, McQuoid DR, Lai TJ, Provenzale JM, Krishnan KR.</v>
      </c>
      <c r="AS34" s="136"/>
      <c r="AT34" s="136"/>
    </row>
    <row r="35" spans="1:51">
      <c r="AF35" t="s">
        <v>602</v>
      </c>
      <c r="AJ35" t="s">
        <v>329</v>
      </c>
      <c r="AN35" t="s">
        <v>330</v>
      </c>
    </row>
    <row r="36" spans="1:51" ht="45" customHeight="1">
      <c r="E36" s="60" t="s">
        <v>617</v>
      </c>
      <c r="F36" s="60" t="s">
        <v>740</v>
      </c>
      <c r="G36" s="60" t="s">
        <v>244</v>
      </c>
      <c r="H36" s="60" t="s">
        <v>1208</v>
      </c>
      <c r="I36" s="60" t="s">
        <v>870</v>
      </c>
      <c r="J36" s="60" t="s">
        <v>871</v>
      </c>
      <c r="K36" s="60" t="s">
        <v>872</v>
      </c>
      <c r="L36" s="60" t="s">
        <v>873</v>
      </c>
      <c r="M36" s="60" t="s">
        <v>874</v>
      </c>
      <c r="N36" s="60" t="s">
        <v>875</v>
      </c>
      <c r="O36" s="60" t="s">
        <v>1016</v>
      </c>
      <c r="P36" s="61" t="s">
        <v>597</v>
      </c>
      <c r="Q36" s="61" t="s">
        <v>598</v>
      </c>
      <c r="R36" s="61" t="s">
        <v>599</v>
      </c>
      <c r="S36" s="61" t="s">
        <v>600</v>
      </c>
      <c r="T36" s="61" t="s">
        <v>601</v>
      </c>
      <c r="U36" s="61" t="s">
        <v>484</v>
      </c>
      <c r="V36" s="61" t="s">
        <v>485</v>
      </c>
      <c r="W36" s="61" t="s">
        <v>486</v>
      </c>
      <c r="AF36" s="61" t="s">
        <v>596</v>
      </c>
      <c r="AG36" s="62" t="s">
        <v>834</v>
      </c>
      <c r="AH36" s="62" t="s">
        <v>835</v>
      </c>
      <c r="AJ36" s="61" t="s">
        <v>836</v>
      </c>
      <c r="AK36" s="61" t="s">
        <v>837</v>
      </c>
      <c r="AL36" s="61" t="s">
        <v>487</v>
      </c>
      <c r="AN36" t="s">
        <v>488</v>
      </c>
      <c r="AO36" t="s">
        <v>489</v>
      </c>
      <c r="AP36" t="s">
        <v>490</v>
      </c>
      <c r="AQ36" t="s">
        <v>1008</v>
      </c>
      <c r="AR36" t="s">
        <v>1009</v>
      </c>
      <c r="AS36" t="s">
        <v>1010</v>
      </c>
      <c r="AT36" t="s">
        <v>1011</v>
      </c>
      <c r="AU36" t="s">
        <v>1012</v>
      </c>
      <c r="AV36" t="s">
        <v>1013</v>
      </c>
      <c r="AW36" t="s">
        <v>1014</v>
      </c>
      <c r="AX36" t="s">
        <v>1015</v>
      </c>
      <c r="AY36" t="s">
        <v>499</v>
      </c>
    </row>
    <row r="37" spans="1:51">
      <c r="E37" t="str">
        <f t="shared" ref="E37:F39" si="7">E24</f>
        <v>Coffey CE</v>
      </c>
      <c r="F37">
        <f t="shared" si="7"/>
        <v>1990</v>
      </c>
      <c r="G37">
        <v>8</v>
      </c>
      <c r="H37">
        <f t="shared" ref="H37:M39" si="8">L24</f>
        <v>14</v>
      </c>
      <c r="I37">
        <f t="shared" si="8"/>
        <v>21</v>
      </c>
      <c r="J37">
        <f t="shared" si="8"/>
        <v>35</v>
      </c>
      <c r="K37">
        <f t="shared" si="8"/>
        <v>1</v>
      </c>
      <c r="L37">
        <f t="shared" si="8"/>
        <v>21</v>
      </c>
      <c r="M37">
        <f t="shared" si="8"/>
        <v>22</v>
      </c>
      <c r="N37">
        <f t="shared" ref="N37:N43" si="9">IF(OR(H37=0,I37=0,K37=0,L37=0),((H37+0.5)*(L37+0.5))/((I37+0.5)*(K37+0.5)),((H37)*(L37))/((I37)*(K37)))</f>
        <v>14</v>
      </c>
      <c r="O37" s="59">
        <f t="shared" ref="O37:O44" si="10">LN(N37)</f>
        <v>2.6390573296152584</v>
      </c>
      <c r="P37" s="59">
        <f t="shared" ref="P37:P44" si="11">IF(OR(H37=0,I37=0,K37=0,L37=0),(1/(H37+0.5))+(1/(I37+0.5))+(1/(K37+0.5))+(1/(L37+0.5)),(1/H37)+(1/I37)+(1/K37)+(1/L37))</f>
        <v>1.1666666666666667</v>
      </c>
      <c r="Q37" s="59">
        <f t="shared" ref="Q37:Q44" si="12">$R$61*SQRT(P37)</f>
        <v>2.117041961479901</v>
      </c>
      <c r="R37" s="59">
        <f t="shared" ref="R37:R44" si="13">1/P37</f>
        <v>0.8571428571428571</v>
      </c>
      <c r="S37" s="59">
        <f t="shared" ref="S37:S44" si="14">O37*R37</f>
        <v>2.2620491396702214</v>
      </c>
      <c r="T37" s="59">
        <f t="shared" ref="T37:T44" si="15">R37*(O37^2)</f>
        <v>5.9696773619965873</v>
      </c>
      <c r="U37" s="59">
        <f t="shared" ref="U37:U44" si="16">R37^2</f>
        <v>0.73469387755102034</v>
      </c>
      <c r="V37" s="59">
        <f t="shared" ref="V37:V44" si="17">1/((1/R37)+$I$58)</f>
        <v>0.7118297796835823</v>
      </c>
      <c r="W37" s="59">
        <f t="shared" ref="W37:W44" si="18">V37*O37</f>
        <v>1.8785595975123723</v>
      </c>
      <c r="AF37" s="59">
        <f t="shared" ref="AF37:AF44" si="19">IF($D$3=1,EXP(O37),O37)</f>
        <v>13.999999999999996</v>
      </c>
      <c r="AG37" s="59">
        <f t="shared" ref="AG37:AG44" si="20">IF($D$3=1,EXP(O37+Q37)-EXP(O37),Q37)</f>
        <v>102.29142104808567</v>
      </c>
      <c r="AH37" s="59">
        <f t="shared" ref="AH37:AH44" si="21">IF($D$3=1,EXP(O37)-EXP(O37-Q37),Q37)</f>
        <v>12.314579027123973</v>
      </c>
      <c r="AJ37">
        <f t="shared" ref="AJ37:AJ44" si="22">SQRT(P37)</f>
        <v>1.0801234497346435</v>
      </c>
      <c r="AK37">
        <f t="shared" ref="AK37:AK44" si="23">1/AJ37</f>
        <v>0.92582009977255142</v>
      </c>
      <c r="AL37">
        <f t="shared" ref="AL37:AL44" si="24">O37/AJ37</f>
        <v>2.4432923202098817</v>
      </c>
      <c r="AN37" t="str">
        <f t="shared" ref="AN37:AN44" si="25">E37</f>
        <v>Coffey CE</v>
      </c>
      <c r="AO37">
        <f t="shared" ref="AO37:AO44" si="26">F37</f>
        <v>1990</v>
      </c>
      <c r="AP37" t="str">
        <f t="shared" ref="AP37:AP44" si="27">CONCATENATE(AN37," ",AO37)</f>
        <v>Coffey CE 1990</v>
      </c>
      <c r="AQ37">
        <f t="shared" ref="AQ37:AV37" si="28">H37</f>
        <v>14</v>
      </c>
      <c r="AR37">
        <f t="shared" si="28"/>
        <v>21</v>
      </c>
      <c r="AS37">
        <f t="shared" si="28"/>
        <v>35</v>
      </c>
      <c r="AT37">
        <f t="shared" si="28"/>
        <v>1</v>
      </c>
      <c r="AU37">
        <f t="shared" si="28"/>
        <v>21</v>
      </c>
      <c r="AV37">
        <f t="shared" si="28"/>
        <v>22</v>
      </c>
      <c r="AW37" s="65">
        <f t="shared" ref="AW37:AW44" si="29">O37</f>
        <v>2.6390573296152584</v>
      </c>
      <c r="AX37">
        <f t="shared" ref="AX37:AX44" si="30">SQRT(P37)</f>
        <v>1.0801234497346435</v>
      </c>
      <c r="AY37" t="str">
        <f>$F$3</f>
        <v>Odds ratio</v>
      </c>
    </row>
    <row r="38" spans="1:51">
      <c r="E38" t="str">
        <f t="shared" si="7"/>
        <v>Lisanby SH</v>
      </c>
      <c r="F38">
        <f t="shared" si="7"/>
        <v>1993</v>
      </c>
      <c r="G38">
        <v>7</v>
      </c>
      <c r="H38">
        <f t="shared" si="8"/>
        <v>5</v>
      </c>
      <c r="I38">
        <f t="shared" si="8"/>
        <v>16</v>
      </c>
      <c r="J38">
        <f t="shared" si="8"/>
        <v>21</v>
      </c>
      <c r="K38">
        <f t="shared" si="8"/>
        <v>5</v>
      </c>
      <c r="L38">
        <f t="shared" si="8"/>
        <v>16</v>
      </c>
      <c r="M38">
        <f t="shared" si="8"/>
        <v>21</v>
      </c>
      <c r="N38">
        <f>IF(OR(H38=0,I38=0,K38=0,L38=0),((H38+0.5)*(L38+0.5))/((I38+0.5)*(K38+0.5)),((H38)*(L38))/((I38)*(K38)))</f>
        <v>1</v>
      </c>
      <c r="O38" s="59">
        <f t="shared" si="10"/>
        <v>0</v>
      </c>
      <c r="P38" s="59">
        <f>IF(OR(H38=0,I38=0,K38=0,L38=0),(1/(H38+0.5))+(1/(I38+0.5))+(1/(K38+0.5))+(1/(L38+0.5)),(1/H38)+(1/I38)+(1/K38)+(1/L38))</f>
        <v>0.52500000000000002</v>
      </c>
      <c r="Q38" s="59">
        <f t="shared" si="12"/>
        <v>1.4201549211265649</v>
      </c>
      <c r="R38" s="59">
        <f>1/P38</f>
        <v>1.9047619047619047</v>
      </c>
      <c r="S38" s="59">
        <f>O38*R38</f>
        <v>0</v>
      </c>
      <c r="T38" s="59">
        <f>R38*(O38^2)</f>
        <v>0</v>
      </c>
      <c r="U38" s="59">
        <f>R38^2</f>
        <v>3.6281179138321993</v>
      </c>
      <c r="V38" s="59">
        <f t="shared" si="17"/>
        <v>1.3103350780480056</v>
      </c>
      <c r="W38" s="59">
        <f>V38*O38</f>
        <v>0</v>
      </c>
      <c r="AF38" s="59">
        <f>IF($D$3=1,EXP(O38),O38)</f>
        <v>1</v>
      </c>
      <c r="AG38" s="59">
        <f>IF($D$3=1,EXP(O38+Q38)-EXP(O38),Q38)</f>
        <v>3.1377614172598891</v>
      </c>
      <c r="AH38" s="59">
        <f>IF($D$3=1,EXP(O38)-EXP(O38-Q38),Q38)</f>
        <v>0.7583234268102822</v>
      </c>
      <c r="AJ38">
        <f>SQRT(P38)</f>
        <v>0.72456883730947197</v>
      </c>
      <c r="AK38">
        <f t="shared" si="23"/>
        <v>1.3801311186847083</v>
      </c>
      <c r="AL38">
        <f>O38/AJ38</f>
        <v>0</v>
      </c>
      <c r="AN38" t="str">
        <f>E38</f>
        <v>Lisanby SH</v>
      </c>
      <c r="AO38">
        <f>F38</f>
        <v>1993</v>
      </c>
      <c r="AP38" t="str">
        <f>CONCATENATE(AN38," ",AO38)</f>
        <v>Lisanby SH 1993</v>
      </c>
      <c r="AQ38">
        <f t="shared" ref="AQ38:AQ44" si="31">H38</f>
        <v>5</v>
      </c>
      <c r="AR38">
        <f t="shared" ref="AR38:AR44" si="32">I38</f>
        <v>16</v>
      </c>
      <c r="AS38">
        <f t="shared" ref="AS38:AS44" si="33">J38</f>
        <v>21</v>
      </c>
      <c r="AT38">
        <f t="shared" ref="AT38:AT44" si="34">K38</f>
        <v>5</v>
      </c>
      <c r="AU38">
        <f t="shared" ref="AU38:AU44" si="35">L38</f>
        <v>16</v>
      </c>
      <c r="AV38">
        <f t="shared" ref="AV38:AV44" si="36">M38</f>
        <v>21</v>
      </c>
      <c r="AW38" s="65">
        <f>O38</f>
        <v>0</v>
      </c>
      <c r="AX38">
        <f>SQRT(P38)</f>
        <v>0.72456883730947197</v>
      </c>
    </row>
    <row r="39" spans="1:51">
      <c r="E39" t="str">
        <f t="shared" si="7"/>
        <v>Miller DS</v>
      </c>
      <c r="F39">
        <f t="shared" si="7"/>
        <v>1994</v>
      </c>
      <c r="G39">
        <v>6</v>
      </c>
      <c r="H39">
        <f t="shared" si="8"/>
        <v>0</v>
      </c>
      <c r="I39">
        <f t="shared" si="8"/>
        <v>19</v>
      </c>
      <c r="J39">
        <f t="shared" si="8"/>
        <v>19</v>
      </c>
      <c r="K39">
        <f t="shared" si="8"/>
        <v>2</v>
      </c>
      <c r="L39">
        <f t="shared" si="8"/>
        <v>21</v>
      </c>
      <c r="M39">
        <f t="shared" si="8"/>
        <v>23</v>
      </c>
      <c r="N39">
        <f>IF(OR(H39=0,I39=0,K39=0,L39=0),((H39+0.5)*(L39+0.5))/((I39+0.5)*(K39+0.5)),((H39)*(L39))/((I39)*(K39)))</f>
        <v>0.22051282051282051</v>
      </c>
      <c r="O39" s="59">
        <f t="shared" si="10"/>
        <v>-1.5117994428701844</v>
      </c>
      <c r="P39" s="59">
        <f>IF(OR(H39=0,I39=0,K39=0,L39=0),(1/(H39+0.5))+(1/(I39+0.5))+(1/(K39+0.5))+(1/(L39+0.5)),(1/H39)+(1/I39)+(1/K39)+(1/L39))</f>
        <v>2.4977936791890278</v>
      </c>
      <c r="Q39" s="59">
        <f t="shared" si="12"/>
        <v>3.0976643133129467</v>
      </c>
      <c r="R39" s="59">
        <f>1/P39</f>
        <v>0.40035332314744082</v>
      </c>
      <c r="S39" s="59">
        <f>O39*R39</f>
        <v>-0.60525393088552792</v>
      </c>
      <c r="T39" s="59">
        <f>R39*(O39^2)</f>
        <v>0.91502255550773026</v>
      </c>
      <c r="U39" s="59">
        <f>R39^2</f>
        <v>0.16028278335519919</v>
      </c>
      <c r="V39" s="59">
        <f t="shared" si="17"/>
        <v>0.36550278671101766</v>
      </c>
      <c r="W39" s="59">
        <f>V39*O39</f>
        <v>-0.5525669093172163</v>
      </c>
      <c r="AF39" s="59">
        <f>IF($D$3=1,EXP(O39),O39)</f>
        <v>0.22051282051282051</v>
      </c>
      <c r="AG39" s="59">
        <f>IF($D$3=1,EXP(O39+Q39)-EXP(O39),Q39)</f>
        <v>4.6630003382781426</v>
      </c>
      <c r="AH39" s="59">
        <f>IF($D$3=1,EXP(O39)-EXP(O39-Q39),Q39)</f>
        <v>0.21055566417282245</v>
      </c>
      <c r="AJ39">
        <f>SQRT(P39)</f>
        <v>1.5804409761800748</v>
      </c>
      <c r="AK39">
        <f t="shared" si="23"/>
        <v>0.63273479685207834</v>
      </c>
      <c r="AL39">
        <f>O39/AJ39</f>
        <v>-0.95656811336555136</v>
      </c>
      <c r="AN39" t="str">
        <f>E39</f>
        <v>Miller DS</v>
      </c>
      <c r="AO39">
        <f>F39</f>
        <v>1994</v>
      </c>
      <c r="AP39" t="str">
        <f>CONCATENATE(AN39," ",AO39)</f>
        <v>Miller DS 1994</v>
      </c>
      <c r="AQ39">
        <f t="shared" si="31"/>
        <v>0</v>
      </c>
      <c r="AR39">
        <f t="shared" si="32"/>
        <v>19</v>
      </c>
      <c r="AS39">
        <f t="shared" si="33"/>
        <v>19</v>
      </c>
      <c r="AT39">
        <f t="shared" si="34"/>
        <v>2</v>
      </c>
      <c r="AU39">
        <f t="shared" si="35"/>
        <v>21</v>
      </c>
      <c r="AV39">
        <f t="shared" si="36"/>
        <v>23</v>
      </c>
      <c r="AW39" s="65">
        <f>O39</f>
        <v>-1.5117994428701844</v>
      </c>
      <c r="AX39">
        <f>SQRT(P39)</f>
        <v>1.5804409761800748</v>
      </c>
    </row>
    <row r="40" spans="1:51">
      <c r="E40" t="str">
        <f t="shared" ref="E40:F42" si="37">E27</f>
        <v>Kramer-Ginsberg E</v>
      </c>
      <c r="F40">
        <f t="shared" si="37"/>
        <v>1999</v>
      </c>
      <c r="G40">
        <v>5</v>
      </c>
      <c r="H40">
        <f t="shared" ref="H40:M42" si="38">L27</f>
        <v>12</v>
      </c>
      <c r="I40">
        <f t="shared" si="38"/>
        <v>29</v>
      </c>
      <c r="J40">
        <f t="shared" si="38"/>
        <v>41</v>
      </c>
      <c r="K40">
        <f t="shared" si="38"/>
        <v>6</v>
      </c>
      <c r="L40">
        <f t="shared" si="38"/>
        <v>32</v>
      </c>
      <c r="M40">
        <f t="shared" si="38"/>
        <v>38</v>
      </c>
      <c r="N40">
        <f t="shared" si="9"/>
        <v>2.2068965517241379</v>
      </c>
      <c r="O40" s="59">
        <f t="shared" si="10"/>
        <v>0.7915872533731978</v>
      </c>
      <c r="P40" s="59">
        <f t="shared" si="11"/>
        <v>0.31573275862068961</v>
      </c>
      <c r="Q40" s="59">
        <f t="shared" si="12"/>
        <v>1.1013260032875103</v>
      </c>
      <c r="R40" s="59">
        <f t="shared" si="13"/>
        <v>3.1672354948805466</v>
      </c>
      <c r="S40" s="59">
        <f t="shared" si="14"/>
        <v>2.5071432461785927</v>
      </c>
      <c r="T40" s="59">
        <f t="shared" si="15"/>
        <v>1.9846226360556751</v>
      </c>
      <c r="U40" s="59">
        <f t="shared" si="16"/>
        <v>10.031380680031221</v>
      </c>
      <c r="V40" s="59">
        <f t="shared" si="17"/>
        <v>1.8053919892567691</v>
      </c>
      <c r="W40" s="59">
        <f t="shared" si="18"/>
        <v>1.4291252860377397</v>
      </c>
      <c r="AF40" s="59">
        <f t="shared" si="19"/>
        <v>2.2068965517241379</v>
      </c>
      <c r="AG40" s="59">
        <f t="shared" si="20"/>
        <v>4.4317841660199067</v>
      </c>
      <c r="AH40" s="59">
        <f t="shared" si="21"/>
        <v>1.4732579573880411</v>
      </c>
      <c r="AJ40">
        <f t="shared" si="22"/>
        <v>0.56190102208546444</v>
      </c>
      <c r="AK40">
        <f t="shared" si="23"/>
        <v>1.779672861758741</v>
      </c>
      <c r="AL40">
        <f t="shared" si="24"/>
        <v>1.4087663525424206</v>
      </c>
      <c r="AN40" t="str">
        <f t="shared" si="25"/>
        <v>Kramer-Ginsberg E</v>
      </c>
      <c r="AO40">
        <f t="shared" si="26"/>
        <v>1999</v>
      </c>
      <c r="AP40" t="str">
        <f t="shared" si="27"/>
        <v>Kramer-Ginsberg E 1999</v>
      </c>
      <c r="AQ40">
        <f t="shared" si="31"/>
        <v>12</v>
      </c>
      <c r="AR40">
        <f t="shared" si="32"/>
        <v>29</v>
      </c>
      <c r="AS40">
        <f t="shared" si="33"/>
        <v>41</v>
      </c>
      <c r="AT40">
        <f t="shared" si="34"/>
        <v>6</v>
      </c>
      <c r="AU40">
        <f t="shared" si="35"/>
        <v>32</v>
      </c>
      <c r="AV40">
        <f t="shared" si="36"/>
        <v>38</v>
      </c>
      <c r="AW40" s="65">
        <f t="shared" si="29"/>
        <v>0.7915872533731978</v>
      </c>
      <c r="AX40">
        <f t="shared" si="30"/>
        <v>0.56190102208546444</v>
      </c>
      <c r="AY40" t="str">
        <f>$F$4</f>
        <v>Total</v>
      </c>
    </row>
    <row r="41" spans="1:51">
      <c r="E41" t="str">
        <f t="shared" si="37"/>
        <v>Novaretti TM</v>
      </c>
      <c r="F41">
        <f t="shared" si="37"/>
        <v>2001</v>
      </c>
      <c r="G41">
        <v>4</v>
      </c>
      <c r="H41">
        <f t="shared" si="38"/>
        <v>28</v>
      </c>
      <c r="I41">
        <f t="shared" si="38"/>
        <v>2</v>
      </c>
      <c r="J41">
        <f t="shared" si="38"/>
        <v>30</v>
      </c>
      <c r="K41">
        <f t="shared" si="38"/>
        <v>20</v>
      </c>
      <c r="L41">
        <f t="shared" si="38"/>
        <v>0</v>
      </c>
      <c r="M41">
        <f t="shared" si="38"/>
        <v>20</v>
      </c>
      <c r="N41">
        <f t="shared" si="9"/>
        <v>0.2780487804878049</v>
      </c>
      <c r="O41" s="59">
        <f t="shared" si="10"/>
        <v>-1.279958711303858</v>
      </c>
      <c r="P41" s="59">
        <f t="shared" si="11"/>
        <v>2.4838682071031237</v>
      </c>
      <c r="Q41" s="59">
        <f t="shared" si="12"/>
        <v>3.0890173363720965</v>
      </c>
      <c r="R41" s="59">
        <f t="shared" si="13"/>
        <v>0.40259785005512677</v>
      </c>
      <c r="S41" s="59">
        <f t="shared" si="14"/>
        <v>-0.51530862533026389</v>
      </c>
      <c r="T41" s="59">
        <f t="shared" si="15"/>
        <v>0.65957376400148715</v>
      </c>
      <c r="U41" s="59">
        <f t="shared" si="16"/>
        <v>0.16208502886901033</v>
      </c>
      <c r="V41" s="59">
        <f t="shared" si="17"/>
        <v>0.36737263955067034</v>
      </c>
      <c r="W41" s="59">
        <f t="shared" si="18"/>
        <v>-0.47022181028757276</v>
      </c>
      <c r="AF41" s="59">
        <f t="shared" si="19"/>
        <v>0.2780487804878049</v>
      </c>
      <c r="AG41" s="59">
        <f t="shared" si="20"/>
        <v>5.8266491363576787</v>
      </c>
      <c r="AH41" s="59">
        <f t="shared" si="21"/>
        <v>0.26538457901807766</v>
      </c>
      <c r="AJ41">
        <f t="shared" si="22"/>
        <v>1.5760292532510696</v>
      </c>
      <c r="AK41">
        <f t="shared" si="23"/>
        <v>0.63450598898286747</v>
      </c>
      <c r="AL41">
        <f t="shared" si="24"/>
        <v>-0.81214146797309095</v>
      </c>
      <c r="AN41" t="str">
        <f t="shared" si="25"/>
        <v>Novaretti TM</v>
      </c>
      <c r="AO41">
        <f t="shared" si="26"/>
        <v>2001</v>
      </c>
      <c r="AP41" t="str">
        <f t="shared" si="27"/>
        <v>Novaretti TM 2001</v>
      </c>
      <c r="AQ41">
        <f t="shared" si="31"/>
        <v>28</v>
      </c>
      <c r="AR41">
        <f t="shared" si="32"/>
        <v>2</v>
      </c>
      <c r="AS41">
        <f t="shared" si="33"/>
        <v>30</v>
      </c>
      <c r="AT41">
        <f t="shared" si="34"/>
        <v>20</v>
      </c>
      <c r="AU41">
        <f t="shared" si="35"/>
        <v>0</v>
      </c>
      <c r="AV41">
        <f t="shared" si="36"/>
        <v>20</v>
      </c>
      <c r="AW41" s="65">
        <f t="shared" si="29"/>
        <v>-1.279958711303858</v>
      </c>
      <c r="AX41">
        <f t="shared" si="30"/>
        <v>1.5760292532510696</v>
      </c>
    </row>
    <row r="42" spans="1:51">
      <c r="E42" t="str">
        <f t="shared" si="37"/>
        <v>Tupler LA</v>
      </c>
      <c r="F42">
        <f t="shared" si="37"/>
        <v>2002</v>
      </c>
      <c r="G42">
        <v>3</v>
      </c>
      <c r="H42">
        <f t="shared" si="38"/>
        <v>56</v>
      </c>
      <c r="I42">
        <f t="shared" si="38"/>
        <v>59</v>
      </c>
      <c r="J42">
        <f t="shared" si="38"/>
        <v>115</v>
      </c>
      <c r="K42">
        <f t="shared" si="38"/>
        <v>7</v>
      </c>
      <c r="L42">
        <f t="shared" si="38"/>
        <v>30</v>
      </c>
      <c r="M42">
        <f t="shared" si="38"/>
        <v>37</v>
      </c>
      <c r="N42">
        <f t="shared" si="9"/>
        <v>4.0677966101694913</v>
      </c>
      <c r="O42" s="59">
        <f t="shared" si="10"/>
        <v>1.4031014794362717</v>
      </c>
      <c r="P42" s="59">
        <f t="shared" si="11"/>
        <v>0.21099677158999192</v>
      </c>
      <c r="Q42" s="59">
        <f t="shared" si="12"/>
        <v>0.90031394398849174</v>
      </c>
      <c r="R42" s="59">
        <f t="shared" si="13"/>
        <v>4.739409008319786</v>
      </c>
      <c r="S42" s="59">
        <f t="shared" si="14"/>
        <v>6.6498717912270848</v>
      </c>
      <c r="T42" s="59">
        <f t="shared" si="15"/>
        <v>9.3304449483322536</v>
      </c>
      <c r="U42" s="59">
        <f t="shared" si="16"/>
        <v>22.461997748142736</v>
      </c>
      <c r="V42" s="59">
        <f t="shared" si="17"/>
        <v>2.2263764199763352</v>
      </c>
      <c r="W42" s="59">
        <f t="shared" si="18"/>
        <v>3.1238320486508262</v>
      </c>
      <c r="AF42" s="59">
        <f t="shared" si="19"/>
        <v>4.0677966101694913</v>
      </c>
      <c r="AG42" s="59">
        <f t="shared" si="20"/>
        <v>5.940510142335123</v>
      </c>
      <c r="AH42" s="59">
        <f t="shared" si="21"/>
        <v>2.4144730589538508</v>
      </c>
      <c r="AJ42">
        <f t="shared" si="22"/>
        <v>0.45934384897372027</v>
      </c>
      <c r="AK42">
        <f t="shared" si="23"/>
        <v>2.1770183757423331</v>
      </c>
      <c r="AL42">
        <f t="shared" si="24"/>
        <v>3.0545777037640165</v>
      </c>
      <c r="AN42" t="str">
        <f t="shared" si="25"/>
        <v>Tupler LA</v>
      </c>
      <c r="AO42">
        <f t="shared" si="26"/>
        <v>2002</v>
      </c>
      <c r="AP42" t="str">
        <f t="shared" si="27"/>
        <v>Tupler LA 2002</v>
      </c>
      <c r="AQ42">
        <f t="shared" si="31"/>
        <v>56</v>
      </c>
      <c r="AR42">
        <f t="shared" si="32"/>
        <v>59</v>
      </c>
      <c r="AS42">
        <f t="shared" si="33"/>
        <v>115</v>
      </c>
      <c r="AT42">
        <f t="shared" si="34"/>
        <v>7</v>
      </c>
      <c r="AU42">
        <f t="shared" si="35"/>
        <v>30</v>
      </c>
      <c r="AV42">
        <f t="shared" si="36"/>
        <v>37</v>
      </c>
      <c r="AW42" s="65">
        <f t="shared" si="29"/>
        <v>1.4031014794362717</v>
      </c>
      <c r="AX42">
        <f t="shared" si="30"/>
        <v>0.45934384897372027</v>
      </c>
    </row>
    <row r="43" spans="1:51">
      <c r="E43" t="str">
        <f>E30</f>
        <v>Sassi RB</v>
      </c>
      <c r="F43">
        <f>F30</f>
        <v>2003</v>
      </c>
      <c r="G43">
        <v>2</v>
      </c>
      <c r="H43">
        <f t="shared" ref="H43:M43" si="39">L30</f>
        <v>2</v>
      </c>
      <c r="I43">
        <f t="shared" si="39"/>
        <v>15</v>
      </c>
      <c r="J43">
        <f t="shared" si="39"/>
        <v>18</v>
      </c>
      <c r="K43">
        <f t="shared" si="39"/>
        <v>3</v>
      </c>
      <c r="L43">
        <f t="shared" si="39"/>
        <v>35</v>
      </c>
      <c r="M43">
        <f t="shared" si="39"/>
        <v>38</v>
      </c>
      <c r="N43">
        <f t="shared" si="9"/>
        <v>1.5555555555555556</v>
      </c>
      <c r="O43" s="59">
        <f t="shared" si="10"/>
        <v>0.44183275227903923</v>
      </c>
      <c r="P43" s="59">
        <f t="shared" si="11"/>
        <v>0.92857142857142849</v>
      </c>
      <c r="Q43" s="59">
        <f t="shared" si="12"/>
        <v>1.8887032588524857</v>
      </c>
      <c r="R43" s="59">
        <f t="shared" si="13"/>
        <v>1.0769230769230771</v>
      </c>
      <c r="S43" s="59">
        <f t="shared" si="14"/>
        <v>0.47581988706973466</v>
      </c>
      <c r="T43" s="59">
        <f t="shared" si="15"/>
        <v>0.21023281029312246</v>
      </c>
      <c r="U43" s="59">
        <f t="shared" si="16"/>
        <v>1.1597633136094678</v>
      </c>
      <c r="V43" s="59">
        <f t="shared" si="17"/>
        <v>0.85709265484178321</v>
      </c>
      <c r="W43" s="59">
        <f t="shared" si="18"/>
        <v>0.37869160664689366</v>
      </c>
      <c r="AF43" s="59">
        <f t="shared" si="19"/>
        <v>1.5555555555555556</v>
      </c>
      <c r="AG43" s="59">
        <f t="shared" si="20"/>
        <v>8.7278965452896724</v>
      </c>
      <c r="AH43" s="59">
        <f t="shared" si="21"/>
        <v>1.3202500314289962</v>
      </c>
      <c r="AJ43">
        <f t="shared" si="22"/>
        <v>0.96362411165943151</v>
      </c>
      <c r="AK43">
        <f t="shared" si="23"/>
        <v>1.0377490433255416</v>
      </c>
      <c r="AL43">
        <f t="shared" si="24"/>
        <v>0.45851151598746398</v>
      </c>
      <c r="AN43" t="str">
        <f t="shared" si="25"/>
        <v>Sassi RB</v>
      </c>
      <c r="AO43">
        <f t="shared" si="26"/>
        <v>2003</v>
      </c>
      <c r="AP43" t="str">
        <f t="shared" si="27"/>
        <v>Sassi RB 2003</v>
      </c>
      <c r="AQ43">
        <f t="shared" si="31"/>
        <v>2</v>
      </c>
      <c r="AR43">
        <f t="shared" si="32"/>
        <v>15</v>
      </c>
      <c r="AS43">
        <f t="shared" si="33"/>
        <v>18</v>
      </c>
      <c r="AT43">
        <f t="shared" si="34"/>
        <v>3</v>
      </c>
      <c r="AU43">
        <f t="shared" si="35"/>
        <v>35</v>
      </c>
      <c r="AV43">
        <f t="shared" si="36"/>
        <v>38</v>
      </c>
      <c r="AW43" s="65">
        <f t="shared" si="29"/>
        <v>0.44183275227903923</v>
      </c>
      <c r="AX43">
        <f t="shared" si="30"/>
        <v>0.96362411165943151</v>
      </c>
    </row>
    <row r="44" spans="1:51">
      <c r="E44" t="str">
        <f>E31</f>
        <v>Taylor WD</v>
      </c>
      <c r="F44">
        <f>F31</f>
        <v>2007</v>
      </c>
      <c r="G44">
        <v>1</v>
      </c>
      <c r="H44">
        <f t="shared" ref="H44:M44" si="40">L31</f>
        <v>145</v>
      </c>
      <c r="I44">
        <f t="shared" si="40"/>
        <v>79</v>
      </c>
      <c r="J44">
        <f t="shared" si="40"/>
        <v>224</v>
      </c>
      <c r="K44">
        <f t="shared" si="40"/>
        <v>80</v>
      </c>
      <c r="L44">
        <f t="shared" si="40"/>
        <v>64</v>
      </c>
      <c r="M44">
        <f t="shared" si="40"/>
        <v>144</v>
      </c>
      <c r="N44">
        <f>IF(OR(H44=0,I44=0,K44=0,L44=0),((H44+0.5)*(L44+0.5))/((I44+0.5)*(K44+0.5)),((H44)*(L44))/((I44)*(K44)))</f>
        <v>1.4683544303797469</v>
      </c>
      <c r="O44" s="59">
        <f t="shared" si="10"/>
        <v>0.38414233863934316</v>
      </c>
      <c r="P44" s="59">
        <f t="shared" si="11"/>
        <v>4.7679779572239192E-2</v>
      </c>
      <c r="Q44" s="59">
        <f t="shared" si="12"/>
        <v>0.42797972055310529</v>
      </c>
      <c r="R44" s="59">
        <f t="shared" si="13"/>
        <v>20.973251323129741</v>
      </c>
      <c r="S44" s="59">
        <f t="shared" si="14"/>
        <v>8.0567138121377564</v>
      </c>
      <c r="T44" s="59">
        <f t="shared" si="15"/>
        <v>3.0949248855424956</v>
      </c>
      <c r="U44" s="59">
        <f t="shared" si="16"/>
        <v>439.87727106316345</v>
      </c>
      <c r="V44" s="59">
        <f t="shared" si="17"/>
        <v>3.4984196448000731</v>
      </c>
      <c r="W44" s="59">
        <f t="shared" si="18"/>
        <v>1.3438911038953203</v>
      </c>
      <c r="AF44" s="59">
        <f t="shared" si="19"/>
        <v>1.4683544303797469</v>
      </c>
      <c r="AG44" s="59">
        <f t="shared" si="20"/>
        <v>0.78432881500247675</v>
      </c>
      <c r="AH44" s="59">
        <f t="shared" si="21"/>
        <v>0.51124484223167987</v>
      </c>
      <c r="AJ44">
        <f t="shared" si="22"/>
        <v>0.21835700028219657</v>
      </c>
      <c r="AK44">
        <f t="shared" si="23"/>
        <v>4.5796562450832203</v>
      </c>
      <c r="AL44">
        <f t="shared" si="24"/>
        <v>1.7592398601505412</v>
      </c>
      <c r="AN44" t="str">
        <f t="shared" si="25"/>
        <v>Taylor WD</v>
      </c>
      <c r="AO44">
        <f t="shared" si="26"/>
        <v>2007</v>
      </c>
      <c r="AP44" t="str">
        <f t="shared" si="27"/>
        <v>Taylor WD 2007</v>
      </c>
      <c r="AQ44">
        <f t="shared" si="31"/>
        <v>145</v>
      </c>
      <c r="AR44">
        <f t="shared" si="32"/>
        <v>79</v>
      </c>
      <c r="AS44">
        <f t="shared" si="33"/>
        <v>224</v>
      </c>
      <c r="AT44">
        <f t="shared" si="34"/>
        <v>80</v>
      </c>
      <c r="AU44">
        <f t="shared" si="35"/>
        <v>64</v>
      </c>
      <c r="AV44">
        <f t="shared" si="36"/>
        <v>144</v>
      </c>
      <c r="AW44" s="65">
        <f t="shared" si="29"/>
        <v>0.38414233863934316</v>
      </c>
      <c r="AX44">
        <f t="shared" si="30"/>
        <v>0.21835700028219657</v>
      </c>
    </row>
    <row r="46" spans="1:51">
      <c r="L46" t="s">
        <v>500</v>
      </c>
      <c r="N46" s="7"/>
      <c r="O46" s="66">
        <f>COUNT(O37:O44)</f>
        <v>8</v>
      </c>
      <c r="Q46" t="s">
        <v>885</v>
      </c>
      <c r="R46" s="59">
        <f t="shared" ref="R46:W46" si="41">SUM(R37:R44)</f>
        <v>33.521674838360482</v>
      </c>
      <c r="S46" s="59">
        <f t="shared" si="41"/>
        <v>18.831035320067599</v>
      </c>
      <c r="T46" s="59">
        <f t="shared" si="41"/>
        <v>22.16449896172935</v>
      </c>
      <c r="U46" s="59">
        <f t="shared" si="41"/>
        <v>478.2155924085543</v>
      </c>
      <c r="V46" s="59">
        <f t="shared" si="41"/>
        <v>11.142320992868235</v>
      </c>
      <c r="W46" s="59">
        <f t="shared" si="41"/>
        <v>7.1313109231383622</v>
      </c>
    </row>
    <row r="47" spans="1:51">
      <c r="L47" t="s">
        <v>501</v>
      </c>
      <c r="N47" s="7"/>
      <c r="O47" s="2">
        <v>0</v>
      </c>
    </row>
    <row r="48" spans="1:51">
      <c r="N48" s="7"/>
      <c r="O48" s="7"/>
    </row>
    <row r="49" spans="7:34">
      <c r="G49" s="67" t="s">
        <v>502</v>
      </c>
      <c r="H49" s="40"/>
      <c r="I49" s="40">
        <f>S46/R46</f>
        <v>0.56175699486585107</v>
      </c>
      <c r="J49" s="40"/>
      <c r="K49" s="68" t="s">
        <v>879</v>
      </c>
      <c r="L49" s="40"/>
      <c r="M49" s="42"/>
      <c r="N49" s="7"/>
      <c r="O49" s="69" t="s">
        <v>503</v>
      </c>
      <c r="P49" s="70">
        <f>T46-((S46^2)/R46)</f>
        <v>11.586033150115476</v>
      </c>
      <c r="Q49" s="71" t="s">
        <v>824</v>
      </c>
      <c r="R49" s="28"/>
      <c r="S49" s="29"/>
      <c r="T49" s="30"/>
      <c r="U49" s="31"/>
      <c r="AF49" s="2" t="s">
        <v>1518</v>
      </c>
    </row>
    <row r="50" spans="7:34">
      <c r="G50" s="43" t="s">
        <v>504</v>
      </c>
      <c r="H50" s="31"/>
      <c r="I50" s="31">
        <f>1/R46</f>
        <v>2.9831445022420282E-2</v>
      </c>
      <c r="J50" s="31"/>
      <c r="K50" s="31"/>
      <c r="L50" s="31"/>
      <c r="M50" s="44"/>
      <c r="N50" s="7"/>
      <c r="O50" s="30" t="s">
        <v>505</v>
      </c>
      <c r="P50" s="31">
        <f>CHIDIST(P49,I54-1)</f>
        <v>0.11502082412422787</v>
      </c>
      <c r="Q50" s="31"/>
      <c r="R50" s="31"/>
      <c r="S50" s="34"/>
      <c r="T50" s="30"/>
      <c r="U50" s="31"/>
      <c r="AF50" s="2"/>
    </row>
    <row r="51" spans="7:34">
      <c r="G51" s="72" t="s">
        <v>506</v>
      </c>
      <c r="H51" s="31"/>
      <c r="I51" s="31">
        <f>1.96*SQRT(I50)</f>
        <v>0.33852692536655005</v>
      </c>
      <c r="J51" s="31"/>
      <c r="K51" s="31" t="s">
        <v>507</v>
      </c>
      <c r="L51" s="31"/>
      <c r="M51" s="44">
        <f>ABS(I49/SQRT(I50))</f>
        <v>3.2524553512098939</v>
      </c>
      <c r="N51" s="7"/>
      <c r="O51" s="35" t="s">
        <v>508</v>
      </c>
      <c r="P51" s="37">
        <f>IF(((P49-(I54-1))/P49)&lt;0,0,100*((P49-(I54-1))/P49))</f>
        <v>39.582427313094371</v>
      </c>
      <c r="Q51" s="36"/>
      <c r="R51" s="36"/>
      <c r="S51" s="38"/>
      <c r="T51" s="30"/>
      <c r="U51" s="31"/>
      <c r="AF51" s="2" t="s">
        <v>1535</v>
      </c>
      <c r="AH51">
        <f>IF($D$3=1,EXP(I49),I49)</f>
        <v>1.7537511266642849</v>
      </c>
    </row>
    <row r="52" spans="7:34">
      <c r="G52" s="45" t="s">
        <v>509</v>
      </c>
      <c r="H52" s="46"/>
      <c r="I52" s="46">
        <v>-2</v>
      </c>
      <c r="J52" s="46"/>
      <c r="K52" s="46" t="s">
        <v>825</v>
      </c>
      <c r="L52" s="46"/>
      <c r="M52" s="47">
        <f>2*(1-NORMDIST(M51,0,1,1))</f>
        <v>1.1441256940141198E-3</v>
      </c>
      <c r="N52" s="7"/>
      <c r="O52" s="7"/>
      <c r="AF52" s="79" t="s">
        <v>834</v>
      </c>
      <c r="AH52">
        <f>IF($D$3=1,EXP(I49+I51)-EXP(I49),I51)</f>
        <v>0.70655041472414415</v>
      </c>
    </row>
    <row r="53" spans="7:34">
      <c r="G53" s="40"/>
      <c r="H53" s="40"/>
      <c r="I53" s="40"/>
      <c r="J53" s="40"/>
      <c r="K53" s="40"/>
      <c r="L53" s="40"/>
      <c r="M53" s="40"/>
      <c r="N53" s="7"/>
      <c r="O53" s="7"/>
      <c r="AF53" s="79" t="s">
        <v>835</v>
      </c>
      <c r="AH53">
        <f>IF($D$3=1,EXP(I49)-EXP(I49-I51),I51)</f>
        <v>0.50364297425441307</v>
      </c>
    </row>
    <row r="54" spans="7:34">
      <c r="G54" s="73" t="s">
        <v>1110</v>
      </c>
      <c r="H54" s="74"/>
      <c r="I54" s="74">
        <f>O46</f>
        <v>8</v>
      </c>
      <c r="J54" s="74"/>
      <c r="K54" s="75" t="s">
        <v>1167</v>
      </c>
      <c r="L54" s="74"/>
      <c r="M54" s="76"/>
      <c r="N54" s="77"/>
      <c r="O54" s="101" t="s">
        <v>1513</v>
      </c>
      <c r="P54" s="102"/>
      <c r="Q54" s="103"/>
      <c r="AF54" s="7"/>
    </row>
    <row r="55" spans="7:34">
      <c r="G55" s="77" t="s">
        <v>1531</v>
      </c>
      <c r="H55" s="31"/>
      <c r="I55" s="31">
        <f>R46/I54</f>
        <v>4.1902093547950603</v>
      </c>
      <c r="J55" s="31"/>
      <c r="K55" s="31"/>
      <c r="L55" s="31"/>
      <c r="M55" s="78"/>
      <c r="N55" s="77"/>
      <c r="O55" s="104" t="s">
        <v>1514</v>
      </c>
      <c r="P55" s="31"/>
      <c r="Q55" s="105">
        <f>INDEX(LINEST(AL37:AL44,AK37:AK44,TRUE,TRUE),1,2)</f>
        <v>-1.051594244809384E-2</v>
      </c>
      <c r="AF55" s="2" t="s">
        <v>1687</v>
      </c>
      <c r="AH55">
        <f>IF($D$3=1,EXP(I60),I60)</f>
        <v>1.8965192588709316</v>
      </c>
    </row>
    <row r="56" spans="7:34">
      <c r="G56" s="77" t="s">
        <v>1532</v>
      </c>
      <c r="H56" s="31"/>
      <c r="I56" s="31">
        <f>(1/(I54-1))*(U46-(I54*I55^2))</f>
        <v>48.250393844636861</v>
      </c>
      <c r="J56" s="31"/>
      <c r="K56" s="31"/>
      <c r="L56" s="31"/>
      <c r="M56" s="78"/>
      <c r="N56" s="77"/>
      <c r="O56" s="104" t="s">
        <v>1516</v>
      </c>
      <c r="P56" s="31"/>
      <c r="Q56" s="105">
        <f>INDEX(LINEST(AL37:AL44,AK37:AK44,TRUE,TRUE),2,2)</f>
        <v>0.82404643255233589</v>
      </c>
      <c r="AF56" s="79" t="s">
        <v>834</v>
      </c>
      <c r="AG56" s="7"/>
      <c r="AH56">
        <f>IF($D$3=1,EXP(I60+I62)-EXP(I60),I62)</f>
        <v>1.5151311300391843</v>
      </c>
    </row>
    <row r="57" spans="7:34">
      <c r="G57" s="77" t="s">
        <v>1669</v>
      </c>
      <c r="H57" s="31"/>
      <c r="I57" s="31">
        <f>(I54-1)*(I55-(I56/(I54*I55)))</f>
        <v>19.255812684560549</v>
      </c>
      <c r="J57" s="31"/>
      <c r="K57" s="31"/>
      <c r="L57" s="31"/>
      <c r="M57" s="78"/>
      <c r="N57" s="77"/>
      <c r="O57" s="104" t="s">
        <v>1349</v>
      </c>
      <c r="P57" s="31"/>
      <c r="Q57" s="105">
        <f>ABS(Q55/Q56)</f>
        <v>1.2761346973522592E-2</v>
      </c>
      <c r="AF57" s="79" t="s">
        <v>835</v>
      </c>
      <c r="AH57">
        <f>IF($D$3=1,EXP(I60)-EXP(I60-I62),I62)</f>
        <v>0.84225375999096741</v>
      </c>
    </row>
    <row r="58" spans="7:34">
      <c r="G58" s="77" t="s">
        <v>1685</v>
      </c>
      <c r="H58" s="31"/>
      <c r="I58" s="31">
        <f>IF(P49&gt;(I54-1),(P49-(I54-1))/I57,0)</f>
        <v>0.23816357300736471</v>
      </c>
      <c r="J58" s="31"/>
      <c r="K58" s="31"/>
      <c r="L58" s="31"/>
      <c r="M58" s="78"/>
      <c r="N58" s="77"/>
      <c r="O58" s="106" t="s">
        <v>1515</v>
      </c>
      <c r="P58" s="107"/>
      <c r="Q58" s="108">
        <f>TDIST(Q57,I54-2,2)</f>
        <v>0.99023193790021391</v>
      </c>
    </row>
    <row r="59" spans="7:34">
      <c r="G59" s="77"/>
      <c r="H59" s="31"/>
      <c r="I59" s="31"/>
      <c r="J59" s="31"/>
      <c r="K59" s="31"/>
      <c r="L59" s="31"/>
      <c r="M59" s="78"/>
      <c r="N59" s="77"/>
    </row>
    <row r="60" spans="7:34">
      <c r="G60" s="77" t="s">
        <v>1686</v>
      </c>
      <c r="H60" s="31"/>
      <c r="I60" s="31">
        <f>W46/V46</f>
        <v>0.64002023704960898</v>
      </c>
      <c r="J60" s="31"/>
      <c r="N60" s="77"/>
    </row>
    <row r="61" spans="7:34">
      <c r="G61" s="77" t="s">
        <v>504</v>
      </c>
      <c r="H61" s="31"/>
      <c r="I61" s="31">
        <f>1/V46</f>
        <v>8.9747908056145659E-2</v>
      </c>
      <c r="J61" s="31"/>
      <c r="N61" s="77"/>
      <c r="O61" t="s">
        <v>805</v>
      </c>
      <c r="R61">
        <v>1.96</v>
      </c>
    </row>
    <row r="62" spans="7:34">
      <c r="G62" s="80" t="s">
        <v>506</v>
      </c>
      <c r="H62" s="31"/>
      <c r="I62" s="31">
        <f>1.96*SQRT(I61)</f>
        <v>0.58717592218047321</v>
      </c>
      <c r="J62" s="31"/>
      <c r="K62" s="31" t="s">
        <v>507</v>
      </c>
      <c r="L62" s="31"/>
      <c r="M62" s="78">
        <f>ABS(I60/(SQRT(I61)))</f>
        <v>2.1363949324742091</v>
      </c>
      <c r="N62" s="77"/>
    </row>
    <row r="63" spans="7:34">
      <c r="G63" s="81" t="s">
        <v>509</v>
      </c>
      <c r="H63" s="82"/>
      <c r="I63" s="82">
        <v>-3</v>
      </c>
      <c r="J63" s="82"/>
      <c r="K63" s="31" t="s">
        <v>825</v>
      </c>
      <c r="L63" s="31"/>
      <c r="M63" s="78">
        <f>2*(1-NORMDIST(M62,0,1,1))</f>
        <v>3.2647236762663567E-2</v>
      </c>
      <c r="N63" s="77"/>
      <c r="O63" s="7"/>
    </row>
    <row r="64" spans="7:34">
      <c r="G64" s="74"/>
      <c r="H64" s="74"/>
      <c r="I64" s="74"/>
      <c r="J64" s="74"/>
      <c r="K64" s="74"/>
      <c r="L64" s="74"/>
      <c r="M64" s="74"/>
      <c r="N64" s="31"/>
      <c r="O64" s="7"/>
    </row>
  </sheetData>
  <phoneticPr fontId="10" type="noConversion"/>
  <conditionalFormatting sqref="D13 F13 D17">
    <cfRule type="cellIs" dxfId="8" priority="0" stopIfTrue="1" operator="lessThan">
      <formula>0.05</formula>
    </cfRule>
  </conditionalFormatting>
  <conditionalFormatting sqref="D21">
    <cfRule type="cellIs" dxfId="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6.xml><?xml version="1.0" encoding="utf-8"?>
<worksheet xmlns="http://schemas.openxmlformats.org/spreadsheetml/2006/main" xmlns:r="http://schemas.openxmlformats.org/officeDocument/2006/relationships">
  <sheetPr published="0" codeName="Sheet63" enableFormatConditionsCalculation="0"/>
  <dimension ref="A1:BM72"/>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8" width="5.6640625" customWidth="1"/>
    <col min="49" max="49" width="6.6640625" customWidth="1"/>
    <col min="50" max="50" width="7.33203125" customWidth="1"/>
    <col min="51" max="53" width="5.6640625" customWidth="1"/>
  </cols>
  <sheetData>
    <row r="1" spans="2:30">
      <c r="B1" s="4" t="s">
        <v>214</v>
      </c>
      <c r="D1" s="10"/>
      <c r="F1" s="1" t="s">
        <v>733</v>
      </c>
    </row>
    <row r="2" spans="2:30">
      <c r="B2" s="91"/>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I62-O55</f>
        <v>6</v>
      </c>
      <c r="AD7" s="89"/>
    </row>
    <row r="8" spans="2:30">
      <c r="B8" t="s">
        <v>822</v>
      </c>
      <c r="D8">
        <f>SUM(H24:H31)</f>
        <v>246</v>
      </c>
      <c r="AD8" s="89"/>
    </row>
    <row r="9" spans="2:30">
      <c r="B9" t="s">
        <v>823</v>
      </c>
      <c r="D9">
        <f>SUM(I24:I31)</f>
        <v>241</v>
      </c>
      <c r="AD9" s="89"/>
    </row>
    <row r="11" spans="2:30">
      <c r="B11" s="27" t="s">
        <v>516</v>
      </c>
      <c r="C11" s="28"/>
      <c r="D11" s="109">
        <f>P57</f>
        <v>16.206877065614115</v>
      </c>
      <c r="E11" s="110" t="s">
        <v>1513</v>
      </c>
      <c r="F11" s="103"/>
    </row>
    <row r="12" spans="2:30">
      <c r="B12" s="30" t="s">
        <v>826</v>
      </c>
      <c r="C12" s="31"/>
      <c r="D12" s="112">
        <f>P59</f>
        <v>56.808458707619906</v>
      </c>
      <c r="E12" s="31"/>
      <c r="F12" s="105"/>
    </row>
    <row r="13" spans="2:30">
      <c r="B13" s="35" t="s">
        <v>825</v>
      </c>
      <c r="C13" s="36"/>
      <c r="D13" s="113">
        <f>P58</f>
        <v>2.3292065855713417E-2</v>
      </c>
      <c r="E13" s="111" t="s">
        <v>825</v>
      </c>
      <c r="F13" s="115">
        <f>Q66</f>
        <v>0.26641609842806036</v>
      </c>
    </row>
    <row r="15" spans="2:30">
      <c r="B15" s="39" t="s">
        <v>879</v>
      </c>
      <c r="C15" s="40"/>
      <c r="D15" s="41">
        <f>AH59</f>
        <v>8.8137016508869154E-2</v>
      </c>
      <c r="E15" s="116"/>
    </row>
    <row r="16" spans="2:30">
      <c r="B16" s="43" t="s">
        <v>1165</v>
      </c>
      <c r="C16" s="31"/>
      <c r="D16" s="33">
        <f>AH59-AH61</f>
        <v>-9.4507548607071751E-2</v>
      </c>
      <c r="E16" s="117">
        <f>AH59+AH60</f>
        <v>0.27078158162481003</v>
      </c>
    </row>
    <row r="17" spans="1:65">
      <c r="B17" s="45" t="s">
        <v>1166</v>
      </c>
      <c r="C17" s="46"/>
      <c r="D17" s="123">
        <f>M60</f>
        <v>0.34424132510687411</v>
      </c>
      <c r="E17" s="118"/>
    </row>
    <row r="18" spans="1:65">
      <c r="D18" s="48"/>
      <c r="F18" s="49"/>
    </row>
    <row r="19" spans="1:65">
      <c r="B19" s="50" t="s">
        <v>1167</v>
      </c>
      <c r="C19" s="51"/>
      <c r="D19" s="52">
        <f>AH63</f>
        <v>0.13973391566740345</v>
      </c>
      <c r="E19" s="120"/>
      <c r="F19" s="33"/>
      <c r="G19" s="31"/>
    </row>
    <row r="20" spans="1:65">
      <c r="B20" s="53" t="s">
        <v>1165</v>
      </c>
      <c r="C20" s="31"/>
      <c r="D20" s="33">
        <f>AH63-AH65</f>
        <v>-0.14975227976668715</v>
      </c>
      <c r="E20" s="121">
        <f>AH63+AH64</f>
        <v>0.42922011110149405</v>
      </c>
      <c r="F20" s="31"/>
      <c r="G20" s="31"/>
    </row>
    <row r="21" spans="1:65">
      <c r="B21" s="54" t="s">
        <v>1440</v>
      </c>
      <c r="C21" s="55"/>
      <c r="D21" s="114">
        <f>M71</f>
        <v>0.34410536156974603</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s="13" t="s">
        <v>363</v>
      </c>
      <c r="B24" s="13">
        <v>8723302</v>
      </c>
      <c r="C24" s="1" t="str">
        <f>IF($B24="","",HYPERLINK(IF(LEN(VLOOKUP($B24,Database!$B$1:$IX$10144,2,FALSE))=0,"",VLOOKUP($B24,Database!$B$1:$IX$10144,2,FALSE))))</f>
        <v/>
      </c>
      <c r="D24" s="1" t="str">
        <f t="shared" ref="D24:D40" si="0">IF($B24="","",HYPERLINK(CONCATENATE("http://www.ncbi.nlm.nih.gov/pubmed/",B24)))</f>
        <v>http://www.ncbi.nlm.nih.gov/pubmed/8723302</v>
      </c>
      <c r="E24" s="22" t="str">
        <f>IF($B24="","",IF(LEN(VLOOKUP($B24,Database!$B$1:$IX$10144,4,FALSE))=0,"",VLOOKUP($B24,Database!$B$1:$IX$10144,4,FALSE)))</f>
        <v>Keshavan MS</v>
      </c>
      <c r="F24" s="22">
        <f>IF($B24="","",IF(LEN(VLOOKUP($B24,Database!$B$1:$IX$10144,5,FALSE))=0,"",VLOOKUP($B24,Database!$B$1:$IX$10144,5,FALSE)))</f>
        <v>1996</v>
      </c>
      <c r="G24" s="1" t="str">
        <f>IF($B24="","",HYPERLINK(IF(LEN(VLOOKUP($B24,Database!$B$1:$IX$10144,6,FALSE))=0,"",VLOOKUP($B24,Database!$B$1:$IX$10144,6,FALSE))))</f>
        <v>http://dx.doi.org/10.1016/0165-1781(96)02867-3</v>
      </c>
      <c r="H24" s="22">
        <f>IF($B24="","",IF(LEN(VLOOKUP($B24,Database!$B$1:$IX$10144,7,FALSE))=0,"",VLOOKUP($B24,Database!$B$1:$IX$10144,7,FALSE)))</f>
        <v>19</v>
      </c>
      <c r="I24" s="22">
        <f>IF($B24="","",IF(LEN(VLOOKUP($B24,Database!$B$1:$IX$10144,8,FALSE))=0,"",VLOOKUP($B24,Database!$B$1:$IX$10144,8,FALSE)))</f>
        <v>19</v>
      </c>
      <c r="J24" s="13" t="s">
        <v>1213</v>
      </c>
      <c r="T24">
        <v>0.63</v>
      </c>
      <c r="U24">
        <v>0.9</v>
      </c>
      <c r="V24">
        <v>0.26</v>
      </c>
      <c r="W24">
        <v>0.56000000000000005</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c r="AC24" s="22"/>
      <c r="AD24" s="22">
        <f>IF(OR($B24="",AD$22=""),"",IF(LEN(VLOOKUP($B24,Database!$B$1:$IX$10144,AD$22,FALSE))=0,"",VLOOKUP($B24,Database!$B$1:$IX$10144,AD$22,FALSE)))</f>
        <v>64.2</v>
      </c>
      <c r="AE24" s="22">
        <f>IF(OR($B24="",AE$22=""),"",IF(LEN(VLOOKUP($B24,Database!$B$1:$IX$10144,AE$22,FALSE))=0,"",VLOOKUP($B24,Database!$B$1:$IX$10144,AE$22,FALSE)))</f>
        <v>8.3000000000000007</v>
      </c>
      <c r="AF24" s="22">
        <f>IF(OR($B24="",AF$22=""),"",IF(LEN(VLOOKUP($B24,Database!$B$1:$IX$10144,AF$22,FALSE))=0,"",VLOOKUP($B24,Database!$B$1:$IX$10144,AF$22,FALSE)))</f>
        <v>16</v>
      </c>
      <c r="AG24" s="22">
        <f>IF(OR($B24="",AG$22=""),"",IF(LEN(VLOOKUP($B24,Database!$B$1:$IX$10144,AG$22,FALSE))=0,"",VLOOKUP($B24,Database!$B$1:$IX$10144,AG$22,FALSE)))</f>
        <v>16</v>
      </c>
      <c r="AH24" s="22">
        <f>IF(OR($B24="",AH$22=""),"",IF(LEN(VLOOKUP($B24,Database!$B$1:$IX$10144,AH$22,FALSE))=0,"",VLOOKUP($B24,Database!$B$1:$IX$10144,AH$22,FALSE)))</f>
        <v>1</v>
      </c>
      <c r="AI24" s="22" t="str">
        <f>IF(OR($B24="",AI$22=""),"",IF(LEN(VLOOKUP($B24,Database!$B$1:$IX$10144,AI$22,FALSE))=0,"",VLOOKUP($B24,Database!$B$1:$IX$10144,AI$22,FALSE)))</f>
        <v>ns</v>
      </c>
      <c r="AJ24" s="22" t="str">
        <f>IF(OR($B24="",AJ$22=""),"",IF(LEN(VLOOKUP($B24,Database!$B$1:$IX$10144,AJ$22,FALSE))=0,"",VLOOKUP($B24,Database!$B$1:$IX$10144,AJ$22,FALSE)))</f>
        <v/>
      </c>
      <c r="AK24" s="22">
        <f>IF(OR($B24="",AK$22=""),"",IF(LEN(VLOOKUP($B24,Database!$B$1:$IX$10144,AK$22,FALSE))=0,"",VLOOKUP($B24,Database!$B$1:$IX$10144,AK$22,FALSE)))</f>
        <v>53.8</v>
      </c>
      <c r="AL24" s="22" t="str">
        <f>IF(OR($B24="",AL$22=""),"",IF(LEN(VLOOKUP($B24,Database!$B$1:$IX$10144,AL$22,FALSE))=0,"",VLOOKUP($B24,Database!$B$1:$IX$10144,AL$22,FALSE)))</f>
        <v>ns</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Keshavan MS, Mulsant BH, Sweet RA, Pasternak R, Zubenko GS, Krishnan RR.</v>
      </c>
      <c r="AR24" s="13"/>
      <c r="AX24" s="13"/>
      <c r="AY24" s="13"/>
      <c r="AZ24" s="13"/>
      <c r="BA24" s="13"/>
      <c r="BC24" s="23"/>
      <c r="BF24" s="136"/>
      <c r="BG24" s="136"/>
      <c r="BH24" s="136"/>
      <c r="BI24" s="136"/>
    </row>
    <row r="25" spans="1:65">
      <c r="B25" s="13">
        <v>9169241</v>
      </c>
      <c r="C25" s="1" t="str">
        <f>IF($B25="","",HYPERLINK(IF(LEN(VLOOKUP($B25,Database!$B$1:$IX$10144,2,FALSE))=0,"",VLOOKUP($B25,Database!$B$1:$IX$10144,2,FALSE))))</f>
        <v/>
      </c>
      <c r="D25" s="1" t="str">
        <f t="shared" si="0"/>
        <v>http://www.ncbi.nlm.nih.gov/pubmed/9169241</v>
      </c>
      <c r="E25" s="22" t="str">
        <f>IF($B25="","",IF(LEN(VLOOKUP($B25,Database!$B$1:$IX$10144,4,FALSE))=0,"",VLOOKUP($B25,Database!$B$1:$IX$10144,4,FALSE)))</f>
        <v>Kumar A</v>
      </c>
      <c r="F25" s="22">
        <f>IF($B25="","",IF(LEN(VLOOKUP($B25,Database!$B$1:$IX$10144,5,FALSE))=0,"",VLOOKUP($B25,Database!$B$1:$IX$10144,5,FALSE)))</f>
        <v>1997</v>
      </c>
      <c r="G25" s="1" t="str">
        <f>IF($B25="","",HYPERLINK(IF(LEN(VLOOKUP($B25,Database!$B$1:$IX$10144,6,FALSE))=0,"",VLOOKUP($B25,Database!$B$1:$IX$10144,6,FALSE))))</f>
        <v>http://ajgponline.org/cgi/content/abstract/5/1/15</v>
      </c>
      <c r="H25" s="22">
        <f>IF($B25="","",IF(LEN(VLOOKUP($B25,Database!$B$1:$IX$10144,7,FALSE))=0,"",VLOOKUP($B25,Database!$B$1:$IX$10144,7,FALSE)))</f>
        <v>28</v>
      </c>
      <c r="I25" s="22">
        <f>IF($B25="","",IF(LEN(VLOOKUP($B25,Database!$B$1:$IX$10144,8,FALSE))=0,"",VLOOKUP($B25,Database!$B$1:$IX$10144,8,FALSE)))</f>
        <v>29</v>
      </c>
      <c r="J25" s="2" t="s">
        <v>10</v>
      </c>
      <c r="T25">
        <v>1.29</v>
      </c>
      <c r="U25">
        <v>0.75</v>
      </c>
      <c r="V25">
        <v>0.92</v>
      </c>
      <c r="W25">
        <v>0.67</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74.2</v>
      </c>
      <c r="AC25" s="22">
        <f>IF(OR($B25="",AC$22=""),"",IF(LEN(VLOOKUP($B25,Database!$B$1:$IX$10144,AC$22,FALSE))=0,"",VLOOKUP($B25,Database!$B$1:$IX$10144,AC$22,FALSE)))</f>
        <v>8.1999999999999993</v>
      </c>
      <c r="AD25" s="22">
        <f>IF(OR($B25="",AD$22=""),"",IF(LEN(VLOOKUP($B25,Database!$B$1:$IX$10144,AD$22,FALSE))=0,"",VLOOKUP($B25,Database!$B$1:$IX$10144,AD$22,FALSE)))</f>
        <v>67.2</v>
      </c>
      <c r="AE25" s="22">
        <f>IF(OR($B25="",AE$22=""),"",IF(LEN(VLOOKUP($B25,Database!$B$1:$IX$10144,AE$22,FALSE))=0,"",VLOOKUP($B25,Database!$B$1:$IX$10144,AE$22,FALSE)))</f>
        <v>8.4</v>
      </c>
      <c r="AF25" s="22">
        <f>IF(OR($B25="",AF$22=""),"",IF(LEN(VLOOKUP($B25,Database!$B$1:$IX$10144,AF$22,FALSE))=0,"",VLOOKUP($B25,Database!$B$1:$IX$10144,AF$22,FALSE)))</f>
        <v>17</v>
      </c>
      <c r="AG25" s="22">
        <f>IF(OR($B25="",AG$22=""),"",IF(LEN(VLOOKUP($B25,Database!$B$1:$IX$10144,AG$22,FALSE))=0,"",VLOOKUP($B25,Database!$B$1:$IX$10144,AG$22,FALSE)))</f>
        <v>17</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t="str">
        <f>IF(OR($B25="",AK$22=""),"",IF(LEN(VLOOKUP($B25,Database!$B$1:$IX$10144,AK$22,FALSE))=0,"",VLOOKUP($B25,Database!$B$1:$IX$10144,AK$22,FALSE)))</f>
        <v>ns</v>
      </c>
      <c r="AL25" s="22">
        <f>IF(OR($B25="",AL$22=""),"",IF(LEN(VLOOKUP($B25,Database!$B$1:$IX$10144,AL$22,FALSE))=0,"",VLOOKUP($B25,Database!$B$1:$IX$10144,AL$22,FALSE)))</f>
        <v>19.57</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Kumar A, Miller D, Ewbank D, Yousem D, Newberg A, Samuels S, Cowell P, Gottlieb G.</v>
      </c>
      <c r="AR25" s="13"/>
      <c r="AX25" s="13"/>
      <c r="AY25" s="13"/>
      <c r="AZ25" s="13"/>
      <c r="BA25" s="13"/>
      <c r="BC25" s="23"/>
      <c r="BF25" s="136"/>
      <c r="BG25" s="136"/>
      <c r="BH25" s="136"/>
      <c r="BI25" s="136"/>
    </row>
    <row r="26" spans="1:65">
      <c r="B26" s="13">
        <v>11559382</v>
      </c>
      <c r="C26" s="1" t="str">
        <f>IF($B26="","",HYPERLINK(IF(LEN(VLOOKUP($B26,Database!$B$1:$IX$10144,2,FALSE))=0,"",VLOOKUP($B26,Database!$B$1:$IX$10144,2,FALSE))))</f>
        <v/>
      </c>
      <c r="D26" s="1" t="str">
        <f t="shared" si="0"/>
        <v>http://www.ncbi.nlm.nih.gov/pubmed/11559382</v>
      </c>
      <c r="E26" s="22" t="str">
        <f>IF($B26="","",IF(LEN(VLOOKUP($B26,Database!$B$1:$IX$10144,4,FALSE))=0,"",VLOOKUP($B26,Database!$B$1:$IX$10144,4,FALSE)))</f>
        <v>Greenwald BS</v>
      </c>
      <c r="F26" s="22">
        <f>IF($B26="","",IF(LEN(VLOOKUP($B26,Database!$B$1:$IX$10144,5,FALSE))=0,"",VLOOKUP($B26,Database!$B$1:$IX$10144,5,FALSE)))</f>
        <v>2001</v>
      </c>
      <c r="G26" s="1" t="str">
        <f>IF($B26="","",HYPERLINK(IF(LEN(VLOOKUP($B26,Database!$B$1:$IX$10144,6,FALSE))=0,"",VLOOKUP($B26,Database!$B$1:$IX$10144,6,FALSE))))</f>
        <v>http://www3.interscience.wiley.com/cgi-bin/fulltext/118968191/PDFSTART</v>
      </c>
      <c r="H26" s="83">
        <v>40</v>
      </c>
      <c r="I26" s="83">
        <v>21</v>
      </c>
      <c r="J26" s="2" t="s">
        <v>11</v>
      </c>
      <c r="K26" t="s">
        <v>1263</v>
      </c>
      <c r="T26">
        <v>1.37</v>
      </c>
      <c r="U26">
        <v>1.1000000000000001</v>
      </c>
      <c r="V26">
        <v>0.67</v>
      </c>
      <c r="W26">
        <v>1.02</v>
      </c>
      <c r="Y26" s="22" t="str">
        <f>IF(OR($B26="",Y$22=""),"",IF(LEN(VLOOKUP($B26,Database!$B$1:$IX$10144,Y$22,FALSE))=0,"",VLOOKUP($B26,Database!$B$1:$IX$10144,Y$22,FALSE)))</f>
        <v>DSM-III-R</v>
      </c>
      <c r="Z26" s="22" t="str">
        <f>IF(OR($B26="",Z$22=""),"",IF(LEN(VLOOKUP($B26,Database!$B$1:$IX$10144,Z$22,FALSE))=0,"",VLOOKUP($B26,Database!$B$1:$IX$10144,Z$22,FALSE)))</f>
        <v>MRI</v>
      </c>
      <c r="AA26" s="214" t="s">
        <v>2460</v>
      </c>
      <c r="AB26" s="214">
        <v>74.599999999999994</v>
      </c>
      <c r="AC26" s="214">
        <v>6.2</v>
      </c>
      <c r="AD26" s="214">
        <v>74.599999999999994</v>
      </c>
      <c r="AE26" s="214">
        <v>5.8</v>
      </c>
      <c r="AF26" s="214">
        <v>29</v>
      </c>
      <c r="AG26" s="214">
        <v>7</v>
      </c>
      <c r="AH26" s="22">
        <f>IF(OR($B26="",AH$22=""),"",IF(LEN(VLOOKUP($B26,Database!$B$1:$IX$10144,AH$22,FALSE))=0,"",VLOOKUP($B26,Database!$B$1:$IX$10144,AH$22,FALSE)))</f>
        <v>1</v>
      </c>
      <c r="AI26" s="22">
        <f>IF(OR($B26="",AI$22=""),"",IF(LEN(VLOOKUP($B26,Database!$B$1:$IX$10144,AI$22,FALSE))=0,"",VLOOKUP($B26,Database!$B$1:$IX$10144,AI$22,FALSE)))</f>
        <v>6</v>
      </c>
      <c r="AJ26" s="22" t="str">
        <f>IF(OR($B26="",AJ$22=""),"",IF(LEN(VLOOKUP($B26,Database!$B$1:$IX$10144,AJ$22,FALSE))=0,"",VLOOKUP($B26,Database!$B$1:$IX$10144,AJ$22,FALSE)))</f>
        <v/>
      </c>
      <c r="AK26" s="214">
        <v>58.3</v>
      </c>
      <c r="AL26" s="214">
        <v>26.35</v>
      </c>
      <c r="AM26" s="22" t="str">
        <f>IF(OR($B26="",AM$22=""),"",IF(LEN(VLOOKUP($B26,Database!$B$1:$IX$10144,AM$22,FALSE))=0,"",VLOOKUP($B26,Database!$B$1:$IX$10144,AM$22,FALSE)))</f>
        <v>ns</v>
      </c>
      <c r="AN26" s="22" t="str">
        <f>IF(OR($B26="",AN$22=""),"",IF(LEN(VLOOKUP($B26,Database!$B$1:$IX$10144,AN$22,FALSE))=0,"",VLOOKUP($B26,Database!$B$1:$IX$10144,AN$22,FALSE)))</f>
        <v>ns</v>
      </c>
      <c r="AO26" s="22" t="str">
        <f>IF(OR($B26="",AO$22=""),"",IF(LEN(VLOOKUP($B26,Database!$B$1:$IX$10144,AO$22,FALSE))=0,"",VLOOKUP($B26,Database!$B$1:$IX$10144,AO$22,FALSE)))</f>
        <v>ns</v>
      </c>
      <c r="AP26" s="22" t="str">
        <f>IF(OR($B26="",AP$22=""),"",IF(LEN(VLOOKUP($B26,Database!$B$1:$IX$10144,AP$22,FALSE))=0,"",VLOOKUP($B26,Database!$B$1:$IX$10144,AP$22,FALSE)))</f>
        <v>ns</v>
      </c>
      <c r="AQ26" s="22" t="str">
        <f>IF(OR($B26="",AQ$22=""),"",IF(LEN(VLOOKUP($B26,Database!$B$1:$IX$10144,AQ$22,FALSE))=0,"",VLOOKUP($B26,Database!$B$1:$IX$10144,AQ$22,FALSE)))</f>
        <v>Greenwald BS, Kramer-Ginsberg E, Krishnan KR, Hu J, Ashtari M, Wu H, Aupperle P, Patel M, Pollack S.</v>
      </c>
      <c r="AR26" s="13"/>
      <c r="AU26" s="22"/>
      <c r="AX26" s="13"/>
      <c r="AY26" s="13"/>
      <c r="AZ26" s="13"/>
      <c r="BA26" s="13"/>
      <c r="BC26" s="23"/>
      <c r="BF26" s="136"/>
      <c r="BG26" s="136"/>
      <c r="BH26" s="136"/>
      <c r="BI26" s="136"/>
    </row>
    <row r="27" spans="1:65">
      <c r="B27" s="13">
        <v>11559382</v>
      </c>
      <c r="C27" s="1" t="str">
        <f>IF($B27="","",HYPERLINK(IF(LEN(VLOOKUP($B27,Database!$B$1:$IX$10144,2,FALSE))=0,"",VLOOKUP($B27,Database!$B$1:$IX$10144,2,FALSE))))</f>
        <v/>
      </c>
      <c r="D27" s="1" t="str">
        <f t="shared" si="0"/>
        <v>http://www.ncbi.nlm.nih.gov/pubmed/11559382</v>
      </c>
      <c r="E27" s="22" t="str">
        <f>IF($B27="","",IF(LEN(VLOOKUP($B27,Database!$B$1:$IX$10144,4,FALSE))=0,"",VLOOKUP($B27,Database!$B$1:$IX$10144,4,FALSE)))</f>
        <v>Greenwald BS</v>
      </c>
      <c r="F27" s="22">
        <f>IF($B27="","",IF(LEN(VLOOKUP($B27,Database!$B$1:$IX$10144,5,FALSE))=0,"",VLOOKUP($B27,Database!$B$1:$IX$10144,5,FALSE)))</f>
        <v>2001</v>
      </c>
      <c r="G27" s="1" t="str">
        <f>IF($B27="","",HYPERLINK(IF(LEN(VLOOKUP($B27,Database!$B$1:$IX$10144,6,FALSE))=0,"",VLOOKUP($B27,Database!$B$1:$IX$10144,6,FALSE))))</f>
        <v>http://www3.interscience.wiley.com/cgi-bin/fulltext/118968191/PDFSTART</v>
      </c>
      <c r="H27" s="83">
        <v>41</v>
      </c>
      <c r="I27" s="83">
        <v>49</v>
      </c>
      <c r="J27" s="13" t="s">
        <v>1428</v>
      </c>
      <c r="K27" t="s">
        <v>1267</v>
      </c>
      <c r="T27">
        <v>0.71</v>
      </c>
      <c r="U27">
        <v>0.98</v>
      </c>
      <c r="V27">
        <v>0.96</v>
      </c>
      <c r="W27">
        <v>1.04</v>
      </c>
      <c r="Y27" s="22" t="str">
        <f>IF(OR($B27="",Y$22=""),"",IF(LEN(VLOOKUP($B27,Database!$B$1:$IX$10144,Y$22,FALSE))=0,"",VLOOKUP($B27,Database!$B$1:$IX$10144,Y$22,FALSE)))</f>
        <v>DSM-III-R</v>
      </c>
      <c r="Z27" s="22" t="str">
        <f>IF(OR($B27="",Z$22=""),"",IF(LEN(VLOOKUP($B27,Database!$B$1:$IX$10144,Z$22,FALSE))=0,"",VLOOKUP($B27,Database!$B$1:$IX$10144,Z$22,FALSE)))</f>
        <v>MRI</v>
      </c>
      <c r="AA27" s="214" t="s">
        <v>2461</v>
      </c>
      <c r="AB27" s="214">
        <v>74.7</v>
      </c>
      <c r="AC27" s="214">
        <v>6.2</v>
      </c>
      <c r="AD27" s="214">
        <v>71.900000000000006</v>
      </c>
      <c r="AE27" s="214">
        <v>5.5</v>
      </c>
      <c r="AF27" s="214">
        <v>29</v>
      </c>
      <c r="AG27" s="214">
        <v>26</v>
      </c>
      <c r="AH27" s="22">
        <f>IF(OR($B27="",AH$22=""),"",IF(LEN(VLOOKUP($B27,Database!$B$1:$IX$10144,AH$22,FALSE))=0,"",VLOOKUP($B27,Database!$B$1:$IX$10144,AH$22,FALSE)))</f>
        <v>1</v>
      </c>
      <c r="AI27" s="22">
        <f>IF(OR($B27="",AI$22=""),"",IF(LEN(VLOOKUP($B27,Database!$B$1:$IX$10144,AI$22,FALSE))=0,"",VLOOKUP($B27,Database!$B$1:$IX$10144,AI$22,FALSE)))</f>
        <v>6</v>
      </c>
      <c r="AJ27" s="22" t="str">
        <f>IF(OR($B27="",AJ$22=""),"",IF(LEN(VLOOKUP($B27,Database!$B$1:$IX$10144,AJ$22,FALSE))=0,"",VLOOKUP($B27,Database!$B$1:$IX$10144,AJ$22,FALSE)))</f>
        <v/>
      </c>
      <c r="AK27" s="214" t="s">
        <v>1688</v>
      </c>
      <c r="AL27" s="214">
        <v>26.44</v>
      </c>
      <c r="AM27" s="22" t="str">
        <f>IF(OR($B27="",AM$22=""),"",IF(LEN(VLOOKUP($B27,Database!$B$1:$IX$10144,AM$22,FALSE))=0,"",VLOOKUP($B27,Database!$B$1:$IX$10144,AM$22,FALSE)))</f>
        <v>ns</v>
      </c>
      <c r="AN27" s="22" t="str">
        <f>IF(OR($B27="",AN$22=""),"",IF(LEN(VLOOKUP($B27,Database!$B$1:$IX$10144,AN$22,FALSE))=0,"",VLOOKUP($B27,Database!$B$1:$IX$10144,AN$22,FALSE)))</f>
        <v>ns</v>
      </c>
      <c r="AO27" s="22" t="str">
        <f>IF(OR($B27="",AO$22=""),"",IF(LEN(VLOOKUP($B27,Database!$B$1:$IX$10144,AO$22,FALSE))=0,"",VLOOKUP($B27,Database!$B$1:$IX$10144,AO$22,FALSE)))</f>
        <v>ns</v>
      </c>
      <c r="AP27" s="22" t="str">
        <f>IF(OR($B27="",AP$22=""),"",IF(LEN(VLOOKUP($B27,Database!$B$1:$IX$10144,AP$22,FALSE))=0,"",VLOOKUP($B27,Database!$B$1:$IX$10144,AP$22,FALSE)))</f>
        <v>ns</v>
      </c>
      <c r="AQ27" s="22" t="str">
        <f>IF(OR($B27="",AQ$22=""),"",IF(LEN(VLOOKUP($B27,Database!$B$1:$IX$10144,AQ$22,FALSE))=0,"",VLOOKUP($B27,Database!$B$1:$IX$10144,AQ$22,FALSE)))</f>
        <v>Greenwald BS, Kramer-Ginsberg E, Krishnan KR, Hu J, Ashtari M, Wu H, Aupperle P, Patel M, Pollack S.</v>
      </c>
      <c r="AR27" s="13"/>
      <c r="AU27" s="22"/>
      <c r="AX27" s="13"/>
      <c r="AY27" s="13"/>
      <c r="AZ27" s="13"/>
      <c r="BA27" s="13"/>
      <c r="BC27" s="23"/>
      <c r="BF27" s="136"/>
      <c r="BG27" s="136"/>
      <c r="BH27" s="136"/>
      <c r="BI27" s="136"/>
    </row>
    <row r="28" spans="1:65">
      <c r="B28">
        <v>15172942</v>
      </c>
      <c r="C28" s="1" t="str">
        <f>IF($B28="","",HYPERLINK(IF(LEN(VLOOKUP($B28,Database!$B$1:$IX$10144,2,FALSE))=0,"",VLOOKUP($B28,Database!$B$1:$IX$10144,2,FALSE))))</f>
        <v/>
      </c>
      <c r="D28" s="1" t="str">
        <f>IF($B28="","",HYPERLINK(CONCATENATE("http://www.ncbi.nlm.nih.gov/pubmed/",B28)))</f>
        <v>http://www.ncbi.nlm.nih.gov/pubmed/15172942</v>
      </c>
      <c r="E28" s="22" t="str">
        <f>IF($B28="","",IF(LEN(VLOOKUP($B28,Database!$B$1:$IX$10144,4,FALSE))=0,"",VLOOKUP($B28,Database!$B$1:$IX$10144,4,FALSE)))</f>
        <v>Lloyd AJ</v>
      </c>
      <c r="F28" s="22">
        <f>IF($B28="","",IF(LEN(VLOOKUP($B28,Database!$B$1:$IX$10144,5,FALSE))=0,"",VLOOKUP($B28,Database!$B$1:$IX$10144,5,FALSE)))</f>
        <v>2004</v>
      </c>
      <c r="G28" s="1" t="str">
        <f>IF($B28="","",HYPERLINK(IF(LEN(VLOOKUP($B28,Database!$B$1:$IX$10144,6,FALSE))=0,"",VLOOKUP($B28,Database!$B$1:$IX$10144,6,FALSE))))</f>
        <v>http://bjp.rcpsych.org/cgi/reprint/184/6/488</v>
      </c>
      <c r="H28" s="22">
        <f>IF($B28="","",IF(LEN(VLOOKUP($B28,Database!$B$1:$IX$10144,7,FALSE))=0,"",VLOOKUP($B28,Database!$B$1:$IX$10144,7,FALSE)))</f>
        <v>51</v>
      </c>
      <c r="I28" s="22">
        <f>IF($B28="","",IF(LEN(VLOOKUP($B28,Database!$B$1:$IX$10144,8,FALSE))=0,"",VLOOKUP($B28,Database!$B$1:$IX$10144,8,FALSE)))</f>
        <v>39</v>
      </c>
      <c r="J28" t="s">
        <v>168</v>
      </c>
      <c r="K28" t="s">
        <v>169</v>
      </c>
      <c r="T28">
        <v>2.5</v>
      </c>
      <c r="U28">
        <v>2.73</v>
      </c>
      <c r="V28">
        <v>2</v>
      </c>
      <c r="W28">
        <v>2.71</v>
      </c>
      <c r="X28" s="2"/>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74</v>
      </c>
      <c r="AC28" s="22">
        <f>IF(OR($B28="",AC$22=""),"",IF(LEN(VLOOKUP($B28,Database!$B$1:$IX$10144,AC$22,FALSE))=0,"",VLOOKUP($B28,Database!$B$1:$IX$10144,AC$22,FALSE)))</f>
        <v>6.3</v>
      </c>
      <c r="AD28" s="22">
        <f>IF(OR($B28="",AD$22=""),"",IF(LEN(VLOOKUP($B28,Database!$B$1:$IX$10144,AD$22,FALSE))=0,"",VLOOKUP($B28,Database!$B$1:$IX$10144,AD$22,FALSE)))</f>
        <v>73.099999999999994</v>
      </c>
      <c r="AE28" s="22">
        <f>IF(OR($B28="",AE$22=""),"",IF(LEN(VLOOKUP($B28,Database!$B$1:$IX$10144,AE$22,FALSE))=0,"",VLOOKUP($B28,Database!$B$1:$IX$10144,AE$22,FALSE)))</f>
        <v>6.7</v>
      </c>
      <c r="AF28" s="22">
        <f>IF(OR($B28="",AF$22=""),"",IF(LEN(VLOOKUP($B28,Database!$B$1:$IX$10144,AF$22,FALSE))=0,"",VLOOKUP($B28,Database!$B$1:$IX$10144,AF$22,FALSE)))</f>
        <v>41</v>
      </c>
      <c r="AG28" s="22">
        <f>IF(OR($B28="",AG$22=""),"",IF(LEN(VLOOKUP($B28,Database!$B$1:$IX$10144,AG$22,FALSE))=0,"",VLOOKUP($B28,Database!$B$1:$IX$10144,AG$22,FALSE)))</f>
        <v>29</v>
      </c>
      <c r="AH28" s="22">
        <f>IF(OR($B28="",AH$22=""),"",IF(LEN(VLOOKUP($B28,Database!$B$1:$IX$10144,AH$22,FALSE))=0,"",VLOOKUP($B28,Database!$B$1:$IX$10144,AH$22,FALSE)))</f>
        <v>1</v>
      </c>
      <c r="AI28" s="22">
        <f>IF(OR($B28="",AI$22=""),"",IF(LEN(VLOOKUP($B28,Database!$B$1:$IX$10144,AI$22,FALSE))=0,"",VLOOKUP($B28,Database!$B$1:$IX$10144,AI$22,FALSE)))</f>
        <v>1</v>
      </c>
      <c r="AJ28" s="22" t="str">
        <f>IF(OR($B28="",AJ$22=""),"",IF(LEN(VLOOKUP($B28,Database!$B$1:$IX$10144,AJ$22,FALSE))=0,"",VLOOKUP($B28,Database!$B$1:$IX$10144,AJ$22,FALSE)))</f>
        <v/>
      </c>
      <c r="AK28" s="22">
        <f>IF(OR($B28="",AK$22=""),"",IF(LEN(VLOOKUP($B28,Database!$B$1:$IX$10144,AK$22,FALSE))=0,"",VLOOKUP($B28,Database!$B$1:$IX$10144,AK$22,FALSE)))</f>
        <v>57</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Lloyd AJ, Ferrier IN, Barber R, Gholkar A, Young AH, O'Brien JT.</v>
      </c>
      <c r="AR28" s="13"/>
      <c r="AX28" s="13"/>
      <c r="AY28" s="13"/>
      <c r="AZ28" s="13"/>
      <c r="BA28" s="13"/>
      <c r="BC28" s="23"/>
      <c r="BF28" s="136"/>
      <c r="BG28" s="136"/>
      <c r="BH28" s="136"/>
      <c r="BI28" s="136"/>
    </row>
    <row r="29" spans="1:65">
      <c r="B29">
        <v>16894588</v>
      </c>
      <c r="C29" s="1" t="str">
        <f>IF($B29="","",HYPERLINK(IF(LEN(VLOOKUP($B29,Database!$B$1:$IX$10144,2,FALSE))=0,"",VLOOKUP($B29,Database!$B$1:$IX$10144,2,FALSE))))</f>
        <v/>
      </c>
      <c r="D29" s="1" t="str">
        <f>IF($B29="","",HYPERLINK(CONCATENATE("http://www.ncbi.nlm.nih.gov/pubmed/",B29)))</f>
        <v>http://www.ncbi.nlm.nih.gov/pubmed/16894588</v>
      </c>
      <c r="E29" s="22" t="str">
        <f>IF($B29="","",IF(LEN(VLOOKUP($B29,Database!$B$1:$IX$10144,4,FALSE))=0,"",VLOOKUP($B29,Database!$B$1:$IX$10144,4,FALSE)))</f>
        <v>Naish JH</v>
      </c>
      <c r="F29" s="22">
        <f>IF($B29="","",IF(LEN(VLOOKUP($B29,Database!$B$1:$IX$10144,5,FALSE))=0,"",VLOOKUP($B29,Database!$B$1:$IX$10144,5,FALSE)))</f>
        <v>2006</v>
      </c>
      <c r="G29" s="1" t="str">
        <f>IF($B29="","",HYPERLINK(IF(LEN(VLOOKUP($B29,Database!$B$1:$IX$10144,6,FALSE))=0,"",VLOOKUP($B29,Database!$B$1:$IX$10144,6,FALSE))))</f>
        <v>http://dx.doi.org/10.1016/j.biopsych.2006.04.013</v>
      </c>
      <c r="H29" s="83">
        <v>21</v>
      </c>
      <c r="I29" s="83">
        <v>11</v>
      </c>
      <c r="J29" t="s">
        <v>213</v>
      </c>
      <c r="K29" t="s">
        <v>148</v>
      </c>
      <c r="T29">
        <v>0.56000000000000005</v>
      </c>
      <c r="U29">
        <v>1.637</v>
      </c>
      <c r="V29">
        <v>0.72</v>
      </c>
      <c r="W29">
        <v>1.1000000000000001</v>
      </c>
      <c r="X29" s="2"/>
      <c r="Y29" s="22" t="str">
        <f>IF(OR($B29="",Y$22=""),"",IF(LEN(VLOOKUP($B29,Database!$B$1:$IX$10144,Y$22,FALSE))=0,"",VLOOKUP($B29,Database!$B$1:$IX$10144,Y$22,FALSE)))</f>
        <v>DSM-IV</v>
      </c>
      <c r="Z29" s="22" t="str">
        <f>IF(OR($B29="",Z$22=""),"",IF(LEN(VLOOKUP($B29,Database!$B$1:$IX$10144,Z$22,FALSE))=0,"",VLOOKUP($B29,Database!$B$1:$IX$10144,Z$22,FALSE)))</f>
        <v>MRI</v>
      </c>
      <c r="AA29" s="214" t="s">
        <v>2463</v>
      </c>
      <c r="AB29" s="22">
        <f>IF(OR($B29="",AB$22=""),"",IF(LEN(VLOOKUP($B29,Database!$B$1:$IX$10144,AB$22,FALSE))=0,"",VLOOKUP($B29,Database!$B$1:$IX$10144,AB$22,FALSE)))</f>
        <v>71</v>
      </c>
      <c r="AC29" s="22">
        <f>IF(OR($B29="",AC$22=""),"",IF(LEN(VLOOKUP($B29,Database!$B$1:$IX$10144,AC$22,FALSE))=0,"",VLOOKUP($B29,Database!$B$1:$IX$10144,AC$22,FALSE)))</f>
        <v>6.54</v>
      </c>
      <c r="AD29" s="22">
        <f>IF(OR($B29="",AD$22=""),"",IF(LEN(VLOOKUP($B29,Database!$B$1:$IX$10144,AD$22,FALSE))=0,"",VLOOKUP($B29,Database!$B$1:$IX$10144,AD$22,FALSE)))</f>
        <v>72.900000000000006</v>
      </c>
      <c r="AE29" s="22">
        <f>IF(OR($B29="",AE$22=""),"",IF(LEN(VLOOKUP($B29,Database!$B$1:$IX$10144,AE$22,FALSE))=0,"",VLOOKUP($B29,Database!$B$1:$IX$10144,AE$22,FALSE)))</f>
        <v>5.38</v>
      </c>
      <c r="AF29" s="22">
        <f>IF(OR($B29="",AF$22=""),"",IF(LEN(VLOOKUP($B29,Database!$B$1:$IX$10144,AF$22,FALSE))=0,"",VLOOKUP($B29,Database!$B$1:$IX$10144,AF$22,FALSE)))</f>
        <v>12</v>
      </c>
      <c r="AG29" s="22">
        <f>IF(OR($B29="",AG$22=""),"",IF(LEN(VLOOKUP($B29,Database!$B$1:$IX$10144,AG$22,FALSE))=0,"",VLOOKUP($B29,Database!$B$1:$IX$10144,AG$22,FALSE)))</f>
        <v>16</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t="str">
        <f>IF(OR($B29="",AL$22=""),"",IF(LEN(VLOOKUP($B29,Database!$B$1:$IX$10144,AL$22,FALSE))=0,"",VLOOKUP($B29,Database!$B$1:$IX$10144,AL$22,FALSE)))</f>
        <v>ns</v>
      </c>
      <c r="AM29" s="22" t="str">
        <f>IF(OR($B29="",AM$22=""),"",IF(LEN(VLOOKUP($B29,Database!$B$1:$IX$10144,AM$22,FALSE))=0,"",VLOOKUP($B29,Database!$B$1:$IX$10144,AM$22,FALSE)))</f>
        <v>ns</v>
      </c>
      <c r="AN29" s="22" t="str">
        <f>IF(OR($B29="",AN$22=""),"",IF(LEN(VLOOKUP($B29,Database!$B$1:$IX$10144,AN$22,FALSE))=0,"",VLOOKUP($B29,Database!$B$1:$IX$10144,AN$22,FALSE)))</f>
        <v>ns</v>
      </c>
      <c r="AO29" s="22" t="str">
        <f>IF(OR($B29="",AO$22=""),"",IF(LEN(VLOOKUP($B29,Database!$B$1:$IX$10144,AO$22,FALSE))=0,"",VLOOKUP($B29,Database!$B$1:$IX$10144,AO$22,FALSE)))</f>
        <v>ns</v>
      </c>
      <c r="AP29" s="22" t="str">
        <f>IF(OR($B29="",AP$22=""),"",IF(LEN(VLOOKUP($B29,Database!$B$1:$IX$10144,AP$22,FALSE))=0,"",VLOOKUP($B29,Database!$B$1:$IX$10144,AP$22,FALSE)))</f>
        <v>ns</v>
      </c>
      <c r="AQ29" s="22" t="str">
        <f>IF(OR($B29="",AQ$22=""),"",IF(LEN(VLOOKUP($B29,Database!$B$1:$IX$10144,AQ$22,FALSE))=0,"",VLOOKUP($B29,Database!$B$1:$IX$10144,AQ$22,FALSE)))</f>
        <v>Naish JH, Baldwin RC, Patankar T, Jeffries S, Burns AS, Taylor CJ, Waterton JC, Jackson A.</v>
      </c>
      <c r="AR29" s="13"/>
      <c r="AU29" s="22"/>
      <c r="AX29" s="13"/>
      <c r="AY29" s="13"/>
      <c r="AZ29" s="13"/>
      <c r="BA29" s="13"/>
      <c r="BC29" s="23"/>
      <c r="BF29" s="136"/>
      <c r="BG29" s="136"/>
      <c r="BH29" s="136"/>
      <c r="BI29" s="136"/>
    </row>
    <row r="30" spans="1:65">
      <c r="B30">
        <v>16894588</v>
      </c>
      <c r="C30" s="1" t="str">
        <f>IF($B30="","",HYPERLINK(IF(LEN(VLOOKUP($B30,Database!$B$1:$IX$10144,2,FALSE))=0,"",VLOOKUP($B30,Database!$B$1:$IX$10144,2,FALSE))))</f>
        <v/>
      </c>
      <c r="D30" s="1" t="str">
        <f>IF($B30="","",HYPERLINK(CONCATENATE("http://www.ncbi.nlm.nih.gov/pubmed/",B30)))</f>
        <v>http://www.ncbi.nlm.nih.gov/pubmed/16894588</v>
      </c>
      <c r="E30" s="22" t="str">
        <f>IF($B30="","",IF(LEN(VLOOKUP($B30,Database!$B$1:$IX$10144,4,FALSE))=0,"",VLOOKUP($B30,Database!$B$1:$IX$10144,4,FALSE)))</f>
        <v>Naish JH</v>
      </c>
      <c r="F30" s="22">
        <f>IF($B30="","",IF(LEN(VLOOKUP($B30,Database!$B$1:$IX$10144,5,FALSE))=0,"",VLOOKUP($B30,Database!$B$1:$IX$10144,5,FALSE)))</f>
        <v>2006</v>
      </c>
      <c r="G30" s="1" t="str">
        <f>IF($B30="","",HYPERLINK(IF(LEN(VLOOKUP($B30,Database!$B$1:$IX$10144,6,FALSE))=0,"",VLOOKUP($B30,Database!$B$1:$IX$10144,6,FALSE))))</f>
        <v>http://dx.doi.org/10.1016/j.biopsych.2006.04.013</v>
      </c>
      <c r="H30" s="83">
        <v>8</v>
      </c>
      <c r="I30" s="83">
        <v>11</v>
      </c>
      <c r="J30" t="s">
        <v>213</v>
      </c>
      <c r="K30" t="s">
        <v>234</v>
      </c>
      <c r="T30">
        <v>1.18</v>
      </c>
      <c r="U30">
        <v>2.14</v>
      </c>
      <c r="V30">
        <v>0.72</v>
      </c>
      <c r="W30">
        <v>1.1000000000000001</v>
      </c>
      <c r="X30" s="2"/>
      <c r="Y30" s="22" t="str">
        <f>IF(OR($B30="",Y$22=""),"",IF(LEN(VLOOKUP($B30,Database!$B$1:$IX$10144,Y$22,FALSE))=0,"",VLOOKUP($B30,Database!$B$1:$IX$10144,Y$22,FALSE)))</f>
        <v>DSM-IV</v>
      </c>
      <c r="Z30" s="22" t="str">
        <f>IF(OR($B30="",Z$22=""),"",IF(LEN(VLOOKUP($B30,Database!$B$1:$IX$10144,Z$22,FALSE))=0,"",VLOOKUP($B30,Database!$B$1:$IX$10144,Z$22,FALSE)))</f>
        <v>MRI</v>
      </c>
      <c r="AA30" s="214" t="s">
        <v>2464</v>
      </c>
      <c r="AB30" s="22">
        <f>IF(OR($B30="",AB$22=""),"",IF(LEN(VLOOKUP($B30,Database!$B$1:$IX$10144,AB$22,FALSE))=0,"",VLOOKUP($B30,Database!$B$1:$IX$10144,AB$22,FALSE)))</f>
        <v>71</v>
      </c>
      <c r="AC30" s="22">
        <f>IF(OR($B30="",AC$22=""),"",IF(LEN(VLOOKUP($B30,Database!$B$1:$IX$10144,AC$22,FALSE))=0,"",VLOOKUP($B30,Database!$B$1:$IX$10144,AC$22,FALSE)))</f>
        <v>6.54</v>
      </c>
      <c r="AD30" s="22">
        <f>IF(OR($B30="",AD$22=""),"",IF(LEN(VLOOKUP($B30,Database!$B$1:$IX$10144,AD$22,FALSE))=0,"",VLOOKUP($B30,Database!$B$1:$IX$10144,AD$22,FALSE)))</f>
        <v>72.900000000000006</v>
      </c>
      <c r="AE30" s="22">
        <f>IF(OR($B30="",AE$22=""),"",IF(LEN(VLOOKUP($B30,Database!$B$1:$IX$10144,AE$22,FALSE))=0,"",VLOOKUP($B30,Database!$B$1:$IX$10144,AE$22,FALSE)))</f>
        <v>5.38</v>
      </c>
      <c r="AF30" s="22">
        <f>IF(OR($B30="",AF$22=""),"",IF(LEN(VLOOKUP($B30,Database!$B$1:$IX$10144,AF$22,FALSE))=0,"",VLOOKUP($B30,Database!$B$1:$IX$10144,AF$22,FALSE)))</f>
        <v>12</v>
      </c>
      <c r="AG30" s="22">
        <f>IF(OR($B30="",AG$22=""),"",IF(LEN(VLOOKUP($B30,Database!$B$1:$IX$10144,AG$22,FALSE))=0,"",VLOOKUP($B30,Database!$B$1:$IX$10144,AG$22,FALSE)))</f>
        <v>16</v>
      </c>
      <c r="AH30" s="22">
        <f>IF(OR($B30="",AH$22=""),"",IF(LEN(VLOOKUP($B30,Database!$B$1:$IX$10144,AH$22,FALSE))=0,"",VLOOKUP($B30,Database!$B$1:$IX$10144,AH$22,FALSE)))</f>
        <v>1.5</v>
      </c>
      <c r="AI30" s="22">
        <f>IF(OR($B30="",AI$22=""),"",IF(LEN(VLOOKUP($B30,Database!$B$1:$IX$10144,AI$22,FALSE))=0,"",VLOOKUP($B30,Database!$B$1:$IX$10144,AI$22,FALSE)))</f>
        <v>3</v>
      </c>
      <c r="AJ30" s="22" t="str">
        <f>IF(OR($B30="",AJ$22=""),"",IF(LEN(VLOOKUP($B30,Database!$B$1:$IX$10144,AJ$22,FALSE))=0,"",VLOOKUP($B30,Database!$B$1:$IX$10144,AJ$22,FALSE)))</f>
        <v/>
      </c>
      <c r="AK30" s="22" t="str">
        <f>IF(OR($B30="",AK$22=""),"",IF(LEN(VLOOKUP($B30,Database!$B$1:$IX$10144,AK$22,FALSE))=0,"",VLOOKUP($B30,Database!$B$1:$IX$10144,AK$22,FALSE)))</f>
        <v>ns</v>
      </c>
      <c r="AL30" s="22" t="str">
        <f>IF(OR($B30="",AL$22=""),"",IF(LEN(VLOOKUP($B30,Database!$B$1:$IX$10144,AL$22,FALSE))=0,"",VLOOKUP($B30,Database!$B$1:$IX$10144,AL$22,FALSE)))</f>
        <v>ns</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Naish JH, Baldwin RC, Patankar T, Jeffries S, Burns AS, Taylor CJ, Waterton JC, Jackson A.</v>
      </c>
      <c r="AR30" s="13"/>
      <c r="AU30" s="22"/>
      <c r="AX30" s="13"/>
      <c r="AY30" s="13"/>
      <c r="AZ30" s="13"/>
      <c r="BA30" s="13"/>
      <c r="BC30" s="23"/>
      <c r="BF30" s="136"/>
      <c r="BG30" s="136"/>
      <c r="BH30" s="136"/>
      <c r="BI30" s="136"/>
    </row>
    <row r="31" spans="1:65">
      <c r="B31">
        <v>20018381</v>
      </c>
      <c r="C31" s="1" t="str">
        <f>IF($B31="","",HYPERLINK(IF(LEN(VLOOKUP($B31,Database!$B$1:$IX$10144,2,FALSE))=0,"",VLOOKUP($B31,Database!$B$1:$IX$10144,2,FALSE))))</f>
        <v/>
      </c>
      <c r="D31" s="1" t="str">
        <f>IF($B31="","",HYPERLINK(CONCATENATE("http://www.ncbi.nlm.nih.gov/pubmed/",B31)))</f>
        <v>http://www.ncbi.nlm.nih.gov/pubmed/20018381</v>
      </c>
      <c r="E31" s="22" t="str">
        <f>IF($B31="","",IF(LEN(VLOOKUP($B31,Database!$B$1:$IX$10144,4,FALSE))=0,"",VLOOKUP($B31,Database!$B$1:$IX$10144,4,FALSE)))</f>
        <v>Weber K</v>
      </c>
      <c r="F31" s="22">
        <f>IF($B31="","",IF(LEN(VLOOKUP($B31,Database!$B$1:$IX$10144,5,FALSE))=0,"",VLOOKUP($B31,Database!$B$1:$IX$10144,5,FALSE)))</f>
        <v>2009</v>
      </c>
      <c r="G31" s="1" t="str">
        <f>IF($B31="","",HYPERLINK(IF(LEN(VLOOKUP($B31,Database!$B$1:$IX$10144,6,FALSE))=0,"",VLOOKUP($B31,Database!$B$1:$IX$10144,6,FALSE))))</f>
        <v>http://dx.doi.org/10.1016/j.jad.2009.11.016</v>
      </c>
      <c r="H31" s="22">
        <f>IF($B31="","",IF(LEN(VLOOKUP($B31,Database!$B$1:$IX$10144,7,FALSE))=0,"",VLOOKUP($B31,Database!$B$1:$IX$10144,7,FALSE)))</f>
        <v>38</v>
      </c>
      <c r="I31" s="22">
        <f>IF($B31="","",IF(LEN(VLOOKUP($B31,Database!$B$1:$IX$10144,8,FALSE))=0,"",VLOOKUP($B31,Database!$B$1:$IX$10144,8,FALSE)))</f>
        <v>62</v>
      </c>
      <c r="J31" t="s">
        <v>146</v>
      </c>
      <c r="T31">
        <v>0.15</v>
      </c>
      <c r="U31">
        <v>0.46</v>
      </c>
      <c r="V31">
        <v>0.48</v>
      </c>
      <c r="W31">
        <v>1.02</v>
      </c>
      <c r="X31" s="2"/>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66.11</v>
      </c>
      <c r="AC31" s="22">
        <f>IF(OR($B31="",AC$22=""),"",IF(LEN(VLOOKUP($B31,Database!$B$1:$IX$10144,AC$22,FALSE))=0,"",VLOOKUP($B31,Database!$B$1:$IX$10144,AC$22,FALSE)))</f>
        <v>6.22</v>
      </c>
      <c r="AD31" s="22">
        <f>IF(OR($B31="",AD$22=""),"",IF(LEN(VLOOKUP($B31,Database!$B$1:$IX$10144,AD$22,FALSE))=0,"",VLOOKUP($B31,Database!$B$1:$IX$10144,AD$22,FALSE)))</f>
        <v>71.099999999999994</v>
      </c>
      <c r="AE31" s="22">
        <f>IF(OR($B31="",AE$22=""),"",IF(LEN(VLOOKUP($B31,Database!$B$1:$IX$10144,AE$22,FALSE))=0,"",VLOOKUP($B31,Database!$B$1:$IX$10144,AE$22,FALSE)))</f>
        <v>7.26</v>
      </c>
      <c r="AF31" s="22">
        <f>IF(OR($B31="",AF$22=""),"",IF(LEN(VLOOKUP($B31,Database!$B$1:$IX$10144,AF$22,FALSE))=0,"",VLOOKUP($B31,Database!$B$1:$IX$10144,AF$22,FALSE)))</f>
        <v>31</v>
      </c>
      <c r="AG31" s="22">
        <f>IF(OR($B31="",AG$22=""),"",IF(LEN(VLOOKUP($B31,Database!$B$1:$IX$10144,AG$22,FALSE))=0,"",VLOOKUP($B31,Database!$B$1:$IX$10144,AG$22,FALSE)))</f>
        <v>48</v>
      </c>
      <c r="AH31" s="22">
        <f>IF(OR($B31="",AH$22=""),"",IF(LEN(VLOOKUP($B31,Database!$B$1:$IX$10144,AH$22,FALSE))=0,"",VLOOKUP($B31,Database!$B$1:$IX$10144,AH$22,FALSE)))</f>
        <v>3</v>
      </c>
      <c r="AI31" s="22">
        <f>IF(OR($B31="",AI$22=""),"",IF(LEN(VLOOKUP($B31,Database!$B$1:$IX$10144,AI$22,FALSE))=0,"",VLOOKUP($B31,Database!$B$1:$IX$10144,AI$22,FALSE)))</f>
        <v>0.9</v>
      </c>
      <c r="AJ31" s="22" t="str">
        <f>IF(OR($B31="",AJ$22=""),"",IF(LEN(VLOOKUP($B31,Database!$B$1:$IX$10144,AJ$22,FALSE))=0,"",VLOOKUP($B31,Database!$B$1:$IX$10144,AJ$22,FALSE)))</f>
        <v/>
      </c>
      <c r="AK31" s="22">
        <f>IF(OR($B31="",AK$22=""),"",IF(LEN(VLOOKUP($B31,Database!$B$1:$IX$10144,AK$22,FALSE))=0,"",VLOOKUP($B31,Database!$B$1:$IX$10144,AK$22,FALSE)))</f>
        <v>37.76</v>
      </c>
      <c r="AL31" s="22" t="str">
        <f>IF(OR($B31="",AL$22=""),"",IF(LEN(VLOOKUP($B31,Database!$B$1:$IX$10144,AL$22,FALSE))=0,"",VLOOKUP($B31,Database!$B$1:$IX$10144,AL$22,FALSE)))</f>
        <v>ns</v>
      </c>
      <c r="AM31" s="22">
        <f>IF(OR($B31="",AM$22=""),"",IF(LEN(VLOOKUP($B31,Database!$B$1:$IX$10144,AM$22,FALSE))=0,"",VLOOKUP($B31,Database!$B$1:$IX$10144,AM$22,FALSE)))</f>
        <v>47.368421052631575</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Weber K, Giannakopoulos P, Delaloye C, de Bilbao F, Moy G, Moussa A, Rubio MM, Ebbing K, Meuli R, Lazeyras F, Meiler-Mititelu C, Herrmann FR, Gold G, Canuto A.</v>
      </c>
      <c r="AR31" s="13"/>
      <c r="AX31" s="13"/>
      <c r="AY31" s="13"/>
      <c r="AZ31" s="13"/>
      <c r="BA31" s="13"/>
      <c r="BC31" s="23"/>
      <c r="BF31" s="136"/>
      <c r="BG31" s="136"/>
      <c r="BH31" s="136"/>
      <c r="BI31" s="136"/>
    </row>
    <row r="32" spans="1:65">
      <c r="C32" s="1" t="str">
        <f>IF($B32="","",HYPERLINK(IF(LEN(VLOOKUP($B32,Database!$B$1:$IX$10144,2,FALSE))=0,"",VLOOKUP($B32,Database!$B$1:$IX$10144,2,FALSE))))</f>
        <v/>
      </c>
      <c r="D32" s="1" t="str">
        <f t="shared" si="0"/>
        <v/>
      </c>
      <c r="E32" s="22" t="str">
        <f>IF($B32="","",IF(LEN(VLOOKUP($B32,Database!$B$1:$IX$10144,4,FALSE))=0,"",VLOOKUP($B32,Database!$B$1:$IX$10144,4,FALSE)))</f>
        <v/>
      </c>
      <c r="F32" s="22" t="str">
        <f>IF($B32="","",IF(LEN(VLOOKUP($B32,Database!$B$1:$IX$10144,5,FALSE))=0,"",VLOOKUP($B32,Database!$B$1:$IX$10144,5,FALSE)))</f>
        <v/>
      </c>
      <c r="G32" s="1" t="str">
        <f>IF($B32="","",HYPERLINK(IF(LEN(VLOOKUP($B32,Database!$B$1:$IX$10144,6,FALSE))=0,"",VLOOKUP($B32,Database!$B$1:$IX$10144,6,FALSE))))</f>
        <v/>
      </c>
      <c r="H32" s="22" t="str">
        <f>IF($B32="","",IF(LEN(VLOOKUP($B32,Database!$B$1:$IX$10144,7,FALSE))=0,"",VLOOKUP($B32,Database!$B$1:$IX$10144,7,FALSE)))</f>
        <v/>
      </c>
      <c r="I32" s="22" t="str">
        <f>IF($B32="","",IF(LEN(VLOOKUP($B32,Database!$B$1:$IX$10144,8,FALSE))=0,"",VLOOKUP($B32,Database!$B$1:$IX$10144,8,FALSE)))</f>
        <v/>
      </c>
      <c r="Y32" s="22" t="str">
        <f>IF(OR($B32="",Y$22=""),"",IF(LEN(VLOOKUP($B32,Database!$B$1:$IX$10144,Y$22,FALSE))=0,"",VLOOKUP($B32,Database!$B$1:$IX$10144,Y$22,FALSE)))</f>
        <v/>
      </c>
      <c r="Z32" s="22" t="str">
        <f>IF(OR($B32="",Z$22=""),"",IF(LEN(VLOOKUP($B32,Database!$B$1:$IX$10144,Z$22,FALSE))=0,"",VLOOKUP($B32,Database!$B$1:$IX$10144,Z$22,FALSE)))</f>
        <v/>
      </c>
      <c r="AA32" s="22" t="str">
        <f>IF(OR($B32="",AA$22=""),"",IF(LEN(VLOOKUP($B32,Database!$B$1:$IX$10144,AA$22,FALSE))=0,"",VLOOKUP($B32,Database!$B$1:$IX$10144,AA$22,FALSE)))</f>
        <v/>
      </c>
      <c r="AB32" s="22" t="str">
        <f>IF(OR($B32="",AB$22=""),"",IF(LEN(VLOOKUP($B32,Database!$B$1:$IX$10144,AB$22,FALSE))=0,"",VLOOKUP($B32,Database!$B$1:$IX$10144,AB$22,FALSE)))</f>
        <v/>
      </c>
      <c r="AC32" s="22" t="str">
        <f>IF(OR($B32="",AC$22=""),"",IF(LEN(VLOOKUP($B32,Database!$B$1:$IX$10144,AC$22,FALSE))=0,"",VLOOKUP($B32,Database!$B$1:$IX$10144,AC$22,FALSE)))</f>
        <v/>
      </c>
      <c r="AD32" s="22" t="str">
        <f>IF(OR($B32="",AD$22=""),"",IF(LEN(VLOOKUP($B32,Database!$B$1:$IX$10144,AD$22,FALSE))=0,"",VLOOKUP($B32,Database!$B$1:$IX$10144,AD$22,FALSE)))</f>
        <v/>
      </c>
      <c r="AE32" s="22" t="str">
        <f>IF(OR($B32="",AE$22=""),"",IF(LEN(VLOOKUP($B32,Database!$B$1:$IX$10144,AE$22,FALSE))=0,"",VLOOKUP($B32,Database!$B$1:$IX$10144,AE$22,FALSE)))</f>
        <v/>
      </c>
      <c r="AF32" s="22" t="str">
        <f>IF(OR($B32="",AF$22=""),"",IF(LEN(VLOOKUP($B32,Database!$B$1:$IX$10144,AF$22,FALSE))=0,"",VLOOKUP($B32,Database!$B$1:$IX$10144,AF$22,FALSE)))</f>
        <v/>
      </c>
      <c r="AG32" s="22" t="str">
        <f>IF(OR($B32="",AG$22=""),"",IF(LEN(VLOOKUP($B32,Database!$B$1:$IX$10144,AG$22,FALSE))=0,"",VLOOKUP($B32,Database!$B$1:$IX$10144,AG$22,FALSE)))</f>
        <v/>
      </c>
      <c r="AH32" s="22" t="str">
        <f>IF(OR($B32="",AH$22=""),"",IF(LEN(VLOOKUP($B32,Database!$B$1:$IX$10144,AH$22,FALSE))=0,"",VLOOKUP($B32,Database!$B$1:$IX$10144,AH$22,FALSE)))</f>
        <v/>
      </c>
      <c r="AI32" s="22" t="str">
        <f>IF(OR($B32="",AI$22=""),"",IF(LEN(VLOOKUP($B32,Database!$B$1:$IX$10144,AI$22,FALSE))=0,"",VLOOKUP($B32,Database!$B$1:$IX$10144,AI$22,FALSE)))</f>
        <v/>
      </c>
      <c r="AJ32" s="22" t="str">
        <f>IF(OR($B32="",AJ$22=""),"",IF(LEN(VLOOKUP($B32,Database!$B$1:$IX$10144,AJ$22,FALSE))=0,"",VLOOKUP($B32,Database!$B$1:$IX$10144,AJ$22,FALSE)))</f>
        <v/>
      </c>
      <c r="AK32" s="22" t="str">
        <f>IF(OR($B32="",AK$22=""),"",IF(LEN(VLOOKUP($B32,Database!$B$1:$IX$10144,AK$22,FALSE))=0,"",VLOOKUP($B32,Database!$B$1:$IX$10144,AK$22,FALSE)))</f>
        <v/>
      </c>
      <c r="AL32" s="22" t="str">
        <f>IF(OR($B32="",AL$22=""),"",IF(LEN(VLOOKUP($B32,Database!$B$1:$IX$10144,AL$22,FALSE))=0,"",VLOOKUP($B32,Database!$B$1:$IX$10144,AL$22,FALSE)))</f>
        <v/>
      </c>
      <c r="AM32" s="22" t="str">
        <f>IF(OR($B32="",AM$22=""),"",IF(LEN(VLOOKUP($B32,Database!$B$1:$IX$10144,AM$22,FALSE))=0,"",VLOOKUP($B32,Database!$B$1:$IX$10144,AM$22,FALSE)))</f>
        <v/>
      </c>
      <c r="AN32" s="22" t="str">
        <f>IF(OR($B32="",AN$22=""),"",IF(LEN(VLOOKUP($B32,Database!$B$1:$IX$10144,AN$22,FALSE))=0,"",VLOOKUP($B32,Database!$B$1:$IX$10144,AN$22,FALSE)))</f>
        <v/>
      </c>
      <c r="AO32" s="22" t="str">
        <f>IF(OR($B32="",AO$22=""),"",IF(LEN(VLOOKUP($B32,Database!$B$1:$IX$10144,AO$22,FALSE))=0,"",VLOOKUP($B32,Database!$B$1:$IX$10144,AO$22,FALSE)))</f>
        <v/>
      </c>
      <c r="AP32" s="22" t="str">
        <f>IF(OR($B32="",AP$22=""),"",IF(LEN(VLOOKUP($B32,Database!$B$1:$IX$10144,AP$22,FALSE))=0,"",VLOOKUP($B32,Database!$B$1:$IX$10144,AP$22,FALSE)))</f>
        <v/>
      </c>
      <c r="AQ32" s="22" t="str">
        <f>IF(OR($B32="",AQ$22=""),"",IF(LEN(VLOOKUP($B32,Database!$B$1:$IX$10144,AQ$22,FALSE))=0,"",VLOOKUP($B32,Database!$B$1:$IX$10144,AQ$22,FALSE)))</f>
        <v/>
      </c>
    </row>
    <row r="33" spans="1:51">
      <c r="A33" s="4" t="s">
        <v>1510</v>
      </c>
      <c r="C33" s="1" t="str">
        <f>IF($B33="","",HYPERLINK(IF(LEN(VLOOKUP($B33,Database!$B$1:$IX$10144,2,FALSE))=0,"",VLOOKUP($B33,Database!$B$1:$IX$10144,2,FALSE))))</f>
        <v/>
      </c>
      <c r="D33" s="1" t="str">
        <f t="shared" si="0"/>
        <v/>
      </c>
      <c r="E33" s="22" t="str">
        <f>IF($B33="","",IF(LEN(VLOOKUP($B33,Database!$B$1:$IX$10144,4,FALSE))=0,"",VLOOKUP($B33,Database!$B$1:$IX$10144,4,FALSE)))</f>
        <v/>
      </c>
      <c r="F33" s="22" t="str">
        <f>IF($B33="","",IF(LEN(VLOOKUP($B33,Database!$B$1:$IX$10144,5,FALSE))=0,"",VLOOKUP($B33,Database!$B$1:$IX$10144,5,FALSE)))</f>
        <v/>
      </c>
      <c r="G33" s="1" t="str">
        <f>IF($B33="","",HYPERLINK(IF(LEN(VLOOKUP($B33,Database!$B$1:$IX$10144,6,FALSE))=0,"",VLOOKUP($B33,Database!$B$1:$IX$10144,6,FALSE))))</f>
        <v/>
      </c>
      <c r="H33" s="22" t="str">
        <f>IF($B33="","",IF(LEN(VLOOKUP($B33,Database!$B$1:$IX$10144,7,FALSE))=0,"",VLOOKUP($B33,Database!$B$1:$IX$10144,7,FALSE)))</f>
        <v/>
      </c>
      <c r="I33" s="22" t="str">
        <f>IF($B33="","",IF(LEN(VLOOKUP($B33,Database!$B$1:$IX$10144,8,FALSE))=0,"",VLOOKUP($B33,Database!$B$1:$IX$10144,8,FALSE)))</f>
        <v/>
      </c>
      <c r="Y33" s="22" t="str">
        <f>IF(OR($B33="",Y$22=""),"",IF(LEN(VLOOKUP($B33,Database!$B$1:$IX$10144,Y$22,FALSE))=0,"",VLOOKUP($B33,Database!$B$1:$IX$10144,Y$22,FALSE)))</f>
        <v/>
      </c>
      <c r="Z33" s="22" t="str">
        <f>IF(OR($B33="",Z$22=""),"",IF(LEN(VLOOKUP($B33,Database!$B$1:$IX$10144,Z$22,FALSE))=0,"",VLOOKUP($B33,Database!$B$1:$IX$10144,Z$22,FALSE)))</f>
        <v/>
      </c>
      <c r="AA33" s="22" t="str">
        <f>IF(OR($B33="",AA$22=""),"",IF(LEN(VLOOKUP($B33,Database!$B$1:$IX$10144,AA$22,FALSE))=0,"",VLOOKUP($B33,Database!$B$1:$IX$10144,AA$22,FALSE)))</f>
        <v/>
      </c>
      <c r="AB33" s="22" t="str">
        <f>IF(OR($B33="",AB$22=""),"",IF(LEN(VLOOKUP($B33,Database!$B$1:$IX$10144,AB$22,FALSE))=0,"",VLOOKUP($B33,Database!$B$1:$IX$10144,AB$22,FALSE)))</f>
        <v/>
      </c>
      <c r="AC33" s="22" t="str">
        <f>IF(OR($B33="",AC$22=""),"",IF(LEN(VLOOKUP($B33,Database!$B$1:$IX$10144,AC$22,FALSE))=0,"",VLOOKUP($B33,Database!$B$1:$IX$10144,AC$22,FALSE)))</f>
        <v/>
      </c>
      <c r="AD33" s="22" t="str">
        <f>IF(OR($B33="",AD$22=""),"",IF(LEN(VLOOKUP($B33,Database!$B$1:$IX$10144,AD$22,FALSE))=0,"",VLOOKUP($B33,Database!$B$1:$IX$10144,AD$22,FALSE)))</f>
        <v/>
      </c>
      <c r="AE33" s="22" t="str">
        <f>IF(OR($B33="",AE$22=""),"",IF(LEN(VLOOKUP($B33,Database!$B$1:$IX$10144,AE$22,FALSE))=0,"",VLOOKUP($B33,Database!$B$1:$IX$10144,AE$22,FALSE)))</f>
        <v/>
      </c>
      <c r="AF33" s="22" t="str">
        <f>IF(OR($B33="",AF$22=""),"",IF(LEN(VLOOKUP($B33,Database!$B$1:$IX$10144,AF$22,FALSE))=0,"",VLOOKUP($B33,Database!$B$1:$IX$10144,AF$22,FALSE)))</f>
        <v/>
      </c>
      <c r="AG33" s="22" t="str">
        <f>IF(OR($B33="",AG$22=""),"",IF(LEN(VLOOKUP($B33,Database!$B$1:$IX$10144,AG$22,FALSE))=0,"",VLOOKUP($B33,Database!$B$1:$IX$10144,AG$22,FALSE)))</f>
        <v/>
      </c>
      <c r="AH33" s="22" t="str">
        <f>IF(OR($B33="",AH$22=""),"",IF(LEN(VLOOKUP($B33,Database!$B$1:$IX$10144,AH$22,FALSE))=0,"",VLOOKUP($B33,Database!$B$1:$IX$10144,AH$22,FALSE)))</f>
        <v/>
      </c>
      <c r="AI33" s="22" t="str">
        <f>IF(OR($B33="",AI$22=""),"",IF(LEN(VLOOKUP($B33,Database!$B$1:$IX$10144,AI$22,FALSE))=0,"",VLOOKUP($B33,Database!$B$1:$IX$10144,AI$22,FALSE)))</f>
        <v/>
      </c>
      <c r="AJ33" s="22" t="str">
        <f>IF(OR($B33="",AJ$22=""),"",IF(LEN(VLOOKUP($B33,Database!$B$1:$IX$10144,AJ$22,FALSE))=0,"",VLOOKUP($B33,Database!$B$1:$IX$10144,AJ$22,FALSE)))</f>
        <v/>
      </c>
      <c r="AK33" s="22" t="str">
        <f>IF(OR($B33="",AK$22=""),"",IF(LEN(VLOOKUP($B33,Database!$B$1:$IX$10144,AK$22,FALSE))=0,"",VLOOKUP($B33,Database!$B$1:$IX$10144,AK$22,FALSE)))</f>
        <v/>
      </c>
      <c r="AL33" s="22" t="str">
        <f>IF(OR($B33="",AL$22=""),"",IF(LEN(VLOOKUP($B33,Database!$B$1:$IX$10144,AL$22,FALSE))=0,"",VLOOKUP($B33,Database!$B$1:$IX$10144,AL$22,FALSE)))</f>
        <v/>
      </c>
      <c r="AM33" s="22" t="str">
        <f>IF(OR($B33="",AM$22=""),"",IF(LEN(VLOOKUP($B33,Database!$B$1:$IX$10144,AM$22,FALSE))=0,"",VLOOKUP($B33,Database!$B$1:$IX$10144,AM$22,FALSE)))</f>
        <v/>
      </c>
      <c r="AN33" s="22" t="str">
        <f>IF(OR($B33="",AN$22=""),"",IF(LEN(VLOOKUP($B33,Database!$B$1:$IX$10144,AN$22,FALSE))=0,"",VLOOKUP($B33,Database!$B$1:$IX$10144,AN$22,FALSE)))</f>
        <v/>
      </c>
      <c r="AO33" s="22" t="str">
        <f>IF(OR($B33="",AO$22=""),"",IF(LEN(VLOOKUP($B33,Database!$B$1:$IX$10144,AO$22,FALSE))=0,"",VLOOKUP($B33,Database!$B$1:$IX$10144,AO$22,FALSE)))</f>
        <v/>
      </c>
      <c r="AP33" s="22" t="str">
        <f>IF(OR($B33="",AP$22=""),"",IF(LEN(VLOOKUP($B33,Database!$B$1:$IX$10144,AP$22,FALSE))=0,"",VLOOKUP($B33,Database!$B$1:$IX$10144,AP$22,FALSE)))</f>
        <v/>
      </c>
      <c r="AQ33" s="22" t="str">
        <f>IF(OR($B33="",AQ$22=""),"",IF(LEN(VLOOKUP($B33,Database!$B$1:$IX$10144,AQ$22,FALSE))=0,"",VLOOKUP($B33,Database!$B$1:$IX$10144,AQ$22,FALSE)))</f>
        <v/>
      </c>
    </row>
    <row r="34" spans="1:51">
      <c r="A34" s="10" t="s">
        <v>2331</v>
      </c>
      <c r="B34" s="13">
        <v>2018163</v>
      </c>
      <c r="C34" s="1" t="str">
        <f>IF($B34="","",HYPERLINK(IF(LEN(VLOOKUP($B34,Database!$B$1:$IX$10144,2,FALSE))=0,"",VLOOKUP($B34,Database!$B$1:$IX$10144,2,FALSE))))</f>
        <v/>
      </c>
      <c r="D34" s="1" t="str">
        <f t="shared" si="0"/>
        <v>http://www.ncbi.nlm.nih.gov/pubmed/2018163</v>
      </c>
      <c r="E34" s="22" t="str">
        <f>IF($B34="","",IF(LEN(VLOOKUP($B34,Database!$B$1:$IX$10144,4,FALSE))=0,"",VLOOKUP($B34,Database!$B$1:$IX$10144,4,FALSE)))</f>
        <v>Rabins PV</v>
      </c>
      <c r="F34" s="22">
        <f>IF($B34="","",IF(LEN(VLOOKUP($B34,Database!$B$1:$IX$10144,5,FALSE))=0,"",VLOOKUP($B34,Database!$B$1:$IX$10144,5,FALSE)))</f>
        <v>1991</v>
      </c>
      <c r="G34" s="1" t="str">
        <f>IF($B34="","",HYPERLINK(IF(LEN(VLOOKUP($B34,Database!$B$1:$IX$10144,6,FALSE))=0,"",VLOOKUP($B34,Database!$B$1:$IX$10144,6,FALSE))))</f>
        <v>http://ajp.psychiatryonline.org/cgi/reprint/148/5/617</v>
      </c>
      <c r="H34" s="22">
        <f>IF($B34="","",IF(LEN(VLOOKUP($B34,Database!$B$1:$IX$10144,7,FALSE))=0,"",VLOOKUP($B34,Database!$B$1:$IX$10144,7,FALSE)))</f>
        <v>21</v>
      </c>
      <c r="I34" s="22">
        <f>IF($B34="","",IF(LEN(VLOOKUP($B34,Database!$B$1:$IX$10144,8,FALSE))=0,"",VLOOKUP($B34,Database!$B$1:$IX$10144,8,FALSE)))</f>
        <v>14</v>
      </c>
      <c r="J34" s="138" t="s">
        <v>619</v>
      </c>
      <c r="Y34" s="22" t="str">
        <f>IF(OR($B34="",Y$22=""),"",IF(LEN(VLOOKUP($B34,Database!$B$1:$IX$10144,Y$22,FALSE))=0,"",VLOOKUP($B34,Database!$B$1:$IX$10144,Y$22,FALSE)))</f>
        <v>DSM-III-R</v>
      </c>
      <c r="Z34" s="22" t="str">
        <f>IF(OR($B34="",Z$22=""),"",IF(LEN(VLOOKUP($B34,Database!$B$1:$IX$10144,Z$22,FALSE))=0,"",VLOOKUP($B34,Database!$B$1:$IX$10144,Z$22,FALSE)))</f>
        <v>MRI</v>
      </c>
      <c r="AA34" s="22" t="str">
        <f>IF(OR($B34="",AA$22=""),"",IF(LEN(VLOOKUP($B34,Database!$B$1:$IX$10144,AA$22,FALSE))=0,"",VLOOKUP($B34,Database!$B$1:$IX$10144,AA$22,FALSE)))</f>
        <v/>
      </c>
      <c r="AB34" s="22" t="str">
        <f>IF(OR($B34="",AB$22=""),"",IF(LEN(VLOOKUP($B34,Database!$B$1:$IX$10144,AB$22,FALSE))=0,"",VLOOKUP($B34,Database!$B$1:$IX$10144,AB$22,FALSE)))</f>
        <v>ns</v>
      </c>
      <c r="AC34" s="22" t="str">
        <f>IF(OR($B34="",AC$22=""),"",IF(LEN(VLOOKUP($B34,Database!$B$1:$IX$10144,AC$22,FALSE))=0,"",VLOOKUP($B34,Database!$B$1:$IX$10144,AC$22,FALSE)))</f>
        <v>ns</v>
      </c>
      <c r="AD34" s="22" t="str">
        <f>IF(OR($B34="",AD$22=""),"",IF(LEN(VLOOKUP($B34,Database!$B$1:$IX$10144,AD$22,FALSE))=0,"",VLOOKUP($B34,Database!$B$1:$IX$10144,AD$22,FALSE)))</f>
        <v>ns</v>
      </c>
      <c r="AE34" s="22" t="str">
        <f>IF(OR($B34="",AE$22=""),"",IF(LEN(VLOOKUP($B34,Database!$B$1:$IX$10144,AE$22,FALSE))=0,"",VLOOKUP($B34,Database!$B$1:$IX$10144,AE$22,FALSE)))</f>
        <v>ns</v>
      </c>
      <c r="AF34" s="22" t="str">
        <f>IF(OR($B34="",AF$22=""),"",IF(LEN(VLOOKUP($B34,Database!$B$1:$IX$10144,AF$22,FALSE))=0,"",VLOOKUP($B34,Database!$B$1:$IX$10144,AF$22,FALSE)))</f>
        <v>ns</v>
      </c>
      <c r="AG34" s="22" t="str">
        <f>IF(OR($B34="",AG$22=""),"",IF(LEN(VLOOKUP($B34,Database!$B$1:$IX$10144,AG$22,FALSE))=0,"",VLOOKUP($B34,Database!$B$1:$IX$10144,AG$22,FALSE)))</f>
        <v>ns</v>
      </c>
      <c r="AH34" s="22">
        <f>IF(OR($B34="",AH$22=""),"",IF(LEN(VLOOKUP($B34,Database!$B$1:$IX$10144,AH$22,FALSE))=0,"",VLOOKUP($B34,Database!$B$1:$IX$10144,AH$22,FALSE)))</f>
        <v>1.5</v>
      </c>
      <c r="AI34" s="22" t="str">
        <f>IF(OR($B34="",AI$22=""),"",IF(LEN(VLOOKUP($B34,Database!$B$1:$IX$10144,AI$22,FALSE))=0,"",VLOOKUP($B34,Database!$B$1:$IX$10144,AI$22,FALSE)))</f>
        <v>ns</v>
      </c>
      <c r="AJ34" s="22" t="str">
        <f>IF(OR($B34="",AJ$22=""),"",IF(LEN(VLOOKUP($B34,Database!$B$1:$IX$10144,AJ$22,FALSE))=0,"",VLOOKUP($B34,Database!$B$1:$IX$10144,AJ$22,FALSE)))</f>
        <v/>
      </c>
      <c r="AK34" s="22">
        <f>IF(OR($B34="",AK$22=""),"",IF(LEN(VLOOKUP($B34,Database!$B$1:$IX$10144,AK$22,FALSE))=0,"",VLOOKUP($B34,Database!$B$1:$IX$10144,AK$22,FALSE)))</f>
        <v>54.2</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Rabins PV, Pearlson GD, Aylward E, Kumar AJ, Dowell K.</v>
      </c>
    </row>
    <row r="35" spans="1:51">
      <c r="A35" s="10" t="s">
        <v>2332</v>
      </c>
      <c r="B35" s="13">
        <v>9506601</v>
      </c>
      <c r="C35" s="1" t="str">
        <f>IF($B35="","",HYPERLINK(IF(LEN(VLOOKUP($B35,Database!$B$1:$IX$10144,2,FALSE))=0,"",VLOOKUP($B35,Database!$B$1:$IX$10144,2,FALSE))))</f>
        <v/>
      </c>
      <c r="D35" s="1" t="str">
        <f t="shared" si="0"/>
        <v>http://www.ncbi.nlm.nih.gov/pubmed/9506601</v>
      </c>
      <c r="E35" s="22" t="str">
        <f>IF($B35="","",IF(LEN(VLOOKUP($B35,Database!$B$1:$IX$10144,4,FALSE))=0,"",VLOOKUP($B35,Database!$B$1:$IX$10144,4,FALSE)))</f>
        <v>Greenwald BS</v>
      </c>
      <c r="F35" s="22">
        <f>IF($B35="","",IF(LEN(VLOOKUP($B35,Database!$B$1:$IX$10144,5,FALSE))=0,"",VLOOKUP($B35,Database!$B$1:$IX$10144,5,FALSE)))</f>
        <v>1998</v>
      </c>
      <c r="G35" s="1" t="str">
        <f>IF($B35="","",HYPERLINK(IF(LEN(VLOOKUP($B35,Database!$B$1:$IX$10144,6,FALSE))=0,"",VLOOKUP($B35,Database!$B$1:$IX$10144,6,FALSE))))</f>
        <v>http://stroke.ahajournals.org/cgi/reprint/29/3/613</v>
      </c>
      <c r="H35" s="22">
        <f>IF($B35="","",IF(LEN(VLOOKUP($B35,Database!$B$1:$IX$10144,7,FALSE))=0,"",VLOOKUP($B35,Database!$B$1:$IX$10144,7,FALSE)))</f>
        <v>35</v>
      </c>
      <c r="I35" s="22">
        <f>IF($B35="","",IF(LEN(VLOOKUP($B35,Database!$B$1:$IX$10144,8,FALSE))=0,"",VLOOKUP($B35,Database!$B$1:$IX$10144,8,FALSE)))</f>
        <v>31</v>
      </c>
      <c r="J35" s="13" t="s">
        <v>692</v>
      </c>
      <c r="Y35" s="22" t="str">
        <f>IF(OR($B35="",Y$22=""),"",IF(LEN(VLOOKUP($B35,Database!$B$1:$IX$10144,Y$22,FALSE))=0,"",VLOOKUP($B35,Database!$B$1:$IX$10144,Y$22,FALSE)))</f>
        <v>DSM-III-R</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74.7</v>
      </c>
      <c r="AC35" s="22">
        <f>IF(OR($B35="",AC$22=""),"",IF(LEN(VLOOKUP($B35,Database!$B$1:$IX$10144,AC$22,FALSE))=0,"",VLOOKUP($B35,Database!$B$1:$IX$10144,AC$22,FALSE)))</f>
        <v>6.4</v>
      </c>
      <c r="AD35" s="22">
        <f>IF(OR($B35="",AD$22=""),"",IF(LEN(VLOOKUP($B35,Database!$B$1:$IX$10144,AD$22,FALSE))=0,"",VLOOKUP($B35,Database!$B$1:$IX$10144,AD$22,FALSE)))</f>
        <v>72.900000000000006</v>
      </c>
      <c r="AE35" s="22">
        <f>IF(OR($B35="",AE$22=""),"",IF(LEN(VLOOKUP($B35,Database!$B$1:$IX$10144,AE$22,FALSE))=0,"",VLOOKUP($B35,Database!$B$1:$IX$10144,AE$22,FALSE)))</f>
        <v>4.7</v>
      </c>
      <c r="AF35" s="22">
        <f>IF(OR($B35="",AF$22=""),"",IF(LEN(VLOOKUP($B35,Database!$B$1:$IX$10144,AF$22,FALSE))=0,"",VLOOKUP($B35,Database!$B$1:$IX$10144,AF$22,FALSE)))</f>
        <v>26</v>
      </c>
      <c r="AG35" s="22">
        <f>IF(OR($B35="",AG$22=""),"",IF(LEN(VLOOKUP($B35,Database!$B$1:$IX$10144,AG$22,FALSE))=0,"",VLOOKUP($B35,Database!$B$1:$IX$10144,AG$22,FALSE)))</f>
        <v>13</v>
      </c>
      <c r="AH35" s="22">
        <f>IF(OR($B35="",AH$22=""),"",IF(LEN(VLOOKUP($B35,Database!$B$1:$IX$10144,AH$22,FALSE))=0,"",VLOOKUP($B35,Database!$B$1:$IX$10144,AH$22,FALSE)))</f>
        <v>1</v>
      </c>
      <c r="AI35" s="22">
        <f>IF(OR($B35="",AI$22=""),"",IF(LEN(VLOOKUP($B35,Database!$B$1:$IX$10144,AI$22,FALSE))=0,"",VLOOKUP($B35,Database!$B$1:$IX$10144,AI$22,FALSE)))</f>
        <v>5</v>
      </c>
      <c r="AJ35" s="22" t="str">
        <f>IF(OR($B35="",AJ$22=""),"",IF(LEN(VLOOKUP($B35,Database!$B$1:$IX$10144,AJ$22,FALSE))=0,"",VLOOKUP($B35,Database!$B$1:$IX$10144,AJ$22,FALSE)))</f>
        <v/>
      </c>
      <c r="AK35" s="22">
        <f>IF(OR($B35="",AK$22=""),"",IF(LEN(VLOOKUP($B35,Database!$B$1:$IX$10144,AK$22,FALSE))=0,"",VLOOKUP($B35,Database!$B$1:$IX$10144,AK$22,FALSE)))</f>
        <v>56.5</v>
      </c>
      <c r="AL35" s="22">
        <f>IF(OR($B35="",AL$22=""),"",IF(LEN(VLOOKUP($B35,Database!$B$1:$IX$10144,AL$22,FALSE))=0,"",VLOOKUP($B35,Database!$B$1:$IX$10144,AL$22,FALSE)))</f>
        <v>27</v>
      </c>
      <c r="AM35" s="22" t="str">
        <f>IF(OR($B35="",AM$22=""),"",IF(LEN(VLOOKUP($B35,Database!$B$1:$IX$10144,AM$22,FALSE))=0,"",VLOOKUP($B35,Database!$B$1:$IX$10144,AM$22,FALSE)))</f>
        <v>ns</v>
      </c>
      <c r="AN35" s="22" t="str">
        <f>IF(OR($B35="",AN$22=""),"",IF(LEN(VLOOKUP($B35,Database!$B$1:$IX$10144,AN$22,FALSE))=0,"",VLOOKUP($B35,Database!$B$1:$IX$10144,AN$22,FALSE)))</f>
        <v>ns</v>
      </c>
      <c r="AO35" s="22" t="str">
        <f>IF(OR($B35="",AO$22=""),"",IF(LEN(VLOOKUP($B35,Database!$B$1:$IX$10144,AO$22,FALSE))=0,"",VLOOKUP($B35,Database!$B$1:$IX$10144,AO$22,FALSE)))</f>
        <v>ns</v>
      </c>
      <c r="AP35" s="22" t="str">
        <f>IF(OR($B35="",AP$22=""),"",IF(LEN(VLOOKUP($B35,Database!$B$1:$IX$10144,AP$22,FALSE))=0,"",VLOOKUP($B35,Database!$B$1:$IX$10144,AP$22,FALSE)))</f>
        <v>ns</v>
      </c>
      <c r="AQ35" s="22" t="str">
        <f>IF(OR($B35="",AQ$22=""),"",IF(LEN(VLOOKUP($B35,Database!$B$1:$IX$10144,AQ$22,FALSE))=0,"",VLOOKUP($B35,Database!$B$1:$IX$10144,AQ$22,FALSE)))</f>
        <v>Greenwald BS, Kramer-Ginsberg E, Krishnan KR, Ashtari M, Auerbach C, Patel M.</v>
      </c>
    </row>
    <row r="36" spans="1:51">
      <c r="A36" s="10" t="s">
        <v>2387</v>
      </c>
      <c r="B36" s="13">
        <v>10518173</v>
      </c>
      <c r="C36" s="1" t="str">
        <f>IF($B36="","",HYPERLINK(IF(LEN(VLOOKUP($B36,Database!$B$1:$IX$10144,2,FALSE))=0,"",VLOOKUP($B36,Database!$B$1:$IX$10144,2,FALSE))))</f>
        <v/>
      </c>
      <c r="D36" s="1" t="str">
        <f>IF($B36="","",HYPERLINK(CONCATENATE("http://www.ncbi.nlm.nih.gov/pubmed/",B36)))</f>
        <v>http://www.ncbi.nlm.nih.gov/pubmed/10518173</v>
      </c>
      <c r="E36" s="22" t="str">
        <f>IF($B36="","",IF(LEN(VLOOKUP($B36,Database!$B$1:$IX$10144,4,FALSE))=0,"",VLOOKUP($B36,Database!$B$1:$IX$10144,4,FALSE)))</f>
        <v>Lenze EJ (A)</v>
      </c>
      <c r="F36" s="22">
        <f>IF($B36="","",IF(LEN(VLOOKUP($B36,Database!$B$1:$IX$10144,5,FALSE))=0,"",VLOOKUP($B36,Database!$B$1:$IX$10144,5,FALSE)))</f>
        <v>1999</v>
      </c>
      <c r="G36" s="1" t="str">
        <f>IF($B36="","",HYPERLINK(IF(LEN(VLOOKUP($B36,Database!$B$1:$IX$10144,6,FALSE))=0,"",VLOOKUP($B36,Database!$B$1:$IX$10144,6,FALSE))))</f>
        <v>http://ajp.psychiatryonline.org/cgi/reprint/156/3/438</v>
      </c>
      <c r="H36" s="22">
        <f>IF($B36="","",IF(LEN(VLOOKUP($B36,Database!$B$1:$IX$10144,7,FALSE))=0,"",VLOOKUP($B36,Database!$B$1:$IX$10144,7,FALSE)))</f>
        <v>24</v>
      </c>
      <c r="I36" s="22">
        <f>IF($B36="","",IF(LEN(VLOOKUP($B36,Database!$B$1:$IX$10144,8,FALSE))=0,"",VLOOKUP($B36,Database!$B$1:$IX$10144,8,FALSE)))</f>
        <v>24</v>
      </c>
      <c r="J36" s="2" t="s">
        <v>9</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52.7</v>
      </c>
      <c r="AC36" s="22">
        <f>IF(OR($B36="",AC$22=""),"",IF(LEN(VLOOKUP($B36,Database!$B$1:$IX$10144,AC$22,FALSE))=0,"",VLOOKUP($B36,Database!$B$1:$IX$10144,AC$22,FALSE)))</f>
        <v>18.399999999999999</v>
      </c>
      <c r="AD36" s="22">
        <f>IF(OR($B36="",AD$22=""),"",IF(LEN(VLOOKUP($B36,Database!$B$1:$IX$10144,AD$22,FALSE))=0,"",VLOOKUP($B36,Database!$B$1:$IX$10144,AD$22,FALSE)))</f>
        <v>52.8</v>
      </c>
      <c r="AE36" s="22" t="str">
        <f>IF(OR($B36="",AE$22=""),"",IF(LEN(VLOOKUP($B36,Database!$B$1:$IX$10144,AE$22,FALSE))=0,"",VLOOKUP($B36,Database!$B$1:$IX$10144,AE$22,FALSE)))</f>
        <v/>
      </c>
      <c r="AF36" s="22">
        <f>IF(OR($B36="",AF$22=""),"",IF(LEN(VLOOKUP($B36,Database!$B$1:$IX$10144,AF$22,FALSE))=0,"",VLOOKUP($B36,Database!$B$1:$IX$10144,AF$22,FALSE)))</f>
        <v>24</v>
      </c>
      <c r="AG36" s="22">
        <f>IF(OR($B36="",AG$22=""),"",IF(LEN(VLOOKUP($B36,Database!$B$1:$IX$10144,AG$22,FALSE))=0,"",VLOOKUP($B36,Database!$B$1:$IX$10144,AG$22,FALSE)))</f>
        <v>24</v>
      </c>
      <c r="AH36" s="22">
        <f>IF(OR($B36="",AH$22=""),"",IF(LEN(VLOOKUP($B36,Database!$B$1:$IX$10144,AH$22,FALSE))=0,"",VLOOKUP($B36,Database!$B$1:$IX$10144,AH$22,FALSE)))</f>
        <v>1.5</v>
      </c>
      <c r="AI36" s="22" t="str">
        <f>IF(OR($B36="",AI$22=""),"",IF(LEN(VLOOKUP($B36,Database!$B$1:$IX$10144,AI$22,FALSE))=0,"",VLOOKUP($B36,Database!$B$1:$IX$10144,AI$22,FALSE)))</f>
        <v>ns</v>
      </c>
      <c r="AJ36" s="22" t="str">
        <f>IF(OR($B36="",AJ$22=""),"",IF(LEN(VLOOKUP($B36,Database!$B$1:$IX$10144,AJ$22,FALSE))=0,"",VLOOKUP($B36,Database!$B$1:$IX$10144,AJ$22,FALSE)))</f>
        <v/>
      </c>
      <c r="AK36" s="22" t="str">
        <f>IF(OR($B36="",AK$22=""),"",IF(LEN(VLOOKUP($B36,Database!$B$1:$IX$10144,AK$22,FALSE))=0,"",VLOOKUP($B36,Database!$B$1:$IX$10144,AK$22,FALSE)))</f>
        <v>ns</v>
      </c>
      <c r="AL36" s="22" t="str">
        <f>IF(OR($B36="",AL$22=""),"",IF(LEN(VLOOKUP($B36,Database!$B$1:$IX$10144,AL$22,FALSE))=0,"",VLOOKUP($B36,Database!$B$1:$IX$10144,AL$22,FALSE)))</f>
        <v>ns</v>
      </c>
      <c r="AM36" s="22">
        <f>IF(OR($B36="",AM$22=""),"",IF(LEN(VLOOKUP($B36,Database!$B$1:$IX$10144,AM$22,FALSE))=0,"",VLOOKUP($B36,Database!$B$1:$IX$10144,AM$22,FALSE)))</f>
        <v>66.666666666666657</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Lenze E, Cross D, McKeel D, Neuman RJ, Sheline YI.</v>
      </c>
    </row>
    <row r="37" spans="1:51">
      <c r="A37" s="7" t="s">
        <v>8</v>
      </c>
      <c r="B37" s="13">
        <v>14971633</v>
      </c>
      <c r="C37" s="1" t="str">
        <f>IF($B37="","",HYPERLINK(IF(LEN(VLOOKUP($B37,Database!$B$1:$IX$10144,2,FALSE))=0,"",VLOOKUP($B37,Database!$B$1:$IX$10144,2,FALSE))))</f>
        <v/>
      </c>
      <c r="D37" s="1" t="str">
        <f t="shared" si="0"/>
        <v>http://www.ncbi.nlm.nih.gov/pubmed/14971633</v>
      </c>
      <c r="E37" s="22" t="str">
        <f>IF($B37="","",IF(LEN(VLOOKUP($B37,Database!$B$1:$IX$10144,4,FALSE))=0,"",VLOOKUP($B37,Database!$B$1:$IX$10144,4,FALSE)))</f>
        <v>Baldwin R</v>
      </c>
      <c r="F37" s="22">
        <f>IF($B37="","",IF(LEN(VLOOKUP($B37,Database!$B$1:$IX$10144,5,FALSE))=0,"",VLOOKUP($B37,Database!$B$1:$IX$10144,5,FALSE)))</f>
        <v>2004</v>
      </c>
      <c r="G37" s="1" t="str">
        <f>IF($B37="","",HYPERLINK(IF(LEN(VLOOKUP($B37,Database!$B$1:$IX$10144,6,FALSE))=0,"",VLOOKUP($B37,Database!$B$1:$IX$10144,6,FALSE))))</f>
        <v>http://dx.doi.org/10.1017/S0033291703008870</v>
      </c>
      <c r="H37" s="22">
        <f>IF($B37="","",IF(LEN(VLOOKUP($B37,Database!$B$1:$IX$10144,7,FALSE))=0,"",VLOOKUP($B37,Database!$B$1:$IX$10144,7,FALSE)))</f>
        <v>50</v>
      </c>
      <c r="I37" s="22">
        <f>IF($B37="","",IF(LEN(VLOOKUP($B37,Database!$B$1:$IX$10144,8,FALSE))=0,"",VLOOKUP($B37,Database!$B$1:$IX$10144,8,FALSE)))</f>
        <v>35</v>
      </c>
      <c r="J37" t="s">
        <v>1551</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t="str">
        <f>IF(OR($B37="",AB$22=""),"",IF(LEN(VLOOKUP($B37,Database!$B$1:$IX$10144,AB$22,FALSE))=0,"",VLOOKUP($B37,Database!$B$1:$IX$10144,AB$22,FALSE)))</f>
        <v/>
      </c>
      <c r="AC37" s="22" t="str">
        <f>IF(OR($B37="",AC$22=""),"",IF(LEN(VLOOKUP($B37,Database!$B$1:$IX$10144,AC$22,FALSE))=0,"",VLOOKUP($B37,Database!$B$1:$IX$10144,AC$22,FALSE)))</f>
        <v/>
      </c>
      <c r="AD37" s="22">
        <f>IF(OR($B37="",AD$22=""),"",IF(LEN(VLOOKUP($B37,Database!$B$1:$IX$10144,AD$22,FALSE))=0,"",VLOOKUP($B37,Database!$B$1:$IX$10144,AD$22,FALSE)))</f>
        <v>72.8</v>
      </c>
      <c r="AE37" s="22">
        <f>IF(OR($B37="",AE$22=""),"",IF(LEN(VLOOKUP($B37,Database!$B$1:$IX$10144,AE$22,FALSE))=0,"",VLOOKUP($B37,Database!$B$1:$IX$10144,AE$22,FALSE)))</f>
        <v>6.56</v>
      </c>
      <c r="AF37" s="22">
        <f>IF(OR($B37="",AF$22=""),"",IF(LEN(VLOOKUP($B37,Database!$B$1:$IX$10144,AF$22,FALSE))=0,"",VLOOKUP($B37,Database!$B$1:$IX$10144,AF$22,FALSE)))</f>
        <v>30</v>
      </c>
      <c r="AG37" s="22">
        <f>IF(OR($B37="",AG$22=""),"",IF(LEN(VLOOKUP($B37,Database!$B$1:$IX$10144,AG$22,FALSE))=0,"",VLOOKUP($B37,Database!$B$1:$IX$10144,AG$22,FALSE)))</f>
        <v>24</v>
      </c>
      <c r="AH37" s="22">
        <f>IF(OR($B37="",AH$22=""),"",IF(LEN(VLOOKUP($B37,Database!$B$1:$IX$10144,AH$22,FALSE))=0,"",VLOOKUP($B37,Database!$B$1:$IX$10144,AH$22,FALSE)))</f>
        <v>1.5</v>
      </c>
      <c r="AI37" s="22">
        <f>IF(OR($B37="",AI$22=""),"",IF(LEN(VLOOKUP($B37,Database!$B$1:$IX$10144,AI$22,FALSE))=0,"",VLOOKUP($B37,Database!$B$1:$IX$10144,AI$22,FALSE)))</f>
        <v>3</v>
      </c>
      <c r="AJ37" s="22" t="str">
        <f>IF(OR($B37="",AJ$22=""),"",IF(LEN(VLOOKUP($B37,Database!$B$1:$IX$10144,AJ$22,FALSE))=0,"",VLOOKUP($B37,Database!$B$1:$IX$10144,AJ$22,FALSE)))</f>
        <v/>
      </c>
      <c r="AK37" s="22" t="str">
        <f>IF(OR($B37="",AK$22=""),"",IF(LEN(VLOOKUP($B37,Database!$B$1:$IX$10144,AK$22,FALSE))=0,"",VLOOKUP($B37,Database!$B$1:$IX$10144,AK$22,FALSE)))</f>
        <v>ns</v>
      </c>
      <c r="AL37" s="22">
        <f>IF(OR($B37="",AL$22=""),"",IF(LEN(VLOOKUP($B37,Database!$B$1:$IX$10144,AL$22,FALSE))=0,"",VLOOKUP($B37,Database!$B$1:$IX$10144,AL$22,FALSE)))</f>
        <v>4.8</v>
      </c>
      <c r="AM37" s="22" t="str">
        <f>IF(OR($B37="",AM$22=""),"",IF(LEN(VLOOKUP($B37,Database!$B$1:$IX$10144,AM$22,FALSE))=0,"",VLOOKUP($B37,Database!$B$1:$IX$10144,AM$22,FALSE)))</f>
        <v>ns</v>
      </c>
      <c r="AN37" s="22" t="str">
        <f>IF(OR($B37="",AN$22=""),"",IF(LEN(VLOOKUP($B37,Database!$B$1:$IX$10144,AN$22,FALSE))=0,"",VLOOKUP($B37,Database!$B$1:$IX$10144,AN$22,FALSE)))</f>
        <v>ns</v>
      </c>
      <c r="AO37" s="22">
        <f>IF(OR($B37="",AO$22=""),"",IF(LEN(VLOOKUP($B37,Database!$B$1:$IX$10144,AO$22,FALSE))=0,"",VLOOKUP($B37,Database!$B$1:$IX$10144,AO$22,FALSE)))</f>
        <v>14.000000000000002</v>
      </c>
      <c r="AP37" s="22" t="str">
        <f>IF(OR($B37="",AP$22=""),"",IF(LEN(VLOOKUP($B37,Database!$B$1:$IX$10144,AP$22,FALSE))=0,"",VLOOKUP($B37,Database!$B$1:$IX$10144,AP$22,FALSE)))</f>
        <v>ns</v>
      </c>
      <c r="AQ37" s="22" t="str">
        <f>IF(OR($B37="",AQ$22=""),"",IF(LEN(VLOOKUP($B37,Database!$B$1:$IX$10144,AQ$22,FALSE))=0,"",VLOOKUP($B37,Database!$B$1:$IX$10144,AQ$22,FALSE)))</f>
        <v>Baldwin R, Jeffries S, Jackson A, Sutcliffe C, Thacker N, Scott M, Burns A.</v>
      </c>
    </row>
    <row r="38" spans="1:51">
      <c r="A38" s="10" t="s">
        <v>2332</v>
      </c>
      <c r="B38">
        <v>16298109</v>
      </c>
      <c r="C38" s="1" t="str">
        <f>IF($B38="","",HYPERLINK(IF(LEN(VLOOKUP($B38,Database!$B$1:$IX$10144,2,FALSE))=0,"",VLOOKUP($B38,Database!$B$1:$IX$10144,2,FALSE))))</f>
        <v/>
      </c>
      <c r="D38" s="1" t="str">
        <f>IF($B38="","",HYPERLINK(CONCATENATE("http://www.ncbi.nlm.nih.gov/pubmed/",B38)))</f>
        <v>http://www.ncbi.nlm.nih.gov/pubmed/16298109</v>
      </c>
      <c r="E38" s="22" t="str">
        <f>IF($B38="","",IF(LEN(VLOOKUP($B38,Database!$B$1:$IX$10144,4,FALSE))=0,"",VLOOKUP($B38,Database!$B$1:$IX$10144,4,FALSE)))</f>
        <v>Iosifescu DV</v>
      </c>
      <c r="F38" s="22">
        <f>IF($B38="","",IF(LEN(VLOOKUP($B38,Database!$B$1:$IX$10144,5,FALSE))=0,"",VLOOKUP($B38,Database!$B$1:$IX$10144,5,FALSE)))</f>
        <v>2005</v>
      </c>
      <c r="G38" s="1" t="str">
        <f>IF($B38="","",HYPERLINK(IF(LEN(VLOOKUP($B38,Database!$B$1:$IX$10144,6,FALSE))=0,"",VLOOKUP($B38,Database!$B$1:$IX$10144,6,FALSE))))</f>
        <v>http://dx.doi.org/10.1016/j.pscychresns.2005.09.003</v>
      </c>
      <c r="H38" s="22">
        <f>IF($B38="","",IF(LEN(VLOOKUP($B38,Database!$B$1:$IX$10144,7,FALSE))=0,"",VLOOKUP($B38,Database!$B$1:$IX$10144,7,FALSE)))</f>
        <v>50</v>
      </c>
      <c r="I38" s="22">
        <f>IF($B38="","",IF(LEN(VLOOKUP($B38,Database!$B$1:$IX$10144,8,FALSE))=0,"",VLOOKUP($B38,Database!$B$1:$IX$10144,8,FALSE)))</f>
        <v>35</v>
      </c>
      <c r="J38" s="2" t="s">
        <v>21</v>
      </c>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22">
        <f>IF(OR($B38="",AB$22=""),"",IF(LEN(VLOOKUP($B38,Database!$B$1:$IX$10144,AB$22,FALSE))=0,"",VLOOKUP($B38,Database!$B$1:$IX$10144,AB$22,FALSE)))</f>
        <v>40.6</v>
      </c>
      <c r="AC38" s="22">
        <f>IF(OR($B38="",AC$22=""),"",IF(LEN(VLOOKUP($B38,Database!$B$1:$IX$10144,AC$22,FALSE))=0,"",VLOOKUP($B38,Database!$B$1:$IX$10144,AC$22,FALSE)))</f>
        <v>10.3</v>
      </c>
      <c r="AD38" s="22">
        <f>IF(OR($B38="",AD$22=""),"",IF(LEN(VLOOKUP($B38,Database!$B$1:$IX$10144,AD$22,FALSE))=0,"",VLOOKUP($B38,Database!$B$1:$IX$10144,AD$22,FALSE)))</f>
        <v>39.200000000000003</v>
      </c>
      <c r="AE38" s="22">
        <f>IF(OR($B38="",AE$22=""),"",IF(LEN(VLOOKUP($B38,Database!$B$1:$IX$10144,AE$22,FALSE))=0,"",VLOOKUP($B38,Database!$B$1:$IX$10144,AE$22,FALSE)))</f>
        <v>9.8000000000000007</v>
      </c>
      <c r="AF38" s="22">
        <f>IF(OR($B38="",AF$22=""),"",IF(LEN(VLOOKUP($B38,Database!$B$1:$IX$10144,AF$22,FALSE))=0,"",VLOOKUP($B38,Database!$B$1:$IX$10144,AF$22,FALSE)))</f>
        <v>17</v>
      </c>
      <c r="AG38" s="22">
        <f>IF(OR($B38="",AG$22=""),"",IF(LEN(VLOOKUP($B38,Database!$B$1:$IX$10144,AG$22,FALSE))=0,"",VLOOKUP($B38,Database!$B$1:$IX$10144,AG$22,FALSE)))</f>
        <v>14</v>
      </c>
      <c r="AH38" s="22">
        <f>IF(OR($B38="",AH$22=""),"",IF(LEN(VLOOKUP($B38,Database!$B$1:$IX$10144,AH$22,FALSE))=0,"",VLOOKUP($B38,Database!$B$1:$IX$10144,AH$22,FALSE)))</f>
        <v>1.5</v>
      </c>
      <c r="AI38" s="22">
        <f>IF(OR($B38="",AI$22=""),"",IF(LEN(VLOOKUP($B38,Database!$B$1:$IX$10144,AI$22,FALSE))=0,"",VLOOKUP($B38,Database!$B$1:$IX$10144,AI$22,FALSE)))</f>
        <v>5</v>
      </c>
      <c r="AJ38" s="22" t="str">
        <f>IF(OR($B38="",AJ$22=""),"",IF(LEN(VLOOKUP($B38,Database!$B$1:$IX$10144,AJ$22,FALSE))=0,"",VLOOKUP($B38,Database!$B$1:$IX$10144,AJ$22,FALSE)))</f>
        <v/>
      </c>
      <c r="AK38" s="22">
        <f>IF(OR($B38="",AK$22=""),"",IF(LEN(VLOOKUP($B38,Database!$B$1:$IX$10144,AK$22,FALSE))=0,"",VLOOKUP($B38,Database!$B$1:$IX$10144,AK$22,FALSE)))</f>
        <v>27.8</v>
      </c>
      <c r="AL38" s="22">
        <f>IF(OR($B38="",AL$22=""),"",IF(LEN(VLOOKUP($B38,Database!$B$1:$IX$10144,AL$22,FALSE))=0,"",VLOOKUP($B38,Database!$B$1:$IX$10144,AL$22,FALSE)))</f>
        <v>19.899999999999999</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f>IF(OR($B38="",AP$22=""),"",IF(LEN(VLOOKUP($B38,Database!$B$1:$IX$10144,AP$22,FALSE))=0,"",VLOOKUP($B38,Database!$B$1:$IX$10144,AP$22,FALSE)))</f>
        <v>100</v>
      </c>
      <c r="AQ38" s="22" t="str">
        <f>IF(OR($B38="",AQ$22=""),"",IF(LEN(VLOOKUP($B38,Database!$B$1:$IX$10144,AQ$22,FALSE))=0,"",VLOOKUP($B38,Database!$B$1:$IX$10144,AQ$22,FALSE)))</f>
        <v>Iosifescu DV, Papakostas GI, Lyoo IK, Lee HK, Renshaw PF, Alpert JE, Nierenberg A, Fava M.</v>
      </c>
    </row>
    <row r="39" spans="1:51">
      <c r="A39" s="10" t="s">
        <v>2332</v>
      </c>
      <c r="B39">
        <v>16248124</v>
      </c>
      <c r="C39" s="1" t="str">
        <f>IF($B39="","",HYPERLINK(IF(LEN(VLOOKUP($B39,Database!$B$1:$IX$10144,2,FALSE))=0,"",VLOOKUP($B39,Database!$B$1:$IX$10144,2,FALSE))))</f>
        <v/>
      </c>
      <c r="D39" s="1" t="str">
        <f>IF($B39="","",HYPERLINK(CONCATENATE("http://www.ncbi.nlm.nih.gov/pubmed/",B39)))</f>
        <v>http://www.ncbi.nlm.nih.gov/pubmed/16248124</v>
      </c>
      <c r="E39" s="22" t="str">
        <f>IF($B39="","",IF(LEN(VLOOKUP($B39,Database!$B$1:$IX$10144,4,FALSE))=0,"",VLOOKUP($B39,Database!$B$1:$IX$10144,4,FALSE)))</f>
        <v>Lin HF</v>
      </c>
      <c r="F39" s="22">
        <f>IF($B39="","",IF(LEN(VLOOKUP($B39,Database!$B$1:$IX$10144,5,FALSE))=0,"",VLOOKUP($B39,Database!$B$1:$IX$10144,5,FALSE)))</f>
        <v>2005</v>
      </c>
      <c r="G39" s="1" t="str">
        <f>IF($B39="","",HYPERLINK(IF(LEN(VLOOKUP($B39,Database!$B$1:$IX$10144,6,FALSE))=0,"",VLOOKUP($B39,Database!$B$1:$IX$10144,6,FALSE))))</f>
        <v>http://ajws.elsevier.com/ajws_archive/20059219A1045.pdf</v>
      </c>
      <c r="H39" s="22">
        <f>IF($B39="","",IF(LEN(VLOOKUP($B39,Database!$B$1:$IX$10144,7,FALSE))=0,"",VLOOKUP($B39,Database!$B$1:$IX$10144,7,FALSE)))</f>
        <v>37</v>
      </c>
      <c r="I39" s="22">
        <f>IF($B39="","",IF(LEN(VLOOKUP($B39,Database!$B$1:$IX$10144,8,FALSE))=0,"",VLOOKUP($B39,Database!$B$1:$IX$10144,8,FALSE)))</f>
        <v>18</v>
      </c>
      <c r="J39" t="s">
        <v>1775</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72.2</v>
      </c>
      <c r="AC39" s="22">
        <f>IF(OR($B39="",AC$22=""),"",IF(LEN(VLOOKUP($B39,Database!$B$1:$IX$10144,AC$22,FALSE))=0,"",VLOOKUP($B39,Database!$B$1:$IX$10144,AC$22,FALSE)))</f>
        <v>3.6</v>
      </c>
      <c r="AD39" s="22">
        <f>IF(OR($B39="",AD$22=""),"",IF(LEN(VLOOKUP($B39,Database!$B$1:$IX$10144,AD$22,FALSE))=0,"",VLOOKUP($B39,Database!$B$1:$IX$10144,AD$22,FALSE)))</f>
        <v>70.2</v>
      </c>
      <c r="AE39" s="22">
        <f>IF(OR($B39="",AE$22=""),"",IF(LEN(VLOOKUP($B39,Database!$B$1:$IX$10144,AE$22,FALSE))=0,"",VLOOKUP($B39,Database!$B$1:$IX$10144,AE$22,FALSE)))</f>
        <v>4.7</v>
      </c>
      <c r="AF39" s="22">
        <f>IF(OR($B39="",AF$22=""),"",IF(LEN(VLOOKUP($B39,Database!$B$1:$IX$10144,AF$22,FALSE))=0,"",VLOOKUP($B39,Database!$B$1:$IX$10144,AF$22,FALSE)))</f>
        <v>23</v>
      </c>
      <c r="AG39" s="22">
        <f>IF(OR($B39="",AG$22=""),"",IF(LEN(VLOOKUP($B39,Database!$B$1:$IX$10144,AG$22,FALSE))=0,"",VLOOKUP($B39,Database!$B$1:$IX$10144,AG$22,FALSE)))</f>
        <v>12</v>
      </c>
      <c r="AH39" s="22">
        <f>IF(OR($B39="",AH$22=""),"",IF(LEN(VLOOKUP($B39,Database!$B$1:$IX$10144,AH$22,FALSE))=0,"",VLOOKUP($B39,Database!$B$1:$IX$10144,AH$22,FALSE)))</f>
        <v>3</v>
      </c>
      <c r="AI39" s="22">
        <f>IF(OR($B39="",AI$22=""),"",IF(LEN(VLOOKUP($B39,Database!$B$1:$IX$10144,AI$22,FALSE))=0,"",VLOOKUP($B39,Database!$B$1:$IX$10144,AI$22,FALSE)))</f>
        <v>5</v>
      </c>
      <c r="AJ39" s="22" t="str">
        <f>IF(OR($B39="",AJ$22=""),"",IF(LEN(VLOOKUP($B39,Database!$B$1:$IX$10144,AJ$22,FALSE))=0,"",VLOOKUP($B39,Database!$B$1:$IX$10144,AJ$22,FALSE)))</f>
        <v/>
      </c>
      <c r="AK39" s="22">
        <f>IF(OR($B39="",AK$22=""),"",IF(LEN(VLOOKUP($B39,Database!$B$1:$IX$10144,AK$22,FALSE))=0,"",VLOOKUP($B39,Database!$B$1:$IX$10144,AK$22,FALSE)))</f>
        <v>63.7</v>
      </c>
      <c r="AL39" s="22">
        <f>IF(OR($B39="",AL$22=""),"",IF(LEN(VLOOKUP($B39,Database!$B$1:$IX$10144,AL$22,FALSE))=0,"",VLOOKUP($B39,Database!$B$1:$IX$10144,AL$22,FALSE)))</f>
        <v>21.9</v>
      </c>
      <c r="AM39" s="22" t="str">
        <f>IF(OR($B39="",AM$22=""),"",IF(LEN(VLOOKUP($B39,Database!$B$1:$IX$10144,AM$22,FALSE))=0,"",VLOOKUP($B39,Database!$B$1:$IX$10144,AM$22,FALSE)))</f>
        <v>ns</v>
      </c>
      <c r="AN39" s="22" t="str">
        <f>IF(OR($B39="",AN$22=""),"",IF(LEN(VLOOKUP($B39,Database!$B$1:$IX$10144,AN$22,FALSE))=0,"",VLOOKUP($B39,Database!$B$1:$IX$10144,AN$22,FALSE)))</f>
        <v>ns</v>
      </c>
      <c r="AO39" s="22" t="str">
        <f>IF(OR($B39="",AO$22=""),"",IF(LEN(VLOOKUP($B39,Database!$B$1:$IX$10144,AO$22,FALSE))=0,"",VLOOKUP($B39,Database!$B$1:$IX$10144,AO$22,FALSE)))</f>
        <v>ns</v>
      </c>
      <c r="AP39" s="22" t="str">
        <f>IF(OR($B39="",AP$22=""),"",IF(LEN(VLOOKUP($B39,Database!$B$1:$IX$10144,AP$22,FALSE))=0,"",VLOOKUP($B39,Database!$B$1:$IX$10144,AP$22,FALSE)))</f>
        <v>ns</v>
      </c>
      <c r="AQ39" s="22" t="str">
        <f>IF(OR($B39="",AQ$22=""),"",IF(LEN(VLOOKUP($B39,Database!$B$1:$IX$10144,AQ$22,FALSE))=0,"",VLOOKUP($B39,Database!$B$1:$IX$10144,AQ$22,FALSE)))</f>
        <v>Lin HF, Kuo YT, Chiang IC, Chen HM, Chen CS.</v>
      </c>
    </row>
    <row r="40" spans="1:51">
      <c r="A40" s="10" t="s">
        <v>2331</v>
      </c>
      <c r="B40">
        <v>16323250</v>
      </c>
      <c r="C40" s="1" t="str">
        <f>IF($B40="","",HYPERLINK(IF(LEN(VLOOKUP($B40,Database!$B$1:$IX$10144,2,FALSE))=0,"",VLOOKUP($B40,Database!$B$1:$IX$10144,2,FALSE))))</f>
        <v/>
      </c>
      <c r="D40" s="1" t="str">
        <f t="shared" si="0"/>
        <v>http://www.ncbi.nlm.nih.gov/pubmed/16323250</v>
      </c>
      <c r="E40" s="22" t="str">
        <f>IF($B40="","",IF(LEN(VLOOKUP($B40,Database!$B$1:$IX$10144,4,FALSE))=0,"",VLOOKUP($B40,Database!$B$1:$IX$10144,4,FALSE)))</f>
        <v>Chen CS</v>
      </c>
      <c r="F40" s="22">
        <f>IF($B40="","",IF(LEN(VLOOKUP($B40,Database!$B$1:$IX$10144,5,FALSE))=0,"",VLOOKUP($B40,Database!$B$1:$IX$10144,5,FALSE)))</f>
        <v>2006</v>
      </c>
      <c r="G40" s="1" t="str">
        <f>IF($B40="","",HYPERLINK(IF(LEN(VLOOKUP($B40,Database!$B$1:$IX$10144,6,FALSE))=0,"",VLOOKUP($B40,Database!$B$1:$IX$10144,6,FALSE))))</f>
        <v>http://www3.interscience.wiley.com/cgi-bin/fulltext/112161700/PDFSTART</v>
      </c>
      <c r="H40" s="22">
        <f>IF($B40="","",IF(LEN(VLOOKUP($B40,Database!$B$1:$IX$10144,7,FALSE))=0,"",VLOOKUP($B40,Database!$B$1:$IX$10144,7,FALSE)))</f>
        <v>14</v>
      </c>
      <c r="I40" s="22">
        <f>IF($B40="","",IF(LEN(VLOOKUP($B40,Database!$B$1:$IX$10144,8,FALSE))=0,"",VLOOKUP($B40,Database!$B$1:$IX$10144,8,FALSE)))</f>
        <v>11</v>
      </c>
      <c r="J40" t="s">
        <v>1191</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75.099999999999994</v>
      </c>
      <c r="AC40" s="22">
        <f>IF(OR($B40="",AC$22=""),"",IF(LEN(VLOOKUP($B40,Database!$B$1:$IX$10144,AC$22,FALSE))=0,"",VLOOKUP($B40,Database!$B$1:$IX$10144,AC$22,FALSE)))</f>
        <v>6.3</v>
      </c>
      <c r="AD40" s="22">
        <f>IF(OR($B40="",AD$22=""),"",IF(LEN(VLOOKUP($B40,Database!$B$1:$IX$10144,AD$22,FALSE))=0,"",VLOOKUP($B40,Database!$B$1:$IX$10144,AD$22,FALSE)))</f>
        <v>72.599999999999994</v>
      </c>
      <c r="AE40" s="22">
        <f>IF(OR($B40="",AE$22=""),"",IF(LEN(VLOOKUP($B40,Database!$B$1:$IX$10144,AE$22,FALSE))=0,"",VLOOKUP($B40,Database!$B$1:$IX$10144,AE$22,FALSE)))</f>
        <v>8.1</v>
      </c>
      <c r="AF40" s="22">
        <f>IF(OR($B40="",AF$22=""),"",IF(LEN(VLOOKUP($B40,Database!$B$1:$IX$10144,AF$22,FALSE))=0,"",VLOOKUP($B40,Database!$B$1:$IX$10144,AF$22,FALSE)))</f>
        <v>8</v>
      </c>
      <c r="AG40" s="22">
        <f>IF(OR($B40="",AG$22=""),"",IF(LEN(VLOOKUP($B40,Database!$B$1:$IX$10144,AG$22,FALSE))=0,"",VLOOKUP($B40,Database!$B$1:$IX$10144,AG$22,FALSE)))</f>
        <v>7</v>
      </c>
      <c r="AH40" s="22">
        <f>IF(OR($B40="",AH$22=""),"",IF(LEN(VLOOKUP($B40,Database!$B$1:$IX$10144,AH$22,FALSE))=0,"",VLOOKUP($B40,Database!$B$1:$IX$10144,AH$22,FALSE)))</f>
        <v>3</v>
      </c>
      <c r="AI40" s="22">
        <f>IF(OR($B40="",AI$22=""),"",IF(LEN(VLOOKUP($B40,Database!$B$1:$IX$10144,AI$22,FALSE))=0,"",VLOOKUP($B40,Database!$B$1:$IX$10144,AI$22,FALSE)))</f>
        <v>5</v>
      </c>
      <c r="AJ40" s="22" t="str">
        <f>IF(OR($B40="",AJ$22=""),"",IF(LEN(VLOOKUP($B40,Database!$B$1:$IX$10144,AJ$22,FALSE))=0,"",VLOOKUP($B40,Database!$B$1:$IX$10144,AJ$22,FALSE)))</f>
        <v/>
      </c>
      <c r="AK40" s="22">
        <f>IF(OR($B40="",AK$22=""),"",IF(LEN(VLOOKUP($B40,Database!$B$1:$IX$10144,AK$22,FALSE))=0,"",VLOOKUP($B40,Database!$B$1:$IX$10144,AK$22,FALSE)))</f>
        <v>70</v>
      </c>
      <c r="AL40" s="22">
        <f>IF(OR($B40="",AL$22=""),"",IF(LEN(VLOOKUP($B40,Database!$B$1:$IX$10144,AL$22,FALSE))=0,"",VLOOKUP($B40,Database!$B$1:$IX$10144,AL$22,FALSE)))</f>
        <v>22</v>
      </c>
      <c r="AM40" s="22" t="str">
        <f>IF(OR($B40="",AM$22=""),"",IF(LEN(VLOOKUP($B40,Database!$B$1:$IX$10144,AM$22,FALSE))=0,"",VLOOKUP($B40,Database!$B$1:$IX$10144,AM$22,FALSE)))</f>
        <v>ns</v>
      </c>
      <c r="AN40" s="22" t="str">
        <f>IF(OR($B40="",AN$22=""),"",IF(LEN(VLOOKUP($B40,Database!$B$1:$IX$10144,AN$22,FALSE))=0,"",VLOOKUP($B40,Database!$B$1:$IX$10144,AN$22,FALSE)))</f>
        <v>ns</v>
      </c>
      <c r="AO40" s="22" t="str">
        <f>IF(OR($B40="",AO$22=""),"",IF(LEN(VLOOKUP($B40,Database!$B$1:$IX$10144,AO$22,FALSE))=0,"",VLOOKUP($B40,Database!$B$1:$IX$10144,AO$22,FALSE)))</f>
        <v>ns</v>
      </c>
      <c r="AP40" s="22" t="str">
        <f>IF(OR($B40="",AP$22=""),"",IF(LEN(VLOOKUP($B40,Database!$B$1:$IX$10144,AP$22,FALSE))=0,"",VLOOKUP($B40,Database!$B$1:$IX$10144,AP$22,FALSE)))</f>
        <v>ns</v>
      </c>
      <c r="AQ40" s="22" t="str">
        <f>IF(OR($B40="",AQ$22=""),"",IF(LEN(VLOOKUP($B40,Database!$B$1:$IX$10144,AQ$22,FALSE))=0,"",VLOOKUP($B40,Database!$B$1:$IX$10144,AQ$22,FALSE)))</f>
        <v>Chen CS, Chen CC, Kuo YT, Chiang IC, Ko CH, Lin HF.</v>
      </c>
    </row>
    <row r="41" spans="1:51">
      <c r="A41" s="10" t="s">
        <v>1189</v>
      </c>
      <c r="B41" s="13">
        <v>8780429</v>
      </c>
      <c r="C41" s="1" t="str">
        <f>IF($B41="","",HYPERLINK(IF(LEN(VLOOKUP($B41,Database!$B$1:$IX$10144,2,FALSE))=0,"",VLOOKUP($B41,Database!$B$1:$IX$10144,2,FALSE))))</f>
        <v/>
      </c>
      <c r="D41" s="1" t="str">
        <f>IF($B41="","",HYPERLINK(CONCATENATE("http://www.ncbi.nlm.nih.gov/pubmed/",B41)))</f>
        <v>http://www.ncbi.nlm.nih.gov/pubmed/8780429</v>
      </c>
      <c r="E41" s="22" t="str">
        <f>IF($B41="","",IF(LEN(VLOOKUP($B41,Database!$B$1:$IX$10144,4,FALSE))=0,"",VLOOKUP($B41,Database!$B$1:$IX$10144,4,FALSE)))</f>
        <v>Greenwald BS</v>
      </c>
      <c r="F41" s="22">
        <f>IF($B41="","",IF(LEN(VLOOKUP($B41,Database!$B$1:$IX$10144,5,FALSE))=0,"",VLOOKUP($B41,Database!$B$1:$IX$10144,5,FALSE)))</f>
        <v>1996</v>
      </c>
      <c r="G41" s="1" t="str">
        <f>IF($B41="","",HYPERLINK(IF(LEN(VLOOKUP($B41,Database!$B$1:$IX$10144,6,FALSE))=0,"",VLOOKUP($B41,Database!$B$1:$IX$10144,6,FALSE))))</f>
        <v>http://ajp.psychiatryonline.org/cgi/reprint/153/9/1212</v>
      </c>
      <c r="H41" s="22">
        <f>IF($B41="","",IF(LEN(VLOOKUP($B41,Database!$B$1:$IX$10144,7,FALSE))=0,"",VLOOKUP($B41,Database!$B$1:$IX$10144,7,FALSE)))</f>
        <v>48</v>
      </c>
      <c r="I41" s="22">
        <f>IF($B41="","",IF(LEN(VLOOKUP($B41,Database!$B$1:$IX$10144,8,FALSE))=0,"",VLOOKUP($B41,Database!$B$1:$IX$10144,8,FALSE)))</f>
        <v>39</v>
      </c>
      <c r="J41" s="13" t="s">
        <v>962</v>
      </c>
      <c r="T41">
        <v>0.53</v>
      </c>
      <c r="U41">
        <v>0.93</v>
      </c>
      <c r="V41">
        <v>0.26</v>
      </c>
      <c r="W41">
        <v>0.64</v>
      </c>
      <c r="Y41" s="22" t="str">
        <f>IF(OR($B41="",Y$22=""),"",IF(LEN(VLOOKUP($B41,Database!$B$1:$IX$10144,Y$22,FALSE))=0,"",VLOOKUP($B41,Database!$B$1:$IX$10144,Y$22,FALSE)))</f>
        <v>DSM-III-R</v>
      </c>
      <c r="Z41" s="22" t="str">
        <f>IF(OR($B41="",Z$22=""),"",IF(LEN(VLOOKUP($B41,Database!$B$1:$IX$10144,Z$22,FALSE))=0,"",VLOOKUP($B41,Database!$B$1:$IX$10144,Z$22,FALSE)))</f>
        <v>MRI</v>
      </c>
      <c r="AA41" s="22" t="str">
        <f>IF(OR($B41="",AA$22=""),"",IF(LEN(VLOOKUP($B41,Database!$B$1:$IX$10144,AA$22,FALSE))=0,"",VLOOKUP($B41,Database!$B$1:$IX$10144,AA$22,FALSE)))</f>
        <v/>
      </c>
      <c r="AB41" s="22">
        <f>IF(OR($B41="",AB$22=""),"",IF(LEN(VLOOKUP($B41,Database!$B$1:$IX$10144,AB$22,FALSE))=0,"",VLOOKUP($B41,Database!$B$1:$IX$10144,AB$22,FALSE)))</f>
        <v>74.599999999999994</v>
      </c>
      <c r="AC41" s="22">
        <f>IF(OR($B41="",AC$22=""),"",IF(LEN(VLOOKUP($B41,Database!$B$1:$IX$10144,AC$22,FALSE))=0,"",VLOOKUP($B41,Database!$B$1:$IX$10144,AC$22,FALSE)))</f>
        <v>6.1</v>
      </c>
      <c r="AD41" s="22">
        <f>IF(OR($B41="",AD$22=""),"",IF(LEN(VLOOKUP($B41,Database!$B$1:$IX$10144,AD$22,FALSE))=0,"",VLOOKUP($B41,Database!$B$1:$IX$10144,AD$22,FALSE)))</f>
        <v>72.599999999999994</v>
      </c>
      <c r="AE41" s="22">
        <f>IF(OR($B41="",AE$22=""),"",IF(LEN(VLOOKUP($B41,Database!$B$1:$IX$10144,AE$22,FALSE))=0,"",VLOOKUP($B41,Database!$B$1:$IX$10144,AE$22,FALSE)))</f>
        <v>6.4</v>
      </c>
      <c r="AF41" s="22">
        <f>IF(OR($B41="",AF$22=""),"",IF(LEN(VLOOKUP($B41,Database!$B$1:$IX$10144,AF$22,FALSE))=0,"",VLOOKUP($B41,Database!$B$1:$IX$10144,AF$22,FALSE)))</f>
        <v>33</v>
      </c>
      <c r="AG41" s="22">
        <f>IF(OR($B41="",AG$22=""),"",IF(LEN(VLOOKUP($B41,Database!$B$1:$IX$10144,AG$22,FALSE))=0,"",VLOOKUP($B41,Database!$B$1:$IX$10144,AG$22,FALSE)))</f>
        <v>20</v>
      </c>
      <c r="AH41" s="22">
        <f>IF(OR($B41="",AH$22=""),"",IF(LEN(VLOOKUP($B41,Database!$B$1:$IX$10144,AH$22,FALSE))=0,"",VLOOKUP($B41,Database!$B$1:$IX$10144,AH$22,FALSE)))</f>
        <v>1</v>
      </c>
      <c r="AI41" s="22">
        <f>IF(OR($B41="",AI$22=""),"",IF(LEN(VLOOKUP($B41,Database!$B$1:$IX$10144,AI$22,FALSE))=0,"",VLOOKUP($B41,Database!$B$1:$IX$10144,AI$22,FALSE)))</f>
        <v>10</v>
      </c>
      <c r="AJ41" s="22" t="str">
        <f>IF(OR($B41="",AJ$22=""),"",IF(LEN(VLOOKUP($B41,Database!$B$1:$IX$10144,AJ$22,FALSE))=0,"",VLOOKUP($B41,Database!$B$1:$IX$10144,AJ$22,FALSE)))</f>
        <v/>
      </c>
      <c r="AK41" s="22">
        <f>IF(OR($B41="",AK$22=""),"",IF(LEN(VLOOKUP($B41,Database!$B$1:$IX$10144,AK$22,FALSE))=0,"",VLOOKUP($B41,Database!$B$1:$IX$10144,AK$22,FALSE)))</f>
        <v>62.4</v>
      </c>
      <c r="AL41" s="22">
        <f>IF(OR($B41="",AL$22=""),"",IF(LEN(VLOOKUP($B41,Database!$B$1:$IX$10144,AL$22,FALSE))=0,"",VLOOKUP($B41,Database!$B$1:$IX$10144,AL$22,FALSE)))</f>
        <v>25.9</v>
      </c>
      <c r="AM41" s="22" t="str">
        <f>IF(OR($B41="",AM$22=""),"",IF(LEN(VLOOKUP($B41,Database!$B$1:$IX$10144,AM$22,FALSE))=0,"",VLOOKUP($B41,Database!$B$1:$IX$10144,AM$22,FALSE)))</f>
        <v>ns</v>
      </c>
      <c r="AN41" s="22" t="str">
        <f>IF(OR($B41="",AN$22=""),"",IF(LEN(VLOOKUP($B41,Database!$B$1:$IX$10144,AN$22,FALSE))=0,"",VLOOKUP($B41,Database!$B$1:$IX$10144,AN$22,FALSE)))</f>
        <v>ns</v>
      </c>
      <c r="AO41" s="22" t="str">
        <f>IF(OR($B41="",AO$22=""),"",IF(LEN(VLOOKUP($B41,Database!$B$1:$IX$10144,AO$22,FALSE))=0,"",VLOOKUP($B41,Database!$B$1:$IX$10144,AO$22,FALSE)))</f>
        <v>ns</v>
      </c>
      <c r="AP41" s="22" t="str">
        <f>IF(OR($B41="",AP$22=""),"",IF(LEN(VLOOKUP($B41,Database!$B$1:$IX$10144,AP$22,FALSE))=0,"",VLOOKUP($B41,Database!$B$1:$IX$10144,AP$22,FALSE)))</f>
        <v>ns</v>
      </c>
      <c r="AQ41" s="22" t="str">
        <f>IF(OR($B41="",AQ$22=""),"",IF(LEN(VLOOKUP($B41,Database!$B$1:$IX$10144,AQ$22,FALSE))=0,"",VLOOKUP($B41,Database!$B$1:$IX$10144,AQ$22,FALSE)))</f>
        <v>Greenwald BS, Kramer-Ginsberg E, Krishnan RR, Ashtari M, Aupperle PM, Patel M.</v>
      </c>
    </row>
    <row r="42" spans="1:51">
      <c r="I42" s="22" t="str">
        <f>IF($B42="","",IF(LEN(VLOOKUP($B42,Database!$B$1:$IX$10144,8,FALSE))=0,"",VLOOKUP($B42,Database!$B$1:$IX$10144,8,FALSE)))</f>
        <v/>
      </c>
      <c r="AF42" t="s">
        <v>602</v>
      </c>
      <c r="AJ42" t="s">
        <v>329</v>
      </c>
      <c r="AN42" t="s">
        <v>330</v>
      </c>
    </row>
    <row r="43" spans="1:51" ht="45" customHeight="1">
      <c r="E43" s="60" t="s">
        <v>617</v>
      </c>
      <c r="F43" s="60" t="s">
        <v>740</v>
      </c>
      <c r="G43" s="60" t="s">
        <v>244</v>
      </c>
      <c r="H43" s="60" t="s">
        <v>245</v>
      </c>
      <c r="I43" s="60" t="s">
        <v>246</v>
      </c>
      <c r="J43" s="60" t="s">
        <v>593</v>
      </c>
      <c r="K43" s="60" t="s">
        <v>1039</v>
      </c>
      <c r="L43" s="60" t="s">
        <v>594</v>
      </c>
      <c r="M43" s="60" t="s">
        <v>1299</v>
      </c>
      <c r="N43" s="61" t="s">
        <v>595</v>
      </c>
      <c r="O43" s="61" t="s">
        <v>596</v>
      </c>
      <c r="P43" s="61" t="s">
        <v>597</v>
      </c>
      <c r="Q43" s="61" t="s">
        <v>598</v>
      </c>
      <c r="R43" s="61" t="s">
        <v>599</v>
      </c>
      <c r="S43" s="61" t="s">
        <v>600</v>
      </c>
      <c r="T43" s="61" t="s">
        <v>601</v>
      </c>
      <c r="U43" s="61" t="s">
        <v>484</v>
      </c>
      <c r="V43" s="61" t="s">
        <v>485</v>
      </c>
      <c r="W43" s="61" t="s">
        <v>486</v>
      </c>
      <c r="AF43" s="61" t="s">
        <v>1517</v>
      </c>
      <c r="AG43" s="62" t="s">
        <v>834</v>
      </c>
      <c r="AH43" s="62" t="s">
        <v>835</v>
      </c>
      <c r="AJ43" s="61" t="s">
        <v>836</v>
      </c>
      <c r="AK43" s="61" t="s">
        <v>837</v>
      </c>
      <c r="AL43" s="61" t="s">
        <v>487</v>
      </c>
      <c r="AN43" t="s">
        <v>488</v>
      </c>
      <c r="AO43" t="s">
        <v>489</v>
      </c>
      <c r="AP43" t="s">
        <v>490</v>
      </c>
      <c r="AQ43" t="s">
        <v>491</v>
      </c>
      <c r="AR43" t="s">
        <v>492</v>
      </c>
      <c r="AS43" t="s">
        <v>493</v>
      </c>
      <c r="AT43" t="s">
        <v>494</v>
      </c>
      <c r="AU43" t="s">
        <v>495</v>
      </c>
      <c r="AV43" t="s">
        <v>496</v>
      </c>
      <c r="AW43" t="s">
        <v>497</v>
      </c>
      <c r="AX43" t="s">
        <v>498</v>
      </c>
      <c r="AY43" t="s">
        <v>499</v>
      </c>
    </row>
    <row r="44" spans="1:51">
      <c r="E44" t="str">
        <f t="shared" ref="E44:F46" si="1">E24</f>
        <v>Keshavan MS</v>
      </c>
      <c r="F44">
        <f t="shared" si="1"/>
        <v>1996</v>
      </c>
      <c r="G44">
        <v>8</v>
      </c>
      <c r="H44">
        <f t="shared" ref="H44:I46" si="2">H24</f>
        <v>19</v>
      </c>
      <c r="I44">
        <f t="shared" si="2"/>
        <v>19</v>
      </c>
      <c r="J44">
        <f t="shared" ref="J44:M46" si="3">IF($D$4="Total",T24,IF($D$4="Left",L24,IF($D$4="Right",P24,"error")))</f>
        <v>0.63</v>
      </c>
      <c r="K44">
        <f t="shared" si="3"/>
        <v>0.9</v>
      </c>
      <c r="L44">
        <f t="shared" si="3"/>
        <v>0.26</v>
      </c>
      <c r="M44">
        <f t="shared" si="3"/>
        <v>0.56000000000000005</v>
      </c>
      <c r="N44">
        <f t="shared" ref="N44:N51" si="4">IF($D$3=1,SQRT((((I44-1)*(M44)^2)+((H44-1)*(K44)^2))/(H44+I44-2)),M44)</f>
        <v>0.74953318805774038</v>
      </c>
      <c r="O44" s="59">
        <f t="shared" ref="O44:O51" si="5">IF($D$6=1,LN(J44/L44),IF($D$5=1,(1-3/(4*(H44+I44)-9))*((J44-L44)/N44),(J44-L44)/N44))</f>
        <v>0.48328448694370185</v>
      </c>
      <c r="P44" s="63">
        <f t="shared" ref="P44:P51" si="6">IF($D$6=1,(K44^2)/(H44*J44^2)+(M44^2)/(I44*L44^2),(IF($D$5=1,((H44+I44)/(H44*I44))+(O44*O44)/(2*(H44+I44-3.94)),((H44+I44)/(H44*I44))+((O44^2)/(2*(H44+I44-2))))))</f>
        <v>0.10869187039210086</v>
      </c>
      <c r="Q44" s="59">
        <f t="shared" ref="Q44:Q51" si="7">$R$69*SQRT(P44)</f>
        <v>0.64618162253215983</v>
      </c>
      <c r="R44" s="59">
        <f t="shared" ref="R44:R51" si="8">1/P44</f>
        <v>9.2003201011496678</v>
      </c>
      <c r="S44" s="59">
        <f t="shared" ref="S44:S51" si="9">O44*R44</f>
        <v>4.4463719798019445</v>
      </c>
      <c r="T44" s="59">
        <f t="shared" ref="T44:T51" si="10">R44*(O44^2)</f>
        <v>2.1488626010194345</v>
      </c>
      <c r="U44" s="23">
        <f t="shared" ref="U44:U51" si="11">R44^2</f>
        <v>84.645889963618629</v>
      </c>
      <c r="V44" s="59">
        <f t="shared" ref="V44:V51" si="12">1/((1/R44)+$I$66)</f>
        <v>4.9240429083537611</v>
      </c>
      <c r="W44" s="59">
        <f t="shared" ref="W44:W51" si="13">V44*O44</f>
        <v>2.3797135506525211</v>
      </c>
      <c r="AF44" s="59">
        <f t="shared" ref="AF44:AF51" si="14">IF($D$6=1,100*((EXP(O44))-1),O44)</f>
        <v>0.48328448694370185</v>
      </c>
      <c r="AG44" s="59">
        <f t="shared" ref="AG44:AG51" si="15">IF($D$6=1,100*(EXP(O44+Q44)-EXP(O44)),Q44)</f>
        <v>0.64618162253215983</v>
      </c>
      <c r="AH44" s="59">
        <f t="shared" ref="AH44:AH51" si="16">IF($D$6=1,100*(EXP(O44)-EXP(O44-Q44)),Q44)</f>
        <v>0.64618162253215983</v>
      </c>
      <c r="AJ44">
        <f t="shared" ref="AJ44:AJ51" si="17">SQRT(P44)</f>
        <v>0.32968450129191829</v>
      </c>
      <c r="AK44">
        <f t="shared" ref="AK44:AK51" si="18">1/AJ44</f>
        <v>3.0332029442735391</v>
      </c>
      <c r="AL44">
        <f t="shared" ref="AL44:AL51" si="19">O44/AJ44</f>
        <v>1.4658999287193633</v>
      </c>
      <c r="AN44" t="str">
        <f t="shared" ref="AN44:AO51" si="20">E44</f>
        <v>Keshavan MS</v>
      </c>
      <c r="AO44">
        <f t="shared" si="20"/>
        <v>1996</v>
      </c>
      <c r="AP44" t="str">
        <f t="shared" ref="AP44:AP51" si="21">CONCATENATE(AN44," ",AO44)</f>
        <v>Keshavan MS 1996</v>
      </c>
      <c r="AQ44">
        <f t="shared" ref="AQ44:AQ51" si="22">INT(H44)</f>
        <v>19</v>
      </c>
      <c r="AR44">
        <f t="shared" ref="AR44:AS51" si="23">J44</f>
        <v>0.63</v>
      </c>
      <c r="AS44">
        <f t="shared" si="23"/>
        <v>0.9</v>
      </c>
      <c r="AT44">
        <f t="shared" ref="AT44:AT51" si="24">INT(I44)</f>
        <v>19</v>
      </c>
      <c r="AU44">
        <f t="shared" ref="AU44:AV51" si="25">L44</f>
        <v>0.26</v>
      </c>
      <c r="AV44">
        <f t="shared" si="25"/>
        <v>0.56000000000000005</v>
      </c>
      <c r="AW44" s="65">
        <f t="shared" ref="AW44:AW51" si="26">O44</f>
        <v>0.48328448694370185</v>
      </c>
      <c r="AX44">
        <f t="shared" ref="AX44:AX51" si="27">SQRT(P44)</f>
        <v>0.32968450129191829</v>
      </c>
      <c r="AY44" t="str">
        <f>$F$6</f>
        <v>Cohens Effect size</v>
      </c>
    </row>
    <row r="45" spans="1:51">
      <c r="E45" t="str">
        <f t="shared" si="1"/>
        <v>Kumar A</v>
      </c>
      <c r="F45">
        <f t="shared" si="1"/>
        <v>1997</v>
      </c>
      <c r="G45">
        <v>7</v>
      </c>
      <c r="H45">
        <f t="shared" si="2"/>
        <v>28</v>
      </c>
      <c r="I45">
        <f t="shared" si="2"/>
        <v>29</v>
      </c>
      <c r="J45">
        <f t="shared" si="3"/>
        <v>1.29</v>
      </c>
      <c r="K45">
        <f t="shared" si="3"/>
        <v>0.75</v>
      </c>
      <c r="L45">
        <f t="shared" si="3"/>
        <v>0.92</v>
      </c>
      <c r="M45">
        <f t="shared" si="3"/>
        <v>0.67</v>
      </c>
      <c r="N45">
        <f t="shared" si="4"/>
        <v>0.71039937551160104</v>
      </c>
      <c r="O45" s="59">
        <f t="shared" si="5"/>
        <v>0.51369908171232004</v>
      </c>
      <c r="P45" s="63">
        <f t="shared" si="6"/>
        <v>7.2683726831696827E-2</v>
      </c>
      <c r="Q45" s="59">
        <f t="shared" si="7"/>
        <v>0.52841442542444517</v>
      </c>
      <c r="R45" s="59">
        <f t="shared" si="8"/>
        <v>13.758237828331987</v>
      </c>
      <c r="S45" s="59">
        <f t="shared" si="9"/>
        <v>7.0675941383938463</v>
      </c>
      <c r="T45" s="59">
        <f t="shared" si="10"/>
        <v>3.6306166188082947</v>
      </c>
      <c r="U45" s="23">
        <f t="shared" si="11"/>
        <v>189.28910814094527</v>
      </c>
      <c r="V45" s="59">
        <f t="shared" si="12"/>
        <v>5.9852639951794817</v>
      </c>
      <c r="W45" s="59">
        <f t="shared" si="13"/>
        <v>3.0746246181295116</v>
      </c>
      <c r="AF45" s="59">
        <f t="shared" si="14"/>
        <v>0.51369908171232004</v>
      </c>
      <c r="AG45" s="59">
        <f t="shared" si="15"/>
        <v>0.52841442542444517</v>
      </c>
      <c r="AH45" s="59">
        <f t="shared" si="16"/>
        <v>0.52841442542444517</v>
      </c>
      <c r="AJ45">
        <f t="shared" si="17"/>
        <v>0.26959919664512511</v>
      </c>
      <c r="AK45">
        <f t="shared" si="18"/>
        <v>3.7092098657708741</v>
      </c>
      <c r="AL45">
        <f t="shared" si="19"/>
        <v>1.905417701924776</v>
      </c>
      <c r="AN45" t="str">
        <f t="shared" si="20"/>
        <v>Kumar A</v>
      </c>
      <c r="AO45">
        <f t="shared" si="20"/>
        <v>1997</v>
      </c>
      <c r="AP45" t="str">
        <f t="shared" si="21"/>
        <v>Kumar A 1997</v>
      </c>
      <c r="AQ45">
        <f t="shared" si="22"/>
        <v>28</v>
      </c>
      <c r="AR45">
        <f t="shared" si="23"/>
        <v>1.29</v>
      </c>
      <c r="AS45">
        <f t="shared" si="23"/>
        <v>0.75</v>
      </c>
      <c r="AT45">
        <f t="shared" si="24"/>
        <v>29</v>
      </c>
      <c r="AU45">
        <f t="shared" si="25"/>
        <v>0.92</v>
      </c>
      <c r="AV45">
        <f t="shared" si="25"/>
        <v>0.67</v>
      </c>
      <c r="AW45" s="65">
        <f t="shared" si="26"/>
        <v>0.51369908171232004</v>
      </c>
      <c r="AX45">
        <f t="shared" si="27"/>
        <v>0.26959919664512511</v>
      </c>
      <c r="AY45" t="str">
        <f>$F$5</f>
        <v>H Correction</v>
      </c>
    </row>
    <row r="46" spans="1:51">
      <c r="E46" t="str">
        <f t="shared" si="1"/>
        <v>Greenwald BS</v>
      </c>
      <c r="F46">
        <f t="shared" si="1"/>
        <v>2001</v>
      </c>
      <c r="G46">
        <v>6</v>
      </c>
      <c r="H46">
        <f t="shared" si="2"/>
        <v>40</v>
      </c>
      <c r="I46">
        <f t="shared" si="2"/>
        <v>21</v>
      </c>
      <c r="J46">
        <f t="shared" si="3"/>
        <v>1.37</v>
      </c>
      <c r="K46">
        <f t="shared" si="3"/>
        <v>1.1000000000000001</v>
      </c>
      <c r="L46">
        <f t="shared" si="3"/>
        <v>0.67</v>
      </c>
      <c r="M46">
        <f t="shared" si="3"/>
        <v>1.02</v>
      </c>
      <c r="N46">
        <f t="shared" si="4"/>
        <v>1.0735494746756067</v>
      </c>
      <c r="O46" s="59">
        <f t="shared" si="5"/>
        <v>0.6437186604707269</v>
      </c>
      <c r="P46" s="63">
        <f t="shared" si="6"/>
        <v>7.6250082615877512E-2</v>
      </c>
      <c r="Q46" s="59">
        <f t="shared" si="7"/>
        <v>0.54122298304594851</v>
      </c>
      <c r="R46" s="59">
        <f t="shared" si="8"/>
        <v>13.114739888711551</v>
      </c>
      <c r="S46" s="59">
        <f t="shared" si="9"/>
        <v>8.4422027935834087</v>
      </c>
      <c r="T46" s="59">
        <f t="shared" si="10"/>
        <v>5.4344034737077402</v>
      </c>
      <c r="U46" s="23">
        <f t="shared" si="11"/>
        <v>171.99640234856184</v>
      </c>
      <c r="V46" s="59">
        <f t="shared" si="12"/>
        <v>5.8601751525538077</v>
      </c>
      <c r="W46" s="59">
        <f t="shared" si="13"/>
        <v>3.7723040993257748</v>
      </c>
      <c r="AF46" s="59">
        <f t="shared" si="14"/>
        <v>0.6437186604707269</v>
      </c>
      <c r="AG46" s="59">
        <f t="shared" si="15"/>
        <v>0.54122298304594851</v>
      </c>
      <c r="AH46" s="59">
        <f t="shared" si="16"/>
        <v>0.54122298304594851</v>
      </c>
      <c r="AJ46">
        <f t="shared" si="17"/>
        <v>0.27613417502344312</v>
      </c>
      <c r="AK46">
        <f t="shared" si="18"/>
        <v>3.6214278798164061</v>
      </c>
      <c r="AL46">
        <f t="shared" si="19"/>
        <v>2.3311807037867616</v>
      </c>
      <c r="AN46" t="str">
        <f t="shared" si="20"/>
        <v>Greenwald BS</v>
      </c>
      <c r="AO46">
        <f t="shared" si="20"/>
        <v>2001</v>
      </c>
      <c r="AP46" t="str">
        <f t="shared" si="21"/>
        <v>Greenwald BS 2001</v>
      </c>
      <c r="AQ46">
        <f t="shared" si="22"/>
        <v>40</v>
      </c>
      <c r="AR46">
        <f t="shared" si="23"/>
        <v>1.37</v>
      </c>
      <c r="AS46">
        <f t="shared" si="23"/>
        <v>1.1000000000000001</v>
      </c>
      <c r="AT46">
        <f t="shared" si="24"/>
        <v>21</v>
      </c>
      <c r="AU46">
        <f t="shared" si="25"/>
        <v>0.67</v>
      </c>
      <c r="AV46">
        <f t="shared" si="25"/>
        <v>1.02</v>
      </c>
      <c r="AW46" s="65">
        <f t="shared" si="26"/>
        <v>0.6437186604707269</v>
      </c>
      <c r="AX46">
        <f t="shared" si="27"/>
        <v>0.27613417502344312</v>
      </c>
    </row>
    <row r="47" spans="1:51">
      <c r="E47" t="str">
        <f t="shared" ref="E47:F51" si="28">E27</f>
        <v>Greenwald BS</v>
      </c>
      <c r="F47">
        <f t="shared" si="28"/>
        <v>2001</v>
      </c>
      <c r="G47">
        <v>5</v>
      </c>
      <c r="H47">
        <f t="shared" ref="H47:I51" si="29">H27</f>
        <v>41</v>
      </c>
      <c r="I47">
        <f t="shared" si="29"/>
        <v>49</v>
      </c>
      <c r="J47">
        <f t="shared" ref="J47:M51" si="30">IF($D$4="Total",T27,IF($D$4="Left",L27,IF($D$4="Right",P27,"error")))</f>
        <v>0.71</v>
      </c>
      <c r="K47">
        <f t="shared" si="30"/>
        <v>0.98</v>
      </c>
      <c r="L47">
        <f t="shared" si="30"/>
        <v>0.96</v>
      </c>
      <c r="M47">
        <f t="shared" si="30"/>
        <v>1.04</v>
      </c>
      <c r="N47">
        <f t="shared" si="4"/>
        <v>1.0131678493266014</v>
      </c>
      <c r="O47" s="59">
        <f t="shared" si="5"/>
        <v>-0.24464184096247166</v>
      </c>
      <c r="P47" s="63">
        <f t="shared" si="6"/>
        <v>4.5146127539285395E-2</v>
      </c>
      <c r="Q47" s="59">
        <f t="shared" si="7"/>
        <v>0.4164533149765034</v>
      </c>
      <c r="R47" s="59">
        <f t="shared" si="8"/>
        <v>22.150294045260402</v>
      </c>
      <c r="S47" s="59">
        <f t="shared" si="9"/>
        <v>-5.4188887130925787</v>
      </c>
      <c r="T47" s="59">
        <f t="shared" si="10"/>
        <v>1.3256869107417273</v>
      </c>
      <c r="U47" s="23">
        <f t="shared" si="11"/>
        <v>490.63552629149842</v>
      </c>
      <c r="V47" s="59">
        <f t="shared" si="12"/>
        <v>7.1664342693334078</v>
      </c>
      <c r="W47" s="59">
        <f t="shared" si="13"/>
        <v>-1.7532096727862703</v>
      </c>
      <c r="AF47" s="59">
        <f t="shared" si="14"/>
        <v>-0.24464184096247166</v>
      </c>
      <c r="AG47" s="59">
        <f t="shared" si="15"/>
        <v>0.4164533149765034</v>
      </c>
      <c r="AH47" s="59">
        <f t="shared" si="16"/>
        <v>0.4164533149765034</v>
      </c>
      <c r="AJ47">
        <f t="shared" si="17"/>
        <v>0.21247618111046093</v>
      </c>
      <c r="AK47">
        <f t="shared" si="18"/>
        <v>4.7064098892107138</v>
      </c>
      <c r="AL47">
        <f t="shared" si="19"/>
        <v>-1.1513847796204912</v>
      </c>
      <c r="AN47" t="str">
        <f t="shared" si="20"/>
        <v>Greenwald BS</v>
      </c>
      <c r="AO47">
        <f t="shared" si="20"/>
        <v>2001</v>
      </c>
      <c r="AP47" t="str">
        <f t="shared" si="21"/>
        <v>Greenwald BS 2001</v>
      </c>
      <c r="AQ47">
        <f t="shared" si="22"/>
        <v>41</v>
      </c>
      <c r="AR47">
        <f t="shared" si="23"/>
        <v>0.71</v>
      </c>
      <c r="AS47">
        <f t="shared" si="23"/>
        <v>0.98</v>
      </c>
      <c r="AT47">
        <f t="shared" si="24"/>
        <v>49</v>
      </c>
      <c r="AU47">
        <f t="shared" si="25"/>
        <v>0.96</v>
      </c>
      <c r="AV47">
        <f t="shared" si="25"/>
        <v>1.04</v>
      </c>
      <c r="AW47" s="65">
        <f t="shared" si="26"/>
        <v>-0.24464184096247166</v>
      </c>
      <c r="AX47">
        <f t="shared" si="27"/>
        <v>0.21247618111046093</v>
      </c>
    </row>
    <row r="48" spans="1:51">
      <c r="E48" t="str">
        <f t="shared" si="28"/>
        <v>Lloyd AJ</v>
      </c>
      <c r="F48">
        <f t="shared" si="28"/>
        <v>2004</v>
      </c>
      <c r="G48">
        <v>4</v>
      </c>
      <c r="H48">
        <f t="shared" si="29"/>
        <v>51</v>
      </c>
      <c r="I48">
        <f t="shared" si="29"/>
        <v>39</v>
      </c>
      <c r="J48">
        <f t="shared" si="30"/>
        <v>2.5</v>
      </c>
      <c r="K48">
        <f t="shared" si="30"/>
        <v>2.73</v>
      </c>
      <c r="L48">
        <f t="shared" si="30"/>
        <v>2</v>
      </c>
      <c r="M48">
        <f t="shared" si="30"/>
        <v>2.71</v>
      </c>
      <c r="N48">
        <f t="shared" si="4"/>
        <v>2.7213816677963756</v>
      </c>
      <c r="O48" s="59">
        <f t="shared" si="5"/>
        <v>0.18215985710225926</v>
      </c>
      <c r="P48" s="63">
        <f t="shared" si="6"/>
        <v>4.5441654123037196E-2</v>
      </c>
      <c r="Q48" s="59">
        <f t="shared" si="7"/>
        <v>0.41781414346460283</v>
      </c>
      <c r="R48" s="59">
        <f t="shared" si="8"/>
        <v>22.006241174505085</v>
      </c>
      <c r="S48" s="59">
        <f t="shared" si="9"/>
        <v>4.0086537477057007</v>
      </c>
      <c r="T48" s="59">
        <f t="shared" si="10"/>
        <v>0.73021579385450652</v>
      </c>
      <c r="U48" s="23">
        <f t="shared" si="11"/>
        <v>484.27465063048294</v>
      </c>
      <c r="V48" s="59">
        <f t="shared" si="12"/>
        <v>7.1512887562761049</v>
      </c>
      <c r="W48" s="59">
        <f t="shared" si="13"/>
        <v>1.3026777379402488</v>
      </c>
      <c r="AF48" s="59">
        <f t="shared" si="14"/>
        <v>0.18215985710225926</v>
      </c>
      <c r="AG48" s="59">
        <f t="shared" si="15"/>
        <v>0.41781414346460283</v>
      </c>
      <c r="AH48" s="59">
        <f t="shared" si="16"/>
        <v>0.41781414346460283</v>
      </c>
      <c r="AJ48">
        <f t="shared" si="17"/>
        <v>0.21317048135949124</v>
      </c>
      <c r="AK48">
        <f t="shared" si="18"/>
        <v>4.6910810240823047</v>
      </c>
      <c r="AL48">
        <f t="shared" si="19"/>
        <v>0.85452664900195263</v>
      </c>
      <c r="AN48" t="str">
        <f t="shared" si="20"/>
        <v>Lloyd AJ</v>
      </c>
      <c r="AO48">
        <f t="shared" si="20"/>
        <v>2004</v>
      </c>
      <c r="AP48" t="str">
        <f t="shared" si="21"/>
        <v>Lloyd AJ 2004</v>
      </c>
      <c r="AQ48">
        <f t="shared" si="22"/>
        <v>51</v>
      </c>
      <c r="AR48">
        <f t="shared" si="23"/>
        <v>2.5</v>
      </c>
      <c r="AS48">
        <f t="shared" si="23"/>
        <v>2.73</v>
      </c>
      <c r="AT48">
        <f t="shared" si="24"/>
        <v>39</v>
      </c>
      <c r="AU48">
        <f t="shared" si="25"/>
        <v>2</v>
      </c>
      <c r="AV48">
        <f t="shared" si="25"/>
        <v>2.71</v>
      </c>
      <c r="AW48" s="65">
        <f t="shared" si="26"/>
        <v>0.18215985710225926</v>
      </c>
      <c r="AX48">
        <f t="shared" si="27"/>
        <v>0.21317048135949124</v>
      </c>
    </row>
    <row r="49" spans="5:50">
      <c r="E49" t="str">
        <f t="shared" si="28"/>
        <v>Naish JH</v>
      </c>
      <c r="F49">
        <f t="shared" si="28"/>
        <v>2006</v>
      </c>
      <c r="G49">
        <v>3</v>
      </c>
      <c r="H49">
        <f t="shared" si="29"/>
        <v>21</v>
      </c>
      <c r="I49">
        <f t="shared" si="29"/>
        <v>11</v>
      </c>
      <c r="J49">
        <f t="shared" si="30"/>
        <v>0.56000000000000005</v>
      </c>
      <c r="K49">
        <f t="shared" si="30"/>
        <v>1.637</v>
      </c>
      <c r="L49">
        <f t="shared" si="30"/>
        <v>0.72</v>
      </c>
      <c r="M49">
        <f t="shared" si="30"/>
        <v>1.1000000000000001</v>
      </c>
      <c r="N49">
        <f t="shared" si="4"/>
        <v>1.4798128260019914</v>
      </c>
      <c r="O49" s="59">
        <f t="shared" si="5"/>
        <v>-0.1053960229389253</v>
      </c>
      <c r="P49" s="63">
        <f t="shared" si="6"/>
        <v>0.1387260772603435</v>
      </c>
      <c r="Q49" s="59">
        <f t="shared" si="7"/>
        <v>0.73002061505366789</v>
      </c>
      <c r="R49" s="59">
        <f t="shared" si="8"/>
        <v>7.2084500603540231</v>
      </c>
      <c r="S49" s="59">
        <f t="shared" si="9"/>
        <v>-0.75974196791517012</v>
      </c>
      <c r="T49" s="59">
        <f t="shared" si="10"/>
        <v>8.0073781878051517E-2</v>
      </c>
      <c r="U49" s="23">
        <f t="shared" si="11"/>
        <v>51.961752272617922</v>
      </c>
      <c r="V49" s="59">
        <f t="shared" si="12"/>
        <v>4.2896480456647277</v>
      </c>
      <c r="W49" s="59">
        <f t="shared" si="13"/>
        <v>-0.45211184382079572</v>
      </c>
      <c r="AF49" s="59">
        <f t="shared" si="14"/>
        <v>-0.1053960229389253</v>
      </c>
      <c r="AG49" s="59">
        <f t="shared" si="15"/>
        <v>0.73002061505366789</v>
      </c>
      <c r="AH49" s="59">
        <f t="shared" si="16"/>
        <v>0.73002061505366789</v>
      </c>
      <c r="AJ49">
        <f t="shared" si="17"/>
        <v>0.3724594974763612</v>
      </c>
      <c r="AK49">
        <f t="shared" si="18"/>
        <v>2.6848556870629046</v>
      </c>
      <c r="AL49">
        <f t="shared" si="19"/>
        <v>-0.28297311158138599</v>
      </c>
      <c r="AN49" t="str">
        <f t="shared" si="20"/>
        <v>Naish JH</v>
      </c>
      <c r="AO49">
        <f t="shared" si="20"/>
        <v>2006</v>
      </c>
      <c r="AP49" t="str">
        <f t="shared" si="21"/>
        <v>Naish JH 2006</v>
      </c>
      <c r="AQ49">
        <f t="shared" si="22"/>
        <v>21</v>
      </c>
      <c r="AR49">
        <f t="shared" si="23"/>
        <v>0.56000000000000005</v>
      </c>
      <c r="AS49">
        <f t="shared" si="23"/>
        <v>1.637</v>
      </c>
      <c r="AT49">
        <f t="shared" si="24"/>
        <v>11</v>
      </c>
      <c r="AU49">
        <f t="shared" si="25"/>
        <v>0.72</v>
      </c>
      <c r="AV49">
        <f t="shared" si="25"/>
        <v>1.1000000000000001</v>
      </c>
      <c r="AW49" s="65">
        <f t="shared" si="26"/>
        <v>-0.1053960229389253</v>
      </c>
      <c r="AX49">
        <f t="shared" si="27"/>
        <v>0.3724594974763612</v>
      </c>
    </row>
    <row r="50" spans="5:50">
      <c r="E50" t="str">
        <f t="shared" si="28"/>
        <v>Naish JH</v>
      </c>
      <c r="F50">
        <f t="shared" si="28"/>
        <v>2006</v>
      </c>
      <c r="G50">
        <v>2</v>
      </c>
      <c r="H50">
        <f t="shared" si="29"/>
        <v>8</v>
      </c>
      <c r="I50">
        <f t="shared" si="29"/>
        <v>11</v>
      </c>
      <c r="J50">
        <f t="shared" si="30"/>
        <v>1.18</v>
      </c>
      <c r="K50">
        <f t="shared" si="30"/>
        <v>2.14</v>
      </c>
      <c r="L50">
        <f t="shared" si="30"/>
        <v>0.72</v>
      </c>
      <c r="M50">
        <f t="shared" si="30"/>
        <v>1.1000000000000001</v>
      </c>
      <c r="N50">
        <f t="shared" si="4"/>
        <v>1.6116706713659514</v>
      </c>
      <c r="O50" s="59">
        <f t="shared" si="5"/>
        <v>0.27263819642645498</v>
      </c>
      <c r="P50" s="63">
        <f t="shared" si="6"/>
        <v>0.21837693905486349</v>
      </c>
      <c r="Q50" s="59">
        <f t="shared" si="7"/>
        <v>0.91592404110448133</v>
      </c>
      <c r="R50" s="59">
        <f t="shared" si="8"/>
        <v>4.5792381023747524</v>
      </c>
      <c r="S50" s="59">
        <f t="shared" si="9"/>
        <v>1.2484752172387548</v>
      </c>
      <c r="T50" s="59">
        <f t="shared" si="10"/>
        <v>0.34038203151110064</v>
      </c>
      <c r="U50" s="23">
        <f t="shared" si="11"/>
        <v>20.969421598240721</v>
      </c>
      <c r="V50" s="59">
        <f t="shared" si="12"/>
        <v>3.1972353362243875</v>
      </c>
      <c r="W50" s="59">
        <f t="shared" si="13"/>
        <v>0.87168847561914742</v>
      </c>
      <c r="AF50" s="59">
        <f t="shared" si="14"/>
        <v>0.27263819642645498</v>
      </c>
      <c r="AG50" s="59">
        <f t="shared" si="15"/>
        <v>0.91592404110448133</v>
      </c>
      <c r="AH50" s="59">
        <f t="shared" si="16"/>
        <v>0.91592404110448133</v>
      </c>
      <c r="AJ50">
        <f t="shared" si="17"/>
        <v>0.46730818423698028</v>
      </c>
      <c r="AK50">
        <f t="shared" si="18"/>
        <v>2.1399154428095404</v>
      </c>
      <c r="AL50">
        <f t="shared" si="19"/>
        <v>0.58342268683271192</v>
      </c>
      <c r="AN50" t="str">
        <f t="shared" si="20"/>
        <v>Naish JH</v>
      </c>
      <c r="AO50">
        <f t="shared" si="20"/>
        <v>2006</v>
      </c>
      <c r="AP50" t="str">
        <f t="shared" si="21"/>
        <v>Naish JH 2006</v>
      </c>
      <c r="AQ50">
        <f t="shared" si="22"/>
        <v>8</v>
      </c>
      <c r="AR50">
        <f t="shared" si="23"/>
        <v>1.18</v>
      </c>
      <c r="AS50">
        <f t="shared" si="23"/>
        <v>2.14</v>
      </c>
      <c r="AT50">
        <f t="shared" si="24"/>
        <v>11</v>
      </c>
      <c r="AU50">
        <f t="shared" si="25"/>
        <v>0.72</v>
      </c>
      <c r="AV50">
        <f t="shared" si="25"/>
        <v>1.1000000000000001</v>
      </c>
      <c r="AW50" s="65">
        <f t="shared" si="26"/>
        <v>0.27263819642645498</v>
      </c>
      <c r="AX50">
        <f t="shared" si="27"/>
        <v>0.46730818423698028</v>
      </c>
    </row>
    <row r="51" spans="5:50">
      <c r="E51" t="str">
        <f t="shared" si="28"/>
        <v>Weber K</v>
      </c>
      <c r="F51">
        <f t="shared" si="28"/>
        <v>2009</v>
      </c>
      <c r="G51">
        <v>1</v>
      </c>
      <c r="H51">
        <f t="shared" si="29"/>
        <v>38</v>
      </c>
      <c r="I51">
        <f t="shared" si="29"/>
        <v>62</v>
      </c>
      <c r="J51">
        <f t="shared" si="30"/>
        <v>0.15</v>
      </c>
      <c r="K51">
        <f t="shared" si="30"/>
        <v>0.46</v>
      </c>
      <c r="L51">
        <f t="shared" si="30"/>
        <v>0.48</v>
      </c>
      <c r="M51">
        <f t="shared" si="30"/>
        <v>1.02</v>
      </c>
      <c r="N51">
        <f t="shared" si="4"/>
        <v>0.85292773098646191</v>
      </c>
      <c r="O51" s="59">
        <f t="shared" si="5"/>
        <v>-0.38393408819267805</v>
      </c>
      <c r="P51" s="63">
        <f t="shared" si="6"/>
        <v>4.3212078571621425E-2</v>
      </c>
      <c r="Q51" s="59">
        <f t="shared" si="7"/>
        <v>0.40743529675365736</v>
      </c>
      <c r="R51" s="59">
        <f t="shared" si="8"/>
        <v>23.141677814515681</v>
      </c>
      <c r="S51" s="59">
        <f t="shared" si="9"/>
        <v>-8.8848789709648042</v>
      </c>
      <c r="T51" s="59">
        <f t="shared" si="10"/>
        <v>3.4112079064196714</v>
      </c>
      <c r="U51" s="23">
        <f t="shared" si="11"/>
        <v>535.53725207084733</v>
      </c>
      <c r="V51" s="59">
        <f t="shared" si="12"/>
        <v>7.2671587965861457</v>
      </c>
      <c r="W51" s="59">
        <f t="shared" si="13"/>
        <v>-2.7901099863187016</v>
      </c>
      <c r="AF51" s="59">
        <f t="shared" si="14"/>
        <v>-0.38393408819267805</v>
      </c>
      <c r="AG51" s="59">
        <f t="shared" si="15"/>
        <v>0.40743529675365736</v>
      </c>
      <c r="AH51" s="59">
        <f t="shared" si="16"/>
        <v>0.40743529675365736</v>
      </c>
      <c r="AJ51">
        <f t="shared" si="17"/>
        <v>0.20787515140492724</v>
      </c>
      <c r="AK51">
        <f t="shared" si="18"/>
        <v>4.8105797794564928</v>
      </c>
      <c r="AL51">
        <f t="shared" si="19"/>
        <v>-1.8469455613037629</v>
      </c>
      <c r="AN51" t="str">
        <f t="shared" si="20"/>
        <v>Weber K</v>
      </c>
      <c r="AO51">
        <f t="shared" si="20"/>
        <v>2009</v>
      </c>
      <c r="AP51" t="str">
        <f t="shared" si="21"/>
        <v>Weber K 2009</v>
      </c>
      <c r="AQ51">
        <f t="shared" si="22"/>
        <v>38</v>
      </c>
      <c r="AR51">
        <f t="shared" si="23"/>
        <v>0.15</v>
      </c>
      <c r="AS51">
        <f t="shared" si="23"/>
        <v>0.46</v>
      </c>
      <c r="AT51">
        <f t="shared" si="24"/>
        <v>62</v>
      </c>
      <c r="AU51">
        <f t="shared" si="25"/>
        <v>0.48</v>
      </c>
      <c r="AV51">
        <f t="shared" si="25"/>
        <v>1.02</v>
      </c>
      <c r="AW51" s="65">
        <f t="shared" si="26"/>
        <v>-0.38393408819267805</v>
      </c>
      <c r="AX51">
        <f t="shared" si="27"/>
        <v>0.20787515140492724</v>
      </c>
    </row>
    <row r="52" spans="5:50">
      <c r="O52" s="59"/>
      <c r="P52" s="63"/>
      <c r="Q52" s="59"/>
      <c r="R52" s="59"/>
      <c r="S52" s="59"/>
      <c r="T52" s="59"/>
      <c r="U52" s="23"/>
      <c r="V52" s="59"/>
      <c r="W52" s="59"/>
      <c r="Y52" s="49"/>
      <c r="AD52" s="64"/>
      <c r="AF52" s="59"/>
      <c r="AG52" s="59"/>
      <c r="AH52" s="59"/>
      <c r="AW52" s="65"/>
    </row>
    <row r="53" spans="5:50">
      <c r="U53" s="23"/>
    </row>
    <row r="54" spans="5:50">
      <c r="L54" t="s">
        <v>500</v>
      </c>
      <c r="N54" s="7"/>
      <c r="O54" s="66">
        <f>COUNT(O44:O51)</f>
        <v>8</v>
      </c>
      <c r="Q54" t="s">
        <v>885</v>
      </c>
      <c r="R54" s="59">
        <f t="shared" ref="R54:W54" si="31">SUM(R44:R51)</f>
        <v>115.15919901520314</v>
      </c>
      <c r="S54" s="59">
        <f t="shared" si="31"/>
        <v>10.149788224751108</v>
      </c>
      <c r="T54" s="59">
        <f t="shared" si="31"/>
        <v>17.101449117940529</v>
      </c>
      <c r="U54" s="23">
        <f t="shared" si="31"/>
        <v>2029.310003316813</v>
      </c>
      <c r="V54" s="59">
        <f t="shared" si="31"/>
        <v>45.841247260171826</v>
      </c>
      <c r="W54" s="59">
        <f t="shared" si="31"/>
        <v>6.4055769787414389</v>
      </c>
    </row>
    <row r="55" spans="5:50">
      <c r="L55" t="s">
        <v>501</v>
      </c>
      <c r="N55" s="7"/>
      <c r="O55" s="2">
        <v>2</v>
      </c>
    </row>
    <row r="56" spans="5:50">
      <c r="N56" s="7"/>
      <c r="O56" s="7"/>
    </row>
    <row r="57" spans="5:50">
      <c r="G57" s="67" t="s">
        <v>502</v>
      </c>
      <c r="H57" s="40"/>
      <c r="I57" s="40">
        <f>S54/R54</f>
        <v>8.8137016508869154E-2</v>
      </c>
      <c r="J57" s="40"/>
      <c r="K57" s="68" t="s">
        <v>879</v>
      </c>
      <c r="L57" s="40"/>
      <c r="M57" s="42"/>
      <c r="N57" s="7"/>
      <c r="O57" s="69" t="s">
        <v>503</v>
      </c>
      <c r="P57" s="70">
        <f>T54-((S54^2)/R54)</f>
        <v>16.206877065614115</v>
      </c>
      <c r="Q57" s="71" t="s">
        <v>824</v>
      </c>
      <c r="R57" s="28"/>
      <c r="S57" s="29"/>
      <c r="T57" s="30"/>
      <c r="U57" s="31"/>
      <c r="AF57" s="2" t="s">
        <v>1518</v>
      </c>
    </row>
    <row r="58" spans="5:50">
      <c r="G58" s="43" t="s">
        <v>504</v>
      </c>
      <c r="H58" s="31"/>
      <c r="I58" s="31">
        <f>1/R54</f>
        <v>8.6836310824633424E-3</v>
      </c>
      <c r="J58" s="31"/>
      <c r="K58" s="31"/>
      <c r="L58" s="31"/>
      <c r="M58" s="44"/>
      <c r="N58" s="7"/>
      <c r="O58" s="30" t="s">
        <v>505</v>
      </c>
      <c r="P58" s="31">
        <f>CHIDIST(P57,I62-1)</f>
        <v>2.3292065855713417E-2</v>
      </c>
      <c r="Q58" s="31"/>
      <c r="R58" s="31"/>
      <c r="S58" s="34"/>
      <c r="T58" s="30"/>
      <c r="U58" s="31"/>
      <c r="AF58" s="2"/>
    </row>
    <row r="59" spans="5:50">
      <c r="G59" s="72" t="s">
        <v>506</v>
      </c>
      <c r="H59" s="31"/>
      <c r="I59" s="31">
        <f>$R$69*SQRT(I58)</f>
        <v>0.1826445651159409</v>
      </c>
      <c r="J59" s="31"/>
      <c r="K59" s="31" t="s">
        <v>507</v>
      </c>
      <c r="L59" s="31"/>
      <c r="M59" s="44">
        <f>ABS(I57/SQRT(I58))</f>
        <v>0.94581819200436945</v>
      </c>
      <c r="N59" s="7"/>
      <c r="O59" s="35" t="s">
        <v>508</v>
      </c>
      <c r="P59" s="37">
        <f>IF(((P57-(I62-1))/P57)&lt;0,0,100*((P57-(I62-1))/P57))</f>
        <v>56.808458707619906</v>
      </c>
      <c r="Q59" s="36"/>
      <c r="R59" s="36"/>
      <c r="S59" s="38"/>
      <c r="T59" s="30"/>
      <c r="U59" s="31"/>
      <c r="AF59" s="2" t="s">
        <v>1535</v>
      </c>
      <c r="AH59">
        <f>IF($D$6=1,100*((EXP(I57))-1),I57)</f>
        <v>8.8137016508869154E-2</v>
      </c>
    </row>
    <row r="60" spans="5:50">
      <c r="G60" s="45" t="s">
        <v>509</v>
      </c>
      <c r="H60" s="46"/>
      <c r="I60" s="46">
        <v>-2</v>
      </c>
      <c r="J60" s="46"/>
      <c r="K60" s="46" t="s">
        <v>825</v>
      </c>
      <c r="L60" s="46"/>
      <c r="M60" s="47">
        <f>2*(1-NORMDIST(M59,0,1,1))</f>
        <v>0.34424132510687411</v>
      </c>
      <c r="N60" s="7"/>
      <c r="O60" s="7"/>
      <c r="AF60" s="79" t="s">
        <v>834</v>
      </c>
      <c r="AH60">
        <f>IF($D$6=1,100*(EXP(I57+I59)-EXP(I57)),I59)</f>
        <v>0.1826445651159409</v>
      </c>
    </row>
    <row r="61" spans="5:50">
      <c r="G61" s="40"/>
      <c r="H61" s="40"/>
      <c r="I61" s="40"/>
      <c r="J61" s="40"/>
      <c r="K61" s="40"/>
      <c r="L61" s="40"/>
      <c r="M61" s="40"/>
      <c r="N61" s="7"/>
      <c r="O61" s="7"/>
      <c r="AF61" s="79" t="s">
        <v>835</v>
      </c>
      <c r="AH61">
        <f>IF($D$6=1,100*(EXP(I57)-EXP(I57-I59)),I59)</f>
        <v>0.1826445651159409</v>
      </c>
    </row>
    <row r="62" spans="5:50">
      <c r="G62" s="73" t="s">
        <v>1110</v>
      </c>
      <c r="H62" s="74"/>
      <c r="I62" s="74">
        <f>O54</f>
        <v>8</v>
      </c>
      <c r="J62" s="74"/>
      <c r="K62" s="75" t="s">
        <v>1167</v>
      </c>
      <c r="L62" s="74"/>
      <c r="M62" s="76"/>
      <c r="N62" s="77"/>
      <c r="O62" s="101" t="s">
        <v>1513</v>
      </c>
      <c r="P62" s="102"/>
      <c r="Q62" s="103"/>
      <c r="AF62" s="7"/>
    </row>
    <row r="63" spans="5:50">
      <c r="G63" s="77" t="s">
        <v>1531</v>
      </c>
      <c r="H63" s="31"/>
      <c r="I63" s="31">
        <f>R54/I62</f>
        <v>14.394899876900393</v>
      </c>
      <c r="J63" s="31"/>
      <c r="K63" s="31"/>
      <c r="L63" s="31"/>
      <c r="M63" s="78"/>
      <c r="N63" s="77"/>
      <c r="O63" s="104" t="s">
        <v>1514</v>
      </c>
      <c r="P63" s="31"/>
      <c r="Q63" s="105">
        <f>INDEX(LINEST(AL44:AL51,AK44:AK51,TRUE,TRUE),1,2)</f>
        <v>2.5573333736674226</v>
      </c>
      <c r="AF63" s="2" t="s">
        <v>1687</v>
      </c>
      <c r="AH63">
        <f>IF($D$6=1,100*((EXP(I68))-1),I68)</f>
        <v>0.13973391566740345</v>
      </c>
    </row>
    <row r="64" spans="5:50">
      <c r="G64" s="77" t="s">
        <v>1532</v>
      </c>
      <c r="H64" s="31"/>
      <c r="I64" s="31">
        <f>(1/(I62-1))*(U54-(I62*I63^2))</f>
        <v>53.086409084131056</v>
      </c>
      <c r="J64" s="31"/>
      <c r="K64" s="31"/>
      <c r="L64" s="31"/>
      <c r="M64" s="78"/>
      <c r="N64" s="77"/>
      <c r="O64" s="104" t="s">
        <v>1516</v>
      </c>
      <c r="P64" s="31"/>
      <c r="Q64" s="105">
        <f>INDEX(LINEST(AL44:AL51,AK44:AK51,TRUE,TRUE),2,2)</f>
        <v>2.0873069667815636</v>
      </c>
      <c r="AF64" s="79" t="s">
        <v>834</v>
      </c>
      <c r="AG64" s="7"/>
      <c r="AH64">
        <f>IF($D$6=1,100*(EXP(I68+I70)-EXP(I68)),I70)</f>
        <v>0.2894861954340906</v>
      </c>
    </row>
    <row r="65" spans="7:34">
      <c r="G65" s="77" t="s">
        <v>1669</v>
      </c>
      <c r="H65" s="31"/>
      <c r="I65" s="31">
        <f>(I62-1)*(I63-(I64/(I62*I63)))</f>
        <v>97.537419594447485</v>
      </c>
      <c r="J65" s="31"/>
      <c r="K65" s="31"/>
      <c r="L65" s="31"/>
      <c r="M65" s="78"/>
      <c r="N65" s="77"/>
      <c r="O65" s="104" t="s">
        <v>1349</v>
      </c>
      <c r="P65" s="31"/>
      <c r="Q65" s="105">
        <f>ABS(Q63/Q64)</f>
        <v>1.2251831735178831</v>
      </c>
      <c r="AF65" s="79" t="s">
        <v>835</v>
      </c>
      <c r="AH65">
        <f>IF($D$6=1,100*(EXP(I68)-EXP(I68-I70)),I70)</f>
        <v>0.2894861954340906</v>
      </c>
    </row>
    <row r="66" spans="7:34">
      <c r="G66" s="77" t="s">
        <v>1685</v>
      </c>
      <c r="H66" s="31"/>
      <c r="I66" s="31">
        <f>IF(P57&gt;(I62-1),(P57-(I62-1))/I65,0)</f>
        <v>9.439328110068472E-2</v>
      </c>
      <c r="J66" s="31"/>
      <c r="K66" s="31"/>
      <c r="L66" s="31"/>
      <c r="M66" s="78"/>
      <c r="N66" s="77"/>
      <c r="O66" s="106" t="s">
        <v>1515</v>
      </c>
      <c r="P66" s="107"/>
      <c r="Q66" s="108">
        <f>TDIST(Q65,I62-2,2)</f>
        <v>0.26641609842806036</v>
      </c>
    </row>
    <row r="67" spans="7:34">
      <c r="G67" s="77"/>
      <c r="H67" s="31"/>
      <c r="I67" s="31"/>
      <c r="J67" s="31"/>
      <c r="K67" s="31"/>
      <c r="L67" s="31"/>
      <c r="M67" s="78"/>
      <c r="N67" s="77"/>
    </row>
    <row r="68" spans="7:34">
      <c r="G68" s="77" t="s">
        <v>1686</v>
      </c>
      <c r="H68" s="31"/>
      <c r="I68" s="31">
        <f>W54/V54</f>
        <v>0.13973391566740345</v>
      </c>
      <c r="J68" s="31"/>
      <c r="N68" s="77"/>
    </row>
    <row r="69" spans="7:34">
      <c r="G69" s="77" t="s">
        <v>504</v>
      </c>
      <c r="H69" s="31"/>
      <c r="I69" s="31">
        <f>1/V54</f>
        <v>2.1814415177765643E-2</v>
      </c>
      <c r="J69" s="31"/>
      <c r="N69" s="77"/>
      <c r="O69" t="s">
        <v>805</v>
      </c>
      <c r="R69">
        <v>1.96</v>
      </c>
    </row>
    <row r="70" spans="7:34">
      <c r="G70" s="80" t="s">
        <v>506</v>
      </c>
      <c r="H70" s="31"/>
      <c r="I70" s="31">
        <f>$R$69*SQRT(I69)</f>
        <v>0.2894861954340906</v>
      </c>
      <c r="J70" s="31"/>
      <c r="K70" s="31" t="s">
        <v>507</v>
      </c>
      <c r="L70" s="31"/>
      <c r="M70" s="78">
        <f>ABS(I68/(SQRT(I69)))</f>
        <v>0.94608474955921218</v>
      </c>
      <c r="N70" s="77"/>
    </row>
    <row r="71" spans="7:34">
      <c r="G71" s="81" t="s">
        <v>509</v>
      </c>
      <c r="H71" s="82"/>
      <c r="I71" s="82">
        <v>-3</v>
      </c>
      <c r="J71" s="82"/>
      <c r="K71" s="31" t="s">
        <v>825</v>
      </c>
      <c r="L71" s="31"/>
      <c r="M71" s="78">
        <f>2*(1-NORMDIST(M70,0,1,1))</f>
        <v>0.34410536156974603</v>
      </c>
      <c r="N71" s="77"/>
    </row>
    <row r="72" spans="7:34">
      <c r="G72" s="74"/>
      <c r="H72" s="74"/>
      <c r="I72" s="74"/>
      <c r="J72" s="74"/>
      <c r="K72" s="74"/>
      <c r="L72" s="74"/>
      <c r="M72" s="74"/>
      <c r="N72" s="31"/>
      <c r="O72" s="7"/>
    </row>
  </sheetData>
  <phoneticPr fontId="10" type="noConversion"/>
  <conditionalFormatting sqref="AD52">
    <cfRule type="cellIs" dxfId="6" priority="0" stopIfTrue="1" operator="lessThanOrEqual">
      <formula>0.05</formula>
    </cfRule>
  </conditionalFormatting>
  <conditionalFormatting sqref="Y52">
    <cfRule type="cellIs" dxfId="5" priority="0" stopIfTrue="1" operator="lessThan">
      <formula>0.05</formula>
    </cfRule>
  </conditionalFormatting>
  <conditionalFormatting sqref="D17 D13 F13">
    <cfRule type="cellIs" dxfId="4" priority="0" stopIfTrue="1" operator="lessThan">
      <formula>0.05</formula>
    </cfRule>
  </conditionalFormatting>
  <conditionalFormatting sqref="D21">
    <cfRule type="cellIs" dxfId="3"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77.xml><?xml version="1.0" encoding="utf-8"?>
<worksheet xmlns="http://schemas.openxmlformats.org/spreadsheetml/2006/main" xmlns:r="http://schemas.openxmlformats.org/officeDocument/2006/relationships">
  <sheetPr published="0" enableFormatConditionsCalculation="0"/>
  <dimension ref="A1:O228"/>
  <sheetViews>
    <sheetView workbookViewId="0"/>
  </sheetViews>
  <sheetFormatPr defaultColWidth="8.77734375" defaultRowHeight="13.2"/>
  <cols>
    <col min="1" max="1" width="9.44140625" customWidth="1"/>
    <col min="2" max="2" width="13.6640625" customWidth="1"/>
  </cols>
  <sheetData>
    <row r="1" spans="2:6" ht="28.05" customHeight="1" thickBot="1">
      <c r="B1" s="192" t="s">
        <v>91</v>
      </c>
      <c r="C1" s="193" t="s">
        <v>92</v>
      </c>
      <c r="D1" s="212" t="s">
        <v>80</v>
      </c>
      <c r="E1" s="199" t="s">
        <v>733</v>
      </c>
      <c r="F1" s="201" t="s">
        <v>81</v>
      </c>
    </row>
    <row r="3" spans="2:6">
      <c r="B3" s="4" t="s">
        <v>95</v>
      </c>
    </row>
    <row r="5" spans="2:6">
      <c r="B5" t="s">
        <v>96</v>
      </c>
    </row>
    <row r="7" spans="2:6">
      <c r="B7" s="191" t="s">
        <v>101</v>
      </c>
      <c r="C7" s="185"/>
      <c r="D7" s="185"/>
      <c r="E7" s="185"/>
    </row>
    <row r="8" spans="2:6">
      <c r="B8" s="191" t="s">
        <v>102</v>
      </c>
      <c r="C8" s="185"/>
      <c r="D8" s="185"/>
      <c r="E8" s="185"/>
    </row>
    <row r="9" spans="2:6">
      <c r="B9" s="191" t="s">
        <v>97</v>
      </c>
      <c r="C9" s="185"/>
      <c r="D9" s="185"/>
      <c r="E9" s="185"/>
    </row>
    <row r="10" spans="2:6">
      <c r="B10" s="191" t="s">
        <v>103</v>
      </c>
      <c r="C10" s="185"/>
      <c r="D10" s="185"/>
      <c r="E10" s="185"/>
    </row>
    <row r="11" spans="2:6">
      <c r="B11" s="191" t="s">
        <v>98</v>
      </c>
      <c r="C11" s="185"/>
      <c r="D11" s="185"/>
      <c r="E11" s="185"/>
    </row>
    <row r="12" spans="2:6">
      <c r="B12" s="191" t="s">
        <v>52</v>
      </c>
      <c r="C12" s="185"/>
      <c r="D12" s="185"/>
      <c r="E12" s="185"/>
    </row>
    <row r="13" spans="2:6">
      <c r="B13" s="191" t="s">
        <v>99</v>
      </c>
      <c r="C13" s="185"/>
      <c r="D13" s="185"/>
      <c r="E13" s="185"/>
    </row>
    <row r="14" spans="2:6">
      <c r="B14" s="191" t="s">
        <v>2473</v>
      </c>
      <c r="C14" s="185"/>
      <c r="D14" s="185"/>
      <c r="E14" s="185"/>
    </row>
    <row r="15" spans="2:6">
      <c r="B15" s="191" t="s">
        <v>2474</v>
      </c>
      <c r="C15" s="185"/>
      <c r="D15" s="185"/>
      <c r="E15" s="185"/>
    </row>
    <row r="19" spans="1:1">
      <c r="A19" s="1" t="s">
        <v>100</v>
      </c>
    </row>
    <row r="47" spans="1:1">
      <c r="A47" s="1" t="s">
        <v>100</v>
      </c>
    </row>
    <row r="70" spans="1:1">
      <c r="A70" s="1" t="s">
        <v>100</v>
      </c>
    </row>
    <row r="99" spans="1:15">
      <c r="A99" s="1" t="s">
        <v>100</v>
      </c>
    </row>
    <row r="103" spans="1:15">
      <c r="O103" s="4" t="s">
        <v>151</v>
      </c>
    </row>
    <row r="104" spans="1:15">
      <c r="O104" s="4"/>
    </row>
    <row r="105" spans="1:15">
      <c r="O105" s="4"/>
    </row>
    <row r="106" spans="1:15">
      <c r="O106" s="4" t="s">
        <v>296</v>
      </c>
    </row>
    <row r="107" spans="1:15">
      <c r="O107" s="4"/>
    </row>
    <row r="108" spans="1:15">
      <c r="O108" s="4"/>
    </row>
    <row r="109" spans="1:15">
      <c r="O109" s="4"/>
    </row>
    <row r="110" spans="1:15">
      <c r="O110" s="4" t="s">
        <v>150</v>
      </c>
    </row>
    <row r="111" spans="1:15">
      <c r="O111" s="4"/>
    </row>
    <row r="112" spans="1:15">
      <c r="O112" s="4"/>
    </row>
    <row r="113" spans="1:15">
      <c r="O113" s="4"/>
    </row>
    <row r="114" spans="1:15">
      <c r="O114" s="4" t="s">
        <v>152</v>
      </c>
    </row>
    <row r="125" spans="1:15">
      <c r="A125" s="1" t="s">
        <v>100</v>
      </c>
    </row>
    <row r="150" spans="1:1">
      <c r="A150" s="1" t="s">
        <v>100</v>
      </c>
    </row>
    <row r="173" spans="1:1">
      <c r="A173" s="1" t="s">
        <v>100</v>
      </c>
    </row>
    <row r="202" spans="1:1">
      <c r="A202" s="219" t="s">
        <v>100</v>
      </c>
    </row>
    <row r="228" spans="1:1">
      <c r="A228" s="219" t="s">
        <v>100</v>
      </c>
    </row>
  </sheetData>
  <hyperlinks>
    <hyperlink ref="C1" location="Intro!A1" display="Intro"/>
    <hyperlink ref="D1" location="Database!A1" display="Database"/>
    <hyperlink ref="E1" location="Summary!A1" display="Summary"/>
    <hyperlink ref="B7" location="Graphs!A45" display="Age mean and SD of MDD and control group"/>
    <hyperlink ref="B8" location="Graphs!A69" display="MDD Diagnosis system"/>
    <hyperlink ref="B9" location="Graphs!A98" display="Medications used in studies"/>
    <hyperlink ref="B10" location="Graphs!A124" display="Progression of diagnostic system"/>
    <hyperlink ref="B11" location="Graphs!A149" display="Number of patients and controls in each study"/>
    <hyperlink ref="B12" location="Graphs!A172" display="Number of studies published each year"/>
    <hyperlink ref="B13" location="Graphs!A198" display="Total number of subjects per study"/>
    <hyperlink ref="A19" location="Graphs!A1" display="Back to Top"/>
    <hyperlink ref="A47" location="Graphs!A1" display="Back to Top"/>
    <hyperlink ref="A70" location="Graphs!A1" display="Back to Top"/>
    <hyperlink ref="A99" location="Graphs!A1" display="Back to Top"/>
    <hyperlink ref="A125" location="Graphs!A1" display="Back to Top"/>
    <hyperlink ref="A150" location="Graphs!A1" display="Back to Top"/>
    <hyperlink ref="A173" location="Graphs!A1" display="Back to Top"/>
    <hyperlink ref="B14:B15" location="Graphs!A198" display="Total number of subjects per study"/>
    <hyperlink ref="B14" location="Graphs!A225" display="Brain Imaging Slice Thickness"/>
    <hyperlink ref="B15" location="Graphs!A247" display="Gender Matching in Studies"/>
    <hyperlink ref="A202" location="Graphs!A1" display="Back to Top"/>
    <hyperlink ref="A228" location="Graphs!A1" display="Back to Top"/>
  </hyperlinks>
  <pageMargins left="0.7" right="0.7" top="0.75" bottom="0.75" header="0.3" footer="0.3"/>
  <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sheetPr published="0" codeName="Sheet22" enableFormatConditionsCalculation="0"/>
  <dimension ref="A1:BM7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14.33203125" customWidth="1"/>
    <col min="6" max="6" width="6.44140625" customWidth="1"/>
    <col min="7" max="23" width="5.6640625" customWidth="1"/>
    <col min="24" max="24" width="9.6640625" customWidth="1"/>
    <col min="25" max="25" width="7.33203125" customWidth="1"/>
    <col min="26" max="44" width="5.6640625" customWidth="1"/>
    <col min="45" max="45" width="7.44140625" customWidth="1"/>
    <col min="46" max="48" width="5.6640625" customWidth="1"/>
    <col min="49" max="49" width="6.6640625" customWidth="1"/>
    <col min="50" max="50" width="7.33203125" customWidth="1"/>
    <col min="51" max="51" width="6.88671875" customWidth="1"/>
    <col min="52" max="53" width="5.6640625" customWidth="1"/>
  </cols>
  <sheetData>
    <row r="1" spans="2:30">
      <c r="B1" s="4" t="s">
        <v>1337</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I60-O53</f>
        <v>8</v>
      </c>
      <c r="AD7" s="89"/>
    </row>
    <row r="8" spans="2:30">
      <c r="B8" t="s">
        <v>822</v>
      </c>
      <c r="D8">
        <f>SUM(H24:H33)</f>
        <v>259</v>
      </c>
      <c r="AD8" s="89"/>
    </row>
    <row r="9" spans="2:30">
      <c r="B9" t="s">
        <v>823</v>
      </c>
      <c r="D9">
        <f>SUM(I24:I33)</f>
        <v>218</v>
      </c>
      <c r="AD9" s="89"/>
    </row>
    <row r="11" spans="2:30">
      <c r="B11" s="27" t="s">
        <v>516</v>
      </c>
      <c r="C11" s="28"/>
      <c r="D11" s="109">
        <f>P55</f>
        <v>18.925554024373781</v>
      </c>
      <c r="E11" s="110" t="s">
        <v>1513</v>
      </c>
      <c r="F11" s="103"/>
    </row>
    <row r="12" spans="2:30">
      <c r="B12" s="30" t="s">
        <v>826</v>
      </c>
      <c r="C12" s="31"/>
      <c r="D12" s="112">
        <f>P57</f>
        <v>52.445249484326276</v>
      </c>
      <c r="E12" s="31"/>
      <c r="F12" s="105"/>
    </row>
    <row r="13" spans="2:30">
      <c r="B13" s="35" t="s">
        <v>825</v>
      </c>
      <c r="C13" s="36"/>
      <c r="D13" s="113">
        <f>P56</f>
        <v>2.5833386173568333E-2</v>
      </c>
      <c r="E13" s="111" t="s">
        <v>825</v>
      </c>
      <c r="F13" s="115">
        <f>Q64</f>
        <v>0.6005570902086943</v>
      </c>
    </row>
    <row r="15" spans="2:30">
      <c r="B15" s="39" t="s">
        <v>879</v>
      </c>
      <c r="C15" s="40"/>
      <c r="D15" s="41">
        <f>AH57</f>
        <v>0.55713463050574152</v>
      </c>
      <c r="E15" s="116"/>
    </row>
    <row r="16" spans="2:30">
      <c r="B16" s="43" t="s">
        <v>1165</v>
      </c>
      <c r="C16" s="31"/>
      <c r="D16" s="33">
        <f>AH57-AH59</f>
        <v>0.36832178892924405</v>
      </c>
      <c r="E16" s="117">
        <f>AH57+AH58</f>
        <v>0.74594747208223899</v>
      </c>
    </row>
    <row r="17" spans="1:65">
      <c r="B17" s="45" t="s">
        <v>1166</v>
      </c>
      <c r="C17" s="46"/>
      <c r="D17" s="123">
        <f>M58</f>
        <v>7.3197210515019151E-9</v>
      </c>
      <c r="E17" s="118"/>
    </row>
    <row r="18" spans="1:65">
      <c r="D18" s="48"/>
      <c r="F18" s="49"/>
    </row>
    <row r="19" spans="1:65">
      <c r="B19" s="50" t="s">
        <v>1167</v>
      </c>
      <c r="C19" s="51"/>
      <c r="D19" s="52">
        <f>AH61</f>
        <v>0.53992471257039887</v>
      </c>
      <c r="E19" s="120"/>
      <c r="F19" s="33"/>
      <c r="G19" s="31"/>
    </row>
    <row r="20" spans="1:65">
      <c r="B20" s="53" t="s">
        <v>1165</v>
      </c>
      <c r="C20" s="31"/>
      <c r="D20" s="33">
        <f>AH61-AH63</f>
        <v>0.26173705757896704</v>
      </c>
      <c r="E20" s="121">
        <f>AH61+AH62</f>
        <v>0.8181123675618307</v>
      </c>
      <c r="F20" s="31"/>
      <c r="G20" s="31"/>
    </row>
    <row r="21" spans="1:65">
      <c r="B21" s="54" t="s">
        <v>1440</v>
      </c>
      <c r="C21" s="55"/>
      <c r="D21" s="114">
        <f>M69</f>
        <v>1.4232320684670619E-4</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A24" t="s">
        <v>1909</v>
      </c>
      <c r="B24">
        <v>9169241</v>
      </c>
      <c r="C24" s="1" t="str">
        <f>IF($B24="","",HYPERLINK(IF(LEN(VLOOKUP($B24,Database!$B$1:$IX$10144,2,FALSE))=0,"",VLOOKUP($B24,Database!$B$1:$IX$10144,2,FALSE))))</f>
        <v/>
      </c>
      <c r="D24" s="1" t="str">
        <f t="shared" ref="D24:D37" si="0">IF($B24="","",HYPERLINK(CONCATENATE("http://www.ncbi.nlm.nih.gov/pubmed/",B24)))</f>
        <v>http://www.ncbi.nlm.nih.gov/pubmed/9169241</v>
      </c>
      <c r="E24" s="22" t="str">
        <f>IF($B24="","",IF(LEN(VLOOKUP($B24,Database!$B$1:$IX$10144,4,FALSE))=0,"",VLOOKUP($B24,Database!$B$1:$IX$10144,4,FALSE)))</f>
        <v>Kumar A</v>
      </c>
      <c r="F24" s="22">
        <f>IF($B24="","",IF(LEN(VLOOKUP($B24,Database!$B$1:$IX$10144,5,FALSE))=0,"",VLOOKUP($B24,Database!$B$1:$IX$10144,5,FALSE)))</f>
        <v>1997</v>
      </c>
      <c r="G24" s="1" t="str">
        <f>IF($B24="","",HYPERLINK(IF(LEN(VLOOKUP($B24,Database!$B$1:$IX$10144,6,FALSE))=0,"",VLOOKUP($B24,Database!$B$1:$IX$10144,6,FALSE))))</f>
        <v>http://ajgponline.org/cgi/content/abstract/5/1/15</v>
      </c>
      <c r="H24" s="22">
        <f>IF($B24="","",IF(LEN(VLOOKUP($B24,Database!$B$1:$IX$10144,7,FALSE))=0,"",VLOOKUP($B24,Database!$B$1:$IX$10144,7,FALSE)))</f>
        <v>28</v>
      </c>
      <c r="I24" s="22">
        <f>IF($B24="","",IF(LEN(VLOOKUP($B24,Database!$B$1:$IX$10144,8,FALSE))=0,"",VLOOKUP($B24,Database!$B$1:$IX$10144,8,FALSE)))</f>
        <v>29</v>
      </c>
      <c r="J24" t="s">
        <v>1566</v>
      </c>
      <c r="T24">
        <v>204.3</v>
      </c>
      <c r="U24">
        <v>54.5</v>
      </c>
      <c r="V24">
        <v>155.9</v>
      </c>
      <c r="W24">
        <v>35.799999999999997</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74.2</v>
      </c>
      <c r="AC24" s="22">
        <f>IF(OR($B24="",AC$22=""),"",IF(LEN(VLOOKUP($B24,Database!$B$1:$IX$10144,AC$22,FALSE))=0,"",VLOOKUP($B24,Database!$B$1:$IX$10144,AC$22,FALSE)))</f>
        <v>8.1999999999999993</v>
      </c>
      <c r="AD24" s="22">
        <f>IF(OR($B24="",AD$22=""),"",IF(LEN(VLOOKUP($B24,Database!$B$1:$IX$10144,AD$22,FALSE))=0,"",VLOOKUP($B24,Database!$B$1:$IX$10144,AD$22,FALSE)))</f>
        <v>67.2</v>
      </c>
      <c r="AE24" s="22">
        <f>IF(OR($B24="",AE$22=""),"",IF(LEN(VLOOKUP($B24,Database!$B$1:$IX$10144,AE$22,FALSE))=0,"",VLOOKUP($B24,Database!$B$1:$IX$10144,AE$22,FALSE)))</f>
        <v>8.4</v>
      </c>
      <c r="AF24" s="22">
        <f>IF(OR($B24="",AF$22=""),"",IF(LEN(VLOOKUP($B24,Database!$B$1:$IX$10144,AF$22,FALSE))=0,"",VLOOKUP($B24,Database!$B$1:$IX$10144,AF$22,FALSE)))</f>
        <v>17</v>
      </c>
      <c r="AG24" s="22">
        <f>IF(OR($B24="",AG$22=""),"",IF(LEN(VLOOKUP($B24,Database!$B$1:$IX$10144,AG$22,FALSE))=0,"",VLOOKUP($B24,Database!$B$1:$IX$10144,AG$22,FALSE)))</f>
        <v>17</v>
      </c>
      <c r="AH24" s="22">
        <f>IF(OR($B24="",AH$22=""),"",IF(LEN(VLOOKUP($B24,Database!$B$1:$IX$10144,AH$22,FALSE))=0,"",VLOOKUP($B24,Database!$B$1:$IX$10144,AH$22,FALSE)))</f>
        <v>1.5</v>
      </c>
      <c r="AI24" s="22">
        <f>IF(OR($B24="",AI$22=""),"",IF(LEN(VLOOKUP($B24,Database!$B$1:$IX$10144,AI$22,FALSE))=0,"",VLOOKUP($B24,Database!$B$1:$IX$10144,AI$22,FALSE)))</f>
        <v>5</v>
      </c>
      <c r="AJ24" s="22" t="str">
        <f>IF(OR($B24="",AJ$22=""),"",IF(LEN(VLOOKUP($B24,Database!$B$1:$IX$10144,AJ$22,FALSE))=0,"",VLOOKUP($B24,Database!$B$1:$IX$10144,AJ$22,FALSE)))</f>
        <v/>
      </c>
      <c r="AK24" s="22" t="str">
        <f>IF(OR($B24="",AK$22=""),"",IF(LEN(VLOOKUP($B24,Database!$B$1:$IX$10144,AK$22,FALSE))=0,"",VLOOKUP($B24,Database!$B$1:$IX$10144,AK$22,FALSE)))</f>
        <v>ns</v>
      </c>
      <c r="AL24" s="22">
        <f>IF(OR($B24="",AL$22=""),"",IF(LEN(VLOOKUP($B24,Database!$B$1:$IX$10144,AL$22,FALSE))=0,"",VLOOKUP($B24,Database!$B$1:$IX$10144,AL$22,FALSE)))</f>
        <v>19.57</v>
      </c>
      <c r="AM24" s="22" t="str">
        <f>IF(OR($B24="",AM$22=""),"",IF(LEN(VLOOKUP($B24,Database!$B$1:$IX$10144,AM$22,FALSE))=0,"",VLOOKUP($B24,Database!$B$1:$IX$10144,AM$22,FALSE)))</f>
        <v>ns</v>
      </c>
      <c r="AN24" s="22" t="str">
        <f>IF(OR($B24="",AN$22=""),"",IF(LEN(VLOOKUP($B24,Database!$B$1:$IX$10144,AN$22,FALSE))=0,"",VLOOKUP($B24,Database!$B$1:$IX$10144,AN$22,FALSE)))</f>
        <v>ns</v>
      </c>
      <c r="AO24" s="22"/>
      <c r="AP24" s="22" t="str">
        <f>IF(OR($B24="",AP$22=""),"",IF(LEN(VLOOKUP($B24,Database!$B$1:$IX$10144,AP$22,FALSE))=0,"",VLOOKUP($B24,Database!$B$1:$IX$10144,AP$22,FALSE)))</f>
        <v>ns</v>
      </c>
      <c r="AQ24" s="22" t="str">
        <f>IF(OR($B24="",AQ$22=""),"",IF(LEN(VLOOKUP($B24,Database!$B$1:$IX$10144,AQ$22,FALSE))=0,"",VLOOKUP($B24,Database!$B$1:$IX$10144,AQ$22,FALSE)))</f>
        <v>Kumar A, Miller D, Ewbank D, Yousem D, Newberg A, Samuels S, Cowell P, Gottlieb G.</v>
      </c>
      <c r="AR24" s="13"/>
      <c r="BC24" s="23"/>
      <c r="BF24" s="136"/>
      <c r="BG24" s="136"/>
      <c r="BH24" s="136"/>
      <c r="BI24" s="136"/>
    </row>
    <row r="25" spans="1:65">
      <c r="B25">
        <v>9089060</v>
      </c>
      <c r="C25" s="1" t="str">
        <f>IF($B25="","",HYPERLINK(IF(LEN(VLOOKUP($B25,Database!$B$1:$IX$10144,2,FALSE))=0,"",VLOOKUP($B25,Database!$B$1:$IX$10144,2,FALSE))))</f>
        <v/>
      </c>
      <c r="D25" s="1" t="str">
        <f t="shared" si="0"/>
        <v>http://www.ncbi.nlm.nih.gov/pubmed/9089060</v>
      </c>
      <c r="E25" s="22" t="str">
        <f>IF($B25="","",IF(LEN(VLOOKUP($B25,Database!$B$1:$IX$10144,4,FALSE))=0,"",VLOOKUP($B25,Database!$B$1:$IX$10144,4,FALSE)))</f>
        <v>Pantel J</v>
      </c>
      <c r="F25" s="22">
        <f>IF($B25="","",IF(LEN(VLOOKUP($B25,Database!$B$1:$IX$10144,5,FALSE))=0,"",VLOOKUP($B25,Database!$B$1:$IX$10144,5,FALSE)))</f>
        <v>1997</v>
      </c>
      <c r="G25" s="1" t="str">
        <f>IF($B25="","",HYPERLINK(IF(LEN(VLOOKUP($B25,Database!$B$1:$IX$10144,6,FALSE))=0,"",VLOOKUP($B25,Database!$B$1:$IX$10144,6,FALSE))))</f>
        <v>http://dx.doi.org/10.1016/S0165-0327(96)00105-X</v>
      </c>
      <c r="H25" s="22">
        <f>IF($B25="","",IF(LEN(VLOOKUP($B25,Database!$B$1:$IX$10144,7,FALSE))=0,"",VLOOKUP($B25,Database!$B$1:$IX$10144,7,FALSE)))</f>
        <v>19</v>
      </c>
      <c r="I25" s="22">
        <f>IF($B25="","",IF(LEN(VLOOKUP($B25,Database!$B$1:$IX$10144,8,FALSE))=0,"",VLOOKUP($B25,Database!$B$1:$IX$10144,8,FALSE)))</f>
        <v>13</v>
      </c>
      <c r="J25" t="s">
        <v>1567</v>
      </c>
      <c r="T25">
        <v>372.9</v>
      </c>
      <c r="U25">
        <v>60</v>
      </c>
      <c r="V25">
        <v>310.8</v>
      </c>
      <c r="W25">
        <v>65</v>
      </c>
      <c r="Y25" s="22" t="str">
        <f>IF(OR($B25="",Y$22=""),"",IF(LEN(VLOOKUP($B25,Database!$B$1:$IX$10144,Y$22,FALSE))=0,"",VLOOKUP($B25,Database!$B$1:$IX$10144,Y$22,FALSE)))</f>
        <v>DSM-III-R</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72.400000000000006</v>
      </c>
      <c r="AC25" s="22">
        <f>IF(OR($B25="",AC$22=""),"",IF(LEN(VLOOKUP($B25,Database!$B$1:$IX$10144,AC$22,FALSE))=0,"",VLOOKUP($B25,Database!$B$1:$IX$10144,AC$22,FALSE)))</f>
        <v>8.8000000000000007</v>
      </c>
      <c r="AD25" s="22">
        <f>IF(OR($B25="",AD$22=""),"",IF(LEN(VLOOKUP($B25,Database!$B$1:$IX$10144,AD$22,FALSE))=0,"",VLOOKUP($B25,Database!$B$1:$IX$10144,AD$22,FALSE)))</f>
        <v>68.2</v>
      </c>
      <c r="AE25" s="22">
        <f>IF(OR($B25="",AE$22=""),"",IF(LEN(VLOOKUP($B25,Database!$B$1:$IX$10144,AE$22,FALSE))=0,"",VLOOKUP($B25,Database!$B$1:$IX$10144,AE$22,FALSE)))</f>
        <v>5.3</v>
      </c>
      <c r="AF25" s="22">
        <f>IF(OR($B25="",AF$22=""),"",IF(LEN(VLOOKUP($B25,Database!$B$1:$IX$10144,AF$22,FALSE))=0,"",VLOOKUP($B25,Database!$B$1:$IX$10144,AF$22,FALSE)))</f>
        <v>15</v>
      </c>
      <c r="AG25" s="22">
        <f>IF(OR($B25="",AG$22=""),"",IF(LEN(VLOOKUP($B25,Database!$B$1:$IX$10144,AG$22,FALSE))=0,"",VLOOKUP($B25,Database!$B$1:$IX$10144,AG$22,FALSE)))</f>
        <v>10</v>
      </c>
      <c r="AH25" s="22">
        <f>IF(OR($B25="",AH$22=""),"",IF(LEN(VLOOKUP($B25,Database!$B$1:$IX$10144,AH$22,FALSE))=0,"",VLOOKUP($B25,Database!$B$1:$IX$10144,AH$22,FALSE)))</f>
        <v>1.5</v>
      </c>
      <c r="AI25" s="22">
        <f>IF(OR($B25="",AI$22=""),"",IF(LEN(VLOOKUP($B25,Database!$B$1:$IX$10144,AI$22,FALSE))=0,"",VLOOKUP($B25,Database!$B$1:$IX$10144,AI$22,FALSE)))</f>
        <v>1.25</v>
      </c>
      <c r="AJ25" s="22" t="str">
        <f>IF(OR($B25="",AJ$22=""),"",IF(LEN(VLOOKUP($B25,Database!$B$1:$IX$10144,AJ$22,FALSE))=0,"",VLOOKUP($B25,Database!$B$1:$IX$10144,AJ$22,FALSE)))</f>
        <v/>
      </c>
      <c r="AK25" s="22">
        <f>IF(OR($B25="",AK$22=""),"",IF(LEN(VLOOKUP($B25,Database!$B$1:$IX$10144,AK$22,FALSE))=0,"",VLOOKUP($B25,Database!$B$1:$IX$10144,AK$22,FALSE)))</f>
        <v>64.2</v>
      </c>
      <c r="AL25" s="22">
        <f>IF(OR($B25="",AL$22=""),"",IF(LEN(VLOOKUP($B25,Database!$B$1:$IX$10144,AL$22,FALSE))=0,"",VLOOKUP($B25,Database!$B$1:$IX$10144,AL$22,FALSE)))</f>
        <v>26.7</v>
      </c>
      <c r="AM25" s="22" t="str">
        <f>IF(OR($B25="",AM$22=""),"",IF(LEN(VLOOKUP($B25,Database!$B$1:$IX$10144,AM$22,FALSE))=0,"",VLOOKUP($B25,Database!$B$1:$IX$10144,AM$22,FALSE)))</f>
        <v>ns</v>
      </c>
      <c r="AN25" s="22" t="str">
        <f>IF(OR($B25="",AN$22=""),"",IF(LEN(VLOOKUP($B25,Database!$B$1:$IX$10144,AN$22,FALSE))=0,"",VLOOKUP($B25,Database!$B$1:$IX$10144,AN$22,FALSE)))</f>
        <v>ns</v>
      </c>
      <c r="AO25" s="22"/>
      <c r="AP25" s="22" t="str">
        <f>IF(OR($B25="",AP$22=""),"",IF(LEN(VLOOKUP($B25,Database!$B$1:$IX$10144,AP$22,FALSE))=0,"",VLOOKUP($B25,Database!$B$1:$IX$10144,AP$22,FALSE)))</f>
        <v>ns</v>
      </c>
      <c r="AQ25" s="22" t="str">
        <f>IF(OR($B25="",AQ$22=""),"",IF(LEN(VLOOKUP($B25,Database!$B$1:$IX$10144,AQ$22,FALSE))=0,"",VLOOKUP($B25,Database!$B$1:$IX$10144,AQ$22,FALSE)))</f>
        <v>Pantel J, Schroder J, Essig M, Popp D, Dech H, Knopp MV, Schad LR, Eysenbach K, Backenstrass M, Friedlinger M.</v>
      </c>
      <c r="AR25" s="13"/>
      <c r="BC25" s="23"/>
      <c r="BF25" s="136"/>
      <c r="BG25" s="136"/>
      <c r="BH25" s="136"/>
      <c r="BI25" s="136"/>
    </row>
    <row r="26" spans="1:65">
      <c r="B26">
        <v>11771978</v>
      </c>
      <c r="C26" s="1" t="str">
        <f>IF($B26="","",HYPERLINK(IF(LEN(VLOOKUP($B26,Database!$B$1:$IX$10144,2,FALSE))=0,"",VLOOKUP($B26,Database!$B$1:$IX$10144,2,FALSE))))</f>
        <v/>
      </c>
      <c r="D26" s="1" t="str">
        <f t="shared" si="0"/>
        <v>http://www.ncbi.nlm.nih.gov/pubmed/11771978</v>
      </c>
      <c r="E26" s="22" t="str">
        <f>IF($B26="","",IF(LEN(VLOOKUP($B26,Database!$B$1:$IX$10144,4,FALSE))=0,"",VLOOKUP($B26,Database!$B$1:$IX$10144,4,FALSE)))</f>
        <v>Pujol J</v>
      </c>
      <c r="F26" s="22">
        <f>IF($B26="","",IF(LEN(VLOOKUP($B26,Database!$B$1:$IX$10144,5,FALSE))=0,"",VLOOKUP($B26,Database!$B$1:$IX$10144,5,FALSE)))</f>
        <v>2002</v>
      </c>
      <c r="G26" s="1" t="str">
        <f>IF($B26="","",HYPERLINK(IF(LEN(VLOOKUP($B26,Database!$B$1:$IX$10144,6,FALSE))=0,"",VLOOKUP($B26,Database!$B$1:$IX$10144,6,FALSE))))</f>
        <v>http://dx.doi.org/10.1006/nimg.2001.0928</v>
      </c>
      <c r="H26" s="22">
        <f>IF($B26="","",IF(LEN(VLOOKUP($B26,Database!$B$1:$IX$10144,7,FALSE))=0,"",VLOOKUP($B26,Database!$B$1:$IX$10144,7,FALSE)))</f>
        <v>57</v>
      </c>
      <c r="I26" s="22">
        <f>IF($B26="","",IF(LEN(VLOOKUP($B26,Database!$B$1:$IX$10144,8,FALSE))=0,"",VLOOKUP($B26,Database!$B$1:$IX$10144,8,FALSE)))</f>
        <v>37</v>
      </c>
      <c r="J26" t="s">
        <v>1235</v>
      </c>
      <c r="T26">
        <v>179</v>
      </c>
      <c r="U26">
        <v>41</v>
      </c>
      <c r="V26">
        <v>146</v>
      </c>
      <c r="W26">
        <v>31</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60.8</v>
      </c>
      <c r="AC26" s="22"/>
      <c r="AD26" s="22">
        <f>IF(OR($B26="",AD$22=""),"",IF(LEN(VLOOKUP($B26,Database!$B$1:$IX$10144,AD$22,FALSE))=0,"",VLOOKUP($B26,Database!$B$1:$IX$10144,AD$22,FALSE)))</f>
        <v>58.6</v>
      </c>
      <c r="AE26" s="22">
        <f>IF(OR($B26="",AE$22=""),"",IF(LEN(VLOOKUP($B26,Database!$B$1:$IX$10144,AE$22,FALSE))=0,"",VLOOKUP($B26,Database!$B$1:$IX$10144,AE$22,FALSE)))</f>
        <v>7.3</v>
      </c>
      <c r="AF26" s="22">
        <f>IF(OR($B26="",AF$22=""),"",IF(LEN(VLOOKUP($B26,Database!$B$1:$IX$10144,AF$22,FALSE))=0,"",VLOOKUP($B26,Database!$B$1:$IX$10144,AF$22,FALSE)))</f>
        <v>34</v>
      </c>
      <c r="AG26" s="22">
        <f>IF(OR($B26="",AG$22=""),"",IF(LEN(VLOOKUP($B26,Database!$B$1:$IX$10144,AG$22,FALSE))=0,"",VLOOKUP($B26,Database!$B$1:$IX$10144,AG$22,FALSE)))</f>
        <v>22</v>
      </c>
      <c r="AH26" s="22">
        <f>IF(OR($B26="",AH$22=""),"",IF(LEN(VLOOKUP($B26,Database!$B$1:$IX$10144,AH$22,FALSE))=0,"",VLOOKUP($B26,Database!$B$1:$IX$10144,AH$22,FALSE)))</f>
        <v>1.5</v>
      </c>
      <c r="AI26" s="22">
        <f>IF(OR($B26="",AI$22=""),"",IF(LEN(VLOOKUP($B26,Database!$B$1:$IX$10144,AI$22,FALSE))=0,"",VLOOKUP($B26,Database!$B$1:$IX$10144,AI$22,FALSE)))</f>
        <v>2.2999999999999998</v>
      </c>
      <c r="AJ26" s="22" t="str">
        <f>IF(OR($B26="",AJ$22=""),"",IF(LEN(VLOOKUP($B26,Database!$B$1:$IX$10144,AJ$22,FALSE))=0,"",VLOOKUP($B26,Database!$B$1:$IX$10144,AJ$22,FALSE)))</f>
        <v/>
      </c>
      <c r="AK26" s="22">
        <f>IF(OR($B26="",AK$22=""),"",IF(LEN(VLOOKUP($B26,Database!$B$1:$IX$10144,AK$22,FALSE))=0,"",VLOOKUP($B26,Database!$B$1:$IX$10144,AK$22,FALSE)))</f>
        <v>50</v>
      </c>
      <c r="AL26" s="22">
        <f>IF(OR($B26="",AL$22=""),"",IF(LEN(VLOOKUP($B26,Database!$B$1:$IX$10144,AL$22,FALSE))=0,"",VLOOKUP($B26,Database!$B$1:$IX$10144,AL$22,FALSE)))</f>
        <v>28.8</v>
      </c>
      <c r="AM26" s="22" t="str">
        <f>IF(OR($B26="",AM$22=""),"",IF(LEN(VLOOKUP($B26,Database!$B$1:$IX$10144,AM$22,FALSE))=0,"",VLOOKUP($B26,Database!$B$1:$IX$10144,AM$22,FALSE)))</f>
        <v>ns</v>
      </c>
      <c r="AN26" s="22" t="str">
        <f>IF(OR($B26="",AN$22=""),"",IF(LEN(VLOOKUP($B26,Database!$B$1:$IX$10144,AN$22,FALSE))=0,"",VLOOKUP($B26,Database!$B$1:$IX$10144,AN$22,FALSE)))</f>
        <v>ns</v>
      </c>
      <c r="AO26" s="22"/>
      <c r="AP26" s="22" t="str">
        <f>IF(OR($B26="",AP$22=""),"",IF(LEN(VLOOKUP($B26,Database!$B$1:$IX$10144,AP$22,FALSE))=0,"",VLOOKUP($B26,Database!$B$1:$IX$10144,AP$22,FALSE)))</f>
        <v>ns</v>
      </c>
      <c r="AQ26" s="22" t="str">
        <f>IF(OR($B26="",AQ$22=""),"",IF(LEN(VLOOKUP($B26,Database!$B$1:$IX$10144,AQ$22,FALSE))=0,"",VLOOKUP($B26,Database!$B$1:$IX$10144,AQ$22,FALSE)))</f>
        <v>Pujol J, Cardoner N, Benlloch L, Urretavizcaya M, Deus J, Losilla JM, Capdevila A, Vallejo J.</v>
      </c>
      <c r="AR26" s="13"/>
      <c r="BC26" s="23"/>
      <c r="BF26" s="136"/>
      <c r="BG26" s="136"/>
      <c r="BH26" s="136"/>
      <c r="BI26" s="136"/>
    </row>
    <row r="27" spans="1:65">
      <c r="B27">
        <v>12242057</v>
      </c>
      <c r="C27" s="1" t="str">
        <f>IF($B27="","",HYPERLINK(IF(LEN(VLOOKUP($B27,Database!$B$1:$IX$10144,2,FALSE))=0,"",VLOOKUP($B27,Database!$B$1:$IX$10144,2,FALSE))))</f>
        <v/>
      </c>
      <c r="D27" s="1" t="str">
        <f t="shared" si="0"/>
        <v>http://www.ncbi.nlm.nih.gov/pubmed/12242057</v>
      </c>
      <c r="E27" s="22" t="str">
        <f>IF($B27="","",IF(LEN(VLOOKUP($B27,Database!$B$1:$IX$10144,4,FALSE))=0,"",VLOOKUP($B27,Database!$B$1:$IX$10144,4,FALSE)))</f>
        <v>Steingard RJ</v>
      </c>
      <c r="F27" s="22">
        <f>IF($B27="","",IF(LEN(VLOOKUP($B27,Database!$B$1:$IX$10144,5,FALSE))=0,"",VLOOKUP($B27,Database!$B$1:$IX$10144,5,FALSE)))</f>
        <v>2002</v>
      </c>
      <c r="G27" s="1" t="str">
        <f>IF($B27="","",HYPERLINK(IF(LEN(VLOOKUP($B27,Database!$B$1:$IX$10144,6,FALSE))=0,"",VLOOKUP($B27,Database!$B$1:$IX$10144,6,FALSE))))</f>
        <v>http://dx.doi.org/10.1016/S0006-3223(02)01393-8</v>
      </c>
      <c r="H27" s="22">
        <f>IF($B27="","",IF(LEN(VLOOKUP($B27,Database!$B$1:$IX$10144,7,FALSE))=0,"",VLOOKUP($B27,Database!$B$1:$IX$10144,7,FALSE)))</f>
        <v>19</v>
      </c>
      <c r="I27" s="22">
        <f>IF($B27="","",IF(LEN(VLOOKUP($B27,Database!$B$1:$IX$10144,8,FALSE))=0,"",VLOOKUP($B27,Database!$B$1:$IX$10144,8,FALSE)))</f>
        <v>38</v>
      </c>
      <c r="J27" t="s">
        <v>1587</v>
      </c>
      <c r="T27">
        <v>21.9</v>
      </c>
      <c r="U27">
        <v>12.7</v>
      </c>
      <c r="V27">
        <v>16.5</v>
      </c>
      <c r="W27">
        <v>6.3</v>
      </c>
      <c r="Y27" s="22" t="str">
        <f>IF(OR($B27="",Y$22=""),"",IF(LEN(VLOOKUP($B27,Database!$B$1:$IX$10144,Y$22,FALSE))=0,"",VLOOKUP($B27,Database!$B$1:$IX$10144,Y$22,FALSE)))</f>
        <v>DSM-III-R</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15.4</v>
      </c>
      <c r="AC27" s="22">
        <f>IF(OR($B27="",AC$22=""),"",IF(LEN(VLOOKUP($B27,Database!$B$1:$IX$10144,AC$22,FALSE))=0,"",VLOOKUP($B27,Database!$B$1:$IX$10144,AC$22,FALSE)))</f>
        <v>1.9</v>
      </c>
      <c r="AD27" s="22">
        <f>IF(OR($B27="",AD$22=""),"",IF(LEN(VLOOKUP($B27,Database!$B$1:$IX$10144,AD$22,FALSE))=0,"",VLOOKUP($B27,Database!$B$1:$IX$10144,AD$22,FALSE)))</f>
        <v>14.6</v>
      </c>
      <c r="AE27" s="22">
        <f>IF(OR($B27="",AE$22=""),"",IF(LEN(VLOOKUP($B27,Database!$B$1:$IX$10144,AE$22,FALSE))=0,"",VLOOKUP($B27,Database!$B$1:$IX$10144,AE$22,FALSE)))</f>
        <v>1.5</v>
      </c>
      <c r="AF27" s="22">
        <f>IF(OR($B27="",AF$22=""),"",IF(LEN(VLOOKUP($B27,Database!$B$1:$IX$10144,AF$22,FALSE))=0,"",VLOOKUP($B27,Database!$B$1:$IX$10144,AF$22,FALSE)))</f>
        <v>16</v>
      </c>
      <c r="AG27" s="22">
        <f>IF(OR($B27="",AG$22=""),"",IF(LEN(VLOOKUP($B27,Database!$B$1:$IX$10144,AG$22,FALSE))=0,"",VLOOKUP($B27,Database!$B$1:$IX$10144,AG$22,FALSE)))</f>
        <v>25</v>
      </c>
      <c r="AH27" s="22">
        <f>IF(OR($B27="",AH$22=""),"",IF(LEN(VLOOKUP($B27,Database!$B$1:$IX$10144,AH$22,FALSE))=0,"",VLOOKUP($B27,Database!$B$1:$IX$10144,AH$22,FALSE)))</f>
        <v>1.5</v>
      </c>
      <c r="AI27" s="22">
        <f>IF(OR($B27="",AI$22=""),"",IF(LEN(VLOOKUP($B27,Database!$B$1:$IX$10144,AI$22,FALSE))=0,"",VLOOKUP($B27,Database!$B$1:$IX$10144,AI$22,FALSE)))</f>
        <v>1.5</v>
      </c>
      <c r="AJ27" s="22" t="str">
        <f>IF(OR($B27="",AJ$22=""),"",IF(LEN(VLOOKUP($B27,Database!$B$1:$IX$10144,AJ$22,FALSE))=0,"",VLOOKUP($B27,Database!$B$1:$IX$10144,AJ$22,FALSE)))</f>
        <v/>
      </c>
      <c r="AK27" s="22" t="str">
        <f>IF(OR($B27="",AK$22=""),"",IF(LEN(VLOOKUP($B27,Database!$B$1:$IX$10144,AK$22,FALSE))=0,"",VLOOKUP($B27,Database!$B$1:$IX$10144,AK$22,FALSE)))</f>
        <v>ns</v>
      </c>
      <c r="AL27" s="22">
        <f>IF(OR($B27="",AL$22=""),"",IF(LEN(VLOOKUP($B27,Database!$B$1:$IX$10144,AL$22,FALSE))=0,"",VLOOKUP($B27,Database!$B$1:$IX$10144,AL$22,FALSE)))</f>
        <v>17.3</v>
      </c>
      <c r="AM27" s="22">
        <f>IF(OR($B27="",AM$22=""),"",IF(LEN(VLOOKUP($B27,Database!$B$1:$IX$10144,AM$22,FALSE))=0,"",VLOOKUP($B27,Database!$B$1:$IX$10144,AM$22,FALSE)))</f>
        <v>0</v>
      </c>
      <c r="AN27" s="22" t="str">
        <f>IF(OR($B27="",AN$22=""),"",IF(LEN(VLOOKUP($B27,Database!$B$1:$IX$10144,AN$22,FALSE))=0,"",VLOOKUP($B27,Database!$B$1:$IX$10144,AN$22,FALSE)))</f>
        <v>ns</v>
      </c>
      <c r="AO27" s="22"/>
      <c r="AP27" s="22">
        <f>IF(OR($B27="",AP$22=""),"",IF(LEN(VLOOKUP($B27,Database!$B$1:$IX$10144,AP$22,FALSE))=0,"",VLOOKUP($B27,Database!$B$1:$IX$10144,AP$22,FALSE)))</f>
        <v>100</v>
      </c>
      <c r="AQ27" s="22" t="str">
        <f>IF(OR($B27="",AQ$22=""),"",IF(LEN(VLOOKUP($B27,Database!$B$1:$IX$10144,AQ$22,FALSE))=0,"",VLOOKUP($B27,Database!$B$1:$IX$10144,AQ$22,FALSE)))</f>
        <v>Steingard RJ, Renshaw PF, Hennen J, Lenox M, Cintron CB, Young AD, Connor DF, Au TH, Yurgelun-Todd DA.</v>
      </c>
      <c r="AR27" s="13"/>
      <c r="BC27" s="23"/>
      <c r="BF27" s="136"/>
      <c r="BG27" s="136"/>
      <c r="BH27" s="136"/>
      <c r="BI27" s="136"/>
    </row>
    <row r="28" spans="1:65">
      <c r="B28">
        <v>14971633</v>
      </c>
      <c r="C28" s="1" t="str">
        <f>IF($B28="","",HYPERLINK(IF(LEN(VLOOKUP($B28,Database!$B$1:$IX$10144,2,FALSE))=0,"",VLOOKUP($B28,Database!$B$1:$IX$10144,2,FALSE))))</f>
        <v/>
      </c>
      <c r="D28" s="1" t="str">
        <f t="shared" si="0"/>
        <v>http://www.ncbi.nlm.nih.gov/pubmed/14971633</v>
      </c>
      <c r="E28" s="22" t="str">
        <f>IF($B28="","",IF(LEN(VLOOKUP($B28,Database!$B$1:$IX$10144,4,FALSE))=0,"",VLOOKUP($B28,Database!$B$1:$IX$10144,4,FALSE)))</f>
        <v>Baldwin R</v>
      </c>
      <c r="F28" s="22">
        <f>IF($B28="","",IF(LEN(VLOOKUP($B28,Database!$B$1:$IX$10144,5,FALSE))=0,"",VLOOKUP($B28,Database!$B$1:$IX$10144,5,FALSE)))</f>
        <v>2004</v>
      </c>
      <c r="G28" s="1" t="str">
        <f>IF($B28="","",HYPERLINK(IF(LEN(VLOOKUP($B28,Database!$B$1:$IX$10144,6,FALSE))=0,"",VLOOKUP($B28,Database!$B$1:$IX$10144,6,FALSE))))</f>
        <v>http://dx.doi.org/10.1017/S0033291703008870</v>
      </c>
      <c r="H28" s="83">
        <v>29</v>
      </c>
      <c r="I28" s="83">
        <v>17.5</v>
      </c>
      <c r="J28" t="s">
        <v>1603</v>
      </c>
      <c r="K28" t="s">
        <v>1601</v>
      </c>
      <c r="T28">
        <v>193190.9</v>
      </c>
      <c r="U28">
        <v>80053.3</v>
      </c>
      <c r="V28">
        <v>175397.1</v>
      </c>
      <c r="W28">
        <v>50675.9</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83">
        <v>71.7</v>
      </c>
      <c r="AC28" s="83">
        <v>6.76</v>
      </c>
      <c r="AD28" s="22">
        <f>IF(OR($B28="",AD$22=""),"",IF(LEN(VLOOKUP($B28,Database!$B$1:$IX$10144,AD$22,FALSE))=0,"",VLOOKUP($B28,Database!$B$1:$IX$10144,AD$22,FALSE)))</f>
        <v>72.8</v>
      </c>
      <c r="AE28" s="22">
        <f>IF(OR($B28="",AE$22=""),"",IF(LEN(VLOOKUP($B28,Database!$B$1:$IX$10144,AE$22,FALSE))=0,"",VLOOKUP($B28,Database!$B$1:$IX$10144,AE$22,FALSE)))</f>
        <v>6.56</v>
      </c>
      <c r="AF28" s="83">
        <v>18</v>
      </c>
      <c r="AG28" s="22">
        <f>IF(OR($B28="",AG$22=""),"",IF(LEN(VLOOKUP($B28,Database!$B$1:$IX$10144,AG$22,FALSE))=0,"",VLOOKUP($B28,Database!$B$1:$IX$10144,AG$22,FALSE)))</f>
        <v>24</v>
      </c>
      <c r="AH28" s="22">
        <f>IF(OR($B28="",AH$22=""),"",IF(LEN(VLOOKUP($B28,Database!$B$1:$IX$10144,AH$22,FALSE))=0,"",VLOOKUP($B28,Database!$B$1:$IX$10144,AH$22,FALSE)))</f>
        <v>1.5</v>
      </c>
      <c r="AI28" s="22">
        <f>IF(OR($B28="",AI$22=""),"",IF(LEN(VLOOKUP($B28,Database!$B$1:$IX$10144,AI$22,FALSE))=0,"",VLOOKUP($B28,Database!$B$1:$IX$10144,AI$22,FALSE)))</f>
        <v>3</v>
      </c>
      <c r="AJ28" s="22" t="str">
        <f>IF(OR($B28="",AJ$22=""),"",IF(LEN(VLOOKUP($B28,Database!$B$1:$IX$10144,AJ$22,FALSE))=0,"",VLOOKUP($B28,Database!$B$1:$IX$10144,AJ$22,FALSE)))</f>
        <v/>
      </c>
      <c r="AK28" s="22" t="str">
        <f>IF(OR($B28="",AK$22=""),"",IF(LEN(VLOOKUP($B28,Database!$B$1:$IX$10144,AK$22,FALSE))=0,"",VLOOKUP($B28,Database!$B$1:$IX$10144,AK$22,FALSE)))</f>
        <v>ns</v>
      </c>
      <c r="AL28" s="22">
        <f>IF(OR($B28="",AL$22=""),"",IF(LEN(VLOOKUP($B28,Database!$B$1:$IX$10144,AL$22,FALSE))=0,"",VLOOKUP($B28,Database!$B$1:$IX$10144,AL$22,FALSE)))</f>
        <v>4.8</v>
      </c>
      <c r="AM28" s="22" t="str">
        <f>IF(OR($B28="",AM$22=""),"",IF(LEN(VLOOKUP($B28,Database!$B$1:$IX$10144,AM$22,FALSE))=0,"",VLOOKUP($B28,Database!$B$1:$IX$10144,AM$22,FALSE)))</f>
        <v>ns</v>
      </c>
      <c r="AN28" s="22" t="str">
        <f>IF(OR($B28="",AN$22=""),"",IF(LEN(VLOOKUP($B28,Database!$B$1:$IX$10144,AN$22,FALSE))=0,"",VLOOKUP($B28,Database!$B$1:$IX$10144,AN$22,FALSE)))</f>
        <v>ns</v>
      </c>
      <c r="AO28" s="22"/>
      <c r="AP28" s="22" t="str">
        <f>IF(OR($B28="",AP$22=""),"",IF(LEN(VLOOKUP($B28,Database!$B$1:$IX$10144,AP$22,FALSE))=0,"",VLOOKUP($B28,Database!$B$1:$IX$10144,AP$22,FALSE)))</f>
        <v>ns</v>
      </c>
      <c r="AQ28" s="22" t="str">
        <f>IF(OR($B28="",AQ$22=""),"",IF(LEN(VLOOKUP($B28,Database!$B$1:$IX$10144,AQ$22,FALSE))=0,"",VLOOKUP($B28,Database!$B$1:$IX$10144,AQ$22,FALSE)))</f>
        <v>Baldwin R, Jeffries S, Jackson A, Sutcliffe C, Thacker N, Scott M, Burns A.</v>
      </c>
      <c r="AR28" s="13"/>
      <c r="AU28" s="13"/>
      <c r="BC28" s="23"/>
      <c r="BF28" s="136"/>
      <c r="BG28" s="136"/>
      <c r="BH28" s="136"/>
      <c r="BI28" s="136"/>
    </row>
    <row r="29" spans="1:65">
      <c r="B29">
        <v>14971633</v>
      </c>
      <c r="C29" s="1" t="str">
        <f>IF($B29="","",HYPERLINK(IF(LEN(VLOOKUP($B29,Database!$B$1:$IX$10144,2,FALSE))=0,"",VLOOKUP($B29,Database!$B$1:$IX$10144,2,FALSE))))</f>
        <v/>
      </c>
      <c r="D29" s="1" t="str">
        <f t="shared" si="0"/>
        <v>http://www.ncbi.nlm.nih.gov/pubmed/14971633</v>
      </c>
      <c r="E29" s="22" t="str">
        <f>IF($B29="","",IF(LEN(VLOOKUP($B29,Database!$B$1:$IX$10144,4,FALSE))=0,"",VLOOKUP($B29,Database!$B$1:$IX$10144,4,FALSE)))</f>
        <v>Baldwin R</v>
      </c>
      <c r="F29" s="22">
        <f>IF($B29="","",IF(LEN(VLOOKUP($B29,Database!$B$1:$IX$10144,5,FALSE))=0,"",VLOOKUP($B29,Database!$B$1:$IX$10144,5,FALSE)))</f>
        <v>2004</v>
      </c>
      <c r="G29" s="1" t="str">
        <f>IF($B29="","",HYPERLINK(IF(LEN(VLOOKUP($B29,Database!$B$1:$IX$10144,6,FALSE))=0,"",VLOOKUP($B29,Database!$B$1:$IX$10144,6,FALSE))))</f>
        <v>http://dx.doi.org/10.1017/S0033291703008870</v>
      </c>
      <c r="H29" s="83">
        <v>21</v>
      </c>
      <c r="I29" s="83">
        <v>17.5</v>
      </c>
      <c r="J29" t="s">
        <v>1603</v>
      </c>
      <c r="K29" t="s">
        <v>1602</v>
      </c>
      <c r="T29">
        <v>200859.2</v>
      </c>
      <c r="U29">
        <v>57517.599999999999</v>
      </c>
      <c r="V29">
        <v>175397.1</v>
      </c>
      <c r="W29">
        <v>50675.9</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83">
        <v>76.400000000000006</v>
      </c>
      <c r="AC29" s="83">
        <v>5.52</v>
      </c>
      <c r="AD29" s="22">
        <f>IF(OR($B29="",AD$22=""),"",IF(LEN(VLOOKUP($B29,Database!$B$1:$IX$10144,AD$22,FALSE))=0,"",VLOOKUP($B29,Database!$B$1:$IX$10144,AD$22,FALSE)))</f>
        <v>72.8</v>
      </c>
      <c r="AE29" s="22">
        <f>IF(OR($B29="",AE$22=""),"",IF(LEN(VLOOKUP($B29,Database!$B$1:$IX$10144,AE$22,FALSE))=0,"",VLOOKUP($B29,Database!$B$1:$IX$10144,AE$22,FALSE)))</f>
        <v>6.56</v>
      </c>
      <c r="AF29" s="83">
        <v>12</v>
      </c>
      <c r="AG29" s="22">
        <f>IF(OR($B29="",AG$22=""),"",IF(LEN(VLOOKUP($B29,Database!$B$1:$IX$10144,AG$22,FALSE))=0,"",VLOOKUP($B29,Database!$B$1:$IX$10144,AG$22,FALSE)))</f>
        <v>24</v>
      </c>
      <c r="AH29" s="22">
        <f>IF(OR($B29="",AH$22=""),"",IF(LEN(VLOOKUP($B29,Database!$B$1:$IX$10144,AH$22,FALSE))=0,"",VLOOKUP($B29,Database!$B$1:$IX$10144,AH$22,FALSE)))</f>
        <v>1.5</v>
      </c>
      <c r="AI29" s="22">
        <f>IF(OR($B29="",AI$22=""),"",IF(LEN(VLOOKUP($B29,Database!$B$1:$IX$10144,AI$22,FALSE))=0,"",VLOOKUP($B29,Database!$B$1:$IX$10144,AI$22,FALSE)))</f>
        <v>3</v>
      </c>
      <c r="AJ29" s="22" t="str">
        <f>IF(OR($B29="",AJ$22=""),"",IF(LEN(VLOOKUP($B29,Database!$B$1:$IX$10144,AJ$22,FALSE))=0,"",VLOOKUP($B29,Database!$B$1:$IX$10144,AJ$22,FALSE)))</f>
        <v/>
      </c>
      <c r="AK29" s="22" t="str">
        <f>IF(OR($B29="",AK$22=""),"",IF(LEN(VLOOKUP($B29,Database!$B$1:$IX$10144,AK$22,FALSE))=0,"",VLOOKUP($B29,Database!$B$1:$IX$10144,AK$22,FALSE)))</f>
        <v>ns</v>
      </c>
      <c r="AL29" s="22">
        <f>IF(OR($B29="",AL$22=""),"",IF(LEN(VLOOKUP($B29,Database!$B$1:$IX$10144,AL$22,FALSE))=0,"",VLOOKUP($B29,Database!$B$1:$IX$10144,AL$22,FALSE)))</f>
        <v>4.8</v>
      </c>
      <c r="AM29" s="22" t="str">
        <f>IF(OR($B29="",AM$22=""),"",IF(LEN(VLOOKUP($B29,Database!$B$1:$IX$10144,AM$22,FALSE))=0,"",VLOOKUP($B29,Database!$B$1:$IX$10144,AM$22,FALSE)))</f>
        <v>ns</v>
      </c>
      <c r="AN29" s="22" t="str">
        <f>IF(OR($B29="",AN$22=""),"",IF(LEN(VLOOKUP($B29,Database!$B$1:$IX$10144,AN$22,FALSE))=0,"",VLOOKUP($B29,Database!$B$1:$IX$10144,AN$22,FALSE)))</f>
        <v>ns</v>
      </c>
      <c r="AO29" s="22"/>
      <c r="AP29" s="22" t="str">
        <f>IF(OR($B29="",AP$22=""),"",IF(LEN(VLOOKUP($B29,Database!$B$1:$IX$10144,AP$22,FALSE))=0,"",VLOOKUP($B29,Database!$B$1:$IX$10144,AP$22,FALSE)))</f>
        <v>ns</v>
      </c>
      <c r="AQ29" s="22" t="str">
        <f>IF(OR($B29="",AQ$22=""),"",IF(LEN(VLOOKUP($B29,Database!$B$1:$IX$10144,AQ$22,FALSE))=0,"",VLOOKUP($B29,Database!$B$1:$IX$10144,AQ$22,FALSE)))</f>
        <v>Baldwin R, Jeffries S, Jackson A, Sutcliffe C, Thacker N, Scott M, Burns A.</v>
      </c>
      <c r="AR29" s="13"/>
      <c r="AU29" s="13"/>
      <c r="BC29" s="23"/>
      <c r="BF29" s="136"/>
      <c r="BG29" s="136"/>
      <c r="BH29" s="136"/>
      <c r="BI29" s="136"/>
    </row>
    <row r="30" spans="1:65">
      <c r="B30">
        <v>15514411</v>
      </c>
      <c r="C30" s="1" t="str">
        <f>IF($B30="","",HYPERLINK(IF(LEN(VLOOKUP($B30,Database!$B$1:$IX$10144,2,FALSE))=0,"",VLOOKUP($B30,Database!$B$1:$IX$10144,2,FALSE))))</f>
        <v/>
      </c>
      <c r="D30" s="1" t="str">
        <f t="shared" si="0"/>
        <v>http://www.ncbi.nlm.nih.gov/pubmed/15514411</v>
      </c>
      <c r="E30" s="22" t="str">
        <f>IF($B30="","",IF(LEN(VLOOKUP($B30,Database!$B$1:$IX$10144,4,FALSE))=0,"",VLOOKUP($B30,Database!$B$1:$IX$10144,4,FALSE)))</f>
        <v>Ballmaier M (B)</v>
      </c>
      <c r="F30" s="22">
        <f>IF($B30="","",IF(LEN(VLOOKUP($B30,Database!$B$1:$IX$10144,5,FALSE))=0,"",VLOOKUP($B30,Database!$B$1:$IX$10144,5,FALSE)))</f>
        <v>2004</v>
      </c>
      <c r="G30" s="1" t="str">
        <f>IF($B30="","",HYPERLINK(IF(LEN(VLOOKUP($B30,Database!$B$1:$IX$10144,6,FALSE))=0,"",VLOOKUP($B30,Database!$B$1:$IX$10144,6,FALSE))))</f>
        <v>http://ajp.psychiatryonline.org/cgi/reprint/161/11/2091</v>
      </c>
      <c r="H30" s="22">
        <f>IF($B30="","",IF(LEN(VLOOKUP($B30,Database!$B$1:$IX$10144,7,FALSE))=0,"",VLOOKUP($B30,Database!$B$1:$IX$10144,7,FALSE)))</f>
        <v>17</v>
      </c>
      <c r="I30" s="22">
        <f>IF($B30="","",IF(LEN(VLOOKUP($B30,Database!$B$1:$IX$10144,8,FALSE))=0,"",VLOOKUP($B30,Database!$B$1:$IX$10144,8,FALSE)))</f>
        <v>17</v>
      </c>
      <c r="J30" t="s">
        <v>1604</v>
      </c>
      <c r="T30">
        <v>253.78</v>
      </c>
      <c r="U30">
        <v>64.52</v>
      </c>
      <c r="V30">
        <v>240.94</v>
      </c>
      <c r="W30">
        <v>63.5</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75.239999999999995</v>
      </c>
      <c r="AC30" s="22">
        <f>IF(OR($B30="",AC$22=""),"",IF(LEN(VLOOKUP($B30,Database!$B$1:$IX$10144,AC$22,FALSE))=0,"",VLOOKUP($B30,Database!$B$1:$IX$10144,AC$22,FALSE)))</f>
        <v>8.52</v>
      </c>
      <c r="AD30" s="22">
        <f>IF(OR($B30="",AD$22=""),"",IF(LEN(VLOOKUP($B30,Database!$B$1:$IX$10144,AD$22,FALSE))=0,"",VLOOKUP($B30,Database!$B$1:$IX$10144,AD$22,FALSE)))</f>
        <v>73.88</v>
      </c>
      <c r="AE30" s="22">
        <f>IF(OR($B30="",AE$22=""),"",IF(LEN(VLOOKUP($B30,Database!$B$1:$IX$10144,AE$22,FALSE))=0,"",VLOOKUP($B30,Database!$B$1:$IX$10144,AE$22,FALSE)))</f>
        <v>7.61</v>
      </c>
      <c r="AF30" s="22">
        <f>IF(OR($B30="",AF$22=""),"",IF(LEN(VLOOKUP($B30,Database!$B$1:$IX$10144,AF$22,FALSE))=0,"",VLOOKUP($B30,Database!$B$1:$IX$10144,AF$22,FALSE)))</f>
        <v>11</v>
      </c>
      <c r="AG30" s="22">
        <f>IF(OR($B30="",AG$22=""),"",IF(LEN(VLOOKUP($B30,Database!$B$1:$IX$10144,AG$22,FALSE))=0,"",VLOOKUP($B30,Database!$B$1:$IX$10144,AG$22,FALSE)))</f>
        <v>11</v>
      </c>
      <c r="AH30" s="22">
        <f>IF(OR($B30="",AH$22=""),"",IF(LEN(VLOOKUP($B30,Database!$B$1:$IX$10144,AH$22,FALSE))=0,"",VLOOKUP($B30,Database!$B$1:$IX$10144,AH$22,FALSE)))</f>
        <v>1.5</v>
      </c>
      <c r="AI30" s="22">
        <f>IF(OR($B30="",AI$22=""),"",IF(LEN(VLOOKUP($B30,Database!$B$1:$IX$10144,AI$22,FALSE))=0,"",VLOOKUP($B30,Database!$B$1:$IX$10144,AI$22,FALSE)))</f>
        <v>1.4</v>
      </c>
      <c r="AJ30" s="22" t="str">
        <f>IF(OR($B30="",AJ$22=""),"",IF(LEN(VLOOKUP($B30,Database!$B$1:$IX$10144,AJ$22,FALSE))=0,"",VLOOKUP($B30,Database!$B$1:$IX$10144,AJ$22,FALSE)))</f>
        <v/>
      </c>
      <c r="AK30" s="22">
        <f>IF(OR($B30="",AK$22=""),"",IF(LEN(VLOOKUP($B30,Database!$B$1:$IX$10144,AK$22,FALSE))=0,"",VLOOKUP($B30,Database!$B$1:$IX$10144,AK$22,FALSE)))</f>
        <v>71.88</v>
      </c>
      <c r="AL30" s="22">
        <f>IF(OR($B30="",AL$22=""),"",IF(LEN(VLOOKUP($B30,Database!$B$1:$IX$10144,AL$22,FALSE))=0,"",VLOOKUP($B30,Database!$B$1:$IX$10144,AL$22,FALSE)))</f>
        <v>18.41</v>
      </c>
      <c r="AM30" s="22">
        <f>IF(OR($B30="",AM$22=""),"",IF(LEN(VLOOKUP($B30,Database!$B$1:$IX$10144,AM$22,FALSE))=0,"",VLOOKUP($B30,Database!$B$1:$IX$10144,AM$22,FALSE)))</f>
        <v>0</v>
      </c>
      <c r="AN30" s="22">
        <f>IF(OR($B30="",AN$22=""),"",IF(LEN(VLOOKUP($B30,Database!$B$1:$IX$10144,AN$22,FALSE))=0,"",VLOOKUP($B30,Database!$B$1:$IX$10144,AN$22,FALSE)))</f>
        <v>0</v>
      </c>
      <c r="AO30" s="22"/>
      <c r="AP30" s="22">
        <f>IF(OR($B30="",AP$22=""),"",IF(LEN(VLOOKUP($B30,Database!$B$1:$IX$10144,AP$22,FALSE))=0,"",VLOOKUP($B30,Database!$B$1:$IX$10144,AP$22,FALSE)))</f>
        <v>100</v>
      </c>
      <c r="AQ30" s="22" t="str">
        <f>IF(OR($B30="",AQ$22=""),"",IF(LEN(VLOOKUP($B30,Database!$B$1:$IX$10144,AQ$22,FALSE))=0,"",VLOOKUP($B30,Database!$B$1:$IX$10144,AQ$22,FALSE)))</f>
        <v>Ballmaier M, Kumar A, Thompson PM, Narr KL, Lavretsky H, Estanol L, Deluca H, Toga AW.</v>
      </c>
      <c r="AR30" s="13"/>
      <c r="BC30" s="23"/>
      <c r="BF30" s="136"/>
      <c r="BG30" s="136"/>
      <c r="BH30" s="136"/>
      <c r="BI30" s="136"/>
    </row>
    <row r="31" spans="1:65">
      <c r="A31" s="2" t="s">
        <v>1910</v>
      </c>
      <c r="B31">
        <v>14960291</v>
      </c>
      <c r="C31" s="1" t="str">
        <f>IF($B31="","",HYPERLINK(IF(LEN(VLOOKUP($B31,Database!$B$1:$IX$10144,2,FALSE))=0,"",VLOOKUP($B31,Database!$B$1:$IX$10144,2,FALSE))))</f>
        <v/>
      </c>
      <c r="D31" s="1" t="str">
        <f t="shared" si="0"/>
        <v>http://www.ncbi.nlm.nih.gov/pubmed/14960291</v>
      </c>
      <c r="E31" s="22" t="str">
        <f>IF($B31="","",IF(LEN(VLOOKUP($B31,Database!$B$1:$IX$10144,4,FALSE))=0,"",VLOOKUP($B31,Database!$B$1:$IX$10144,4,FALSE)))</f>
        <v>Ballmaier M (C)</v>
      </c>
      <c r="F31" s="22">
        <f>IF($B31="","",IF(LEN(VLOOKUP($B31,Database!$B$1:$IX$10144,5,FALSE))=0,"",VLOOKUP($B31,Database!$B$1:$IX$10144,5,FALSE)))</f>
        <v>2004</v>
      </c>
      <c r="G31" s="1" t="str">
        <f>IF($B31="","",HYPERLINK(IF(LEN(VLOOKUP($B31,Database!$B$1:$IX$10144,6,FALSE))=0,"",VLOOKUP($B31,Database!$B$1:$IX$10144,6,FALSE))))</f>
        <v>http://dx.doi.org/10.1016/j.biopsych.2003.09.004</v>
      </c>
      <c r="H31" s="22">
        <f>IF($B31="","",IF(LEN(VLOOKUP($B31,Database!$B$1:$IX$10144,7,FALSE))=0,"",VLOOKUP($B31,Database!$B$1:$IX$10144,7,FALSE)))</f>
        <v>24</v>
      </c>
      <c r="I31" s="22">
        <f>IF($B31="","",IF(LEN(VLOOKUP($B31,Database!$B$1:$IX$10144,8,FALSE))=0,"",VLOOKUP($B31,Database!$B$1:$IX$10144,8,FALSE)))</f>
        <v>19</v>
      </c>
      <c r="J31" t="s">
        <v>1605</v>
      </c>
      <c r="K31" s="10"/>
      <c r="T31">
        <v>158.53800000000001</v>
      </c>
      <c r="U31">
        <v>32.652000000000001</v>
      </c>
      <c r="V31">
        <v>168.37299999999999</v>
      </c>
      <c r="W31">
        <v>44.28</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65.849999999999994</v>
      </c>
      <c r="AC31" s="22">
        <f>IF(OR($B31="",AC$22=""),"",IF(LEN(VLOOKUP($B31,Database!$B$1:$IX$10144,AC$22,FALSE))=0,"",VLOOKUP($B31,Database!$B$1:$IX$10144,AC$22,FALSE)))</f>
        <v>8.18</v>
      </c>
      <c r="AD31" s="22">
        <f>IF(OR($B31="",AD$22=""),"",IF(LEN(VLOOKUP($B31,Database!$B$1:$IX$10144,AD$22,FALSE))=0,"",VLOOKUP($B31,Database!$B$1:$IX$10144,AD$22,FALSE)))</f>
        <v>66.239999999999995</v>
      </c>
      <c r="AE31" s="22">
        <f>IF(OR($B31="",AE$22=""),"",IF(LEN(VLOOKUP($B31,Database!$B$1:$IX$10144,AE$22,FALSE))=0,"",VLOOKUP($B31,Database!$B$1:$IX$10144,AE$22,FALSE)))</f>
        <v>7.25</v>
      </c>
      <c r="AF31" s="22">
        <f>IF(OR($B31="",AF$22=""),"",IF(LEN(VLOOKUP($B31,Database!$B$1:$IX$10144,AF$22,FALSE))=0,"",VLOOKUP($B31,Database!$B$1:$IX$10144,AF$22,FALSE)))</f>
        <v>18</v>
      </c>
      <c r="AG31" s="22">
        <f>IF(OR($B31="",AG$22=""),"",IF(LEN(VLOOKUP($B31,Database!$B$1:$IX$10144,AG$22,FALSE))=0,"",VLOOKUP($B31,Database!$B$1:$IX$10144,AG$22,FALSE)))</f>
        <v>15</v>
      </c>
      <c r="AH31" s="22">
        <f>IF(OR($B31="",AH$22=""),"",IF(LEN(VLOOKUP($B31,Database!$B$1:$IX$10144,AH$22,FALSE))=0,"",VLOOKUP($B31,Database!$B$1:$IX$10144,AH$22,FALSE)))</f>
        <v>1.5</v>
      </c>
      <c r="AI31" s="22">
        <f>IF(OR($B31="",AI$22=""),"",IF(LEN(VLOOKUP($B31,Database!$B$1:$IX$10144,AI$22,FALSE))=0,"",VLOOKUP($B31,Database!$B$1:$IX$10144,AI$22,FALSE)))</f>
        <v>1.4</v>
      </c>
      <c r="AJ31" s="22" t="str">
        <f>IF(OR($B31="",AJ$22=""),"",IF(LEN(VLOOKUP($B31,Database!$B$1:$IX$10144,AJ$22,FALSE))=0,"",VLOOKUP($B31,Database!$B$1:$IX$10144,AJ$22,FALSE)))</f>
        <v/>
      </c>
      <c r="AK31" s="22">
        <f>IF(OR($B31="",AK$22=""),"",IF(LEN(VLOOKUP($B31,Database!$B$1:$IX$10144,AK$22,FALSE))=0,"",VLOOKUP($B31,Database!$B$1:$IX$10144,AK$22,FALSE)))</f>
        <v>35</v>
      </c>
      <c r="AL31" s="22">
        <f>IF(OR($B31="",AL$22=""),"",IF(LEN(VLOOKUP($B31,Database!$B$1:$IX$10144,AL$22,FALSE))=0,"",VLOOKUP($B31,Database!$B$1:$IX$10144,AL$22,FALSE)))</f>
        <v>17.329999999999998</v>
      </c>
      <c r="AM31" s="22">
        <f>IF(OR($B31="",AM$22=""),"",IF(LEN(VLOOKUP($B31,Database!$B$1:$IX$10144,AM$22,FALSE))=0,"",VLOOKUP($B31,Database!$B$1:$IX$10144,AM$22,FALSE)))</f>
        <v>0</v>
      </c>
      <c r="AN31" s="22">
        <f>IF(OR($B31="",AN$22=""),"",IF(LEN(VLOOKUP($B31,Database!$B$1:$IX$10144,AN$22,FALSE))=0,"",VLOOKUP($B31,Database!$B$1:$IX$10144,AN$22,FALSE)))</f>
        <v>0</v>
      </c>
      <c r="AO31" s="22"/>
      <c r="AP31" s="22">
        <f>IF(OR($B31="",AP$22=""),"",IF(LEN(VLOOKUP($B31,Database!$B$1:$IX$10144,AP$22,FALSE))=0,"",VLOOKUP($B31,Database!$B$1:$IX$10144,AP$22,FALSE)))</f>
        <v>100</v>
      </c>
      <c r="AQ31" s="22" t="str">
        <f>IF(OR($B31="",AQ$22=""),"",IF(LEN(VLOOKUP($B31,Database!$B$1:$IX$10144,AQ$22,FALSE))=0,"",VLOOKUP($B31,Database!$B$1:$IX$10144,AQ$22,FALSE)))</f>
        <v>Ballmaier M, Sowell ER, Thompson PM, Kumar A, Narr KL, Lavretsky H, Welcome SE, DeLuca H, Toga AW.</v>
      </c>
      <c r="AR31" s="13"/>
      <c r="BC31" s="23"/>
      <c r="BF31" s="136"/>
      <c r="BG31" s="136"/>
      <c r="BH31" s="136"/>
      <c r="BI31" s="136"/>
    </row>
    <row r="32" spans="1:65">
      <c r="A32" t="s">
        <v>713</v>
      </c>
      <c r="B32">
        <v>17604352</v>
      </c>
      <c r="C32" s="1" t="str">
        <f>IF($B32="","",HYPERLINK(IF(LEN(VLOOKUP($B32,Database!$B$1:$IX$10144,2,FALSE))=0,"",VLOOKUP($B32,Database!$B$1:$IX$10144,2,FALSE))))</f>
        <v/>
      </c>
      <c r="D32" s="1" t="str">
        <f t="shared" si="0"/>
        <v>http://www.ncbi.nlm.nih.gov/pubmed/17604352</v>
      </c>
      <c r="E32" s="22" t="str">
        <f>IF($B32="","",IF(LEN(VLOOKUP($B32,Database!$B$1:$IX$10144,4,FALSE))=0,"",VLOOKUP($B32,Database!$B$1:$IX$10144,4,FALSE)))</f>
        <v>Maller JJ</v>
      </c>
      <c r="F32" s="22">
        <f>IF($B32="","",IF(LEN(VLOOKUP($B32,Database!$B$1:$IX$10144,5,FALSE))=0,"",VLOOKUP($B32,Database!$B$1:$IX$10144,5,FALSE)))</f>
        <v>2007</v>
      </c>
      <c r="G32" s="1" t="str">
        <f>IF($B32="","",HYPERLINK(IF(LEN(VLOOKUP($B32,Database!$B$1:$IX$10144,6,FALSE))=0,"",VLOOKUP($B32,Database!$B$1:$IX$10144,6,FALSE))))</f>
        <v>http://dx.doi.org/10.1002/hipo.20339</v>
      </c>
      <c r="H32" s="83">
        <v>22</v>
      </c>
      <c r="I32" s="83">
        <v>13</v>
      </c>
      <c r="J32" t="s">
        <v>1608</v>
      </c>
      <c r="K32" t="s">
        <v>1606</v>
      </c>
      <c r="T32">
        <v>0.308</v>
      </c>
      <c r="U32" s="13">
        <v>4.58E-2</v>
      </c>
      <c r="V32">
        <v>0.26100000000000001</v>
      </c>
      <c r="W32" s="13">
        <v>3.3099999999999997E-2</v>
      </c>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83">
        <v>37.29</v>
      </c>
      <c r="AC32" s="83">
        <v>8.76</v>
      </c>
      <c r="AD32" s="83">
        <v>39.29</v>
      </c>
      <c r="AE32" s="83">
        <v>12.67</v>
      </c>
      <c r="AF32" s="83">
        <v>0</v>
      </c>
      <c r="AG32" s="83">
        <v>0</v>
      </c>
      <c r="AH32" s="22">
        <f>IF(OR($B32="",AH$22=""),"",IF(LEN(VLOOKUP($B32,Database!$B$1:$IX$10144,AH$22,FALSE))=0,"",VLOOKUP($B32,Database!$B$1:$IX$10144,AH$22,FALSE)))</f>
        <v>1.5</v>
      </c>
      <c r="AI32" s="22">
        <f>IF(OR($B32="",AI$22=""),"",IF(LEN(VLOOKUP($B32,Database!$B$1:$IX$10144,AI$22,FALSE))=0,"",VLOOKUP($B32,Database!$B$1:$IX$10144,AI$22,FALSE)))</f>
        <v>0.94</v>
      </c>
      <c r="AJ32" s="22" t="str">
        <f>IF(OR($B32="",AJ$22=""),"",IF(LEN(VLOOKUP($B32,Database!$B$1:$IX$10144,AJ$22,FALSE))=0,"",VLOOKUP($B32,Database!$B$1:$IX$10144,AJ$22,FALSE)))</f>
        <v/>
      </c>
      <c r="AK32" s="22" t="str">
        <f>IF(OR($B32="",AK$22=""),"",IF(LEN(VLOOKUP($B32,Database!$B$1:$IX$10144,AK$22,FALSE))=0,"",VLOOKUP($B32,Database!$B$1:$IX$10144,AK$22,FALSE)))</f>
        <v>ns</v>
      </c>
      <c r="AL32" s="22" t="str">
        <f>IF(OR($B32="",AL$22=""),"",IF(LEN(VLOOKUP($B32,Database!$B$1:$IX$10144,AL$22,FALSE))=0,"",VLOOKUP($B32,Database!$B$1:$IX$10144,AL$22,FALSE)))</f>
        <v>ns</v>
      </c>
      <c r="AM32" s="22" t="str">
        <f>IF(OR($B32="",AM$22=""),"",IF(LEN(VLOOKUP($B32,Database!$B$1:$IX$10144,AM$22,FALSE))=0,"",VLOOKUP($B32,Database!$B$1:$IX$10144,AM$22,FALSE)))</f>
        <v>ns</v>
      </c>
      <c r="AN32" s="22" t="str">
        <f>IF(OR($B32="",AN$22=""),"",IF(LEN(VLOOKUP($B32,Database!$B$1:$IX$10144,AN$22,FALSE))=0,"",VLOOKUP($B32,Database!$B$1:$IX$10144,AN$22,FALSE)))</f>
        <v>ns</v>
      </c>
      <c r="AO32" s="22"/>
      <c r="AP32" s="22" t="str">
        <f>IF(OR($B32="",AP$22=""),"",IF(LEN(VLOOKUP($B32,Database!$B$1:$IX$10144,AP$22,FALSE))=0,"",VLOOKUP($B32,Database!$B$1:$IX$10144,AP$22,FALSE)))</f>
        <v>ns</v>
      </c>
      <c r="AQ32" s="22" t="str">
        <f>IF(OR($B32="",AQ$22=""),"",IF(LEN(VLOOKUP($B32,Database!$B$1:$IX$10144,AQ$22,FALSE))=0,"",VLOOKUP($B32,Database!$B$1:$IX$10144,AQ$22,FALSE)))</f>
        <v>Maller JJ, Daskalakis ZJ, Fitzgerald PB.</v>
      </c>
      <c r="AR32" s="13"/>
      <c r="AU32" s="13"/>
      <c r="BC32" s="23"/>
      <c r="BF32" s="136"/>
      <c r="BG32" s="136"/>
      <c r="BH32" s="136"/>
      <c r="BI32" s="136"/>
    </row>
    <row r="33" spans="1:61">
      <c r="A33" t="s">
        <v>713</v>
      </c>
      <c r="B33">
        <v>17604352</v>
      </c>
      <c r="C33" s="1" t="str">
        <f>IF($B33="","",HYPERLINK(IF(LEN(VLOOKUP($B33,Database!$B$1:$IX$10144,2,FALSE))=0,"",VLOOKUP($B33,Database!$B$1:$IX$10144,2,FALSE))))</f>
        <v/>
      </c>
      <c r="D33" s="1" t="str">
        <f t="shared" si="0"/>
        <v>http://www.ncbi.nlm.nih.gov/pubmed/17604352</v>
      </c>
      <c r="E33" s="22" t="str">
        <f>IF($B33="","",IF(LEN(VLOOKUP($B33,Database!$B$1:$IX$10144,4,FALSE))=0,"",VLOOKUP($B33,Database!$B$1:$IX$10144,4,FALSE)))</f>
        <v>Maller JJ</v>
      </c>
      <c r="F33" s="22">
        <f>IF($B33="","",IF(LEN(VLOOKUP($B33,Database!$B$1:$IX$10144,5,FALSE))=0,"",VLOOKUP($B33,Database!$B$1:$IX$10144,5,FALSE)))</f>
        <v>2007</v>
      </c>
      <c r="G33" s="1" t="str">
        <f>IF($B33="","",HYPERLINK(IF(LEN(VLOOKUP($B33,Database!$B$1:$IX$10144,6,FALSE))=0,"",VLOOKUP($B33,Database!$B$1:$IX$10144,6,FALSE))))</f>
        <v>http://dx.doi.org/10.1002/hipo.20339</v>
      </c>
      <c r="H33" s="83">
        <v>23</v>
      </c>
      <c r="I33" s="83">
        <v>17</v>
      </c>
      <c r="J33" t="s">
        <v>1608</v>
      </c>
      <c r="K33" t="s">
        <v>1607</v>
      </c>
      <c r="T33">
        <v>0.26</v>
      </c>
      <c r="U33" s="13">
        <v>3.6999999999999998E-2</v>
      </c>
      <c r="V33">
        <v>0.254</v>
      </c>
      <c r="W33" s="13">
        <v>3.5499999999999997E-2</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83">
        <v>37.47</v>
      </c>
      <c r="AC33" s="83">
        <v>12.96</v>
      </c>
      <c r="AD33" s="83">
        <v>35.67</v>
      </c>
      <c r="AE33" s="83">
        <v>11.03</v>
      </c>
      <c r="AF33" s="83">
        <f>IF(OR($B33="",AF$22=""),"",IF(LEN(VLOOKUP($B33,Database!$B$1:$IX$10144,AF$22,FALSE))=0,"",VLOOKUP($B33,Database!$B$1:$IX$10144,AF$22,FALSE)))</f>
        <v>23</v>
      </c>
      <c r="AG33" s="83">
        <f>IF(OR($B33="",AG$22=""),"",IF(LEN(VLOOKUP($B33,Database!$B$1:$IX$10144,AG$22,FALSE))=0,"",VLOOKUP($B33,Database!$B$1:$IX$10144,AG$22,FALSE)))</f>
        <v>17</v>
      </c>
      <c r="AH33" s="22">
        <f>IF(OR($B33="",AH$22=""),"",IF(LEN(VLOOKUP($B33,Database!$B$1:$IX$10144,AH$22,FALSE))=0,"",VLOOKUP($B33,Database!$B$1:$IX$10144,AH$22,FALSE)))</f>
        <v>1.5</v>
      </c>
      <c r="AI33" s="22">
        <f>IF(OR($B33="",AI$22=""),"",IF(LEN(VLOOKUP($B33,Database!$B$1:$IX$10144,AI$22,FALSE))=0,"",VLOOKUP($B33,Database!$B$1:$IX$10144,AI$22,FALSE)))</f>
        <v>0.94</v>
      </c>
      <c r="AJ33" s="22" t="str">
        <f>IF(OR($B33="",AJ$22=""),"",IF(LEN(VLOOKUP($B33,Database!$B$1:$IX$10144,AJ$22,FALSE))=0,"",VLOOKUP($B33,Database!$B$1:$IX$10144,AJ$22,FALSE)))</f>
        <v/>
      </c>
      <c r="AK33" s="22" t="str">
        <f>IF(OR($B33="",AK$22=""),"",IF(LEN(VLOOKUP($B33,Database!$B$1:$IX$10144,AK$22,FALSE))=0,"",VLOOKUP($B33,Database!$B$1:$IX$10144,AK$22,FALSE)))</f>
        <v>ns</v>
      </c>
      <c r="AL33" s="22" t="str">
        <f>IF(OR($B33="",AL$22=""),"",IF(LEN(VLOOKUP($B33,Database!$B$1:$IX$10144,AL$22,FALSE))=0,"",VLOOKUP($B33,Database!$B$1:$IX$10144,AL$22,FALSE)))</f>
        <v>ns</v>
      </c>
      <c r="AM33" s="22" t="str">
        <f>IF(OR($B33="",AM$22=""),"",IF(LEN(VLOOKUP($B33,Database!$B$1:$IX$10144,AM$22,FALSE))=0,"",VLOOKUP($B33,Database!$B$1:$IX$10144,AM$22,FALSE)))</f>
        <v>ns</v>
      </c>
      <c r="AN33" s="22" t="str">
        <f>IF(OR($B33="",AN$22=""),"",IF(LEN(VLOOKUP($B33,Database!$B$1:$IX$10144,AN$22,FALSE))=0,"",VLOOKUP($B33,Database!$B$1:$IX$10144,AN$22,FALSE)))</f>
        <v>ns</v>
      </c>
      <c r="AO33" s="22"/>
      <c r="AP33" s="22" t="str">
        <f>IF(OR($B33="",AP$22=""),"",IF(LEN(VLOOKUP($B33,Database!$B$1:$IX$10144,AP$22,FALSE))=0,"",VLOOKUP($B33,Database!$B$1:$IX$10144,AP$22,FALSE)))</f>
        <v>ns</v>
      </c>
      <c r="AQ33" s="22" t="str">
        <f>IF(OR($B33="",AQ$22=""),"",IF(LEN(VLOOKUP($B33,Database!$B$1:$IX$10144,AQ$22,FALSE))=0,"",VLOOKUP($B33,Database!$B$1:$IX$10144,AQ$22,FALSE)))</f>
        <v>Maller JJ, Daskalakis ZJ, Fitzgerald PB.</v>
      </c>
      <c r="AR33" s="13"/>
      <c r="AU33" s="13"/>
      <c r="BC33" s="23"/>
      <c r="BF33" s="136"/>
      <c r="BG33" s="136"/>
      <c r="BH33" s="136"/>
      <c r="BI33" s="136"/>
    </row>
    <row r="34" spans="1:61">
      <c r="C34" s="1" t="str">
        <f>IF($B34="","",HYPERLINK(IF(LEN(VLOOKUP($B34,Database!$B$1:$IX$10144,2,FALSE))=0,"",VLOOKUP($B34,Database!$B$1:$IX$10144,2,FALSE))))</f>
        <v/>
      </c>
      <c r="D34" s="1" t="str">
        <f t="shared" si="0"/>
        <v/>
      </c>
      <c r="E34" s="22" t="str">
        <f>IF($B34="","",IF(LEN(VLOOKUP($B34,Database!$B$1:$IX$10144,4,FALSE))=0,"",VLOOKUP($B34,Database!$B$1:$IX$10144,4,FALSE)))</f>
        <v/>
      </c>
      <c r="F34" s="22" t="str">
        <f>IF($B34="","",IF(LEN(VLOOKUP($B34,Database!$B$1:$IX$10144,5,FALSE))=0,"",VLOOKUP($B34,Database!$B$1:$IX$10144,5,FALSE)))</f>
        <v/>
      </c>
      <c r="G34" s="1" t="str">
        <f>IF($B34="","",HYPERLINK(IF(LEN(VLOOKUP($B34,Database!$B$1:$IX$10144,6,FALSE))=0,"",VLOOKUP($B34,Database!$B$1:$IX$10144,6,FALSE))))</f>
        <v/>
      </c>
      <c r="H34" s="22" t="str">
        <f>IF($B34="","",IF(LEN(VLOOKUP($B34,Database!$B$1:$IX$10144,7,FALSE))=0,"",VLOOKUP($B34,Database!$B$1:$IX$10144,7,FALSE)))</f>
        <v/>
      </c>
      <c r="I34" s="22" t="str">
        <f>IF($B34="","",IF(LEN(VLOOKUP($B34,Database!$B$1:$IX$10144,8,FALSE))=0,"",VLOOKUP($B34,Database!$B$1:$IX$10144,8,FALSE)))</f>
        <v/>
      </c>
      <c r="Y34" s="22" t="str">
        <f>IF(OR($B34="",Y$22=""),"",IF(LEN(VLOOKUP($B34,Database!$B$1:$IX$10144,Y$22,FALSE))=0,"",VLOOKUP($B34,Database!$B$1:$IX$10144,Y$22,FALSE)))</f>
        <v/>
      </c>
      <c r="Z34" s="22" t="str">
        <f>IF(OR($B34="",Z$22=""),"",IF(LEN(VLOOKUP($B34,Database!$B$1:$IX$10144,Z$22,FALSE))=0,"",VLOOKUP($B34,Database!$B$1:$IX$10144,Z$22,FALSE)))</f>
        <v/>
      </c>
      <c r="AA34" s="22" t="str">
        <f>IF(OR($B34="",AA$22=""),"",IF(LEN(VLOOKUP($B34,Database!$B$1:$IX$10144,AA$22,FALSE))=0,"",VLOOKUP($B34,Database!$B$1:$IX$10144,AA$22,FALSE)))</f>
        <v/>
      </c>
      <c r="AB34" s="22" t="str">
        <f>IF(OR($B34="",AB$22=""),"",IF(LEN(VLOOKUP($B34,Database!$B$1:$IX$10144,AB$22,FALSE))=0,"",VLOOKUP($B34,Database!$B$1:$IX$10144,AB$22,FALSE)))</f>
        <v/>
      </c>
      <c r="AC34" s="22" t="str">
        <f>IF(OR($B34="",AC$22=""),"",IF(LEN(VLOOKUP($B34,Database!$B$1:$IX$10144,AC$22,FALSE))=0,"",VLOOKUP($B34,Database!$B$1:$IX$10144,AC$22,FALSE)))</f>
        <v/>
      </c>
      <c r="AD34" s="22" t="str">
        <f>IF(OR($B34="",AD$22=""),"",IF(LEN(VLOOKUP($B34,Database!$B$1:$IX$10144,AD$22,FALSE))=0,"",VLOOKUP($B34,Database!$B$1:$IX$10144,AD$22,FALSE)))</f>
        <v/>
      </c>
      <c r="AE34" s="22" t="str">
        <f>IF(OR($B34="",AE$22=""),"",IF(LEN(VLOOKUP($B34,Database!$B$1:$IX$10144,AE$22,FALSE))=0,"",VLOOKUP($B34,Database!$B$1:$IX$10144,AE$22,FALSE)))</f>
        <v/>
      </c>
      <c r="AF34" s="22" t="str">
        <f>IF(OR($B34="",AF$22=""),"",IF(LEN(VLOOKUP($B34,Database!$B$1:$IX$10144,AF$22,FALSE))=0,"",VLOOKUP($B34,Database!$B$1:$IX$10144,AF$22,FALSE)))</f>
        <v/>
      </c>
      <c r="AG34" s="22" t="str">
        <f>IF(OR($B34="",AG$22=""),"",IF(LEN(VLOOKUP($B34,Database!$B$1:$IX$10144,AG$22,FALSE))=0,"",VLOOKUP($B34,Database!$B$1:$IX$10144,AG$22,FALSE)))</f>
        <v/>
      </c>
      <c r="AH34" s="22" t="str">
        <f>IF(OR($B34="",AH$22=""),"",IF(LEN(VLOOKUP($B34,Database!$B$1:$IX$10144,AH$22,FALSE))=0,"",VLOOKUP($B34,Database!$B$1:$IX$10144,AH$22,FALSE)))</f>
        <v/>
      </c>
      <c r="AI34" s="22" t="str">
        <f>IF(OR($B34="",AI$22=""),"",IF(LEN(VLOOKUP($B34,Database!$B$1:$IX$10144,AI$22,FALSE))=0,"",VLOOKUP($B34,Database!$B$1:$IX$10144,AI$22,FALSE)))</f>
        <v/>
      </c>
      <c r="AJ34" s="22" t="str">
        <f>IF(OR($B34="",AJ$22=""),"",IF(LEN(VLOOKUP($B34,Database!$B$1:$IX$10144,AJ$22,FALSE))=0,"",VLOOKUP($B34,Database!$B$1:$IX$10144,AJ$22,FALSE)))</f>
        <v/>
      </c>
      <c r="AK34" s="22" t="str">
        <f>IF(OR($B34="",AK$22=""),"",IF(LEN(VLOOKUP($B34,Database!$B$1:$IX$10144,AK$22,FALSE))=0,"",VLOOKUP($B34,Database!$B$1:$IX$10144,AK$22,FALSE)))</f>
        <v/>
      </c>
      <c r="AL34" s="22" t="str">
        <f>IF(OR($B34="",AL$22=""),"",IF(LEN(VLOOKUP($B34,Database!$B$1:$IX$10144,AL$22,FALSE))=0,"",VLOOKUP($B34,Database!$B$1:$IX$10144,AL$22,FALSE)))</f>
        <v/>
      </c>
      <c r="AM34" s="22" t="str">
        <f>IF(OR($B34="",AM$22=""),"",IF(LEN(VLOOKUP($B34,Database!$B$1:$IX$10144,AM$22,FALSE))=0,"",VLOOKUP($B34,Database!$B$1:$IX$10144,AM$22,FALSE)))</f>
        <v/>
      </c>
      <c r="AN34" s="22" t="str">
        <f>IF(OR($B34="",AN$22=""),"",IF(LEN(VLOOKUP($B34,Database!$B$1:$IX$10144,AN$22,FALSE))=0,"",VLOOKUP($B34,Database!$B$1:$IX$10144,AN$22,FALSE)))</f>
        <v/>
      </c>
      <c r="AO34" s="22"/>
      <c r="AP34" s="22" t="str">
        <f>IF(OR($B34="",AP$22=""),"",IF(LEN(VLOOKUP($B34,Database!$B$1:$IX$10144,AP$22,FALSE))=0,"",VLOOKUP($B34,Database!$B$1:$IX$10144,AP$22,FALSE)))</f>
        <v/>
      </c>
      <c r="AQ34" s="22" t="str">
        <f>IF(OR($B34="",AQ$22=""),"",IF(LEN(VLOOKUP($B34,Database!$B$1:$IX$10144,AQ$22,FALSE))=0,"",VLOOKUP($B34,Database!$B$1:$IX$10144,AQ$22,FALSE)))</f>
        <v/>
      </c>
    </row>
    <row r="35" spans="1:61">
      <c r="A35" s="4" t="s">
        <v>1510</v>
      </c>
      <c r="C35" s="1" t="str">
        <f>IF($B35="","",HYPERLINK(IF(LEN(VLOOKUP($B35,Database!$B$1:$IX$10144,2,FALSE))=0,"",VLOOKUP($B35,Database!$B$1:$IX$10144,2,FALSE))))</f>
        <v/>
      </c>
      <c r="D35" s="1" t="str">
        <f t="shared" si="0"/>
        <v/>
      </c>
      <c r="E35" s="22" t="str">
        <f>IF($B35="","",IF(LEN(VLOOKUP($B35,Database!$B$1:$IX$10144,4,FALSE))=0,"",VLOOKUP($B35,Database!$B$1:$IX$10144,4,FALSE)))</f>
        <v/>
      </c>
      <c r="F35" s="22" t="str">
        <f>IF($B35="","",IF(LEN(VLOOKUP($B35,Database!$B$1:$IX$10144,5,FALSE))=0,"",VLOOKUP($B35,Database!$B$1:$IX$10144,5,FALSE)))</f>
        <v/>
      </c>
      <c r="G35" s="1" t="str">
        <f>IF($B35="","",HYPERLINK(IF(LEN(VLOOKUP($B35,Database!$B$1:$IX$10144,6,FALSE))=0,"",VLOOKUP($B35,Database!$B$1:$IX$10144,6,FALSE))))</f>
        <v/>
      </c>
      <c r="H35" s="22" t="str">
        <f>IF($B35="","",IF(LEN(VLOOKUP($B35,Database!$B$1:$IX$10144,7,FALSE))=0,"",VLOOKUP($B35,Database!$B$1:$IX$10144,7,FALSE)))</f>
        <v/>
      </c>
      <c r="I35" s="22" t="str">
        <f>IF($B35="","",IF(LEN(VLOOKUP($B35,Database!$B$1:$IX$10144,8,FALSE))=0,"",VLOOKUP($B35,Database!$B$1:$IX$10144,8,FALSE)))</f>
        <v/>
      </c>
      <c r="Y35" s="22" t="str">
        <f>IF(OR($B35="",Y$22=""),"",IF(LEN(VLOOKUP($B35,Database!$B$1:$IX$10144,Y$22,FALSE))=0,"",VLOOKUP($B35,Database!$B$1:$IX$10144,Y$22,FALSE)))</f>
        <v/>
      </c>
      <c r="Z35" s="22" t="str">
        <f>IF(OR($B35="",Z$22=""),"",IF(LEN(VLOOKUP($B35,Database!$B$1:$IX$10144,Z$22,FALSE))=0,"",VLOOKUP($B35,Database!$B$1:$IX$10144,Z$22,FALSE)))</f>
        <v/>
      </c>
      <c r="AA35" s="22" t="str">
        <f>IF(OR($B35="",AA$22=""),"",IF(LEN(VLOOKUP($B35,Database!$B$1:$IX$10144,AA$22,FALSE))=0,"",VLOOKUP($B35,Database!$B$1:$IX$10144,AA$22,FALSE)))</f>
        <v/>
      </c>
      <c r="AB35" s="22" t="str">
        <f>IF(OR($B35="",AB$22=""),"",IF(LEN(VLOOKUP($B35,Database!$B$1:$IX$10144,AB$22,FALSE))=0,"",VLOOKUP($B35,Database!$B$1:$IX$10144,AB$22,FALSE)))</f>
        <v/>
      </c>
      <c r="AC35" s="22" t="str">
        <f>IF(OR($B35="",AC$22=""),"",IF(LEN(VLOOKUP($B35,Database!$B$1:$IX$10144,AC$22,FALSE))=0,"",VLOOKUP($B35,Database!$B$1:$IX$10144,AC$22,FALSE)))</f>
        <v/>
      </c>
      <c r="AD35" s="22" t="str">
        <f>IF(OR($B35="",AD$22=""),"",IF(LEN(VLOOKUP($B35,Database!$B$1:$IX$10144,AD$22,FALSE))=0,"",VLOOKUP($B35,Database!$B$1:$IX$10144,AD$22,FALSE)))</f>
        <v/>
      </c>
      <c r="AE35" s="22" t="str">
        <f>IF(OR($B35="",AE$22=""),"",IF(LEN(VLOOKUP($B35,Database!$B$1:$IX$10144,AE$22,FALSE))=0,"",VLOOKUP($B35,Database!$B$1:$IX$10144,AE$22,FALSE)))</f>
        <v/>
      </c>
      <c r="AF35" s="22" t="str">
        <f>IF(OR($B35="",AF$22=""),"",IF(LEN(VLOOKUP($B35,Database!$B$1:$IX$10144,AF$22,FALSE))=0,"",VLOOKUP($B35,Database!$B$1:$IX$10144,AF$22,FALSE)))</f>
        <v/>
      </c>
      <c r="AG35" s="22" t="str">
        <f>IF(OR($B35="",AG$22=""),"",IF(LEN(VLOOKUP($B35,Database!$B$1:$IX$10144,AG$22,FALSE))=0,"",VLOOKUP($B35,Database!$B$1:$IX$10144,AG$22,FALSE)))</f>
        <v/>
      </c>
      <c r="AH35" s="22" t="str">
        <f>IF(OR($B35="",AH$22=""),"",IF(LEN(VLOOKUP($B35,Database!$B$1:$IX$10144,AH$22,FALSE))=0,"",VLOOKUP($B35,Database!$B$1:$IX$10144,AH$22,FALSE)))</f>
        <v/>
      </c>
      <c r="AI35" s="22" t="str">
        <f>IF(OR($B35="",AI$22=""),"",IF(LEN(VLOOKUP($B35,Database!$B$1:$IX$10144,AI$22,FALSE))=0,"",VLOOKUP($B35,Database!$B$1:$IX$10144,AI$22,FALSE)))</f>
        <v/>
      </c>
      <c r="AJ35" s="22" t="str">
        <f>IF(OR($B35="",AJ$22=""),"",IF(LEN(VLOOKUP($B35,Database!$B$1:$IX$10144,AJ$22,FALSE))=0,"",VLOOKUP($B35,Database!$B$1:$IX$10144,AJ$22,FALSE)))</f>
        <v/>
      </c>
      <c r="AK35" s="22" t="str">
        <f>IF(OR($B35="",AK$22=""),"",IF(LEN(VLOOKUP($B35,Database!$B$1:$IX$10144,AK$22,FALSE))=0,"",VLOOKUP($B35,Database!$B$1:$IX$10144,AK$22,FALSE)))</f>
        <v/>
      </c>
      <c r="AL35" s="22" t="str">
        <f>IF(OR($B35="",AL$22=""),"",IF(LEN(VLOOKUP($B35,Database!$B$1:$IX$10144,AL$22,FALSE))=0,"",VLOOKUP($B35,Database!$B$1:$IX$10144,AL$22,FALSE)))</f>
        <v/>
      </c>
      <c r="AM35" s="22" t="str">
        <f>IF(OR($B35="",AM$22=""),"",IF(LEN(VLOOKUP($B35,Database!$B$1:$IX$10144,AM$22,FALSE))=0,"",VLOOKUP($B35,Database!$B$1:$IX$10144,AM$22,FALSE)))</f>
        <v/>
      </c>
      <c r="AN35" s="22" t="str">
        <f>IF(OR($B35="",AN$22=""),"",IF(LEN(VLOOKUP($B35,Database!$B$1:$IX$10144,AN$22,FALSE))=0,"",VLOOKUP($B35,Database!$B$1:$IX$10144,AN$22,FALSE)))</f>
        <v/>
      </c>
      <c r="AO35" s="22"/>
      <c r="AP35" s="22" t="str">
        <f>IF(OR($B35="",AP$22=""),"",IF(LEN(VLOOKUP($B35,Database!$B$1:$IX$10144,AP$22,FALSE))=0,"",VLOOKUP($B35,Database!$B$1:$IX$10144,AP$22,FALSE)))</f>
        <v/>
      </c>
      <c r="AQ35" s="22" t="str">
        <f>IF(OR($B35="",AQ$22=""),"",IF(LEN(VLOOKUP($B35,Database!$B$1:$IX$10144,AQ$22,FALSE))=0,"",VLOOKUP($B35,Database!$B$1:$IX$10144,AQ$22,FALSE)))</f>
        <v/>
      </c>
    </row>
    <row r="36" spans="1:61">
      <c r="A36" s="10" t="s">
        <v>1568</v>
      </c>
      <c r="B36">
        <v>9859118</v>
      </c>
      <c r="C36" s="1" t="str">
        <f>IF($B36="","",HYPERLINK(IF(LEN(VLOOKUP($B36,Database!$B$1:$IX$10144,2,FALSE))=0,"",VLOOKUP($B36,Database!$B$1:$IX$10144,2,FALSE))))</f>
        <v/>
      </c>
      <c r="D36" s="1" t="str">
        <f t="shared" si="0"/>
        <v>http://www.ncbi.nlm.nih.gov/pubmed/9859118</v>
      </c>
      <c r="E36" s="22" t="str">
        <f>IF($B36="","",IF(LEN(VLOOKUP($B36,Database!$B$1:$IX$10144,4,FALSE))=0,"",VLOOKUP($B36,Database!$B$1:$IX$10144,4,FALSE)))</f>
        <v>Pantel J</v>
      </c>
      <c r="F36" s="22">
        <f>IF($B36="","",IF(LEN(VLOOKUP($B36,Database!$B$1:$IX$10144,5,FALSE))=0,"",VLOOKUP($B36,Database!$B$1:$IX$10144,5,FALSE)))</f>
        <v>1998</v>
      </c>
      <c r="G36" s="1" t="str">
        <f>IF($B36="","",HYPERLINK(IF(LEN(VLOOKUP($B36,Database!$B$1:$IX$10144,6,FALSE))=0,"",VLOOKUP($B36,Database!$B$1:$IX$10144,6,FALSE))))</f>
        <v>http://dx.doi.org/10.1007/s001150050371</v>
      </c>
      <c r="H36" s="22">
        <f>IF($B36="","",IF(LEN(VLOOKUP($B36,Database!$B$1:$IX$10144,7,FALSE))=0,"",VLOOKUP($B36,Database!$B$1:$IX$10144,7,FALSE)))</f>
        <v>19</v>
      </c>
      <c r="I36" s="22">
        <f>IF($B36="","",IF(LEN(VLOOKUP($B36,Database!$B$1:$IX$10144,8,FALSE))=0,"",VLOOKUP($B36,Database!$B$1:$IX$10144,8,FALSE)))</f>
        <v>13</v>
      </c>
      <c r="Y36" s="22" t="str">
        <f>IF(OR($B36="",Y$22=""),"",IF(LEN(VLOOKUP($B36,Database!$B$1:$IX$10144,Y$22,FALSE))=0,"",VLOOKUP($B36,Database!$B$1:$IX$10144,Y$22,FALSE)))</f>
        <v>DSM-III-R</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72.400000000000006</v>
      </c>
      <c r="AC36" s="22">
        <f>IF(OR($B36="",AC$22=""),"",IF(LEN(VLOOKUP($B36,Database!$B$1:$IX$10144,AC$22,FALSE))=0,"",VLOOKUP($B36,Database!$B$1:$IX$10144,AC$22,FALSE)))</f>
        <v>8.8000000000000007</v>
      </c>
      <c r="AD36" s="22">
        <f>IF(OR($B36="",AD$22=""),"",IF(LEN(VLOOKUP($B36,Database!$B$1:$IX$10144,AD$22,FALSE))=0,"",VLOOKUP($B36,Database!$B$1:$IX$10144,AD$22,FALSE)))</f>
        <v>68.2</v>
      </c>
      <c r="AE36" s="22">
        <f>IF(OR($B36="",AE$22=""),"",IF(LEN(VLOOKUP($B36,Database!$B$1:$IX$10144,AE$22,FALSE))=0,"",VLOOKUP($B36,Database!$B$1:$IX$10144,AE$22,FALSE)))</f>
        <v>5.3</v>
      </c>
      <c r="AF36" s="22">
        <f>IF(OR($B36="",AF$22=""),"",IF(LEN(VLOOKUP($B36,Database!$B$1:$IX$10144,AF$22,FALSE))=0,"",VLOOKUP($B36,Database!$B$1:$IX$10144,AF$22,FALSE)))</f>
        <v>15</v>
      </c>
      <c r="AG36" s="22">
        <f>IF(OR($B36="",AG$22=""),"",IF(LEN(VLOOKUP($B36,Database!$B$1:$IX$10144,AG$22,FALSE))=0,"",VLOOKUP($B36,Database!$B$1:$IX$10144,AG$22,FALSE)))</f>
        <v>10</v>
      </c>
      <c r="AH36" s="22">
        <f>IF(OR($B36="",AH$22=""),"",IF(LEN(VLOOKUP($B36,Database!$B$1:$IX$10144,AH$22,FALSE))=0,"",VLOOKUP($B36,Database!$B$1:$IX$10144,AH$22,FALSE)))</f>
        <v>1.5</v>
      </c>
      <c r="AI36" s="22">
        <f>IF(OR($B36="",AI$22=""),"",IF(LEN(VLOOKUP($B36,Database!$B$1:$IX$10144,AI$22,FALSE))=0,"",VLOOKUP($B36,Database!$B$1:$IX$10144,AI$22,FALSE)))</f>
        <v>1.2</v>
      </c>
      <c r="AJ36" s="22" t="str">
        <f>IF(OR($B36="",AJ$22=""),"",IF(LEN(VLOOKUP($B36,Database!$B$1:$IX$10144,AJ$22,FALSE))=0,"",VLOOKUP($B36,Database!$B$1:$IX$10144,AJ$22,FALSE)))</f>
        <v/>
      </c>
      <c r="AK36" s="22" t="str">
        <f>IF(OR($B36="",AK$22=""),"",IF(LEN(VLOOKUP($B36,Database!$B$1:$IX$10144,AK$22,FALSE))=0,"",VLOOKUP($B36,Database!$B$1:$IX$10144,AK$22,FALSE)))</f>
        <v>ns</v>
      </c>
      <c r="AL36" s="22">
        <f>IF(OR($B36="",AL$22=""),"",IF(LEN(VLOOKUP($B36,Database!$B$1:$IX$10144,AL$22,FALSE))=0,"",VLOOKUP($B36,Database!$B$1:$IX$10144,AL$22,FALSE)))</f>
        <v>26.7</v>
      </c>
      <c r="AM36" s="22" t="str">
        <f>IF(OR($B36="",AM$22=""),"",IF(LEN(VLOOKUP($B36,Database!$B$1:$IX$10144,AM$22,FALSE))=0,"",VLOOKUP($B36,Database!$B$1:$IX$10144,AM$22,FALSE)))</f>
        <v/>
      </c>
      <c r="AN36" s="22" t="str">
        <f>IF(OR($B36="",AN$22=""),"",IF(LEN(VLOOKUP($B36,Database!$B$1:$IX$10144,AN$22,FALSE))=0,"",VLOOKUP($B36,Database!$B$1:$IX$10144,AN$22,FALSE)))</f>
        <v/>
      </c>
      <c r="AO36" s="22"/>
      <c r="AP36" s="22" t="str">
        <f>IF(OR($B36="",AP$22=""),"",IF(LEN(VLOOKUP($B36,Database!$B$1:$IX$10144,AP$22,FALSE))=0,"",VLOOKUP($B36,Database!$B$1:$IX$10144,AP$22,FALSE)))</f>
        <v/>
      </c>
      <c r="AQ36" s="22" t="str">
        <f>IF(OR($B36="",AQ$22=""),"",IF(LEN(VLOOKUP($B36,Database!$B$1:$IX$10144,AQ$22,FALSE))=0,"",VLOOKUP($B36,Database!$B$1:$IX$10144,AQ$22,FALSE)))</f>
        <v>Pantel J, Schroder J, Essig M, Schad LR, Popp D, Eysenbach K, Jauss M, Knopp MV.</v>
      </c>
    </row>
    <row r="37" spans="1:61">
      <c r="A37" s="10" t="s">
        <v>1600</v>
      </c>
      <c r="B37">
        <v>12823084</v>
      </c>
      <c r="C37" s="1" t="str">
        <f>IF($B37="","",HYPERLINK(IF(LEN(VLOOKUP($B37,Database!$B$1:$IX$10144,2,FALSE))=0,"",VLOOKUP($B37,Database!$B$1:$IX$10144,2,FALSE))))</f>
        <v/>
      </c>
      <c r="D37" s="1" t="str">
        <f t="shared" si="0"/>
        <v>http://www.ncbi.nlm.nih.gov/pubmed/12823084</v>
      </c>
      <c r="E37" s="22" t="str">
        <f>IF($B37="","",IF(LEN(VLOOKUP($B37,Database!$B$1:$IX$10144,4,FALSE))=0,"",VLOOKUP($B37,Database!$B$1:$IX$10144,4,FALSE)))</f>
        <v>Cardoner N</v>
      </c>
      <c r="F37" s="22">
        <f>IF($B37="","",IF(LEN(VLOOKUP($B37,Database!$B$1:$IX$10144,5,FALSE))=0,"",VLOOKUP($B37,Database!$B$1:$IX$10144,5,FALSE)))</f>
        <v>2003</v>
      </c>
      <c r="G37" s="1" t="str">
        <f>IF($B37="","",HYPERLINK(IF(LEN(VLOOKUP($B37,Database!$B$1:$IX$10144,6,FALSE))=0,"",VLOOKUP($B37,Database!$B$1:$IX$10144,6,FALSE))))</f>
        <v>http://www.psychiatrist.com/abstracts/abstracts.asp?abstract=200306/060310.htm</v>
      </c>
      <c r="H37" s="22">
        <f>IF($B37="","",IF(LEN(VLOOKUP($B37,Database!$B$1:$IX$10144,7,FALSE))=0,"",VLOOKUP($B37,Database!$B$1:$IX$10144,7,FALSE)))</f>
        <v>55</v>
      </c>
      <c r="I37" s="22">
        <f>IF($B37="","",IF(LEN(VLOOKUP($B37,Database!$B$1:$IX$10144,8,FALSE))=0,"",VLOOKUP($B37,Database!$B$1:$IX$10144,8,FALSE)))</f>
        <v>37</v>
      </c>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22">
        <f>IF(OR($B37="",AB$22=""),"",IF(LEN(VLOOKUP($B37,Database!$B$1:$IX$10144,AB$22,FALSE))=0,"",VLOOKUP($B37,Database!$B$1:$IX$10144,AB$22,FALSE)))</f>
        <v>60.6</v>
      </c>
      <c r="AC37" s="22">
        <f>IF(OR($B37="",AC$22=""),"",IF(LEN(VLOOKUP($B37,Database!$B$1:$IX$10144,AC$22,FALSE))=0,"",VLOOKUP($B37,Database!$B$1:$IX$10144,AC$22,FALSE)))</f>
        <v>9.4</v>
      </c>
      <c r="AD37" s="22">
        <f>IF(OR($B37="",AD$22=""),"",IF(LEN(VLOOKUP($B37,Database!$B$1:$IX$10144,AD$22,FALSE))=0,"",VLOOKUP($B37,Database!$B$1:$IX$10144,AD$22,FALSE)))</f>
        <v>58.6</v>
      </c>
      <c r="AE37" s="22">
        <f>IF(OR($B37="",AE$22=""),"",IF(LEN(VLOOKUP($B37,Database!$B$1:$IX$10144,AE$22,FALSE))=0,"",VLOOKUP($B37,Database!$B$1:$IX$10144,AE$22,FALSE)))</f>
        <v>7.3</v>
      </c>
      <c r="AF37" s="22">
        <f>IF(OR($B37="",AF$22=""),"",IF(LEN(VLOOKUP($B37,Database!$B$1:$IX$10144,AF$22,FALSE))=0,"",VLOOKUP($B37,Database!$B$1:$IX$10144,AF$22,FALSE)))</f>
        <v>33</v>
      </c>
      <c r="AG37" s="22">
        <f>IF(OR($B37="",AG$22=""),"",IF(LEN(VLOOKUP($B37,Database!$B$1:$IX$10144,AG$22,FALSE))=0,"",VLOOKUP($B37,Database!$B$1:$IX$10144,AG$22,FALSE)))</f>
        <v>22</v>
      </c>
      <c r="AH37" s="22">
        <f>IF(OR($B37="",AH$22=""),"",IF(LEN(VLOOKUP($B37,Database!$B$1:$IX$10144,AH$22,FALSE))=0,"",VLOOKUP($B37,Database!$B$1:$IX$10144,AH$22,FALSE)))</f>
        <v>1.5</v>
      </c>
      <c r="AI37" s="22">
        <f>IF(OR($B37="",AI$22=""),"",IF(LEN(VLOOKUP($B37,Database!$B$1:$IX$10144,AI$22,FALSE))=0,"",VLOOKUP($B37,Database!$B$1:$IX$10144,AI$22,FALSE)))</f>
        <v>2.2999999999999998</v>
      </c>
      <c r="AJ37" s="22" t="str">
        <f>IF(OR($B37="",AJ$22=""),"",IF(LEN(VLOOKUP($B37,Database!$B$1:$IX$10144,AJ$22,FALSE))=0,"",VLOOKUP($B37,Database!$B$1:$IX$10144,AJ$22,FALSE)))</f>
        <v/>
      </c>
      <c r="AK37" s="22">
        <f>IF(OR($B37="",AK$22=""),"",IF(LEN(VLOOKUP($B37,Database!$B$1:$IX$10144,AK$22,FALSE))=0,"",VLOOKUP($B37,Database!$B$1:$IX$10144,AK$22,FALSE)))</f>
        <v>50.5</v>
      </c>
      <c r="AL37" s="22">
        <f>IF(OR($B37="",AL$22=""),"",IF(LEN(VLOOKUP($B37,Database!$B$1:$IX$10144,AL$22,FALSE))=0,"",VLOOKUP($B37,Database!$B$1:$IX$10144,AL$22,FALSE)))</f>
        <v>28.9</v>
      </c>
      <c r="AM37" s="22" t="str">
        <f>IF(OR($B37="",AM$22=""),"",IF(LEN(VLOOKUP($B37,Database!$B$1:$IX$10144,AM$22,FALSE))=0,"",VLOOKUP($B37,Database!$B$1:$IX$10144,AM$22,FALSE)))</f>
        <v>ns</v>
      </c>
      <c r="AN37" s="22" t="str">
        <f>IF(OR($B37="",AN$22=""),"",IF(LEN(VLOOKUP($B37,Database!$B$1:$IX$10144,AN$22,FALSE))=0,"",VLOOKUP($B37,Database!$B$1:$IX$10144,AN$22,FALSE)))</f>
        <v>ns</v>
      </c>
      <c r="AO37" s="22"/>
      <c r="AP37" s="22" t="str">
        <f>IF(OR($B37="",AP$22=""),"",IF(LEN(VLOOKUP($B37,Database!$B$1:$IX$10144,AP$22,FALSE))=0,"",VLOOKUP($B37,Database!$B$1:$IX$10144,AP$22,FALSE)))</f>
        <v>ns</v>
      </c>
      <c r="AQ37" s="22" t="str">
        <f>IF(OR($B37="",AQ$22=""),"",IF(LEN(VLOOKUP($B37,Database!$B$1:$IX$10144,AQ$22,FALSE))=0,"",VLOOKUP($B37,Database!$B$1:$IX$10144,AQ$22,FALSE)))</f>
        <v>Cardoner N, Pujol J, Vallejo J, Urretavizcaya M, Deus J, Lopez-Sala A, Benlloch L, Menchon JM.</v>
      </c>
    </row>
    <row r="38" spans="1:61">
      <c r="C38" s="1"/>
      <c r="D38" s="1"/>
      <c r="E38" s="22"/>
      <c r="F38" s="22"/>
      <c r="G38" s="1"/>
      <c r="H38" s="22"/>
      <c r="I38" s="22"/>
      <c r="Y38" s="22"/>
      <c r="Z38" s="22"/>
      <c r="AA38" s="22"/>
      <c r="AB38" s="22"/>
      <c r="AC38" s="22"/>
      <c r="AD38" s="22"/>
      <c r="AE38" s="22"/>
      <c r="AF38" s="22"/>
      <c r="AG38" s="22"/>
      <c r="AH38" s="22"/>
      <c r="AI38" s="22"/>
      <c r="AJ38" s="22"/>
      <c r="AK38" s="22"/>
      <c r="AL38" s="22"/>
      <c r="AM38" s="22"/>
      <c r="AN38" s="22"/>
      <c r="AO38" s="22"/>
      <c r="AP38" s="22"/>
      <c r="AQ38" s="22"/>
    </row>
    <row r="39" spans="1:61">
      <c r="I39" s="22" t="str">
        <f>IF($B39="","",IF(LEN(VLOOKUP($B39,Database!$B$1:$IX$10144,8,FALSE))=0,"",VLOOKUP($B39,Database!$B$1:$IX$10144,8,FALSE)))</f>
        <v/>
      </c>
      <c r="AF39" t="s">
        <v>602</v>
      </c>
      <c r="AJ39" t="s">
        <v>329</v>
      </c>
      <c r="AN39" t="s">
        <v>330</v>
      </c>
    </row>
    <row r="40" spans="1:61" ht="45" customHeight="1">
      <c r="E40" s="60" t="s">
        <v>617</v>
      </c>
      <c r="F40" s="60" t="s">
        <v>740</v>
      </c>
      <c r="G40" s="60" t="s">
        <v>244</v>
      </c>
      <c r="H40" s="60" t="s">
        <v>245</v>
      </c>
      <c r="I40" s="60" t="s">
        <v>246</v>
      </c>
      <c r="J40" s="60" t="s">
        <v>593</v>
      </c>
      <c r="K40" s="60" t="s">
        <v>1039</v>
      </c>
      <c r="L40" s="60" t="s">
        <v>594</v>
      </c>
      <c r="M40" s="60" t="s">
        <v>1299</v>
      </c>
      <c r="N40" s="61" t="s">
        <v>595</v>
      </c>
      <c r="O40" s="61" t="s">
        <v>596</v>
      </c>
      <c r="P40" s="61" t="s">
        <v>597</v>
      </c>
      <c r="Q40" s="61" t="s">
        <v>598</v>
      </c>
      <c r="R40" s="61" t="s">
        <v>599</v>
      </c>
      <c r="S40" s="61" t="s">
        <v>600</v>
      </c>
      <c r="T40" s="61" t="s">
        <v>601</v>
      </c>
      <c r="U40" s="61" t="s">
        <v>484</v>
      </c>
      <c r="V40" s="61" t="s">
        <v>485</v>
      </c>
      <c r="W40" s="61" t="s">
        <v>486</v>
      </c>
      <c r="AF40" s="61" t="s">
        <v>1517</v>
      </c>
      <c r="AG40" s="62" t="s">
        <v>834</v>
      </c>
      <c r="AH40" s="62" t="s">
        <v>835</v>
      </c>
      <c r="AJ40" s="61" t="s">
        <v>836</v>
      </c>
      <c r="AK40" s="61" t="s">
        <v>837</v>
      </c>
      <c r="AL40" s="61" t="s">
        <v>487</v>
      </c>
      <c r="AN40" t="s">
        <v>488</v>
      </c>
      <c r="AO40" t="s">
        <v>489</v>
      </c>
      <c r="AP40" t="s">
        <v>490</v>
      </c>
      <c r="AQ40" t="s">
        <v>491</v>
      </c>
      <c r="AR40" t="s">
        <v>492</v>
      </c>
      <c r="AS40" t="s">
        <v>493</v>
      </c>
      <c r="AT40" t="s">
        <v>494</v>
      </c>
      <c r="AU40" t="s">
        <v>495</v>
      </c>
      <c r="AV40" t="s">
        <v>496</v>
      </c>
      <c r="AW40" t="s">
        <v>497</v>
      </c>
      <c r="AX40" t="s">
        <v>498</v>
      </c>
      <c r="AY40" t="s">
        <v>499</v>
      </c>
    </row>
    <row r="41" spans="1:61">
      <c r="E41" t="str">
        <f t="shared" ref="E41:F47" si="1">E24</f>
        <v>Kumar A</v>
      </c>
      <c r="F41">
        <f t="shared" si="1"/>
        <v>1997</v>
      </c>
      <c r="G41">
        <v>10</v>
      </c>
      <c r="H41">
        <f t="shared" ref="H41:I47" si="2">H24</f>
        <v>28</v>
      </c>
      <c r="I41">
        <f t="shared" si="2"/>
        <v>29</v>
      </c>
      <c r="J41">
        <f t="shared" ref="J41:J47" si="3">IF($D$4="Total",T24,IF($D$4="Left",L24,IF($D$4="Right",P24,"error")))</f>
        <v>204.3</v>
      </c>
      <c r="K41">
        <f t="shared" ref="K41:K47" si="4">IF($D$4="Total",U24,IF($D$4="Left",M24,IF($D$4="Right",Q24,"error")))</f>
        <v>54.5</v>
      </c>
      <c r="L41">
        <f t="shared" ref="L41:L47" si="5">IF($D$4="Total",V24,IF($D$4="Left",N24,IF($D$4="Right",R24,"error")))</f>
        <v>155.9</v>
      </c>
      <c r="M41">
        <f t="shared" ref="M41:M47" si="6">IF($D$4="Total",W24,IF($D$4="Left",O24,IF($D$4="Right",S24,"error")))</f>
        <v>35.799999999999997</v>
      </c>
      <c r="N41">
        <f t="shared" ref="N41:N47" si="7">IF($D$3=1,SQRT((((I41-1)*(M41)^2)+((H41-1)*(K41)^2))/(H41+I41-2)),M41)</f>
        <v>45.941201551548474</v>
      </c>
      <c r="O41" s="59">
        <f t="shared" ref="O41:O47" si="8">IF($D$6=1,LN(J41/L41),IF($D$5=1,(1-3/(4*(H41+I41)-9))*((J41-L41)/N41),(J41-L41)/N41))</f>
        <v>1.0390887632271966</v>
      </c>
      <c r="P41" s="63">
        <f t="shared" ref="P41:P47" si="9">IF($D$6=1,(K41^2)/(H41*J41^2)+(M41^2)/(I41*L41^2),(IF($D$5=1,((H41+I41)/(H41*I41))+(O41*O41)/(2*(H41+I41-3.94)),((H41+I41)/(H41*I41))+((O41^2)/(2*(H41+I41-2))))))</f>
        <v>8.0371426712142952E-2</v>
      </c>
      <c r="Q41" s="59">
        <f t="shared" ref="Q41:Q50" si="10">$R$67*SQRT(P41)</f>
        <v>0.55565715405937888</v>
      </c>
      <c r="R41" s="59">
        <f t="shared" ref="R41:R47" si="11">1/P41</f>
        <v>12.442232779835853</v>
      </c>
      <c r="S41" s="59">
        <f t="shared" ref="S41:S47" si="12">O41*R41</f>
        <v>12.928584270984521</v>
      </c>
      <c r="T41" s="59">
        <f t="shared" ref="T41:T47" si="13">R41*(O41^2)</f>
        <v>13.433946640415892</v>
      </c>
      <c r="U41" s="23">
        <f t="shared" ref="U41:U47" si="14">R41^2</f>
        <v>154.80915654762182</v>
      </c>
      <c r="V41" s="59">
        <f t="shared" ref="V41:V47" si="15">1/((1/R41)+$I$64)</f>
        <v>5.4325058249625977</v>
      </c>
      <c r="W41" s="59">
        <f t="shared" ref="W41:W47" si="16">V41*O41</f>
        <v>5.6448557588849271</v>
      </c>
      <c r="AF41" s="59">
        <f t="shared" ref="AF41:AF47" si="17">IF($D$6=1,100*((EXP(O41))-1),O41)</f>
        <v>1.0390887632271966</v>
      </c>
      <c r="AG41" s="59">
        <f t="shared" ref="AG41:AG47" si="18">IF($D$6=1,100*(EXP(O41+Q41)-EXP(O41)),Q41)</f>
        <v>0.55565715405937888</v>
      </c>
      <c r="AH41" s="59">
        <f t="shared" ref="AH41:AH47" si="19">IF($D$6=1,100*(EXP(O41)-EXP(O41-Q41)),Q41)</f>
        <v>0.55565715405937888</v>
      </c>
      <c r="AJ41">
        <f t="shared" ref="AJ41:AJ47" si="20">SQRT(P41)</f>
        <v>0.28349854798947904</v>
      </c>
      <c r="AK41">
        <f t="shared" ref="AK41:AK50" si="21">1/AJ41</f>
        <v>3.5273549268305642</v>
      </c>
      <c r="AL41">
        <f t="shared" ref="AL41:AL47" si="22">O41/AJ41</f>
        <v>3.6652348683837292</v>
      </c>
      <c r="AN41" t="str">
        <f t="shared" ref="AN41:AN47" si="23">E41</f>
        <v>Kumar A</v>
      </c>
      <c r="AO41">
        <f t="shared" ref="AO41:AO47" si="24">F41</f>
        <v>1997</v>
      </c>
      <c r="AP41" t="str">
        <f t="shared" ref="AP41:AP47" si="25">CONCATENATE(AN41," ",AO41)</f>
        <v>Kumar A 1997</v>
      </c>
      <c r="AQ41">
        <f t="shared" ref="AQ41:AQ47" si="26">INT(H41)</f>
        <v>28</v>
      </c>
      <c r="AR41">
        <f t="shared" ref="AR41:AR47" si="27">J41</f>
        <v>204.3</v>
      </c>
      <c r="AS41">
        <f t="shared" ref="AS41:AS47" si="28">K41</f>
        <v>54.5</v>
      </c>
      <c r="AT41">
        <f t="shared" ref="AT41:AT47" si="29">INT(I41)</f>
        <v>29</v>
      </c>
      <c r="AU41">
        <f t="shared" ref="AU41:AU47" si="30">L41</f>
        <v>155.9</v>
      </c>
      <c r="AV41">
        <f t="shared" ref="AV41:AV47" si="31">M41</f>
        <v>35.799999999999997</v>
      </c>
      <c r="AW41" s="65">
        <f t="shared" ref="AW41:AW47" si="32">O41</f>
        <v>1.0390887632271966</v>
      </c>
      <c r="AX41">
        <f t="shared" ref="AX41:AX47" si="33">SQRT(P41)</f>
        <v>0.28349854798947904</v>
      </c>
      <c r="AY41" t="str">
        <f>$F$3</f>
        <v>Pooled SD</v>
      </c>
    </row>
    <row r="42" spans="1:61">
      <c r="E42" t="str">
        <f t="shared" si="1"/>
        <v>Pantel J</v>
      </c>
      <c r="F42">
        <f t="shared" si="1"/>
        <v>1997</v>
      </c>
      <c r="G42">
        <v>9</v>
      </c>
      <c r="H42">
        <f t="shared" si="2"/>
        <v>19</v>
      </c>
      <c r="I42">
        <f t="shared" si="2"/>
        <v>13</v>
      </c>
      <c r="J42">
        <f t="shared" si="3"/>
        <v>372.9</v>
      </c>
      <c r="K42">
        <f t="shared" si="4"/>
        <v>60</v>
      </c>
      <c r="L42">
        <f t="shared" si="5"/>
        <v>310.8</v>
      </c>
      <c r="M42">
        <f t="shared" si="6"/>
        <v>65</v>
      </c>
      <c r="N42">
        <f t="shared" si="7"/>
        <v>62.048368229954285</v>
      </c>
      <c r="O42" s="59">
        <f t="shared" si="8"/>
        <v>0.97560105943751696</v>
      </c>
      <c r="P42" s="63">
        <f t="shared" si="9"/>
        <v>0.14651469555639698</v>
      </c>
      <c r="Q42" s="59">
        <f t="shared" si="10"/>
        <v>0.75023386650394197</v>
      </c>
      <c r="R42" s="59">
        <f t="shared" si="11"/>
        <v>6.8252539187448011</v>
      </c>
      <c r="S42" s="59">
        <f t="shared" si="12"/>
        <v>6.658724954057492</v>
      </c>
      <c r="T42" s="59">
        <f t="shared" si="13"/>
        <v>6.4962591196815209</v>
      </c>
      <c r="U42" s="23">
        <f t="shared" si="14"/>
        <v>46.584091055341261</v>
      </c>
      <c r="V42" s="59">
        <f t="shared" si="15"/>
        <v>3.9964769626432681</v>
      </c>
      <c r="W42" s="59">
        <f t="shared" si="16"/>
        <v>3.8989671587724022</v>
      </c>
      <c r="AF42" s="59">
        <f t="shared" si="17"/>
        <v>0.97560105943751696</v>
      </c>
      <c r="AG42" s="59">
        <f t="shared" si="18"/>
        <v>0.75023386650394197</v>
      </c>
      <c r="AH42" s="59">
        <f t="shared" si="19"/>
        <v>0.75023386650394197</v>
      </c>
      <c r="AJ42">
        <f t="shared" si="20"/>
        <v>0.38277238086935816</v>
      </c>
      <c r="AK42">
        <f t="shared" si="21"/>
        <v>2.6125186925158643</v>
      </c>
      <c r="AL42">
        <f t="shared" si="22"/>
        <v>2.5487760042187939</v>
      </c>
      <c r="AN42" t="str">
        <f t="shared" si="23"/>
        <v>Pantel J</v>
      </c>
      <c r="AO42">
        <f t="shared" si="24"/>
        <v>1997</v>
      </c>
      <c r="AP42" t="str">
        <f t="shared" si="25"/>
        <v>Pantel J 1997</v>
      </c>
      <c r="AQ42">
        <f t="shared" si="26"/>
        <v>19</v>
      </c>
      <c r="AR42">
        <f t="shared" si="27"/>
        <v>372.9</v>
      </c>
      <c r="AS42">
        <f t="shared" si="28"/>
        <v>60</v>
      </c>
      <c r="AT42">
        <f t="shared" si="29"/>
        <v>13</v>
      </c>
      <c r="AU42">
        <f t="shared" si="30"/>
        <v>310.8</v>
      </c>
      <c r="AV42">
        <f t="shared" si="31"/>
        <v>65</v>
      </c>
      <c r="AW42" s="65">
        <f t="shared" si="32"/>
        <v>0.97560105943751696</v>
      </c>
      <c r="AX42">
        <f t="shared" si="33"/>
        <v>0.38277238086935816</v>
      </c>
      <c r="AY42" t="str">
        <f>$F$4</f>
        <v>Total</v>
      </c>
    </row>
    <row r="43" spans="1:61">
      <c r="E43" t="str">
        <f t="shared" si="1"/>
        <v>Pujol J</v>
      </c>
      <c r="F43">
        <f t="shared" si="1"/>
        <v>2002</v>
      </c>
      <c r="G43">
        <v>8</v>
      </c>
      <c r="H43">
        <f t="shared" si="2"/>
        <v>57</v>
      </c>
      <c r="I43">
        <f t="shared" si="2"/>
        <v>37</v>
      </c>
      <c r="J43">
        <f t="shared" si="3"/>
        <v>179</v>
      </c>
      <c r="K43">
        <f t="shared" si="4"/>
        <v>41</v>
      </c>
      <c r="L43">
        <f t="shared" si="5"/>
        <v>146</v>
      </c>
      <c r="M43">
        <f t="shared" si="6"/>
        <v>31</v>
      </c>
      <c r="N43">
        <f t="shared" si="7"/>
        <v>37.406695517851048</v>
      </c>
      <c r="O43" s="59">
        <f t="shared" si="8"/>
        <v>0.87498360329605307</v>
      </c>
      <c r="P43" s="63">
        <f t="shared" si="9"/>
        <v>4.8821365834693833E-2</v>
      </c>
      <c r="Q43" s="59">
        <f t="shared" si="10"/>
        <v>0.43307292571870593</v>
      </c>
      <c r="R43" s="59">
        <f t="shared" si="11"/>
        <v>20.482835391904828</v>
      </c>
      <c r="S43" s="59">
        <f t="shared" si="12"/>
        <v>17.92214511692881</v>
      </c>
      <c r="T43" s="59">
        <f t="shared" si="13"/>
        <v>15.681583113205132</v>
      </c>
      <c r="U43" s="23">
        <f t="shared" si="14"/>
        <v>419.54654569186903</v>
      </c>
      <c r="V43" s="59">
        <f t="shared" si="15"/>
        <v>6.5562139459452178</v>
      </c>
      <c r="W43" s="59">
        <f t="shared" si="16"/>
        <v>5.736579702402981</v>
      </c>
      <c r="AF43" s="59">
        <f t="shared" si="17"/>
        <v>0.87498360329605307</v>
      </c>
      <c r="AG43" s="59">
        <f t="shared" si="18"/>
        <v>0.43307292571870593</v>
      </c>
      <c r="AH43" s="59">
        <f t="shared" si="19"/>
        <v>0.43307292571870593</v>
      </c>
      <c r="AJ43">
        <f t="shared" si="20"/>
        <v>0.22095557434627855</v>
      </c>
      <c r="AK43">
        <f t="shared" si="21"/>
        <v>4.5257966582586135</v>
      </c>
      <c r="AL43">
        <f t="shared" si="22"/>
        <v>3.9599978678283572</v>
      </c>
      <c r="AN43" t="str">
        <f t="shared" si="23"/>
        <v>Pujol J</v>
      </c>
      <c r="AO43">
        <f t="shared" si="24"/>
        <v>2002</v>
      </c>
      <c r="AP43" t="str">
        <f t="shared" si="25"/>
        <v>Pujol J 2002</v>
      </c>
      <c r="AQ43">
        <f t="shared" si="26"/>
        <v>57</v>
      </c>
      <c r="AR43">
        <f t="shared" si="27"/>
        <v>179</v>
      </c>
      <c r="AS43">
        <f t="shared" si="28"/>
        <v>41</v>
      </c>
      <c r="AT43">
        <f t="shared" si="29"/>
        <v>37</v>
      </c>
      <c r="AU43">
        <f t="shared" si="30"/>
        <v>146</v>
      </c>
      <c r="AV43">
        <f t="shared" si="31"/>
        <v>31</v>
      </c>
      <c r="AW43" s="65">
        <f t="shared" si="32"/>
        <v>0.87498360329605307</v>
      </c>
      <c r="AX43">
        <f t="shared" si="33"/>
        <v>0.22095557434627855</v>
      </c>
      <c r="AY43" t="str">
        <f>$F$6</f>
        <v>Cohens Effect size</v>
      </c>
    </row>
    <row r="44" spans="1:61">
      <c r="E44" t="str">
        <f t="shared" si="1"/>
        <v>Steingard RJ</v>
      </c>
      <c r="F44">
        <f t="shared" si="1"/>
        <v>2002</v>
      </c>
      <c r="G44">
        <v>7</v>
      </c>
      <c r="H44">
        <f t="shared" si="2"/>
        <v>19</v>
      </c>
      <c r="I44">
        <f t="shared" si="2"/>
        <v>38</v>
      </c>
      <c r="J44">
        <f t="shared" si="3"/>
        <v>21.9</v>
      </c>
      <c r="K44">
        <f t="shared" si="4"/>
        <v>12.7</v>
      </c>
      <c r="L44">
        <f t="shared" si="5"/>
        <v>16.5</v>
      </c>
      <c r="M44">
        <f t="shared" si="6"/>
        <v>6.3</v>
      </c>
      <c r="N44">
        <f t="shared" si="7"/>
        <v>8.9155125279685201</v>
      </c>
      <c r="O44" s="59">
        <f t="shared" si="8"/>
        <v>0.59738880749168277</v>
      </c>
      <c r="P44" s="63">
        <f t="shared" si="9"/>
        <v>8.2310291407448541E-2</v>
      </c>
      <c r="Q44" s="59">
        <f t="shared" si="10"/>
        <v>0.56231949590144426</v>
      </c>
      <c r="R44" s="59">
        <f t="shared" si="11"/>
        <v>12.149149066303835</v>
      </c>
      <c r="S44" s="59">
        <f t="shared" si="12"/>
        <v>7.2577656727579392</v>
      </c>
      <c r="T44" s="59">
        <f t="shared" si="13"/>
        <v>4.3357079803029359</v>
      </c>
      <c r="U44" s="23">
        <f t="shared" si="14"/>
        <v>147.60182303527134</v>
      </c>
      <c r="V44" s="59">
        <f t="shared" si="15"/>
        <v>5.3758822286302141</v>
      </c>
      <c r="W44" s="59">
        <f t="shared" si="16"/>
        <v>3.2114918737771334</v>
      </c>
      <c r="AF44" s="59">
        <f t="shared" si="17"/>
        <v>0.59738880749168277</v>
      </c>
      <c r="AG44" s="59">
        <f t="shared" si="18"/>
        <v>0.56231949590144426</v>
      </c>
      <c r="AH44" s="59">
        <f t="shared" si="19"/>
        <v>0.56231949590144426</v>
      </c>
      <c r="AJ44">
        <f t="shared" si="20"/>
        <v>0.28689770199053277</v>
      </c>
      <c r="AK44">
        <f t="shared" si="21"/>
        <v>3.4855629482629964</v>
      </c>
      <c r="AL44">
        <f t="shared" si="22"/>
        <v>2.0822362931000256</v>
      </c>
      <c r="AN44" t="str">
        <f t="shared" si="23"/>
        <v>Steingard RJ</v>
      </c>
      <c r="AO44">
        <f t="shared" si="24"/>
        <v>2002</v>
      </c>
      <c r="AP44" t="str">
        <f t="shared" si="25"/>
        <v>Steingard RJ 2002</v>
      </c>
      <c r="AQ44">
        <f t="shared" si="26"/>
        <v>19</v>
      </c>
      <c r="AR44">
        <f t="shared" si="27"/>
        <v>21.9</v>
      </c>
      <c r="AS44">
        <f t="shared" si="28"/>
        <v>12.7</v>
      </c>
      <c r="AT44">
        <f t="shared" si="29"/>
        <v>38</v>
      </c>
      <c r="AU44">
        <f t="shared" si="30"/>
        <v>16.5</v>
      </c>
      <c r="AV44">
        <f t="shared" si="31"/>
        <v>6.3</v>
      </c>
      <c r="AW44" s="65">
        <f t="shared" si="32"/>
        <v>0.59738880749168277</v>
      </c>
      <c r="AX44">
        <f t="shared" si="33"/>
        <v>0.28689770199053277</v>
      </c>
      <c r="AY44" t="str">
        <f>$F$5</f>
        <v>H Correction</v>
      </c>
    </row>
    <row r="45" spans="1:61">
      <c r="E45" t="str">
        <f t="shared" si="1"/>
        <v>Baldwin R</v>
      </c>
      <c r="F45">
        <f t="shared" si="1"/>
        <v>2004</v>
      </c>
      <c r="G45">
        <v>6</v>
      </c>
      <c r="H45">
        <f t="shared" si="2"/>
        <v>29</v>
      </c>
      <c r="I45">
        <f t="shared" si="2"/>
        <v>17.5</v>
      </c>
      <c r="J45">
        <f t="shared" si="3"/>
        <v>193190.9</v>
      </c>
      <c r="K45">
        <f t="shared" si="4"/>
        <v>80053.3</v>
      </c>
      <c r="L45">
        <f t="shared" si="5"/>
        <v>175397.1</v>
      </c>
      <c r="M45">
        <f t="shared" si="6"/>
        <v>50675.9</v>
      </c>
      <c r="N45">
        <f t="shared" si="7"/>
        <v>70601.21213879461</v>
      </c>
      <c r="O45" s="59">
        <f t="shared" si="8"/>
        <v>0.24776076273454989</v>
      </c>
      <c r="P45" s="63">
        <f t="shared" si="9"/>
        <v>9.2346778775186905E-2</v>
      </c>
      <c r="Q45" s="59">
        <f t="shared" si="10"/>
        <v>0.5956168108295451</v>
      </c>
      <c r="R45" s="59">
        <f t="shared" si="11"/>
        <v>10.82874804365883</v>
      </c>
      <c r="S45" s="59">
        <f t="shared" si="12"/>
        <v>2.682938874757177</v>
      </c>
      <c r="T45" s="59">
        <f t="shared" si="13"/>
        <v>0.66472698198001312</v>
      </c>
      <c r="U45" s="23">
        <f t="shared" si="14"/>
        <v>117.26178419304495</v>
      </c>
      <c r="V45" s="59">
        <f t="shared" si="15"/>
        <v>5.1006754186368779</v>
      </c>
      <c r="W45" s="59">
        <f t="shared" si="16"/>
        <v>1.2637472321828425</v>
      </c>
      <c r="AF45" s="59">
        <f t="shared" si="17"/>
        <v>0.24776076273454989</v>
      </c>
      <c r="AG45" s="59">
        <f t="shared" si="18"/>
        <v>0.5956168108295451</v>
      </c>
      <c r="AH45" s="59">
        <f t="shared" si="19"/>
        <v>0.5956168108295451</v>
      </c>
      <c r="AJ45">
        <f t="shared" si="20"/>
        <v>0.30388612797425768</v>
      </c>
      <c r="AK45">
        <f t="shared" si="21"/>
        <v>3.2907063137962993</v>
      </c>
      <c r="AL45">
        <f t="shared" si="22"/>
        <v>0.81530790624157023</v>
      </c>
      <c r="AN45" t="str">
        <f t="shared" si="23"/>
        <v>Baldwin R</v>
      </c>
      <c r="AO45">
        <f t="shared" si="24"/>
        <v>2004</v>
      </c>
      <c r="AP45" t="str">
        <f t="shared" si="25"/>
        <v>Baldwin R 2004</v>
      </c>
      <c r="AQ45">
        <f t="shared" si="26"/>
        <v>29</v>
      </c>
      <c r="AR45">
        <f t="shared" si="27"/>
        <v>193190.9</v>
      </c>
      <c r="AS45">
        <f t="shared" si="28"/>
        <v>80053.3</v>
      </c>
      <c r="AT45">
        <f t="shared" si="29"/>
        <v>17</v>
      </c>
      <c r="AU45">
        <f t="shared" si="30"/>
        <v>175397.1</v>
      </c>
      <c r="AV45">
        <f t="shared" si="31"/>
        <v>50675.9</v>
      </c>
      <c r="AW45" s="65">
        <f t="shared" si="32"/>
        <v>0.24776076273454989</v>
      </c>
      <c r="AX45">
        <f t="shared" si="33"/>
        <v>0.30388612797425768</v>
      </c>
    </row>
    <row r="46" spans="1:61">
      <c r="E46" t="str">
        <f t="shared" si="1"/>
        <v>Baldwin R</v>
      </c>
      <c r="F46">
        <f t="shared" si="1"/>
        <v>2004</v>
      </c>
      <c r="G46">
        <v>5</v>
      </c>
      <c r="H46">
        <f t="shared" si="2"/>
        <v>21</v>
      </c>
      <c r="I46">
        <f t="shared" si="2"/>
        <v>17.5</v>
      </c>
      <c r="J46">
        <f t="shared" si="3"/>
        <v>200859.2</v>
      </c>
      <c r="K46">
        <f t="shared" si="4"/>
        <v>57517.599999999999</v>
      </c>
      <c r="L46">
        <f t="shared" si="5"/>
        <v>175397.1</v>
      </c>
      <c r="M46">
        <f t="shared" si="6"/>
        <v>50675.9</v>
      </c>
      <c r="N46">
        <f t="shared" si="7"/>
        <v>54531.192297485504</v>
      </c>
      <c r="O46" s="59">
        <f t="shared" si="8"/>
        <v>0.45726669233645717</v>
      </c>
      <c r="P46" s="63">
        <f t="shared" si="9"/>
        <v>0.10778697461028909</v>
      </c>
      <c r="Q46" s="59">
        <f t="shared" si="10"/>
        <v>0.64348616275945403</v>
      </c>
      <c r="R46" s="59">
        <f t="shared" si="11"/>
        <v>9.2775588480478817</v>
      </c>
      <c r="S46" s="59">
        <f t="shared" si="12"/>
        <v>4.2423186474036871</v>
      </c>
      <c r="T46" s="59">
        <f t="shared" si="13"/>
        <v>1.9398710157355568</v>
      </c>
      <c r="U46" s="23">
        <f t="shared" si="14"/>
        <v>86.073098178991543</v>
      </c>
      <c r="V46" s="59">
        <f t="shared" si="15"/>
        <v>4.7282964138989385</v>
      </c>
      <c r="W46" s="59">
        <f t="shared" si="16"/>
        <v>2.1620924615698995</v>
      </c>
      <c r="AF46" s="59">
        <f t="shared" si="17"/>
        <v>0.45726669233645717</v>
      </c>
      <c r="AG46" s="59">
        <f t="shared" si="18"/>
        <v>0.64348616275945403</v>
      </c>
      <c r="AH46" s="59">
        <f t="shared" si="19"/>
        <v>0.64348616275945403</v>
      </c>
      <c r="AJ46">
        <f t="shared" si="20"/>
        <v>0.32830926671400718</v>
      </c>
      <c r="AK46">
        <f t="shared" si="21"/>
        <v>3.0459085422986489</v>
      </c>
      <c r="AL46">
        <f t="shared" si="22"/>
        <v>1.3927925242962631</v>
      </c>
      <c r="AN46" t="str">
        <f t="shared" si="23"/>
        <v>Baldwin R</v>
      </c>
      <c r="AO46">
        <f t="shared" si="24"/>
        <v>2004</v>
      </c>
      <c r="AP46" t="str">
        <f t="shared" si="25"/>
        <v>Baldwin R 2004</v>
      </c>
      <c r="AQ46">
        <f t="shared" si="26"/>
        <v>21</v>
      </c>
      <c r="AR46">
        <f t="shared" si="27"/>
        <v>200859.2</v>
      </c>
      <c r="AS46">
        <f t="shared" si="28"/>
        <v>57517.599999999999</v>
      </c>
      <c r="AT46">
        <f t="shared" si="29"/>
        <v>17</v>
      </c>
      <c r="AU46">
        <f t="shared" si="30"/>
        <v>175397.1</v>
      </c>
      <c r="AV46">
        <f t="shared" si="31"/>
        <v>50675.9</v>
      </c>
      <c r="AW46" s="65">
        <f t="shared" si="32"/>
        <v>0.45726669233645717</v>
      </c>
      <c r="AX46">
        <f t="shared" si="33"/>
        <v>0.32830926671400718</v>
      </c>
    </row>
    <row r="47" spans="1:61">
      <c r="E47" t="str">
        <f t="shared" si="1"/>
        <v>Ballmaier M (B)</v>
      </c>
      <c r="F47">
        <f t="shared" si="1"/>
        <v>2004</v>
      </c>
      <c r="G47">
        <v>4</v>
      </c>
      <c r="H47">
        <f t="shared" si="2"/>
        <v>17</v>
      </c>
      <c r="I47">
        <f t="shared" si="2"/>
        <v>17</v>
      </c>
      <c r="J47">
        <f t="shared" si="3"/>
        <v>253.78</v>
      </c>
      <c r="K47">
        <f t="shared" si="4"/>
        <v>64.52</v>
      </c>
      <c r="L47">
        <f t="shared" si="5"/>
        <v>240.94</v>
      </c>
      <c r="M47">
        <f t="shared" si="6"/>
        <v>63.5</v>
      </c>
      <c r="N47">
        <f t="shared" si="7"/>
        <v>64.012031681551861</v>
      </c>
      <c r="O47" s="59">
        <f t="shared" si="8"/>
        <v>0.19584900813262079</v>
      </c>
      <c r="P47" s="63">
        <f t="shared" si="9"/>
        <v>0.11828506338085694</v>
      </c>
      <c r="Q47" s="59">
        <f t="shared" si="10"/>
        <v>0.67409487424538395</v>
      </c>
      <c r="R47" s="59">
        <f t="shared" si="11"/>
        <v>8.45415280186457</v>
      </c>
      <c r="S47" s="59">
        <f t="shared" si="12"/>
        <v>1.6557374408467931</v>
      </c>
      <c r="T47" s="59">
        <f t="shared" si="13"/>
        <v>0.32427453551788826</v>
      </c>
      <c r="U47" s="23">
        <f t="shared" si="14"/>
        <v>71.472699597274556</v>
      </c>
      <c r="V47" s="59">
        <f t="shared" si="15"/>
        <v>4.5046921642077873</v>
      </c>
      <c r="W47" s="59">
        <f t="shared" si="16"/>
        <v>0.88223949230288412</v>
      </c>
      <c r="AF47" s="59">
        <f t="shared" si="17"/>
        <v>0.19584900813262079</v>
      </c>
      <c r="AG47" s="59">
        <f t="shared" si="18"/>
        <v>0.67409487424538395</v>
      </c>
      <c r="AH47" s="59">
        <f t="shared" si="19"/>
        <v>0.67409487424538395</v>
      </c>
      <c r="AJ47">
        <f t="shared" si="20"/>
        <v>0.34392595624764488</v>
      </c>
      <c r="AK47">
        <f t="shared" si="21"/>
        <v>2.9076025866449786</v>
      </c>
      <c r="AL47">
        <f t="shared" si="22"/>
        <v>0.56945108263826172</v>
      </c>
      <c r="AN47" t="str">
        <f t="shared" si="23"/>
        <v>Ballmaier M (B)</v>
      </c>
      <c r="AO47">
        <f t="shared" si="24"/>
        <v>2004</v>
      </c>
      <c r="AP47" t="str">
        <f t="shared" si="25"/>
        <v>Ballmaier M (B) 2004</v>
      </c>
      <c r="AQ47">
        <f t="shared" si="26"/>
        <v>17</v>
      </c>
      <c r="AR47">
        <f t="shared" si="27"/>
        <v>253.78</v>
      </c>
      <c r="AS47">
        <f t="shared" si="28"/>
        <v>64.52</v>
      </c>
      <c r="AT47">
        <f t="shared" si="29"/>
        <v>17</v>
      </c>
      <c r="AU47">
        <f t="shared" si="30"/>
        <v>240.94</v>
      </c>
      <c r="AV47">
        <f t="shared" si="31"/>
        <v>63.5</v>
      </c>
      <c r="AW47" s="65">
        <f t="shared" si="32"/>
        <v>0.19584900813262079</v>
      </c>
      <c r="AX47">
        <f t="shared" si="33"/>
        <v>0.34392595624764488</v>
      </c>
    </row>
    <row r="48" spans="1:61">
      <c r="E48" t="str">
        <f t="shared" ref="E48:F50" si="34">E31</f>
        <v>Ballmaier M (C)</v>
      </c>
      <c r="F48">
        <f t="shared" si="34"/>
        <v>2004</v>
      </c>
      <c r="G48">
        <v>3</v>
      </c>
      <c r="H48">
        <f t="shared" ref="H48:I50" si="35">H31</f>
        <v>24</v>
      </c>
      <c r="I48">
        <f t="shared" si="35"/>
        <v>19</v>
      </c>
      <c r="J48">
        <f t="shared" ref="J48:M50" si="36">IF($D$4="Total",T31,IF($D$4="Left",L31,IF($D$4="Right",P31,"error")))</f>
        <v>158.53800000000001</v>
      </c>
      <c r="K48">
        <f t="shared" si="36"/>
        <v>32.652000000000001</v>
      </c>
      <c r="L48">
        <f t="shared" si="36"/>
        <v>168.37299999999999</v>
      </c>
      <c r="M48">
        <f t="shared" si="36"/>
        <v>44.28</v>
      </c>
      <c r="N48">
        <f>IF($D$3=1,SQRT((((I48-1)*(M48)^2)+((H48-1)*(K48)^2))/(H48+I48-2)),M48)</f>
        <v>38.195406629721276</v>
      </c>
      <c r="O48" s="59">
        <f>IF($D$6=1,LN(J48/L48),IF($D$5=1,(1-3/(4*(H48+I48)-9))*((J48-L48)/N48),(J48-L48)/N48))</f>
        <v>-0.25275258419553515</v>
      </c>
      <c r="P48" s="63">
        <f>IF($D$6=1,(K48^2)/(H48*J48^2)+(M48^2)/(I48*L48^2),(IF($D$5=1,((H48+I48)/(H48*I48))+(O48*O48)/(2*(H48+I48-3.94)),((H48+I48)/(H48*I48))+((O48^2)/(2*(H48+I48-2))))))</f>
        <v>9.5116011471914258E-2</v>
      </c>
      <c r="Q48" s="59">
        <f t="shared" si="10"/>
        <v>0.60448132284670775</v>
      </c>
      <c r="R48" s="59">
        <f>1/P48</f>
        <v>10.513477011126342</v>
      </c>
      <c r="S48" s="59">
        <f>O48*R48</f>
        <v>-2.657308483442534</v>
      </c>
      <c r="T48" s="59">
        <f>R48*(O48^2)</f>
        <v>0.67164158619481895</v>
      </c>
      <c r="U48" s="23">
        <f>R48^2</f>
        <v>110.53319886348208</v>
      </c>
      <c r="V48" s="59">
        <f>1/((1/R48)+$I$64)</f>
        <v>5.0296320810386845</v>
      </c>
      <c r="W48" s="59">
        <f>V48*O48</f>
        <v>-1.2712525060352948</v>
      </c>
      <c r="AF48" s="59">
        <f>IF($D$6=1,100*((EXP(O48))-1),O48)</f>
        <v>-0.25275258419553515</v>
      </c>
      <c r="AG48" s="59">
        <f>IF($D$6=1,100*(EXP(O48+Q48)-EXP(O48)),Q48)</f>
        <v>0.60448132284670775</v>
      </c>
      <c r="AH48" s="59">
        <f>IF($D$6=1,100*(EXP(O48)-EXP(O48-Q48)),Q48)</f>
        <v>0.60448132284670775</v>
      </c>
      <c r="AJ48">
        <f>SQRT(P48)</f>
        <v>0.3084088381870958</v>
      </c>
      <c r="AK48">
        <f t="shared" si="21"/>
        <v>3.2424492303082162</v>
      </c>
      <c r="AL48">
        <f>O48/AJ48</f>
        <v>-0.81953742208322555</v>
      </c>
      <c r="AN48" t="str">
        <f t="shared" ref="AN48:AO50" si="37">E48</f>
        <v>Ballmaier M (C)</v>
      </c>
      <c r="AO48">
        <f t="shared" si="37"/>
        <v>2004</v>
      </c>
      <c r="AP48" t="str">
        <f>CONCATENATE(AN48," ",AO48)</f>
        <v>Ballmaier M (C) 2004</v>
      </c>
      <c r="AQ48">
        <f>INT(H48)</f>
        <v>24</v>
      </c>
      <c r="AR48">
        <f t="shared" ref="AR48:AS50" si="38">J48</f>
        <v>158.53800000000001</v>
      </c>
      <c r="AS48">
        <f t="shared" si="38"/>
        <v>32.652000000000001</v>
      </c>
      <c r="AT48">
        <f>INT(I48)</f>
        <v>19</v>
      </c>
      <c r="AU48">
        <f t="shared" ref="AU48:AV50" si="39">L48</f>
        <v>168.37299999999999</v>
      </c>
      <c r="AV48">
        <f t="shared" si="39"/>
        <v>44.28</v>
      </c>
      <c r="AW48" s="65">
        <f>O48</f>
        <v>-0.25275258419553515</v>
      </c>
      <c r="AX48">
        <f>SQRT(P48)</f>
        <v>0.3084088381870958</v>
      </c>
    </row>
    <row r="49" spans="5:50">
      <c r="E49" t="str">
        <f t="shared" si="34"/>
        <v>Maller JJ</v>
      </c>
      <c r="F49">
        <f t="shared" si="34"/>
        <v>2007</v>
      </c>
      <c r="G49">
        <v>2</v>
      </c>
      <c r="H49">
        <f t="shared" si="35"/>
        <v>22</v>
      </c>
      <c r="I49">
        <f t="shared" si="35"/>
        <v>13</v>
      </c>
      <c r="J49">
        <f t="shared" si="36"/>
        <v>0.308</v>
      </c>
      <c r="K49">
        <f t="shared" si="36"/>
        <v>4.58E-2</v>
      </c>
      <c r="L49">
        <f t="shared" si="36"/>
        <v>0.26100000000000001</v>
      </c>
      <c r="M49">
        <f t="shared" si="36"/>
        <v>3.3099999999999997E-2</v>
      </c>
      <c r="N49">
        <f>IF($D$3=1,SQRT((((I49-1)*(M49)^2)+((H49-1)*(K49)^2))/(H49+I49-2)),M49)</f>
        <v>4.1632504783467625E-2</v>
      </c>
      <c r="O49" s="59">
        <f>IF($D$6=1,LN(J49/L49),IF($D$5=1,(1-3/(4*(H49+I49)-9))*((J49-L49)/N49),(J49-L49)/N49))</f>
        <v>1.1030723316069562</v>
      </c>
      <c r="P49" s="63">
        <f>IF($D$6=1,(K49^2)/(H49*J49^2)+(M49^2)/(I49*L49^2),(IF($D$5=1,((H49+I49)/(H49*I49))+(O49*O49)/(2*(H49+I49-3.94)),((H49+I49)/(H49*I49))+((O49^2)/(2*(H49+I49-2))))))</f>
        <v>0.14196501079933529</v>
      </c>
      <c r="Q49" s="59">
        <f t="shared" si="10"/>
        <v>0.7384935920417498</v>
      </c>
      <c r="R49" s="59">
        <f>1/P49</f>
        <v>7.0439891799358927</v>
      </c>
      <c r="S49" s="59">
        <f>O49*R49</f>
        <v>7.7700295685260565</v>
      </c>
      <c r="T49" s="59">
        <f>R49*(O49^2)</f>
        <v>8.5709046328090288</v>
      </c>
      <c r="U49" s="23">
        <f>R49^2</f>
        <v>49.617783567053927</v>
      </c>
      <c r="V49" s="59">
        <f>1/((1/R49)+$I$64)</f>
        <v>4.0704894939681608</v>
      </c>
      <c r="W49" s="59">
        <f>V49*O49</f>
        <v>4.490044336893078</v>
      </c>
      <c r="AF49" s="59">
        <f>IF($D$6=1,100*((EXP(O49))-1),O49)</f>
        <v>1.1030723316069562</v>
      </c>
      <c r="AG49" s="59">
        <f>IF($D$6=1,100*(EXP(O49+Q49)-EXP(O49)),Q49)</f>
        <v>0.7384935920417498</v>
      </c>
      <c r="AH49" s="59">
        <f>IF($D$6=1,100*(EXP(O49)-EXP(O49-Q49)),Q49)</f>
        <v>0.7384935920417498</v>
      </c>
      <c r="AJ49">
        <f>SQRT(P49)</f>
        <v>0.37678244491926011</v>
      </c>
      <c r="AK49">
        <f t="shared" si="21"/>
        <v>2.6540514652010603</v>
      </c>
      <c r="AL49">
        <f>O49/AJ49</f>
        <v>2.9276107379241916</v>
      </c>
      <c r="AN49" t="str">
        <f t="shared" si="37"/>
        <v>Maller JJ</v>
      </c>
      <c r="AO49">
        <f t="shared" si="37"/>
        <v>2007</v>
      </c>
      <c r="AP49" t="str">
        <f>CONCATENATE(AN49," ",AO49)</f>
        <v>Maller JJ 2007</v>
      </c>
      <c r="AQ49">
        <f>INT(H49)</f>
        <v>22</v>
      </c>
      <c r="AR49">
        <f t="shared" si="38"/>
        <v>0.308</v>
      </c>
      <c r="AS49">
        <f t="shared" si="38"/>
        <v>4.58E-2</v>
      </c>
      <c r="AT49">
        <f>INT(I49)</f>
        <v>13</v>
      </c>
      <c r="AU49">
        <f t="shared" si="39"/>
        <v>0.26100000000000001</v>
      </c>
      <c r="AV49">
        <f t="shared" si="39"/>
        <v>3.3099999999999997E-2</v>
      </c>
      <c r="AW49" s="65">
        <f>O49</f>
        <v>1.1030723316069562</v>
      </c>
      <c r="AX49">
        <f>SQRT(P49)</f>
        <v>0.37678244491926011</v>
      </c>
    </row>
    <row r="50" spans="5:50">
      <c r="E50" t="str">
        <f t="shared" si="34"/>
        <v>Maller JJ</v>
      </c>
      <c r="F50">
        <f t="shared" si="34"/>
        <v>2007</v>
      </c>
      <c r="G50">
        <v>1</v>
      </c>
      <c r="H50">
        <f t="shared" si="35"/>
        <v>23</v>
      </c>
      <c r="I50">
        <f t="shared" si="35"/>
        <v>17</v>
      </c>
      <c r="J50">
        <f t="shared" si="36"/>
        <v>0.26</v>
      </c>
      <c r="K50">
        <f t="shared" si="36"/>
        <v>3.6999999999999998E-2</v>
      </c>
      <c r="L50">
        <f t="shared" si="36"/>
        <v>0.254</v>
      </c>
      <c r="M50">
        <f t="shared" si="36"/>
        <v>3.5499999999999997E-2</v>
      </c>
      <c r="N50">
        <f>IF($D$3=1,SQRT((((I50-1)*(M50)^2)+((H50-1)*(K50)^2))/(H50+I50-2)),M50)</f>
        <v>3.6375960830138762E-2</v>
      </c>
      <c r="O50" s="59">
        <f>IF($D$6=1,LN(J50/L50),IF($D$5=1,(1-3/(4*(H50+I50)-9))*((J50-L50)/N50),(J50-L50)/N50))</f>
        <v>0.16166706164677622</v>
      </c>
      <c r="P50" s="63">
        <f>IF($D$6=1,(K50^2)/(H50*J50^2)+(M50^2)/(I50*L50^2),(IF($D$5=1,((H50+I50)/(H50*I50))+(O50*O50)/(2*(H50+I50-3.94)),((H50+I50)/(H50*I50))+((O50^2)/(2*(H50+I50-2))))))</f>
        <v>0.10266418959943173</v>
      </c>
      <c r="Q50" s="59">
        <f t="shared" si="10"/>
        <v>0.62800855946808321</v>
      </c>
      <c r="R50" s="59">
        <f>1/P50</f>
        <v>9.7404947518870326</v>
      </c>
      <c r="S50" s="59">
        <f>O50*R50</f>
        <v>1.5747171655234211</v>
      </c>
      <c r="T50" s="59">
        <f>R50*(O50^2)</f>
        <v>0.25457989707491163</v>
      </c>
      <c r="U50" s="23">
        <f>R50^2</f>
        <v>94.877238011538822</v>
      </c>
      <c r="V50" s="59">
        <f>1/((1/R50)+$I$64)</f>
        <v>4.8456684171813285</v>
      </c>
      <c r="W50" s="59">
        <f>V50*O50</f>
        <v>0.78338497472029034</v>
      </c>
      <c r="AF50" s="59">
        <f>IF($D$6=1,100*((EXP(O50))-1),O50)</f>
        <v>0.16166706164677622</v>
      </c>
      <c r="AG50" s="59">
        <f>IF($D$6=1,100*(EXP(O50+Q50)-EXP(O50)),Q50)</f>
        <v>0.62800855946808321</v>
      </c>
      <c r="AH50" s="59">
        <f>IF($D$6=1,100*(EXP(O50)-EXP(O50-Q50)),Q50)</f>
        <v>0.62800855946808321</v>
      </c>
      <c r="AJ50">
        <f>SQRT(P50)</f>
        <v>0.32041253034085876</v>
      </c>
      <c r="AK50">
        <f t="shared" si="21"/>
        <v>3.1209765702239789</v>
      </c>
      <c r="AL50">
        <f>O50/AJ50</f>
        <v>0.50455911157654421</v>
      </c>
      <c r="AN50" t="str">
        <f t="shared" si="37"/>
        <v>Maller JJ</v>
      </c>
      <c r="AO50">
        <f t="shared" si="37"/>
        <v>2007</v>
      </c>
      <c r="AP50" t="str">
        <f>CONCATENATE(AN50," ",AO50)</f>
        <v>Maller JJ 2007</v>
      </c>
      <c r="AQ50">
        <f>INT(H50)</f>
        <v>23</v>
      </c>
      <c r="AR50">
        <f t="shared" si="38"/>
        <v>0.26</v>
      </c>
      <c r="AS50">
        <f t="shared" si="38"/>
        <v>3.6999999999999998E-2</v>
      </c>
      <c r="AT50">
        <f>INT(I50)</f>
        <v>17</v>
      </c>
      <c r="AU50">
        <f t="shared" si="39"/>
        <v>0.254</v>
      </c>
      <c r="AV50">
        <f t="shared" si="39"/>
        <v>3.5499999999999997E-2</v>
      </c>
      <c r="AW50" s="65">
        <f>O50</f>
        <v>0.16166706164677622</v>
      </c>
      <c r="AX50">
        <f>SQRT(P50)</f>
        <v>0.32041253034085876</v>
      </c>
    </row>
    <row r="51" spans="5:50">
      <c r="U51" s="23"/>
    </row>
    <row r="52" spans="5:50">
      <c r="L52" t="s">
        <v>500</v>
      </c>
      <c r="N52" s="7"/>
      <c r="O52" s="66">
        <f>COUNT(O41:O50)</f>
        <v>10</v>
      </c>
      <c r="Q52" t="s">
        <v>885</v>
      </c>
      <c r="R52" s="59">
        <f t="shared" ref="R52:W52" si="40">SUM(R41:R50)</f>
        <v>107.75789179330987</v>
      </c>
      <c r="S52" s="59">
        <f t="shared" si="40"/>
        <v>60.035653228343364</v>
      </c>
      <c r="T52" s="59">
        <f t="shared" si="40"/>
        <v>52.373495502917685</v>
      </c>
      <c r="U52" s="23">
        <f t="shared" si="40"/>
        <v>1298.3774187414892</v>
      </c>
      <c r="V52" s="59">
        <f t="shared" si="40"/>
        <v>49.64053295111308</v>
      </c>
      <c r="W52" s="59">
        <f t="shared" si="40"/>
        <v>26.802150485471145</v>
      </c>
    </row>
    <row r="53" spans="5:50">
      <c r="L53" t="s">
        <v>501</v>
      </c>
      <c r="N53" s="7"/>
      <c r="O53" s="2">
        <v>2</v>
      </c>
    </row>
    <row r="54" spans="5:50">
      <c r="N54" s="7"/>
      <c r="O54" s="7"/>
    </row>
    <row r="55" spans="5:50">
      <c r="G55" s="67" t="s">
        <v>502</v>
      </c>
      <c r="H55" s="40"/>
      <c r="I55" s="40">
        <f>S52/R52</f>
        <v>0.55713463050574152</v>
      </c>
      <c r="J55" s="40"/>
      <c r="K55" s="68" t="s">
        <v>879</v>
      </c>
      <c r="L55" s="40"/>
      <c r="M55" s="42"/>
      <c r="N55" s="7"/>
      <c r="O55" s="69" t="s">
        <v>503</v>
      </c>
      <c r="P55" s="70">
        <f>T52-((S52^2)/R52)</f>
        <v>18.925554024373781</v>
      </c>
      <c r="Q55" s="71" t="s">
        <v>824</v>
      </c>
      <c r="R55" s="28"/>
      <c r="S55" s="29"/>
      <c r="T55" s="30"/>
      <c r="U55" s="31"/>
      <c r="AF55" s="2" t="s">
        <v>1518</v>
      </c>
    </row>
    <row r="56" spans="5:50">
      <c r="G56" s="43" t="s">
        <v>504</v>
      </c>
      <c r="H56" s="31"/>
      <c r="I56" s="31">
        <f>1/R52</f>
        <v>9.2800627718116219E-3</v>
      </c>
      <c r="J56" s="31"/>
      <c r="K56" s="31"/>
      <c r="L56" s="31"/>
      <c r="M56" s="44"/>
      <c r="N56" s="7"/>
      <c r="O56" s="30" t="s">
        <v>505</v>
      </c>
      <c r="P56" s="31">
        <f>CHIDIST(P55,I60-1)</f>
        <v>2.5833386173568333E-2</v>
      </c>
      <c r="Q56" s="31"/>
      <c r="R56" s="31"/>
      <c r="S56" s="34"/>
      <c r="T56" s="30"/>
      <c r="U56" s="31"/>
      <c r="AF56" s="2"/>
    </row>
    <row r="57" spans="5:50">
      <c r="G57" s="72" t="s">
        <v>506</v>
      </c>
      <c r="H57" s="31"/>
      <c r="I57" s="31">
        <f>$R$67*SQRT(I56)</f>
        <v>0.18881284157649747</v>
      </c>
      <c r="J57" s="31"/>
      <c r="K57" s="31" t="s">
        <v>507</v>
      </c>
      <c r="L57" s="31"/>
      <c r="M57" s="44">
        <f>ABS(I55/SQRT(I56))</f>
        <v>5.7834195316044568</v>
      </c>
      <c r="N57" s="7"/>
      <c r="O57" s="35" t="s">
        <v>508</v>
      </c>
      <c r="P57" s="37">
        <f>IF(((P55-(I60-1))/P55)&lt;0,0,100*((P55-(I60-1))/P55))</f>
        <v>52.445249484326276</v>
      </c>
      <c r="Q57" s="36"/>
      <c r="R57" s="36"/>
      <c r="S57" s="38"/>
      <c r="T57" s="30"/>
      <c r="U57" s="31"/>
      <c r="AF57" s="2" t="s">
        <v>1535</v>
      </c>
      <c r="AH57">
        <f>IF($D$6=1,100*((EXP(I55))-1),I55)</f>
        <v>0.55713463050574152</v>
      </c>
    </row>
    <row r="58" spans="5:50">
      <c r="G58" s="45" t="s">
        <v>509</v>
      </c>
      <c r="H58" s="46"/>
      <c r="I58" s="46">
        <v>-2</v>
      </c>
      <c r="J58" s="46"/>
      <c r="K58" s="46" t="s">
        <v>825</v>
      </c>
      <c r="L58" s="46"/>
      <c r="M58" s="47">
        <f>2*(1-NORMDIST(M57,0,1,1))</f>
        <v>7.3197210515019151E-9</v>
      </c>
      <c r="N58" s="7"/>
      <c r="O58" s="7"/>
      <c r="AF58" s="79" t="s">
        <v>834</v>
      </c>
      <c r="AH58">
        <f>IF($D$6=1,100*(EXP(I55+I57)-EXP(I55)),I57)</f>
        <v>0.18881284157649747</v>
      </c>
    </row>
    <row r="59" spans="5:50">
      <c r="G59" s="40"/>
      <c r="H59" s="40"/>
      <c r="I59" s="40"/>
      <c r="J59" s="40"/>
      <c r="K59" s="40"/>
      <c r="L59" s="40"/>
      <c r="M59" s="40"/>
      <c r="N59" s="7"/>
      <c r="O59" s="7"/>
      <c r="AF59" s="79" t="s">
        <v>835</v>
      </c>
      <c r="AH59">
        <f>IF($D$6=1,100*(EXP(I55)-EXP(I55-I57)),I57)</f>
        <v>0.18881284157649747</v>
      </c>
    </row>
    <row r="60" spans="5:50">
      <c r="G60" s="73" t="s">
        <v>1110</v>
      </c>
      <c r="H60" s="74"/>
      <c r="I60" s="74">
        <f>O52</f>
        <v>10</v>
      </c>
      <c r="J60" s="74"/>
      <c r="K60" s="75" t="s">
        <v>1167</v>
      </c>
      <c r="L60" s="74"/>
      <c r="M60" s="76"/>
      <c r="N60" s="77"/>
      <c r="O60" s="101" t="s">
        <v>1513</v>
      </c>
      <c r="P60" s="102"/>
      <c r="Q60" s="103"/>
      <c r="AF60" s="7"/>
    </row>
    <row r="61" spans="5:50">
      <c r="G61" s="77" t="s">
        <v>1531</v>
      </c>
      <c r="H61" s="31"/>
      <c r="I61" s="31">
        <f>R52/I60</f>
        <v>10.775789179330987</v>
      </c>
      <c r="J61" s="31"/>
      <c r="K61" s="31"/>
      <c r="L61" s="31"/>
      <c r="M61" s="78"/>
      <c r="N61" s="77"/>
      <c r="O61" s="104" t="s">
        <v>1514</v>
      </c>
      <c r="P61" s="31"/>
      <c r="Q61" s="105">
        <f>INDEX(LINEST(AL41:AL50,AK41:AK50,TRUE,TRUE),1,2)</f>
        <v>-1.6452052802157169</v>
      </c>
      <c r="AF61" s="2" t="s">
        <v>1687</v>
      </c>
      <c r="AH61">
        <f>IF($D$6=1,100*((EXP(I66))-1),I66)</f>
        <v>0.53992471257039887</v>
      </c>
    </row>
    <row r="62" spans="5:50">
      <c r="G62" s="77" t="s">
        <v>1532</v>
      </c>
      <c r="H62" s="31"/>
      <c r="I62" s="31">
        <f>(1/(I60-1))*(U52-(I60*I61^2))</f>
        <v>15.244566040846822</v>
      </c>
      <c r="J62" s="31"/>
      <c r="K62" s="31"/>
      <c r="L62" s="31"/>
      <c r="M62" s="78"/>
      <c r="N62" s="77"/>
      <c r="O62" s="104" t="s">
        <v>1516</v>
      </c>
      <c r="P62" s="31"/>
      <c r="Q62" s="105">
        <f>INDEX(LINEST(AL41:AL50,AK41:AK50,TRUE,TRUE),2,2)</f>
        <v>3.0182557642419989</v>
      </c>
      <c r="AF62" s="79" t="s">
        <v>834</v>
      </c>
      <c r="AG62" s="7"/>
      <c r="AH62">
        <f>IF($D$6=1,100*(EXP(I66+I68)-EXP(I66)),I68)</f>
        <v>0.27818765499143183</v>
      </c>
    </row>
    <row r="63" spans="5:50">
      <c r="G63" s="77" t="s">
        <v>1669</v>
      </c>
      <c r="H63" s="31"/>
      <c r="I63" s="31">
        <f>(I60-1)*(I61-(I62/(I60*I61)))</f>
        <v>95.708867845886118</v>
      </c>
      <c r="J63" s="31"/>
      <c r="K63" s="31"/>
      <c r="L63" s="31"/>
      <c r="M63" s="78"/>
      <c r="N63" s="77"/>
      <c r="O63" s="104" t="s">
        <v>1349</v>
      </c>
      <c r="P63" s="31"/>
      <c r="Q63" s="105">
        <f>ABS(Q61/Q62)</f>
        <v>0.54508478032473562</v>
      </c>
      <c r="AF63" s="79" t="s">
        <v>835</v>
      </c>
      <c r="AH63">
        <f>IF($D$6=1,100*(EXP(I66)-EXP(I66-I68)),I68)</f>
        <v>0.27818765499143183</v>
      </c>
    </row>
    <row r="64" spans="5:50">
      <c r="G64" s="77" t="s">
        <v>1685</v>
      </c>
      <c r="H64" s="31"/>
      <c r="I64" s="31">
        <f>IF(P55&gt;(I60-1),(P55-(I60-1))/I63,0)</f>
        <v>0.10370568838361213</v>
      </c>
      <c r="J64" s="31"/>
      <c r="K64" s="31"/>
      <c r="L64" s="31"/>
      <c r="M64" s="78"/>
      <c r="N64" s="77"/>
      <c r="O64" s="106" t="s">
        <v>1515</v>
      </c>
      <c r="P64" s="107"/>
      <c r="Q64" s="108">
        <f>TDIST(Q63,I60-2,2)</f>
        <v>0.6005570902086943</v>
      </c>
    </row>
    <row r="65" spans="7:18">
      <c r="G65" s="77"/>
      <c r="H65" s="31"/>
      <c r="I65" s="31"/>
      <c r="J65" s="31"/>
      <c r="K65" s="31"/>
      <c r="L65" s="31"/>
      <c r="M65" s="78"/>
      <c r="N65" s="77"/>
    </row>
    <row r="66" spans="7:18">
      <c r="G66" s="77" t="s">
        <v>1686</v>
      </c>
      <c r="H66" s="31"/>
      <c r="I66" s="31">
        <f>W52/V52</f>
        <v>0.53992471257039887</v>
      </c>
      <c r="J66" s="31"/>
      <c r="N66" s="77"/>
    </row>
    <row r="67" spans="7:18">
      <c r="G67" s="77" t="s">
        <v>504</v>
      </c>
      <c r="H67" s="31"/>
      <c r="I67" s="31">
        <f>1/V52</f>
        <v>2.0144828037700936E-2</v>
      </c>
      <c r="J67" s="31"/>
      <c r="N67" s="77"/>
      <c r="O67" t="s">
        <v>805</v>
      </c>
      <c r="R67">
        <v>1.96</v>
      </c>
    </row>
    <row r="68" spans="7:18">
      <c r="G68" s="80" t="s">
        <v>506</v>
      </c>
      <c r="H68" s="31"/>
      <c r="I68" s="31">
        <f>$R$67*SQRT(I67)</f>
        <v>0.27818765499143183</v>
      </c>
      <c r="J68" s="31"/>
      <c r="K68" s="31" t="s">
        <v>507</v>
      </c>
      <c r="L68" s="31"/>
      <c r="M68" s="78">
        <f>ABS(I66/(SQRT(I67)))</f>
        <v>3.8040956083064716</v>
      </c>
      <c r="N68" s="77"/>
    </row>
    <row r="69" spans="7:18">
      <c r="G69" s="81" t="s">
        <v>509</v>
      </c>
      <c r="H69" s="82"/>
      <c r="I69" s="82">
        <v>-3</v>
      </c>
      <c r="J69" s="82"/>
      <c r="K69" s="31" t="s">
        <v>825</v>
      </c>
      <c r="L69" s="31"/>
      <c r="M69" s="78">
        <f>2*(1-NORMDIST(M68,0,1,1))</f>
        <v>1.4232320684670619E-4</v>
      </c>
      <c r="N69" s="77"/>
    </row>
    <row r="70" spans="7:18">
      <c r="G70" s="74"/>
      <c r="H70" s="74"/>
      <c r="I70" s="74"/>
      <c r="J70" s="74"/>
      <c r="K70" s="74"/>
      <c r="L70" s="74"/>
      <c r="M70" s="74"/>
      <c r="N70" s="31"/>
      <c r="O70" s="7"/>
    </row>
  </sheetData>
  <phoneticPr fontId="10" type="noConversion"/>
  <conditionalFormatting sqref="D17 D13 F13">
    <cfRule type="cellIs" dxfId="140" priority="0" stopIfTrue="1" operator="lessThan">
      <formula>0.05</formula>
    </cfRule>
  </conditionalFormatting>
  <conditionalFormatting sqref="D21">
    <cfRule type="cellIs" dxfId="139"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sheetPr published="0" codeName="Sheet25" enableFormatConditionsCalculation="0"/>
  <dimension ref="A1:BM110"/>
  <sheetViews>
    <sheetView zoomScale="80" zoomScaleNormal="80" zoomScalePageLayoutView="80" workbookViewId="0"/>
  </sheetViews>
  <sheetFormatPr defaultColWidth="8.77734375" defaultRowHeight="13.2"/>
  <cols>
    <col min="1" max="1" width="3.77734375" customWidth="1"/>
    <col min="2" max="2" width="9.44140625" customWidth="1"/>
    <col min="3" max="3" width="8.109375" customWidth="1"/>
    <col min="4" max="4" width="9.6640625" customWidth="1"/>
    <col min="5" max="5" width="21.109375" customWidth="1"/>
    <col min="6" max="6" width="6.44140625" customWidth="1"/>
    <col min="7" max="23" width="5.6640625" customWidth="1"/>
    <col min="24" max="24" width="9.6640625" customWidth="1"/>
    <col min="25" max="25" width="7.33203125" customWidth="1"/>
    <col min="26" max="41" width="5.6640625" customWidth="1"/>
    <col min="42" max="42" width="6" customWidth="1"/>
    <col min="43" max="48" width="5.6640625" customWidth="1"/>
    <col min="49" max="49" width="6.6640625" customWidth="1"/>
    <col min="50" max="50" width="7.33203125" customWidth="1"/>
    <col min="51" max="53" width="5.6640625" customWidth="1"/>
  </cols>
  <sheetData>
    <row r="1" spans="2:30">
      <c r="B1" s="4" t="s">
        <v>1640</v>
      </c>
      <c r="D1" s="10"/>
      <c r="F1" s="1" t="s">
        <v>733</v>
      </c>
    </row>
    <row r="3" spans="2:30">
      <c r="B3" t="s">
        <v>1509</v>
      </c>
      <c r="D3">
        <f>Summary!C75</f>
        <v>1</v>
      </c>
      <c r="E3" t="s">
        <v>1834</v>
      </c>
      <c r="F3" s="24" t="str">
        <f>IF(D3=1,"Pooled SD","Control SD only")</f>
        <v>Pooled SD</v>
      </c>
    </row>
    <row r="4" spans="2:30">
      <c r="B4" t="s">
        <v>1642</v>
      </c>
      <c r="D4" s="25" t="s">
        <v>885</v>
      </c>
      <c r="E4" t="s">
        <v>1834</v>
      </c>
      <c r="F4" s="26" t="str">
        <f>IF($D$4="Total","Total",IF($D$4="Left","Left",IF($D$4="Right","Right","Error: enter Total, Left or Right")))</f>
        <v>Total</v>
      </c>
    </row>
    <row r="5" spans="2:30">
      <c r="B5" t="s">
        <v>1108</v>
      </c>
      <c r="D5" s="25">
        <f>Summary!C76</f>
        <v>1</v>
      </c>
      <c r="E5" t="s">
        <v>1834</v>
      </c>
      <c r="F5" s="24" t="str">
        <f>IF(D5=1,"H Correction","No H correction")</f>
        <v>H Correction</v>
      </c>
    </row>
    <row r="6" spans="2:30">
      <c r="B6" t="s">
        <v>1109</v>
      </c>
      <c r="D6" s="25">
        <f>Summary!C77</f>
        <v>0</v>
      </c>
      <c r="E6" t="s">
        <v>1834</v>
      </c>
      <c r="F6" s="24" t="str">
        <f>IF(D6=1,"% Vol Difference","Cohens Effect size")</f>
        <v>Cohens Effect size</v>
      </c>
      <c r="AD6" s="89"/>
    </row>
    <row r="7" spans="2:30">
      <c r="B7" t="s">
        <v>1110</v>
      </c>
      <c r="D7">
        <f>I100-O93</f>
        <v>21</v>
      </c>
      <c r="AD7" s="89"/>
    </row>
    <row r="8" spans="2:30">
      <c r="B8" t="s">
        <v>822</v>
      </c>
      <c r="D8">
        <f>SUM(H24:H48)</f>
        <v>765</v>
      </c>
      <c r="AD8" s="89"/>
    </row>
    <row r="9" spans="2:30">
      <c r="B9" t="s">
        <v>823</v>
      </c>
      <c r="D9">
        <f>SUM(I24:I48)</f>
        <v>811</v>
      </c>
      <c r="AD9" s="89"/>
    </row>
    <row r="11" spans="2:30">
      <c r="B11" s="27" t="s">
        <v>516</v>
      </c>
      <c r="C11" s="28"/>
      <c r="D11" s="109">
        <f>P95</f>
        <v>37.397202598225611</v>
      </c>
      <c r="E11" s="110" t="s">
        <v>1513</v>
      </c>
      <c r="F11" s="103"/>
    </row>
    <row r="12" spans="2:30">
      <c r="B12" s="30" t="s">
        <v>826</v>
      </c>
      <c r="C12" s="31"/>
      <c r="D12" s="112">
        <f>P97</f>
        <v>35.824076849163227</v>
      </c>
      <c r="E12" s="31"/>
      <c r="F12" s="105"/>
    </row>
    <row r="13" spans="2:30">
      <c r="B13" s="35" t="s">
        <v>825</v>
      </c>
      <c r="C13" s="36"/>
      <c r="D13" s="113">
        <f>P96</f>
        <v>3.9924565103934273E-2</v>
      </c>
      <c r="E13" s="111" t="s">
        <v>825</v>
      </c>
      <c r="F13" s="115">
        <f>Q104</f>
        <v>3.6046549673064976E-2</v>
      </c>
    </row>
    <row r="15" spans="2:30">
      <c r="B15" s="39" t="s">
        <v>879</v>
      </c>
      <c r="C15" s="40"/>
      <c r="D15" s="41">
        <f>AH97</f>
        <v>-9.8858451480418608E-2</v>
      </c>
      <c r="E15" s="116"/>
    </row>
    <row r="16" spans="2:30">
      <c r="B16" s="43" t="s">
        <v>1165</v>
      </c>
      <c r="C16" s="31"/>
      <c r="D16" s="33">
        <f>AH97-AH99</f>
        <v>-0.20199288267809012</v>
      </c>
      <c r="E16" s="117">
        <f>AH97+AH98</f>
        <v>4.275979717252909E-3</v>
      </c>
    </row>
    <row r="17" spans="1:65">
      <c r="B17" s="45" t="s">
        <v>1166</v>
      </c>
      <c r="C17" s="46"/>
      <c r="D17" s="123">
        <f>M98</f>
        <v>6.0280289807908449E-2</v>
      </c>
      <c r="E17" s="118"/>
      <c r="AJ17" s="145"/>
    </row>
    <row r="18" spans="1:65">
      <c r="D18" s="48"/>
      <c r="F18" s="49"/>
    </row>
    <row r="19" spans="1:65">
      <c r="B19" s="50" t="s">
        <v>1167</v>
      </c>
      <c r="C19" s="51"/>
      <c r="D19" s="52">
        <f>AH101</f>
        <v>-6.9966716336546983E-2</v>
      </c>
      <c r="E19" s="120"/>
      <c r="F19" s="33"/>
      <c r="G19" s="31"/>
    </row>
    <row r="20" spans="1:65">
      <c r="B20" s="53" t="s">
        <v>1165</v>
      </c>
      <c r="C20" s="31"/>
      <c r="D20" s="33">
        <f>AH101-AH103</f>
        <v>-0.20319655924465824</v>
      </c>
      <c r="E20" s="121">
        <f>AH101+AH102</f>
        <v>6.3263126571564285E-2</v>
      </c>
      <c r="F20" s="31"/>
      <c r="G20" s="31"/>
    </row>
    <row r="21" spans="1:65">
      <c r="B21" s="54" t="s">
        <v>1440</v>
      </c>
      <c r="C21" s="55"/>
      <c r="D21" s="114">
        <f>M109</f>
        <v>0.30333418639919518</v>
      </c>
      <c r="E21" s="56"/>
      <c r="F21" s="119"/>
      <c r="G21" s="31"/>
      <c r="L21" s="4" t="s">
        <v>1511</v>
      </c>
      <c r="N21" s="4"/>
      <c r="O21" s="4"/>
      <c r="Q21" s="4" t="str">
        <f>IF(D6=1,F6,CONCATENATE(F6," with ",F5))</f>
        <v>Cohens Effect size with H Correction</v>
      </c>
    </row>
    <row r="22" spans="1:65">
      <c r="L22" t="s">
        <v>1643</v>
      </c>
      <c r="N22" t="s">
        <v>1643</v>
      </c>
      <c r="P22" t="s">
        <v>1441</v>
      </c>
      <c r="R22" t="s">
        <v>1441</v>
      </c>
      <c r="T22" t="s">
        <v>885</v>
      </c>
      <c r="V22" t="s">
        <v>885</v>
      </c>
      <c r="Y22">
        <f>Database!J6</f>
        <v>9</v>
      </c>
      <c r="Z22">
        <f>Database!L6</f>
        <v>11</v>
      </c>
      <c r="AB22">
        <f>Database!M6</f>
        <v>12</v>
      </c>
      <c r="AC22">
        <f>Database!N6</f>
        <v>13</v>
      </c>
      <c r="AD22">
        <f>Database!O6</f>
        <v>14</v>
      </c>
      <c r="AE22">
        <f>Database!P6</f>
        <v>15</v>
      </c>
      <c r="AF22">
        <f>Database!Q6</f>
        <v>16</v>
      </c>
      <c r="AG22">
        <f>Database!R6</f>
        <v>17</v>
      </c>
      <c r="AH22">
        <f>Database!AT6</f>
        <v>45</v>
      </c>
      <c r="AI22">
        <f>Database!W6</f>
        <v>22</v>
      </c>
      <c r="AK22">
        <f>Database!U6</f>
        <v>20</v>
      </c>
      <c r="AL22">
        <f>Database!V6</f>
        <v>21</v>
      </c>
      <c r="AM22">
        <f>Database!AL6</f>
        <v>37</v>
      </c>
      <c r="AN22">
        <f>Database!AQ6</f>
        <v>42</v>
      </c>
      <c r="AO22">
        <f>Database!AR6</f>
        <v>43</v>
      </c>
      <c r="AP22">
        <f>Database!AS6</f>
        <v>44</v>
      </c>
      <c r="AQ22">
        <f>Database!D6</f>
        <v>3</v>
      </c>
      <c r="AS22" s="13"/>
    </row>
    <row r="23" spans="1:65" ht="46.5" customHeight="1">
      <c r="B23" s="57" t="s">
        <v>1162</v>
      </c>
      <c r="C23" s="57" t="s">
        <v>618</v>
      </c>
      <c r="D23" s="57" t="s">
        <v>953</v>
      </c>
      <c r="E23" s="57" t="s">
        <v>617</v>
      </c>
      <c r="F23" s="57" t="s">
        <v>740</v>
      </c>
      <c r="G23" s="57" t="s">
        <v>1033</v>
      </c>
      <c r="H23" s="58" t="s">
        <v>1034</v>
      </c>
      <c r="I23" s="58" t="s">
        <v>1035</v>
      </c>
      <c r="J23" s="58" t="s">
        <v>1036</v>
      </c>
      <c r="K23" s="58" t="s">
        <v>1037</v>
      </c>
      <c r="L23" s="58" t="s">
        <v>1038</v>
      </c>
      <c r="M23" s="58" t="s">
        <v>1039</v>
      </c>
      <c r="N23" s="58" t="s">
        <v>1040</v>
      </c>
      <c r="O23" s="58" t="s">
        <v>1298</v>
      </c>
      <c r="P23" s="58" t="s">
        <v>1038</v>
      </c>
      <c r="Q23" s="58" t="s">
        <v>1039</v>
      </c>
      <c r="R23" s="58" t="s">
        <v>867</v>
      </c>
      <c r="S23" s="58" t="s">
        <v>1299</v>
      </c>
      <c r="T23" s="58" t="s">
        <v>1047</v>
      </c>
      <c r="U23" s="58" t="s">
        <v>1300</v>
      </c>
      <c r="V23" s="58" t="s">
        <v>867</v>
      </c>
      <c r="W23" s="58" t="s">
        <v>1299</v>
      </c>
      <c r="Y23" s="122" t="str">
        <f>IF(OR($B23="",Y$22=""),"",IF(LEN(VLOOKUP($B23,Database!$B$1:$IX$10144,Y$22,FALSE))=0,"",VLOOKUP($B23,Database!$B$1:$IX$10144,Y$22,FALSE)))</f>
        <v>Diagnosis</v>
      </c>
      <c r="Z23" s="122" t="str">
        <f>IF(OR($B23="",Z$22=""),"",IF(LEN(VLOOKUP($B23,Database!$B$1:$IX$10144,Z$22,FALSE))=0,"",VLOOKUP($B23,Database!$B$1:$IX$10144,Z$22,FALSE)))</f>
        <v>Imaging Method</v>
      </c>
      <c r="AA23" s="122" t="str">
        <f>IF(OR($B23="",AA$22=""),"",IF(LEN(VLOOKUP($B23,Database!$B$1:$IX$10144,AA$22,FALSE))=0,"",VLOOKUP($B23,Database!$B$1:$IX$10144,AA$22,FALSE)))</f>
        <v/>
      </c>
      <c r="AB23" s="122" t="str">
        <f>IF(OR($B23="",AB$22=""),"",IF(LEN(VLOOKUP($B23,Database!$B$1:$IX$10144,AB$22,FALSE))=0,"",VLOOKUP($B23,Database!$B$1:$IX$10144,AB$22,FALSE)))</f>
        <v>Age patients</v>
      </c>
      <c r="AC23" s="122" t="str">
        <f>IF(OR($B23="",AC$22=""),"",IF(LEN(VLOOKUP($B23,Database!$B$1:$IX$10144,AC$22,FALSE))=0,"",VLOOKUP($B23,Database!$B$1:$IX$10144,AC$22,FALSE)))</f>
        <v>SD Age patients</v>
      </c>
      <c r="AD23" s="122" t="str">
        <f>IF(OR($B23="",AD$22=""),"",IF(LEN(VLOOKUP($B23,Database!$B$1:$IX$10144,AD$22,FALSE))=0,"",VLOOKUP($B23,Database!$B$1:$IX$10144,AD$22,FALSE)))</f>
        <v>Age Controls</v>
      </c>
      <c r="AE23" s="122" t="str">
        <f>IF(OR($B23="",AE$22=""),"",IF(LEN(VLOOKUP($B23,Database!$B$1:$IX$10144,AE$22,FALSE))=0,"",VLOOKUP($B23,Database!$B$1:$IX$10144,AE$22,FALSE)))</f>
        <v>SD Age Controls</v>
      </c>
      <c r="AF23" s="122" t="str">
        <f>IF(OR($B23="",AF$22=""),"",IF(LEN(VLOOKUP($B23,Database!$B$1:$IX$10144,AF$22,FALSE))=0,"",VLOOKUP($B23,Database!$B$1:$IX$10144,AF$22,FALSE)))</f>
        <v>Female patients</v>
      </c>
      <c r="AG23" s="122" t="str">
        <f>IF(OR($B23="",AG$22=""),"",IF(LEN(VLOOKUP($B23,Database!$B$1:$IX$10144,AG$22,FALSE))=0,"",VLOOKUP($B23,Database!$B$1:$IX$10144,AG$22,FALSE)))</f>
        <v>Female controls</v>
      </c>
      <c r="AH23" s="122" t="str">
        <f>IF(OR($B23="",AH$22=""),"",IF(LEN(VLOOKUP($B23,Database!$B$1:$IX$10144,AH$22,FALSE))=0,"",VLOOKUP($B23,Database!$B$1:$IX$10144,AH$22,FALSE)))</f>
        <v>MRI scanner strength</v>
      </c>
      <c r="AI23" s="122" t="str">
        <f>IF(OR($B23="",AI$22=""),"",IF(LEN(VLOOKUP($B23,Database!$B$1:$IX$10144,AI$22,FALSE))=0,"",VLOOKUP($B23,Database!$B$1:$IX$10144,AI$22,FALSE)))</f>
        <v>Slice thickness (mm)</v>
      </c>
      <c r="AJ23" s="122" t="str">
        <f>IF(OR($B23="",AJ$22=""),"",IF(LEN(VLOOKUP($B23,Database!$B$1:$IX$10144,AJ$22,FALSE))=0,"",VLOOKUP($B23,Database!$B$1:$IX$10144,AJ$22,FALSE)))</f>
        <v/>
      </c>
      <c r="AK23" s="122" t="str">
        <f>IF(OR($B23="",AK$22=""),"",IF(LEN(VLOOKUP($B23,Database!$B$1:$IX$10144,AK$22,FALSE))=0,"",VLOOKUP($B23,Database!$B$1:$IX$10144,AK$22,FALSE)))</f>
        <v>Age of onset</v>
      </c>
      <c r="AL23" s="122" t="str">
        <f>IF(OR($B23="",AL$22=""),"",IF(LEN(VLOOKUP($B23,Database!$B$1:$IX$10144,AL$22,FALSE))=0,"",VLOOKUP($B23,Database!$B$1:$IX$10144,AL$22,FALSE)))</f>
        <v>Ham-D rating scale</v>
      </c>
      <c r="AM23" s="122" t="str">
        <f>IF(OR($B23="",AM$22=""),"",IF(LEN(VLOOKUP($B23,Database!$B$1:$IX$10144,AM$22,FALSE))=0,"",VLOOKUP($B23,Database!$B$1:$IX$10144,AM$22,FALSE)))</f>
        <v>Antidepressants %</v>
      </c>
      <c r="AN23" s="122" t="str">
        <f>IF(OR($B23="",AN$22=""),"",IF(LEN(VLOOKUP($B23,Database!$B$1:$IX$10144,AN$22,FALSE))=0,"",VLOOKUP($B23,Database!$B$1:$IX$10144,AN$22,FALSE)))</f>
        <v>Mood stabilisers %</v>
      </c>
      <c r="AO23" s="122" t="str">
        <f>IF(OR($B23="",AO$22=""),"",IF(LEN(VLOOKUP($B23,Database!$B$1:$IX$10144,AO$22,FALSE))=0,"",VLOOKUP($B23,Database!$B$1:$IX$10144,AO$22,FALSE)))</f>
        <v>Antipsychotics %</v>
      </c>
      <c r="AP23" s="122" t="str">
        <f>IF(OR($B23="",AP$22=""),"",IF(LEN(VLOOKUP($B23,Database!$B$1:$IX$10144,AP$22,FALSE))=0,"",VLOOKUP($B23,Database!$B$1:$IX$10144,AP$22,FALSE)))</f>
        <v>Drug free %</v>
      </c>
      <c r="AQ23" s="122" t="str">
        <f>IF(OR($B23="",AQ$22=""),"",IF(LEN(VLOOKUP($B23,Database!$B$1:$IX$10144,AQ$22,FALSE))=0,"",VLOOKUP($B23,Database!$B$1:$IX$10144,AQ$22,FALSE)))</f>
        <v>Abstract</v>
      </c>
      <c r="AS23" s="13"/>
      <c r="AT23" s="13"/>
      <c r="AU23" s="13"/>
      <c r="AV23" s="13"/>
      <c r="AW23" s="13"/>
      <c r="AX23" s="13"/>
      <c r="AY23" s="13"/>
      <c r="AZ23" s="13"/>
      <c r="BA23" s="13"/>
      <c r="BB23" s="13"/>
      <c r="BC23" s="13"/>
      <c r="BD23" s="13"/>
      <c r="BE23" s="13"/>
      <c r="BF23" s="13"/>
      <c r="BG23" s="13"/>
      <c r="BH23" s="13"/>
      <c r="BI23" s="13"/>
      <c r="BJ23" s="13"/>
      <c r="BK23" s="13"/>
      <c r="BL23" s="13"/>
      <c r="BM23" s="13"/>
    </row>
    <row r="24" spans="1:65">
      <c r="B24">
        <v>9089060</v>
      </c>
      <c r="C24" s="1" t="str">
        <f>IF($B24="","",HYPERLINK(IF(LEN(VLOOKUP($B24,Database!$B$1:$IX$10144,2,FALSE))=0,"",VLOOKUP($B24,Database!$B$1:$IX$10144,2,FALSE))))</f>
        <v/>
      </c>
      <c r="D24" s="1" t="str">
        <f t="shared" ref="D24:D62" si="0">IF($B24="","",HYPERLINK(CONCATENATE("http://www.ncbi.nlm.nih.gov/pubmed/",B24)))</f>
        <v>http://www.ncbi.nlm.nih.gov/pubmed/9089060</v>
      </c>
      <c r="E24" s="22" t="str">
        <f>IF($B24="","",IF(LEN(VLOOKUP($B24,Database!$B$1:$IX$10144,4,FALSE))=0,"",VLOOKUP($B24,Database!$B$1:$IX$10144,4,FALSE)))</f>
        <v>Pantel J</v>
      </c>
      <c r="F24" s="22">
        <f>IF($B24="","",IF(LEN(VLOOKUP($B24,Database!$B$1:$IX$10144,5,FALSE))=0,"",VLOOKUP($B24,Database!$B$1:$IX$10144,5,FALSE)))</f>
        <v>1997</v>
      </c>
      <c r="G24" s="1" t="str">
        <f>IF($B24="","",HYPERLINK(IF(LEN(VLOOKUP($B24,Database!$B$1:$IX$10144,6,FALSE))=0,"",VLOOKUP($B24,Database!$B$1:$IX$10144,6,FALSE))))</f>
        <v>http://dx.doi.org/10.1016/S0165-0327(96)00105-X</v>
      </c>
      <c r="H24" s="22">
        <f>IF($B24="","",IF(LEN(VLOOKUP($B24,Database!$B$1:$IX$10144,7,FALSE))=0,"",VLOOKUP($B24,Database!$B$1:$IX$10144,7,FALSE)))</f>
        <v>19</v>
      </c>
      <c r="I24" s="22">
        <f>IF($B24="","",IF(LEN(VLOOKUP($B24,Database!$B$1:$IX$10144,8,FALSE))=0,"",VLOOKUP($B24,Database!$B$1:$IX$10144,8,FALSE)))</f>
        <v>13</v>
      </c>
      <c r="J24" t="s">
        <v>1452</v>
      </c>
      <c r="K24" s="10"/>
      <c r="T24">
        <v>1193.0999999999999</v>
      </c>
      <c r="U24">
        <v>112</v>
      </c>
      <c r="V24">
        <v>1193.5</v>
      </c>
      <c r="W24">
        <v>129</v>
      </c>
      <c r="Y24" s="22" t="str">
        <f>IF(OR($B24="",Y$22=""),"",IF(LEN(VLOOKUP($B24,Database!$B$1:$IX$10144,Y$22,FALSE))=0,"",VLOOKUP($B24,Database!$B$1:$IX$10144,Y$22,FALSE)))</f>
        <v>DSM-III-R</v>
      </c>
      <c r="Z24" s="22" t="str">
        <f>IF(OR($B24="",Z$22=""),"",IF(LEN(VLOOKUP($B24,Database!$B$1:$IX$10144,Z$22,FALSE))=0,"",VLOOKUP($B24,Database!$B$1:$IX$10144,Z$22,FALSE)))</f>
        <v>MRI</v>
      </c>
      <c r="AA24" s="22" t="str">
        <f>IF(OR($B24="",AA$22=""),"",IF(LEN(VLOOKUP($B24,Database!$B$1:$IX$10144,AA$22,FALSE))=0,"",VLOOKUP($B24,Database!$B$1:$IX$10144,AA$22,FALSE)))</f>
        <v/>
      </c>
      <c r="AB24" s="22">
        <f>IF(OR($B24="",AB$22=""),"",IF(LEN(VLOOKUP($B24,Database!$B$1:$IX$10144,AB$22,FALSE))=0,"",VLOOKUP($B24,Database!$B$1:$IX$10144,AB$22,FALSE)))</f>
        <v>72.400000000000006</v>
      </c>
      <c r="AC24" s="22">
        <f>IF(OR($B24="",AC$22=""),"",IF(LEN(VLOOKUP($B24,Database!$B$1:$IX$10144,AC$22,FALSE))=0,"",VLOOKUP($B24,Database!$B$1:$IX$10144,AC$22,FALSE)))</f>
        <v>8.8000000000000007</v>
      </c>
      <c r="AD24" s="22">
        <f>IF(OR($B24="",AD$22=""),"",IF(LEN(VLOOKUP($B24,Database!$B$1:$IX$10144,AD$22,FALSE))=0,"",VLOOKUP($B24,Database!$B$1:$IX$10144,AD$22,FALSE)))</f>
        <v>68.2</v>
      </c>
      <c r="AE24" s="22">
        <f>IF(OR($B24="",AE$22=""),"",IF(LEN(VLOOKUP($B24,Database!$B$1:$IX$10144,AE$22,FALSE))=0,"",VLOOKUP($B24,Database!$B$1:$IX$10144,AE$22,FALSE)))</f>
        <v>5.3</v>
      </c>
      <c r="AF24" s="22">
        <f>IF(OR($B24="",AF$22=""),"",IF(LEN(VLOOKUP($B24,Database!$B$1:$IX$10144,AF$22,FALSE))=0,"",VLOOKUP($B24,Database!$B$1:$IX$10144,AF$22,FALSE)))</f>
        <v>15</v>
      </c>
      <c r="AG24" s="22">
        <f>IF(OR($B24="",AG$22=""),"",IF(LEN(VLOOKUP($B24,Database!$B$1:$IX$10144,AG$22,FALSE))=0,"",VLOOKUP($B24,Database!$B$1:$IX$10144,AG$22,FALSE)))</f>
        <v>10</v>
      </c>
      <c r="AH24" s="22">
        <f>IF(OR($B24="",AH$22=""),"",IF(LEN(VLOOKUP($B24,Database!$B$1:$IX$10144,AH$22,FALSE))=0,"",VLOOKUP($B24,Database!$B$1:$IX$10144,AH$22,FALSE)))</f>
        <v>1.5</v>
      </c>
      <c r="AI24" s="22">
        <f>IF(OR($B24="",AI$22=""),"",IF(LEN(VLOOKUP($B24,Database!$B$1:$IX$10144,AI$22,FALSE))=0,"",VLOOKUP($B24,Database!$B$1:$IX$10144,AI$22,FALSE)))</f>
        <v>1.25</v>
      </c>
      <c r="AJ24" s="22" t="str">
        <f>IF(OR($B24="",AJ$22=""),"",IF(LEN(VLOOKUP($B24,Database!$B$1:$IX$10144,AJ$22,FALSE))=0,"",VLOOKUP($B24,Database!$B$1:$IX$10144,AJ$22,FALSE)))</f>
        <v/>
      </c>
      <c r="AK24" s="22">
        <f>IF(OR($B24="",AK$22=""),"",IF(LEN(VLOOKUP($B24,Database!$B$1:$IX$10144,AK$22,FALSE))=0,"",VLOOKUP($B24,Database!$B$1:$IX$10144,AK$22,FALSE)))</f>
        <v>64.2</v>
      </c>
      <c r="AL24" s="22">
        <f>IF(OR($B24="",AL$22=""),"",IF(LEN(VLOOKUP($B24,Database!$B$1:$IX$10144,AL$22,FALSE))=0,"",VLOOKUP($B24,Database!$B$1:$IX$10144,AL$22,FALSE)))</f>
        <v>26.7</v>
      </c>
      <c r="AM24" s="22" t="str">
        <f>IF(OR($B24="",AM$22=""),"",IF(LEN(VLOOKUP($B24,Database!$B$1:$IX$10144,AM$22,FALSE))=0,"",VLOOKUP($B24,Database!$B$1:$IX$10144,AM$22,FALSE)))</f>
        <v>ns</v>
      </c>
      <c r="AN24" s="22" t="str">
        <f>IF(OR($B24="",AN$22=""),"",IF(LEN(VLOOKUP($B24,Database!$B$1:$IX$10144,AN$22,FALSE))=0,"",VLOOKUP($B24,Database!$B$1:$IX$10144,AN$22,FALSE)))</f>
        <v>ns</v>
      </c>
      <c r="AO24" s="22" t="str">
        <f>IF(OR($B24="",AO$22=""),"",IF(LEN(VLOOKUP($B24,Database!$B$1:$IX$10144,AO$22,FALSE))=0,"",VLOOKUP($B24,Database!$B$1:$IX$10144,AO$22,FALSE)))</f>
        <v>ns</v>
      </c>
      <c r="AP24" s="22" t="str">
        <f>IF(OR($B24="",AP$22=""),"",IF(LEN(VLOOKUP($B24,Database!$B$1:$IX$10144,AP$22,FALSE))=0,"",VLOOKUP($B24,Database!$B$1:$IX$10144,AP$22,FALSE)))</f>
        <v>ns</v>
      </c>
      <c r="AQ24" s="22" t="str">
        <f>IF(OR($B24="",AQ$22=""),"",IF(LEN(VLOOKUP($B24,Database!$B$1:$IX$10144,AQ$22,FALSE))=0,"",VLOOKUP($B24,Database!$B$1:$IX$10144,AQ$22,FALSE)))</f>
        <v>Pantel J, Schroder J, Essig M, Popp D, Dech H, Knopp MV, Schad LR, Eysenbach K, Backenstrass M, Friedlinger M.</v>
      </c>
      <c r="AR24" s="13"/>
      <c r="BC24" s="23"/>
      <c r="BF24" s="136"/>
      <c r="BG24" s="136"/>
      <c r="BH24" s="136"/>
      <c r="BI24" s="136"/>
    </row>
    <row r="25" spans="1:65">
      <c r="A25" t="s">
        <v>1064</v>
      </c>
      <c r="B25">
        <v>9636205</v>
      </c>
      <c r="C25" s="1" t="str">
        <f>IF($B25="","",HYPERLINK(IF(LEN(VLOOKUP($B25,Database!$B$1:$IX$10144,2,FALSE))=0,"",VLOOKUP($B25,Database!$B$1:$IX$10144,2,FALSE))))</f>
        <v/>
      </c>
      <c r="D25" s="1" t="str">
        <f t="shared" si="0"/>
        <v>http://www.ncbi.nlm.nih.gov/pubmed/9636205</v>
      </c>
      <c r="E25" s="22" t="str">
        <f>IF($B25="","",IF(LEN(VLOOKUP($B25,Database!$B$1:$IX$10144,4,FALSE))=0,"",VLOOKUP($B25,Database!$B$1:$IX$10144,4,FALSE)))</f>
        <v>Kumar A</v>
      </c>
      <c r="F25" s="22">
        <f>IF($B25="","",IF(LEN(VLOOKUP($B25,Database!$B$1:$IX$10144,5,FALSE))=0,"",VLOOKUP($B25,Database!$B$1:$IX$10144,5,FALSE)))</f>
        <v>1998</v>
      </c>
      <c r="G25" s="1" t="str">
        <f>IF($B25="","",HYPERLINK(IF(LEN(VLOOKUP($B25,Database!$B$1:$IX$10144,6,FALSE))=0,"",VLOOKUP($B25,Database!$B$1:$IX$10144,6,FALSE))))</f>
        <v>http://www.pnas.org/content/95/13/7654</v>
      </c>
      <c r="H25" s="22">
        <f>IF($B25="","",IF(LEN(VLOOKUP($B25,Database!$B$1:$IX$10144,7,FALSE))=0,"",VLOOKUP($B25,Database!$B$1:$IX$10144,7,FALSE)))</f>
        <v>35</v>
      </c>
      <c r="I25" s="22">
        <f>IF($B25="","",IF(LEN(VLOOKUP($B25,Database!$B$1:$IX$10144,8,FALSE))=0,"",VLOOKUP($B25,Database!$B$1:$IX$10144,8,FALSE)))</f>
        <v>30</v>
      </c>
      <c r="J25" t="s">
        <v>1453</v>
      </c>
      <c r="K25" s="13" t="s">
        <v>1454</v>
      </c>
      <c r="T25">
        <v>1138.2</v>
      </c>
      <c r="U25">
        <v>160.63</v>
      </c>
      <c r="V25">
        <v>1182.6500000000001</v>
      </c>
      <c r="W25">
        <v>137.97999999999999</v>
      </c>
      <c r="Y25" s="22" t="str">
        <f>IF(OR($B25="",Y$22=""),"",IF(LEN(VLOOKUP($B25,Database!$B$1:$IX$10144,Y$22,FALSE))=0,"",VLOOKUP($B25,Database!$B$1:$IX$10144,Y$22,FALSE)))</f>
        <v>DSM-IV</v>
      </c>
      <c r="Z25" s="22" t="str">
        <f>IF(OR($B25="",Z$22=""),"",IF(LEN(VLOOKUP($B25,Database!$B$1:$IX$10144,Z$22,FALSE))=0,"",VLOOKUP($B25,Database!$B$1:$IX$10144,Z$22,FALSE)))</f>
        <v>MRI</v>
      </c>
      <c r="AA25" s="22" t="str">
        <f>IF(OR($B25="",AA$22=""),"",IF(LEN(VLOOKUP($B25,Database!$B$1:$IX$10144,AA$22,FALSE))=0,"",VLOOKUP($B25,Database!$B$1:$IX$10144,AA$22,FALSE)))</f>
        <v/>
      </c>
      <c r="AB25" s="22">
        <f>IF(OR($B25="",AB$22=""),"",IF(LEN(VLOOKUP($B25,Database!$B$1:$IX$10144,AB$22,FALSE))=0,"",VLOOKUP($B25,Database!$B$1:$IX$10144,AB$22,FALSE)))</f>
        <v>74.569999999999993</v>
      </c>
      <c r="AC25" s="22">
        <f>IF(OR($B25="",AC$22=""),"",IF(LEN(VLOOKUP($B25,Database!$B$1:$IX$10144,AC$22,FALSE))=0,"",VLOOKUP($B25,Database!$B$1:$IX$10144,AC$22,FALSE)))</f>
        <v>6.91</v>
      </c>
      <c r="AD25" s="22">
        <f>IF(OR($B25="",AD$22=""),"",IF(LEN(VLOOKUP($B25,Database!$B$1:$IX$10144,AD$22,FALSE))=0,"",VLOOKUP($B25,Database!$B$1:$IX$10144,AD$22,FALSE)))</f>
        <v>69.430000000000007</v>
      </c>
      <c r="AE25" s="22">
        <f>IF(OR($B25="",AE$22=""),"",IF(LEN(VLOOKUP($B25,Database!$B$1:$IX$10144,AE$22,FALSE))=0,"",VLOOKUP($B25,Database!$B$1:$IX$10144,AE$22,FALSE)))</f>
        <v>6.09</v>
      </c>
      <c r="AF25" s="22">
        <f>IF(OR($B25="",AF$22=""),"",IF(LEN(VLOOKUP($B25,Database!$B$1:$IX$10144,AF$22,FALSE))=0,"",VLOOKUP($B25,Database!$B$1:$IX$10144,AF$22,FALSE)))</f>
        <v>25</v>
      </c>
      <c r="AG25" s="22">
        <f>IF(OR($B25="",AG$22=""),"",IF(LEN(VLOOKUP($B25,Database!$B$1:$IX$10144,AG$22,FALSE))=0,"",VLOOKUP($B25,Database!$B$1:$IX$10144,AG$22,FALSE)))</f>
        <v>23</v>
      </c>
      <c r="AH25" s="22">
        <f>IF(OR($B25="",AH$22=""),"",IF(LEN(VLOOKUP($B25,Database!$B$1:$IX$10144,AH$22,FALSE))=0,"",VLOOKUP($B25,Database!$B$1:$IX$10144,AH$22,FALSE)))</f>
        <v>1.5</v>
      </c>
      <c r="AI25" s="22">
        <f>IF(OR($B25="",AI$22=""),"",IF(LEN(VLOOKUP($B25,Database!$B$1:$IX$10144,AI$22,FALSE))=0,"",VLOOKUP($B25,Database!$B$1:$IX$10144,AI$22,FALSE)))</f>
        <v>5</v>
      </c>
      <c r="AJ25" s="22" t="str">
        <f>IF(OR($B25="",AJ$22=""),"",IF(LEN(VLOOKUP($B25,Database!$B$1:$IX$10144,AJ$22,FALSE))=0,"",VLOOKUP($B25,Database!$B$1:$IX$10144,AJ$22,FALSE)))</f>
        <v/>
      </c>
      <c r="AK25" s="22">
        <f>IF(OR($B25="",AK$22=""),"",IF(LEN(VLOOKUP($B25,Database!$B$1:$IX$10144,AK$22,FALSE))=0,"",VLOOKUP($B25,Database!$B$1:$IX$10144,AK$22,FALSE)))</f>
        <v>71.260000000000005</v>
      </c>
      <c r="AL25" s="22">
        <f>IF(OR($B25="",AL$22=""),"",IF(LEN(VLOOKUP($B25,Database!$B$1:$IX$10144,AL$22,FALSE))=0,"",VLOOKUP($B25,Database!$B$1:$IX$10144,AL$22,FALSE)))</f>
        <v>19.739999999999998</v>
      </c>
      <c r="AM25" s="22" t="str">
        <f>IF(OR($B25="",AM$22=""),"",IF(LEN(VLOOKUP($B25,Database!$B$1:$IX$10144,AM$22,FALSE))=0,"",VLOOKUP($B25,Database!$B$1:$IX$10144,AM$22,FALSE)))</f>
        <v>ns</v>
      </c>
      <c r="AN25" s="22" t="str">
        <f>IF(OR($B25="",AN$22=""),"",IF(LEN(VLOOKUP($B25,Database!$B$1:$IX$10144,AN$22,FALSE))=0,"",VLOOKUP($B25,Database!$B$1:$IX$10144,AN$22,FALSE)))</f>
        <v>ns</v>
      </c>
      <c r="AO25" s="22" t="str">
        <f>IF(OR($B25="",AO$22=""),"",IF(LEN(VLOOKUP($B25,Database!$B$1:$IX$10144,AO$22,FALSE))=0,"",VLOOKUP($B25,Database!$B$1:$IX$10144,AO$22,FALSE)))</f>
        <v>ns</v>
      </c>
      <c r="AP25" s="22" t="str">
        <f>IF(OR($B25="",AP$22=""),"",IF(LEN(VLOOKUP($B25,Database!$B$1:$IX$10144,AP$22,FALSE))=0,"",VLOOKUP($B25,Database!$B$1:$IX$10144,AP$22,FALSE)))</f>
        <v>ns</v>
      </c>
      <c r="AQ25" s="22" t="str">
        <f>IF(OR($B25="",AQ$22=""),"",IF(LEN(VLOOKUP($B25,Database!$B$1:$IX$10144,AQ$22,FALSE))=0,"",VLOOKUP($B25,Database!$B$1:$IX$10144,AQ$22,FALSE)))</f>
        <v>Kumar A, Jin Z, Bilker W, Udupa J, Gottlieb G.</v>
      </c>
      <c r="AR25" s="13"/>
      <c r="BC25" s="23"/>
      <c r="BF25" s="136"/>
      <c r="BG25" s="136"/>
      <c r="BH25" s="136"/>
      <c r="BI25" s="136"/>
    </row>
    <row r="26" spans="1:65">
      <c r="B26">
        <v>15598548</v>
      </c>
      <c r="C26" s="1" t="str">
        <f>IF($B26="","",HYPERLINK(IF(LEN(VLOOKUP($B26,Database!$B$1:$IX$10144,2,FALSE))=0,"",VLOOKUP($B26,Database!$B$1:$IX$10144,2,FALSE))))</f>
        <v/>
      </c>
      <c r="D26" s="1" t="str">
        <f t="shared" si="0"/>
        <v>http://www.ncbi.nlm.nih.gov/pubmed/15598548</v>
      </c>
      <c r="E26" s="22" t="str">
        <f>IF($B26="","",IF(LEN(VLOOKUP($B26,Database!$B$1:$IX$10144,4,FALSE))=0,"",VLOOKUP($B26,Database!$B$1:$IX$10144,4,FALSE)))</f>
        <v>Caetano SC</v>
      </c>
      <c r="F26" s="22">
        <f>IF($B26="","",IF(LEN(VLOOKUP($B26,Database!$B$1:$IX$10144,5,FALSE))=0,"",VLOOKUP($B26,Database!$B$1:$IX$10144,5,FALSE)))</f>
        <v>2004</v>
      </c>
      <c r="G26" s="1" t="str">
        <f>IF($B26="","",HYPERLINK(IF(LEN(VLOOKUP($B26,Database!$B$1:$IX$10144,6,FALSE))=0,"",VLOOKUP($B26,Database!$B$1:$IX$10144,6,FALSE))))</f>
        <v>http://dx.doi.org/10.1016/j.pscychresns.2004.08.002</v>
      </c>
      <c r="H26" s="22">
        <f>IF($B26="","",IF(LEN(VLOOKUP($B26,Database!$B$1:$IX$10144,7,FALSE))=0,"",VLOOKUP($B26,Database!$B$1:$IX$10144,7,FALSE)))</f>
        <v>31</v>
      </c>
      <c r="I26" s="22">
        <f>IF($B26="","",IF(LEN(VLOOKUP($B26,Database!$B$1:$IX$10144,8,FALSE))=0,"",VLOOKUP($B26,Database!$B$1:$IX$10144,8,FALSE)))</f>
        <v>31</v>
      </c>
      <c r="J26" t="s">
        <v>1455</v>
      </c>
      <c r="T26">
        <v>1412.78</v>
      </c>
      <c r="U26">
        <v>109.41</v>
      </c>
      <c r="V26">
        <v>1417.89</v>
      </c>
      <c r="W26">
        <v>126.34</v>
      </c>
      <c r="Y26" s="22" t="str">
        <f>IF(OR($B26="",Y$22=""),"",IF(LEN(VLOOKUP($B26,Database!$B$1:$IX$10144,Y$22,FALSE))=0,"",VLOOKUP($B26,Database!$B$1:$IX$10144,Y$22,FALSE)))</f>
        <v>DSM-IV</v>
      </c>
      <c r="Z26" s="22" t="str">
        <f>IF(OR($B26="",Z$22=""),"",IF(LEN(VLOOKUP($B26,Database!$B$1:$IX$10144,Z$22,FALSE))=0,"",VLOOKUP($B26,Database!$B$1:$IX$10144,Z$22,FALSE)))</f>
        <v>MRI</v>
      </c>
      <c r="AA26" s="22" t="str">
        <f>IF(OR($B26="",AA$22=""),"",IF(LEN(VLOOKUP($B26,Database!$B$1:$IX$10144,AA$22,FALSE))=0,"",VLOOKUP($B26,Database!$B$1:$IX$10144,AA$22,FALSE)))</f>
        <v/>
      </c>
      <c r="AB26" s="22">
        <f>IF(OR($B26="",AB$22=""),"",IF(LEN(VLOOKUP($B26,Database!$B$1:$IX$10144,AB$22,FALSE))=0,"",VLOOKUP($B26,Database!$B$1:$IX$10144,AB$22,FALSE)))</f>
        <v>39.200000000000003</v>
      </c>
      <c r="AC26" s="22">
        <f>IF(OR($B26="",AC$22=""),"",IF(LEN(VLOOKUP($B26,Database!$B$1:$IX$10144,AC$22,FALSE))=0,"",VLOOKUP($B26,Database!$B$1:$IX$10144,AC$22,FALSE)))</f>
        <v>11.9</v>
      </c>
      <c r="AD26" s="22">
        <f>IF(OR($B26="",AD$22=""),"",IF(LEN(VLOOKUP($B26,Database!$B$1:$IX$10144,AD$22,FALSE))=0,"",VLOOKUP($B26,Database!$B$1:$IX$10144,AD$22,FALSE)))</f>
        <v>36.700000000000003</v>
      </c>
      <c r="AE26" s="22">
        <f>IF(OR($B26="",AE$22=""),"",IF(LEN(VLOOKUP($B26,Database!$B$1:$IX$10144,AE$22,FALSE))=0,"",VLOOKUP($B26,Database!$B$1:$IX$10144,AE$22,FALSE)))</f>
        <v>10.7</v>
      </c>
      <c r="AF26" s="22">
        <f>IF(OR($B26="",AF$22=""),"",IF(LEN(VLOOKUP($B26,Database!$B$1:$IX$10144,AF$22,FALSE))=0,"",VLOOKUP($B26,Database!$B$1:$IX$10144,AF$22,FALSE)))</f>
        <v>24</v>
      </c>
      <c r="AG26" s="22">
        <f>IF(OR($B26="",AG$22=""),"",IF(LEN(VLOOKUP($B26,Database!$B$1:$IX$10144,AG$22,FALSE))=0,"",VLOOKUP($B26,Database!$B$1:$IX$10144,AG$22,FALSE)))</f>
        <v>24</v>
      </c>
      <c r="AH26" s="22">
        <f>IF(OR($B26="",AH$22=""),"",IF(LEN(VLOOKUP($B26,Database!$B$1:$IX$10144,AH$22,FALSE))=0,"",VLOOKUP($B26,Database!$B$1:$IX$10144,AH$22,FALSE)))</f>
        <v>1.5</v>
      </c>
      <c r="AI26" s="22">
        <f>IF(OR($B26="",AI$22=""),"",IF(LEN(VLOOKUP($B26,Database!$B$1:$IX$10144,AI$22,FALSE))=0,"",VLOOKUP($B26,Database!$B$1:$IX$10144,AI$22,FALSE)))</f>
        <v>1.5</v>
      </c>
      <c r="AJ26" s="22" t="str">
        <f>IF(OR($B26="",AJ$22=""),"",IF(LEN(VLOOKUP($B26,Database!$B$1:$IX$10144,AJ$22,FALSE))=0,"",VLOOKUP($B26,Database!$B$1:$IX$10144,AJ$22,FALSE)))</f>
        <v/>
      </c>
      <c r="AK26" s="214">
        <v>27.9</v>
      </c>
      <c r="AL26" s="214">
        <v>11.8</v>
      </c>
      <c r="AM26" s="22">
        <f>IF(OR($B26="",AM$22=""),"",IF(LEN(VLOOKUP($B26,Database!$B$1:$IX$10144,AM$22,FALSE))=0,"",VLOOKUP($B26,Database!$B$1:$IX$10144,AM$22,FALSE)))</f>
        <v>0</v>
      </c>
      <c r="AN26" s="22">
        <f>IF(OR($B26="",AN$22=""),"",IF(LEN(VLOOKUP($B26,Database!$B$1:$IX$10144,AN$22,FALSE))=0,"",VLOOKUP($B26,Database!$B$1:$IX$10144,AN$22,FALSE)))</f>
        <v>0</v>
      </c>
      <c r="AO26" s="22">
        <f>IF(OR($B26="",AO$22=""),"",IF(LEN(VLOOKUP($B26,Database!$B$1:$IX$10144,AO$22,FALSE))=0,"",VLOOKUP($B26,Database!$B$1:$IX$10144,AO$22,FALSE)))</f>
        <v>0</v>
      </c>
      <c r="AP26" s="22">
        <f>IF(OR($B26="",AP$22=""),"",IF(LEN(VLOOKUP($B26,Database!$B$1:$IX$10144,AP$22,FALSE))=0,"",VLOOKUP($B26,Database!$B$1:$IX$10144,AP$22,FALSE)))</f>
        <v>100</v>
      </c>
      <c r="AQ26" s="22" t="str">
        <f>IF(OR($B26="",AQ$22=""),"",IF(LEN(VLOOKUP($B26,Database!$B$1:$IX$10144,AQ$22,FALSE))=0,"",VLOOKUP($B26,Database!$B$1:$IX$10144,AQ$22,FALSE)))</f>
        <v>Caetano SC, Hatch JP, Brambilla P, Sassi RB, Nicoletti M, Mallinger AG, Frank E, Kupfer DJ, Keshavan MS, Soares JC.</v>
      </c>
      <c r="AR26" s="13"/>
      <c r="BC26" s="23"/>
      <c r="BF26" s="136"/>
      <c r="BG26" s="136"/>
      <c r="BH26" s="136"/>
      <c r="BI26" s="136"/>
    </row>
    <row r="27" spans="1:65">
      <c r="B27">
        <v>15576058</v>
      </c>
      <c r="C27" s="1" t="str">
        <f>IF($B27="","",HYPERLINK(IF(LEN(VLOOKUP($B27,Database!$B$1:$IX$10144,2,FALSE))=0,"",VLOOKUP($B27,Database!$B$1:$IX$10144,2,FALSE))))</f>
        <v/>
      </c>
      <c r="D27" s="1" t="str">
        <f t="shared" si="0"/>
        <v>http://www.ncbi.nlm.nih.gov/pubmed/15576058</v>
      </c>
      <c r="E27" s="22" t="str">
        <f>IF($B27="","",IF(LEN(VLOOKUP($B27,Database!$B$1:$IX$10144,4,FALSE))=0,"",VLOOKUP($B27,Database!$B$1:$IX$10144,4,FALSE)))</f>
        <v>Janssen J</v>
      </c>
      <c r="F27" s="22">
        <f>IF($B27="","",IF(LEN(VLOOKUP($B27,Database!$B$1:$IX$10144,5,FALSE))=0,"",VLOOKUP($B27,Database!$B$1:$IX$10144,5,FALSE)))</f>
        <v>2004</v>
      </c>
      <c r="G27" s="1" t="str">
        <f>IF($B27="","",HYPERLINK(IF(LEN(VLOOKUP($B27,Database!$B$1:$IX$10144,6,FALSE))=0,"",VLOOKUP($B27,Database!$B$1:$IX$10144,6,FALSE))))</f>
        <v>http://dx.doi.org/10.1016/j.biopsych.2004.09.011</v>
      </c>
      <c r="H27" s="22">
        <f>IF($B27="","",IF(LEN(VLOOKUP($B27,Database!$B$1:$IX$10144,7,FALSE))=0,"",VLOOKUP($B27,Database!$B$1:$IX$10144,7,FALSE)))</f>
        <v>28</v>
      </c>
      <c r="I27" s="22">
        <f>IF($B27="","",IF(LEN(VLOOKUP($B27,Database!$B$1:$IX$10144,8,FALSE))=0,"",VLOOKUP($B27,Database!$B$1:$IX$10144,8,FALSE)))</f>
        <v>41</v>
      </c>
      <c r="J27" t="s">
        <v>1456</v>
      </c>
      <c r="T27">
        <v>1372.83</v>
      </c>
      <c r="U27">
        <v>89.91</v>
      </c>
      <c r="V27">
        <v>1330.7</v>
      </c>
      <c r="W27">
        <v>105.36</v>
      </c>
      <c r="Y27" s="22" t="str">
        <f>IF(OR($B27="",Y$22=""),"",IF(LEN(VLOOKUP($B27,Database!$B$1:$IX$10144,Y$22,FALSE))=0,"",VLOOKUP($B27,Database!$B$1:$IX$10144,Y$22,FALSE)))</f>
        <v>DSM-IV</v>
      </c>
      <c r="Z27" s="22" t="str">
        <f>IF(OR($B27="",Z$22=""),"",IF(LEN(VLOOKUP($B27,Database!$B$1:$IX$10144,Z$22,FALSE))=0,"",VLOOKUP($B27,Database!$B$1:$IX$10144,Z$22,FALSE)))</f>
        <v>MRI</v>
      </c>
      <c r="AA27" s="22" t="str">
        <f>IF(OR($B27="",AA$22=""),"",IF(LEN(VLOOKUP($B27,Database!$B$1:$IX$10144,AA$22,FALSE))=0,"",VLOOKUP($B27,Database!$B$1:$IX$10144,AA$22,FALSE)))</f>
        <v/>
      </c>
      <c r="AB27" s="22">
        <f>IF(OR($B27="",AB$22=""),"",IF(LEN(VLOOKUP($B27,Database!$B$1:$IX$10144,AB$22,FALSE))=0,"",VLOOKUP($B27,Database!$B$1:$IX$10144,AB$22,FALSE)))</f>
        <v>64.040000000000006</v>
      </c>
      <c r="AC27" s="22">
        <f>IF(OR($B27="",AC$22=""),"",IF(LEN(VLOOKUP($B27,Database!$B$1:$IX$10144,AC$22,FALSE))=0,"",VLOOKUP($B27,Database!$B$1:$IX$10144,AC$22,FALSE)))</f>
        <v>10.9</v>
      </c>
      <c r="AD27" s="22">
        <f>IF(OR($B27="",AD$22=""),"",IF(LEN(VLOOKUP($B27,Database!$B$1:$IX$10144,AD$22,FALSE))=0,"",VLOOKUP($B27,Database!$B$1:$IX$10144,AD$22,FALSE)))</f>
        <v>62.37</v>
      </c>
      <c r="AE27" s="22">
        <f>IF(OR($B27="",AE$22=""),"",IF(LEN(VLOOKUP($B27,Database!$B$1:$IX$10144,AE$22,FALSE))=0,"",VLOOKUP($B27,Database!$B$1:$IX$10144,AE$22,FALSE)))</f>
        <v>11.38</v>
      </c>
      <c r="AF27" s="22">
        <f>IF(OR($B27="",AF$22=""),"",IF(LEN(VLOOKUP($B27,Database!$B$1:$IX$10144,AF$22,FALSE))=0,"",VLOOKUP($B27,Database!$B$1:$IX$10144,AF$22,FALSE)))</f>
        <v>28</v>
      </c>
      <c r="AG27" s="22">
        <f>IF(OR($B27="",AG$22=""),"",IF(LEN(VLOOKUP($B27,Database!$B$1:$IX$10144,AG$22,FALSE))=0,"",VLOOKUP($B27,Database!$B$1:$IX$10144,AG$22,FALSE)))</f>
        <v>41</v>
      </c>
      <c r="AH27" s="22">
        <f>IF(OR($B27="",AH$22=""),"",IF(LEN(VLOOKUP($B27,Database!$B$1:$IX$10144,AH$22,FALSE))=0,"",VLOOKUP($B27,Database!$B$1:$IX$10144,AH$22,FALSE)))</f>
        <v>1.5</v>
      </c>
      <c r="AI27" s="22">
        <f>IF(OR($B27="",AI$22=""),"",IF(LEN(VLOOKUP($B27,Database!$B$1:$IX$10144,AI$22,FALSE))=0,"",VLOOKUP($B27,Database!$B$1:$IX$10144,AI$22,FALSE)))</f>
        <v>1.2</v>
      </c>
      <c r="AJ27" s="22" t="str">
        <f>IF(OR($B27="",AJ$22=""),"",IF(LEN(VLOOKUP($B27,Database!$B$1:$IX$10144,AJ$22,FALSE))=0,"",VLOOKUP($B27,Database!$B$1:$IX$10144,AJ$22,FALSE)))</f>
        <v/>
      </c>
      <c r="AK27" s="22">
        <f>IF(OR($B27="",AK$22=""),"",IF(LEN(VLOOKUP($B27,Database!$B$1:$IX$10144,AK$22,FALSE))=0,"",VLOOKUP($B27,Database!$B$1:$IX$10144,AK$22,FALSE)))</f>
        <v>33.04</v>
      </c>
      <c r="AL27" s="22" t="str">
        <f>IF(OR($B27="",AL$22=""),"",IF(LEN(VLOOKUP($B27,Database!$B$1:$IX$10144,AL$22,FALSE))=0,"",VLOOKUP($B27,Database!$B$1:$IX$10144,AL$22,FALSE)))</f>
        <v>ns</v>
      </c>
      <c r="AM27" s="22">
        <f>IF(OR($B27="",AM$22=""),"",IF(LEN(VLOOKUP($B27,Database!$B$1:$IX$10144,AM$22,FALSE))=0,"",VLOOKUP($B27,Database!$B$1:$IX$10144,AM$22,FALSE)))</f>
        <v>60.714285714285708</v>
      </c>
      <c r="AN27" s="22">
        <f>IF(OR($B27="",AN$22=""),"",IF(LEN(VLOOKUP($B27,Database!$B$1:$IX$10144,AN$22,FALSE))=0,"",VLOOKUP($B27,Database!$B$1:$IX$10144,AN$22,FALSE)))</f>
        <v>25</v>
      </c>
      <c r="AO27" s="22">
        <f>IF(OR($B27="",AO$22=""),"",IF(LEN(VLOOKUP($B27,Database!$B$1:$IX$10144,AO$22,FALSE))=0,"",VLOOKUP($B27,Database!$B$1:$IX$10144,AO$22,FALSE)))</f>
        <v>14.285714285714285</v>
      </c>
      <c r="AP27" s="22">
        <f>IF(OR($B27="",AP$22=""),"",IF(LEN(VLOOKUP($B27,Database!$B$1:$IX$10144,AP$22,FALSE))=0,"",VLOOKUP($B27,Database!$B$1:$IX$10144,AP$22,FALSE)))</f>
        <v>21.428571428571427</v>
      </c>
      <c r="AQ27" s="22" t="str">
        <f>IF(OR($B27="",AQ$22=""),"",IF(LEN(VLOOKUP($B27,Database!$B$1:$IX$10144,AQ$22,FALSE))=0,"",VLOOKUP($B27,Database!$B$1:$IX$10144,AQ$22,FALSE)))</f>
        <v>Janssen J, Hulshoff Pol HE, Lampe IK, Schnack HG, de Leeuw FE, Kahn RS, Heeren TJ.</v>
      </c>
      <c r="AR27" s="13"/>
      <c r="BC27" s="23"/>
      <c r="BF27" s="136"/>
      <c r="BG27" s="136"/>
      <c r="BH27" s="136"/>
      <c r="BI27" s="136"/>
    </row>
    <row r="28" spans="1:65">
      <c r="B28">
        <v>15172942</v>
      </c>
      <c r="C28" s="1" t="str">
        <f>IF($B28="","",HYPERLINK(IF(LEN(VLOOKUP($B28,Database!$B$1:$IX$10144,2,FALSE))=0,"",VLOOKUP($B28,Database!$B$1:$IX$10144,2,FALSE))))</f>
        <v/>
      </c>
      <c r="D28" s="1" t="str">
        <f t="shared" si="0"/>
        <v>http://www.ncbi.nlm.nih.gov/pubmed/15172942</v>
      </c>
      <c r="E28" s="22" t="str">
        <f>IF($B28="","",IF(LEN(VLOOKUP($B28,Database!$B$1:$IX$10144,4,FALSE))=0,"",VLOOKUP($B28,Database!$B$1:$IX$10144,4,FALSE)))</f>
        <v>Lloyd AJ</v>
      </c>
      <c r="F28" s="22">
        <f>IF($B28="","",IF(LEN(VLOOKUP($B28,Database!$B$1:$IX$10144,5,FALSE))=0,"",VLOOKUP($B28,Database!$B$1:$IX$10144,5,FALSE)))</f>
        <v>2004</v>
      </c>
      <c r="G28" s="1" t="str">
        <f>IF($B28="","",HYPERLINK(IF(LEN(VLOOKUP($B28,Database!$B$1:$IX$10144,6,FALSE))=0,"",VLOOKUP($B28,Database!$B$1:$IX$10144,6,FALSE))))</f>
        <v>http://bjp.rcpsych.org/cgi/reprint/184/6/488</v>
      </c>
      <c r="H28" s="22">
        <f>IF($B28="","",IF(LEN(VLOOKUP($B28,Database!$B$1:$IX$10144,7,FALSE))=0,"",VLOOKUP($B28,Database!$B$1:$IX$10144,7,FALSE)))</f>
        <v>51</v>
      </c>
      <c r="I28" s="22">
        <f>IF($B28="","",IF(LEN(VLOOKUP($B28,Database!$B$1:$IX$10144,8,FALSE))=0,"",VLOOKUP($B28,Database!$B$1:$IX$10144,8,FALSE)))</f>
        <v>39</v>
      </c>
      <c r="J28" t="s">
        <v>1455</v>
      </c>
      <c r="K28" s="13"/>
      <c r="T28">
        <v>1373.2</v>
      </c>
      <c r="U28">
        <v>98.7</v>
      </c>
      <c r="V28">
        <v>1381.4</v>
      </c>
      <c r="W28">
        <v>118.8</v>
      </c>
      <c r="Y28" s="22" t="str">
        <f>IF(OR($B28="",Y$22=""),"",IF(LEN(VLOOKUP($B28,Database!$B$1:$IX$10144,Y$22,FALSE))=0,"",VLOOKUP($B28,Database!$B$1:$IX$10144,Y$22,FALSE)))</f>
        <v>DSM-IV</v>
      </c>
      <c r="Z28" s="22" t="str">
        <f>IF(OR($B28="",Z$22=""),"",IF(LEN(VLOOKUP($B28,Database!$B$1:$IX$10144,Z$22,FALSE))=0,"",VLOOKUP($B28,Database!$B$1:$IX$10144,Z$22,FALSE)))</f>
        <v>MRI</v>
      </c>
      <c r="AA28" s="22" t="str">
        <f>IF(OR($B28="",AA$22=""),"",IF(LEN(VLOOKUP($B28,Database!$B$1:$IX$10144,AA$22,FALSE))=0,"",VLOOKUP($B28,Database!$B$1:$IX$10144,AA$22,FALSE)))</f>
        <v/>
      </c>
      <c r="AB28" s="22">
        <f>IF(OR($B28="",AB$22=""),"",IF(LEN(VLOOKUP($B28,Database!$B$1:$IX$10144,AB$22,FALSE))=0,"",VLOOKUP($B28,Database!$B$1:$IX$10144,AB$22,FALSE)))</f>
        <v>74</v>
      </c>
      <c r="AC28" s="22">
        <f>IF(OR($B28="",AC$22=""),"",IF(LEN(VLOOKUP($B28,Database!$B$1:$IX$10144,AC$22,FALSE))=0,"",VLOOKUP($B28,Database!$B$1:$IX$10144,AC$22,FALSE)))</f>
        <v>6.3</v>
      </c>
      <c r="AD28" s="22">
        <f>IF(OR($B28="",AD$22=""),"",IF(LEN(VLOOKUP($B28,Database!$B$1:$IX$10144,AD$22,FALSE))=0,"",VLOOKUP($B28,Database!$B$1:$IX$10144,AD$22,FALSE)))</f>
        <v>73.099999999999994</v>
      </c>
      <c r="AE28" s="22">
        <f>IF(OR($B28="",AE$22=""),"",IF(LEN(VLOOKUP($B28,Database!$B$1:$IX$10144,AE$22,FALSE))=0,"",VLOOKUP($B28,Database!$B$1:$IX$10144,AE$22,FALSE)))</f>
        <v>6.7</v>
      </c>
      <c r="AF28" s="22">
        <f>IF(OR($B28="",AF$22=""),"",IF(LEN(VLOOKUP($B28,Database!$B$1:$IX$10144,AF$22,FALSE))=0,"",VLOOKUP($B28,Database!$B$1:$IX$10144,AF$22,FALSE)))</f>
        <v>41</v>
      </c>
      <c r="AG28" s="22">
        <f>IF(OR($B28="",AG$22=""),"",IF(LEN(VLOOKUP($B28,Database!$B$1:$IX$10144,AG$22,FALSE))=0,"",VLOOKUP($B28,Database!$B$1:$IX$10144,AG$22,FALSE)))</f>
        <v>29</v>
      </c>
      <c r="AH28" s="22">
        <f>IF(OR($B28="",AH$22=""),"",IF(LEN(VLOOKUP($B28,Database!$B$1:$IX$10144,AH$22,FALSE))=0,"",VLOOKUP($B28,Database!$B$1:$IX$10144,AH$22,FALSE)))</f>
        <v>1</v>
      </c>
      <c r="AI28" s="22">
        <f>IF(OR($B28="",AI$22=""),"",IF(LEN(VLOOKUP($B28,Database!$B$1:$IX$10144,AI$22,FALSE))=0,"",VLOOKUP($B28,Database!$B$1:$IX$10144,AI$22,FALSE)))</f>
        <v>1</v>
      </c>
      <c r="AJ28" s="22" t="str">
        <f>IF(OR($B28="",AJ$22=""),"",IF(LEN(VLOOKUP($B28,Database!$B$1:$IX$10144,AJ$22,FALSE))=0,"",VLOOKUP($B28,Database!$B$1:$IX$10144,AJ$22,FALSE)))</f>
        <v/>
      </c>
      <c r="AK28" s="214">
        <v>57</v>
      </c>
      <c r="AL28" s="22" t="str">
        <f>IF(OR($B28="",AL$22=""),"",IF(LEN(VLOOKUP($B28,Database!$B$1:$IX$10144,AL$22,FALSE))=0,"",VLOOKUP($B28,Database!$B$1:$IX$10144,AL$22,FALSE)))</f>
        <v>ns</v>
      </c>
      <c r="AM28" s="22" t="str">
        <f>IF(OR($B28="",AM$22=""),"",IF(LEN(VLOOKUP($B28,Database!$B$1:$IX$10144,AM$22,FALSE))=0,"",VLOOKUP($B28,Database!$B$1:$IX$10144,AM$22,FALSE)))</f>
        <v>ns</v>
      </c>
      <c r="AN28" s="22" t="str">
        <f>IF(OR($B28="",AN$22=""),"",IF(LEN(VLOOKUP($B28,Database!$B$1:$IX$10144,AN$22,FALSE))=0,"",VLOOKUP($B28,Database!$B$1:$IX$10144,AN$22,FALSE)))</f>
        <v>ns</v>
      </c>
      <c r="AO28" s="22" t="str">
        <f>IF(OR($B28="",AO$22=""),"",IF(LEN(VLOOKUP($B28,Database!$B$1:$IX$10144,AO$22,FALSE))=0,"",VLOOKUP($B28,Database!$B$1:$IX$10144,AO$22,FALSE)))</f>
        <v>ns</v>
      </c>
      <c r="AP28" s="22" t="str">
        <f>IF(OR($B28="",AP$22=""),"",IF(LEN(VLOOKUP($B28,Database!$B$1:$IX$10144,AP$22,FALSE))=0,"",VLOOKUP($B28,Database!$B$1:$IX$10144,AP$22,FALSE)))</f>
        <v>ns</v>
      </c>
      <c r="AQ28" s="22" t="str">
        <f>IF(OR($B28="",AQ$22=""),"",IF(LEN(VLOOKUP($B28,Database!$B$1:$IX$10144,AQ$22,FALSE))=0,"",VLOOKUP($B28,Database!$B$1:$IX$10144,AQ$22,FALSE)))</f>
        <v>Lloyd AJ, Ferrier IN, Barber R, Gholkar A, Young AH, O'Brien JT.</v>
      </c>
      <c r="AR28" s="13"/>
      <c r="BC28" s="23"/>
      <c r="BF28" s="136"/>
      <c r="BG28" s="136"/>
      <c r="BH28" s="136"/>
      <c r="BI28" s="136"/>
    </row>
    <row r="29" spans="1:65">
      <c r="B29">
        <v>16951734</v>
      </c>
      <c r="C29" s="1" t="str">
        <f>IF($B29="","",HYPERLINK(IF(LEN(VLOOKUP($B29,Database!$B$1:$IX$10144,2,FALSE))=0,"",VLOOKUP($B29,Database!$B$1:$IX$10144,2,FALSE))))</f>
        <v/>
      </c>
      <c r="D29" s="1" t="str">
        <f t="shared" si="0"/>
        <v>http://www.ncbi.nlm.nih.gov/pubmed/16951734</v>
      </c>
      <c r="E29" s="22" t="str">
        <f>IF($B29="","",IF(LEN(VLOOKUP($B29,Database!$B$1:$IX$10144,4,FALSE))=0,"",VLOOKUP($B29,Database!$B$1:$IX$10144,4,FALSE)))</f>
        <v>Frodl T</v>
      </c>
      <c r="F29" s="22">
        <f>IF($B29="","",IF(LEN(VLOOKUP($B29,Database!$B$1:$IX$10144,5,FALSE))=0,"",VLOOKUP($B29,Database!$B$1:$IX$10144,5,FALSE)))</f>
        <v>2006</v>
      </c>
      <c r="G29" s="1" t="str">
        <f>IF($B29="","",HYPERLINK(IF(LEN(VLOOKUP($B29,Database!$B$1:$IX$10144,6,FALSE))=0,"",VLOOKUP($B29,Database!$B$1:$IX$10144,6,FALSE))))</f>
        <v>http://www.cma.ca/multimedia/staticContent/HTML/N0/l2/jpn/vol-31/issue-5/pdf/pg316.pdf</v>
      </c>
      <c r="H29" s="22">
        <f>IF($B29="","",IF(LEN(VLOOKUP($B29,Database!$B$1:$IX$10144,7,FALSE))=0,"",VLOOKUP($B29,Database!$B$1:$IX$10144,7,FALSE)))</f>
        <v>34</v>
      </c>
      <c r="I29" s="22">
        <f>IF($B29="","",IF(LEN(VLOOKUP($B29,Database!$B$1:$IX$10144,8,FALSE))=0,"",VLOOKUP($B29,Database!$B$1:$IX$10144,8,FALSE)))</f>
        <v>34</v>
      </c>
      <c r="J29" t="s">
        <v>1459</v>
      </c>
      <c r="T29">
        <v>1246.7</v>
      </c>
      <c r="U29">
        <v>86</v>
      </c>
      <c r="V29">
        <v>1223.5</v>
      </c>
      <c r="W29">
        <v>114.4</v>
      </c>
      <c r="Y29" s="22" t="str">
        <f>IF(OR($B29="",Y$22=""),"",IF(LEN(VLOOKUP($B29,Database!$B$1:$IX$10144,Y$22,FALSE))=0,"",VLOOKUP($B29,Database!$B$1:$IX$10144,Y$22,FALSE)))</f>
        <v>DSM-IV</v>
      </c>
      <c r="Z29" s="22" t="str">
        <f>IF(OR($B29="",Z$22=""),"",IF(LEN(VLOOKUP($B29,Database!$B$1:$IX$10144,Z$22,FALSE))=0,"",VLOOKUP($B29,Database!$B$1:$IX$10144,Z$22,FALSE)))</f>
        <v>MRI</v>
      </c>
      <c r="AA29" s="22" t="str">
        <f>IF(OR($B29="",AA$22=""),"",IF(LEN(VLOOKUP($B29,Database!$B$1:$IX$10144,AA$22,FALSE))=0,"",VLOOKUP($B29,Database!$B$1:$IX$10144,AA$22,FALSE)))</f>
        <v/>
      </c>
      <c r="AB29" s="22">
        <f>IF(OR($B29="",AB$22=""),"",IF(LEN(VLOOKUP($B29,Database!$B$1:$IX$10144,AB$22,FALSE))=0,"",VLOOKUP($B29,Database!$B$1:$IX$10144,AB$22,FALSE)))</f>
        <v>45.5</v>
      </c>
      <c r="AC29" s="22">
        <f>IF(OR($B29="",AC$22=""),"",IF(LEN(VLOOKUP($B29,Database!$B$1:$IX$10144,AC$22,FALSE))=0,"",VLOOKUP($B29,Database!$B$1:$IX$10144,AC$22,FALSE)))</f>
        <v>11.9</v>
      </c>
      <c r="AD29" s="22">
        <f>IF(OR($B29="",AD$22=""),"",IF(LEN(VLOOKUP($B29,Database!$B$1:$IX$10144,AD$22,FALSE))=0,"",VLOOKUP($B29,Database!$B$1:$IX$10144,AD$22,FALSE)))</f>
        <v>43.6</v>
      </c>
      <c r="AE29" s="22">
        <f>IF(OR($B29="",AE$22=""),"",IF(LEN(VLOOKUP($B29,Database!$B$1:$IX$10144,AE$22,FALSE))=0,"",VLOOKUP($B29,Database!$B$1:$IX$10144,AE$22,FALSE)))</f>
        <v>13.2</v>
      </c>
      <c r="AF29" s="22">
        <f>IF(OR($B29="",AF$22=""),"",IF(LEN(VLOOKUP($B29,Database!$B$1:$IX$10144,AF$22,FALSE))=0,"",VLOOKUP($B29,Database!$B$1:$IX$10144,AF$22,FALSE)))</f>
        <v>15</v>
      </c>
      <c r="AG29" s="22">
        <f>IF(OR($B29="",AG$22=""),"",IF(LEN(VLOOKUP($B29,Database!$B$1:$IX$10144,AG$22,FALSE))=0,"",VLOOKUP($B29,Database!$B$1:$IX$10144,AG$22,FALSE)))</f>
        <v>15</v>
      </c>
      <c r="AH29" s="22" t="str">
        <f>IF(OR($B29="",AH$22=""),"",IF(LEN(VLOOKUP($B29,Database!$B$1:$IX$10144,AH$22,FALSE))=0,"",VLOOKUP($B29,Database!$B$1:$IX$10144,AH$22,FALSE)))</f>
        <v/>
      </c>
      <c r="AI29" s="22">
        <f>IF(OR($B29="",AI$22=""),"",IF(LEN(VLOOKUP($B29,Database!$B$1:$IX$10144,AI$22,FALSE))=0,"",VLOOKUP($B29,Database!$B$1:$IX$10144,AI$22,FALSE)))</f>
        <v>1.5</v>
      </c>
      <c r="AJ29" s="22" t="str">
        <f>IF(OR($B29="",AJ$22=""),"",IF(LEN(VLOOKUP($B29,Database!$B$1:$IX$10144,AJ$22,FALSE))=0,"",VLOOKUP($B29,Database!$B$1:$IX$10144,AJ$22,FALSE)))</f>
        <v/>
      </c>
      <c r="AK29" s="22">
        <f>IF(OR($B29="",AK$22=""),"",IF(LEN(VLOOKUP($B29,Database!$B$1:$IX$10144,AK$22,FALSE))=0,"",VLOOKUP($B29,Database!$B$1:$IX$10144,AK$22,FALSE)))</f>
        <v>38.799999999999997</v>
      </c>
      <c r="AL29" s="22">
        <f>IF(OR($B29="",AL$22=""),"",IF(LEN(VLOOKUP($B29,Database!$B$1:$IX$10144,AL$22,FALSE))=0,"",VLOOKUP($B29,Database!$B$1:$IX$10144,AL$22,FALSE)))</f>
        <v>24.8</v>
      </c>
      <c r="AM29" s="22">
        <f>IF(OR($B29="",AM$22=""),"",IF(LEN(VLOOKUP($B29,Database!$B$1:$IX$10144,AM$22,FALSE))=0,"",VLOOKUP($B29,Database!$B$1:$IX$10144,AM$22,FALSE)))</f>
        <v>91.17647058823529</v>
      </c>
      <c r="AN29" s="22" t="str">
        <f>IF(OR($B29="",AN$22=""),"",IF(LEN(VLOOKUP($B29,Database!$B$1:$IX$10144,AN$22,FALSE))=0,"",VLOOKUP($B29,Database!$B$1:$IX$10144,AN$22,FALSE)))</f>
        <v>ns</v>
      </c>
      <c r="AO29" s="22">
        <f>IF(OR($B29="",AO$22=""),"",IF(LEN(VLOOKUP($B29,Database!$B$1:$IX$10144,AO$22,FALSE))=0,"",VLOOKUP($B29,Database!$B$1:$IX$10144,AO$22,FALSE)))</f>
        <v>11.76470588235294</v>
      </c>
      <c r="AP29" s="22">
        <f>IF(OR($B29="",AP$22=""),"",IF(LEN(VLOOKUP($B29,Database!$B$1:$IX$10144,AP$22,FALSE))=0,"",VLOOKUP($B29,Database!$B$1:$IX$10144,AP$22,FALSE)))</f>
        <v>8.8235294117647065</v>
      </c>
      <c r="AQ29" s="22" t="str">
        <f>IF(OR($B29="",AQ$22=""),"",IF(LEN(VLOOKUP($B29,Database!$B$1:$IX$10144,AQ$22,FALSE))=0,"",VLOOKUP($B29,Database!$B$1:$IX$10144,AQ$22,FALSE)))</f>
        <v>Frodl T, Schaub A, Banac S, Charypar M, Jager M, Kummler P, Bottlender R, Zetzsche T, Born C, Leinsinger G, Reiser M, Moller HJ, Meisenzahl EM.</v>
      </c>
      <c r="AR29" s="13"/>
      <c r="BC29" s="23"/>
      <c r="BF29" s="136"/>
      <c r="BG29" s="136"/>
      <c r="BH29" s="136"/>
      <c r="BI29" s="136"/>
    </row>
    <row r="30" spans="1:65">
      <c r="B30">
        <v>16876142</v>
      </c>
      <c r="C30" s="1" t="str">
        <f>IF($B30="","",HYPERLINK(IF(LEN(VLOOKUP($B30,Database!$B$1:$IX$10144,2,FALSE))=0,"",VLOOKUP($B30,Database!$B$1:$IX$10144,2,FALSE))))</f>
        <v/>
      </c>
      <c r="D30" s="1" t="str">
        <f t="shared" si="0"/>
        <v>http://www.ncbi.nlm.nih.gov/pubmed/16876142</v>
      </c>
      <c r="E30" s="22" t="str">
        <f>IF($B30="","",IF(LEN(VLOOKUP($B30,Database!$B$1:$IX$10144,4,FALSE))=0,"",VLOOKUP($B30,Database!$B$1:$IX$10144,4,FALSE)))</f>
        <v>MacMaster FP</v>
      </c>
      <c r="F30" s="22">
        <f>IF($B30="","",IF(LEN(VLOOKUP($B30,Database!$B$1:$IX$10144,5,FALSE))=0,"",VLOOKUP($B30,Database!$B$1:$IX$10144,5,FALSE)))</f>
        <v>2006</v>
      </c>
      <c r="G30" s="1" t="str">
        <f>IF($B30="","",HYPERLINK(IF(LEN(VLOOKUP($B30,Database!$B$1:$IX$10144,6,FALSE))=0,"",VLOOKUP($B30,Database!$B$1:$IX$10144,6,FALSE))))</f>
        <v>http://dx.doi.org/10.1016/j.biopsych.2006.04.013</v>
      </c>
      <c r="H30" s="83">
        <v>15</v>
      </c>
      <c r="I30" s="83">
        <v>15</v>
      </c>
      <c r="J30" t="s">
        <v>1460</v>
      </c>
      <c r="K30" t="s">
        <v>1367</v>
      </c>
      <c r="T30">
        <v>1337.99</v>
      </c>
      <c r="U30">
        <v>115.44</v>
      </c>
      <c r="V30">
        <v>1208.07</v>
      </c>
      <c r="W30">
        <v>104.24</v>
      </c>
      <c r="Y30" s="22" t="str">
        <f>IF(OR($B30="",Y$22=""),"",IF(LEN(VLOOKUP($B30,Database!$B$1:$IX$10144,Y$22,FALSE))=0,"",VLOOKUP($B30,Database!$B$1:$IX$10144,Y$22,FALSE)))</f>
        <v>DSM-IV</v>
      </c>
      <c r="Z30" s="22" t="str">
        <f>IF(OR($B30="",Z$22=""),"",IF(LEN(VLOOKUP($B30,Database!$B$1:$IX$10144,Z$22,FALSE))=0,"",VLOOKUP($B30,Database!$B$1:$IX$10144,Z$22,FALSE)))</f>
        <v>MRI</v>
      </c>
      <c r="AA30" s="22" t="str">
        <f>IF(OR($B30="",AA$22=""),"",IF(LEN(VLOOKUP($B30,Database!$B$1:$IX$10144,AA$22,FALSE))=0,"",VLOOKUP($B30,Database!$B$1:$IX$10144,AA$22,FALSE)))</f>
        <v/>
      </c>
      <c r="AB30" s="22">
        <f>IF(OR($B30="",AB$22=""),"",IF(LEN(VLOOKUP($B30,Database!$B$1:$IX$10144,AB$22,FALSE))=0,"",VLOOKUP($B30,Database!$B$1:$IX$10144,AB$22,FALSE)))</f>
        <v>14.49</v>
      </c>
      <c r="AC30" s="22">
        <f>IF(OR($B30="",AC$22=""),"",IF(LEN(VLOOKUP($B30,Database!$B$1:$IX$10144,AC$22,FALSE))=0,"",VLOOKUP($B30,Database!$B$1:$IX$10144,AC$22,FALSE)))</f>
        <v>2.5299999999999998</v>
      </c>
      <c r="AD30" s="22">
        <f>IF(OR($B30="",AD$22=""),"",IF(LEN(VLOOKUP($B30,Database!$B$1:$IX$10144,AD$22,FALSE))=0,"",VLOOKUP($B30,Database!$B$1:$IX$10144,AD$22,FALSE)))</f>
        <v>14.33</v>
      </c>
      <c r="AE30" s="22">
        <f>IF(OR($B30="",AE$22=""),"",IF(LEN(VLOOKUP($B30,Database!$B$1:$IX$10144,AE$22,FALSE))=0,"",VLOOKUP($B30,Database!$B$1:$IX$10144,AE$22,FALSE)))</f>
        <v>2.46</v>
      </c>
      <c r="AF30" s="214">
        <v>0</v>
      </c>
      <c r="AG30" s="214">
        <v>0</v>
      </c>
      <c r="AH30" s="22">
        <f>IF(OR($B30="",AH$22=""),"",IF(LEN(VLOOKUP($B30,Database!$B$1:$IX$10144,AH$22,FALSE))=0,"",VLOOKUP($B30,Database!$B$1:$IX$10144,AH$22,FALSE)))</f>
        <v>1.5</v>
      </c>
      <c r="AI30" s="22">
        <f>IF(OR($B30="",AI$22=""),"",IF(LEN(VLOOKUP($B30,Database!$B$1:$IX$10144,AI$22,FALSE))=0,"",VLOOKUP($B30,Database!$B$1:$IX$10144,AI$22,FALSE)))</f>
        <v>1.5</v>
      </c>
      <c r="AJ30" s="22" t="str">
        <f>IF(OR($B30="",AJ$22=""),"",IF(LEN(VLOOKUP($B30,Database!$B$1:$IX$10144,AJ$22,FALSE))=0,"",VLOOKUP($B30,Database!$B$1:$IX$10144,AJ$22,FALSE)))</f>
        <v/>
      </c>
      <c r="AK30" s="214">
        <v>12.52</v>
      </c>
      <c r="AL30" s="22">
        <f>IF(OR($B30="",AL$22=""),"",IF(LEN(VLOOKUP($B30,Database!$B$1:$IX$10144,AL$22,FALSE))=0,"",VLOOKUP($B30,Database!$B$1:$IX$10144,AL$22,FALSE)))</f>
        <v>13.77</v>
      </c>
      <c r="AM30" s="22" t="str">
        <f>IF(OR($B30="",AM$22=""),"",IF(LEN(VLOOKUP($B30,Database!$B$1:$IX$10144,AM$22,FALSE))=0,"",VLOOKUP($B30,Database!$B$1:$IX$10144,AM$22,FALSE)))</f>
        <v>ns</v>
      </c>
      <c r="AN30" s="22" t="str">
        <f>IF(OR($B30="",AN$22=""),"",IF(LEN(VLOOKUP($B30,Database!$B$1:$IX$10144,AN$22,FALSE))=0,"",VLOOKUP($B30,Database!$B$1:$IX$10144,AN$22,FALSE)))</f>
        <v>ns</v>
      </c>
      <c r="AO30" s="22" t="str">
        <f>IF(OR($B30="",AO$22=""),"",IF(LEN(VLOOKUP($B30,Database!$B$1:$IX$10144,AO$22,FALSE))=0,"",VLOOKUP($B30,Database!$B$1:$IX$10144,AO$22,FALSE)))</f>
        <v>ns</v>
      </c>
      <c r="AP30" s="22" t="str">
        <f>IF(OR($B30="",AP$22=""),"",IF(LEN(VLOOKUP($B30,Database!$B$1:$IX$10144,AP$22,FALSE))=0,"",VLOOKUP($B30,Database!$B$1:$IX$10144,AP$22,FALSE)))</f>
        <v>ns</v>
      </c>
      <c r="AQ30" s="22" t="str">
        <f>IF(OR($B30="",AQ$22=""),"",IF(LEN(VLOOKUP($B30,Database!$B$1:$IX$10144,AQ$22,FALSE))=0,"",VLOOKUP($B30,Database!$B$1:$IX$10144,AQ$22,FALSE)))</f>
        <v>MacMaster FP, Russell A, Mirza Y, Keshavan MS, Taormina SP, Bhandari R, Boyd C, Lynch M, Rose M, Ivey J, Moore GJ, Rosenberg DR.</v>
      </c>
      <c r="AR30" s="13"/>
      <c r="AU30" s="13"/>
      <c r="BC30" s="23"/>
      <c r="BF30" s="136"/>
      <c r="BG30" s="136"/>
      <c r="BH30" s="136"/>
      <c r="BI30" s="136"/>
    </row>
    <row r="31" spans="1:65">
      <c r="B31">
        <v>16876142</v>
      </c>
      <c r="C31" s="1" t="str">
        <f>IF($B31="","",HYPERLINK(IF(LEN(VLOOKUP($B31,Database!$B$1:$IX$10144,2,FALSE))=0,"",VLOOKUP($B31,Database!$B$1:$IX$10144,2,FALSE))))</f>
        <v/>
      </c>
      <c r="D31" s="1" t="str">
        <f t="shared" si="0"/>
        <v>http://www.ncbi.nlm.nih.gov/pubmed/16876142</v>
      </c>
      <c r="E31" s="22" t="str">
        <f>IF($B31="","",IF(LEN(VLOOKUP($B31,Database!$B$1:$IX$10144,4,FALSE))=0,"",VLOOKUP($B31,Database!$B$1:$IX$10144,4,FALSE)))</f>
        <v>MacMaster FP</v>
      </c>
      <c r="F31" s="22">
        <f>IF($B31="","",IF(LEN(VLOOKUP($B31,Database!$B$1:$IX$10144,5,FALSE))=0,"",VLOOKUP($B31,Database!$B$1:$IX$10144,5,FALSE)))</f>
        <v>2006</v>
      </c>
      <c r="G31" s="1" t="str">
        <f>IF($B31="","",HYPERLINK(IF(LEN(VLOOKUP($B31,Database!$B$1:$IX$10144,6,FALSE))=0,"",VLOOKUP($B31,Database!$B$1:$IX$10144,6,FALSE))))</f>
        <v>http://dx.doi.org/10.1016/j.biopsych.2006.04.013</v>
      </c>
      <c r="H31" s="83">
        <v>20</v>
      </c>
      <c r="I31" s="83">
        <v>20</v>
      </c>
      <c r="J31" t="s">
        <v>1460</v>
      </c>
      <c r="K31" t="s">
        <v>1368</v>
      </c>
      <c r="T31">
        <v>1117.1400000000001</v>
      </c>
      <c r="U31">
        <v>94.27</v>
      </c>
      <c r="V31">
        <v>1103.1600000000001</v>
      </c>
      <c r="W31">
        <v>97.51</v>
      </c>
      <c r="Y31" s="22" t="str">
        <f>IF(OR($B31="",Y$22=""),"",IF(LEN(VLOOKUP($B31,Database!$B$1:$IX$10144,Y$22,FALSE))=0,"",VLOOKUP($B31,Database!$B$1:$IX$10144,Y$22,FALSE)))</f>
        <v>DSM-IV</v>
      </c>
      <c r="Z31" s="22" t="str">
        <f>IF(OR($B31="",Z$22=""),"",IF(LEN(VLOOKUP($B31,Database!$B$1:$IX$10144,Z$22,FALSE))=0,"",VLOOKUP($B31,Database!$B$1:$IX$10144,Z$22,FALSE)))</f>
        <v>MRI</v>
      </c>
      <c r="AA31" s="22" t="str">
        <f>IF(OR($B31="",AA$22=""),"",IF(LEN(VLOOKUP($B31,Database!$B$1:$IX$10144,AA$22,FALSE))=0,"",VLOOKUP($B31,Database!$B$1:$IX$10144,AA$22,FALSE)))</f>
        <v/>
      </c>
      <c r="AB31" s="22">
        <f>IF(OR($B31="",AB$22=""),"",IF(LEN(VLOOKUP($B31,Database!$B$1:$IX$10144,AB$22,FALSE))=0,"",VLOOKUP($B31,Database!$B$1:$IX$10144,AB$22,FALSE)))</f>
        <v>14.49</v>
      </c>
      <c r="AC31" s="22">
        <f>IF(OR($B31="",AC$22=""),"",IF(LEN(VLOOKUP($B31,Database!$B$1:$IX$10144,AC$22,FALSE))=0,"",VLOOKUP($B31,Database!$B$1:$IX$10144,AC$22,FALSE)))</f>
        <v>2.5299999999999998</v>
      </c>
      <c r="AD31" s="22">
        <f>IF(OR($B31="",AD$22=""),"",IF(LEN(VLOOKUP($B31,Database!$B$1:$IX$10144,AD$22,FALSE))=0,"",VLOOKUP($B31,Database!$B$1:$IX$10144,AD$22,FALSE)))</f>
        <v>14.33</v>
      </c>
      <c r="AE31" s="22">
        <f>IF(OR($B31="",AE$22=""),"",IF(LEN(VLOOKUP($B31,Database!$B$1:$IX$10144,AE$22,FALSE))=0,"",VLOOKUP($B31,Database!$B$1:$IX$10144,AE$22,FALSE)))</f>
        <v>2.46</v>
      </c>
      <c r="AF31" s="22">
        <f>IF(OR($B31="",AF$22=""),"",IF(LEN(VLOOKUP($B31,Database!$B$1:$IX$10144,AF$22,FALSE))=0,"",VLOOKUP($B31,Database!$B$1:$IX$10144,AF$22,FALSE)))</f>
        <v>20</v>
      </c>
      <c r="AG31" s="22">
        <f>IF(OR($B31="",AG$22=""),"",IF(LEN(VLOOKUP($B31,Database!$B$1:$IX$10144,AG$22,FALSE))=0,"",VLOOKUP($B31,Database!$B$1:$IX$10144,AG$22,FALSE)))</f>
        <v>20</v>
      </c>
      <c r="AH31" s="22">
        <f>IF(OR($B31="",AH$22=""),"",IF(LEN(VLOOKUP($B31,Database!$B$1:$IX$10144,AH$22,FALSE))=0,"",VLOOKUP($B31,Database!$B$1:$IX$10144,AH$22,FALSE)))</f>
        <v>1.5</v>
      </c>
      <c r="AI31" s="22">
        <f>IF(OR($B31="",AI$22=""),"",IF(LEN(VLOOKUP($B31,Database!$B$1:$IX$10144,AI$22,FALSE))=0,"",VLOOKUP($B31,Database!$B$1:$IX$10144,AI$22,FALSE)))</f>
        <v>1.5</v>
      </c>
      <c r="AJ31" s="22" t="str">
        <f>IF(OR($B31="",AJ$22=""),"",IF(LEN(VLOOKUP($B31,Database!$B$1:$IX$10144,AJ$22,FALSE))=0,"",VLOOKUP($B31,Database!$B$1:$IX$10144,AJ$22,FALSE)))</f>
        <v/>
      </c>
      <c r="AK31" s="214">
        <v>11.97</v>
      </c>
      <c r="AL31" s="22">
        <f>IF(OR($B31="",AL$22=""),"",IF(LEN(VLOOKUP($B31,Database!$B$1:$IX$10144,AL$22,FALSE))=0,"",VLOOKUP($B31,Database!$B$1:$IX$10144,AL$22,FALSE)))</f>
        <v>13.77</v>
      </c>
      <c r="AM31" s="22" t="str">
        <f>IF(OR($B31="",AM$22=""),"",IF(LEN(VLOOKUP($B31,Database!$B$1:$IX$10144,AM$22,FALSE))=0,"",VLOOKUP($B31,Database!$B$1:$IX$10144,AM$22,FALSE)))</f>
        <v>ns</v>
      </c>
      <c r="AN31" s="22" t="str">
        <f>IF(OR($B31="",AN$22=""),"",IF(LEN(VLOOKUP($B31,Database!$B$1:$IX$10144,AN$22,FALSE))=0,"",VLOOKUP($B31,Database!$B$1:$IX$10144,AN$22,FALSE)))</f>
        <v>ns</v>
      </c>
      <c r="AO31" s="22" t="str">
        <f>IF(OR($B31="",AO$22=""),"",IF(LEN(VLOOKUP($B31,Database!$B$1:$IX$10144,AO$22,FALSE))=0,"",VLOOKUP($B31,Database!$B$1:$IX$10144,AO$22,FALSE)))</f>
        <v>ns</v>
      </c>
      <c r="AP31" s="22" t="str">
        <f>IF(OR($B31="",AP$22=""),"",IF(LEN(VLOOKUP($B31,Database!$B$1:$IX$10144,AP$22,FALSE))=0,"",VLOOKUP($B31,Database!$B$1:$IX$10144,AP$22,FALSE)))</f>
        <v>ns</v>
      </c>
      <c r="AQ31" s="22" t="str">
        <f>IF(OR($B31="",AQ$22=""),"",IF(LEN(VLOOKUP($B31,Database!$B$1:$IX$10144,AQ$22,FALSE))=0,"",VLOOKUP($B31,Database!$B$1:$IX$10144,AQ$22,FALSE)))</f>
        <v>MacMaster FP, Russell A, Mirza Y, Keshavan MS, Taormina SP, Bhandari R, Boyd C, Lynch M, Rose M, Ivey J, Moore GJ, Rosenberg DR.</v>
      </c>
      <c r="AR31" s="13"/>
      <c r="AU31" s="13"/>
      <c r="BC31" s="23"/>
      <c r="BF31" s="136"/>
      <c r="BG31" s="136"/>
      <c r="BH31" s="136"/>
      <c r="BI31" s="136"/>
    </row>
    <row r="32" spans="1:65">
      <c r="B32">
        <v>16395541</v>
      </c>
      <c r="C32" s="1" t="str">
        <f>IF($B32="","",HYPERLINK(IF(LEN(VLOOKUP($B32,Database!$B$1:$IX$10144,2,FALSE))=0,"",VLOOKUP($B32,Database!$B$1:$IX$10144,2,FALSE))))</f>
        <v/>
      </c>
      <c r="D32" s="1" t="str">
        <f t="shared" si="0"/>
        <v>http://www.ncbi.nlm.nih.gov/pubmed/16395541</v>
      </c>
      <c r="E32" s="22" t="str">
        <f>IF($B32="","",IF(LEN(VLOOKUP($B32,Database!$B$1:$IX$10144,4,FALSE))=0,"",VLOOKUP($B32,Database!$B$1:$IX$10144,4,FALSE)))</f>
        <v>Saylam C</v>
      </c>
      <c r="F32" s="22">
        <f>IF($B32="","",IF(LEN(VLOOKUP($B32,Database!$B$1:$IX$10144,5,FALSE))=0,"",VLOOKUP($B32,Database!$B$1:$IX$10144,5,FALSE)))</f>
        <v>2006</v>
      </c>
      <c r="G32" s="1" t="str">
        <f>IF($B32="","",HYPERLINK(IF(LEN(VLOOKUP($B32,Database!$B$1:$IX$10144,6,FALSE))=0,"",VLOOKUP($B32,Database!$B$1:$IX$10144,6,FALSE))))</f>
        <v>http://www.springerlink.com/content/y2167l4m17576560/fulltext.pdf</v>
      </c>
      <c r="H32" s="22">
        <f>IF($B32="","",IF(LEN(VLOOKUP($B32,Database!$B$1:$IX$10144,7,FALSE))=0,"",VLOOKUP($B32,Database!$B$1:$IX$10144,7,FALSE)))</f>
        <v>24</v>
      </c>
      <c r="I32" s="22">
        <f>IF($B32="","",IF(LEN(VLOOKUP($B32,Database!$B$1:$IX$10144,8,FALSE))=0,"",VLOOKUP($B32,Database!$B$1:$IX$10144,8,FALSE)))</f>
        <v>24</v>
      </c>
      <c r="J32" t="s">
        <v>1542</v>
      </c>
      <c r="T32">
        <v>1524786</v>
      </c>
      <c r="U32">
        <v>117958</v>
      </c>
      <c r="V32">
        <v>1525647</v>
      </c>
      <c r="W32">
        <v>115010</v>
      </c>
      <c r="X32" s="96"/>
      <c r="Y32" s="22" t="str">
        <f>IF(OR($B32="",Y$22=""),"",IF(LEN(VLOOKUP($B32,Database!$B$1:$IX$10144,Y$22,FALSE))=0,"",VLOOKUP($B32,Database!$B$1:$IX$10144,Y$22,FALSE)))</f>
        <v>DSM-IV</v>
      </c>
      <c r="Z32" s="22" t="str">
        <f>IF(OR($B32="",Z$22=""),"",IF(LEN(VLOOKUP($B32,Database!$B$1:$IX$10144,Z$22,FALSE))=0,"",VLOOKUP($B32,Database!$B$1:$IX$10144,Z$22,FALSE)))</f>
        <v>MRI</v>
      </c>
      <c r="AA32" s="22" t="str">
        <f>IF(OR($B32="",AA$22=""),"",IF(LEN(VLOOKUP($B32,Database!$B$1:$IX$10144,AA$22,FALSE))=0,"",VLOOKUP($B32,Database!$B$1:$IX$10144,AA$22,FALSE)))</f>
        <v/>
      </c>
      <c r="AB32" s="22">
        <f>IF(OR($B32="",AB$22=""),"",IF(LEN(VLOOKUP($B32,Database!$B$1:$IX$10144,AB$22,FALSE))=0,"",VLOOKUP($B32,Database!$B$1:$IX$10144,AB$22,FALSE)))</f>
        <v>33.4</v>
      </c>
      <c r="AC32" s="22">
        <f>IF(OR($B32="",AC$22=""),"",IF(LEN(VLOOKUP($B32,Database!$B$1:$IX$10144,AC$22,FALSE))=0,"",VLOOKUP($B32,Database!$B$1:$IX$10144,AC$22,FALSE)))</f>
        <v>9.3000000000000007</v>
      </c>
      <c r="AD32" s="22">
        <f>IF(OR($B32="",AD$22=""),"",IF(LEN(VLOOKUP($B32,Database!$B$1:$IX$10144,AD$22,FALSE))=0,"",VLOOKUP($B32,Database!$B$1:$IX$10144,AD$22,FALSE)))</f>
        <v>30.16</v>
      </c>
      <c r="AE32" s="22">
        <f>IF(OR($B32="",AE$22=""),"",IF(LEN(VLOOKUP($B32,Database!$B$1:$IX$10144,AE$22,FALSE))=0,"",VLOOKUP($B32,Database!$B$1:$IX$10144,AE$22,FALSE)))</f>
        <v>6.1</v>
      </c>
      <c r="AF32" s="22">
        <f>IF(OR($B32="",AF$22=""),"",IF(LEN(VLOOKUP($B32,Database!$B$1:$IX$10144,AF$22,FALSE))=0,"",VLOOKUP($B32,Database!$B$1:$IX$10144,AF$22,FALSE)))</f>
        <v>18</v>
      </c>
      <c r="AG32" s="22">
        <f>IF(OR($B32="",AG$22=""),"",IF(LEN(VLOOKUP($B32,Database!$B$1:$IX$10144,AG$22,FALSE))=0,"",VLOOKUP($B32,Database!$B$1:$IX$10144,AG$22,FALSE)))</f>
        <v>18</v>
      </c>
      <c r="AH32" s="22">
        <f>IF(OR($B32="",AH$22=""),"",IF(LEN(VLOOKUP($B32,Database!$B$1:$IX$10144,AH$22,FALSE))=0,"",VLOOKUP($B32,Database!$B$1:$IX$10144,AH$22,FALSE)))</f>
        <v>1.5</v>
      </c>
      <c r="AI32" s="22">
        <f>IF(OR($B32="",AI$22=""),"",IF(LEN(VLOOKUP($B32,Database!$B$1:$IX$10144,AI$22,FALSE))=0,"",VLOOKUP($B32,Database!$B$1:$IX$10144,AI$22,FALSE)))</f>
        <v>2</v>
      </c>
      <c r="AJ32" s="22" t="str">
        <f>IF(OR($B32="",AJ$22=""),"",IF(LEN(VLOOKUP($B32,Database!$B$1:$IX$10144,AJ$22,FALSE))=0,"",VLOOKUP($B32,Database!$B$1:$IX$10144,AJ$22,FALSE)))</f>
        <v/>
      </c>
      <c r="AK32" s="22" t="str">
        <f>IF(OR($B32="",AK$22=""),"",IF(LEN(VLOOKUP($B32,Database!$B$1:$IX$10144,AK$22,FALSE))=0,"",VLOOKUP($B32,Database!$B$1:$IX$10144,AK$22,FALSE)))</f>
        <v>ns</v>
      </c>
      <c r="AL32" s="22">
        <f>IF(OR($B32="",AL$22=""),"",IF(LEN(VLOOKUP($B32,Database!$B$1:$IX$10144,AL$22,FALSE))=0,"",VLOOKUP($B32,Database!$B$1:$IX$10144,AL$22,FALSE)))</f>
        <v>24.4</v>
      </c>
      <c r="AM32" s="22">
        <f>IF(OR($B32="",AM$22=""),"",IF(LEN(VLOOKUP($B32,Database!$B$1:$IX$10144,AM$22,FALSE))=0,"",VLOOKUP($B32,Database!$B$1:$IX$10144,AM$22,FALSE)))</f>
        <v>0</v>
      </c>
      <c r="AN32" s="22">
        <f>IF(OR($B32="",AN$22=""),"",IF(LEN(VLOOKUP($B32,Database!$B$1:$IX$10144,AN$22,FALSE))=0,"",VLOOKUP($B32,Database!$B$1:$IX$10144,AN$22,FALSE)))</f>
        <v>0</v>
      </c>
      <c r="AO32" s="22">
        <f>IF(OR($B32="",AO$22=""),"",IF(LEN(VLOOKUP($B32,Database!$B$1:$IX$10144,AO$22,FALSE))=0,"",VLOOKUP($B32,Database!$B$1:$IX$10144,AO$22,FALSE)))</f>
        <v>0</v>
      </c>
      <c r="AP32" s="22">
        <f>IF(OR($B32="",AP$22=""),"",IF(LEN(VLOOKUP($B32,Database!$B$1:$IX$10144,AP$22,FALSE))=0,"",VLOOKUP($B32,Database!$B$1:$IX$10144,AP$22,FALSE)))</f>
        <v>100</v>
      </c>
      <c r="AQ32" s="22" t="str">
        <f>IF(OR($B32="",AQ$22=""),"",IF(LEN(VLOOKUP($B32,Database!$B$1:$IX$10144,AQ$22,FALSE))=0,"",VLOOKUP($B32,Database!$B$1:$IX$10144,AQ$22,FALSE)))</f>
        <v>Saylam C, Uçerler H, Kitiş O, Ozand E, Gönül AS.</v>
      </c>
      <c r="AR32" s="13"/>
      <c r="BC32" s="23"/>
      <c r="BF32" s="136"/>
      <c r="BG32" s="136"/>
      <c r="BH32" s="136"/>
      <c r="BI32" s="136"/>
    </row>
    <row r="33" spans="1:61">
      <c r="B33">
        <v>16740316</v>
      </c>
      <c r="C33" s="1" t="str">
        <f>IF($B33="","",HYPERLINK(IF(LEN(VLOOKUP($B33,Database!$B$1:$IX$10144,2,FALSE))=0,"",VLOOKUP($B33,Database!$B$1:$IX$10144,2,FALSE))))</f>
        <v/>
      </c>
      <c r="D33" s="1" t="str">
        <f t="shared" si="0"/>
        <v>http://www.ncbi.nlm.nih.gov/pubmed/16740316</v>
      </c>
      <c r="E33" s="22" t="str">
        <f>IF($B33="","",IF(LEN(VLOOKUP($B33,Database!$B$1:$IX$10144,4,FALSE))=0,"",VLOOKUP($B33,Database!$B$1:$IX$10144,4,FALSE)))</f>
        <v>Weniger G</v>
      </c>
      <c r="F33" s="22">
        <f>IF($B33="","",IF(LEN(VLOOKUP($B33,Database!$B$1:$IX$10144,5,FALSE))=0,"",VLOOKUP($B33,Database!$B$1:$IX$10144,5,FALSE)))</f>
        <v>2006</v>
      </c>
      <c r="G33" s="1" t="str">
        <f>IF($B33="","",HYPERLINK(IF(LEN(VLOOKUP($B33,Database!$B$1:$IX$10144,6,FALSE))=0,"",VLOOKUP($B33,Database!$B$1:$IX$10144,6,FALSE))))</f>
        <v>http://dx.doi.org/10.1016/j.jad.2006.04.017</v>
      </c>
      <c r="H33" s="22">
        <f>IF($B33="","",IF(LEN(VLOOKUP($B33,Database!$B$1:$IX$10144,7,FALSE))=0,"",VLOOKUP($B33,Database!$B$1:$IX$10144,7,FALSE)))</f>
        <v>21</v>
      </c>
      <c r="I33" s="22">
        <f>IF($B33="","",IF(LEN(VLOOKUP($B33,Database!$B$1:$IX$10144,8,FALSE))=0,"",VLOOKUP($B33,Database!$B$1:$IX$10144,8,FALSE)))</f>
        <v>23</v>
      </c>
      <c r="J33" t="s">
        <v>1543</v>
      </c>
      <c r="T33">
        <v>1461</v>
      </c>
      <c r="U33">
        <v>110</v>
      </c>
      <c r="V33">
        <v>1406</v>
      </c>
      <c r="W33">
        <v>119</v>
      </c>
      <c r="Y33" s="22" t="str">
        <f>IF(OR($B33="",Y$22=""),"",IF(LEN(VLOOKUP($B33,Database!$B$1:$IX$10144,Y$22,FALSE))=0,"",VLOOKUP($B33,Database!$B$1:$IX$10144,Y$22,FALSE)))</f>
        <v>DSM-IV</v>
      </c>
      <c r="Z33" s="22" t="str">
        <f>IF(OR($B33="",Z$22=""),"",IF(LEN(VLOOKUP($B33,Database!$B$1:$IX$10144,Z$22,FALSE))=0,"",VLOOKUP($B33,Database!$B$1:$IX$10144,Z$22,FALSE)))</f>
        <v>MRI</v>
      </c>
      <c r="AA33" s="22" t="str">
        <f>IF(OR($B33="",AA$22=""),"",IF(LEN(VLOOKUP($B33,Database!$B$1:$IX$10144,AA$22,FALSE))=0,"",VLOOKUP($B33,Database!$B$1:$IX$10144,AA$22,FALSE)))</f>
        <v/>
      </c>
      <c r="AB33" s="22">
        <f>IF(OR($B33="",AB$22=""),"",IF(LEN(VLOOKUP($B33,Database!$B$1:$IX$10144,AB$22,FALSE))=0,"",VLOOKUP($B33,Database!$B$1:$IX$10144,AB$22,FALSE)))</f>
        <v>34</v>
      </c>
      <c r="AC33" s="22">
        <f>IF(OR($B33="",AC$22=""),"",IF(LEN(VLOOKUP($B33,Database!$B$1:$IX$10144,AC$22,FALSE))=0,"",VLOOKUP($B33,Database!$B$1:$IX$10144,AC$22,FALSE)))</f>
        <v>9</v>
      </c>
      <c r="AD33" s="22">
        <f>IF(OR($B33="",AD$22=""),"",IF(LEN(VLOOKUP($B33,Database!$B$1:$IX$10144,AD$22,FALSE))=0,"",VLOOKUP($B33,Database!$B$1:$IX$10144,AD$22,FALSE)))</f>
        <v>32</v>
      </c>
      <c r="AE33" s="22">
        <f>IF(OR($B33="",AE$22=""),"",IF(LEN(VLOOKUP($B33,Database!$B$1:$IX$10144,AE$22,FALSE))=0,"",VLOOKUP($B33,Database!$B$1:$IX$10144,AE$22,FALSE)))</f>
        <v>7</v>
      </c>
      <c r="AF33" s="22">
        <f>IF(OR($B33="",AF$22=""),"",IF(LEN(VLOOKUP($B33,Database!$B$1:$IX$10144,AF$22,FALSE))=0,"",VLOOKUP($B33,Database!$B$1:$IX$10144,AF$22,FALSE)))</f>
        <v>21</v>
      </c>
      <c r="AG33" s="22">
        <f>IF(OR($B33="",AG$22=""),"",IF(LEN(VLOOKUP($B33,Database!$B$1:$IX$10144,AG$22,FALSE))=0,"",VLOOKUP($B33,Database!$B$1:$IX$10144,AG$22,FALSE)))</f>
        <v>23</v>
      </c>
      <c r="AH33" s="22">
        <f>IF(OR($B33="",AH$22=""),"",IF(LEN(VLOOKUP($B33,Database!$B$1:$IX$10144,AH$22,FALSE))=0,"",VLOOKUP($B33,Database!$B$1:$IX$10144,AH$22,FALSE)))</f>
        <v>1.5</v>
      </c>
      <c r="AI33" s="22">
        <f>IF(OR($B33="",AI$22=""),"",IF(LEN(VLOOKUP($B33,Database!$B$1:$IX$10144,AI$22,FALSE))=0,"",VLOOKUP($B33,Database!$B$1:$IX$10144,AI$22,FALSE)))</f>
        <v>1.3</v>
      </c>
      <c r="AJ33" s="22" t="str">
        <f>IF(OR($B33="",AJ$22=""),"",IF(LEN(VLOOKUP($B33,Database!$B$1:$IX$10144,AJ$22,FALSE))=0,"",VLOOKUP($B33,Database!$B$1:$IX$10144,AJ$22,FALSE)))</f>
        <v/>
      </c>
      <c r="AK33" s="22">
        <f>IF(OR($B33="",AK$22=""),"",IF(LEN(VLOOKUP($B33,Database!$B$1:$IX$10144,AK$22,FALSE))=0,"",VLOOKUP($B33,Database!$B$1:$IX$10144,AK$22,FALSE)))</f>
        <v>28</v>
      </c>
      <c r="AL33" s="22">
        <f>IF(OR($B33="",AL$22=""),"",IF(LEN(VLOOKUP($B33,Database!$B$1:$IX$10144,AL$22,FALSE))=0,"",VLOOKUP($B33,Database!$B$1:$IX$10144,AL$22,FALSE)))</f>
        <v>23</v>
      </c>
      <c r="AM33" s="22">
        <f>IF(OR($B33="",AM$22=""),"",IF(LEN(VLOOKUP($B33,Database!$B$1:$IX$10144,AM$22,FALSE))=0,"",VLOOKUP($B33,Database!$B$1:$IX$10144,AM$22,FALSE)))</f>
        <v>100</v>
      </c>
      <c r="AN33" s="22" t="str">
        <f>IF(OR($B33="",AN$22=""),"",IF(LEN(VLOOKUP($B33,Database!$B$1:$IX$10144,AN$22,FALSE))=0,"",VLOOKUP($B33,Database!$B$1:$IX$10144,AN$22,FALSE)))</f>
        <v>ns</v>
      </c>
      <c r="AO33" s="22" t="str">
        <f>IF(OR($B33="",AO$22=""),"",IF(LEN(VLOOKUP($B33,Database!$B$1:$IX$10144,AO$22,FALSE))=0,"",VLOOKUP($B33,Database!$B$1:$IX$10144,AO$22,FALSE)))</f>
        <v>ns</v>
      </c>
      <c r="AP33" s="22">
        <f>IF(OR($B33="",AP$22=""),"",IF(LEN(VLOOKUP($B33,Database!$B$1:$IX$10144,AP$22,FALSE))=0,"",VLOOKUP($B33,Database!$B$1:$IX$10144,AP$22,FALSE)))</f>
        <v>0</v>
      </c>
      <c r="AQ33" s="22" t="str">
        <f>IF(OR($B33="",AQ$22=""),"",IF(LEN(VLOOKUP($B33,Database!$B$1:$IX$10144,AQ$22,FALSE))=0,"",VLOOKUP($B33,Database!$B$1:$IX$10144,AQ$22,FALSE)))</f>
        <v>Weniger G, Lange C, Irle E.</v>
      </c>
      <c r="AR33" s="13"/>
      <c r="BC33" s="23"/>
      <c r="BF33" s="136"/>
      <c r="BG33" s="136"/>
      <c r="BH33" s="136"/>
      <c r="BI33" s="136"/>
    </row>
    <row r="34" spans="1:61">
      <c r="A34" t="s">
        <v>415</v>
      </c>
      <c r="B34">
        <v>16461856</v>
      </c>
      <c r="C34" s="1" t="str">
        <f>IF($B34="","",HYPERLINK(IF(LEN(VLOOKUP($B34,Database!$B$1:$IX$10144,2,FALSE))=0,"",VLOOKUP($B34,Database!$B$1:$IX$10144,2,FALSE))))</f>
        <v/>
      </c>
      <c r="D34" s="1" t="str">
        <f t="shared" si="0"/>
        <v>http://www.ncbi.nlm.nih.gov/pubmed/16461856</v>
      </c>
      <c r="E34" s="22" t="str">
        <f>IF($B34="","",IF(LEN(VLOOKUP($B34,Database!$B$1:$IX$10144,4,FALSE))=0,"",VLOOKUP($B34,Database!$B$1:$IX$10144,4,FALSE)))</f>
        <v>Velakoulis D</v>
      </c>
      <c r="F34" s="22">
        <f>IF($B34="","",IF(LEN(VLOOKUP($B34,Database!$B$1:$IX$10144,5,FALSE))=0,"",VLOOKUP($B34,Database!$B$1:$IX$10144,5,FALSE)))</f>
        <v>2006</v>
      </c>
      <c r="G34" s="1" t="str">
        <f>IF($B34="","",HYPERLINK(IF(LEN(VLOOKUP($B34,Database!$B$1:$IX$10144,6,FALSE))=0,"",VLOOKUP($B34,Database!$B$1:$IX$10144,6,FALSE))))</f>
        <v>http://archpsyc.ama-assn.org/cgi/content/full/63/2/139</v>
      </c>
      <c r="H34" s="22">
        <f>IF($B34="","",IF(LEN(VLOOKUP($B34,Database!$B$1:$IX$10144,7,FALSE))=0,"",VLOOKUP($B34,Database!$B$1:$IX$10144,7,FALSE)))</f>
        <v>12</v>
      </c>
      <c r="I34" s="22">
        <f>IF($B34="","",IF(LEN(VLOOKUP($B34,Database!$B$1:$IX$10144,8,FALSE))=0,"",VLOOKUP($B34,Database!$B$1:$IX$10144,8,FALSE)))</f>
        <v>87</v>
      </c>
      <c r="J34" t="s">
        <v>572</v>
      </c>
      <c r="T34">
        <v>1401520</v>
      </c>
      <c r="U34">
        <v>114428</v>
      </c>
      <c r="V34">
        <v>1449789</v>
      </c>
      <c r="W34">
        <v>143039</v>
      </c>
      <c r="Y34" s="22" t="str">
        <f>IF(OR($B34="",Y$22=""),"",IF(LEN(VLOOKUP($B34,Database!$B$1:$IX$10144,Y$22,FALSE))=0,"",VLOOKUP($B34,Database!$B$1:$IX$10144,Y$22,FALSE)))</f>
        <v>DSM-III-R</v>
      </c>
      <c r="Z34" s="22" t="str">
        <f>IF(OR($B34="",Z$22=""),"",IF(LEN(VLOOKUP($B34,Database!$B$1:$IX$10144,Z$22,FALSE))=0,"",VLOOKUP($B34,Database!$B$1:$IX$10144,Z$22,FALSE)))</f>
        <v>MRI</v>
      </c>
      <c r="AA34" s="22" t="str">
        <f>IF(OR($B34="",AA$22=""),"",IF(LEN(VLOOKUP($B34,Database!$B$1:$IX$10144,AA$22,FALSE))=0,"",VLOOKUP($B34,Database!$B$1:$IX$10144,AA$22,FALSE)))</f>
        <v/>
      </c>
      <c r="AB34" s="22">
        <f>IF(OR($B34="",AB$22=""),"",IF(LEN(VLOOKUP($B34,Database!$B$1:$IX$10144,AB$22,FALSE))=0,"",VLOOKUP($B34,Database!$B$1:$IX$10144,AB$22,FALSE)))</f>
        <v>22.6</v>
      </c>
      <c r="AC34" s="22">
        <f>IF(OR($B34="",AC$22=""),"",IF(LEN(VLOOKUP($B34,Database!$B$1:$IX$10144,AC$22,FALSE))=0,"",VLOOKUP($B34,Database!$B$1:$IX$10144,AC$22,FALSE)))</f>
        <v>4.0999999999999996</v>
      </c>
      <c r="AD34" s="22">
        <f>IF(OR($B34="",AD$22=""),"",IF(LEN(VLOOKUP($B34,Database!$B$1:$IX$10144,AD$22,FALSE))=0,"",VLOOKUP($B34,Database!$B$1:$IX$10144,AD$22,FALSE)))</f>
        <v>26.9</v>
      </c>
      <c r="AE34" s="22">
        <f>IF(OR($B34="",AE$22=""),"",IF(LEN(VLOOKUP($B34,Database!$B$1:$IX$10144,AE$22,FALSE))=0,"",VLOOKUP($B34,Database!$B$1:$IX$10144,AE$22,FALSE)))</f>
        <v>10</v>
      </c>
      <c r="AF34" s="22">
        <f>IF(OR($B34="",AF$22=""),"",IF(LEN(VLOOKUP($B34,Database!$B$1:$IX$10144,AF$22,FALSE))=0,"",VLOOKUP($B34,Database!$B$1:$IX$10144,AF$22,FALSE)))</f>
        <v>5</v>
      </c>
      <c r="AG34" s="22">
        <f>IF(OR($B34="",AG$22=""),"",IF(LEN(VLOOKUP($B34,Database!$B$1:$IX$10144,AG$22,FALSE))=0,"",VLOOKUP($B34,Database!$B$1:$IX$10144,AG$22,FALSE)))</f>
        <v>32</v>
      </c>
      <c r="AH34" s="22">
        <f>IF(OR($B34="",AH$22=""),"",IF(LEN(VLOOKUP($B34,Database!$B$1:$IX$10144,AH$22,FALSE))=0,"",VLOOKUP($B34,Database!$B$1:$IX$10144,AH$22,FALSE)))</f>
        <v>1.5</v>
      </c>
      <c r="AI34" s="22">
        <f>IF(OR($B34="",AI$22=""),"",IF(LEN(VLOOKUP($B34,Database!$B$1:$IX$10144,AI$22,FALSE))=0,"",VLOOKUP($B34,Database!$B$1:$IX$10144,AI$22,FALSE)))</f>
        <v>1.5</v>
      </c>
      <c r="AJ34" s="22" t="str">
        <f>IF(OR($B34="",AJ$22=""),"",IF(LEN(VLOOKUP($B34,Database!$B$1:$IX$10144,AJ$22,FALSE))=0,"",VLOOKUP($B34,Database!$B$1:$IX$10144,AJ$22,FALSE)))</f>
        <v/>
      </c>
      <c r="AK34" s="22">
        <f>IF(OR($B34="",AK$22=""),"",IF(LEN(VLOOKUP($B34,Database!$B$1:$IX$10144,AK$22,FALSE))=0,"",VLOOKUP($B34,Database!$B$1:$IX$10144,AK$22,FALSE)))</f>
        <v>21.5</v>
      </c>
      <c r="AL34" s="22" t="str">
        <f>IF(OR($B34="",AL$22=""),"",IF(LEN(VLOOKUP($B34,Database!$B$1:$IX$10144,AL$22,FALSE))=0,"",VLOOKUP($B34,Database!$B$1:$IX$10144,AL$22,FALSE)))</f>
        <v>ns</v>
      </c>
      <c r="AM34" s="22" t="str">
        <f>IF(OR($B34="",AM$22=""),"",IF(LEN(VLOOKUP($B34,Database!$B$1:$IX$10144,AM$22,FALSE))=0,"",VLOOKUP($B34,Database!$B$1:$IX$10144,AM$22,FALSE)))</f>
        <v>ns</v>
      </c>
      <c r="AN34" s="22" t="str">
        <f>IF(OR($B34="",AN$22=""),"",IF(LEN(VLOOKUP($B34,Database!$B$1:$IX$10144,AN$22,FALSE))=0,"",VLOOKUP($B34,Database!$B$1:$IX$10144,AN$22,FALSE)))</f>
        <v>ns</v>
      </c>
      <c r="AO34" s="22" t="str">
        <f>IF(OR($B34="",AO$22=""),"",IF(LEN(VLOOKUP($B34,Database!$B$1:$IX$10144,AO$22,FALSE))=0,"",VLOOKUP($B34,Database!$B$1:$IX$10144,AO$22,FALSE)))</f>
        <v>ns</v>
      </c>
      <c r="AP34" s="22" t="str">
        <f>IF(OR($B34="",AP$22=""),"",IF(LEN(VLOOKUP($B34,Database!$B$1:$IX$10144,AP$22,FALSE))=0,"",VLOOKUP($B34,Database!$B$1:$IX$10144,AP$22,FALSE)))</f>
        <v>ns</v>
      </c>
      <c r="AQ34" s="22" t="str">
        <f>IF(OR($B34="",AQ$22=""),"",IF(LEN(VLOOKUP($B34,Database!$B$1:$IX$10144,AQ$22,FALSE))=0,"",VLOOKUP($B34,Database!$B$1:$IX$10144,AQ$22,FALSE)))</f>
        <v>Velakoulis D, Wood SJ, Wong MT, McGorry PD, Yung A, Phillips L, Smith D, Brewer W, Proffitt T, Desmond P, Pantelis C.</v>
      </c>
      <c r="AR34" s="13"/>
      <c r="BC34" s="23"/>
      <c r="BF34" s="136"/>
      <c r="BG34" s="136"/>
      <c r="BH34" s="136"/>
      <c r="BI34" s="136"/>
    </row>
    <row r="35" spans="1:61">
      <c r="B35">
        <v>17023001</v>
      </c>
      <c r="C35" s="1" t="str">
        <f>IF($B35="","",HYPERLINK(IF(LEN(VLOOKUP($B35,Database!$B$1:$IX$10144,2,FALSE))=0,"",VLOOKUP($B35,Database!$B$1:$IX$10144,2,FALSE))))</f>
        <v/>
      </c>
      <c r="D35" s="1" t="str">
        <f t="shared" si="0"/>
        <v>http://www.ncbi.nlm.nih.gov/pubmed/17023001</v>
      </c>
      <c r="E35" s="22" t="str">
        <f>IF($B35="","",IF(LEN(VLOOKUP($B35,Database!$B$1:$IX$10144,4,FALSE))=0,"",VLOOKUP($B35,Database!$B$1:$IX$10144,4,FALSE)))</f>
        <v>Colla M</v>
      </c>
      <c r="F35" s="22">
        <f>IF($B35="","",IF(LEN(VLOOKUP($B35,Database!$B$1:$IX$10144,5,FALSE))=0,"",VLOOKUP($B35,Database!$B$1:$IX$10144,5,FALSE)))</f>
        <v>2007</v>
      </c>
      <c r="G35" s="1" t="str">
        <f>IF($B35="","",HYPERLINK(IF(LEN(VLOOKUP($B35,Database!$B$1:$IX$10144,6,FALSE))=0,"",VLOOKUP($B35,Database!$B$1:$IX$10144,6,FALSE))))</f>
        <v>http://dx.doi.org/10.1016/j.jpsychires.2006.06.011</v>
      </c>
      <c r="H35" s="22">
        <f>IF($B35="","",IF(LEN(VLOOKUP($B35,Database!$B$1:$IX$10144,7,FALSE))=0,"",VLOOKUP($B35,Database!$B$1:$IX$10144,7,FALSE)))</f>
        <v>24</v>
      </c>
      <c r="I35" s="22">
        <f>IF($B35="","",IF(LEN(VLOOKUP($B35,Database!$B$1:$IX$10144,8,FALSE))=0,"",VLOOKUP($B35,Database!$B$1:$IX$10144,8,FALSE)))</f>
        <v>14</v>
      </c>
      <c r="J35" t="s">
        <v>1544</v>
      </c>
      <c r="T35">
        <v>1057.5</v>
      </c>
      <c r="U35">
        <v>96.1</v>
      </c>
      <c r="V35">
        <v>1096.7</v>
      </c>
      <c r="W35">
        <v>113.5</v>
      </c>
      <c r="Y35" s="22" t="str">
        <f>IF(OR($B35="",Y$22=""),"",IF(LEN(VLOOKUP($B35,Database!$B$1:$IX$10144,Y$22,FALSE))=0,"",VLOOKUP($B35,Database!$B$1:$IX$10144,Y$22,FALSE)))</f>
        <v>DSM-IV</v>
      </c>
      <c r="Z35" s="22" t="str">
        <f>IF(OR($B35="",Z$22=""),"",IF(LEN(VLOOKUP($B35,Database!$B$1:$IX$10144,Z$22,FALSE))=0,"",VLOOKUP($B35,Database!$B$1:$IX$10144,Z$22,FALSE)))</f>
        <v>MRI</v>
      </c>
      <c r="AA35" s="22" t="str">
        <f>IF(OR($B35="",AA$22=""),"",IF(LEN(VLOOKUP($B35,Database!$B$1:$IX$10144,AA$22,FALSE))=0,"",VLOOKUP($B35,Database!$B$1:$IX$10144,AA$22,FALSE)))</f>
        <v/>
      </c>
      <c r="AB35" s="22">
        <f>IF(OR($B35="",AB$22=""),"",IF(LEN(VLOOKUP($B35,Database!$B$1:$IX$10144,AB$22,FALSE))=0,"",VLOOKUP($B35,Database!$B$1:$IX$10144,AB$22,FALSE)))</f>
        <v>54.5</v>
      </c>
      <c r="AC35" s="22">
        <f>IF(OR($B35="",AC$22=""),"",IF(LEN(VLOOKUP($B35,Database!$B$1:$IX$10144,AC$22,FALSE))=0,"",VLOOKUP($B35,Database!$B$1:$IX$10144,AC$22,FALSE)))</f>
        <v>11.9</v>
      </c>
      <c r="AD35" s="22">
        <f>IF(OR($B35="",AD$22=""),"",IF(LEN(VLOOKUP($B35,Database!$B$1:$IX$10144,AD$22,FALSE))=0,"",VLOOKUP($B35,Database!$B$1:$IX$10144,AD$22,FALSE)))</f>
        <v>53.8</v>
      </c>
      <c r="AE35" s="22">
        <f>IF(OR($B35="",AE$22=""),"",IF(LEN(VLOOKUP($B35,Database!$B$1:$IX$10144,AE$22,FALSE))=0,"",VLOOKUP($B35,Database!$B$1:$IX$10144,AE$22,FALSE)))</f>
        <v>17.7</v>
      </c>
      <c r="AF35" s="22">
        <f>IF(OR($B35="",AF$22=""),"",IF(LEN(VLOOKUP($B35,Database!$B$1:$IX$10144,AF$22,FALSE))=0,"",VLOOKUP($B35,Database!$B$1:$IX$10144,AF$22,FALSE)))</f>
        <v>15</v>
      </c>
      <c r="AG35" s="22">
        <f>IF(OR($B35="",AG$22=""),"",IF(LEN(VLOOKUP($B35,Database!$B$1:$IX$10144,AG$22,FALSE))=0,"",VLOOKUP($B35,Database!$B$1:$IX$10144,AG$22,FALSE)))</f>
        <v>8</v>
      </c>
      <c r="AH35" s="22">
        <f>IF(OR($B35="",AH$22=""),"",IF(LEN(VLOOKUP($B35,Database!$B$1:$IX$10144,AH$22,FALSE))=0,"",VLOOKUP($B35,Database!$B$1:$IX$10144,AH$22,FALSE)))</f>
        <v>1.5</v>
      </c>
      <c r="AI35" s="22">
        <f>IF(OR($B35="",AI$22=""),"",IF(LEN(VLOOKUP($B35,Database!$B$1:$IX$10144,AI$22,FALSE))=0,"",VLOOKUP($B35,Database!$B$1:$IX$10144,AI$22,FALSE)))</f>
        <v>1.05</v>
      </c>
      <c r="AJ35" s="22" t="str">
        <f>IF(OR($B35="",AJ$22=""),"",IF(LEN(VLOOKUP($B35,Database!$B$1:$IX$10144,AJ$22,FALSE))=0,"",VLOOKUP($B35,Database!$B$1:$IX$10144,AJ$22,FALSE)))</f>
        <v/>
      </c>
      <c r="AK35" s="22" t="str">
        <f>IF(OR($B35="",AK$22=""),"",IF(LEN(VLOOKUP($B35,Database!$B$1:$IX$10144,AK$22,FALSE))=0,"",VLOOKUP($B35,Database!$B$1:$IX$10144,AK$22,FALSE)))</f>
        <v>ns</v>
      </c>
      <c r="AL35" s="22">
        <f>IF(OR($B35="",AL$22=""),"",IF(LEN(VLOOKUP($B35,Database!$B$1:$IX$10144,AL$22,FALSE))=0,"",VLOOKUP($B35,Database!$B$1:$IX$10144,AL$22,FALSE)))</f>
        <v>25.3</v>
      </c>
      <c r="AM35" s="22">
        <f>IF(OR($B35="",AM$22=""),"",IF(LEN(VLOOKUP($B35,Database!$B$1:$IX$10144,AM$22,FALSE))=0,"",VLOOKUP($B35,Database!$B$1:$IX$10144,AM$22,FALSE)))</f>
        <v>0</v>
      </c>
      <c r="AN35" s="22">
        <f>IF(OR($B35="",AN$22=""),"",IF(LEN(VLOOKUP($B35,Database!$B$1:$IX$10144,AN$22,FALSE))=0,"",VLOOKUP($B35,Database!$B$1:$IX$10144,AN$22,FALSE)))</f>
        <v>0</v>
      </c>
      <c r="AO35" s="22">
        <f>IF(OR($B35="",AO$22=""),"",IF(LEN(VLOOKUP($B35,Database!$B$1:$IX$10144,AO$22,FALSE))=0,"",VLOOKUP($B35,Database!$B$1:$IX$10144,AO$22,FALSE)))</f>
        <v>0</v>
      </c>
      <c r="AP35" s="22" t="str">
        <f>IF(OR($B35="",AP$22=""),"",IF(LEN(VLOOKUP($B35,Database!$B$1:$IX$10144,AP$22,FALSE))=0,"",VLOOKUP($B35,Database!$B$1:$IX$10144,AP$22,FALSE)))</f>
        <v>ns</v>
      </c>
      <c r="AQ35" s="22" t="str">
        <f>IF(OR($B35="",AQ$22=""),"",IF(LEN(VLOOKUP($B35,Database!$B$1:$IX$10144,AQ$22,FALSE))=0,"",VLOOKUP($B35,Database!$B$1:$IX$10144,AQ$22,FALSE)))</f>
        <v>Colla M, Kronenberg G, Deuschle M, Meichel K, Hagen T, Bohrer M, Heuser I.</v>
      </c>
      <c r="AR35" s="13"/>
      <c r="BC35" s="23"/>
      <c r="BF35" s="136"/>
      <c r="BG35" s="136"/>
      <c r="BH35" s="136"/>
      <c r="BI35" s="136"/>
    </row>
    <row r="36" spans="1:61">
      <c r="B36">
        <v>16930719</v>
      </c>
      <c r="C36" s="1" t="str">
        <f>IF($B36="","",HYPERLINK(IF(LEN(VLOOKUP($B36,Database!$B$1:$IX$10144,2,FALSE))=0,"",VLOOKUP($B36,Database!$B$1:$IX$10144,2,FALSE))))</f>
        <v/>
      </c>
      <c r="D36" s="1" t="str">
        <f t="shared" si="0"/>
        <v>http://www.ncbi.nlm.nih.gov/pubmed/16930719</v>
      </c>
      <c r="E36" s="22" t="str">
        <f>IF($B36="","",IF(LEN(VLOOKUP($B36,Database!$B$1:$IX$10144,4,FALSE))=0,"",VLOOKUP($B36,Database!$B$1:$IX$10144,4,FALSE)))</f>
        <v>Hickie IB (A)</v>
      </c>
      <c r="F36" s="22">
        <f>IF($B36="","",IF(LEN(VLOOKUP($B36,Database!$B$1:$IX$10144,5,FALSE))=0,"",VLOOKUP($B36,Database!$B$1:$IX$10144,5,FALSE)))</f>
        <v>2007</v>
      </c>
      <c r="G36" s="1" t="str">
        <f>IF($B36="","",HYPERLINK(IF(LEN(VLOOKUP($B36,Database!$B$1:$IX$10144,6,FALSE))=0,"",VLOOKUP($B36,Database!$B$1:$IX$10144,6,FALSE))))</f>
        <v>http://dx.doi.org/10.1016/j.jad.2006.07.010</v>
      </c>
      <c r="H36" s="22">
        <f>IF($B36="","",IF(LEN(VLOOKUP($B36,Database!$B$1:$IX$10144,7,FALSE))=0,"",VLOOKUP($B36,Database!$B$1:$IX$10144,7,FALSE)))</f>
        <v>45</v>
      </c>
      <c r="I36" s="22">
        <f>IF($B36="","",IF(LEN(VLOOKUP($B36,Database!$B$1:$IX$10144,8,FALSE))=0,"",VLOOKUP($B36,Database!$B$1:$IX$10144,8,FALSE)))</f>
        <v>16</v>
      </c>
      <c r="J36" t="s">
        <v>1545</v>
      </c>
      <c r="T36">
        <v>1272.3</v>
      </c>
      <c r="U36">
        <v>111.6</v>
      </c>
      <c r="V36">
        <v>1325.4</v>
      </c>
      <c r="W36">
        <v>118.5</v>
      </c>
      <c r="Y36" s="22" t="str">
        <f>IF(OR($B36="",Y$22=""),"",IF(LEN(VLOOKUP($B36,Database!$B$1:$IX$10144,Y$22,FALSE))=0,"",VLOOKUP($B36,Database!$B$1:$IX$10144,Y$22,FALSE)))</f>
        <v>DSM-IV</v>
      </c>
      <c r="Z36" s="22" t="str">
        <f>IF(OR($B36="",Z$22=""),"",IF(LEN(VLOOKUP($B36,Database!$B$1:$IX$10144,Z$22,FALSE))=0,"",VLOOKUP($B36,Database!$B$1:$IX$10144,Z$22,FALSE)))</f>
        <v>MRI</v>
      </c>
      <c r="AA36" s="22" t="str">
        <f>IF(OR($B36="",AA$22=""),"",IF(LEN(VLOOKUP($B36,Database!$B$1:$IX$10144,AA$22,FALSE))=0,"",VLOOKUP($B36,Database!$B$1:$IX$10144,AA$22,FALSE)))</f>
        <v/>
      </c>
      <c r="AB36" s="22">
        <f>IF(OR($B36="",AB$22=""),"",IF(LEN(VLOOKUP($B36,Database!$B$1:$IX$10144,AB$22,FALSE))=0,"",VLOOKUP($B36,Database!$B$1:$IX$10144,AB$22,FALSE)))</f>
        <v>52</v>
      </c>
      <c r="AC36" s="22">
        <f>IF(OR($B36="",AC$22=""),"",IF(LEN(VLOOKUP($B36,Database!$B$1:$IX$10144,AC$22,FALSE))=0,"",VLOOKUP($B36,Database!$B$1:$IX$10144,AC$22,FALSE)))</f>
        <v>12.8</v>
      </c>
      <c r="AD36" s="22">
        <f>IF(OR($B36="",AD$22=""),"",IF(LEN(VLOOKUP($B36,Database!$B$1:$IX$10144,AD$22,FALSE))=0,"",VLOOKUP($B36,Database!$B$1:$IX$10144,AD$22,FALSE)))</f>
        <v>55.8</v>
      </c>
      <c r="AE36" s="22">
        <f>IF(OR($B36="",AE$22=""),"",IF(LEN(VLOOKUP($B36,Database!$B$1:$IX$10144,AE$22,FALSE))=0,"",VLOOKUP($B36,Database!$B$1:$IX$10144,AE$22,FALSE)))</f>
        <v>10.3</v>
      </c>
      <c r="AF36" s="22">
        <f>IF(OR($B36="",AF$22=""),"",IF(LEN(VLOOKUP($B36,Database!$B$1:$IX$10144,AF$22,FALSE))=0,"",VLOOKUP($B36,Database!$B$1:$IX$10144,AF$22,FALSE)))</f>
        <v>30</v>
      </c>
      <c r="AG36" s="22">
        <f>IF(OR($B36="",AG$22=""),"",IF(LEN(VLOOKUP($B36,Database!$B$1:$IX$10144,AG$22,FALSE))=0,"",VLOOKUP($B36,Database!$B$1:$IX$10144,AG$22,FALSE)))</f>
        <v>9</v>
      </c>
      <c r="AH36" s="22">
        <f>IF(OR($B36="",AH$22=""),"",IF(LEN(VLOOKUP($B36,Database!$B$1:$IX$10144,AH$22,FALSE))=0,"",VLOOKUP($B36,Database!$B$1:$IX$10144,AH$22,FALSE)))</f>
        <v>1.5</v>
      </c>
      <c r="AI36" s="22">
        <f>IF(OR($B36="",AI$22=""),"",IF(LEN(VLOOKUP($B36,Database!$B$1:$IX$10144,AI$22,FALSE))=0,"",VLOOKUP($B36,Database!$B$1:$IX$10144,AI$22,FALSE)))</f>
        <v>1.5</v>
      </c>
      <c r="AJ36" s="22" t="str">
        <f>IF(OR($B36="",AJ$22=""),"",IF(LEN(VLOOKUP($B36,Database!$B$1:$IX$10144,AJ$22,FALSE))=0,"",VLOOKUP($B36,Database!$B$1:$IX$10144,AJ$22,FALSE)))</f>
        <v/>
      </c>
      <c r="AK36" s="22">
        <f>IF(OR($B36="",AK$22=""),"",IF(LEN(VLOOKUP($B36,Database!$B$1:$IX$10144,AK$22,FALSE))=0,"",VLOOKUP($B36,Database!$B$1:$IX$10144,AK$22,FALSE)))</f>
        <v>36.1</v>
      </c>
      <c r="AL36" s="22">
        <f>IF(OR($B36="",AL$22=""),"",IF(LEN(VLOOKUP($B36,Database!$B$1:$IX$10144,AL$22,FALSE))=0,"",VLOOKUP($B36,Database!$B$1:$IX$10144,AL$22,FALSE)))</f>
        <v>26.8</v>
      </c>
      <c r="AM36" s="22">
        <f>IF(OR($B36="",AM$22=""),"",IF(LEN(VLOOKUP($B36,Database!$B$1:$IX$10144,AM$22,FALSE))=0,"",VLOOKUP($B36,Database!$B$1:$IX$10144,AM$22,FALSE)))</f>
        <v>64.444444444444443</v>
      </c>
      <c r="AN36" s="22" t="str">
        <f>IF(OR($B36="",AN$22=""),"",IF(LEN(VLOOKUP($B36,Database!$B$1:$IX$10144,AN$22,FALSE))=0,"",VLOOKUP($B36,Database!$B$1:$IX$10144,AN$22,FALSE)))</f>
        <v>ns</v>
      </c>
      <c r="AO36" s="22" t="str">
        <f>IF(OR($B36="",AO$22=""),"",IF(LEN(VLOOKUP($B36,Database!$B$1:$IX$10144,AO$22,FALSE))=0,"",VLOOKUP($B36,Database!$B$1:$IX$10144,AO$22,FALSE)))</f>
        <v>ns</v>
      </c>
      <c r="AP36" s="22" t="str">
        <f>IF(OR($B36="",AP$22=""),"",IF(LEN(VLOOKUP($B36,Database!$B$1:$IX$10144,AP$22,FALSE))=0,"",VLOOKUP($B36,Database!$B$1:$IX$10144,AP$22,FALSE)))</f>
        <v>ns</v>
      </c>
      <c r="AQ36" s="22" t="str">
        <f>IF(OR($B36="",AQ$22=""),"",IF(LEN(VLOOKUP($B36,Database!$B$1:$IX$10144,AQ$22,FALSE))=0,"",VLOOKUP($B36,Database!$B$1:$IX$10144,AQ$22,FALSE)))</f>
        <v>Hickie IB, Naismith SL, Ward PB, Scott EM, Mitchell PB, Schofield PR, Scimone A, Wilhelm K, Parker G.</v>
      </c>
      <c r="AR36" s="13"/>
      <c r="BC36" s="23"/>
      <c r="BF36" s="136"/>
      <c r="BG36" s="136"/>
      <c r="BH36" s="136"/>
      <c r="BI36" s="136"/>
    </row>
    <row r="37" spans="1:61">
      <c r="A37" t="s">
        <v>713</v>
      </c>
      <c r="B37">
        <v>17604352</v>
      </c>
      <c r="C37" s="1" t="str">
        <f>IF($B37="","",HYPERLINK(IF(LEN(VLOOKUP($B37,Database!$B$1:$IX$10144,2,FALSE))=0,"",VLOOKUP($B37,Database!$B$1:$IX$10144,2,FALSE))))</f>
        <v/>
      </c>
      <c r="D37" s="1" t="str">
        <f t="shared" si="0"/>
        <v>http://www.ncbi.nlm.nih.gov/pubmed/17604352</v>
      </c>
      <c r="E37" s="22" t="str">
        <f>IF($B37="","",IF(LEN(VLOOKUP($B37,Database!$B$1:$IX$10144,4,FALSE))=0,"",VLOOKUP($B37,Database!$B$1:$IX$10144,4,FALSE)))</f>
        <v>Maller JJ</v>
      </c>
      <c r="F37" s="22">
        <f>IF($B37="","",IF(LEN(VLOOKUP($B37,Database!$B$1:$IX$10144,5,FALSE))=0,"",VLOOKUP($B37,Database!$B$1:$IX$10144,5,FALSE)))</f>
        <v>2007</v>
      </c>
      <c r="G37" s="1" t="str">
        <f>IF($B37="","",HYPERLINK(IF(LEN(VLOOKUP($B37,Database!$B$1:$IX$10144,6,FALSE))=0,"",VLOOKUP($B37,Database!$B$1:$IX$10144,6,FALSE))))</f>
        <v>http://dx.doi.org/10.1002/hipo.20339</v>
      </c>
      <c r="H37" s="83">
        <v>22</v>
      </c>
      <c r="I37" s="83">
        <v>13</v>
      </c>
      <c r="J37" t="s">
        <v>2007</v>
      </c>
      <c r="K37" s="2" t="s">
        <v>1606</v>
      </c>
      <c r="T37">
        <v>1.5640000000000001</v>
      </c>
      <c r="U37">
        <v>8.3299999999999999E-2</v>
      </c>
      <c r="V37">
        <v>1.488</v>
      </c>
      <c r="W37">
        <v>0.13500000000000001</v>
      </c>
      <c r="X37" s="2"/>
      <c r="Y37" s="22" t="str">
        <f>IF(OR($B37="",Y$22=""),"",IF(LEN(VLOOKUP($B37,Database!$B$1:$IX$10144,Y$22,FALSE))=0,"",VLOOKUP($B37,Database!$B$1:$IX$10144,Y$22,FALSE)))</f>
        <v>DSM-IV</v>
      </c>
      <c r="Z37" s="22" t="str">
        <f>IF(OR($B37="",Z$22=""),"",IF(LEN(VLOOKUP($B37,Database!$B$1:$IX$10144,Z$22,FALSE))=0,"",VLOOKUP($B37,Database!$B$1:$IX$10144,Z$22,FALSE)))</f>
        <v>MRI</v>
      </c>
      <c r="AA37" s="22" t="str">
        <f>IF(OR($B37="",AA$22=""),"",IF(LEN(VLOOKUP($B37,Database!$B$1:$IX$10144,AA$22,FALSE))=0,"",VLOOKUP($B37,Database!$B$1:$IX$10144,AA$22,FALSE)))</f>
        <v/>
      </c>
      <c r="AB37" s="83">
        <v>37.29</v>
      </c>
      <c r="AC37" s="83">
        <v>8.76</v>
      </c>
      <c r="AD37" s="83">
        <v>39.29</v>
      </c>
      <c r="AE37" s="83">
        <v>12.67</v>
      </c>
      <c r="AF37" s="83">
        <v>0</v>
      </c>
      <c r="AG37" s="83">
        <v>0</v>
      </c>
      <c r="AH37" s="22">
        <f>IF(OR($B37="",AH$22=""),"",IF(LEN(VLOOKUP($B37,Database!$B$1:$IX$10144,AH$22,FALSE))=0,"",VLOOKUP($B37,Database!$B$1:$IX$10144,AH$22,FALSE)))</f>
        <v>1.5</v>
      </c>
      <c r="AI37" s="22">
        <f>IF(OR($B37="",AI$22=""),"",IF(LEN(VLOOKUP($B37,Database!$B$1:$IX$10144,AI$22,FALSE))=0,"",VLOOKUP($B37,Database!$B$1:$IX$10144,AI$22,FALSE)))</f>
        <v>0.94</v>
      </c>
      <c r="AJ37" s="22" t="str">
        <f>IF(OR($B37="",AJ$22=""),"",IF(LEN(VLOOKUP($B37,Database!$B$1:$IX$10144,AJ$22,FALSE))=0,"",VLOOKUP($B37,Database!$B$1:$IX$10144,AJ$22,FALSE)))</f>
        <v/>
      </c>
      <c r="AK37" s="22" t="str">
        <f>IF(OR($B37="",AK$22=""),"",IF(LEN(VLOOKUP($B37,Database!$B$1:$IX$10144,AK$22,FALSE))=0,"",VLOOKUP($B37,Database!$B$1:$IX$10144,AK$22,FALSE)))</f>
        <v>ns</v>
      </c>
      <c r="AL37" s="22" t="str">
        <f>IF(OR($B37="",AL$22=""),"",IF(LEN(VLOOKUP($B37,Database!$B$1:$IX$10144,AL$22,FALSE))=0,"",VLOOKUP($B37,Database!$B$1:$IX$10144,AL$22,FALSE)))</f>
        <v>ns</v>
      </c>
      <c r="AM37" s="22" t="str">
        <f>IF(OR($B37="",AM$22=""),"",IF(LEN(VLOOKUP($B37,Database!$B$1:$IX$10144,AM$22,FALSE))=0,"",VLOOKUP($B37,Database!$B$1:$IX$10144,AM$22,FALSE)))</f>
        <v>ns</v>
      </c>
      <c r="AN37" s="22" t="str">
        <f>IF(OR($B37="",AN$22=""),"",IF(LEN(VLOOKUP($B37,Database!$B$1:$IX$10144,AN$22,FALSE))=0,"",VLOOKUP($B37,Database!$B$1:$IX$10144,AN$22,FALSE)))</f>
        <v>ns</v>
      </c>
      <c r="AO37" s="22" t="str">
        <f>IF(OR($B37="",AO$22=""),"",IF(LEN(VLOOKUP($B37,Database!$B$1:$IX$10144,AO$22,FALSE))=0,"",VLOOKUP($B37,Database!$B$1:$IX$10144,AO$22,FALSE)))</f>
        <v>ns</v>
      </c>
      <c r="AP37" s="22" t="str">
        <f>IF(OR($B37="",AP$22=""),"",IF(LEN(VLOOKUP($B37,Database!$B$1:$IX$10144,AP$22,FALSE))=0,"",VLOOKUP($B37,Database!$B$1:$IX$10144,AP$22,FALSE)))</f>
        <v>ns</v>
      </c>
      <c r="AQ37" s="22" t="str">
        <f>IF(OR($B37="",AQ$22=""),"",IF(LEN(VLOOKUP($B37,Database!$B$1:$IX$10144,AQ$22,FALSE))=0,"",VLOOKUP($B37,Database!$B$1:$IX$10144,AQ$22,FALSE)))</f>
        <v>Maller JJ, Daskalakis ZJ, Fitzgerald PB.</v>
      </c>
      <c r="AR37" s="13"/>
      <c r="AU37" s="13"/>
      <c r="BC37" s="23"/>
      <c r="BF37" s="136"/>
      <c r="BG37" s="136"/>
      <c r="BH37" s="136"/>
      <c r="BI37" s="136"/>
    </row>
    <row r="38" spans="1:61">
      <c r="A38" t="s">
        <v>713</v>
      </c>
      <c r="B38">
        <v>17604352</v>
      </c>
      <c r="C38" s="1" t="str">
        <f>IF($B38="","",HYPERLINK(IF(LEN(VLOOKUP($B38,Database!$B$1:$IX$10144,2,FALSE))=0,"",VLOOKUP($B38,Database!$B$1:$IX$10144,2,FALSE))))</f>
        <v/>
      </c>
      <c r="D38" s="1" t="str">
        <f t="shared" si="0"/>
        <v>http://www.ncbi.nlm.nih.gov/pubmed/17604352</v>
      </c>
      <c r="E38" s="22" t="str">
        <f>IF($B38="","",IF(LEN(VLOOKUP($B38,Database!$B$1:$IX$10144,4,FALSE))=0,"",VLOOKUP($B38,Database!$B$1:$IX$10144,4,FALSE)))</f>
        <v>Maller JJ</v>
      </c>
      <c r="F38" s="22">
        <f>IF($B38="","",IF(LEN(VLOOKUP($B38,Database!$B$1:$IX$10144,5,FALSE))=0,"",VLOOKUP($B38,Database!$B$1:$IX$10144,5,FALSE)))</f>
        <v>2007</v>
      </c>
      <c r="G38" s="1" t="str">
        <f>IF($B38="","",HYPERLINK(IF(LEN(VLOOKUP($B38,Database!$B$1:$IX$10144,6,FALSE))=0,"",VLOOKUP($B38,Database!$B$1:$IX$10144,6,FALSE))))</f>
        <v>http://dx.doi.org/10.1002/hipo.20339</v>
      </c>
      <c r="H38" s="83">
        <v>23</v>
      </c>
      <c r="I38" s="83">
        <v>17</v>
      </c>
      <c r="J38" t="s">
        <v>2007</v>
      </c>
      <c r="K38" s="13" t="s">
        <v>1368</v>
      </c>
      <c r="T38">
        <v>1.39</v>
      </c>
      <c r="U38">
        <v>9.5500000000000002E-2</v>
      </c>
      <c r="V38">
        <v>1.446</v>
      </c>
      <c r="W38">
        <v>0.11269999999999999</v>
      </c>
      <c r="X38" s="2"/>
      <c r="Y38" s="22" t="str">
        <f>IF(OR($B38="",Y$22=""),"",IF(LEN(VLOOKUP($B38,Database!$B$1:$IX$10144,Y$22,FALSE))=0,"",VLOOKUP($B38,Database!$B$1:$IX$10144,Y$22,FALSE)))</f>
        <v>DSM-IV</v>
      </c>
      <c r="Z38" s="22" t="str">
        <f>IF(OR($B38="",Z$22=""),"",IF(LEN(VLOOKUP($B38,Database!$B$1:$IX$10144,Z$22,FALSE))=0,"",VLOOKUP($B38,Database!$B$1:$IX$10144,Z$22,FALSE)))</f>
        <v>MRI</v>
      </c>
      <c r="AA38" s="22" t="str">
        <f>IF(OR($B38="",AA$22=""),"",IF(LEN(VLOOKUP($B38,Database!$B$1:$IX$10144,AA$22,FALSE))=0,"",VLOOKUP($B38,Database!$B$1:$IX$10144,AA$22,FALSE)))</f>
        <v/>
      </c>
      <c r="AB38" s="83">
        <v>37.47</v>
      </c>
      <c r="AC38" s="83">
        <v>12.96</v>
      </c>
      <c r="AD38" s="83">
        <v>35.67</v>
      </c>
      <c r="AE38" s="83">
        <v>11.03</v>
      </c>
      <c r="AF38" s="83">
        <f>IF(OR($B38="",AF$22=""),"",IF(LEN(VLOOKUP($B38,Database!$B$1:$IX$10144,AF$22,FALSE))=0,"",VLOOKUP($B38,Database!$B$1:$IX$10144,AF$22,FALSE)))</f>
        <v>23</v>
      </c>
      <c r="AG38" s="83">
        <f>IF(OR($B38="",AG$22=""),"",IF(LEN(VLOOKUP($B38,Database!$B$1:$IX$10144,AG$22,FALSE))=0,"",VLOOKUP($B38,Database!$B$1:$IX$10144,AG$22,FALSE)))</f>
        <v>17</v>
      </c>
      <c r="AH38" s="22">
        <f>IF(OR($B38="",AH$22=""),"",IF(LEN(VLOOKUP($B38,Database!$B$1:$IX$10144,AH$22,FALSE))=0,"",VLOOKUP($B38,Database!$B$1:$IX$10144,AH$22,FALSE)))</f>
        <v>1.5</v>
      </c>
      <c r="AI38" s="22">
        <f>IF(OR($B38="",AI$22=""),"",IF(LEN(VLOOKUP($B38,Database!$B$1:$IX$10144,AI$22,FALSE))=0,"",VLOOKUP($B38,Database!$B$1:$IX$10144,AI$22,FALSE)))</f>
        <v>0.94</v>
      </c>
      <c r="AJ38" s="22" t="str">
        <f>IF(OR($B38="",AJ$22=""),"",IF(LEN(VLOOKUP($B38,Database!$B$1:$IX$10144,AJ$22,FALSE))=0,"",VLOOKUP($B38,Database!$B$1:$IX$10144,AJ$22,FALSE)))</f>
        <v/>
      </c>
      <c r="AK38" s="22" t="str">
        <f>IF(OR($B38="",AK$22=""),"",IF(LEN(VLOOKUP($B38,Database!$B$1:$IX$10144,AK$22,FALSE))=0,"",VLOOKUP($B38,Database!$B$1:$IX$10144,AK$22,FALSE)))</f>
        <v>ns</v>
      </c>
      <c r="AL38" s="22" t="str">
        <f>IF(OR($B38="",AL$22=""),"",IF(LEN(VLOOKUP($B38,Database!$B$1:$IX$10144,AL$22,FALSE))=0,"",VLOOKUP($B38,Database!$B$1:$IX$10144,AL$22,FALSE)))</f>
        <v>ns</v>
      </c>
      <c r="AM38" s="22" t="str">
        <f>IF(OR($B38="",AM$22=""),"",IF(LEN(VLOOKUP($B38,Database!$B$1:$IX$10144,AM$22,FALSE))=0,"",VLOOKUP($B38,Database!$B$1:$IX$10144,AM$22,FALSE)))</f>
        <v>ns</v>
      </c>
      <c r="AN38" s="22" t="str">
        <f>IF(OR($B38="",AN$22=""),"",IF(LEN(VLOOKUP($B38,Database!$B$1:$IX$10144,AN$22,FALSE))=0,"",VLOOKUP($B38,Database!$B$1:$IX$10144,AN$22,FALSE)))</f>
        <v>ns</v>
      </c>
      <c r="AO38" s="22" t="str">
        <f>IF(OR($B38="",AO$22=""),"",IF(LEN(VLOOKUP($B38,Database!$B$1:$IX$10144,AO$22,FALSE))=0,"",VLOOKUP($B38,Database!$B$1:$IX$10144,AO$22,FALSE)))</f>
        <v>ns</v>
      </c>
      <c r="AP38" s="22" t="str">
        <f>IF(OR($B38="",AP$22=""),"",IF(LEN(VLOOKUP($B38,Database!$B$1:$IX$10144,AP$22,FALSE))=0,"",VLOOKUP($B38,Database!$B$1:$IX$10144,AP$22,FALSE)))</f>
        <v>ns</v>
      </c>
      <c r="AQ38" s="22" t="str">
        <f>IF(OR($B38="",AQ$22=""),"",IF(LEN(VLOOKUP($B38,Database!$B$1:$IX$10144,AQ$22,FALSE))=0,"",VLOOKUP($B38,Database!$B$1:$IX$10144,AQ$22,FALSE)))</f>
        <v>Maller JJ, Daskalakis ZJ, Fitzgerald PB.</v>
      </c>
      <c r="AR38" s="13"/>
      <c r="AU38" s="13"/>
      <c r="BC38" s="23"/>
      <c r="BF38" s="136"/>
      <c r="BG38" s="136"/>
      <c r="BH38" s="136"/>
      <c r="BI38" s="136"/>
    </row>
    <row r="39" spans="1:61">
      <c r="B39">
        <v>18414838</v>
      </c>
      <c r="C39" s="1" t="str">
        <f>IF($B39="","",HYPERLINK(IF(LEN(VLOOKUP($B39,Database!$B$1:$IX$10144,2,FALSE))=0,"",VLOOKUP($B39,Database!$B$1:$IX$10144,2,FALSE))))</f>
        <v/>
      </c>
      <c r="D39" s="1" t="str">
        <f t="shared" si="0"/>
        <v>http://www.ncbi.nlm.nih.gov/pubmed/18414838</v>
      </c>
      <c r="E39" s="22" t="str">
        <f>IF($B39="","",IF(LEN(VLOOKUP($B39,Database!$B$1:$IX$10144,4,FALSE))=0,"",VLOOKUP($B39,Database!$B$1:$IX$10144,4,FALSE)))</f>
        <v>Tae WS</v>
      </c>
      <c r="F39" s="22">
        <f>IF($B39="","",IF(LEN(VLOOKUP($B39,Database!$B$1:$IX$10144,5,FALSE))=0,"",VLOOKUP($B39,Database!$B$1:$IX$10144,5,FALSE)))</f>
        <v>2008</v>
      </c>
      <c r="G39" s="1" t="str">
        <f>IF($B39="","",HYPERLINK(IF(LEN(VLOOKUP($B39,Database!$B$1:$IX$10144,6,FALSE))=0,"",VLOOKUP($B39,Database!$B$1:$IX$10144,6,FALSE))))</f>
        <v>http://dx.doi.org/10.1007/s00234-008-0383-9</v>
      </c>
      <c r="H39" s="22">
        <f>IF($B39="","",IF(LEN(VLOOKUP($B39,Database!$B$1:$IX$10144,7,FALSE))=0,"",VLOOKUP($B39,Database!$B$1:$IX$10144,7,FALSE)))</f>
        <v>21</v>
      </c>
      <c r="I39" s="22">
        <f>IF($B39="","",IF(LEN(VLOOKUP($B39,Database!$B$1:$IX$10144,8,FALSE))=0,"",VLOOKUP($B39,Database!$B$1:$IX$10144,8,FALSE)))</f>
        <v>20</v>
      </c>
      <c r="J39" t="s">
        <v>646</v>
      </c>
      <c r="T39">
        <v>1393.6</v>
      </c>
      <c r="U39">
        <v>170.84</v>
      </c>
      <c r="V39">
        <v>1397</v>
      </c>
      <c r="W39">
        <v>123.52</v>
      </c>
      <c r="Y39" s="22" t="str">
        <f>IF(OR($B39="",Y$22=""),"",IF(LEN(VLOOKUP($B39,Database!$B$1:$IX$10144,Y$22,FALSE))=0,"",VLOOKUP($B39,Database!$B$1:$IX$10144,Y$22,FALSE)))</f>
        <v>DSM-IV</v>
      </c>
      <c r="Z39" s="22" t="str">
        <f>IF(OR($B39="",Z$22=""),"",IF(LEN(VLOOKUP($B39,Database!$B$1:$IX$10144,Z$22,FALSE))=0,"",VLOOKUP($B39,Database!$B$1:$IX$10144,Z$22,FALSE)))</f>
        <v>MRI</v>
      </c>
      <c r="AA39" s="22" t="str">
        <f>IF(OR($B39="",AA$22=""),"",IF(LEN(VLOOKUP($B39,Database!$B$1:$IX$10144,AA$22,FALSE))=0,"",VLOOKUP($B39,Database!$B$1:$IX$10144,AA$22,FALSE)))</f>
        <v/>
      </c>
      <c r="AB39" s="22">
        <f>IF(OR($B39="",AB$22=""),"",IF(LEN(VLOOKUP($B39,Database!$B$1:$IX$10144,AB$22,FALSE))=0,"",VLOOKUP($B39,Database!$B$1:$IX$10144,AB$22,FALSE)))</f>
        <v>41.7</v>
      </c>
      <c r="AC39" s="22">
        <f>IF(OR($B39="",AC$22=""),"",IF(LEN(VLOOKUP($B39,Database!$B$1:$IX$10144,AC$22,FALSE))=0,"",VLOOKUP($B39,Database!$B$1:$IX$10144,AC$22,FALSE)))</f>
        <v>11</v>
      </c>
      <c r="AD39" s="22">
        <f>IF(OR($B39="",AD$22=""),"",IF(LEN(VLOOKUP($B39,Database!$B$1:$IX$10144,AD$22,FALSE))=0,"",VLOOKUP($B39,Database!$B$1:$IX$10144,AD$22,FALSE)))</f>
        <v>41.9</v>
      </c>
      <c r="AE39" s="22">
        <f>IF(OR($B39="",AE$22=""),"",IF(LEN(VLOOKUP($B39,Database!$B$1:$IX$10144,AE$22,FALSE))=0,"",VLOOKUP($B39,Database!$B$1:$IX$10144,AE$22,FALSE)))</f>
        <v>10.26</v>
      </c>
      <c r="AF39" s="22">
        <f>IF(OR($B39="",AF$22=""),"",IF(LEN(VLOOKUP($B39,Database!$B$1:$IX$10144,AF$22,FALSE))=0,"",VLOOKUP($B39,Database!$B$1:$IX$10144,AF$22,FALSE)))</f>
        <v>21</v>
      </c>
      <c r="AG39" s="22">
        <f>IF(OR($B39="",AG$22=""),"",IF(LEN(VLOOKUP($B39,Database!$B$1:$IX$10144,AG$22,FALSE))=0,"",VLOOKUP($B39,Database!$B$1:$IX$10144,AG$22,FALSE)))</f>
        <v>20</v>
      </c>
      <c r="AH39" s="22">
        <f>IF(OR($B39="",AH$22=""),"",IF(LEN(VLOOKUP($B39,Database!$B$1:$IX$10144,AH$22,FALSE))=0,"",VLOOKUP($B39,Database!$B$1:$IX$10144,AH$22,FALSE)))</f>
        <v>1.5</v>
      </c>
      <c r="AI39" s="22">
        <f>IF(OR($B39="",AI$22=""),"",IF(LEN(VLOOKUP($B39,Database!$B$1:$IX$10144,AI$22,FALSE))=0,"",VLOOKUP($B39,Database!$B$1:$IX$10144,AI$22,FALSE)))</f>
        <v>1.3</v>
      </c>
      <c r="AJ39" s="22" t="str">
        <f>IF(OR($B39="",AJ$22=""),"",IF(LEN(VLOOKUP($B39,Database!$B$1:$IX$10144,AJ$22,FALSE))=0,"",VLOOKUP($B39,Database!$B$1:$IX$10144,AJ$22,FALSE)))</f>
        <v/>
      </c>
      <c r="AK39" s="22">
        <f>IF(OR($B39="",AK$22=""),"",IF(LEN(VLOOKUP($B39,Database!$B$1:$IX$10144,AK$22,FALSE))=0,"",VLOOKUP($B39,Database!$B$1:$IX$10144,AK$22,FALSE)))</f>
        <v>33.200000000000003</v>
      </c>
      <c r="AL39" s="22" t="str">
        <f>IF(OR($B39="",AL$22=""),"",IF(LEN(VLOOKUP($B39,Database!$B$1:$IX$10144,AL$22,FALSE))=0,"",VLOOKUP($B39,Database!$B$1:$IX$10144,AL$22,FALSE)))</f>
        <v>ns</v>
      </c>
      <c r="AM39" s="22">
        <f>IF(OR($B39="",AM$22=""),"",IF(LEN(VLOOKUP($B39,Database!$B$1:$IX$10144,AM$22,FALSE))=0,"",VLOOKUP($B39,Database!$B$1:$IX$10144,AM$22,FALSE)))</f>
        <v>100</v>
      </c>
      <c r="AN39" s="22">
        <f>IF(OR($B39="",AN$22=""),"",IF(LEN(VLOOKUP($B39,Database!$B$1:$IX$10144,AN$22,FALSE))=0,"",VLOOKUP($B39,Database!$B$1:$IX$10144,AN$22,FALSE)))</f>
        <v>0</v>
      </c>
      <c r="AO39" s="22">
        <f>IF(OR($B39="",AO$22=""),"",IF(LEN(VLOOKUP($B39,Database!$B$1:$IX$10144,AO$22,FALSE))=0,"",VLOOKUP($B39,Database!$B$1:$IX$10144,AO$22,FALSE)))</f>
        <v>0</v>
      </c>
      <c r="AP39" s="22">
        <f>IF(OR($B39="",AP$22=""),"",IF(LEN(VLOOKUP($B39,Database!$B$1:$IX$10144,AP$22,FALSE))=0,"",VLOOKUP($B39,Database!$B$1:$IX$10144,AP$22,FALSE)))</f>
        <v>0</v>
      </c>
      <c r="AQ39" s="22" t="str">
        <f>IF(OR($B39="",AQ$22=""),"",IF(LEN(VLOOKUP($B39,Database!$B$1:$IX$10144,AQ$22,FALSE))=0,"",VLOOKUP($B39,Database!$B$1:$IX$10144,AQ$22,FALSE)))</f>
        <v>Tae WS, Kim SS, Lee KU, Nam EC, Kim KW.</v>
      </c>
      <c r="AR39" s="13"/>
      <c r="BC39" s="23"/>
      <c r="BF39" s="136"/>
      <c r="BG39" s="136"/>
      <c r="BH39" s="136"/>
      <c r="BI39" s="136"/>
    </row>
    <row r="40" spans="1:61">
      <c r="B40">
        <v>18573301</v>
      </c>
      <c r="C40" s="1" t="str">
        <f>IF($B40="","",HYPERLINK(IF(LEN(VLOOKUP($B40,Database!$B$1:$IX$10144,2,FALSE))=0,"",VLOOKUP($B40,Database!$B$1:$IX$10144,2,FALSE))))</f>
        <v/>
      </c>
      <c r="D40" s="1" t="str">
        <f t="shared" si="0"/>
        <v>http://www.ncbi.nlm.nih.gov/pubmed/18573301</v>
      </c>
      <c r="E40" s="22" t="str">
        <f>IF($B40="","",IF(LEN(VLOOKUP($B40,Database!$B$1:$IX$10144,4,FALSE))=0,"",VLOOKUP($B40,Database!$B$1:$IX$10144,4,FALSE)))</f>
        <v>Eker C</v>
      </c>
      <c r="F40" s="22">
        <f>IF($B40="","",IF(LEN(VLOOKUP($B40,Database!$B$1:$IX$10144,5,FALSE))=0,"",VLOOKUP($B40,Database!$B$1:$IX$10144,5,FALSE)))</f>
        <v>2008</v>
      </c>
      <c r="G40" s="1" t="str">
        <f>IF($B40="","",HYPERLINK(IF(LEN(VLOOKUP($B40,Database!$B$1:$IX$10144,6,FALSE))=0,"",VLOOKUP($B40,Database!$B$1:$IX$10144,6,FALSE))))</f>
        <v>http://dx.doi.org/10.1016/j.pnpbp.2008.05.023</v>
      </c>
      <c r="H40" s="22">
        <f>IF($B40="","",IF(LEN(VLOOKUP($B40,Database!$B$1:$IX$10144,7,FALSE))=0,"",VLOOKUP($B40,Database!$B$1:$IX$10144,7,FALSE)))</f>
        <v>34</v>
      </c>
      <c r="I40" s="22">
        <f>IF($B40="","",IF(LEN(VLOOKUP($B40,Database!$B$1:$IX$10144,8,FALSE))=0,"",VLOOKUP($B40,Database!$B$1:$IX$10144,8,FALSE)))</f>
        <v>39</v>
      </c>
      <c r="J40" t="s">
        <v>1455</v>
      </c>
      <c r="T40">
        <v>1438.8</v>
      </c>
      <c r="U40">
        <v>155</v>
      </c>
      <c r="V40">
        <v>1494.6</v>
      </c>
      <c r="W40">
        <v>137.30000000000001</v>
      </c>
      <c r="Y40" s="22" t="str">
        <f>IF(OR($B40="",Y$22=""),"",IF(LEN(VLOOKUP($B40,Database!$B$1:$IX$10144,Y$22,FALSE))=0,"",VLOOKUP($B40,Database!$B$1:$IX$10144,Y$22,FALSE)))</f>
        <v>DSM-IV</v>
      </c>
      <c r="Z40" s="22" t="str">
        <f>IF(OR($B40="",Z$22=""),"",IF(LEN(VLOOKUP($B40,Database!$B$1:$IX$10144,Z$22,FALSE))=0,"",VLOOKUP($B40,Database!$B$1:$IX$10144,Z$22,FALSE)))</f>
        <v>MRI</v>
      </c>
      <c r="AA40" s="22" t="str">
        <f>IF(OR($B40="",AA$22=""),"",IF(LEN(VLOOKUP($B40,Database!$B$1:$IX$10144,AA$22,FALSE))=0,"",VLOOKUP($B40,Database!$B$1:$IX$10144,AA$22,FALSE)))</f>
        <v/>
      </c>
      <c r="AB40" s="22">
        <f>IF(OR($B40="",AB$22=""),"",IF(LEN(VLOOKUP($B40,Database!$B$1:$IX$10144,AB$22,FALSE))=0,"",VLOOKUP($B40,Database!$B$1:$IX$10144,AB$22,FALSE)))</f>
        <v>31.7</v>
      </c>
      <c r="AC40" s="22">
        <f>IF(OR($B40="",AC$22=""),"",IF(LEN(VLOOKUP($B40,Database!$B$1:$IX$10144,AC$22,FALSE))=0,"",VLOOKUP($B40,Database!$B$1:$IX$10144,AC$22,FALSE)))</f>
        <v>8.4</v>
      </c>
      <c r="AD40" s="22">
        <f>IF(OR($B40="",AD$22=""),"",IF(LEN(VLOOKUP($B40,Database!$B$1:$IX$10144,AD$22,FALSE))=0,"",VLOOKUP($B40,Database!$B$1:$IX$10144,AD$22,FALSE)))</f>
        <v>30.4</v>
      </c>
      <c r="AE40" s="22">
        <f>IF(OR($B40="",AE$22=""),"",IF(LEN(VLOOKUP($B40,Database!$B$1:$IX$10144,AE$22,FALSE))=0,"",VLOOKUP($B40,Database!$B$1:$IX$10144,AE$22,FALSE)))</f>
        <v>6.8</v>
      </c>
      <c r="AF40" s="22">
        <f>IF(OR($B40="",AF$22=""),"",IF(LEN(VLOOKUP($B40,Database!$B$1:$IX$10144,AF$22,FALSE))=0,"",VLOOKUP($B40,Database!$B$1:$IX$10144,AF$22,FALSE)))</f>
        <v>26</v>
      </c>
      <c r="AG40" s="22">
        <f>IF(OR($B40="",AG$22=""),"",IF(LEN(VLOOKUP($B40,Database!$B$1:$IX$10144,AG$22,FALSE))=0,"",VLOOKUP($B40,Database!$B$1:$IX$10144,AG$22,FALSE)))</f>
        <v>29</v>
      </c>
      <c r="AH40" s="22">
        <f>IF(OR($B40="",AH$22=""),"",IF(LEN(VLOOKUP($B40,Database!$B$1:$IX$10144,AH$22,FALSE))=0,"",VLOOKUP($B40,Database!$B$1:$IX$10144,AH$22,FALSE)))</f>
        <v>1.5</v>
      </c>
      <c r="AI40" s="22">
        <f>IF(OR($B40="",AI$22=""),"",IF(LEN(VLOOKUP($B40,Database!$B$1:$IX$10144,AI$22,FALSE))=0,"",VLOOKUP($B40,Database!$B$1:$IX$10144,AI$22,FALSE)))</f>
        <v>2</v>
      </c>
      <c r="AJ40" s="22" t="str">
        <f>IF(OR($B40="",AJ$22=""),"",IF(LEN(VLOOKUP($B40,Database!$B$1:$IX$10144,AJ$22,FALSE))=0,"",VLOOKUP($B40,Database!$B$1:$IX$10144,AJ$22,FALSE)))</f>
        <v/>
      </c>
      <c r="AK40" s="22">
        <f>IF(OR($B40="",AK$22=""),"",IF(LEN(VLOOKUP($B40,Database!$B$1:$IX$10144,AK$22,FALSE))=0,"",VLOOKUP($B40,Database!$B$1:$IX$10144,AK$22,FALSE)))</f>
        <v>29</v>
      </c>
      <c r="AL40" s="22">
        <f>IF(OR($B40="",AL$22=""),"",IF(LEN(VLOOKUP($B40,Database!$B$1:$IX$10144,AL$22,FALSE))=0,"",VLOOKUP($B40,Database!$B$1:$IX$10144,AL$22,FALSE)))</f>
        <v>25.4</v>
      </c>
      <c r="AM40" s="22">
        <f>IF(OR($B40="",AM$22=""),"",IF(LEN(VLOOKUP($B40,Database!$B$1:$IX$10144,AM$22,FALSE))=0,"",VLOOKUP($B40,Database!$B$1:$IX$10144,AM$22,FALSE)))</f>
        <v>0</v>
      </c>
      <c r="AN40" s="22">
        <f>IF(OR($B40="",AN$22=""),"",IF(LEN(VLOOKUP($B40,Database!$B$1:$IX$10144,AN$22,FALSE))=0,"",VLOOKUP($B40,Database!$B$1:$IX$10144,AN$22,FALSE)))</f>
        <v>0</v>
      </c>
      <c r="AO40" s="22">
        <f>IF(OR($B40="",AO$22=""),"",IF(LEN(VLOOKUP($B40,Database!$B$1:$IX$10144,AO$22,FALSE))=0,"",VLOOKUP($B40,Database!$B$1:$IX$10144,AO$22,FALSE)))</f>
        <v>0</v>
      </c>
      <c r="AP40" s="22">
        <f>IF(OR($B40="",AP$22=""),"",IF(LEN(VLOOKUP($B40,Database!$B$1:$IX$10144,AP$22,FALSE))=0,"",VLOOKUP($B40,Database!$B$1:$IX$10144,AP$22,FALSE)))</f>
        <v>100</v>
      </c>
      <c r="AQ40" s="22" t="str">
        <f>IF(OR($B40="",AQ$22=""),"",IF(LEN(VLOOKUP($B40,Database!$B$1:$IX$10144,AQ$22,FALSE))=0,"",VLOOKUP($B40,Database!$B$1:$IX$10144,AQ$22,FALSE)))</f>
        <v>Eker C, Ovali GY, Ozan E, Eker OD, Kitis O, Coburn K, Gonul AS.</v>
      </c>
      <c r="AR40" s="13"/>
      <c r="BC40" s="23"/>
      <c r="BF40" s="136"/>
      <c r="BG40" s="136"/>
      <c r="BH40" s="136"/>
      <c r="BI40" s="136"/>
    </row>
    <row r="41" spans="1:61">
      <c r="B41">
        <v>18669941</v>
      </c>
      <c r="C41" s="1" t="str">
        <f>IF($B41="","",HYPERLINK(IF(LEN(VLOOKUP($B41,Database!$B$1:$IX$10144,2,FALSE))=0,"",VLOOKUP($B41,Database!$B$1:$IX$10144,2,FALSE))))</f>
        <v/>
      </c>
      <c r="D41" s="1" t="str">
        <f t="shared" si="0"/>
        <v>http://www.ncbi.nlm.nih.gov/pubmed/18669941</v>
      </c>
      <c r="E41" s="22" t="str">
        <f>IF($B41="","",IF(LEN(VLOOKUP($B41,Database!$B$1:$IX$10144,4,FALSE))=0,"",VLOOKUP($B41,Database!$B$1:$IX$10144,4,FALSE)))</f>
        <v>Elderkin-Thompson V (A)</v>
      </c>
      <c r="F41" s="22">
        <f>IF($B41="","",IF(LEN(VLOOKUP($B41,Database!$B$1:$IX$10144,5,FALSE))=0,"",VLOOKUP($B41,Database!$B$1:$IX$10144,5,FALSE)))</f>
        <v>2008</v>
      </c>
      <c r="G41" s="1" t="str">
        <f>IF($B41="","",HYPERLINK(IF(LEN(VLOOKUP($B41,Database!$B$1:$IX$10144,6,FALSE))=0,"",VLOOKUP($B41,Database!$B$1:$IX$10144,6,FALSE))))</f>
        <v>http://dx.doi.org/10.1097/JGP.0b013e3181794629</v>
      </c>
      <c r="H41" s="83">
        <v>18</v>
      </c>
      <c r="I41" s="83">
        <v>20.5</v>
      </c>
      <c r="J41" t="s">
        <v>1452</v>
      </c>
      <c r="K41" t="s">
        <v>647</v>
      </c>
      <c r="T41">
        <v>1285.32</v>
      </c>
      <c r="U41">
        <v>146.93</v>
      </c>
      <c r="V41">
        <v>1311.71</v>
      </c>
      <c r="W41">
        <v>152.96</v>
      </c>
      <c r="Y41" s="22" t="str">
        <f>IF(OR($B41="",Y$22=""),"",IF(LEN(VLOOKUP($B41,Database!$B$1:$IX$10144,Y$22,FALSE))=0,"",VLOOKUP($B41,Database!$B$1:$IX$10144,Y$22,FALSE)))</f>
        <v>DSM-IV</v>
      </c>
      <c r="Z41" s="22" t="str">
        <f>IF(OR($B41="",Z$22=""),"",IF(LEN(VLOOKUP($B41,Database!$B$1:$IX$10144,Z$22,FALSE))=0,"",VLOOKUP($B41,Database!$B$1:$IX$10144,Z$22,FALSE)))</f>
        <v>MRI</v>
      </c>
      <c r="AA41" s="22" t="str">
        <f>IF(OR($B41="",AA$22=""),"",IF(LEN(VLOOKUP($B41,Database!$B$1:$IX$10144,AA$22,FALSE))=0,"",VLOOKUP($B41,Database!$B$1:$IX$10144,AA$22,FALSE)))</f>
        <v/>
      </c>
      <c r="AB41" s="83">
        <v>67.44</v>
      </c>
      <c r="AC41" s="83">
        <v>5.87</v>
      </c>
      <c r="AD41" s="22">
        <f>IF(OR($B41="",AD$22=""),"",IF(LEN(VLOOKUP($B41,Database!$B$1:$IX$10144,AD$22,FALSE))=0,"",VLOOKUP($B41,Database!$B$1:$IX$10144,AD$22,FALSE)))</f>
        <v>72.2</v>
      </c>
      <c r="AE41" s="22">
        <f>IF(OR($B41="",AE$22=""),"",IF(LEN(VLOOKUP($B41,Database!$B$1:$IX$10144,AE$22,FALSE))=0,"",VLOOKUP($B41,Database!$B$1:$IX$10144,AE$22,FALSE)))</f>
        <v>7.27</v>
      </c>
      <c r="AF41" s="83">
        <v>15</v>
      </c>
      <c r="AG41" s="22">
        <f>IF(OR($B41="",AG$22=""),"",IF(LEN(VLOOKUP($B41,Database!$B$1:$IX$10144,AG$22,FALSE))=0,"",VLOOKUP($B41,Database!$B$1:$IX$10144,AG$22,FALSE)))</f>
        <v>20</v>
      </c>
      <c r="AH41" s="22">
        <f>IF(OR($B41="",AH$22=""),"",IF(LEN(VLOOKUP($B41,Database!$B$1:$IX$10144,AH$22,FALSE))=0,"",VLOOKUP($B41,Database!$B$1:$IX$10144,AH$22,FALSE)))</f>
        <v>1.5</v>
      </c>
      <c r="AI41" s="22">
        <f>IF(OR($B41="",AI$22=""),"",IF(LEN(VLOOKUP($B41,Database!$B$1:$IX$10144,AI$22,FALSE))=0,"",VLOOKUP($B41,Database!$B$1:$IX$10144,AI$22,FALSE)))</f>
        <v>1.4</v>
      </c>
      <c r="AJ41" s="22" t="str">
        <f>IF(OR($B41="",AJ$22=""),"",IF(LEN(VLOOKUP($B41,Database!$B$1:$IX$10144,AJ$22,FALSE))=0,"",VLOOKUP($B41,Database!$B$1:$IX$10144,AJ$22,FALSE)))</f>
        <v/>
      </c>
      <c r="AK41" s="214">
        <v>26.78</v>
      </c>
      <c r="AL41" s="214">
        <v>17.78</v>
      </c>
      <c r="AM41" s="22">
        <f>IF(OR($B41="",AM$22=""),"",IF(LEN(VLOOKUP($B41,Database!$B$1:$IX$10144,AM$22,FALSE))=0,"",VLOOKUP($B41,Database!$B$1:$IX$10144,AM$22,FALSE)))</f>
        <v>0</v>
      </c>
      <c r="AN41" s="22" t="str">
        <f>IF(OR($B41="",AN$22=""),"",IF(LEN(VLOOKUP($B41,Database!$B$1:$IX$10144,AN$22,FALSE))=0,"",VLOOKUP($B41,Database!$B$1:$IX$10144,AN$22,FALSE)))</f>
        <v>ns</v>
      </c>
      <c r="AO41" s="22">
        <f>IF(OR($B41="",AO$22=""),"",IF(LEN(VLOOKUP($B41,Database!$B$1:$IX$10144,AO$22,FALSE))=0,"",VLOOKUP($B41,Database!$B$1:$IX$10144,AO$22,FALSE)))</f>
        <v>0</v>
      </c>
      <c r="AP41" s="22" t="str">
        <f>IF(OR($B41="",AP$22=""),"",IF(LEN(VLOOKUP($B41,Database!$B$1:$IX$10144,AP$22,FALSE))=0,"",VLOOKUP($B41,Database!$B$1:$IX$10144,AP$22,FALSE)))</f>
        <v>ns</v>
      </c>
      <c r="AQ41" s="22" t="str">
        <f>IF(OR($B41="",AQ$22=""),"",IF(LEN(VLOOKUP($B41,Database!$B$1:$IX$10144,AQ$22,FALSE))=0,"",VLOOKUP($B41,Database!$B$1:$IX$10144,AQ$22,FALSE)))</f>
        <v>Elderkin-Thompson V, Ballmaier M, Hellemann G, Pham D, Lavretsky H, Kumar A.</v>
      </c>
      <c r="AR41" s="13"/>
      <c r="AU41" s="13"/>
      <c r="BC41" s="23"/>
      <c r="BF41" s="136"/>
      <c r="BG41" s="136"/>
      <c r="BH41" s="136"/>
      <c r="BI41" s="136"/>
    </row>
    <row r="42" spans="1:61">
      <c r="B42">
        <v>18669941</v>
      </c>
      <c r="C42" s="1" t="str">
        <f>IF($B42="","",HYPERLINK(IF(LEN(VLOOKUP($B42,Database!$B$1:$IX$10144,2,FALSE))=0,"",VLOOKUP($B42,Database!$B$1:$IX$10144,2,FALSE))))</f>
        <v/>
      </c>
      <c r="D42" s="1" t="str">
        <f t="shared" si="0"/>
        <v>http://www.ncbi.nlm.nih.gov/pubmed/18669941</v>
      </c>
      <c r="E42" s="22" t="str">
        <f>IF($B42="","",IF(LEN(VLOOKUP($B42,Database!$B$1:$IX$10144,4,FALSE))=0,"",VLOOKUP($B42,Database!$B$1:$IX$10144,4,FALSE)))</f>
        <v>Elderkin-Thompson V (A)</v>
      </c>
      <c r="F42" s="22">
        <f>IF($B42="","",IF(LEN(VLOOKUP($B42,Database!$B$1:$IX$10144,5,FALSE))=0,"",VLOOKUP($B42,Database!$B$1:$IX$10144,5,FALSE)))</f>
        <v>2008</v>
      </c>
      <c r="G42" s="1" t="str">
        <f>IF($B42="","",HYPERLINK(IF(LEN(VLOOKUP($B42,Database!$B$1:$IX$10144,6,FALSE))=0,"",VLOOKUP($B42,Database!$B$1:$IX$10144,6,FALSE))))</f>
        <v>http://dx.doi.org/10.1097/JGP.0b013e3181794629</v>
      </c>
      <c r="H42" s="83">
        <v>25</v>
      </c>
      <c r="I42" s="83">
        <v>20.5</v>
      </c>
      <c r="J42" t="s">
        <v>1452</v>
      </c>
      <c r="K42" t="s">
        <v>1065</v>
      </c>
      <c r="T42">
        <v>1294.07</v>
      </c>
      <c r="U42">
        <v>125.99</v>
      </c>
      <c r="V42">
        <v>1311.71</v>
      </c>
      <c r="W42">
        <v>152.96</v>
      </c>
      <c r="Y42" s="22" t="str">
        <f>IF(OR($B42="",Y$22=""),"",IF(LEN(VLOOKUP($B42,Database!$B$1:$IX$10144,Y$22,FALSE))=0,"",VLOOKUP($B42,Database!$B$1:$IX$10144,Y$22,FALSE)))</f>
        <v>DSM-IV</v>
      </c>
      <c r="Z42" s="22" t="str">
        <f>IF(OR($B42="",Z$22=""),"",IF(LEN(VLOOKUP($B42,Database!$B$1:$IX$10144,Z$22,FALSE))=0,"",VLOOKUP($B42,Database!$B$1:$IX$10144,Z$22,FALSE)))</f>
        <v>MRI</v>
      </c>
      <c r="AA42" s="22" t="str">
        <f>IF(OR($B42="",AA$22=""),"",IF(LEN(VLOOKUP($B42,Database!$B$1:$IX$10144,AA$22,FALSE))=0,"",VLOOKUP($B42,Database!$B$1:$IX$10144,AA$22,FALSE)))</f>
        <v/>
      </c>
      <c r="AB42" s="83">
        <v>73</v>
      </c>
      <c r="AC42" s="83">
        <v>8.2200000000000006</v>
      </c>
      <c r="AD42" s="22">
        <f>IF(OR($B42="",AD$22=""),"",IF(LEN(VLOOKUP($B42,Database!$B$1:$IX$10144,AD$22,FALSE))=0,"",VLOOKUP($B42,Database!$B$1:$IX$10144,AD$22,FALSE)))</f>
        <v>72.2</v>
      </c>
      <c r="AE42" s="22">
        <f>IF(OR($B42="",AE$22=""),"",IF(LEN(VLOOKUP($B42,Database!$B$1:$IX$10144,AE$22,FALSE))=0,"",VLOOKUP($B42,Database!$B$1:$IX$10144,AE$22,FALSE)))</f>
        <v>7.27</v>
      </c>
      <c r="AF42" s="83">
        <v>18</v>
      </c>
      <c r="AG42" s="22">
        <f>IF(OR($B42="",AG$22=""),"",IF(LEN(VLOOKUP($B42,Database!$B$1:$IX$10144,AG$22,FALSE))=0,"",VLOOKUP($B42,Database!$B$1:$IX$10144,AG$22,FALSE)))</f>
        <v>20</v>
      </c>
      <c r="AH42" s="22">
        <f>IF(OR($B42="",AH$22=""),"",IF(LEN(VLOOKUP($B42,Database!$B$1:$IX$10144,AH$22,FALSE))=0,"",VLOOKUP($B42,Database!$B$1:$IX$10144,AH$22,FALSE)))</f>
        <v>1.5</v>
      </c>
      <c r="AI42" s="22">
        <f>IF(OR($B42="",AI$22=""),"",IF(LEN(VLOOKUP($B42,Database!$B$1:$IX$10144,AI$22,FALSE))=0,"",VLOOKUP($B42,Database!$B$1:$IX$10144,AI$22,FALSE)))</f>
        <v>1.4</v>
      </c>
      <c r="AJ42" s="22" t="str">
        <f>IF(OR($B42="",AJ$22=""),"",IF(LEN(VLOOKUP($B42,Database!$B$1:$IX$10144,AJ$22,FALSE))=0,"",VLOOKUP($B42,Database!$B$1:$IX$10144,AJ$22,FALSE)))</f>
        <v/>
      </c>
      <c r="AK42" s="214">
        <v>66.540000000000006</v>
      </c>
      <c r="AL42" s="214">
        <v>18.12</v>
      </c>
      <c r="AM42" s="22">
        <f>IF(OR($B42="",AM$22=""),"",IF(LEN(VLOOKUP($B42,Database!$B$1:$IX$10144,AM$22,FALSE))=0,"",VLOOKUP($B42,Database!$B$1:$IX$10144,AM$22,FALSE)))</f>
        <v>0</v>
      </c>
      <c r="AN42" s="22" t="str">
        <f>IF(OR($B42="",AN$22=""),"",IF(LEN(VLOOKUP($B42,Database!$B$1:$IX$10144,AN$22,FALSE))=0,"",VLOOKUP($B42,Database!$B$1:$IX$10144,AN$22,FALSE)))</f>
        <v>ns</v>
      </c>
      <c r="AO42" s="22">
        <f>IF(OR($B42="",AO$22=""),"",IF(LEN(VLOOKUP($B42,Database!$B$1:$IX$10144,AO$22,FALSE))=0,"",VLOOKUP($B42,Database!$B$1:$IX$10144,AO$22,FALSE)))</f>
        <v>0</v>
      </c>
      <c r="AP42" s="22" t="str">
        <f>IF(OR($B42="",AP$22=""),"",IF(LEN(VLOOKUP($B42,Database!$B$1:$IX$10144,AP$22,FALSE))=0,"",VLOOKUP($B42,Database!$B$1:$IX$10144,AP$22,FALSE)))</f>
        <v>ns</v>
      </c>
      <c r="AQ42" s="22" t="str">
        <f>IF(OR($B42="",AQ$22=""),"",IF(LEN(VLOOKUP($B42,Database!$B$1:$IX$10144,AQ$22,FALSE))=0,"",VLOOKUP($B42,Database!$B$1:$IX$10144,AQ$22,FALSE)))</f>
        <v>Elderkin-Thompson V, Ballmaier M, Hellemann G, Pham D, Lavretsky H, Kumar A.</v>
      </c>
      <c r="AR42" s="13"/>
      <c r="AU42" s="13"/>
      <c r="BC42" s="23"/>
      <c r="BF42" s="136"/>
      <c r="BG42" s="136"/>
      <c r="BH42" s="136"/>
      <c r="BI42" s="136"/>
    </row>
    <row r="43" spans="1:61">
      <c r="A43" t="s">
        <v>416</v>
      </c>
      <c r="B43">
        <v>19239986</v>
      </c>
      <c r="C43" s="1" t="str">
        <f>IF($B43="","",HYPERLINK(IF(LEN(VLOOKUP($B43,Database!$B$1:$IX$10144,2,FALSE))=0,"",VLOOKUP($B43,Database!$B$1:$IX$10144,2,FALSE))))</f>
        <v/>
      </c>
      <c r="D43" s="1" t="str">
        <f t="shared" si="0"/>
        <v>http://www.ncbi.nlm.nih.gov/pubmed/19239986</v>
      </c>
      <c r="E43" s="22" t="str">
        <f>IF($B43="","",IF(LEN(VLOOKUP($B43,Database!$B$1:$IX$10144,4,FALSE))=0,"",VLOOKUP($B43,Database!$B$1:$IX$10144,4,FALSE)))</f>
        <v>Lorenzetti V</v>
      </c>
      <c r="F43" s="22">
        <f>IF($B43="","",IF(LEN(VLOOKUP($B43,Database!$B$1:$IX$10144,5,FALSE))=0,"",VLOOKUP($B43,Database!$B$1:$IX$10144,5,FALSE)))</f>
        <v>2009</v>
      </c>
      <c r="G43" s="1" t="str">
        <f>IF($B43="","",HYPERLINK(IF(LEN(VLOOKUP($B43,Database!$B$1:$IX$10144,6,FALSE))=0,"",VLOOKUP($B43,Database!$B$1:$IX$10144,6,FALSE))))</f>
        <v>http://dx.doi.org/10.1016/j.pscychresns.2008.06.006</v>
      </c>
      <c r="H43" s="83">
        <v>31</v>
      </c>
      <c r="I43" s="83">
        <v>16.5</v>
      </c>
      <c r="J43" t="s">
        <v>659</v>
      </c>
      <c r="K43" t="s">
        <v>660</v>
      </c>
      <c r="T43">
        <v>1477353.4</v>
      </c>
      <c r="U43">
        <v>138105.30851</v>
      </c>
      <c r="V43">
        <v>1492735.8</v>
      </c>
      <c r="W43">
        <v>143141.43346999999</v>
      </c>
      <c r="X43" s="96"/>
      <c r="Y43" s="22" t="str">
        <f>IF(OR($B43="",Y$22=""),"",IF(LEN(VLOOKUP($B43,Database!$B$1:$IX$10144,Y$22,FALSE))=0,"",VLOOKUP($B43,Database!$B$1:$IX$10144,Y$22,FALSE)))</f>
        <v>DSM-IV</v>
      </c>
      <c r="Z43" s="22" t="str">
        <f>IF(OR($B43="",Z$22=""),"",IF(LEN(VLOOKUP($B43,Database!$B$1:$IX$10144,Z$22,FALSE))=0,"",VLOOKUP($B43,Database!$B$1:$IX$10144,Z$22,FALSE)))</f>
        <v>MRI</v>
      </c>
      <c r="AA43" s="22" t="str">
        <f>IF(OR($B43="",AA$22=""),"",IF(LEN(VLOOKUP($B43,Database!$B$1:$IX$10144,AA$22,FALSE))=0,"",VLOOKUP($B43,Database!$B$1:$IX$10144,AA$22,FALSE)))</f>
        <v/>
      </c>
      <c r="AB43" s="22">
        <v>32.520000000000003</v>
      </c>
      <c r="AC43" s="22">
        <v>8.2799999999999994</v>
      </c>
      <c r="AD43" s="22">
        <f>IF(OR($B43="",AD$22=""),"",IF(LEN(VLOOKUP($B43,Database!$B$1:$IX$10144,AD$22,FALSE))=0,"",VLOOKUP($B43,Database!$B$1:$IX$10144,AD$22,FALSE)))</f>
        <v>34.03</v>
      </c>
      <c r="AE43" s="22">
        <f>IF(OR($B43="",AE$22=""),"",IF(LEN(VLOOKUP($B43,Database!$B$1:$IX$10144,AE$22,FALSE))=0,"",VLOOKUP($B43,Database!$B$1:$IX$10144,AE$22,FALSE)))</f>
        <v>9.91</v>
      </c>
      <c r="AF43" s="22">
        <v>22</v>
      </c>
      <c r="AG43" s="22">
        <f>IF(OR($B43="",AG$22=""),"",IF(LEN(VLOOKUP($B43,Database!$B$1:$IX$10144,AG$22,FALSE))=0,"",VLOOKUP($B43,Database!$B$1:$IX$10144,AG$22,FALSE)))</f>
        <v>21</v>
      </c>
      <c r="AH43" s="22">
        <f>IF(OR($B43="",AH$22=""),"",IF(LEN(VLOOKUP($B43,Database!$B$1:$IX$10144,AH$22,FALSE))=0,"",VLOOKUP($B43,Database!$B$1:$IX$10144,AH$22,FALSE)))</f>
        <v>1.5</v>
      </c>
      <c r="AI43" s="22">
        <f>IF(OR($B43="",AI$22=""),"",IF(LEN(VLOOKUP($B43,Database!$B$1:$IX$10144,AI$22,FALSE))=0,"",VLOOKUP($B43,Database!$B$1:$IX$10144,AI$22,FALSE)))</f>
        <v>1</v>
      </c>
      <c r="AJ43" s="22" t="str">
        <f>IF(OR($B43="",AJ$22=""),"",IF(LEN(VLOOKUP($B43,Database!$B$1:$IX$10144,AJ$22,FALSE))=0,"",VLOOKUP($B43,Database!$B$1:$IX$10144,AJ$22,FALSE)))</f>
        <v/>
      </c>
      <c r="AK43" s="22" t="str">
        <f>IF(OR($B43="",AK$22=""),"",IF(LEN(VLOOKUP($B43,Database!$B$1:$IX$10144,AK$22,FALSE))=0,"",VLOOKUP($B43,Database!$B$1:$IX$10144,AK$22,FALSE)))</f>
        <v>ns</v>
      </c>
      <c r="AL43" s="22" t="str">
        <f>IF(OR($B43="",AL$22=""),"",IF(LEN(VLOOKUP($B43,Database!$B$1:$IX$10144,AL$22,FALSE))=0,"",VLOOKUP($B43,Database!$B$1:$IX$10144,AL$22,FALSE)))</f>
        <v>ns</v>
      </c>
      <c r="AM43" s="22" t="str">
        <f>IF(OR($B43="",AM$22=""),"",IF(LEN(VLOOKUP($B43,Database!$B$1:$IX$10144,AM$22,FALSE))=0,"",VLOOKUP($B43,Database!$B$1:$IX$10144,AM$22,FALSE)))</f>
        <v>ns</v>
      </c>
      <c r="AN43" s="22" t="str">
        <f>IF(OR($B43="",AN$22=""),"",IF(LEN(VLOOKUP($B43,Database!$B$1:$IX$10144,AN$22,FALSE))=0,"",VLOOKUP($B43,Database!$B$1:$IX$10144,AN$22,FALSE)))</f>
        <v>ns</v>
      </c>
      <c r="AO43" s="22" t="str">
        <f>IF(OR($B43="",AO$22=""),"",IF(LEN(VLOOKUP($B43,Database!$B$1:$IX$10144,AO$22,FALSE))=0,"",VLOOKUP($B43,Database!$B$1:$IX$10144,AO$22,FALSE)))</f>
        <v>ns</v>
      </c>
      <c r="AP43" s="22" t="str">
        <f>IF(OR($B43="",AP$22=""),"",IF(LEN(VLOOKUP($B43,Database!$B$1:$IX$10144,AP$22,FALSE))=0,"",VLOOKUP($B43,Database!$B$1:$IX$10144,AP$22,FALSE)))</f>
        <v>ns</v>
      </c>
      <c r="AQ43" s="22" t="str">
        <f>IF(OR($B43="",AQ$22=""),"",IF(LEN(VLOOKUP($B43,Database!$B$1:$IX$10144,AQ$22,FALSE))=0,"",VLOOKUP($B43,Database!$B$1:$IX$10144,AQ$22,FALSE)))</f>
        <v>Lorenzetti V, Allen NB, Fornito A, Pantelis C, De Plato G, Ang A, Yücel M.</v>
      </c>
      <c r="AR43" s="13"/>
      <c r="AU43" s="13"/>
      <c r="BC43" s="23"/>
      <c r="BF43" s="136"/>
      <c r="BG43" s="136"/>
      <c r="BH43" s="136"/>
      <c r="BI43" s="136"/>
    </row>
    <row r="44" spans="1:61">
      <c r="A44" t="s">
        <v>416</v>
      </c>
      <c r="B44">
        <v>19239986</v>
      </c>
      <c r="C44" s="1" t="str">
        <f>IF($B44="","",HYPERLINK(IF(LEN(VLOOKUP($B44,Database!$B$1:$IX$10144,2,FALSE))=0,"",VLOOKUP($B44,Database!$B$1:$IX$10144,2,FALSE))))</f>
        <v/>
      </c>
      <c r="D44" s="1" t="str">
        <f t="shared" si="0"/>
        <v>http://www.ncbi.nlm.nih.gov/pubmed/19239986</v>
      </c>
      <c r="E44" s="22" t="str">
        <f>IF($B44="","",IF(LEN(VLOOKUP($B44,Database!$B$1:$IX$10144,4,FALSE))=0,"",VLOOKUP($B44,Database!$B$1:$IX$10144,4,FALSE)))</f>
        <v>Lorenzetti V</v>
      </c>
      <c r="F44" s="22">
        <f>IF($B44="","",IF(LEN(VLOOKUP($B44,Database!$B$1:$IX$10144,5,FALSE))=0,"",VLOOKUP($B44,Database!$B$1:$IX$10144,5,FALSE)))</f>
        <v>2009</v>
      </c>
      <c r="G44" s="1" t="str">
        <f>IF($B44="","",HYPERLINK(IF(LEN(VLOOKUP($B44,Database!$B$1:$IX$10144,6,FALSE))=0,"",VLOOKUP($B44,Database!$B$1:$IX$10144,6,FALSE))))</f>
        <v>http://dx.doi.org/10.1016/j.pscychresns.2008.06.006</v>
      </c>
      <c r="H44" s="83">
        <v>31</v>
      </c>
      <c r="I44" s="83">
        <v>16.5</v>
      </c>
      <c r="J44" t="s">
        <v>659</v>
      </c>
      <c r="K44" t="s">
        <v>658</v>
      </c>
      <c r="T44">
        <v>1469842.6</v>
      </c>
      <c r="U44">
        <v>150256.46468999999</v>
      </c>
      <c r="V44">
        <v>1492735.8</v>
      </c>
      <c r="W44">
        <v>143141.43346999999</v>
      </c>
      <c r="Y44" s="22" t="str">
        <f>IF(OR($B44="",Y$22=""),"",IF(LEN(VLOOKUP($B44,Database!$B$1:$IX$10144,Y$22,FALSE))=0,"",VLOOKUP($B44,Database!$B$1:$IX$10144,Y$22,FALSE)))</f>
        <v>DSM-IV</v>
      </c>
      <c r="Z44" s="22" t="str">
        <f>IF(OR($B44="",Z$22=""),"",IF(LEN(VLOOKUP($B44,Database!$B$1:$IX$10144,Z$22,FALSE))=0,"",VLOOKUP($B44,Database!$B$1:$IX$10144,Z$22,FALSE)))</f>
        <v>MRI</v>
      </c>
      <c r="AA44" s="22" t="str">
        <f>IF(OR($B44="",AA$22=""),"",IF(LEN(VLOOKUP($B44,Database!$B$1:$IX$10144,AA$22,FALSE))=0,"",VLOOKUP($B44,Database!$B$1:$IX$10144,AA$22,FALSE)))</f>
        <v/>
      </c>
      <c r="AB44" s="22">
        <v>35.07</v>
      </c>
      <c r="AC44" s="22">
        <v>9.9600000000000009</v>
      </c>
      <c r="AD44" s="22">
        <f>IF(OR($B44="",AD$22=""),"",IF(LEN(VLOOKUP($B44,Database!$B$1:$IX$10144,AD$22,FALSE))=0,"",VLOOKUP($B44,Database!$B$1:$IX$10144,AD$22,FALSE)))</f>
        <v>34.03</v>
      </c>
      <c r="AE44" s="22">
        <f>IF(OR($B44="",AE$22=""),"",IF(LEN(VLOOKUP($B44,Database!$B$1:$IX$10144,AE$22,FALSE))=0,"",VLOOKUP($B44,Database!$B$1:$IX$10144,AE$22,FALSE)))</f>
        <v>9.91</v>
      </c>
      <c r="AF44" s="22">
        <v>18</v>
      </c>
      <c r="AG44" s="22">
        <f>IF(OR($B44="",AG$22=""),"",IF(LEN(VLOOKUP($B44,Database!$B$1:$IX$10144,AG$22,FALSE))=0,"",VLOOKUP($B44,Database!$B$1:$IX$10144,AG$22,FALSE)))</f>
        <v>21</v>
      </c>
      <c r="AH44" s="22">
        <f>IF(OR($B44="",AH$22=""),"",IF(LEN(VLOOKUP($B44,Database!$B$1:$IX$10144,AH$22,FALSE))=0,"",VLOOKUP($B44,Database!$B$1:$IX$10144,AH$22,FALSE)))</f>
        <v>1.5</v>
      </c>
      <c r="AI44" s="22">
        <f>IF(OR($B44="",AI$22=""),"",IF(LEN(VLOOKUP($B44,Database!$B$1:$IX$10144,AI$22,FALSE))=0,"",VLOOKUP($B44,Database!$B$1:$IX$10144,AI$22,FALSE)))</f>
        <v>1</v>
      </c>
      <c r="AJ44" s="22" t="str">
        <f>IF(OR($B44="",AJ$22=""),"",IF(LEN(VLOOKUP($B44,Database!$B$1:$IX$10144,AJ$22,FALSE))=0,"",VLOOKUP($B44,Database!$B$1:$IX$10144,AJ$22,FALSE)))</f>
        <v/>
      </c>
      <c r="AK44" s="22" t="str">
        <f>IF(OR($B44="",AK$22=""),"",IF(LEN(VLOOKUP($B44,Database!$B$1:$IX$10144,AK$22,FALSE))=0,"",VLOOKUP($B44,Database!$B$1:$IX$10144,AK$22,FALSE)))</f>
        <v>ns</v>
      </c>
      <c r="AL44" s="22" t="str">
        <f>IF(OR($B44="",AL$22=""),"",IF(LEN(VLOOKUP($B44,Database!$B$1:$IX$10144,AL$22,FALSE))=0,"",VLOOKUP($B44,Database!$B$1:$IX$10144,AL$22,FALSE)))</f>
        <v>ns</v>
      </c>
      <c r="AM44" s="22" t="str">
        <f>IF(OR($B44="",AM$22=""),"",IF(LEN(VLOOKUP($B44,Database!$B$1:$IX$10144,AM$22,FALSE))=0,"",VLOOKUP($B44,Database!$B$1:$IX$10144,AM$22,FALSE)))</f>
        <v>ns</v>
      </c>
      <c r="AN44" s="22" t="str">
        <f>IF(OR($B44="",AN$22=""),"",IF(LEN(VLOOKUP($B44,Database!$B$1:$IX$10144,AN$22,FALSE))=0,"",VLOOKUP($B44,Database!$B$1:$IX$10144,AN$22,FALSE)))</f>
        <v>ns</v>
      </c>
      <c r="AO44" s="22" t="str">
        <f>IF(OR($B44="",AO$22=""),"",IF(LEN(VLOOKUP($B44,Database!$B$1:$IX$10144,AO$22,FALSE))=0,"",VLOOKUP($B44,Database!$B$1:$IX$10144,AO$22,FALSE)))</f>
        <v>ns</v>
      </c>
      <c r="AP44" s="22" t="str">
        <f>IF(OR($B44="",AP$22=""),"",IF(LEN(VLOOKUP($B44,Database!$B$1:$IX$10144,AP$22,FALSE))=0,"",VLOOKUP($B44,Database!$B$1:$IX$10144,AP$22,FALSE)))</f>
        <v>ns</v>
      </c>
      <c r="AQ44" s="22" t="str">
        <f>IF(OR($B44="",AQ$22=""),"",IF(LEN(VLOOKUP($B44,Database!$B$1:$IX$10144,AQ$22,FALSE))=0,"",VLOOKUP($B44,Database!$B$1:$IX$10144,AQ$22,FALSE)))</f>
        <v>Lorenzetti V, Allen NB, Fornito A, Pantelis C, De Plato G, Ang A, Yücel M.</v>
      </c>
      <c r="AR44" s="13"/>
      <c r="AU44" s="13"/>
      <c r="BC44" s="23"/>
      <c r="BF44" s="136"/>
      <c r="BG44" s="136"/>
      <c r="BH44" s="136"/>
      <c r="BI44" s="136"/>
    </row>
    <row r="45" spans="1:61">
      <c r="B45">
        <v>19411368</v>
      </c>
      <c r="C45" s="1" t="str">
        <f>IF($B45="","",HYPERLINK(IF(LEN(VLOOKUP($B45,Database!$B$1:$IX$10144,2,FALSE))=0,"",VLOOKUP($B45,Database!$B$1:$IX$10144,2,FALSE))))</f>
        <v/>
      </c>
      <c r="D45" s="1" t="str">
        <f t="shared" si="0"/>
        <v>http://www.ncbi.nlm.nih.gov/pubmed/19411368</v>
      </c>
      <c r="E45" s="22" t="str">
        <f>IF($B45="","",IF(LEN(VLOOKUP($B45,Database!$B$1:$IX$10144,4,FALSE))=0,"",VLOOKUP($B45,Database!$B$1:$IX$10144,4,FALSE)))</f>
        <v>Pizzagalli DA</v>
      </c>
      <c r="F45" s="22">
        <f>IF($B45="","",IF(LEN(VLOOKUP($B45,Database!$B$1:$IX$10144,5,FALSE))=0,"",VLOOKUP($B45,Database!$B$1:$IX$10144,5,FALSE)))</f>
        <v>2009</v>
      </c>
      <c r="G45" s="1" t="str">
        <f>IF($B45="","",HYPERLINK(IF(LEN(VLOOKUP($B45,Database!$B$1:$IX$10144,6,FALSE))=0,"",VLOOKUP($B45,Database!$B$1:$IX$10144,6,FALSE))))</f>
        <v>http://ajp.psychiatryonline.org/cgi/reprint/166/6/702</v>
      </c>
      <c r="H45" s="83">
        <v>26</v>
      </c>
      <c r="I45" s="83">
        <v>31</v>
      </c>
      <c r="J45" t="s">
        <v>1204</v>
      </c>
      <c r="T45">
        <v>1520071</v>
      </c>
      <c r="U45">
        <v>150388</v>
      </c>
      <c r="V45">
        <v>1562421</v>
      </c>
      <c r="W45">
        <v>191574</v>
      </c>
      <c r="X45" s="2"/>
      <c r="Y45" s="22" t="str">
        <f>IF(OR($B45="",Y$22=""),"",IF(LEN(VLOOKUP($B45,Database!$B$1:$IX$10144,Y$22,FALSE))=0,"",VLOOKUP($B45,Database!$B$1:$IX$10144,Y$22,FALSE)))</f>
        <v>DSM-IV</v>
      </c>
      <c r="Z45" s="22" t="str">
        <f>IF(OR($B45="",Z$22=""),"",IF(LEN(VLOOKUP($B45,Database!$B$1:$IX$10144,Z$22,FALSE))=0,"",VLOOKUP($B45,Database!$B$1:$IX$10144,Z$22,FALSE)))</f>
        <v>MRI</v>
      </c>
      <c r="AA45" s="22" t="str">
        <f>IF(OR($B45="",AA$22=""),"",IF(LEN(VLOOKUP($B45,Database!$B$1:$IX$10144,AA$22,FALSE))=0,"",VLOOKUP($B45,Database!$B$1:$IX$10144,AA$22,FALSE)))</f>
        <v/>
      </c>
      <c r="AB45" s="22">
        <f>IF(OR($B45="",AB$22=""),"",IF(LEN(VLOOKUP($B45,Database!$B$1:$IX$10144,AB$22,FALSE))=0,"",VLOOKUP($B45,Database!$B$1:$IX$10144,AB$22,FALSE)))</f>
        <v>43.17</v>
      </c>
      <c r="AC45" s="22">
        <f>IF(OR($B45="",AC$22=""),"",IF(LEN(VLOOKUP($B45,Database!$B$1:$IX$10144,AC$22,FALSE))=0,"",VLOOKUP($B45,Database!$B$1:$IX$10144,AC$22,FALSE)))</f>
        <v>12.98</v>
      </c>
      <c r="AD45" s="22">
        <f>IF(OR($B45="",AD$22=""),"",IF(LEN(VLOOKUP($B45,Database!$B$1:$IX$10144,AD$22,FALSE))=0,"",VLOOKUP($B45,Database!$B$1:$IX$10144,AD$22,FALSE)))</f>
        <v>38.799999999999997</v>
      </c>
      <c r="AE45" s="22">
        <f>IF(OR($B45="",AE$22=""),"",IF(LEN(VLOOKUP($B45,Database!$B$1:$IX$10144,AE$22,FALSE))=0,"",VLOOKUP($B45,Database!$B$1:$IX$10144,AE$22,FALSE)))</f>
        <v>14.48</v>
      </c>
      <c r="AF45" s="22">
        <f>IF(OR($B45="",AF$22=""),"",IF(LEN(VLOOKUP($B45,Database!$B$1:$IX$10144,AF$22,FALSE))=0,"",VLOOKUP($B45,Database!$B$1:$IX$10144,AF$22,FALSE)))</f>
        <v>15</v>
      </c>
      <c r="AG45" s="22">
        <f>IF(OR($B45="",AG$22=""),"",IF(LEN(VLOOKUP($B45,Database!$B$1:$IX$10144,AG$22,FALSE))=0,"",VLOOKUP($B45,Database!$B$1:$IX$10144,AG$22,FALSE)))</f>
        <v>13</v>
      </c>
      <c r="AH45" s="22">
        <f>IF(OR($B45="",AH$22=""),"",IF(LEN(VLOOKUP($B45,Database!$B$1:$IX$10144,AH$22,FALSE))=0,"",VLOOKUP($B45,Database!$B$1:$IX$10144,AH$22,FALSE)))</f>
        <v>1.5</v>
      </c>
      <c r="AI45" s="22">
        <f>IF(OR($B45="",AI$22=""),"",IF(LEN(VLOOKUP($B45,Database!$B$1:$IX$10144,AI$22,FALSE))=0,"",VLOOKUP($B45,Database!$B$1:$IX$10144,AI$22,FALSE)))</f>
        <v>1.33</v>
      </c>
      <c r="AJ45" s="22" t="str">
        <f>IF(OR($B45="",AJ$22=""),"",IF(LEN(VLOOKUP($B45,Database!$B$1:$IX$10144,AJ$22,FALSE))=0,"",VLOOKUP($B45,Database!$B$1:$IX$10144,AJ$22,FALSE)))</f>
        <v/>
      </c>
      <c r="AK45" s="22">
        <f>IF(OR($B45="",AK$22=""),"",IF(LEN(VLOOKUP($B45,Database!$B$1:$IX$10144,AK$22,FALSE))=0,"",VLOOKUP($B45,Database!$B$1:$IX$10144,AK$22,FALSE)))</f>
        <v>29.39</v>
      </c>
      <c r="AL45" s="22">
        <f>IF(OR($B45="",AL$22=""),"",IF(LEN(VLOOKUP($B45,Database!$B$1:$IX$10144,AL$22,FALSE))=0,"",VLOOKUP($B45,Database!$B$1:$IX$10144,AL$22,FALSE)))</f>
        <v>15.98</v>
      </c>
      <c r="AM45" s="22">
        <f>IF(OR($B45="",AM$22=""),"",IF(LEN(VLOOKUP($B45,Database!$B$1:$IX$10144,AM$22,FALSE))=0,"",VLOOKUP($B45,Database!$B$1:$IX$10144,AM$22,FALSE)))</f>
        <v>0</v>
      </c>
      <c r="AN45" s="22">
        <f>IF(OR($B45="",AN$22=""),"",IF(LEN(VLOOKUP($B45,Database!$B$1:$IX$10144,AN$22,FALSE))=0,"",VLOOKUP($B45,Database!$B$1:$IX$10144,AN$22,FALSE)))</f>
        <v>0</v>
      </c>
      <c r="AO45" s="22">
        <f>IF(OR($B45="",AO$22=""),"",IF(LEN(VLOOKUP($B45,Database!$B$1:$IX$10144,AO$22,FALSE))=0,"",VLOOKUP($B45,Database!$B$1:$IX$10144,AO$22,FALSE)))</f>
        <v>0</v>
      </c>
      <c r="AP45" s="22">
        <f>IF(OR($B45="",AP$22=""),"",IF(LEN(VLOOKUP($B45,Database!$B$1:$IX$10144,AP$22,FALSE))=0,"",VLOOKUP($B45,Database!$B$1:$IX$10144,AP$22,FALSE)))</f>
        <v>100</v>
      </c>
      <c r="AQ45" s="22" t="str">
        <f>IF(OR($B45="",AQ$22=""),"",IF(LEN(VLOOKUP($B45,Database!$B$1:$IX$10144,AQ$22,FALSE))=0,"",VLOOKUP($B45,Database!$B$1:$IX$10144,AQ$22,FALSE)))</f>
        <v>Pizzagalli DA, Holmes AJ, Dillon DG, Goetz EL, Birk JL, Bogdan R, Dougherty DD, Iosifescu DV, Rauch SL, Fava M.</v>
      </c>
      <c r="AR45" s="13"/>
      <c r="BC45" s="23"/>
      <c r="BF45" s="136"/>
      <c r="BG45" s="136"/>
      <c r="BH45" s="136"/>
      <c r="BI45" s="136"/>
    </row>
    <row r="46" spans="1:61">
      <c r="B46" s="2">
        <v>19488671</v>
      </c>
      <c r="C46" s="1" t="str">
        <f>IF($B46="","",HYPERLINK(IF(LEN(VLOOKUP($B46,Database!$B$1:$IX$10144,2,FALSE))=0,"",VLOOKUP($B46,Database!$B$1:$IX$10144,2,FALSE))))</f>
        <v/>
      </c>
      <c r="D46" s="1" t="str">
        <f t="shared" si="0"/>
        <v>http://www.ncbi.nlm.nih.gov/pubmed/19488671</v>
      </c>
      <c r="E46" s="22" t="str">
        <f>IF($B46="","",IF(LEN(VLOOKUP($B46,Database!$B$1:$IX$10144,4,FALSE))=0,"",VLOOKUP($B46,Database!$B$1:$IX$10144,4,FALSE)))</f>
        <v>Meisenzahl EM</v>
      </c>
      <c r="F46" s="22">
        <f>IF($B46="","",IF(LEN(VLOOKUP($B46,Database!$B$1:$IX$10144,5,FALSE))=0,"",VLOOKUP($B46,Database!$B$1:$IX$10144,5,FALSE)))</f>
        <v>2009</v>
      </c>
      <c r="G46" s="1" t="str">
        <f>IF($B46="","",HYPERLINK(IF(LEN(VLOOKUP($B46,Database!$B$1:$IX$10144,6,FALSE))=0,"",VLOOKUP($B46,Database!$B$1:$IX$10144,6,FALSE))))</f>
        <v>http://dx.doi.org/10.1007/s00406-009-0023-3</v>
      </c>
      <c r="H46" s="22">
        <f>IF($B46="","",IF(LEN(VLOOKUP($B46,Database!$B$1:$IX$10144,7,FALSE))=0,"",VLOOKUP($B46,Database!$B$1:$IX$10144,7,FALSE)))</f>
        <v>92</v>
      </c>
      <c r="I46" s="22">
        <f>IF($B46="","",IF(LEN(VLOOKUP($B46,Database!$B$1:$IX$10144,8,FALSE))=0,"",VLOOKUP($B46,Database!$B$1:$IX$10144,8,FALSE)))</f>
        <v>138</v>
      </c>
      <c r="J46" t="s">
        <v>377</v>
      </c>
      <c r="T46">
        <v>1251.2</v>
      </c>
      <c r="U46">
        <v>105.88</v>
      </c>
      <c r="V46">
        <v>1295.4000000000001</v>
      </c>
      <c r="W46">
        <v>141.97999999999999</v>
      </c>
      <c r="X46" s="2"/>
      <c r="Y46" s="22" t="str">
        <f>IF(OR($B46="",Y$22=""),"",IF(LEN(VLOOKUP($B46,Database!$B$1:$IX$10144,Y$22,FALSE))=0,"",VLOOKUP($B46,Database!$B$1:$IX$10144,Y$22,FALSE)))</f>
        <v>DSM-IV</v>
      </c>
      <c r="Z46" s="22" t="str">
        <f>IF(OR($B46="",Z$22=""),"",IF(LEN(VLOOKUP($B46,Database!$B$1:$IX$10144,Z$22,FALSE))=0,"",VLOOKUP($B46,Database!$B$1:$IX$10144,Z$22,FALSE)))</f>
        <v>MRI</v>
      </c>
      <c r="AA46" s="22" t="str">
        <f>IF(OR($B46="",AA$22=""),"",IF(LEN(VLOOKUP($B46,Database!$B$1:$IX$10144,AA$22,FALSE))=0,"",VLOOKUP($B46,Database!$B$1:$IX$10144,AA$22,FALSE)))</f>
        <v/>
      </c>
      <c r="AB46" s="22">
        <f>IF(OR($B46="",AB$22=""),"",IF(LEN(VLOOKUP($B46,Database!$B$1:$IX$10144,AB$22,FALSE))=0,"",VLOOKUP($B46,Database!$B$1:$IX$10144,AB$22,FALSE)))</f>
        <v>44.6</v>
      </c>
      <c r="AC46" s="22">
        <f>IF(OR($B46="",AC$22=""),"",IF(LEN(VLOOKUP($B46,Database!$B$1:$IX$10144,AC$22,FALSE))=0,"",VLOOKUP($B46,Database!$B$1:$IX$10144,AC$22,FALSE)))</f>
        <v>12.3</v>
      </c>
      <c r="AD46" s="22">
        <f>IF(OR($B46="",AD$22=""),"",IF(LEN(VLOOKUP($B46,Database!$B$1:$IX$10144,AD$22,FALSE))=0,"",VLOOKUP($B46,Database!$B$1:$IX$10144,AD$22,FALSE)))</f>
        <v>33.299999999999997</v>
      </c>
      <c r="AE46" s="22">
        <f>IF(OR($B46="",AE$22=""),"",IF(LEN(VLOOKUP($B46,Database!$B$1:$IX$10144,AE$22,FALSE))=0,"",VLOOKUP($B46,Database!$B$1:$IX$10144,AE$22,FALSE)))</f>
        <v>12.2</v>
      </c>
      <c r="AF46" s="22">
        <f>IF(OR($B46="",AF$22=""),"",IF(LEN(VLOOKUP($B46,Database!$B$1:$IX$10144,AF$22,FALSE))=0,"",VLOOKUP($B46,Database!$B$1:$IX$10144,AF$22,FALSE)))</f>
        <v>47</v>
      </c>
      <c r="AG46" s="22">
        <f>IF(OR($B46="",AG$22=""),"",IF(LEN(VLOOKUP($B46,Database!$B$1:$IX$10144,AG$22,FALSE))=0,"",VLOOKUP($B46,Database!$B$1:$IX$10144,AG$22,FALSE)))</f>
        <v>60</v>
      </c>
      <c r="AH46" s="22">
        <f>IF(OR($B46="",AH$22=""),"",IF(LEN(VLOOKUP($B46,Database!$B$1:$IX$10144,AH$22,FALSE))=0,"",VLOOKUP($B46,Database!$B$1:$IX$10144,AH$22,FALSE)))</f>
        <v>1.5</v>
      </c>
      <c r="AI46" s="22">
        <f>IF(OR($B46="",AI$22=""),"",IF(LEN(VLOOKUP($B46,Database!$B$1:$IX$10144,AI$22,FALSE))=0,"",VLOOKUP($B46,Database!$B$1:$IX$10144,AI$22,FALSE)))</f>
        <v>1.5</v>
      </c>
      <c r="AJ46" s="22" t="str">
        <f>IF(OR($B46="",AJ$22=""),"",IF(LEN(VLOOKUP($B46,Database!$B$1:$IX$10144,AJ$22,FALSE))=0,"",VLOOKUP($B46,Database!$B$1:$IX$10144,AJ$22,FALSE)))</f>
        <v/>
      </c>
      <c r="AK46" s="22" t="str">
        <f>IF(OR($B46="",AK$22=""),"",IF(LEN(VLOOKUP($B46,Database!$B$1:$IX$10144,AK$22,FALSE))=0,"",VLOOKUP($B46,Database!$B$1:$IX$10144,AK$22,FALSE)))</f>
        <v>ns</v>
      </c>
      <c r="AL46" s="22">
        <f>IF(OR($B46="",AL$22=""),"",IF(LEN(VLOOKUP($B46,Database!$B$1:$IX$10144,AL$22,FALSE))=0,"",VLOOKUP($B46,Database!$B$1:$IX$10144,AL$22,FALSE)))</f>
        <v>23.5</v>
      </c>
      <c r="AM46" s="22" t="str">
        <f>IF(OR($B46="",AM$22=""),"",IF(LEN(VLOOKUP($B46,Database!$B$1:$IX$10144,AM$22,FALSE))=0,"",VLOOKUP($B46,Database!$B$1:$IX$10144,AM$22,FALSE)))</f>
        <v>ns</v>
      </c>
      <c r="AN46" s="22">
        <f>IF(OR($B46="",AN$22=""),"",IF(LEN(VLOOKUP($B46,Database!$B$1:$IX$10144,AN$22,FALSE))=0,"",VLOOKUP($B46,Database!$B$1:$IX$10144,AN$22,FALSE)))</f>
        <v>14.130434782608695</v>
      </c>
      <c r="AO46" s="22" t="str">
        <f>IF(OR($B46="",AO$22=""),"",IF(LEN(VLOOKUP($B46,Database!$B$1:$IX$10144,AO$22,FALSE))=0,"",VLOOKUP($B46,Database!$B$1:$IX$10144,AO$22,FALSE)))</f>
        <v>ns</v>
      </c>
      <c r="AP46" s="22">
        <f>IF(OR($B46="",AP$22=""),"",IF(LEN(VLOOKUP($B46,Database!$B$1:$IX$10144,AP$22,FALSE))=0,"",VLOOKUP($B46,Database!$B$1:$IX$10144,AP$22,FALSE)))</f>
        <v>6.5217391304347823</v>
      </c>
      <c r="AQ46" s="22" t="str">
        <f>IF(OR($B46="",AQ$22=""),"",IF(LEN(VLOOKUP($B46,Database!$B$1:$IX$10144,AQ$22,FALSE))=0,"",VLOOKUP($B46,Database!$B$1:$IX$10144,AQ$22,FALSE)))</f>
        <v>Meisenzahl EM, Seifert D, Bottlender R, Teipel S, Zetzsche T, Jäger M, Koutsouleris N, Schmitt G, Scheuerecker J, Burgermeister B, Hampel H, Rupprecht T, Born C, Reiser M, Möller HJ, Frodl T.</v>
      </c>
      <c r="AR46" s="13"/>
      <c r="BC46" s="23"/>
      <c r="BF46" s="136"/>
      <c r="BG46" s="136"/>
      <c r="BH46" s="136"/>
      <c r="BI46" s="136"/>
    </row>
    <row r="47" spans="1:61">
      <c r="B47" s="2">
        <v>19486330</v>
      </c>
      <c r="C47" s="1" t="str">
        <f>IF($B47="","",HYPERLINK(IF(LEN(VLOOKUP($B47,Database!$B$1:$IX$10144,2,FALSE))=0,"",VLOOKUP($B47,Database!$B$1:$IX$10144,2,FALSE))))</f>
        <v/>
      </c>
      <c r="D47" s="1" t="str">
        <f t="shared" si="0"/>
        <v>http://www.ncbi.nlm.nih.gov/pubmed/19486330</v>
      </c>
      <c r="E47" s="22" t="str">
        <f>IF($B47="","",IF(LEN(VLOOKUP($B47,Database!$B$1:$IX$10144,4,FALSE))=0,"",VLOOKUP($B47,Database!$B$1:$IX$10144,4,FALSE)))</f>
        <v>Sun J</v>
      </c>
      <c r="F47" s="22">
        <f>IF($B47="","",IF(LEN(VLOOKUP($B47,Database!$B$1:$IX$10144,5,FALSE))=0,"",VLOOKUP($B47,Database!$B$1:$IX$10144,5,FALSE)))</f>
        <v>2009</v>
      </c>
      <c r="G47" s="1" t="str">
        <f>IF($B47="","",HYPERLINK(IF(LEN(VLOOKUP($B47,Database!$B$1:$IX$10144,6,FALSE))=0,"",VLOOKUP($B47,Database!$B$1:$IX$10144,6,FALSE))))</f>
        <v>http://dx.doi.org/10.1111/j.1600-0447.2009.01389.x</v>
      </c>
      <c r="H47" s="22">
        <f>IF($B47="","",IF(LEN(VLOOKUP($B47,Database!$B$1:$IX$10144,7,FALSE))=0,"",VLOOKUP($B47,Database!$B$1:$IX$10144,7,FALSE)))</f>
        <v>45</v>
      </c>
      <c r="I47" s="22">
        <f>IF($B47="","",IF(LEN(VLOOKUP($B47,Database!$B$1:$IX$10144,8,FALSE))=0,"",VLOOKUP($B47,Database!$B$1:$IX$10144,8,FALSE)))</f>
        <v>30</v>
      </c>
      <c r="J47" t="s">
        <v>572</v>
      </c>
      <c r="T47">
        <v>1475390.81</v>
      </c>
      <c r="U47">
        <v>125172.95</v>
      </c>
      <c r="V47">
        <v>1464585.54</v>
      </c>
      <c r="W47">
        <v>122448.93</v>
      </c>
      <c r="Y47" s="22" t="str">
        <f>IF(OR($B47="",Y$22=""),"",IF(LEN(VLOOKUP($B47,Database!$B$1:$IX$10144,Y$22,FALSE))=0,"",VLOOKUP($B47,Database!$B$1:$IX$10144,Y$22,FALSE)))</f>
        <v>DSM-IV</v>
      </c>
      <c r="Z47" s="22" t="str">
        <f>IF(OR($B47="",Z$22=""),"",IF(LEN(VLOOKUP($B47,Database!$B$1:$IX$10144,Z$22,FALSE))=0,"",VLOOKUP($B47,Database!$B$1:$IX$10144,Z$22,FALSE)))</f>
        <v>MRI</v>
      </c>
      <c r="AA47" s="22" t="str">
        <f>IF(OR($B47="",AA$22=""),"",IF(LEN(VLOOKUP($B47,Database!$B$1:$IX$10144,AA$22,FALSE))=0,"",VLOOKUP($B47,Database!$B$1:$IX$10144,AA$22,FALSE)))</f>
        <v/>
      </c>
      <c r="AB47" s="22">
        <f>IF(OR($B47="",AB$22=""),"",IF(LEN(VLOOKUP($B47,Database!$B$1:$IX$10144,AB$22,FALSE))=0,"",VLOOKUP($B47,Database!$B$1:$IX$10144,AB$22,FALSE)))</f>
        <v>40.78</v>
      </c>
      <c r="AC47" s="22">
        <f>IF(OR($B47="",AC$22=""),"",IF(LEN(VLOOKUP($B47,Database!$B$1:$IX$10144,AC$22,FALSE))=0,"",VLOOKUP($B47,Database!$B$1:$IX$10144,AC$22,FALSE)))</f>
        <v>11.13</v>
      </c>
      <c r="AD47" s="22">
        <f>IF(OR($B47="",AD$22=""),"",IF(LEN(VLOOKUP($B47,Database!$B$1:$IX$10144,AD$22,FALSE))=0,"",VLOOKUP($B47,Database!$B$1:$IX$10144,AD$22,FALSE)))</f>
        <v>34.6</v>
      </c>
      <c r="AE47" s="22">
        <f>IF(OR($B47="",AE$22=""),"",IF(LEN(VLOOKUP($B47,Database!$B$1:$IX$10144,AE$22,FALSE))=0,"",VLOOKUP($B47,Database!$B$1:$IX$10144,AE$22,FALSE)))</f>
        <v>11.85</v>
      </c>
      <c r="AF47" s="22">
        <f>IF(OR($B47="",AF$22=""),"",IF(LEN(VLOOKUP($B47,Database!$B$1:$IX$10144,AF$22,FALSE))=0,"",VLOOKUP($B47,Database!$B$1:$IX$10144,AF$22,FALSE)))</f>
        <v>23</v>
      </c>
      <c r="AG47" s="22">
        <f>IF(OR($B47="",AG$22=""),"",IF(LEN(VLOOKUP($B47,Database!$B$1:$IX$10144,AG$22,FALSE))=0,"",VLOOKUP($B47,Database!$B$1:$IX$10144,AG$22,FALSE)))</f>
        <v>18</v>
      </c>
      <c r="AH47" s="22">
        <f>IF(OR($B47="",AH$22=""),"",IF(LEN(VLOOKUP($B47,Database!$B$1:$IX$10144,AH$22,FALSE))=0,"",VLOOKUP($B47,Database!$B$1:$IX$10144,AH$22,FALSE)))</f>
        <v>1.5</v>
      </c>
      <c r="AI47" s="22">
        <f>IF(OR($B47="",AI$22=""),"",IF(LEN(VLOOKUP($B47,Database!$B$1:$IX$10144,AI$22,FALSE))=0,"",VLOOKUP($B47,Database!$B$1:$IX$10144,AI$22,FALSE)))</f>
        <v>1.5</v>
      </c>
      <c r="AJ47" s="22" t="str">
        <f>IF(OR($B47="",AJ$22=""),"",IF(LEN(VLOOKUP($B47,Database!$B$1:$IX$10144,AJ$22,FALSE))=0,"",VLOOKUP($B47,Database!$B$1:$IX$10144,AJ$22,FALSE)))</f>
        <v/>
      </c>
      <c r="AK47" s="22">
        <f>IF(OR($B47="",AK$22=""),"",IF(LEN(VLOOKUP($B47,Database!$B$1:$IX$10144,AK$22,FALSE))=0,"",VLOOKUP($B47,Database!$B$1:$IX$10144,AK$22,FALSE)))</f>
        <v>26.16</v>
      </c>
      <c r="AL47" s="22" t="str">
        <f>IF(OR($B47="",AL$22=""),"",IF(LEN(VLOOKUP($B47,Database!$B$1:$IX$10144,AL$22,FALSE))=0,"",VLOOKUP($B47,Database!$B$1:$IX$10144,AL$22,FALSE)))</f>
        <v>ns</v>
      </c>
      <c r="AM47" s="22">
        <f>IF(OR($B47="",AM$22=""),"",IF(LEN(VLOOKUP($B47,Database!$B$1:$IX$10144,AM$22,FALSE))=0,"",VLOOKUP($B47,Database!$B$1:$IX$10144,AM$22,FALSE)))</f>
        <v>82.222222222222214</v>
      </c>
      <c r="AN47" s="22" t="str">
        <f>IF(OR($B47="",AN$22=""),"",IF(LEN(VLOOKUP($B47,Database!$B$1:$IX$10144,AN$22,FALSE))=0,"",VLOOKUP($B47,Database!$B$1:$IX$10144,AN$22,FALSE)))</f>
        <v>ns</v>
      </c>
      <c r="AO47" s="22" t="str">
        <f>IF(OR($B47="",AO$22=""),"",IF(LEN(VLOOKUP($B47,Database!$B$1:$IX$10144,AO$22,FALSE))=0,"",VLOOKUP($B47,Database!$B$1:$IX$10144,AO$22,FALSE)))</f>
        <v>ns</v>
      </c>
      <c r="AP47" s="22">
        <f>IF(OR($B47="",AP$22=""),"",IF(LEN(VLOOKUP($B47,Database!$B$1:$IX$10144,AP$22,FALSE))=0,"",VLOOKUP($B47,Database!$B$1:$IX$10144,AP$22,FALSE)))</f>
        <v>17.777777777777779</v>
      </c>
      <c r="AQ47" s="22" t="str">
        <f>IF(OR($B47="",AQ$22=""),"",IF(LEN(VLOOKUP($B47,Database!$B$1:$IX$10144,AQ$22,FALSE))=0,"",VLOOKUP($B47,Database!$B$1:$IX$10144,AQ$22,FALSE)))</f>
        <v>Sun J, Maller JJ, Daskalakis ZJ, Furtado CC, Fitzgerald PB.</v>
      </c>
      <c r="AR47" s="13"/>
      <c r="BC47" s="23"/>
      <c r="BF47" s="136"/>
      <c r="BG47" s="136"/>
      <c r="BH47" s="136"/>
      <c r="BI47" s="136"/>
    </row>
    <row r="48" spans="1:61">
      <c r="A48" s="10"/>
      <c r="B48" s="2">
        <v>20018381</v>
      </c>
      <c r="C48" s="1" t="str">
        <f>IF($B48="","",HYPERLINK(IF(LEN(VLOOKUP($B48,Database!$B$1:$IX$10144,2,FALSE))=0,"",VLOOKUP($B48,Database!$B$1:$IX$10144,2,FALSE))))</f>
        <v/>
      </c>
      <c r="D48" s="1" t="str">
        <f>IF($B48="","",HYPERLINK(CONCATENATE("http://www.ncbi.nlm.nih.gov/pubmed/",B48)))</f>
        <v>http://www.ncbi.nlm.nih.gov/pubmed/20018381</v>
      </c>
      <c r="E48" s="22" t="str">
        <f>IF($B48="","",IF(LEN(VLOOKUP($B48,Database!$B$1:$IX$10144,4,FALSE))=0,"",VLOOKUP($B48,Database!$B$1:$IX$10144,4,FALSE)))</f>
        <v>Weber K</v>
      </c>
      <c r="F48" s="22">
        <f>IF($B48="","",IF(LEN(VLOOKUP($B48,Database!$B$1:$IX$10144,5,FALSE))=0,"",VLOOKUP($B48,Database!$B$1:$IX$10144,5,FALSE)))</f>
        <v>2009</v>
      </c>
      <c r="G48" s="1" t="str">
        <f>IF($B48="","",HYPERLINK(IF(LEN(VLOOKUP($B48,Database!$B$1:$IX$10144,6,FALSE))=0,"",VLOOKUP($B48,Database!$B$1:$IX$10144,6,FALSE))))</f>
        <v>http://dx.doi.org/10.1016/j.jad.2009.11.016</v>
      </c>
      <c r="H48" s="22">
        <f>IF($B48="","",IF(LEN(VLOOKUP($B48,Database!$B$1:$IX$10144,7,FALSE))=0,"",VLOOKUP($B48,Database!$B$1:$IX$10144,7,FALSE)))</f>
        <v>38</v>
      </c>
      <c r="I48" s="22">
        <f>IF($B48="","",IF(LEN(VLOOKUP($B48,Database!$B$1:$IX$10144,8,FALSE))=0,"",VLOOKUP($B48,Database!$B$1:$IX$10144,8,FALSE)))</f>
        <v>62</v>
      </c>
      <c r="J48" t="s">
        <v>2392</v>
      </c>
      <c r="T48">
        <v>1525.6</v>
      </c>
      <c r="U48">
        <v>162.88</v>
      </c>
      <c r="V48">
        <v>1578.48</v>
      </c>
      <c r="W48">
        <v>148.33000000000001</v>
      </c>
      <c r="Y48" s="22" t="str">
        <f>IF(OR($B48="",Y$22=""),"",IF(LEN(VLOOKUP($B48,Database!$B$1:$IX$10144,Y$22,FALSE))=0,"",VLOOKUP($B48,Database!$B$1:$IX$10144,Y$22,FALSE)))</f>
        <v>DSM-IV</v>
      </c>
      <c r="Z48" s="22" t="str">
        <f>IF(OR($B48="",Z$22=""),"",IF(LEN(VLOOKUP($B48,Database!$B$1:$IX$10144,Z$22,FALSE))=0,"",VLOOKUP($B48,Database!$B$1:$IX$10144,Z$22,FALSE)))</f>
        <v>MRI</v>
      </c>
      <c r="AA48" s="22" t="str">
        <f>IF(OR($B48="",AA$22=""),"",IF(LEN(VLOOKUP($B48,Database!$B$1:$IX$10144,AA$22,FALSE))=0,"",VLOOKUP($B48,Database!$B$1:$IX$10144,AA$22,FALSE)))</f>
        <v/>
      </c>
      <c r="AB48" s="22">
        <f>IF(OR($B48="",AB$22=""),"",IF(LEN(VLOOKUP($B48,Database!$B$1:$IX$10144,AB$22,FALSE))=0,"",VLOOKUP($B48,Database!$B$1:$IX$10144,AB$22,FALSE)))</f>
        <v>66.11</v>
      </c>
      <c r="AC48" s="22">
        <f>IF(OR($B48="",AC$22=""),"",IF(LEN(VLOOKUP($B48,Database!$B$1:$IX$10144,AC$22,FALSE))=0,"",VLOOKUP($B48,Database!$B$1:$IX$10144,AC$22,FALSE)))</f>
        <v>6.22</v>
      </c>
      <c r="AD48" s="22">
        <f>IF(OR($B48="",AD$22=""),"",IF(LEN(VLOOKUP($B48,Database!$B$1:$IX$10144,AD$22,FALSE))=0,"",VLOOKUP($B48,Database!$B$1:$IX$10144,AD$22,FALSE)))</f>
        <v>71.099999999999994</v>
      </c>
      <c r="AE48" s="22">
        <f>IF(OR($B48="",AE$22=""),"",IF(LEN(VLOOKUP($B48,Database!$B$1:$IX$10144,AE$22,FALSE))=0,"",VLOOKUP($B48,Database!$B$1:$IX$10144,AE$22,FALSE)))</f>
        <v>7.26</v>
      </c>
      <c r="AF48" s="22">
        <f>IF(OR($B48="",AF$22=""),"",IF(LEN(VLOOKUP($B48,Database!$B$1:$IX$10144,AF$22,FALSE))=0,"",VLOOKUP($B48,Database!$B$1:$IX$10144,AF$22,FALSE)))</f>
        <v>31</v>
      </c>
      <c r="AG48" s="22">
        <f>IF(OR($B48="",AG$22=""),"",IF(LEN(VLOOKUP($B48,Database!$B$1:$IX$10144,AG$22,FALSE))=0,"",VLOOKUP($B48,Database!$B$1:$IX$10144,AG$22,FALSE)))</f>
        <v>48</v>
      </c>
      <c r="AH48" s="22">
        <f>IF(OR($B48="",AH$22=""),"",IF(LEN(VLOOKUP($B48,Database!$B$1:$IX$10144,AH$22,FALSE))=0,"",VLOOKUP($B48,Database!$B$1:$IX$10144,AH$22,FALSE)))</f>
        <v>3</v>
      </c>
      <c r="AI48" s="22">
        <f>IF(OR($B48="",AI$22=""),"",IF(LEN(VLOOKUP($B48,Database!$B$1:$IX$10144,AI$22,FALSE))=0,"",VLOOKUP($B48,Database!$B$1:$IX$10144,AI$22,FALSE)))</f>
        <v>0.9</v>
      </c>
      <c r="AJ48" s="22" t="str">
        <f>IF(OR($B48="",AJ$22=""),"",IF(LEN(VLOOKUP($B48,Database!$B$1:$IX$10144,AJ$22,FALSE))=0,"",VLOOKUP($B48,Database!$B$1:$IX$10144,AJ$22,FALSE)))</f>
        <v/>
      </c>
      <c r="AK48" s="22">
        <f>IF(OR($B48="",AK$22=""),"",IF(LEN(VLOOKUP($B48,Database!$B$1:$IX$10144,AK$22,FALSE))=0,"",VLOOKUP($B48,Database!$B$1:$IX$10144,AK$22,FALSE)))</f>
        <v>37.76</v>
      </c>
      <c r="AL48" s="22" t="str">
        <f>IF(OR($B48="",AL$22=""),"",IF(LEN(VLOOKUP($B48,Database!$B$1:$IX$10144,AL$22,FALSE))=0,"",VLOOKUP($B48,Database!$B$1:$IX$10144,AL$22,FALSE)))</f>
        <v>ns</v>
      </c>
      <c r="AM48" s="22">
        <f>IF(OR($B48="",AM$22=""),"",IF(LEN(VLOOKUP($B48,Database!$B$1:$IX$10144,AM$22,FALSE))=0,"",VLOOKUP($B48,Database!$B$1:$IX$10144,AM$22,FALSE)))</f>
        <v>47.368421052631575</v>
      </c>
      <c r="AN48" s="22" t="str">
        <f>IF(OR($B48="",AN$22=""),"",IF(LEN(VLOOKUP($B48,Database!$B$1:$IX$10144,AN$22,FALSE))=0,"",VLOOKUP($B48,Database!$B$1:$IX$10144,AN$22,FALSE)))</f>
        <v>ns</v>
      </c>
      <c r="AO48" s="22" t="str">
        <f>IF(OR($B48="",AO$22=""),"",IF(LEN(VLOOKUP($B48,Database!$B$1:$IX$10144,AO$22,FALSE))=0,"",VLOOKUP($B48,Database!$B$1:$IX$10144,AO$22,FALSE)))</f>
        <v>ns</v>
      </c>
      <c r="AP48" s="22" t="str">
        <f>IF(OR($B48="",AP$22=""),"",IF(LEN(VLOOKUP($B48,Database!$B$1:$IX$10144,AP$22,FALSE))=0,"",VLOOKUP($B48,Database!$B$1:$IX$10144,AP$22,FALSE)))</f>
        <v>ns</v>
      </c>
      <c r="AQ48" s="22" t="str">
        <f>IF(OR($B48="",AQ$22=""),"",IF(LEN(VLOOKUP($B48,Database!$B$1:$IX$10144,AQ$22,FALSE))=0,"",VLOOKUP($B48,Database!$B$1:$IX$10144,AQ$22,FALSE)))</f>
        <v>Weber K, Giannakopoulos P, Delaloye C, de Bilbao F, Moy G, Moussa A, Rubio MM, Ebbing K, Meuli R, Lazeyras F, Meiler-Mititelu C, Herrmann FR, Gold G, Canuto A.</v>
      </c>
      <c r="AR48" s="13"/>
      <c r="BC48" s="23"/>
      <c r="BF48" s="136"/>
      <c r="BG48" s="136"/>
      <c r="BH48" s="136"/>
      <c r="BI48" s="136"/>
    </row>
    <row r="49" spans="1:55">
      <c r="C49" s="1" t="str">
        <f>IF($B49="","",HYPERLINK(IF(LEN(VLOOKUP($B49,Database!$B$1:$IX$10144,2,FALSE))=0,"",VLOOKUP($B49,Database!$B$1:$IX$10144,2,FALSE))))</f>
        <v/>
      </c>
      <c r="D49" s="1" t="str">
        <f t="shared" si="0"/>
        <v/>
      </c>
      <c r="E49" s="22" t="str">
        <f>IF($B49="","",IF(LEN(VLOOKUP($B49,Database!$B$1:$IX$10144,4,FALSE))=0,"",VLOOKUP($B49,Database!$B$1:$IX$10144,4,FALSE)))</f>
        <v/>
      </c>
      <c r="F49" s="22" t="str">
        <f>IF($B49="","",IF(LEN(VLOOKUP($B49,Database!$B$1:$IX$10144,5,FALSE))=0,"",VLOOKUP($B49,Database!$B$1:$IX$10144,5,FALSE)))</f>
        <v/>
      </c>
      <c r="G49" s="1" t="str">
        <f>IF($B49="","",HYPERLINK(IF(LEN(VLOOKUP($B49,Database!$B$1:$IX$10144,6,FALSE))=0,"",VLOOKUP($B49,Database!$B$1:$IX$10144,6,FALSE))))</f>
        <v/>
      </c>
      <c r="H49" s="22" t="str">
        <f>IF($B49="","",IF(LEN(VLOOKUP($B49,Database!$B$1:$IX$10144,7,FALSE))=0,"",VLOOKUP($B49,Database!$B$1:$IX$10144,7,FALSE)))</f>
        <v/>
      </c>
      <c r="I49" s="22" t="str">
        <f>IF($B49="","",IF(LEN(VLOOKUP($B49,Database!$B$1:$IX$10144,8,FALSE))=0,"",VLOOKUP($B49,Database!$B$1:$IX$10144,8,FALSE)))</f>
        <v/>
      </c>
      <c r="Y49" s="22" t="str">
        <f>IF(OR($B49="",Y$22=""),"",IF(LEN(VLOOKUP($B49,Database!$B$1:$IX$10144,Y$22,FALSE))=0,"",VLOOKUP($B49,Database!$B$1:$IX$10144,Y$22,FALSE)))</f>
        <v/>
      </c>
      <c r="Z49" s="22" t="str">
        <f>IF(OR($B49="",Z$22=""),"",IF(LEN(VLOOKUP($B49,Database!$B$1:$IX$10144,Z$22,FALSE))=0,"",VLOOKUP($B49,Database!$B$1:$IX$10144,Z$22,FALSE)))</f>
        <v/>
      </c>
      <c r="AA49" s="22" t="str">
        <f>IF(OR($B49="",AA$22=""),"",IF(LEN(VLOOKUP($B49,Database!$B$1:$IX$10144,AA$22,FALSE))=0,"",VLOOKUP($B49,Database!$B$1:$IX$10144,AA$22,FALSE)))</f>
        <v/>
      </c>
      <c r="AB49" s="22" t="str">
        <f>IF(OR($B49="",AB$22=""),"",IF(LEN(VLOOKUP($B49,Database!$B$1:$IX$10144,AB$22,FALSE))=0,"",VLOOKUP($B49,Database!$B$1:$IX$10144,AB$22,FALSE)))</f>
        <v/>
      </c>
      <c r="AC49" s="22" t="str">
        <f>IF(OR($B49="",AC$22=""),"",IF(LEN(VLOOKUP($B49,Database!$B$1:$IX$10144,AC$22,FALSE))=0,"",VLOOKUP($B49,Database!$B$1:$IX$10144,AC$22,FALSE)))</f>
        <v/>
      </c>
      <c r="AD49" s="22" t="str">
        <f>IF(OR($B49="",AD$22=""),"",IF(LEN(VLOOKUP($B49,Database!$B$1:$IX$10144,AD$22,FALSE))=0,"",VLOOKUP($B49,Database!$B$1:$IX$10144,AD$22,FALSE)))</f>
        <v/>
      </c>
      <c r="AE49" s="22" t="str">
        <f>IF(OR($B49="",AE$22=""),"",IF(LEN(VLOOKUP($B49,Database!$B$1:$IX$10144,AE$22,FALSE))=0,"",VLOOKUP($B49,Database!$B$1:$IX$10144,AE$22,FALSE)))</f>
        <v/>
      </c>
      <c r="AF49" s="22" t="str">
        <f>IF(OR($B49="",AF$22=""),"",IF(LEN(VLOOKUP($B49,Database!$B$1:$IX$10144,AF$22,FALSE))=0,"",VLOOKUP($B49,Database!$B$1:$IX$10144,AF$22,FALSE)))</f>
        <v/>
      </c>
      <c r="AG49" s="22" t="str">
        <f>IF(OR($B49="",AG$22=""),"",IF(LEN(VLOOKUP($B49,Database!$B$1:$IX$10144,AG$22,FALSE))=0,"",VLOOKUP($B49,Database!$B$1:$IX$10144,AG$22,FALSE)))</f>
        <v/>
      </c>
      <c r="AH49" s="22" t="str">
        <f>IF(OR($B49="",AH$22=""),"",IF(LEN(VLOOKUP($B49,Database!$B$1:$IX$10144,AH$22,FALSE))=0,"",VLOOKUP($B49,Database!$B$1:$IX$10144,AH$22,FALSE)))</f>
        <v/>
      </c>
      <c r="AI49" s="22" t="str">
        <f>IF(OR($B49="",AI$22=""),"",IF(LEN(VLOOKUP($B49,Database!$B$1:$IX$10144,AI$22,FALSE))=0,"",VLOOKUP($B49,Database!$B$1:$IX$10144,AI$22,FALSE)))</f>
        <v/>
      </c>
      <c r="AJ49" s="22" t="str">
        <f>IF(OR($B49="",AJ$22=""),"",IF(LEN(VLOOKUP($B49,Database!$B$1:$IX$10144,AJ$22,FALSE))=0,"",VLOOKUP($B49,Database!$B$1:$IX$10144,AJ$22,FALSE)))</f>
        <v/>
      </c>
      <c r="AK49" s="22" t="str">
        <f>IF(OR($B49="",AK$22=""),"",IF(LEN(VLOOKUP($B49,Database!$B$1:$IX$10144,AK$22,FALSE))=0,"",VLOOKUP($B49,Database!$B$1:$IX$10144,AK$22,FALSE)))</f>
        <v/>
      </c>
      <c r="AL49" s="22" t="str">
        <f>IF(OR($B49="",AL$22=""),"",IF(LEN(VLOOKUP($B49,Database!$B$1:$IX$10144,AL$22,FALSE))=0,"",VLOOKUP($B49,Database!$B$1:$IX$10144,AL$22,FALSE)))</f>
        <v/>
      </c>
      <c r="AM49" s="22" t="str">
        <f>IF(OR($B49="",AM$22=""),"",IF(LEN(VLOOKUP($B49,Database!$B$1:$IX$10144,AM$22,FALSE))=0,"",VLOOKUP($B49,Database!$B$1:$IX$10144,AM$22,FALSE)))</f>
        <v/>
      </c>
      <c r="AN49" s="22" t="str">
        <f>IF(OR($B49="",AN$22=""),"",IF(LEN(VLOOKUP($B49,Database!$B$1:$IX$10144,AN$22,FALSE))=0,"",VLOOKUP($B49,Database!$B$1:$IX$10144,AN$22,FALSE)))</f>
        <v/>
      </c>
      <c r="AO49" s="22" t="str">
        <f>IF(OR($B49="",AO$22=""),"",IF(LEN(VLOOKUP($B49,Database!$B$1:$IX$10144,AO$22,FALSE))=0,"",VLOOKUP($B49,Database!$B$1:$IX$10144,AO$22,FALSE)))</f>
        <v/>
      </c>
      <c r="AP49" s="22" t="str">
        <f>IF(OR($B49="",AP$22=""),"",IF(LEN(VLOOKUP($B49,Database!$B$1:$IX$10144,AP$22,FALSE))=0,"",VLOOKUP($B49,Database!$B$1:$IX$10144,AP$22,FALSE)))</f>
        <v/>
      </c>
      <c r="AQ49" s="22" t="str">
        <f>IF(OR($B49="",AQ$22=""),"",IF(LEN(VLOOKUP($B49,Database!$B$1:$IX$10144,AQ$22,FALSE))=0,"",VLOOKUP($B49,Database!$B$1:$IX$10144,AQ$22,FALSE)))</f>
        <v/>
      </c>
    </row>
    <row r="50" spans="1:55">
      <c r="A50" s="4" t="s">
        <v>1510</v>
      </c>
      <c r="C50" s="1" t="str">
        <f>IF($B50="","",HYPERLINK(IF(LEN(VLOOKUP($B50,Database!$B$1:$IX$10144,2,FALSE))=0,"",VLOOKUP($B50,Database!$B$1:$IX$10144,2,FALSE))))</f>
        <v/>
      </c>
      <c r="D50" s="1" t="str">
        <f t="shared" si="0"/>
        <v/>
      </c>
      <c r="E50" s="22" t="str">
        <f>IF($B50="","",IF(LEN(VLOOKUP($B50,Database!$B$1:$IX$10144,4,FALSE))=0,"",VLOOKUP($B50,Database!$B$1:$IX$10144,4,FALSE)))</f>
        <v/>
      </c>
      <c r="F50" s="22" t="str">
        <f>IF($B50="","",IF(LEN(VLOOKUP($B50,Database!$B$1:$IX$10144,5,FALSE))=0,"",VLOOKUP($B50,Database!$B$1:$IX$10144,5,FALSE)))</f>
        <v/>
      </c>
      <c r="G50" s="1" t="str">
        <f>IF($B50="","",HYPERLINK(IF(LEN(VLOOKUP($B50,Database!$B$1:$IX$10144,6,FALSE))=0,"",VLOOKUP($B50,Database!$B$1:$IX$10144,6,FALSE))))</f>
        <v/>
      </c>
      <c r="H50" s="22" t="str">
        <f>IF($B50="","",IF(LEN(VLOOKUP($B50,Database!$B$1:$IX$10144,7,FALSE))=0,"",VLOOKUP($B50,Database!$B$1:$IX$10144,7,FALSE)))</f>
        <v/>
      </c>
      <c r="I50" s="22" t="str">
        <f>IF($B50="","",IF(LEN(VLOOKUP($B50,Database!$B$1:$IX$10144,8,FALSE))=0,"",VLOOKUP($B50,Database!$B$1:$IX$10144,8,FALSE)))</f>
        <v/>
      </c>
      <c r="K50" s="96"/>
      <c r="Y50" s="22" t="str">
        <f>IF(OR($B50="",Y$22=""),"",IF(LEN(VLOOKUP($B50,Database!$B$1:$IX$10144,Y$22,FALSE))=0,"",VLOOKUP($B50,Database!$B$1:$IX$10144,Y$22,FALSE)))</f>
        <v/>
      </c>
      <c r="Z50" s="22" t="str">
        <f>IF(OR($B50="",Z$22=""),"",IF(LEN(VLOOKUP($B50,Database!$B$1:$IX$10144,Z$22,FALSE))=0,"",VLOOKUP($B50,Database!$B$1:$IX$10144,Z$22,FALSE)))</f>
        <v/>
      </c>
      <c r="AA50" s="22" t="str">
        <f>IF(OR($B50="",AA$22=""),"",IF(LEN(VLOOKUP($B50,Database!$B$1:$IX$10144,AA$22,FALSE))=0,"",VLOOKUP($B50,Database!$B$1:$IX$10144,AA$22,FALSE)))</f>
        <v/>
      </c>
      <c r="AB50" s="22" t="str">
        <f>IF(OR($B50="",AB$22=""),"",IF(LEN(VLOOKUP($B50,Database!$B$1:$IX$10144,AB$22,FALSE))=0,"",VLOOKUP($B50,Database!$B$1:$IX$10144,AB$22,FALSE)))</f>
        <v/>
      </c>
      <c r="AC50" s="22" t="str">
        <f>IF(OR($B50="",AC$22=""),"",IF(LEN(VLOOKUP($B50,Database!$B$1:$IX$10144,AC$22,FALSE))=0,"",VLOOKUP($B50,Database!$B$1:$IX$10144,AC$22,FALSE)))</f>
        <v/>
      </c>
      <c r="AD50" s="22" t="str">
        <f>IF(OR($B50="",AD$22=""),"",IF(LEN(VLOOKUP($B50,Database!$B$1:$IX$10144,AD$22,FALSE))=0,"",VLOOKUP($B50,Database!$B$1:$IX$10144,AD$22,FALSE)))</f>
        <v/>
      </c>
      <c r="AE50" s="22" t="str">
        <f>IF(OR($B50="",AE$22=""),"",IF(LEN(VLOOKUP($B50,Database!$B$1:$IX$10144,AE$22,FALSE))=0,"",VLOOKUP($B50,Database!$B$1:$IX$10144,AE$22,FALSE)))</f>
        <v/>
      </c>
      <c r="AF50" s="22" t="str">
        <f>IF(OR($B50="",AF$22=""),"",IF(LEN(VLOOKUP($B50,Database!$B$1:$IX$10144,AF$22,FALSE))=0,"",VLOOKUP($B50,Database!$B$1:$IX$10144,AF$22,FALSE)))</f>
        <v/>
      </c>
      <c r="AG50" s="22" t="str">
        <f>IF(OR($B50="",AG$22=""),"",IF(LEN(VLOOKUP($B50,Database!$B$1:$IX$10144,AG$22,FALSE))=0,"",VLOOKUP($B50,Database!$B$1:$IX$10144,AG$22,FALSE)))</f>
        <v/>
      </c>
      <c r="AH50" s="22" t="str">
        <f>IF(OR($B50="",AH$22=""),"",IF(LEN(VLOOKUP($B50,Database!$B$1:$IX$10144,AH$22,FALSE))=0,"",VLOOKUP($B50,Database!$B$1:$IX$10144,AH$22,FALSE)))</f>
        <v/>
      </c>
      <c r="AI50" s="22" t="str">
        <f>IF(OR($B50="",AI$22=""),"",IF(LEN(VLOOKUP($B50,Database!$B$1:$IX$10144,AI$22,FALSE))=0,"",VLOOKUP($B50,Database!$B$1:$IX$10144,AI$22,FALSE)))</f>
        <v/>
      </c>
      <c r="AJ50" s="22" t="str">
        <f>IF(OR($B50="",AJ$22=""),"",IF(LEN(VLOOKUP($B50,Database!$B$1:$IX$10144,AJ$22,FALSE))=0,"",VLOOKUP($B50,Database!$B$1:$IX$10144,AJ$22,FALSE)))</f>
        <v/>
      </c>
      <c r="AK50" s="22" t="str">
        <f>IF(OR($B50="",AK$22=""),"",IF(LEN(VLOOKUP($B50,Database!$B$1:$IX$10144,AK$22,FALSE))=0,"",VLOOKUP($B50,Database!$B$1:$IX$10144,AK$22,FALSE)))</f>
        <v/>
      </c>
      <c r="AL50" s="22" t="str">
        <f>IF(OR($B50="",AL$22=""),"",IF(LEN(VLOOKUP($B50,Database!$B$1:$IX$10144,AL$22,FALSE))=0,"",VLOOKUP($B50,Database!$B$1:$IX$10144,AL$22,FALSE)))</f>
        <v/>
      </c>
      <c r="AM50" s="22" t="str">
        <f>IF(OR($B50="",AM$22=""),"",IF(LEN(VLOOKUP($B50,Database!$B$1:$IX$10144,AM$22,FALSE))=0,"",VLOOKUP($B50,Database!$B$1:$IX$10144,AM$22,FALSE)))</f>
        <v/>
      </c>
      <c r="AN50" s="22" t="str">
        <f>IF(OR($B50="",AN$22=""),"",IF(LEN(VLOOKUP($B50,Database!$B$1:$IX$10144,AN$22,FALSE))=0,"",VLOOKUP($B50,Database!$B$1:$IX$10144,AN$22,FALSE)))</f>
        <v/>
      </c>
      <c r="AO50" s="22" t="str">
        <f>IF(OR($B50="",AO$22=""),"",IF(LEN(VLOOKUP($B50,Database!$B$1:$IX$10144,AO$22,FALSE))=0,"",VLOOKUP($B50,Database!$B$1:$IX$10144,AO$22,FALSE)))</f>
        <v/>
      </c>
      <c r="AP50" s="22" t="str">
        <f>IF(OR($B50="",AP$22=""),"",IF(LEN(VLOOKUP($B50,Database!$B$1:$IX$10144,AP$22,FALSE))=0,"",VLOOKUP($B50,Database!$B$1:$IX$10144,AP$22,FALSE)))</f>
        <v/>
      </c>
      <c r="AQ50" s="22" t="str">
        <f>IF(OR($B50="",AQ$22=""),"",IF(LEN(VLOOKUP($B50,Database!$B$1:$IX$10144,AQ$22,FALSE))=0,"",VLOOKUP($B50,Database!$B$1:$IX$10144,AQ$22,FALSE)))</f>
        <v/>
      </c>
    </row>
    <row r="51" spans="1:55">
      <c r="A51" s="7" t="s">
        <v>120</v>
      </c>
      <c r="B51" s="2">
        <v>19505522</v>
      </c>
      <c r="C51" s="1" t="str">
        <f>IF($B51="","",HYPERLINK(IF(LEN(VLOOKUP($B51,Database!$B$1:$IX$10144,2,FALSE))=0,"",VLOOKUP($B51,Database!$B$1:$IX$10144,2,FALSE))))</f>
        <v/>
      </c>
      <c r="D51" s="1" t="str">
        <f>IF($B51="","",HYPERLINK(CONCATENATE("http://www.ncbi.nlm.nih.gov/pubmed/",B51)))</f>
        <v>http://www.ncbi.nlm.nih.gov/pubmed/19505522</v>
      </c>
      <c r="E51" s="22" t="str">
        <f>IF($B51="","",IF(LEN(VLOOKUP($B51,Database!$B$1:$IX$10144,4,FALSE))=0,"",VLOOKUP($B51,Database!$B$1:$IX$10144,4,FALSE)))</f>
        <v>Takahashi T (A)</v>
      </c>
      <c r="F51" s="22">
        <f>IF($B51="","",IF(LEN(VLOOKUP($B51,Database!$B$1:$IX$10144,5,FALSE))=0,"",VLOOKUP($B51,Database!$B$1:$IX$10144,5,FALSE)))</f>
        <v>2009</v>
      </c>
      <c r="G51" s="1" t="str">
        <f>IF($B51="","",HYPERLINK(IF(LEN(VLOOKUP($B51,Database!$B$1:$IX$10144,6,FALSE))=0,"",VLOOKUP($B51,Database!$B$1:$IX$10144,6,FALSE))))</f>
        <v>http://dx.doi.org/10.1016/j.pnpbp.2009.05.020</v>
      </c>
      <c r="H51" s="22">
        <f>IF($B51="","",IF(LEN(VLOOKUP($B51,Database!$B$1:$IX$10144,7,FALSE))=0,"",VLOOKUP($B51,Database!$B$1:$IX$10144,7,FALSE)))</f>
        <v>56</v>
      </c>
      <c r="I51" s="22">
        <f>IF($B51="","",IF(LEN(VLOOKUP($B51,Database!$B$1:$IX$10144,8,FALSE))=0,"",VLOOKUP($B51,Database!$B$1:$IX$10144,8,FALSE)))</f>
        <v>33</v>
      </c>
      <c r="J51" t="s">
        <v>198</v>
      </c>
      <c r="Y51" s="22" t="str">
        <f>IF(OR($B51="",Y$22=""),"",IF(LEN(VLOOKUP($B51,Database!$B$1:$IX$10144,Y$22,FALSE))=0,"",VLOOKUP($B51,Database!$B$1:$IX$10144,Y$22,FALSE)))</f>
        <v>DSM-IV</v>
      </c>
      <c r="Z51" s="22" t="str">
        <f>IF(OR($B51="",Z$22=""),"",IF(LEN(VLOOKUP($B51,Database!$B$1:$IX$10144,Z$22,FALSE))=0,"",VLOOKUP($B51,Database!$B$1:$IX$10144,Z$22,FALSE)))</f>
        <v>MRI</v>
      </c>
      <c r="AA51" s="22" t="str">
        <f>IF(OR($B51="",AA$22=""),"",IF(LEN(VLOOKUP($B51,Database!$B$1:$IX$10144,AA$22,FALSE))=0,"",VLOOKUP($B51,Database!$B$1:$IX$10144,AA$22,FALSE)))</f>
        <v/>
      </c>
      <c r="AB51" s="22" t="str">
        <f>IF(OR($B51="",AB$22=""),"",IF(LEN(VLOOKUP($B51,Database!$B$1:$IX$10144,AB$22,FALSE))=0,"",VLOOKUP($B51,Database!$B$1:$IX$10144,AB$22,FALSE)))</f>
        <v/>
      </c>
      <c r="AC51" s="22" t="str">
        <f>IF(OR($B51="",AC$22=""),"",IF(LEN(VLOOKUP($B51,Database!$B$1:$IX$10144,AC$22,FALSE))=0,"",VLOOKUP($B51,Database!$B$1:$IX$10144,AC$22,FALSE)))</f>
        <v/>
      </c>
      <c r="AD51" s="22">
        <f>IF(OR($B51="",AD$22=""),"",IF(LEN(VLOOKUP($B51,Database!$B$1:$IX$10144,AD$22,FALSE))=0,"",VLOOKUP($B51,Database!$B$1:$IX$10144,AD$22,FALSE)))</f>
        <v>34</v>
      </c>
      <c r="AE51" s="22">
        <f>IF(OR($B51="",AE$22=""),"",IF(LEN(VLOOKUP($B51,Database!$B$1:$IX$10144,AE$22,FALSE))=0,"",VLOOKUP($B51,Database!$B$1:$IX$10144,AE$22,FALSE)))</f>
        <v>9.9</v>
      </c>
      <c r="AF51" s="22">
        <f>IF(OR($B51="",AF$22=""),"",IF(LEN(VLOOKUP($B51,Database!$B$1:$IX$10144,AF$22,FALSE))=0,"",VLOOKUP($B51,Database!$B$1:$IX$10144,AF$22,FALSE)))</f>
        <v>40</v>
      </c>
      <c r="AG51" s="22">
        <f>IF(OR($B51="",AG$22=""),"",IF(LEN(VLOOKUP($B51,Database!$B$1:$IX$10144,AG$22,FALSE))=0,"",VLOOKUP($B51,Database!$B$1:$IX$10144,AG$22,FALSE)))</f>
        <v>21</v>
      </c>
      <c r="AH51" s="22">
        <f>IF(OR($B51="",AH$22=""),"",IF(LEN(VLOOKUP($B51,Database!$B$1:$IX$10144,AH$22,FALSE))=0,"",VLOOKUP($B51,Database!$B$1:$IX$10144,AH$22,FALSE)))</f>
        <v>1.5</v>
      </c>
      <c r="AI51" s="22">
        <f>IF(OR($B51="",AI$22=""),"",IF(LEN(VLOOKUP($B51,Database!$B$1:$IX$10144,AI$22,FALSE))=0,"",VLOOKUP($B51,Database!$B$1:$IX$10144,AI$22,FALSE)))</f>
        <v>1</v>
      </c>
      <c r="AJ51" s="22" t="str">
        <f>IF(OR($B51="",AJ$22=""),"",IF(LEN(VLOOKUP($B51,Database!$B$1:$IX$10144,AJ$22,FALSE))=0,"",VLOOKUP($B51,Database!$B$1:$IX$10144,AJ$22,FALSE)))</f>
        <v/>
      </c>
      <c r="AK51" s="22" t="str">
        <f>IF(OR($B51="",AK$22=""),"",IF(LEN(VLOOKUP($B51,Database!$B$1:$IX$10144,AK$22,FALSE))=0,"",VLOOKUP($B51,Database!$B$1:$IX$10144,AK$22,FALSE)))</f>
        <v>split into subgroups</v>
      </c>
      <c r="AL51" s="22" t="str">
        <f>IF(OR($B51="",AL$22=""),"",IF(LEN(VLOOKUP($B51,Database!$B$1:$IX$10144,AL$22,FALSE))=0,"",VLOOKUP($B51,Database!$B$1:$IX$10144,AL$22,FALSE)))</f>
        <v>ns</v>
      </c>
      <c r="AM51" s="22" t="str">
        <f>IF(OR($B51="",AM$22=""),"",IF(LEN(VLOOKUP($B51,Database!$B$1:$IX$10144,AM$22,FALSE))=0,"",VLOOKUP($B51,Database!$B$1:$IX$10144,AM$22,FALSE)))</f>
        <v>ns</v>
      </c>
      <c r="AN51" s="22" t="str">
        <f>IF(OR($B51="",AN$22=""),"",IF(LEN(VLOOKUP($B51,Database!$B$1:$IX$10144,AN$22,FALSE))=0,"",VLOOKUP($B51,Database!$B$1:$IX$10144,AN$22,FALSE)))</f>
        <v>ns</v>
      </c>
      <c r="AO51" s="22" t="str">
        <f>IF(OR($B51="",AO$22=""),"",IF(LEN(VLOOKUP($B51,Database!$B$1:$IX$10144,AO$22,FALSE))=0,"",VLOOKUP($B51,Database!$B$1:$IX$10144,AO$22,FALSE)))</f>
        <v>ns</v>
      </c>
      <c r="AP51" s="22" t="str">
        <f>IF(OR($B51="",AP$22=""),"",IF(LEN(VLOOKUP($B51,Database!$B$1:$IX$10144,AP$22,FALSE))=0,"",VLOOKUP($B51,Database!$B$1:$IX$10144,AP$22,FALSE)))</f>
        <v>ns</v>
      </c>
      <c r="AQ51" s="22" t="str">
        <f>IF(OR($B51="",AQ$22=""),"",IF(LEN(VLOOKUP($B51,Database!$B$1:$IX$10144,AQ$22,FALSE))=0,"",VLOOKUP($B51,Database!$B$1:$IX$10144,AQ$22,FALSE)))</f>
        <v>Takahashi T, Yücel M, Lorenzetti V, Nakamura K, Whittle S, Walterfang M, Suzuki M, Pantelis C, Allen NB.</v>
      </c>
    </row>
    <row r="52" spans="1:55">
      <c r="A52" s="7" t="s">
        <v>120</v>
      </c>
      <c r="B52" s="2">
        <v>19464062</v>
      </c>
      <c r="C52" s="1" t="str">
        <f>IF($B52="","",HYPERLINK(IF(LEN(VLOOKUP($B52,Database!$B$1:$IX$10144,2,FALSE))=0,"",VLOOKUP($B52,Database!$B$1:$IX$10144,2,FALSE))))</f>
        <v/>
      </c>
      <c r="D52" s="1" t="str">
        <f>IF($B52="","",HYPERLINK(CONCATENATE("http://www.ncbi.nlm.nih.gov/pubmed/",B52)))</f>
        <v>http://www.ncbi.nlm.nih.gov/pubmed/19464062</v>
      </c>
      <c r="E52" s="22" t="str">
        <f>IF($B52="","",IF(LEN(VLOOKUP($B52,Database!$B$1:$IX$10144,4,FALSE))=0,"",VLOOKUP($B52,Database!$B$1:$IX$10144,4,FALSE)))</f>
        <v>Lorenzetti V (B)</v>
      </c>
      <c r="F52" s="22">
        <f>IF($B52="","",IF(LEN(VLOOKUP($B52,Database!$B$1:$IX$10144,5,FALSE))=0,"",VLOOKUP($B52,Database!$B$1:$IX$10144,5,FALSE)))</f>
        <v>2009</v>
      </c>
      <c r="G52" s="1" t="str">
        <f>IF($B52="","",HYPERLINK(IF(LEN(VLOOKUP($B52,Database!$B$1:$IX$10144,6,FALSE))=0,"",VLOOKUP($B52,Database!$B$1:$IX$10144,6,FALSE))))</f>
        <v>http://dx.doi.org/10.1016/j.jad.2009.04.021</v>
      </c>
      <c r="H52" s="22">
        <f>IF($B52="","",IF(LEN(VLOOKUP($B52,Database!$B$1:$IX$10144,7,FALSE))=0,"",VLOOKUP($B52,Database!$B$1:$IX$10144,7,FALSE)))</f>
        <v>56</v>
      </c>
      <c r="I52" s="22">
        <f>IF($B52="","",IF(LEN(VLOOKUP($B52,Database!$B$1:$IX$10144,8,FALSE))=0,"",VLOOKUP($B52,Database!$B$1:$IX$10144,8,FALSE)))</f>
        <v>31</v>
      </c>
      <c r="J52" t="s">
        <v>572</v>
      </c>
      <c r="Y52" s="22" t="str">
        <f>IF(OR($B52="",Y$22=""),"",IF(LEN(VLOOKUP($B52,Database!$B$1:$IX$10144,Y$22,FALSE))=0,"",VLOOKUP($B52,Database!$B$1:$IX$10144,Y$22,FALSE)))</f>
        <v>DSM-IV</v>
      </c>
      <c r="Z52" s="22" t="str">
        <f>IF(OR($B52="",Z$22=""),"",IF(LEN(VLOOKUP($B52,Database!$B$1:$IX$10144,Z$22,FALSE))=0,"",VLOOKUP($B52,Database!$B$1:$IX$10144,Z$22,FALSE)))</f>
        <v>MRI</v>
      </c>
      <c r="AA52" s="22" t="str">
        <f>IF(OR($B52="",AA$22=""),"",IF(LEN(VLOOKUP($B52,Database!$B$1:$IX$10144,AA$22,FALSE))=0,"",VLOOKUP($B52,Database!$B$1:$IX$10144,AA$22,FALSE)))</f>
        <v/>
      </c>
      <c r="AB52" s="22" t="str">
        <f>IF(OR($B52="",AB$22=""),"",IF(LEN(VLOOKUP($B52,Database!$B$1:$IX$10144,AB$22,FALSE))=0,"",VLOOKUP($B52,Database!$B$1:$IX$10144,AB$22,FALSE)))</f>
        <v/>
      </c>
      <c r="AC52" s="22" t="str">
        <f>IF(OR($B52="",AC$22=""),"",IF(LEN(VLOOKUP($B52,Database!$B$1:$IX$10144,AC$22,FALSE))=0,"",VLOOKUP($B52,Database!$B$1:$IX$10144,AC$22,FALSE)))</f>
        <v/>
      </c>
      <c r="AD52" s="22">
        <f>IF(OR($B52="",AD$22=""),"",IF(LEN(VLOOKUP($B52,Database!$B$1:$IX$10144,AD$22,FALSE))=0,"",VLOOKUP($B52,Database!$B$1:$IX$10144,AD$22,FALSE)))</f>
        <v>34.68</v>
      </c>
      <c r="AE52" s="22">
        <f>IF(OR($B52="",AE$22=""),"",IF(LEN(VLOOKUP($B52,Database!$B$1:$IX$10144,AE$22,FALSE))=0,"",VLOOKUP($B52,Database!$B$1:$IX$10144,AE$22,FALSE)))</f>
        <v>9.86</v>
      </c>
      <c r="AF52" s="22">
        <f>IF(OR($B52="",AF$22=""),"",IF(LEN(VLOOKUP($B52,Database!$B$1:$IX$10144,AF$22,FALSE))=0,"",VLOOKUP($B52,Database!$B$1:$IX$10144,AF$22,FALSE)))</f>
        <v>40</v>
      </c>
      <c r="AG52" s="22">
        <f>IF(OR($B52="",AG$22=""),"",IF(LEN(VLOOKUP($B52,Database!$B$1:$IX$10144,AG$22,FALSE))=0,"",VLOOKUP($B52,Database!$B$1:$IX$10144,AG$22,FALSE)))</f>
        <v>21</v>
      </c>
      <c r="AH52" s="22">
        <f>IF(OR($B52="",AH$22=""),"",IF(LEN(VLOOKUP($B52,Database!$B$1:$IX$10144,AH$22,FALSE))=0,"",VLOOKUP($B52,Database!$B$1:$IX$10144,AH$22,FALSE)))</f>
        <v>1.5</v>
      </c>
      <c r="AI52" s="22">
        <f>IF(OR($B52="",AI$22=""),"",IF(LEN(VLOOKUP($B52,Database!$B$1:$IX$10144,AI$22,FALSE))=0,"",VLOOKUP($B52,Database!$B$1:$IX$10144,AI$22,FALSE)))</f>
        <v>1</v>
      </c>
      <c r="AJ52" s="22" t="str">
        <f>IF(OR($B52="",AJ$22=""),"",IF(LEN(VLOOKUP($B52,Database!$B$1:$IX$10144,AJ$22,FALSE))=0,"",VLOOKUP($B52,Database!$B$1:$IX$10144,AJ$22,FALSE)))</f>
        <v/>
      </c>
      <c r="AK52" s="22" t="str">
        <f>IF(OR($B52="",AK$22=""),"",IF(LEN(VLOOKUP($B52,Database!$B$1:$IX$10144,AK$22,FALSE))=0,"",VLOOKUP($B52,Database!$B$1:$IX$10144,AK$22,FALSE)))</f>
        <v>split into subgroups</v>
      </c>
      <c r="AL52" s="22" t="str">
        <f>IF(OR($B52="",AL$22=""),"",IF(LEN(VLOOKUP($B52,Database!$B$1:$IX$10144,AL$22,FALSE))=0,"",VLOOKUP($B52,Database!$B$1:$IX$10144,AL$22,FALSE)))</f>
        <v>ns</v>
      </c>
      <c r="AM52" s="22" t="str">
        <f>IF(OR($B52="",AM$22=""),"",IF(LEN(VLOOKUP($B52,Database!$B$1:$IX$10144,AM$22,FALSE))=0,"",VLOOKUP($B52,Database!$B$1:$IX$10144,AM$22,FALSE)))</f>
        <v/>
      </c>
      <c r="AN52" s="22" t="str">
        <f>IF(OR($B52="",AN$22=""),"",IF(LEN(VLOOKUP($B52,Database!$B$1:$IX$10144,AN$22,FALSE))=0,"",VLOOKUP($B52,Database!$B$1:$IX$10144,AN$22,FALSE)))</f>
        <v/>
      </c>
      <c r="AO52" s="22" t="str">
        <f>IF(OR($B52="",AO$22=""),"",IF(LEN(VLOOKUP($B52,Database!$B$1:$IX$10144,AO$22,FALSE))=0,"",VLOOKUP($B52,Database!$B$1:$IX$10144,AO$22,FALSE)))</f>
        <v/>
      </c>
      <c r="AP52" s="22">
        <f>IF(OR($B52="",AP$22=""),"",IF(LEN(VLOOKUP($B52,Database!$B$1:$IX$10144,AP$22,FALSE))=0,"",VLOOKUP($B52,Database!$B$1:$IX$10144,AP$22,FALSE)))</f>
        <v>16.071428571428573</v>
      </c>
      <c r="AQ52" s="22" t="str">
        <f>IF(OR($B52="",AQ$22=""),"",IF(LEN(VLOOKUP($B52,Database!$B$1:$IX$10144,AQ$22,FALSE))=0,"",VLOOKUP($B52,Database!$B$1:$IX$10144,AQ$22,FALSE)))</f>
        <v>Lorenzetti V, Allen NB, Whittle S, Yücel M.</v>
      </c>
    </row>
    <row r="53" spans="1:55">
      <c r="A53" s="10" t="s">
        <v>2333</v>
      </c>
      <c r="B53">
        <v>11522262</v>
      </c>
      <c r="C53" s="1" t="str">
        <f>IF($B53="","",HYPERLINK(IF(LEN(VLOOKUP($B53,Database!$B$1:$IX$10144,2,FALSE))=0,"",VLOOKUP($B53,Database!$B$1:$IX$10144,2,FALSE))))</f>
        <v/>
      </c>
      <c r="D53" s="1" t="str">
        <f t="shared" si="0"/>
        <v>http://www.ncbi.nlm.nih.gov/pubmed/11522262</v>
      </c>
      <c r="E53" s="22" t="str">
        <f>IF($B53="","",IF(LEN(VLOOKUP($B53,Database!$B$1:$IX$10144,4,FALSE))=0,"",VLOOKUP($B53,Database!$B$1:$IX$10144,4,FALSE)))</f>
        <v>Sassi RB</v>
      </c>
      <c r="F53" s="22">
        <f>IF($B53="","",IF(LEN(VLOOKUP($B53,Database!$B$1:$IX$10144,5,FALSE))=0,"",VLOOKUP($B53,Database!$B$1:$IX$10144,5,FALSE)))</f>
        <v>2001</v>
      </c>
      <c r="G53" s="1" t="str">
        <f>IF($B53="","",HYPERLINK(IF(LEN(VLOOKUP($B53,Database!$B$1:$IX$10144,6,FALSE))=0,"",VLOOKUP($B53,Database!$B$1:$IX$10144,6,FALSE))))</f>
        <v>http://dx.doi.org/10.1016/S0006-3223(01)01086-1</v>
      </c>
      <c r="H53" s="22">
        <f>IF($B53="","",IF(LEN(VLOOKUP($B53,Database!$B$1:$IX$10144,7,FALSE))=0,"",VLOOKUP($B53,Database!$B$1:$IX$10144,7,FALSE)))</f>
        <v>13</v>
      </c>
      <c r="I53" s="22">
        <f>IF($B53="","",IF(LEN(VLOOKUP($B53,Database!$B$1:$IX$10144,8,FALSE))=0,"",VLOOKUP($B53,Database!$B$1:$IX$10144,8,FALSE)))</f>
        <v>34</v>
      </c>
      <c r="J53" t="s">
        <v>1455</v>
      </c>
      <c r="K53" s="10"/>
      <c r="T53">
        <v>1381.91</v>
      </c>
      <c r="U53">
        <v>108.69</v>
      </c>
      <c r="V53">
        <v>1476.17</v>
      </c>
      <c r="W53">
        <v>117.55</v>
      </c>
      <c r="X53" s="96"/>
      <c r="Y53" s="22" t="str">
        <f>IF(OR($B53="",Y$22=""),"",IF(LEN(VLOOKUP($B53,Database!$B$1:$IX$10144,Y$22,FALSE))=0,"",VLOOKUP($B53,Database!$B$1:$IX$10144,Y$22,FALSE)))</f>
        <v>DSM-IV</v>
      </c>
      <c r="Z53" s="22" t="str">
        <f>IF(OR($B53="",Z$22=""),"",IF(LEN(VLOOKUP($B53,Database!$B$1:$IX$10144,Z$22,FALSE))=0,"",VLOOKUP($B53,Database!$B$1:$IX$10144,Z$22,FALSE)))</f>
        <v>MRI</v>
      </c>
      <c r="AA53" s="22" t="str">
        <f>IF(OR($B53="",AA$22=""),"",IF(LEN(VLOOKUP($B53,Database!$B$1:$IX$10144,AA$22,FALSE))=0,"",VLOOKUP($B53,Database!$B$1:$IX$10144,AA$22,FALSE)))</f>
        <v/>
      </c>
      <c r="AB53" s="22"/>
      <c r="AC53" s="22"/>
      <c r="AD53" s="22">
        <f>IF(OR($B53="",AD$22=""),"",IF(LEN(VLOOKUP($B53,Database!$B$1:$IX$10144,AD$22,FALSE))=0,"",VLOOKUP($B53,Database!$B$1:$IX$10144,AD$22,FALSE)))</f>
        <v>36.6</v>
      </c>
      <c r="AE53" s="22">
        <f>IF(OR($B53="",AE$22=""),"",IF(LEN(VLOOKUP($B53,Database!$B$1:$IX$10144,AE$22,FALSE))=0,"",VLOOKUP($B53,Database!$B$1:$IX$10144,AE$22,FALSE)))</f>
        <v>9.6</v>
      </c>
      <c r="AF53" s="22">
        <f>IF(OR($B53="",AF$22=""),"",IF(LEN(VLOOKUP($B53,Database!$B$1:$IX$10144,AF$22,FALSE))=0,"",VLOOKUP($B53,Database!$B$1:$IX$10144,AF$22,FALSE)))</f>
        <v>12</v>
      </c>
      <c r="AG53" s="22">
        <f>IF(OR($B53="",AG$22=""),"",IF(LEN(VLOOKUP($B53,Database!$B$1:$IX$10144,AG$22,FALSE))=0,"",VLOOKUP($B53,Database!$B$1:$IX$10144,AG$22,FALSE)))</f>
        <v>13</v>
      </c>
      <c r="AH53" s="22">
        <f>IF(OR($B53="",AH$22=""),"",IF(LEN(VLOOKUP($B53,Database!$B$1:$IX$10144,AH$22,FALSE))=0,"",VLOOKUP($B53,Database!$B$1:$IX$10144,AH$22,FALSE)))</f>
        <v>1.5</v>
      </c>
      <c r="AI53" s="22">
        <f>IF(OR($B53="",AI$22=""),"",IF(LEN(VLOOKUP($B53,Database!$B$1:$IX$10144,AI$22,FALSE))=0,"",VLOOKUP($B53,Database!$B$1:$IX$10144,AI$22,FALSE)))</f>
        <v>1.5</v>
      </c>
      <c r="AJ53" s="22" t="str">
        <f>IF(OR($B53="",AJ$22=""),"",IF(LEN(VLOOKUP($B53,Database!$B$1:$IX$10144,AJ$22,FALSE))=0,"",VLOOKUP($B53,Database!$B$1:$IX$10144,AJ$22,FALSE)))</f>
        <v/>
      </c>
      <c r="AK53" s="22" t="str">
        <f>IF(OR($B53="",AK$22=""),"",IF(LEN(VLOOKUP($B53,Database!$B$1:$IX$10144,AK$22,FALSE))=0,"",VLOOKUP($B53,Database!$B$1:$IX$10144,AK$22,FALSE)))</f>
        <v>ns</v>
      </c>
      <c r="AL53" s="22" t="str">
        <f>IF(OR($B53="",AL$22=""),"",IF(LEN(VLOOKUP($B53,Database!$B$1:$IX$10144,AL$22,FALSE))=0,"",VLOOKUP($B53,Database!$B$1:$IX$10144,AL$22,FALSE)))</f>
        <v>ns</v>
      </c>
      <c r="AM53" s="22">
        <f>IF(OR($B53="",AM$22=""),"",IF(LEN(VLOOKUP($B53,Database!$B$1:$IX$10144,AM$22,FALSE))=0,"",VLOOKUP($B53,Database!$B$1:$IX$10144,AM$22,FALSE)))</f>
        <v>0</v>
      </c>
      <c r="AN53" s="22">
        <f>IF(OR($B53="",AN$22=""),"",IF(LEN(VLOOKUP($B53,Database!$B$1:$IX$10144,AN$22,FALSE))=0,"",VLOOKUP($B53,Database!$B$1:$IX$10144,AN$22,FALSE)))</f>
        <v>0</v>
      </c>
      <c r="AO53" s="22">
        <f>IF(OR($B53="",AO$22=""),"",IF(LEN(VLOOKUP($B53,Database!$B$1:$IX$10144,AO$22,FALSE))=0,"",VLOOKUP($B53,Database!$B$1:$IX$10144,AO$22,FALSE)))</f>
        <v>0</v>
      </c>
      <c r="AP53" s="22">
        <f>IF(OR($B53="",AP$22=""),"",IF(LEN(VLOOKUP($B53,Database!$B$1:$IX$10144,AP$22,FALSE))=0,"",VLOOKUP($B53,Database!$B$1:$IX$10144,AP$22,FALSE)))</f>
        <v>100</v>
      </c>
      <c r="AQ53" s="22" t="str">
        <f>IF(OR($B53="",AQ$22=""),"",IF(LEN(VLOOKUP($B53,Database!$B$1:$IX$10144,AQ$22,FALSE))=0,"",VLOOKUP($B53,Database!$B$1:$IX$10144,AQ$22,FALSE)))</f>
        <v>Sassi RB, Nicoletti M, Brambilla P, Harenski K, Mallinger AG, Frank E, Kupfer DJ, Keshavan MS, Soares JC.</v>
      </c>
    </row>
    <row r="54" spans="1:55">
      <c r="A54" s="10" t="s">
        <v>2189</v>
      </c>
      <c r="B54">
        <v>11825139</v>
      </c>
      <c r="C54" s="1" t="str">
        <f>IF($B54="","",HYPERLINK(IF(LEN(VLOOKUP($B54,Database!$B$1:$IX$10144,2,FALSE))=0,"",VLOOKUP($B54,Database!$B$1:$IX$10144,2,FALSE))))</f>
        <v/>
      </c>
      <c r="D54" s="1" t="str">
        <f t="shared" si="0"/>
        <v>http://www.ncbi.nlm.nih.gov/pubmed/11825139</v>
      </c>
      <c r="E54" s="22" t="str">
        <f>IF($B54="","",IF(LEN(VLOOKUP($B54,Database!$B$1:$IX$10144,4,FALSE))=0,"",VLOOKUP($B54,Database!$B$1:$IX$10144,4,FALSE)))</f>
        <v>Nolan CL</v>
      </c>
      <c r="F54" s="22">
        <f>IF($B54="","",IF(LEN(VLOOKUP($B54,Database!$B$1:$IX$10144,5,FALSE))=0,"",VLOOKUP($B54,Database!$B$1:$IX$10144,5,FALSE)))</f>
        <v>2002</v>
      </c>
      <c r="G54" s="1" t="str">
        <f>IF($B54="","",HYPERLINK(IF(LEN(VLOOKUP($B54,Database!$B$1:$IX$10144,6,FALSE))=0,"",VLOOKUP($B54,Database!$B$1:$IX$10144,6,FALSE))))</f>
        <v>http://archpsyc.ama-assn.org/cgi/reprint/59/2/173</v>
      </c>
      <c r="H54" s="22">
        <f>IF($B54="","",IF(LEN(VLOOKUP($B54,Database!$B$1:$IX$10144,7,FALSE))=0,"",VLOOKUP($B54,Database!$B$1:$IX$10144,7,FALSE)))</f>
        <v>22</v>
      </c>
      <c r="I54" s="22">
        <f>IF($B54="","",IF(LEN(VLOOKUP($B54,Database!$B$1:$IX$10144,8,FALSE))=0,"",VLOOKUP($B54,Database!$B$1:$IX$10144,8,FALSE)))</f>
        <v>22</v>
      </c>
      <c r="J54" t="s">
        <v>1455</v>
      </c>
      <c r="K54" s="10"/>
      <c r="T54">
        <v>1224.8699999999999</v>
      </c>
      <c r="U54">
        <v>198.06</v>
      </c>
      <c r="V54">
        <v>1158.6199999999999</v>
      </c>
      <c r="W54">
        <v>116.19</v>
      </c>
      <c r="Y54" s="22" t="str">
        <f>IF(OR($B54="",Y$22=""),"",IF(LEN(VLOOKUP($B54,Database!$B$1:$IX$10144,Y$22,FALSE))=0,"",VLOOKUP($B54,Database!$B$1:$IX$10144,Y$22,FALSE)))</f>
        <v>DSM-IV</v>
      </c>
      <c r="Z54" s="22" t="str">
        <f>IF(OR($B54="",Z$22=""),"",IF(LEN(VLOOKUP($B54,Database!$B$1:$IX$10144,Z$22,FALSE))=0,"",VLOOKUP($B54,Database!$B$1:$IX$10144,Z$22,FALSE)))</f>
        <v>MRI</v>
      </c>
      <c r="AA54" s="22" t="str">
        <f>IF(OR($B54="",AA$22=""),"",IF(LEN(VLOOKUP($B54,Database!$B$1:$IX$10144,AA$22,FALSE))=0,"",VLOOKUP($B54,Database!$B$1:$IX$10144,AA$22,FALSE)))</f>
        <v/>
      </c>
      <c r="AB54" s="22" t="str">
        <f>IF(OR($B54="",AB$22=""),"",IF(LEN(VLOOKUP($B54,Database!$B$1:$IX$10144,AB$22,FALSE))=0,"",VLOOKUP($B54,Database!$B$1:$IX$10144,AB$22,FALSE)))</f>
        <v/>
      </c>
      <c r="AC54" s="22" t="str">
        <f>IF(OR($B54="",AC$22=""),"",IF(LEN(VLOOKUP($B54,Database!$B$1:$IX$10144,AC$22,FALSE))=0,"",VLOOKUP($B54,Database!$B$1:$IX$10144,AC$22,FALSE)))</f>
        <v/>
      </c>
      <c r="AD54" s="22" t="str">
        <f>IF(OR($B54="",AD$22=""),"",IF(LEN(VLOOKUP($B54,Database!$B$1:$IX$10144,AD$22,FALSE))=0,"",VLOOKUP($B54,Database!$B$1:$IX$10144,AD$22,FALSE)))</f>
        <v/>
      </c>
      <c r="AE54" s="22" t="str">
        <f>IF(OR($B54="",AE$22=""),"",IF(LEN(VLOOKUP($B54,Database!$B$1:$IX$10144,AE$22,FALSE))=0,"",VLOOKUP($B54,Database!$B$1:$IX$10144,AE$22,FALSE)))</f>
        <v/>
      </c>
      <c r="AF54" s="22">
        <f>IF(OR($B54="",AF$22=""),"",IF(LEN(VLOOKUP($B54,Database!$B$1:$IX$10144,AF$22,FALSE))=0,"",VLOOKUP($B54,Database!$B$1:$IX$10144,AF$22,FALSE)))</f>
        <v>12</v>
      </c>
      <c r="AG54" s="22">
        <f>IF(OR($B54="",AG$22=""),"",IF(LEN(VLOOKUP($B54,Database!$B$1:$IX$10144,AG$22,FALSE))=0,"",VLOOKUP($B54,Database!$B$1:$IX$10144,AG$22,FALSE)))</f>
        <v>12</v>
      </c>
      <c r="AH54" s="22">
        <f>IF(OR($B54="",AH$22=""),"",IF(LEN(VLOOKUP($B54,Database!$B$1:$IX$10144,AH$22,FALSE))=0,"",VLOOKUP($B54,Database!$B$1:$IX$10144,AH$22,FALSE)))</f>
        <v>1.5</v>
      </c>
      <c r="AI54" s="22">
        <f>IF(OR($B54="",AI$22=""),"",IF(LEN(VLOOKUP($B54,Database!$B$1:$IX$10144,AI$22,FALSE))=0,"",VLOOKUP($B54,Database!$B$1:$IX$10144,AI$22,FALSE)))</f>
        <v>1.5</v>
      </c>
      <c r="AJ54" s="22" t="str">
        <f>IF(OR($B54="",AJ$22=""),"",IF(LEN(VLOOKUP($B54,Database!$B$1:$IX$10144,AJ$22,FALSE))=0,"",VLOOKUP($B54,Database!$B$1:$IX$10144,AJ$22,FALSE)))</f>
        <v/>
      </c>
      <c r="AK54" s="22">
        <f>IF(OR($B54="",AK$22=""),"",IF(LEN(VLOOKUP($B54,Database!$B$1:$IX$10144,AK$22,FALSE))=0,"",VLOOKUP($B54,Database!$B$1:$IX$10144,AK$22,FALSE)))</f>
        <v>12.18</v>
      </c>
      <c r="AL54" s="22" t="str">
        <f>IF(OR($B54="",AL$22=""),"",IF(LEN(VLOOKUP($B54,Database!$B$1:$IX$10144,AL$22,FALSE))=0,"",VLOOKUP($B54,Database!$B$1:$IX$10144,AL$22,FALSE)))</f>
        <v>ns</v>
      </c>
      <c r="AM54" s="22" t="str">
        <f>IF(OR($B54="",AM$22=""),"",IF(LEN(VLOOKUP($B54,Database!$B$1:$IX$10144,AM$22,FALSE))=0,"",VLOOKUP($B54,Database!$B$1:$IX$10144,AM$22,FALSE)))</f>
        <v>ns</v>
      </c>
      <c r="AN54" s="22" t="str">
        <f>IF(OR($B54="",AN$22=""),"",IF(LEN(VLOOKUP($B54,Database!$B$1:$IX$10144,AN$22,FALSE))=0,"",VLOOKUP($B54,Database!$B$1:$IX$10144,AN$22,FALSE)))</f>
        <v>ns</v>
      </c>
      <c r="AO54" s="22" t="str">
        <f>IF(OR($B54="",AO$22=""),"",IF(LEN(VLOOKUP($B54,Database!$B$1:$IX$10144,AO$22,FALSE))=0,"",VLOOKUP($B54,Database!$B$1:$IX$10144,AO$22,FALSE)))</f>
        <v>ns</v>
      </c>
      <c r="AP54" s="22" t="str">
        <f>IF(OR($B54="",AP$22=""),"",IF(LEN(VLOOKUP($B54,Database!$B$1:$IX$10144,AP$22,FALSE))=0,"",VLOOKUP($B54,Database!$B$1:$IX$10144,AP$22,FALSE)))</f>
        <v>ns</v>
      </c>
      <c r="AQ54" s="22" t="str">
        <f>IF(OR($B54="",AQ$22=""),"",IF(LEN(VLOOKUP($B54,Database!$B$1:$IX$10144,AQ$22,FALSE))=0,"",VLOOKUP($B54,Database!$B$1:$IX$10144,AQ$22,FALSE)))</f>
        <v>Nolan CL, Moore GJ, Madden R, Farchione T, Bartoi M, Lorch E, Stewart CM, Rosenberg DR.</v>
      </c>
    </row>
    <row r="55" spans="1:55">
      <c r="A55" s="10" t="s">
        <v>1063</v>
      </c>
      <c r="B55">
        <v>15545334</v>
      </c>
      <c r="C55" s="1" t="str">
        <f>IF($B55="","",HYPERLINK(IF(LEN(VLOOKUP($B55,Database!$B$1:$IX$10144,2,FALSE))=0,"",VLOOKUP($B55,Database!$B$1:$IX$10144,2,FALSE))))</f>
        <v/>
      </c>
      <c r="D55" s="1" t="str">
        <f t="shared" si="0"/>
        <v>http://www.ncbi.nlm.nih.gov/pubmed/15545334</v>
      </c>
      <c r="E55" s="22" t="str">
        <f>IF($B55="","",IF(LEN(VLOOKUP($B55,Database!$B$1:$IX$10144,4,FALSE))=0,"",VLOOKUP($B55,Database!$B$1:$IX$10144,4,FALSE)))</f>
        <v>Lavretsky H</v>
      </c>
      <c r="F55" s="22">
        <f>IF($B55="","",IF(LEN(VLOOKUP($B55,Database!$B$1:$IX$10144,5,FALSE))=0,"",VLOOKUP($B55,Database!$B$1:$IX$10144,5,FALSE)))</f>
        <v>2004</v>
      </c>
      <c r="G55" s="1" t="str">
        <f>IF($B55="","",HYPERLINK(IF(LEN(VLOOKUP($B55,Database!$B$1:$IX$10144,6,FALSE))=0,"",VLOOKUP($B55,Database!$B$1:$IX$10144,6,FALSE))))</f>
        <v>http://journals.lww.com/ajgponline/Abstract/2004/11000/Sex_Differences_in_Brain_Structure_in_Geriatric.12.aspx</v>
      </c>
      <c r="H55" s="83">
        <v>32</v>
      </c>
      <c r="I55" s="83">
        <v>20</v>
      </c>
      <c r="J55" t="s">
        <v>1455</v>
      </c>
      <c r="K55" t="s">
        <v>1457</v>
      </c>
      <c r="T55">
        <v>1248.77</v>
      </c>
      <c r="U55">
        <v>91.6</v>
      </c>
      <c r="V55">
        <v>1243.3</v>
      </c>
      <c r="W55">
        <v>76.900000000000006</v>
      </c>
      <c r="Y55" s="22" t="str">
        <f>IF(OR($B55="",Y$22=""),"",IF(LEN(VLOOKUP($B55,Database!$B$1:$IX$10144,Y$22,FALSE))=0,"",VLOOKUP($B55,Database!$B$1:$IX$10144,Y$22,FALSE)))</f>
        <v>DSM-IV</v>
      </c>
      <c r="Z55" s="22" t="str">
        <f>IF(OR($B55="",Z$22=""),"",IF(LEN(VLOOKUP($B55,Database!$B$1:$IX$10144,Z$22,FALSE))=0,"",VLOOKUP($B55,Database!$B$1:$IX$10144,Z$22,FALSE)))</f>
        <v>MRI</v>
      </c>
      <c r="AA55" s="22" t="str">
        <f>IF(OR($B55="",AA$22=""),"",IF(LEN(VLOOKUP($B55,Database!$B$1:$IX$10144,AA$22,FALSE))=0,"",VLOOKUP($B55,Database!$B$1:$IX$10144,AA$22,FALSE)))</f>
        <v/>
      </c>
      <c r="AB55" s="22">
        <f>IF(OR($B55="",AB$22=""),"",IF(LEN(VLOOKUP($B55,Database!$B$1:$IX$10144,AB$22,FALSE))=0,"",VLOOKUP($B55,Database!$B$1:$IX$10144,AB$22,FALSE)))</f>
        <v>70.5</v>
      </c>
      <c r="AC55" s="22">
        <f>IF(OR($B55="",AC$22=""),"",IF(LEN(VLOOKUP($B55,Database!$B$1:$IX$10144,AC$22,FALSE))=0,"",VLOOKUP($B55,Database!$B$1:$IX$10144,AC$22,FALSE)))</f>
        <v>7.6</v>
      </c>
      <c r="AD55" s="22">
        <f>IF(OR($B55="",AD$22=""),"",IF(LEN(VLOOKUP($B55,Database!$B$1:$IX$10144,AD$22,FALSE))=0,"",VLOOKUP($B55,Database!$B$1:$IX$10144,AD$22,FALSE)))</f>
        <v>72.2</v>
      </c>
      <c r="AE55" s="22">
        <f>IF(OR($B55="",AE$22=""),"",IF(LEN(VLOOKUP($B55,Database!$B$1:$IX$10144,AE$22,FALSE))=0,"",VLOOKUP($B55,Database!$B$1:$IX$10144,AE$22,FALSE)))</f>
        <v>7.3</v>
      </c>
      <c r="AF55" s="22">
        <f>IF(OR($B55="",AF$22=""),"",IF(LEN(VLOOKUP($B55,Database!$B$1:$IX$10144,AF$22,FALSE))=0,"",VLOOKUP($B55,Database!$B$1:$IX$10144,AF$22,FALSE)))</f>
        <v>32</v>
      </c>
      <c r="AG55" s="22">
        <f>IF(OR($B55="",AG$22=""),"",IF(LEN(VLOOKUP($B55,Database!$B$1:$IX$10144,AG$22,FALSE))=0,"",VLOOKUP($B55,Database!$B$1:$IX$10144,AG$22,FALSE)))</f>
        <v>20</v>
      </c>
      <c r="AH55" s="22">
        <f>IF(OR($B55="",AH$22=""),"",IF(LEN(VLOOKUP($B55,Database!$B$1:$IX$10144,AH$22,FALSE))=0,"",VLOOKUP($B55,Database!$B$1:$IX$10144,AH$22,FALSE)))</f>
        <v>1.5</v>
      </c>
      <c r="AI55" s="22">
        <f>IF(OR($B55="",AI$22=""),"",IF(LEN(VLOOKUP($B55,Database!$B$1:$IX$10144,AI$22,FALSE))=0,"",VLOOKUP($B55,Database!$B$1:$IX$10144,AI$22,FALSE)))</f>
        <v>1.4</v>
      </c>
      <c r="AJ55" s="22" t="str">
        <f>IF(OR($B55="",AJ$22=""),"",IF(LEN(VLOOKUP($B55,Database!$B$1:$IX$10144,AJ$22,FALSE))=0,"",VLOOKUP($B55,Database!$B$1:$IX$10144,AJ$22,FALSE)))</f>
        <v/>
      </c>
      <c r="AK55" s="22">
        <f>IF(OR($B55="",AK$22=""),"",IF(LEN(VLOOKUP($B55,Database!$B$1:$IX$10144,AK$22,FALSE))=0,"",VLOOKUP($B55,Database!$B$1:$IX$10144,AK$22,FALSE)))</f>
        <v>48.5</v>
      </c>
      <c r="AL55" s="22" t="str">
        <f>IF(OR($B55="",AL$22=""),"",IF(LEN(VLOOKUP($B55,Database!$B$1:$IX$10144,AL$22,FALSE))=0,"",VLOOKUP($B55,Database!$B$1:$IX$10144,AL$22,FALSE)))</f>
        <v>ns</v>
      </c>
      <c r="AM55" s="22">
        <f>IF(OR($B55="",AM$22=""),"",IF(LEN(VLOOKUP($B55,Database!$B$1:$IX$10144,AM$22,FALSE))=0,"",VLOOKUP($B55,Database!$B$1:$IX$10144,AM$22,FALSE)))</f>
        <v>0</v>
      </c>
      <c r="AN55" s="22">
        <f>IF(OR($B55="",AN$22=""),"",IF(LEN(VLOOKUP($B55,Database!$B$1:$IX$10144,AN$22,FALSE))=0,"",VLOOKUP($B55,Database!$B$1:$IX$10144,AN$22,FALSE)))</f>
        <v>0</v>
      </c>
      <c r="AO55" s="22">
        <f>IF(OR($B55="",AO$22=""),"",IF(LEN(VLOOKUP($B55,Database!$B$1:$IX$10144,AO$22,FALSE))=0,"",VLOOKUP($B55,Database!$B$1:$IX$10144,AO$22,FALSE)))</f>
        <v>0</v>
      </c>
      <c r="AP55" s="22">
        <f>IF(OR($B55="",AP$22=""),"",IF(LEN(VLOOKUP($B55,Database!$B$1:$IX$10144,AP$22,FALSE))=0,"",VLOOKUP($B55,Database!$B$1:$IX$10144,AP$22,FALSE)))</f>
        <v>100</v>
      </c>
      <c r="AQ55" s="22" t="str">
        <f>IF(OR($B55="",AQ$22=""),"",IF(LEN(VLOOKUP($B55,Database!$B$1:$IX$10144,AQ$22,FALSE))=0,"",VLOOKUP($B55,Database!$B$1:$IX$10144,AQ$22,FALSE)))</f>
        <v>Lavretsky H, Kurbanyan K, Ballmaier M, Mintz J, Toga A, Kumar A.</v>
      </c>
    </row>
    <row r="56" spans="1:55">
      <c r="A56" s="10" t="s">
        <v>1063</v>
      </c>
      <c r="B56">
        <v>15545334</v>
      </c>
      <c r="C56" s="1" t="str">
        <f>IF($B56="","",HYPERLINK(IF(LEN(VLOOKUP($B56,Database!$B$1:$IX$10144,2,FALSE))=0,"",VLOOKUP($B56,Database!$B$1:$IX$10144,2,FALSE))))</f>
        <v/>
      </c>
      <c r="D56" s="1" t="str">
        <f t="shared" si="0"/>
        <v>http://www.ncbi.nlm.nih.gov/pubmed/15545334</v>
      </c>
      <c r="E56" s="22" t="str">
        <f>IF($B56="","",IF(LEN(VLOOKUP($B56,Database!$B$1:$IX$10144,4,FALSE))=0,"",VLOOKUP($B56,Database!$B$1:$IX$10144,4,FALSE)))</f>
        <v>Lavretsky H</v>
      </c>
      <c r="F56" s="22">
        <f>IF($B56="","",IF(LEN(VLOOKUP($B56,Database!$B$1:$IX$10144,5,FALSE))=0,"",VLOOKUP($B56,Database!$B$1:$IX$10144,5,FALSE)))</f>
        <v>2004</v>
      </c>
      <c r="G56" s="1" t="str">
        <f>IF($B56="","",HYPERLINK(IF(LEN(VLOOKUP($B56,Database!$B$1:$IX$10144,6,FALSE))=0,"",VLOOKUP($B56,Database!$B$1:$IX$10144,6,FALSE))))</f>
        <v>http://journals.lww.com/ajgponline/Abstract/2004/11000/Sex_Differences_in_Brain_Structure_in_Geriatric.12.aspx</v>
      </c>
      <c r="H56" s="83">
        <v>9</v>
      </c>
      <c r="I56" s="83">
        <v>21</v>
      </c>
      <c r="J56" t="s">
        <v>1455</v>
      </c>
      <c r="K56" t="s">
        <v>1458</v>
      </c>
      <c r="T56">
        <v>1454.6</v>
      </c>
      <c r="U56">
        <v>134.56</v>
      </c>
      <c r="V56">
        <v>1383.1</v>
      </c>
      <c r="W56">
        <v>171.8</v>
      </c>
      <c r="Y56" s="22" t="str">
        <f>IF(OR($B56="",Y$22=""),"",IF(LEN(VLOOKUP($B56,Database!$B$1:$IX$10144,Y$22,FALSE))=0,"",VLOOKUP($B56,Database!$B$1:$IX$10144,Y$22,FALSE)))</f>
        <v>DSM-IV</v>
      </c>
      <c r="Z56" s="22" t="str">
        <f>IF(OR($B56="",Z$22=""),"",IF(LEN(VLOOKUP($B56,Database!$B$1:$IX$10144,Z$22,FALSE))=0,"",VLOOKUP($B56,Database!$B$1:$IX$10144,Z$22,FALSE)))</f>
        <v>MRI</v>
      </c>
      <c r="AA56" s="22" t="str">
        <f>IF(OR($B56="",AA$22=""),"",IF(LEN(VLOOKUP($B56,Database!$B$1:$IX$10144,AA$22,FALSE))=0,"",VLOOKUP($B56,Database!$B$1:$IX$10144,AA$22,FALSE)))</f>
        <v/>
      </c>
      <c r="AB56" s="22">
        <f>IF(OR($B56="",AB$22=""),"",IF(LEN(VLOOKUP($B56,Database!$B$1:$IX$10144,AB$22,FALSE))=0,"",VLOOKUP($B56,Database!$B$1:$IX$10144,AB$22,FALSE)))</f>
        <v>70.5</v>
      </c>
      <c r="AC56" s="22">
        <f>IF(OR($B56="",AC$22=""),"",IF(LEN(VLOOKUP($B56,Database!$B$1:$IX$10144,AC$22,FALSE))=0,"",VLOOKUP($B56,Database!$B$1:$IX$10144,AC$22,FALSE)))</f>
        <v>7.6</v>
      </c>
      <c r="AD56" s="22">
        <f>IF(OR($B56="",AD$22=""),"",IF(LEN(VLOOKUP($B56,Database!$B$1:$IX$10144,AD$22,FALSE))=0,"",VLOOKUP($B56,Database!$B$1:$IX$10144,AD$22,FALSE)))</f>
        <v>72.2</v>
      </c>
      <c r="AE56" s="22">
        <f>IF(OR($B56="",AE$22=""),"",IF(LEN(VLOOKUP($B56,Database!$B$1:$IX$10144,AE$22,FALSE))=0,"",VLOOKUP($B56,Database!$B$1:$IX$10144,AE$22,FALSE)))</f>
        <v>7.3</v>
      </c>
      <c r="AF56" s="22">
        <f>IF(OR($B56="",AF$22=""),"",IF(LEN(VLOOKUP($B56,Database!$B$1:$IX$10144,AF$22,FALSE))=0,"",VLOOKUP($B56,Database!$B$1:$IX$10144,AF$22,FALSE)))</f>
        <v>32</v>
      </c>
      <c r="AG56" s="22">
        <f>IF(OR($B56="",AG$22=""),"",IF(LEN(VLOOKUP($B56,Database!$B$1:$IX$10144,AG$22,FALSE))=0,"",VLOOKUP($B56,Database!$B$1:$IX$10144,AG$22,FALSE)))</f>
        <v>20</v>
      </c>
      <c r="AH56" s="22">
        <f>IF(OR($B56="",AH$22=""),"",IF(LEN(VLOOKUP($B56,Database!$B$1:$IX$10144,AH$22,FALSE))=0,"",VLOOKUP($B56,Database!$B$1:$IX$10144,AH$22,FALSE)))</f>
        <v>1.5</v>
      </c>
      <c r="AI56" s="22">
        <f>IF(OR($B56="",AI$22=""),"",IF(LEN(VLOOKUP($B56,Database!$B$1:$IX$10144,AI$22,FALSE))=0,"",VLOOKUP($B56,Database!$B$1:$IX$10144,AI$22,FALSE)))</f>
        <v>1.4</v>
      </c>
      <c r="AJ56" s="22" t="str">
        <f>IF(OR($B56="",AJ$22=""),"",IF(LEN(VLOOKUP($B56,Database!$B$1:$IX$10144,AJ$22,FALSE))=0,"",VLOOKUP($B56,Database!$B$1:$IX$10144,AJ$22,FALSE)))</f>
        <v/>
      </c>
      <c r="AK56" s="22">
        <f>IF(OR($B56="",AK$22=""),"",IF(LEN(VLOOKUP($B56,Database!$B$1:$IX$10144,AK$22,FALSE))=0,"",VLOOKUP($B56,Database!$B$1:$IX$10144,AK$22,FALSE)))</f>
        <v>48.5</v>
      </c>
      <c r="AL56" s="22" t="str">
        <f>IF(OR($B56="",AL$22=""),"",IF(LEN(VLOOKUP($B56,Database!$B$1:$IX$10144,AL$22,FALSE))=0,"",VLOOKUP($B56,Database!$B$1:$IX$10144,AL$22,FALSE)))</f>
        <v>ns</v>
      </c>
      <c r="AM56" s="22">
        <f>IF(OR($B56="",AM$22=""),"",IF(LEN(VLOOKUP($B56,Database!$B$1:$IX$10144,AM$22,FALSE))=0,"",VLOOKUP($B56,Database!$B$1:$IX$10144,AM$22,FALSE)))</f>
        <v>0</v>
      </c>
      <c r="AN56" s="22">
        <f>IF(OR($B56="",AN$22=""),"",IF(LEN(VLOOKUP($B56,Database!$B$1:$IX$10144,AN$22,FALSE))=0,"",VLOOKUP($B56,Database!$B$1:$IX$10144,AN$22,FALSE)))</f>
        <v>0</v>
      </c>
      <c r="AO56" s="22">
        <f>IF(OR($B56="",AO$22=""),"",IF(LEN(VLOOKUP($B56,Database!$B$1:$IX$10144,AO$22,FALSE))=0,"",VLOOKUP($B56,Database!$B$1:$IX$10144,AO$22,FALSE)))</f>
        <v>0</v>
      </c>
      <c r="AP56" s="22">
        <f>IF(OR($B56="",AP$22=""),"",IF(LEN(VLOOKUP($B56,Database!$B$1:$IX$10144,AP$22,FALSE))=0,"",VLOOKUP($B56,Database!$B$1:$IX$10144,AP$22,FALSE)))</f>
        <v>100</v>
      </c>
      <c r="AQ56" s="22" t="str">
        <f>IF(OR($B56="",AQ$22=""),"",IF(LEN(VLOOKUP($B56,Database!$B$1:$IX$10144,AQ$22,FALSE))=0,"",VLOOKUP($B56,Database!$B$1:$IX$10144,AQ$22,FALSE)))</f>
        <v>Lavretsky H, Kurbanyan K, Ballmaier M, Mintz J, Toga A, Kumar A.</v>
      </c>
    </row>
    <row r="57" spans="1:55">
      <c r="A57" s="10" t="s">
        <v>1063</v>
      </c>
      <c r="B57">
        <v>16086609</v>
      </c>
      <c r="C57" s="1" t="str">
        <f>IF($B57="","",HYPERLINK(IF(LEN(VLOOKUP($B57,Database!$B$1:$IX$10144,2,FALSE))=0,"",VLOOKUP($B57,Database!$B$1:$IX$10144,2,FALSE))))</f>
        <v/>
      </c>
      <c r="D57" s="1" t="str">
        <f t="shared" si="0"/>
        <v>http://www.ncbi.nlm.nih.gov/pubmed/16086609</v>
      </c>
      <c r="E57" s="22" t="str">
        <f>IF($B57="","",IF(LEN(VLOOKUP($B57,Database!$B$1:$IX$10144,4,FALSE))=0,"",VLOOKUP($B57,Database!$B$1:$IX$10144,4,FALSE)))</f>
        <v>Lavretsky H</v>
      </c>
      <c r="F57" s="22">
        <f>IF($B57="","",IF(LEN(VLOOKUP($B57,Database!$B$1:$IX$10144,5,FALSE))=0,"",VLOOKUP($B57,Database!$B$1:$IX$10144,5,FALSE)))</f>
        <v>2005</v>
      </c>
      <c r="G57" s="1" t="str">
        <f>IF($B57="","",HYPERLINK(IF(LEN(VLOOKUP($B57,Database!$B$1:$IX$10144,6,FALSE))=0,"",VLOOKUP($B57,Database!$B$1:$IX$10144,6,FALSE))))</f>
        <v>http://www.psychiatrist.com/privatepdf/2005/v66n08/v66n0801.pdf</v>
      </c>
      <c r="H57" s="22">
        <f>IF($B57="","",IF(LEN(VLOOKUP($B57,Database!$B$1:$IX$10144,7,FALSE))=0,"",VLOOKUP($B57,Database!$B$1:$IX$10144,7,FALSE)))</f>
        <v>41</v>
      </c>
      <c r="I57" s="22">
        <f>IF($B57="","",IF(LEN(VLOOKUP($B57,Database!$B$1:$IX$10144,8,FALSE))=0,"",VLOOKUP($B57,Database!$B$1:$IX$10144,8,FALSE)))</f>
        <v>41</v>
      </c>
      <c r="K57" s="10"/>
      <c r="Y57" s="22" t="str">
        <f>IF(OR($B57="",Y$22=""),"",IF(LEN(VLOOKUP($B57,Database!$B$1:$IX$10144,Y$22,FALSE))=0,"",VLOOKUP($B57,Database!$B$1:$IX$10144,Y$22,FALSE)))</f>
        <v>DSM-IV</v>
      </c>
      <c r="Z57" s="22" t="str">
        <f>IF(OR($B57="",Z$22=""),"",IF(LEN(VLOOKUP($B57,Database!$B$1:$IX$10144,Z$22,FALSE))=0,"",VLOOKUP($B57,Database!$B$1:$IX$10144,Z$22,FALSE)))</f>
        <v>MRI</v>
      </c>
      <c r="AA57" s="22" t="str">
        <f>IF(OR($B57="",AA$22=""),"",IF(LEN(VLOOKUP($B57,Database!$B$1:$IX$10144,AA$22,FALSE))=0,"",VLOOKUP($B57,Database!$B$1:$IX$10144,AA$22,FALSE)))</f>
        <v/>
      </c>
      <c r="AB57" s="22">
        <f>IF(OR($B57="",AB$22=""),"",IF(LEN(VLOOKUP($B57,Database!$B$1:$IX$10144,AB$22,FALSE))=0,"",VLOOKUP($B57,Database!$B$1:$IX$10144,AB$22,FALSE)))</f>
        <v>70.5</v>
      </c>
      <c r="AC57" s="22">
        <f>IF(OR($B57="",AC$22=""),"",IF(LEN(VLOOKUP($B57,Database!$B$1:$IX$10144,AC$22,FALSE))=0,"",VLOOKUP($B57,Database!$B$1:$IX$10144,AC$22,FALSE)))</f>
        <v>7.6</v>
      </c>
      <c r="AD57" s="22">
        <f>IF(OR($B57="",AD$22=""),"",IF(LEN(VLOOKUP($B57,Database!$B$1:$IX$10144,AD$22,FALSE))=0,"",VLOOKUP($B57,Database!$B$1:$IX$10144,AD$22,FALSE)))</f>
        <v>72.2</v>
      </c>
      <c r="AE57" s="22">
        <f>IF(OR($B57="",AE$22=""),"",IF(LEN(VLOOKUP($B57,Database!$B$1:$IX$10144,AE$22,FALSE))=0,"",VLOOKUP($B57,Database!$B$1:$IX$10144,AE$22,FALSE)))</f>
        <v>7.3</v>
      </c>
      <c r="AF57" s="22">
        <f>IF(OR($B57="",AF$22=""),"",IF(LEN(VLOOKUP($B57,Database!$B$1:$IX$10144,AF$22,FALSE))=0,"",VLOOKUP($B57,Database!$B$1:$IX$10144,AF$22,FALSE)))</f>
        <v>32</v>
      </c>
      <c r="AG57" s="22">
        <f>IF(OR($B57="",AG$22=""),"",IF(LEN(VLOOKUP($B57,Database!$B$1:$IX$10144,AG$22,FALSE))=0,"",VLOOKUP($B57,Database!$B$1:$IX$10144,AG$22,FALSE)))</f>
        <v>20</v>
      </c>
      <c r="AH57" s="22">
        <f>IF(OR($B57="",AH$22=""),"",IF(LEN(VLOOKUP($B57,Database!$B$1:$IX$10144,AH$22,FALSE))=0,"",VLOOKUP($B57,Database!$B$1:$IX$10144,AH$22,FALSE)))</f>
        <v>1.5</v>
      </c>
      <c r="AI57" s="22">
        <f>IF(OR($B57="",AI$22=""),"",IF(LEN(VLOOKUP($B57,Database!$B$1:$IX$10144,AI$22,FALSE))=0,"",VLOOKUP($B57,Database!$B$1:$IX$10144,AI$22,FALSE)))</f>
        <v>1.4</v>
      </c>
      <c r="AJ57" s="22" t="str">
        <f>IF(OR($B57="",AJ$22=""),"",IF(LEN(VLOOKUP($B57,Database!$B$1:$IX$10144,AJ$22,FALSE))=0,"",VLOOKUP($B57,Database!$B$1:$IX$10144,AJ$22,FALSE)))</f>
        <v/>
      </c>
      <c r="AK57" s="22" t="str">
        <f>IF(OR($B57="",AK$22=""),"",IF(LEN(VLOOKUP($B57,Database!$B$1:$IX$10144,AK$22,FALSE))=0,"",VLOOKUP($B57,Database!$B$1:$IX$10144,AK$22,FALSE)))</f>
        <v>age of onset split depending on antidepressant exposure</v>
      </c>
      <c r="AL57" s="22">
        <f>IF(OR($B57="",AL$22=""),"",IF(LEN(VLOOKUP($B57,Database!$B$1:$IX$10144,AL$22,FALSE))=0,"",VLOOKUP($B57,Database!$B$1:$IX$10144,AL$22,FALSE)))</f>
        <v>17.7</v>
      </c>
      <c r="AM57" s="22">
        <f>IF(OR($B57="",AM$22=""),"",IF(LEN(VLOOKUP($B57,Database!$B$1:$IX$10144,AM$22,FALSE))=0,"",VLOOKUP($B57,Database!$B$1:$IX$10144,AM$22,FALSE)))</f>
        <v>0</v>
      </c>
      <c r="AN57" s="22">
        <f>IF(OR($B57="",AN$22=""),"",IF(LEN(VLOOKUP($B57,Database!$B$1:$IX$10144,AN$22,FALSE))=0,"",VLOOKUP($B57,Database!$B$1:$IX$10144,AN$22,FALSE)))</f>
        <v>0</v>
      </c>
      <c r="AO57" s="22">
        <f>IF(OR($B57="",AO$22=""),"",IF(LEN(VLOOKUP($B57,Database!$B$1:$IX$10144,AO$22,FALSE))=0,"",VLOOKUP($B57,Database!$B$1:$IX$10144,AO$22,FALSE)))</f>
        <v>0</v>
      </c>
      <c r="AP57" s="22">
        <f>IF(OR($B57="",AP$22=""),"",IF(LEN(VLOOKUP($B57,Database!$B$1:$IX$10144,AP$22,FALSE))=0,"",VLOOKUP($B57,Database!$B$1:$IX$10144,AP$22,FALSE)))</f>
        <v>100</v>
      </c>
      <c r="AQ57" s="22" t="str">
        <f>IF(OR($B57="",AQ$22=""),"",IF(LEN(VLOOKUP($B57,Database!$B$1:$IX$10144,AQ$22,FALSE))=0,"",VLOOKUP($B57,Database!$B$1:$IX$10144,AQ$22,FALSE)))</f>
        <v>Lavretsky H, Roybal DJ, Ballmaier M, Toga AW, Kumar A.</v>
      </c>
    </row>
    <row r="58" spans="1:55">
      <c r="A58" s="10" t="s">
        <v>1063</v>
      </c>
      <c r="B58">
        <v>17463189</v>
      </c>
      <c r="C58" s="1" t="str">
        <f>IF($B58="","",HYPERLINK(IF(LEN(VLOOKUP($B58,Database!$B$1:$IX$10144,2,FALSE))=0,"",VLOOKUP($B58,Database!$B$1:$IX$10144,2,FALSE))))</f>
        <v/>
      </c>
      <c r="D58" s="1" t="str">
        <f t="shared" si="0"/>
        <v>http://www.ncbi.nlm.nih.gov/pubmed/17463189</v>
      </c>
      <c r="E58" s="22" t="str">
        <f>IF($B58="","",IF(LEN(VLOOKUP($B58,Database!$B$1:$IX$10144,4,FALSE))=0,"",VLOOKUP($B58,Database!$B$1:$IX$10144,4,FALSE)))</f>
        <v>Lavretsky H</v>
      </c>
      <c r="F58" s="22">
        <f>IF($B58="","",IF(LEN(VLOOKUP($B58,Database!$B$1:$IX$10144,5,FALSE))=0,"",VLOOKUP($B58,Database!$B$1:$IX$10144,5,FALSE)))</f>
        <v>2007</v>
      </c>
      <c r="G58" s="1" t="str">
        <f>IF($B58="","",HYPERLINK(IF(LEN(VLOOKUP($B58,Database!$B$1:$IX$10144,6,FALSE))=0,"",VLOOKUP($B58,Database!$B$1:$IX$10144,6,FALSE))))</f>
        <v>http://dx.doi.org/10.1097/JGP.0b013e3180325a16</v>
      </c>
      <c r="H58" s="22">
        <f>IF($B58="","",IF(LEN(VLOOKUP($B58,Database!$B$1:$IX$10144,7,FALSE))=0,"",VLOOKUP($B58,Database!$B$1:$IX$10144,7,FALSE)))</f>
        <v>43</v>
      </c>
      <c r="I58" s="22">
        <f>IF($B58="","",IF(LEN(VLOOKUP($B58,Database!$B$1:$IX$10144,8,FALSE))=0,"",VLOOKUP($B58,Database!$B$1:$IX$10144,8,FALSE)))</f>
        <v>41</v>
      </c>
      <c r="K58" s="10"/>
      <c r="Y58" s="22" t="str">
        <f>IF(OR($B58="",Y$22=""),"",IF(LEN(VLOOKUP($B58,Database!$B$1:$IX$10144,Y$22,FALSE))=0,"",VLOOKUP($B58,Database!$B$1:$IX$10144,Y$22,FALSE)))</f>
        <v>DSM-IV</v>
      </c>
      <c r="Z58" s="22" t="str">
        <f>IF(OR($B58="",Z$22=""),"",IF(LEN(VLOOKUP($B58,Database!$B$1:$IX$10144,Z$22,FALSE))=0,"",VLOOKUP($B58,Database!$B$1:$IX$10144,Z$22,FALSE)))</f>
        <v>MRI</v>
      </c>
      <c r="AA58" s="22" t="str">
        <f>IF(OR($B58="",AA$22=""),"",IF(LEN(VLOOKUP($B58,Database!$B$1:$IX$10144,AA$22,FALSE))=0,"",VLOOKUP($B58,Database!$B$1:$IX$10144,AA$22,FALSE)))</f>
        <v/>
      </c>
      <c r="AB58" s="22">
        <f>IF(OR($B58="",AB$22=""),"",IF(LEN(VLOOKUP($B58,Database!$B$1:$IX$10144,AB$22,FALSE))=0,"",VLOOKUP($B58,Database!$B$1:$IX$10144,AB$22,FALSE)))</f>
        <v>70.67</v>
      </c>
      <c r="AC58" s="22">
        <f>IF(OR($B58="",AC$22=""),"",IF(LEN(VLOOKUP($B58,Database!$B$1:$IX$10144,AC$22,FALSE))=0,"",VLOOKUP($B58,Database!$B$1:$IX$10144,AC$22,FALSE)))</f>
        <v>7.76</v>
      </c>
      <c r="AD58" s="22">
        <f>IF(OR($B58="",AD$22=""),"",IF(LEN(VLOOKUP($B58,Database!$B$1:$IX$10144,AD$22,FALSE))=0,"",VLOOKUP($B58,Database!$B$1:$IX$10144,AD$22,FALSE)))</f>
        <v>72.19</v>
      </c>
      <c r="AE58" s="22">
        <f>IF(OR($B58="",AE$22=""),"",IF(LEN(VLOOKUP($B58,Database!$B$1:$IX$10144,AE$22,FALSE))=0,"",VLOOKUP($B58,Database!$B$1:$IX$10144,AE$22,FALSE)))</f>
        <v>7.27</v>
      </c>
      <c r="AF58" s="22">
        <f>IF(OR($B58="",AF$22=""),"",IF(LEN(VLOOKUP($B58,Database!$B$1:$IX$10144,AF$22,FALSE))=0,"",VLOOKUP($B58,Database!$B$1:$IX$10144,AF$22,FALSE)))</f>
        <v>33</v>
      </c>
      <c r="AG58" s="22">
        <f>IF(OR($B58="",AG$22=""),"",IF(LEN(VLOOKUP($B58,Database!$B$1:$IX$10144,AG$22,FALSE))=0,"",VLOOKUP($B58,Database!$B$1:$IX$10144,AG$22,FALSE)))</f>
        <v>20</v>
      </c>
      <c r="AH58" s="22">
        <f>IF(OR($B58="",AH$22=""),"",IF(LEN(VLOOKUP($B58,Database!$B$1:$IX$10144,AH$22,FALSE))=0,"",VLOOKUP($B58,Database!$B$1:$IX$10144,AH$22,FALSE)))</f>
        <v>1.5</v>
      </c>
      <c r="AI58" s="22">
        <f>IF(OR($B58="",AI$22=""),"",IF(LEN(VLOOKUP($B58,Database!$B$1:$IX$10144,AI$22,FALSE))=0,"",VLOOKUP($B58,Database!$B$1:$IX$10144,AI$22,FALSE)))</f>
        <v>1.4</v>
      </c>
      <c r="AJ58" s="22" t="str">
        <f>IF(OR($B58="",AJ$22=""),"",IF(LEN(VLOOKUP($B58,Database!$B$1:$IX$10144,AJ$22,FALSE))=0,"",VLOOKUP($B58,Database!$B$1:$IX$10144,AJ$22,FALSE)))</f>
        <v/>
      </c>
      <c r="AK58" s="22">
        <f>IF(OR($B58="",AK$22=""),"",IF(LEN(VLOOKUP($B58,Database!$B$1:$IX$10144,AK$22,FALSE))=0,"",VLOOKUP($B58,Database!$B$1:$IX$10144,AK$22,FALSE)))</f>
        <v>49.6</v>
      </c>
      <c r="AL58" s="22">
        <f>IF(OR($B58="",AL$22=""),"",IF(LEN(VLOOKUP($B58,Database!$B$1:$IX$10144,AL$22,FALSE))=0,"",VLOOKUP($B58,Database!$B$1:$IX$10144,AL$22,FALSE)))</f>
        <v>17.7</v>
      </c>
      <c r="AM58" s="22">
        <f>IF(OR($B58="",AM$22=""),"",IF(LEN(VLOOKUP($B58,Database!$B$1:$IX$10144,AM$22,FALSE))=0,"",VLOOKUP($B58,Database!$B$1:$IX$10144,AM$22,FALSE)))</f>
        <v>0</v>
      </c>
      <c r="AN58" s="22">
        <f>IF(OR($B58="",AN$22=""),"",IF(LEN(VLOOKUP($B58,Database!$B$1:$IX$10144,AN$22,FALSE))=0,"",VLOOKUP($B58,Database!$B$1:$IX$10144,AN$22,FALSE)))</f>
        <v>0</v>
      </c>
      <c r="AO58" s="22">
        <f>IF(OR($B58="",AO$22=""),"",IF(LEN(VLOOKUP($B58,Database!$B$1:$IX$10144,AO$22,FALSE))=0,"",VLOOKUP($B58,Database!$B$1:$IX$10144,AO$22,FALSE)))</f>
        <v>0</v>
      </c>
      <c r="AP58" s="22">
        <f>IF(OR($B58="",AP$22=""),"",IF(LEN(VLOOKUP($B58,Database!$B$1:$IX$10144,AP$22,FALSE))=0,"",VLOOKUP($B58,Database!$B$1:$IX$10144,AP$22,FALSE)))</f>
        <v>100</v>
      </c>
      <c r="AQ58" s="22" t="str">
        <f>IF(OR($B58="",AQ$22=""),"",IF(LEN(VLOOKUP($B58,Database!$B$1:$IX$10144,AQ$22,FALSE))=0,"",VLOOKUP($B58,Database!$B$1:$IX$10144,AQ$22,FALSE)))</f>
        <v>Lavretsky H, Ballmaier M, Pham D, Toga A, Kumar A.</v>
      </c>
    </row>
    <row r="59" spans="1:55">
      <c r="A59" s="10" t="s">
        <v>305</v>
      </c>
      <c r="B59">
        <v>18511243</v>
      </c>
      <c r="C59" s="1" t="str">
        <f>IF($B59="","",HYPERLINK(IF(LEN(VLOOKUP($B59,Database!$B$1:$IX$10144,2,FALSE))=0,"",VLOOKUP($B59,Database!$B$1:$IX$10144,2,FALSE))))</f>
        <v/>
      </c>
      <c r="D59" s="1" t="str">
        <f t="shared" si="0"/>
        <v>http://www.ncbi.nlm.nih.gov/pubmed/18511243</v>
      </c>
      <c r="E59" s="22" t="str">
        <f>IF($B59="","",IF(LEN(VLOOKUP($B59,Database!$B$1:$IX$10144,4,FALSE))=0,"",VLOOKUP($B59,Database!$B$1:$IX$10144,4,FALSE)))</f>
        <v>Furtado CP</v>
      </c>
      <c r="F59" s="22">
        <f>IF($B59="","",IF(LEN(VLOOKUP($B59,Database!$B$1:$IX$10144,5,FALSE))=0,"",VLOOKUP($B59,Database!$B$1:$IX$10144,5,FALSE)))</f>
        <v>2008</v>
      </c>
      <c r="G59" s="1" t="str">
        <f>IF($B59="","",HYPERLINK(IF(LEN(VLOOKUP($B59,Database!$B$1:$IX$10144,6,FALSE))=0,"",VLOOKUP($B59,Database!$B$1:$IX$10144,6,FALSE))))</f>
        <v>http://dx.doi.org/10.1016/j.pscychresns.2007.11.005</v>
      </c>
      <c r="H59" s="22">
        <f>IF($B59="","",IF(LEN(VLOOKUP($B59,Database!$B$1:$IX$10144,7,FALSE))=0,"",VLOOKUP($B59,Database!$B$1:$IX$10144,7,FALSE)))</f>
        <v>45</v>
      </c>
      <c r="I59" s="22">
        <f>IF($B59="","",IF(LEN(VLOOKUP($B59,Database!$B$1:$IX$10144,8,FALSE))=0,"",VLOOKUP($B59,Database!$B$1:$IX$10144,8,FALSE)))</f>
        <v>30</v>
      </c>
      <c r="K59" s="10"/>
      <c r="Y59" s="22" t="str">
        <f>IF(OR($B59="",Y$22=""),"",IF(LEN(VLOOKUP($B59,Database!$B$1:$IX$10144,Y$22,FALSE))=0,"",VLOOKUP($B59,Database!$B$1:$IX$10144,Y$22,FALSE)))</f>
        <v>DSM-IV</v>
      </c>
      <c r="Z59" s="22" t="str">
        <f>IF(OR($B59="",Z$22=""),"",IF(LEN(VLOOKUP($B59,Database!$B$1:$IX$10144,Z$22,FALSE))=0,"",VLOOKUP($B59,Database!$B$1:$IX$10144,Z$22,FALSE)))</f>
        <v>MRI</v>
      </c>
      <c r="AA59" s="22" t="str">
        <f>IF(OR($B59="",AA$22=""),"",IF(LEN(VLOOKUP($B59,Database!$B$1:$IX$10144,AA$22,FALSE))=0,"",VLOOKUP($B59,Database!$B$1:$IX$10144,AA$22,FALSE)))</f>
        <v/>
      </c>
      <c r="AB59" s="22">
        <f>IF(OR($B59="",AB$22=""),"",IF(LEN(VLOOKUP($B59,Database!$B$1:$IX$10144,AB$22,FALSE))=0,"",VLOOKUP($B59,Database!$B$1:$IX$10144,AB$22,FALSE)))</f>
        <v>37.53</v>
      </c>
      <c r="AC59" s="22">
        <f>IF(OR($B59="",AC$22=""),"",IF(LEN(VLOOKUP($B59,Database!$B$1:$IX$10144,AC$22,FALSE))=0,"",VLOOKUP($B59,Database!$B$1:$IX$10144,AC$22,FALSE)))</f>
        <v>11.33</v>
      </c>
      <c r="AD59" s="22">
        <f>IF(OR($B59="",AD$22=""),"",IF(LEN(VLOOKUP($B59,Database!$B$1:$IX$10144,AD$22,FALSE))=0,"",VLOOKUP($B59,Database!$B$1:$IX$10144,AD$22,FALSE)))</f>
        <v>36.6</v>
      </c>
      <c r="AE59" s="22">
        <f>IF(OR($B59="",AE$22=""),"",IF(LEN(VLOOKUP($B59,Database!$B$1:$IX$10144,AE$22,FALSE))=0,"",VLOOKUP($B59,Database!$B$1:$IX$10144,AE$22,FALSE)))</f>
        <v>11.09</v>
      </c>
      <c r="AF59" s="22">
        <f>IF(OR($B59="",AF$22=""),"",IF(LEN(VLOOKUP($B59,Database!$B$1:$IX$10144,AF$22,FALSE))=0,"",VLOOKUP($B59,Database!$B$1:$IX$10144,AF$22,FALSE)))</f>
        <v>23</v>
      </c>
      <c r="AG59" s="22">
        <f>IF(OR($B59="",AG$22=""),"",IF(LEN(VLOOKUP($B59,Database!$B$1:$IX$10144,AG$22,FALSE))=0,"",VLOOKUP($B59,Database!$B$1:$IX$10144,AG$22,FALSE)))</f>
        <v>17</v>
      </c>
      <c r="AH59" s="22">
        <f>IF(OR($B59="",AH$22=""),"",IF(LEN(VLOOKUP($B59,Database!$B$1:$IX$10144,AH$22,FALSE))=0,"",VLOOKUP($B59,Database!$B$1:$IX$10144,AH$22,FALSE)))</f>
        <v>1.5</v>
      </c>
      <c r="AI59" s="22">
        <f>IF(OR($B59="",AI$22=""),"",IF(LEN(VLOOKUP($B59,Database!$B$1:$IX$10144,AI$22,FALSE))=0,"",VLOOKUP($B59,Database!$B$1:$IX$10144,AI$22,FALSE)))</f>
        <v>1.4</v>
      </c>
      <c r="AJ59" s="22" t="str">
        <f>IF(OR($B59="",AJ$22=""),"",IF(LEN(VLOOKUP($B59,Database!$B$1:$IX$10144,AJ$22,FALSE))=0,"",VLOOKUP($B59,Database!$B$1:$IX$10144,AJ$22,FALSE)))</f>
        <v/>
      </c>
      <c r="AK59" s="22">
        <f>IF(OR($B59="",AK$22=""),"",IF(LEN(VLOOKUP($B59,Database!$B$1:$IX$10144,AK$22,FALSE))=0,"",VLOOKUP($B59,Database!$B$1:$IX$10144,AK$22,FALSE)))</f>
        <v>26.16</v>
      </c>
      <c r="AL59" s="22" t="str">
        <f>IF(OR($B59="",AL$22=""),"",IF(LEN(VLOOKUP($B59,Database!$B$1:$IX$10144,AL$22,FALSE))=0,"",VLOOKUP($B59,Database!$B$1:$IX$10144,AL$22,FALSE)))</f>
        <v>ns</v>
      </c>
      <c r="AM59" s="22" t="str">
        <f>IF(OR($B59="",AM$22=""),"",IF(LEN(VLOOKUP($B59,Database!$B$1:$IX$10144,AM$22,FALSE))=0,"",VLOOKUP($B59,Database!$B$1:$IX$10144,AM$22,FALSE)))</f>
        <v/>
      </c>
      <c r="AN59" s="22" t="str">
        <f>IF(OR($B59="",AN$22=""),"",IF(LEN(VLOOKUP($B59,Database!$B$1:$IX$10144,AN$22,FALSE))=0,"",VLOOKUP($B59,Database!$B$1:$IX$10144,AN$22,FALSE)))</f>
        <v/>
      </c>
      <c r="AO59" s="22" t="str">
        <f>IF(OR($B59="",AO$22=""),"",IF(LEN(VLOOKUP($B59,Database!$B$1:$IX$10144,AO$22,FALSE))=0,"",VLOOKUP($B59,Database!$B$1:$IX$10144,AO$22,FALSE)))</f>
        <v/>
      </c>
      <c r="AP59" s="22" t="str">
        <f>IF(OR($B59="",AP$22=""),"",IF(LEN(VLOOKUP($B59,Database!$B$1:$IX$10144,AP$22,FALSE))=0,"",VLOOKUP($B59,Database!$B$1:$IX$10144,AP$22,FALSE)))</f>
        <v/>
      </c>
      <c r="AQ59" s="22" t="str">
        <f>IF(OR($B59="",AQ$22=""),"",IF(LEN(VLOOKUP($B59,Database!$B$1:$IX$10144,AQ$22,FALSE))=0,"",VLOOKUP($B59,Database!$B$1:$IX$10144,AQ$22,FALSE)))</f>
        <v>Furtado CP, Maller JJ, Fitzgerald PB.</v>
      </c>
    </row>
    <row r="60" spans="1:55">
      <c r="A60" s="10" t="s">
        <v>2189</v>
      </c>
      <c r="B60">
        <v>17640621</v>
      </c>
      <c r="C60" s="1" t="str">
        <f>IF($B60="","",HYPERLINK(IF(LEN(VLOOKUP($B60,Database!$B$1:$IX$10144,2,FALSE))=0,"",VLOOKUP($B60,Database!$B$1:$IX$10144,2,FALSE))))</f>
        <v/>
      </c>
      <c r="D60" s="1" t="str">
        <f t="shared" si="0"/>
        <v>http://www.ncbi.nlm.nih.gov/pubmed/17640621</v>
      </c>
      <c r="E60" s="22" t="str">
        <f>IF($B60="","",IF(LEN(VLOOKUP($B60,Database!$B$1:$IX$10144,4,FALSE))=0,"",VLOOKUP($B60,Database!$B$1:$IX$10144,4,FALSE)))</f>
        <v>MacMaster FP (B)</v>
      </c>
      <c r="F60" s="22">
        <f>IF($B60="","",IF(LEN(VLOOKUP($B60,Database!$B$1:$IX$10144,5,FALSE))=0,"",VLOOKUP($B60,Database!$B$1:$IX$10144,5,FALSE)))</f>
        <v>2008</v>
      </c>
      <c r="G60" s="1" t="str">
        <f>IF($B60="","",HYPERLINK(IF(LEN(VLOOKUP($B60,Database!$B$1:$IX$10144,6,FALSE))=0,"",VLOOKUP($B60,Database!$B$1:$IX$10144,6,FALSE))))</f>
        <v>http://dx.doi.org/10.1016/j.biopsych.2007.05.005</v>
      </c>
      <c r="H60" s="22">
        <f>IF($B60="","",IF(LEN(VLOOKUP($B60,Database!$B$1:$IX$10144,7,FALSE))=0,"",VLOOKUP($B60,Database!$B$1:$IX$10144,7,FALSE)))</f>
        <v>32</v>
      </c>
      <c r="I60" s="22">
        <f>IF($B60="","",IF(LEN(VLOOKUP($B60,Database!$B$1:$IX$10144,8,FALSE))=0,"",VLOOKUP($B60,Database!$B$1:$IX$10144,8,FALSE)))</f>
        <v>35</v>
      </c>
      <c r="J60" t="s">
        <v>1453</v>
      </c>
      <c r="T60">
        <v>1189.97</v>
      </c>
      <c r="U60">
        <v>139.18</v>
      </c>
      <c r="V60">
        <v>1137.3599999999999</v>
      </c>
      <c r="W60">
        <v>108.19</v>
      </c>
      <c r="Y60" s="22" t="str">
        <f>IF(OR($B60="",Y$22=""),"",IF(LEN(VLOOKUP($B60,Database!$B$1:$IX$10144,Y$22,FALSE))=0,"",VLOOKUP($B60,Database!$B$1:$IX$10144,Y$22,FALSE)))</f>
        <v>DSM-IV</v>
      </c>
      <c r="Z60" s="22" t="str">
        <f>IF(OR($B60="",Z$22=""),"",IF(LEN(VLOOKUP($B60,Database!$B$1:$IX$10144,Z$22,FALSE))=0,"",VLOOKUP($B60,Database!$B$1:$IX$10144,Z$22,FALSE)))</f>
        <v>MRI</v>
      </c>
      <c r="AA60" s="22" t="str">
        <f>IF(OR($B60="",AA$22=""),"",IF(LEN(VLOOKUP($B60,Database!$B$1:$IX$10144,AA$22,FALSE))=0,"",VLOOKUP($B60,Database!$B$1:$IX$10144,AA$22,FALSE)))</f>
        <v/>
      </c>
      <c r="AB60" s="22">
        <f>IF(OR($B60="",AB$22=""),"",IF(LEN(VLOOKUP($B60,Database!$B$1:$IX$10144,AB$22,FALSE))=0,"",VLOOKUP($B60,Database!$B$1:$IX$10144,AB$22,FALSE)))</f>
        <v>14.08</v>
      </c>
      <c r="AC60" s="22">
        <f>IF(OR($B60="",AC$22=""),"",IF(LEN(VLOOKUP($B60,Database!$B$1:$IX$10144,AC$22,FALSE))=0,"",VLOOKUP($B60,Database!$B$1:$IX$10144,AC$22,FALSE)))</f>
        <v>2.88</v>
      </c>
      <c r="AD60" s="22">
        <f>IF(OR($B60="",AD$22=""),"",IF(LEN(VLOOKUP($B60,Database!$B$1:$IX$10144,AD$22,FALSE))=0,"",VLOOKUP($B60,Database!$B$1:$IX$10144,AD$22,FALSE)))</f>
        <v>14.51</v>
      </c>
      <c r="AE60" s="22">
        <f>IF(OR($B60="",AE$22=""),"",IF(LEN(VLOOKUP($B60,Database!$B$1:$IX$10144,AE$22,FALSE))=0,"",VLOOKUP($B60,Database!$B$1:$IX$10144,AE$22,FALSE)))</f>
        <v>2.72</v>
      </c>
      <c r="AF60" s="22">
        <f>IF(OR($B60="",AF$22=""),"",IF(LEN(VLOOKUP($B60,Database!$B$1:$IX$10144,AF$22,FALSE))=0,"",VLOOKUP($B60,Database!$B$1:$IX$10144,AF$22,FALSE)))</f>
        <v>20</v>
      </c>
      <c r="AG60" s="22">
        <f>IF(OR($B60="",AG$22=""),"",IF(LEN(VLOOKUP($B60,Database!$B$1:$IX$10144,AG$22,FALSE))=0,"",VLOOKUP($B60,Database!$B$1:$IX$10144,AG$22,FALSE)))</f>
        <v>22</v>
      </c>
      <c r="AH60" s="22">
        <f>IF(OR($B60="",AH$22=""),"",IF(LEN(VLOOKUP($B60,Database!$B$1:$IX$10144,AH$22,FALSE))=0,"",VLOOKUP($B60,Database!$B$1:$IX$10144,AH$22,FALSE)))</f>
        <v>1.5</v>
      </c>
      <c r="AI60" s="22">
        <f>IF(OR($B60="",AI$22=""),"",IF(LEN(VLOOKUP($B60,Database!$B$1:$IX$10144,AI$22,FALSE))=0,"",VLOOKUP($B60,Database!$B$1:$IX$10144,AI$22,FALSE)))</f>
        <v>1.5</v>
      </c>
      <c r="AJ60" s="22" t="str">
        <f>IF(OR($B60="",AJ$22=""),"",IF(LEN(VLOOKUP($B60,Database!$B$1:$IX$10144,AJ$22,FALSE))=0,"",VLOOKUP($B60,Database!$B$1:$IX$10144,AJ$22,FALSE)))</f>
        <v/>
      </c>
      <c r="AK60" s="22">
        <f>IF(OR($B60="",AK$22=""),"",IF(LEN(VLOOKUP($B60,Database!$B$1:$IX$10144,AK$22,FALSE))=0,"",VLOOKUP($B60,Database!$B$1:$IX$10144,AK$22,FALSE)))</f>
        <v>11.77</v>
      </c>
      <c r="AL60" s="22" t="str">
        <f>IF(OR($B60="",AL$22=""),"",IF(LEN(VLOOKUP($B60,Database!$B$1:$IX$10144,AL$22,FALSE))=0,"",VLOOKUP($B60,Database!$B$1:$IX$10144,AL$22,FALSE)))</f>
        <v>ns</v>
      </c>
      <c r="AM60" s="22">
        <f>IF(OR($B60="",AM$22=""),"",IF(LEN(VLOOKUP($B60,Database!$B$1:$IX$10144,AM$22,FALSE))=0,"",VLOOKUP($B60,Database!$B$1:$IX$10144,AM$22,FALSE)))</f>
        <v>0</v>
      </c>
      <c r="AN60" s="22">
        <f>IF(OR($B60="",AN$22=""),"",IF(LEN(VLOOKUP($B60,Database!$B$1:$IX$10144,AN$22,FALSE))=0,"",VLOOKUP($B60,Database!$B$1:$IX$10144,AN$22,FALSE)))</f>
        <v>0</v>
      </c>
      <c r="AO60" s="22">
        <f>IF(OR($B60="",AO$22=""),"",IF(LEN(VLOOKUP($B60,Database!$B$1:$IX$10144,AO$22,FALSE))=0,"",VLOOKUP($B60,Database!$B$1:$IX$10144,AO$22,FALSE)))</f>
        <v>0</v>
      </c>
      <c r="AP60" s="22">
        <f>IF(OR($B60="",AP$22=""),"",IF(LEN(VLOOKUP($B60,Database!$B$1:$IX$10144,AP$22,FALSE))=0,"",VLOOKUP($B60,Database!$B$1:$IX$10144,AP$22,FALSE)))</f>
        <v>100</v>
      </c>
      <c r="AQ60" s="22" t="str">
        <f>IF(OR($B60="",AQ$22=""),"",IF(LEN(VLOOKUP($B60,Database!$B$1:$IX$10144,AQ$22,FALSE))=0,"",VLOOKUP($B60,Database!$B$1:$IX$10144,AQ$22,FALSE)))</f>
        <v>MacMaster FP, Mirza Y, Szeszko PR, Kmiecik LE, Easter PC, Taormina SP, Lynch M, Rose M, Moore GJ, Rosenberg DR.</v>
      </c>
    </row>
    <row r="61" spans="1:55">
      <c r="A61" s="10" t="s">
        <v>316</v>
      </c>
      <c r="B61" s="2">
        <v>19540599</v>
      </c>
      <c r="C61" s="1" t="str">
        <f>IF($B61="","",HYPERLINK(IF(LEN(VLOOKUP($B61,Database!$B$1:$IX$10144,2,FALSE))=0,"",VLOOKUP($B61,Database!$B$1:$IX$10144,2,FALSE))))</f>
        <v/>
      </c>
      <c r="D61" s="1" t="str">
        <f t="shared" si="0"/>
        <v>http://www.ncbi.nlm.nih.gov/pubmed/19540599</v>
      </c>
      <c r="E61" s="22" t="str">
        <f>IF($B61="","",IF(LEN(VLOOKUP($B61,Database!$B$1:$IX$10144,4,FALSE))=0,"",VLOOKUP($B61,Database!$B$1:$IX$10144,4,FALSE)))</f>
        <v>Takahashi T (B)</v>
      </c>
      <c r="F61" s="22">
        <f>IF($B61="","",IF(LEN(VLOOKUP($B61,Database!$B$1:$IX$10144,5,FALSE))=0,"",VLOOKUP($B61,Database!$B$1:$IX$10144,5,FALSE)))</f>
        <v>2009</v>
      </c>
      <c r="G61" s="1" t="str">
        <f>IF($B61="","",HYPERLINK(IF(LEN(VLOOKUP($B61,Database!$B$1:$IX$10144,6,FALSE))=0,"",VLOOKUP($B61,Database!$B$1:$IX$10144,6,FALSE))))</f>
        <v>http://dx.doi.org/10.1016/j.jad.2009.06.003</v>
      </c>
      <c r="H61" s="22">
        <f>IF($B61="","",IF(LEN(VLOOKUP($B61,Database!$B$1:$IX$10144,7,FALSE))=0,"",VLOOKUP($B61,Database!$B$1:$IX$10144,7,FALSE)))</f>
        <v>56</v>
      </c>
      <c r="I61" s="22">
        <f>IF($B61="","",IF(LEN(VLOOKUP($B61,Database!$B$1:$IX$10144,8,FALSE))=0,"",VLOOKUP($B61,Database!$B$1:$IX$10144,8,FALSE)))</f>
        <v>33</v>
      </c>
      <c r="Y61" s="22" t="str">
        <f>IF(OR($B61="",Y$22=""),"",IF(LEN(VLOOKUP($B61,Database!$B$1:$IX$10144,Y$22,FALSE))=0,"",VLOOKUP($B61,Database!$B$1:$IX$10144,Y$22,FALSE)))</f>
        <v>DSM-IV</v>
      </c>
      <c r="Z61" s="22" t="str">
        <f>IF(OR($B61="",Z$22=""),"",IF(LEN(VLOOKUP($B61,Database!$B$1:$IX$10144,Z$22,FALSE))=0,"",VLOOKUP($B61,Database!$B$1:$IX$10144,Z$22,FALSE)))</f>
        <v>MRI</v>
      </c>
      <c r="AA61" s="22" t="str">
        <f>IF(OR($B61="",AA$22=""),"",IF(LEN(VLOOKUP($B61,Database!$B$1:$IX$10144,AA$22,FALSE))=0,"",VLOOKUP($B61,Database!$B$1:$IX$10144,AA$22,FALSE)))</f>
        <v/>
      </c>
      <c r="AB61" s="22" t="str">
        <f>IF(OR($B61="",AB$22=""),"",IF(LEN(VLOOKUP($B61,Database!$B$1:$IX$10144,AB$22,FALSE))=0,"",VLOOKUP($B61,Database!$B$1:$IX$10144,AB$22,FALSE)))</f>
        <v/>
      </c>
      <c r="AC61" s="22" t="str">
        <f>IF(OR($B61="",AC$22=""),"",IF(LEN(VLOOKUP($B61,Database!$B$1:$IX$10144,AC$22,FALSE))=0,"",VLOOKUP($B61,Database!$B$1:$IX$10144,AC$22,FALSE)))</f>
        <v/>
      </c>
      <c r="AD61" s="22">
        <f>IF(OR($B61="",AD$22=""),"",IF(LEN(VLOOKUP($B61,Database!$B$1:$IX$10144,AD$22,FALSE))=0,"",VLOOKUP($B61,Database!$B$1:$IX$10144,AD$22,FALSE)))</f>
        <v>34</v>
      </c>
      <c r="AE61" s="22">
        <f>IF(OR($B61="",AE$22=""),"",IF(LEN(VLOOKUP($B61,Database!$B$1:$IX$10144,AE$22,FALSE))=0,"",VLOOKUP($B61,Database!$B$1:$IX$10144,AE$22,FALSE)))</f>
        <v>9.9</v>
      </c>
      <c r="AF61" s="22">
        <f>IF(OR($B61="",AF$22=""),"",IF(LEN(VLOOKUP($B61,Database!$B$1:$IX$10144,AF$22,FALSE))=0,"",VLOOKUP($B61,Database!$B$1:$IX$10144,AF$22,FALSE)))</f>
        <v>40</v>
      </c>
      <c r="AG61" s="22">
        <f>IF(OR($B61="",AG$22=""),"",IF(LEN(VLOOKUP($B61,Database!$B$1:$IX$10144,AG$22,FALSE))=0,"",VLOOKUP($B61,Database!$B$1:$IX$10144,AG$22,FALSE)))</f>
        <v>21</v>
      </c>
      <c r="AH61" s="22">
        <f>IF(OR($B61="",AH$22=""),"",IF(LEN(VLOOKUP($B61,Database!$B$1:$IX$10144,AH$22,FALSE))=0,"",VLOOKUP($B61,Database!$B$1:$IX$10144,AH$22,FALSE)))</f>
        <v>1.5</v>
      </c>
      <c r="AI61" s="22">
        <f>IF(OR($B61="",AI$22=""),"",IF(LEN(VLOOKUP($B61,Database!$B$1:$IX$10144,AI$22,FALSE))=0,"",VLOOKUP($B61,Database!$B$1:$IX$10144,AI$22,FALSE)))</f>
        <v>1</v>
      </c>
      <c r="AJ61" s="22" t="str">
        <f>IF(OR($B61="",AJ$22=""),"",IF(LEN(VLOOKUP($B61,Database!$B$1:$IX$10144,AJ$22,FALSE))=0,"",VLOOKUP($B61,Database!$B$1:$IX$10144,AJ$22,FALSE)))</f>
        <v/>
      </c>
      <c r="AK61" s="22" t="str">
        <f>IF(OR($B61="",AK$22=""),"",IF(LEN(VLOOKUP($B61,Database!$B$1:$IX$10144,AK$22,FALSE))=0,"",VLOOKUP($B61,Database!$B$1:$IX$10144,AK$22,FALSE)))</f>
        <v>split into subgroups</v>
      </c>
      <c r="AL61" s="22" t="str">
        <f>IF(OR($B61="",AL$22=""),"",IF(LEN(VLOOKUP($B61,Database!$B$1:$IX$10144,AL$22,FALSE))=0,"",VLOOKUP($B61,Database!$B$1:$IX$10144,AL$22,FALSE)))</f>
        <v>ns</v>
      </c>
      <c r="AM61" s="22" t="str">
        <f>IF(OR($B61="",AM$22=""),"",IF(LEN(VLOOKUP($B61,Database!$B$1:$IX$10144,AM$22,FALSE))=0,"",VLOOKUP($B61,Database!$B$1:$IX$10144,AM$22,FALSE)))</f>
        <v>ns</v>
      </c>
      <c r="AN61" s="22" t="str">
        <f>IF(OR($B61="",AN$22=""),"",IF(LEN(VLOOKUP($B61,Database!$B$1:$IX$10144,AN$22,FALSE))=0,"",VLOOKUP($B61,Database!$B$1:$IX$10144,AN$22,FALSE)))</f>
        <v>ns</v>
      </c>
      <c r="AO61" s="22" t="str">
        <f>IF(OR($B61="",AO$22=""),"",IF(LEN(VLOOKUP($B61,Database!$B$1:$IX$10144,AO$22,FALSE))=0,"",VLOOKUP($B61,Database!$B$1:$IX$10144,AO$22,FALSE)))</f>
        <v>ns</v>
      </c>
      <c r="AP61" s="22" t="str">
        <f>IF(OR($B61="",AP$22=""),"",IF(LEN(VLOOKUP($B61,Database!$B$1:$IX$10144,AP$22,FALSE))=0,"",VLOOKUP($B61,Database!$B$1:$IX$10144,AP$22,FALSE)))</f>
        <v>ns</v>
      </c>
      <c r="AQ61" s="22" t="str">
        <f>IF(OR($B61="",AQ$22=""),"",IF(LEN(VLOOKUP($B61,Database!$B$1:$IX$10144,AQ$22,FALSE))=0,"",VLOOKUP($B61,Database!$B$1:$IX$10144,AQ$22,FALSE)))</f>
        <v>Takahashi T, Yücel M, Lorenzetti V, Tanino R, Whittle S, Suzuki M, Walterfang M, Pantelis C, Allen NB.</v>
      </c>
      <c r="BB61" t="e">
        <f>W61/V61</f>
        <v>#DIV/0!</v>
      </c>
      <c r="BC61" t="e">
        <f>U61/T61</f>
        <v>#DIV/0!</v>
      </c>
    </row>
    <row r="62" spans="1:55">
      <c r="A62" s="10" t="s">
        <v>2391</v>
      </c>
      <c r="B62" s="2">
        <v>19835925</v>
      </c>
      <c r="C62" s="1" t="str">
        <f>IF($B62="","",HYPERLINK(IF(LEN(VLOOKUP($B62,Database!$B$1:$IX$10144,2,FALSE))=0,"",VLOOKUP($B62,Database!$B$1:$IX$10144,2,FALSE))))</f>
        <v/>
      </c>
      <c r="D62" s="1" t="str">
        <f t="shared" si="0"/>
        <v>http://www.ncbi.nlm.nih.gov/pubmed/19835925</v>
      </c>
      <c r="E62" s="22" t="str">
        <f>IF($B62="","",IF(LEN(VLOOKUP($B62,Database!$B$1:$IX$10144,4,FALSE))=0,"",VLOOKUP($B62,Database!$B$1:$IX$10144,4,FALSE)))</f>
        <v>Takahashi T (A)</v>
      </c>
      <c r="F62" s="22">
        <f>IF($B62="","",IF(LEN(VLOOKUP($B62,Database!$B$1:$IX$10144,5,FALSE))=0,"",VLOOKUP($B62,Database!$B$1:$IX$10144,5,FALSE)))</f>
        <v>2010</v>
      </c>
      <c r="G62" s="1" t="str">
        <f>IF($B62="","",HYPERLINK(IF(LEN(VLOOKUP($B62,Database!$B$1:$IX$10144,6,FALSE))=0,"",VLOOKUP($B62,Database!$B$1:$IX$10144,6,FALSE))))</f>
        <v>http://dx.doi.org/10.1016/j.pnpbp.2009.10.005</v>
      </c>
      <c r="H62" s="22">
        <f>IF($B62="","",IF(LEN(VLOOKUP($B62,Database!$B$1:$IX$10144,7,FALSE))=0,"",VLOOKUP($B62,Database!$B$1:$IX$10144,7,FALSE)))</f>
        <v>56</v>
      </c>
      <c r="I62" s="22">
        <f>IF($B62="","",IF(LEN(VLOOKUP($B62,Database!$B$1:$IX$10144,8,FALSE))=0,"",VLOOKUP($B62,Database!$B$1:$IX$10144,8,FALSE)))</f>
        <v>33</v>
      </c>
      <c r="Y62" s="22" t="str">
        <f>IF(OR($B62="",Y$22=""),"",IF(LEN(VLOOKUP($B62,Database!$B$1:$IX$10144,Y$22,FALSE))=0,"",VLOOKUP($B62,Database!$B$1:$IX$10144,Y$22,FALSE)))</f>
        <v>DSM-IV</v>
      </c>
      <c r="Z62" s="22" t="str">
        <f>IF(OR($B62="",Z$22=""),"",IF(LEN(VLOOKUP($B62,Database!$B$1:$IX$10144,Z$22,FALSE))=0,"",VLOOKUP($B62,Database!$B$1:$IX$10144,Z$22,FALSE)))</f>
        <v>MRI</v>
      </c>
      <c r="AA62" s="22" t="str">
        <f>IF(OR($B62="",AA$22=""),"",IF(LEN(VLOOKUP($B62,Database!$B$1:$IX$10144,AA$22,FALSE))=0,"",VLOOKUP($B62,Database!$B$1:$IX$10144,AA$22,FALSE)))</f>
        <v/>
      </c>
      <c r="AB62" s="22" t="str">
        <f>IF(OR($B62="",AB$22=""),"",IF(LEN(VLOOKUP($B62,Database!$B$1:$IX$10144,AB$22,FALSE))=0,"",VLOOKUP($B62,Database!$B$1:$IX$10144,AB$22,FALSE)))</f>
        <v/>
      </c>
      <c r="AC62" s="22" t="str">
        <f>IF(OR($B62="",AC$22=""),"",IF(LEN(VLOOKUP($B62,Database!$B$1:$IX$10144,AC$22,FALSE))=0,"",VLOOKUP($B62,Database!$B$1:$IX$10144,AC$22,FALSE)))</f>
        <v/>
      </c>
      <c r="AD62" s="22">
        <f>IF(OR($B62="",AD$22=""),"",IF(LEN(VLOOKUP($B62,Database!$B$1:$IX$10144,AD$22,FALSE))=0,"",VLOOKUP($B62,Database!$B$1:$IX$10144,AD$22,FALSE)))</f>
        <v>34</v>
      </c>
      <c r="AE62" s="22">
        <f>IF(OR($B62="",AE$22=""),"",IF(LEN(VLOOKUP($B62,Database!$B$1:$IX$10144,AE$22,FALSE))=0,"",VLOOKUP($B62,Database!$B$1:$IX$10144,AE$22,FALSE)))</f>
        <v>9.9</v>
      </c>
      <c r="AF62" s="22">
        <f>IF(OR($B62="",AF$22=""),"",IF(LEN(VLOOKUP($B62,Database!$B$1:$IX$10144,AF$22,FALSE))=0,"",VLOOKUP($B62,Database!$B$1:$IX$10144,AF$22,FALSE)))</f>
        <v>40</v>
      </c>
      <c r="AG62" s="22">
        <f>IF(OR($B62="",AG$22=""),"",IF(LEN(VLOOKUP($B62,Database!$B$1:$IX$10144,AG$22,FALSE))=0,"",VLOOKUP($B62,Database!$B$1:$IX$10144,AG$22,FALSE)))</f>
        <v>21</v>
      </c>
      <c r="AH62" s="22">
        <f>IF(OR($B62="",AH$22=""),"",IF(LEN(VLOOKUP($B62,Database!$B$1:$IX$10144,AH$22,FALSE))=0,"",VLOOKUP($B62,Database!$B$1:$IX$10144,AH$22,FALSE)))</f>
        <v>1.5</v>
      </c>
      <c r="AI62" s="22">
        <f>IF(OR($B62="",AI$22=""),"",IF(LEN(VLOOKUP($B62,Database!$B$1:$IX$10144,AI$22,FALSE))=0,"",VLOOKUP($B62,Database!$B$1:$IX$10144,AI$22,FALSE)))</f>
        <v>1</v>
      </c>
      <c r="AJ62" s="22" t="str">
        <f>IF(OR($B62="",AJ$22=""),"",IF(LEN(VLOOKUP($B62,Database!$B$1:$IX$10144,AJ$22,FALSE))=0,"",VLOOKUP($B62,Database!$B$1:$IX$10144,AJ$22,FALSE)))</f>
        <v/>
      </c>
      <c r="AK62" s="22" t="str">
        <f>IF(OR($B62="",AK$22=""),"",IF(LEN(VLOOKUP($B62,Database!$B$1:$IX$10144,AK$22,FALSE))=0,"",VLOOKUP($B62,Database!$B$1:$IX$10144,AK$22,FALSE)))</f>
        <v>patients split into currently depressed patients and remitted patients</v>
      </c>
      <c r="AL62" s="22" t="str">
        <f>IF(OR($B62="",AL$22=""),"",IF(LEN(VLOOKUP($B62,Database!$B$1:$IX$10144,AL$22,FALSE))=0,"",VLOOKUP($B62,Database!$B$1:$IX$10144,AL$22,FALSE)))</f>
        <v>ns</v>
      </c>
      <c r="AM62" s="22" t="str">
        <f>IF(OR($B62="",AM$22=""),"",IF(LEN(VLOOKUP($B62,Database!$B$1:$IX$10144,AM$22,FALSE))=0,"",VLOOKUP($B62,Database!$B$1:$IX$10144,AM$22,FALSE)))</f>
        <v>ns</v>
      </c>
      <c r="AN62" s="22" t="str">
        <f>IF(OR($B62="",AN$22=""),"",IF(LEN(VLOOKUP($B62,Database!$B$1:$IX$10144,AN$22,FALSE))=0,"",VLOOKUP($B62,Database!$B$1:$IX$10144,AN$22,FALSE)))</f>
        <v>ns</v>
      </c>
      <c r="AO62" s="22" t="str">
        <f>IF(OR($B62="",AO$22=""),"",IF(LEN(VLOOKUP($B62,Database!$B$1:$IX$10144,AO$22,FALSE))=0,"",VLOOKUP($B62,Database!$B$1:$IX$10144,AO$22,FALSE)))</f>
        <v>ns</v>
      </c>
      <c r="AP62" s="22" t="str">
        <f>IF(OR($B62="",AP$22=""),"",IF(LEN(VLOOKUP($B62,Database!$B$1:$IX$10144,AP$22,FALSE))=0,"",VLOOKUP($B62,Database!$B$1:$IX$10144,AP$22,FALSE)))</f>
        <v>ns</v>
      </c>
      <c r="AQ62" s="22" t="str">
        <f>IF(OR($B62="",AQ$22=""),"",IF(LEN(VLOOKUP($B62,Database!$B$1:$IX$10144,AQ$22,FALSE))=0,"",VLOOKUP($B62,Database!$B$1:$IX$10144,AQ$22,FALSE)))</f>
        <v>Takahashi T, Yücel M, Lorenzetti V, Walterfang M, Kawasaki Y, Whittle S, Suzuki M, Pantelis C, Allen NB.</v>
      </c>
    </row>
    <row r="63" spans="1:55">
      <c r="B63" s="13"/>
      <c r="C63" s="1"/>
      <c r="D63" s="1"/>
      <c r="E63" s="22"/>
      <c r="F63" s="22"/>
      <c r="G63" s="1"/>
      <c r="H63" s="22"/>
      <c r="I63" s="22"/>
      <c r="K63" s="10"/>
      <c r="Y63" s="22"/>
      <c r="Z63" s="22"/>
      <c r="AA63" s="22"/>
      <c r="AB63" s="22"/>
      <c r="AC63" s="22"/>
      <c r="AD63" s="22"/>
      <c r="AE63" s="22"/>
      <c r="AF63" s="22"/>
      <c r="AG63" s="22"/>
      <c r="AH63" s="22"/>
      <c r="AI63" s="22"/>
      <c r="AJ63" s="22"/>
      <c r="AK63" s="22"/>
      <c r="AL63" s="22"/>
      <c r="AM63" s="22"/>
      <c r="AN63" s="22"/>
      <c r="AO63" s="22"/>
      <c r="AP63" s="22"/>
      <c r="AQ63" s="22"/>
    </row>
    <row r="64" spans="1:55">
      <c r="I64" s="22" t="str">
        <f>IF($B64="","",IF(LEN(VLOOKUP($B64,Database!$B$1:$IX$10144,8,FALSE))=0,"",VLOOKUP($B64,Database!$B$1:$IX$10144,8,FALSE)))</f>
        <v/>
      </c>
      <c r="AF64" t="s">
        <v>602</v>
      </c>
      <c r="AJ64" t="s">
        <v>329</v>
      </c>
      <c r="AN64" t="s">
        <v>330</v>
      </c>
    </row>
    <row r="65" spans="5:51" ht="45" customHeight="1">
      <c r="E65" s="60" t="s">
        <v>617</v>
      </c>
      <c r="F65" s="60" t="s">
        <v>740</v>
      </c>
      <c r="G65" s="60" t="s">
        <v>244</v>
      </c>
      <c r="H65" s="60" t="s">
        <v>245</v>
      </c>
      <c r="I65" s="60" t="s">
        <v>246</v>
      </c>
      <c r="J65" s="60" t="s">
        <v>593</v>
      </c>
      <c r="K65" s="60" t="s">
        <v>1039</v>
      </c>
      <c r="L65" s="60" t="s">
        <v>594</v>
      </c>
      <c r="M65" s="60" t="s">
        <v>1299</v>
      </c>
      <c r="N65" s="61" t="s">
        <v>595</v>
      </c>
      <c r="O65" s="61" t="s">
        <v>596</v>
      </c>
      <c r="P65" s="61" t="s">
        <v>597</v>
      </c>
      <c r="Q65" s="61" t="s">
        <v>598</v>
      </c>
      <c r="R65" s="61" t="s">
        <v>599</v>
      </c>
      <c r="S65" s="61" t="s">
        <v>600</v>
      </c>
      <c r="T65" s="61" t="s">
        <v>601</v>
      </c>
      <c r="U65" s="61" t="s">
        <v>484</v>
      </c>
      <c r="V65" s="61" t="s">
        <v>485</v>
      </c>
      <c r="W65" s="61" t="s">
        <v>486</v>
      </c>
      <c r="AF65" s="61" t="s">
        <v>1517</v>
      </c>
      <c r="AG65" s="62" t="s">
        <v>834</v>
      </c>
      <c r="AH65" s="62" t="s">
        <v>835</v>
      </c>
      <c r="AJ65" s="61" t="s">
        <v>836</v>
      </c>
      <c r="AK65" s="61" t="s">
        <v>837</v>
      </c>
      <c r="AL65" s="61" t="s">
        <v>487</v>
      </c>
      <c r="AN65" t="s">
        <v>488</v>
      </c>
      <c r="AO65" t="s">
        <v>489</v>
      </c>
      <c r="AP65" t="s">
        <v>490</v>
      </c>
      <c r="AQ65" t="s">
        <v>491</v>
      </c>
      <c r="AR65" t="s">
        <v>492</v>
      </c>
      <c r="AS65" t="s">
        <v>493</v>
      </c>
      <c r="AT65" t="s">
        <v>494</v>
      </c>
      <c r="AU65" t="s">
        <v>495</v>
      </c>
      <c r="AV65" t="s">
        <v>496</v>
      </c>
      <c r="AW65" t="s">
        <v>497</v>
      </c>
      <c r="AX65" t="s">
        <v>498</v>
      </c>
      <c r="AY65" t="s">
        <v>499</v>
      </c>
    </row>
    <row r="66" spans="5:51">
      <c r="E66" t="str">
        <f t="shared" ref="E66:F69" si="1">E24</f>
        <v>Pantel J</v>
      </c>
      <c r="F66">
        <f t="shared" si="1"/>
        <v>1997</v>
      </c>
      <c r="G66">
        <v>25</v>
      </c>
      <c r="H66">
        <f t="shared" ref="H66:I69" si="2">H24</f>
        <v>19</v>
      </c>
      <c r="I66">
        <f t="shared" si="2"/>
        <v>13</v>
      </c>
      <c r="J66">
        <f t="shared" ref="J66:M67" si="3">IF($D$4="Total",T24,IF($D$4="Left",L24,IF($D$4="Right",P24,"error")))</f>
        <v>1193.0999999999999</v>
      </c>
      <c r="K66">
        <f t="shared" si="3"/>
        <v>112</v>
      </c>
      <c r="L66">
        <f t="shared" si="3"/>
        <v>1193.5</v>
      </c>
      <c r="M66">
        <f t="shared" si="3"/>
        <v>129</v>
      </c>
      <c r="N66">
        <f t="shared" ref="N66:N78" si="4">IF($D$3=1,SQRT((((I66-1)*(M66)^2)+((H66-1)*(K66)^2))/(H66+I66-2)),M66)</f>
        <v>119.091561413897</v>
      </c>
      <c r="O66" s="59">
        <f t="shared" ref="O66:O78" si="5">IF($D$6=1,LN(J66/L66),IF($D$5=1,(1-3/(4*(H66+I66)-9))*((J66-L66)/N66),(J66-L66)/N66))</f>
        <v>-3.2740856006708073E-3</v>
      </c>
      <c r="P66" s="63">
        <f t="shared" ref="P66:P78" si="6">IF($D$6=1,(K66^2)/(H66*J66^2)+(M66^2)/(I66*L66^2),(IF($D$5=1,((H66+I66)/(H66*I66))+(O66*O66)/(2*(H66+I66-3.94)),((H66+I66)/(H66*I66))+((O66^2)/(2*(H66+I66-2))))))</f>
        <v>0.129554846883213</v>
      </c>
      <c r="Q66" s="59">
        <f t="shared" ref="Q66:Q88" si="7">$R$107*SQRT(P66)</f>
        <v>0.70547707247404645</v>
      </c>
      <c r="R66" s="59">
        <f t="shared" ref="R66:R78" si="8">1/P66</f>
        <v>7.718738619647695</v>
      </c>
      <c r="S66" s="59">
        <f t="shared" ref="S66:S78" si="9">O66*R66</f>
        <v>-2.527181096993018E-2</v>
      </c>
      <c r="T66" s="59">
        <f t="shared" ref="T66:T78" si="10">R66*(O66^2)</f>
        <v>8.2742072399522956E-5</v>
      </c>
      <c r="U66" s="23">
        <f t="shared" ref="U66:U78" si="11">R66^2</f>
        <v>59.578925878440806</v>
      </c>
      <c r="V66" s="59">
        <f t="shared" ref="V66:V88" si="12">1/((1/R66)+$I$104)</f>
        <v>5.9219363343234814</v>
      </c>
      <c r="W66" s="59">
        <f t="shared" ref="W66:W78" si="13">V66*O66</f>
        <v>-1.9388926480297775E-2</v>
      </c>
      <c r="AF66" s="59">
        <f t="shared" ref="AF66:AF78" si="14">IF($D$6=1,100*((EXP(O66))-1),O66)</f>
        <v>-3.2740856006708073E-3</v>
      </c>
      <c r="AG66" s="59">
        <f t="shared" ref="AG66:AG78" si="15">IF($D$6=1,100*(EXP(O66+Q66)-EXP(O66)),Q66)</f>
        <v>0.70547707247404645</v>
      </c>
      <c r="AH66" s="59">
        <f t="shared" ref="AH66:AH78" si="16">IF($D$6=1,100*(EXP(O66)-EXP(O66-Q66)),Q66)</f>
        <v>0.70547707247404645</v>
      </c>
      <c r="AJ66">
        <f t="shared" ref="AJ66:AJ78" si="17">SQRT(P66)</f>
        <v>0.35993728187451351</v>
      </c>
      <c r="AK66">
        <f t="shared" ref="AK66:AK88" si="18">1/AJ66</f>
        <v>2.778261798255826</v>
      </c>
      <c r="AL66">
        <f t="shared" ref="AL66:AL78" si="19">O66/AJ66</f>
        <v>-9.0962669485631833E-3</v>
      </c>
      <c r="AN66" t="str">
        <f t="shared" ref="AN66:AN78" si="20">E66</f>
        <v>Pantel J</v>
      </c>
      <c r="AO66">
        <f t="shared" ref="AO66:AO78" si="21">F66</f>
        <v>1997</v>
      </c>
      <c r="AP66" t="str">
        <f t="shared" ref="AP66:AP78" si="22">CONCATENATE(AN66," ",AO66)</f>
        <v>Pantel J 1997</v>
      </c>
      <c r="AQ66">
        <f t="shared" ref="AQ66:AQ78" si="23">INT(H66)</f>
        <v>19</v>
      </c>
      <c r="AR66">
        <f t="shared" ref="AR66:AR78" si="24">J66</f>
        <v>1193.0999999999999</v>
      </c>
      <c r="AS66">
        <f t="shared" ref="AS66:AS78" si="25">K66</f>
        <v>112</v>
      </c>
      <c r="AT66">
        <f t="shared" ref="AT66:AT78" si="26">INT(I66)</f>
        <v>13</v>
      </c>
      <c r="AU66">
        <f t="shared" ref="AU66:AU78" si="27">L66</f>
        <v>1193.5</v>
      </c>
      <c r="AV66">
        <f t="shared" ref="AV66:AV78" si="28">M66</f>
        <v>129</v>
      </c>
      <c r="AW66" s="65">
        <f t="shared" ref="AW66:AW78" si="29">O66</f>
        <v>-3.2740856006708073E-3</v>
      </c>
      <c r="AX66">
        <f t="shared" ref="AX66:AX78" si="30">SQRT(P66)</f>
        <v>0.35993728187451351</v>
      </c>
      <c r="AY66" t="str">
        <f>$F$3</f>
        <v>Pooled SD</v>
      </c>
    </row>
    <row r="67" spans="5:51">
      <c r="E67" t="str">
        <f t="shared" si="1"/>
        <v>Kumar A</v>
      </c>
      <c r="F67">
        <f t="shared" si="1"/>
        <v>1998</v>
      </c>
      <c r="G67">
        <v>24</v>
      </c>
      <c r="H67">
        <f t="shared" si="2"/>
        <v>35</v>
      </c>
      <c r="I67">
        <f t="shared" si="2"/>
        <v>30</v>
      </c>
      <c r="J67">
        <f t="shared" si="3"/>
        <v>1138.2</v>
      </c>
      <c r="K67">
        <f t="shared" si="3"/>
        <v>160.63</v>
      </c>
      <c r="L67">
        <f t="shared" si="3"/>
        <v>1182.6500000000001</v>
      </c>
      <c r="M67">
        <f t="shared" si="3"/>
        <v>137.97999999999999</v>
      </c>
      <c r="N67">
        <f t="shared" si="4"/>
        <v>150.6274615131808</v>
      </c>
      <c r="O67" s="59">
        <f t="shared" si="5"/>
        <v>-0.29157183330583109</v>
      </c>
      <c r="P67" s="63">
        <f t="shared" si="6"/>
        <v>6.2600914328421617E-2</v>
      </c>
      <c r="Q67" s="59">
        <f t="shared" si="7"/>
        <v>0.49039542461575275</v>
      </c>
      <c r="R67" s="59">
        <f t="shared" si="8"/>
        <v>15.974207577124591</v>
      </c>
      <c r="S67" s="59">
        <f t="shared" si="9"/>
        <v>-4.6576289888701154</v>
      </c>
      <c r="T67" s="59">
        <f t="shared" si="10"/>
        <v>1.3580334231432438</v>
      </c>
      <c r="U67" s="23">
        <f t="shared" si="11"/>
        <v>255.17530771706473</v>
      </c>
      <c r="V67" s="59">
        <f t="shared" si="12"/>
        <v>9.8126034293550521</v>
      </c>
      <c r="W67" s="59">
        <f t="shared" si="13"/>
        <v>-2.8610787714001376</v>
      </c>
      <c r="AF67" s="59">
        <f t="shared" si="14"/>
        <v>-0.29157183330583109</v>
      </c>
      <c r="AG67" s="59">
        <f t="shared" si="15"/>
        <v>0.49039542461575275</v>
      </c>
      <c r="AH67" s="59">
        <f t="shared" si="16"/>
        <v>0.49039542461575275</v>
      </c>
      <c r="AJ67">
        <f t="shared" si="17"/>
        <v>0.25020174725293509</v>
      </c>
      <c r="AK67">
        <f t="shared" si="18"/>
        <v>3.9967746467776482</v>
      </c>
      <c r="AL67">
        <f t="shared" si="19"/>
        <v>-1.1653469110712242</v>
      </c>
      <c r="AN67" t="str">
        <f t="shared" si="20"/>
        <v>Kumar A</v>
      </c>
      <c r="AO67">
        <f t="shared" si="21"/>
        <v>1998</v>
      </c>
      <c r="AP67" t="str">
        <f t="shared" si="22"/>
        <v>Kumar A 1998</v>
      </c>
      <c r="AQ67">
        <f t="shared" si="23"/>
        <v>35</v>
      </c>
      <c r="AR67">
        <f t="shared" si="24"/>
        <v>1138.2</v>
      </c>
      <c r="AS67">
        <f t="shared" si="25"/>
        <v>160.63</v>
      </c>
      <c r="AT67">
        <f t="shared" si="26"/>
        <v>30</v>
      </c>
      <c r="AU67">
        <f t="shared" si="27"/>
        <v>1182.6500000000001</v>
      </c>
      <c r="AV67">
        <f t="shared" si="28"/>
        <v>137.97999999999999</v>
      </c>
      <c r="AW67" s="65">
        <f t="shared" si="29"/>
        <v>-0.29157183330583109</v>
      </c>
      <c r="AX67">
        <f t="shared" si="30"/>
        <v>0.25020174725293509</v>
      </c>
      <c r="AY67" t="str">
        <f>$F$4</f>
        <v>Total</v>
      </c>
    </row>
    <row r="68" spans="5:51">
      <c r="E68" t="str">
        <f t="shared" si="1"/>
        <v>Caetano SC</v>
      </c>
      <c r="F68">
        <f t="shared" si="1"/>
        <v>2004</v>
      </c>
      <c r="G68">
        <v>23</v>
      </c>
      <c r="H68">
        <f t="shared" si="2"/>
        <v>31</v>
      </c>
      <c r="I68">
        <f t="shared" si="2"/>
        <v>31</v>
      </c>
      <c r="J68">
        <f t="shared" ref="J68:M69" si="31">IF($D$4="Total",T26,IF($D$4="Left",L26,IF($D$4="Right",P26,"error")))</f>
        <v>1412.78</v>
      </c>
      <c r="K68">
        <f t="shared" si="31"/>
        <v>109.41</v>
      </c>
      <c r="L68">
        <f t="shared" si="31"/>
        <v>1417.89</v>
      </c>
      <c r="M68">
        <f t="shared" si="31"/>
        <v>126.34</v>
      </c>
      <c r="N68">
        <f t="shared" si="4"/>
        <v>118.1785591805891</v>
      </c>
      <c r="O68" s="59">
        <f t="shared" si="5"/>
        <v>-4.2696896760057002E-2</v>
      </c>
      <c r="P68" s="63">
        <f t="shared" si="6"/>
        <v>6.4531828524102178E-2</v>
      </c>
      <c r="Q68" s="59">
        <f t="shared" si="7"/>
        <v>0.49790106693819297</v>
      </c>
      <c r="R68" s="59">
        <f t="shared" si="8"/>
        <v>15.496229114699689</v>
      </c>
      <c r="S68" s="59">
        <f t="shared" si="9"/>
        <v>-0.66164089468052212</v>
      </c>
      <c r="T68" s="59">
        <f t="shared" si="10"/>
        <v>2.8250012972406001E-2</v>
      </c>
      <c r="U68" s="23">
        <f t="shared" si="11"/>
        <v>240.13311677526633</v>
      </c>
      <c r="V68" s="59">
        <f t="shared" si="12"/>
        <v>9.630138354572443</v>
      </c>
      <c r="W68" s="59">
        <f t="shared" si="13"/>
        <v>-0.41117702311024479</v>
      </c>
      <c r="AF68" s="59">
        <f t="shared" si="14"/>
        <v>-4.2696896760057002E-2</v>
      </c>
      <c r="AG68" s="59">
        <f t="shared" si="15"/>
        <v>0.49790106693819297</v>
      </c>
      <c r="AH68" s="59">
        <f t="shared" si="16"/>
        <v>0.49790106693819297</v>
      </c>
      <c r="AJ68">
        <f t="shared" si="17"/>
        <v>0.25403115660111886</v>
      </c>
      <c r="AK68">
        <f t="shared" si="18"/>
        <v>3.9365250049630944</v>
      </c>
      <c r="AL68">
        <f t="shared" si="19"/>
        <v>-0.16807740173029212</v>
      </c>
      <c r="AN68" t="str">
        <f t="shared" si="20"/>
        <v>Caetano SC</v>
      </c>
      <c r="AO68">
        <f t="shared" si="21"/>
        <v>2004</v>
      </c>
      <c r="AP68" t="str">
        <f t="shared" si="22"/>
        <v>Caetano SC 2004</v>
      </c>
      <c r="AQ68">
        <f t="shared" si="23"/>
        <v>31</v>
      </c>
      <c r="AR68">
        <f t="shared" si="24"/>
        <v>1412.78</v>
      </c>
      <c r="AS68">
        <f t="shared" si="25"/>
        <v>109.41</v>
      </c>
      <c r="AT68">
        <f t="shared" si="26"/>
        <v>31</v>
      </c>
      <c r="AU68">
        <f t="shared" si="27"/>
        <v>1417.89</v>
      </c>
      <c r="AV68">
        <f t="shared" si="28"/>
        <v>126.34</v>
      </c>
      <c r="AW68" s="65">
        <f t="shared" si="29"/>
        <v>-4.2696896760057002E-2</v>
      </c>
      <c r="AX68">
        <f t="shared" si="30"/>
        <v>0.25403115660111886</v>
      </c>
    </row>
    <row r="69" spans="5:51">
      <c r="E69" t="str">
        <f t="shared" si="1"/>
        <v>Janssen J</v>
      </c>
      <c r="F69">
        <f t="shared" si="1"/>
        <v>2004</v>
      </c>
      <c r="G69">
        <v>22</v>
      </c>
      <c r="H69">
        <f t="shared" si="2"/>
        <v>28</v>
      </c>
      <c r="I69">
        <f t="shared" si="2"/>
        <v>41</v>
      </c>
      <c r="J69">
        <f t="shared" si="31"/>
        <v>1372.83</v>
      </c>
      <c r="K69">
        <f t="shared" si="31"/>
        <v>89.91</v>
      </c>
      <c r="L69">
        <f t="shared" si="31"/>
        <v>1330.7</v>
      </c>
      <c r="M69">
        <f t="shared" si="31"/>
        <v>105.36</v>
      </c>
      <c r="N69">
        <f t="shared" si="4"/>
        <v>99.423112323941581</v>
      </c>
      <c r="O69" s="59">
        <f t="shared" si="5"/>
        <v>0.41898335547731497</v>
      </c>
      <c r="P69" s="63">
        <f t="shared" si="6"/>
        <v>6.1453646218069882E-2</v>
      </c>
      <c r="Q69" s="59">
        <f t="shared" si="7"/>
        <v>0.48588098060259288</v>
      </c>
      <c r="R69" s="59">
        <f t="shared" si="8"/>
        <v>16.272427456158965</v>
      </c>
      <c r="S69" s="59">
        <f t="shared" si="9"/>
        <v>6.8178762573426717</v>
      </c>
      <c r="T69" s="59">
        <f t="shared" si="10"/>
        <v>2.8565766715305503</v>
      </c>
      <c r="U69" s="23">
        <f t="shared" si="11"/>
        <v>264.79189531595614</v>
      </c>
      <c r="V69" s="59">
        <f t="shared" si="12"/>
        <v>9.924328412246048</v>
      </c>
      <c r="W69" s="59">
        <f t="shared" si="13"/>
        <v>4.1581284190217032</v>
      </c>
      <c r="AF69" s="59">
        <f t="shared" si="14"/>
        <v>0.41898335547731497</v>
      </c>
      <c r="AG69" s="59">
        <f t="shared" si="15"/>
        <v>0.48588098060259288</v>
      </c>
      <c r="AH69" s="59">
        <f t="shared" si="16"/>
        <v>0.48588098060259288</v>
      </c>
      <c r="AJ69">
        <f t="shared" si="17"/>
        <v>0.24789845949111883</v>
      </c>
      <c r="AK69">
        <f t="shared" si="18"/>
        <v>4.0339096985627938</v>
      </c>
      <c r="AL69">
        <f t="shared" si="19"/>
        <v>1.6901410211963233</v>
      </c>
      <c r="AN69" t="str">
        <f t="shared" si="20"/>
        <v>Janssen J</v>
      </c>
      <c r="AO69">
        <f t="shared" si="21"/>
        <v>2004</v>
      </c>
      <c r="AP69" t="str">
        <f t="shared" si="22"/>
        <v>Janssen J 2004</v>
      </c>
      <c r="AQ69">
        <f t="shared" si="23"/>
        <v>28</v>
      </c>
      <c r="AR69">
        <f t="shared" si="24"/>
        <v>1372.83</v>
      </c>
      <c r="AS69">
        <f t="shared" si="25"/>
        <v>89.91</v>
      </c>
      <c r="AT69">
        <f t="shared" si="26"/>
        <v>41</v>
      </c>
      <c r="AU69">
        <f t="shared" si="27"/>
        <v>1330.7</v>
      </c>
      <c r="AV69">
        <f t="shared" si="28"/>
        <v>105.36</v>
      </c>
      <c r="AW69" s="65">
        <f t="shared" si="29"/>
        <v>0.41898335547731497</v>
      </c>
      <c r="AX69">
        <f t="shared" si="30"/>
        <v>0.24789845949111883</v>
      </c>
    </row>
    <row r="70" spans="5:51">
      <c r="E70" t="str">
        <f t="shared" ref="E70:F78" si="32">E28</f>
        <v>Lloyd AJ</v>
      </c>
      <c r="F70">
        <f t="shared" si="32"/>
        <v>2004</v>
      </c>
      <c r="G70">
        <v>21</v>
      </c>
      <c r="H70">
        <f t="shared" ref="H70:I78" si="33">H28</f>
        <v>51</v>
      </c>
      <c r="I70">
        <f t="shared" si="33"/>
        <v>39</v>
      </c>
      <c r="J70">
        <f t="shared" ref="J70:J78" si="34">IF($D$4="Total",T28,IF($D$4="Left",L28,IF($D$4="Right",P28,"error")))</f>
        <v>1373.2</v>
      </c>
      <c r="K70">
        <f t="shared" ref="K70:K78" si="35">IF($D$4="Total",U28,IF($D$4="Left",M28,IF($D$4="Right",Q28,"error")))</f>
        <v>98.7</v>
      </c>
      <c r="L70">
        <f t="shared" ref="L70:L78" si="36">IF($D$4="Total",V28,IF($D$4="Left",N28,IF($D$4="Right",R28,"error")))</f>
        <v>1381.4</v>
      </c>
      <c r="M70">
        <f t="shared" ref="M70:M78" si="37">IF($D$4="Total",W28,IF($D$4="Left",O28,IF($D$4="Right",S28,"error")))</f>
        <v>118.8</v>
      </c>
      <c r="N70">
        <f t="shared" si="4"/>
        <v>107.84011839924712</v>
      </c>
      <c r="O70" s="59">
        <f t="shared" si="5"/>
        <v>-7.5388590541192638E-2</v>
      </c>
      <c r="P70" s="63">
        <f t="shared" si="6"/>
        <v>4.528188899431463E-2</v>
      </c>
      <c r="Q70" s="59">
        <f t="shared" si="7"/>
        <v>0.4170790150086181</v>
      </c>
      <c r="R70" s="59">
        <f t="shared" si="8"/>
        <v>22.08388435662556</v>
      </c>
      <c r="S70" s="59">
        <f t="shared" si="9"/>
        <v>-1.6648729153206938</v>
      </c>
      <c r="T70" s="59">
        <f t="shared" si="10"/>
        <v>0.12551242251623346</v>
      </c>
      <c r="U70" s="23">
        <f t="shared" si="11"/>
        <v>487.69794827681113</v>
      </c>
      <c r="V70" s="59">
        <f t="shared" si="12"/>
        <v>11.821626526700767</v>
      </c>
      <c r="W70" s="59">
        <f t="shared" si="13"/>
        <v>-0.8912157617523454</v>
      </c>
      <c r="AF70" s="59">
        <f t="shared" si="14"/>
        <v>-7.5388590541192638E-2</v>
      </c>
      <c r="AG70" s="59">
        <f t="shared" si="15"/>
        <v>0.4170790150086181</v>
      </c>
      <c r="AH70" s="59">
        <f t="shared" si="16"/>
        <v>0.4170790150086181</v>
      </c>
      <c r="AJ70">
        <f t="shared" si="17"/>
        <v>0.21279541582072353</v>
      </c>
      <c r="AK70">
        <f t="shared" si="18"/>
        <v>4.699349354604907</v>
      </c>
      <c r="AL70">
        <f t="shared" si="19"/>
        <v>-0.35427732430432723</v>
      </c>
      <c r="AN70" t="str">
        <f t="shared" si="20"/>
        <v>Lloyd AJ</v>
      </c>
      <c r="AO70">
        <f t="shared" si="21"/>
        <v>2004</v>
      </c>
      <c r="AP70" t="str">
        <f t="shared" si="22"/>
        <v>Lloyd AJ 2004</v>
      </c>
      <c r="AQ70">
        <f t="shared" si="23"/>
        <v>51</v>
      </c>
      <c r="AR70">
        <f t="shared" si="24"/>
        <v>1373.2</v>
      </c>
      <c r="AS70">
        <f t="shared" si="25"/>
        <v>98.7</v>
      </c>
      <c r="AT70">
        <f t="shared" si="26"/>
        <v>39</v>
      </c>
      <c r="AU70">
        <f t="shared" si="27"/>
        <v>1381.4</v>
      </c>
      <c r="AV70">
        <f t="shared" si="28"/>
        <v>118.8</v>
      </c>
      <c r="AW70" s="65">
        <f t="shared" si="29"/>
        <v>-7.5388590541192638E-2</v>
      </c>
      <c r="AX70">
        <f t="shared" si="30"/>
        <v>0.21279541582072353</v>
      </c>
    </row>
    <row r="71" spans="5:51">
      <c r="E71" t="str">
        <f t="shared" si="32"/>
        <v>Frodl T</v>
      </c>
      <c r="F71">
        <f t="shared" si="32"/>
        <v>2006</v>
      </c>
      <c r="G71">
        <v>20</v>
      </c>
      <c r="H71">
        <f t="shared" si="33"/>
        <v>34</v>
      </c>
      <c r="I71">
        <f t="shared" si="33"/>
        <v>34</v>
      </c>
      <c r="J71">
        <f t="shared" si="34"/>
        <v>1246.7</v>
      </c>
      <c r="K71">
        <f t="shared" si="35"/>
        <v>86</v>
      </c>
      <c r="L71">
        <f t="shared" si="36"/>
        <v>1223.5</v>
      </c>
      <c r="M71">
        <f t="shared" si="37"/>
        <v>114.4</v>
      </c>
      <c r="N71">
        <f t="shared" si="4"/>
        <v>101.20118576380418</v>
      </c>
      <c r="O71" s="59">
        <f t="shared" si="5"/>
        <v>0.22663134867075035</v>
      </c>
      <c r="P71" s="63">
        <f t="shared" si="6"/>
        <v>5.9224417393346995E-2</v>
      </c>
      <c r="Q71" s="59">
        <f t="shared" si="7"/>
        <v>0.47698692000754256</v>
      </c>
      <c r="R71" s="59">
        <f t="shared" si="8"/>
        <v>16.884927602721095</v>
      </c>
      <c r="S71" s="59">
        <f t="shared" si="9"/>
        <v>3.8266539148126615</v>
      </c>
      <c r="T71" s="59">
        <f t="shared" si="10"/>
        <v>0.86723973761020012</v>
      </c>
      <c r="U71" s="23">
        <f t="shared" si="11"/>
        <v>285.10078014913279</v>
      </c>
      <c r="V71" s="59">
        <f t="shared" si="12"/>
        <v>10.148857669248972</v>
      </c>
      <c r="W71" s="59">
        <f t="shared" si="13"/>
        <v>2.3000493010493828</v>
      </c>
      <c r="AF71" s="59">
        <f t="shared" si="14"/>
        <v>0.22663134867075035</v>
      </c>
      <c r="AG71" s="59">
        <f t="shared" si="15"/>
        <v>0.47698692000754256</v>
      </c>
      <c r="AH71" s="59">
        <f t="shared" si="16"/>
        <v>0.47698692000754256</v>
      </c>
      <c r="AJ71">
        <f t="shared" si="17"/>
        <v>0.24336067347323601</v>
      </c>
      <c r="AK71">
        <f t="shared" si="18"/>
        <v>4.1091273529450376</v>
      </c>
      <c r="AL71">
        <f t="shared" si="19"/>
        <v>0.93125707385780432</v>
      </c>
      <c r="AN71" t="str">
        <f t="shared" si="20"/>
        <v>Frodl T</v>
      </c>
      <c r="AO71">
        <f t="shared" si="21"/>
        <v>2006</v>
      </c>
      <c r="AP71" t="str">
        <f t="shared" si="22"/>
        <v>Frodl T 2006</v>
      </c>
      <c r="AQ71">
        <f t="shared" si="23"/>
        <v>34</v>
      </c>
      <c r="AR71">
        <f t="shared" si="24"/>
        <v>1246.7</v>
      </c>
      <c r="AS71">
        <f t="shared" si="25"/>
        <v>86</v>
      </c>
      <c r="AT71">
        <f t="shared" si="26"/>
        <v>34</v>
      </c>
      <c r="AU71">
        <f t="shared" si="27"/>
        <v>1223.5</v>
      </c>
      <c r="AV71">
        <f t="shared" si="28"/>
        <v>114.4</v>
      </c>
      <c r="AW71" s="65">
        <f t="shared" si="29"/>
        <v>0.22663134867075035</v>
      </c>
      <c r="AX71">
        <f t="shared" si="30"/>
        <v>0.24336067347323601</v>
      </c>
    </row>
    <row r="72" spans="5:51">
      <c r="E72" t="str">
        <f t="shared" si="32"/>
        <v>MacMaster FP</v>
      </c>
      <c r="F72">
        <f t="shared" si="32"/>
        <v>2006</v>
      </c>
      <c r="G72">
        <v>19</v>
      </c>
      <c r="H72">
        <f t="shared" si="33"/>
        <v>15</v>
      </c>
      <c r="I72">
        <f t="shared" si="33"/>
        <v>15</v>
      </c>
      <c r="J72">
        <f t="shared" si="34"/>
        <v>1337.99</v>
      </c>
      <c r="K72">
        <f t="shared" si="35"/>
        <v>115.44</v>
      </c>
      <c r="L72">
        <f t="shared" si="36"/>
        <v>1208.07</v>
      </c>
      <c r="M72">
        <f t="shared" si="37"/>
        <v>104.24</v>
      </c>
      <c r="N72">
        <f t="shared" si="4"/>
        <v>109.98266045154573</v>
      </c>
      <c r="O72" s="59">
        <f t="shared" si="5"/>
        <v>1.1493507079176328</v>
      </c>
      <c r="P72" s="63">
        <f t="shared" si="6"/>
        <v>0.1586788254628568</v>
      </c>
      <c r="Q72" s="59">
        <f t="shared" si="7"/>
        <v>0.78075641265257034</v>
      </c>
      <c r="R72" s="59">
        <f t="shared" si="8"/>
        <v>6.3020380764923036</v>
      </c>
      <c r="S72" s="59">
        <f t="shared" si="9"/>
        <v>7.2432519245403064</v>
      </c>
      <c r="T72" s="59">
        <f t="shared" si="10"/>
        <v>8.3250367270961583</v>
      </c>
      <c r="U72" s="23">
        <f t="shared" si="11"/>
        <v>39.715683917558813</v>
      </c>
      <c r="V72" s="59">
        <f t="shared" si="12"/>
        <v>5.0508197070605512</v>
      </c>
      <c r="W72" s="59">
        <f t="shared" si="13"/>
        <v>5.8051632058743756</v>
      </c>
      <c r="AF72" s="59">
        <f t="shared" si="14"/>
        <v>1.1493507079176328</v>
      </c>
      <c r="AG72" s="59">
        <f t="shared" si="15"/>
        <v>0.78075641265257034</v>
      </c>
      <c r="AH72" s="59">
        <f t="shared" si="16"/>
        <v>0.78075641265257034</v>
      </c>
      <c r="AJ72">
        <f t="shared" si="17"/>
        <v>0.39834510849620935</v>
      </c>
      <c r="AK72">
        <f t="shared" si="18"/>
        <v>2.5103860413275689</v>
      </c>
      <c r="AL72">
        <f t="shared" si="19"/>
        <v>2.8853139737463853</v>
      </c>
      <c r="AN72" t="str">
        <f t="shared" si="20"/>
        <v>MacMaster FP</v>
      </c>
      <c r="AO72">
        <f t="shared" si="21"/>
        <v>2006</v>
      </c>
      <c r="AP72" t="str">
        <f t="shared" si="22"/>
        <v>MacMaster FP 2006</v>
      </c>
      <c r="AQ72">
        <f t="shared" si="23"/>
        <v>15</v>
      </c>
      <c r="AR72">
        <f t="shared" si="24"/>
        <v>1337.99</v>
      </c>
      <c r="AS72">
        <f t="shared" si="25"/>
        <v>115.44</v>
      </c>
      <c r="AT72">
        <f t="shared" si="26"/>
        <v>15</v>
      </c>
      <c r="AU72">
        <f t="shared" si="27"/>
        <v>1208.07</v>
      </c>
      <c r="AV72">
        <f t="shared" si="28"/>
        <v>104.24</v>
      </c>
      <c r="AW72" s="65">
        <f t="shared" si="29"/>
        <v>1.1493507079176328</v>
      </c>
      <c r="AX72">
        <f t="shared" si="30"/>
        <v>0.39834510849620935</v>
      </c>
    </row>
    <row r="73" spans="5:51">
      <c r="E73" t="str">
        <f t="shared" si="32"/>
        <v>MacMaster FP</v>
      </c>
      <c r="F73">
        <f t="shared" si="32"/>
        <v>2006</v>
      </c>
      <c r="G73">
        <v>18</v>
      </c>
      <c r="H73">
        <f t="shared" si="33"/>
        <v>20</v>
      </c>
      <c r="I73">
        <f t="shared" si="33"/>
        <v>20</v>
      </c>
      <c r="J73">
        <f t="shared" si="34"/>
        <v>1117.1400000000001</v>
      </c>
      <c r="K73">
        <f t="shared" si="35"/>
        <v>94.27</v>
      </c>
      <c r="L73">
        <f t="shared" si="36"/>
        <v>1103.1600000000001</v>
      </c>
      <c r="M73">
        <f t="shared" si="37"/>
        <v>97.51</v>
      </c>
      <c r="N73">
        <f t="shared" si="4"/>
        <v>95.903683453765211</v>
      </c>
      <c r="O73" s="59">
        <f t="shared" si="5"/>
        <v>0.14287513432406335</v>
      </c>
      <c r="P73" s="63">
        <f t="shared" si="6"/>
        <v>0.10028304636727842</v>
      </c>
      <c r="Q73" s="59">
        <f t="shared" si="7"/>
        <v>0.62068297135054129</v>
      </c>
      <c r="R73" s="59">
        <f t="shared" si="8"/>
        <v>9.9717752523949272</v>
      </c>
      <c r="S73" s="59">
        <f t="shared" si="9"/>
        <v>1.4247187286352958</v>
      </c>
      <c r="T73" s="59">
        <f t="shared" si="10"/>
        <v>0.20355687972777667</v>
      </c>
      <c r="U73" s="23">
        <f t="shared" si="11"/>
        <v>99.436301684275918</v>
      </c>
      <c r="V73" s="59">
        <f t="shared" si="12"/>
        <v>7.1637401680988235</v>
      </c>
      <c r="W73" s="59">
        <f t="shared" si="13"/>
        <v>1.0235203387798075</v>
      </c>
      <c r="AF73" s="59">
        <f t="shared" si="14"/>
        <v>0.14287513432406335</v>
      </c>
      <c r="AG73" s="59">
        <f t="shared" si="15"/>
        <v>0.62068297135054129</v>
      </c>
      <c r="AH73" s="59">
        <f t="shared" si="16"/>
        <v>0.62068297135054129</v>
      </c>
      <c r="AJ73">
        <f t="shared" si="17"/>
        <v>0.31667498538292921</v>
      </c>
      <c r="AK73">
        <f t="shared" si="18"/>
        <v>3.1578117822940186</v>
      </c>
      <c r="AL73">
        <f t="shared" si="19"/>
        <v>0.4511727825653678</v>
      </c>
      <c r="AN73" t="str">
        <f t="shared" si="20"/>
        <v>MacMaster FP</v>
      </c>
      <c r="AO73">
        <f t="shared" si="21"/>
        <v>2006</v>
      </c>
      <c r="AP73" t="str">
        <f t="shared" si="22"/>
        <v>MacMaster FP 2006</v>
      </c>
      <c r="AQ73">
        <f t="shared" si="23"/>
        <v>20</v>
      </c>
      <c r="AR73">
        <f t="shared" si="24"/>
        <v>1117.1400000000001</v>
      </c>
      <c r="AS73">
        <f t="shared" si="25"/>
        <v>94.27</v>
      </c>
      <c r="AT73">
        <f t="shared" si="26"/>
        <v>20</v>
      </c>
      <c r="AU73">
        <f t="shared" si="27"/>
        <v>1103.1600000000001</v>
      </c>
      <c r="AV73">
        <f t="shared" si="28"/>
        <v>97.51</v>
      </c>
      <c r="AW73" s="65">
        <f t="shared" si="29"/>
        <v>0.14287513432406335</v>
      </c>
      <c r="AX73">
        <f t="shared" si="30"/>
        <v>0.31667498538292921</v>
      </c>
    </row>
    <row r="74" spans="5:51">
      <c r="E74" t="str">
        <f t="shared" si="32"/>
        <v>Saylam C</v>
      </c>
      <c r="F74">
        <f t="shared" si="32"/>
        <v>2006</v>
      </c>
      <c r="G74">
        <v>17</v>
      </c>
      <c r="H74">
        <f t="shared" si="33"/>
        <v>24</v>
      </c>
      <c r="I74">
        <f t="shared" si="33"/>
        <v>24</v>
      </c>
      <c r="J74">
        <f t="shared" si="34"/>
        <v>1524786</v>
      </c>
      <c r="K74">
        <f t="shared" si="35"/>
        <v>117958</v>
      </c>
      <c r="L74">
        <f t="shared" si="36"/>
        <v>1525647</v>
      </c>
      <c r="M74">
        <f t="shared" si="37"/>
        <v>115010</v>
      </c>
      <c r="N74">
        <f t="shared" si="4"/>
        <v>116493.3256972261</v>
      </c>
      <c r="O74" s="59">
        <f t="shared" si="5"/>
        <v>-7.2698177413421123E-3</v>
      </c>
      <c r="P74" s="63">
        <f t="shared" si="6"/>
        <v>8.3333933086510728E-2</v>
      </c>
      <c r="Q74" s="59">
        <f t="shared" si="7"/>
        <v>0.56580529985600136</v>
      </c>
      <c r="R74" s="59">
        <f t="shared" si="8"/>
        <v>11.999913636164019</v>
      </c>
      <c r="S74" s="59">
        <f t="shared" si="9"/>
        <v>-8.7237185046758314E-2</v>
      </c>
      <c r="T74" s="59">
        <f t="shared" si="10"/>
        <v>6.3419843555766848E-4</v>
      </c>
      <c r="U74" s="23">
        <f t="shared" si="11"/>
        <v>143.99792727539517</v>
      </c>
      <c r="V74" s="59">
        <f t="shared" si="12"/>
        <v>8.1537621730849477</v>
      </c>
      <c r="W74" s="59">
        <f t="shared" si="13"/>
        <v>-5.9276364904577168E-2</v>
      </c>
      <c r="AF74" s="59">
        <f t="shared" si="14"/>
        <v>-7.2698177413421123E-3</v>
      </c>
      <c r="AG74" s="59">
        <f t="shared" si="15"/>
        <v>0.56580529985600136</v>
      </c>
      <c r="AH74" s="59">
        <f t="shared" si="16"/>
        <v>0.56580529985600136</v>
      </c>
      <c r="AJ74">
        <f t="shared" si="17"/>
        <v>0.28867617339591906</v>
      </c>
      <c r="AK74">
        <f t="shared" si="18"/>
        <v>3.4640891495693382</v>
      </c>
      <c r="AL74">
        <f t="shared" si="19"/>
        <v>-2.5183296757129884E-2</v>
      </c>
      <c r="AN74" t="str">
        <f t="shared" si="20"/>
        <v>Saylam C</v>
      </c>
      <c r="AO74">
        <f t="shared" si="21"/>
        <v>2006</v>
      </c>
      <c r="AP74" t="str">
        <f t="shared" si="22"/>
        <v>Saylam C 2006</v>
      </c>
      <c r="AQ74">
        <f t="shared" si="23"/>
        <v>24</v>
      </c>
      <c r="AR74">
        <f t="shared" si="24"/>
        <v>1524786</v>
      </c>
      <c r="AS74">
        <f t="shared" si="25"/>
        <v>117958</v>
      </c>
      <c r="AT74">
        <f t="shared" si="26"/>
        <v>24</v>
      </c>
      <c r="AU74">
        <f t="shared" si="27"/>
        <v>1525647</v>
      </c>
      <c r="AV74">
        <f t="shared" si="28"/>
        <v>115010</v>
      </c>
      <c r="AW74" s="65">
        <f t="shared" si="29"/>
        <v>-7.2698177413421123E-3</v>
      </c>
      <c r="AX74">
        <f t="shared" si="30"/>
        <v>0.28867617339591906</v>
      </c>
    </row>
    <row r="75" spans="5:51">
      <c r="E75" t="str">
        <f t="shared" si="32"/>
        <v>Weniger G</v>
      </c>
      <c r="F75">
        <f t="shared" si="32"/>
        <v>2006</v>
      </c>
      <c r="G75">
        <v>16</v>
      </c>
      <c r="H75">
        <f t="shared" si="33"/>
        <v>21</v>
      </c>
      <c r="I75">
        <f t="shared" si="33"/>
        <v>23</v>
      </c>
      <c r="J75">
        <f t="shared" si="34"/>
        <v>1461</v>
      </c>
      <c r="K75">
        <f t="shared" si="35"/>
        <v>110</v>
      </c>
      <c r="L75">
        <f t="shared" si="36"/>
        <v>1406</v>
      </c>
      <c r="M75">
        <f t="shared" si="37"/>
        <v>119</v>
      </c>
      <c r="N75">
        <f t="shared" si="4"/>
        <v>114.80231456103762</v>
      </c>
      <c r="O75" s="59">
        <f t="shared" si="5"/>
        <v>0.47047811060627465</v>
      </c>
      <c r="P75" s="63">
        <f t="shared" si="6"/>
        <v>9.386003505575774E-2</v>
      </c>
      <c r="Q75" s="59">
        <f t="shared" si="7"/>
        <v>0.60047706922929123</v>
      </c>
      <c r="R75" s="59">
        <f t="shared" si="8"/>
        <v>10.654161799598178</v>
      </c>
      <c r="S75" s="59">
        <f t="shared" si="9"/>
        <v>5.0125499135684981</v>
      </c>
      <c r="T75" s="59">
        <f t="shared" si="10"/>
        <v>2.3582950126553519</v>
      </c>
      <c r="U75" s="23">
        <f t="shared" si="11"/>
        <v>113.51116365201709</v>
      </c>
      <c r="V75" s="59">
        <f t="shared" si="12"/>
        <v>7.5092622300860636</v>
      </c>
      <c r="W75" s="59">
        <f t="shared" si="13"/>
        <v>3.5329435060579515</v>
      </c>
      <c r="AF75" s="59">
        <f t="shared" si="14"/>
        <v>0.47047811060627465</v>
      </c>
      <c r="AG75" s="59">
        <f t="shared" si="15"/>
        <v>0.60047706922929123</v>
      </c>
      <c r="AH75" s="59">
        <f t="shared" si="16"/>
        <v>0.60047706922929123</v>
      </c>
      <c r="AJ75">
        <f t="shared" si="17"/>
        <v>0.30636585164759755</v>
      </c>
      <c r="AK75">
        <f t="shared" si="18"/>
        <v>3.2640713533251962</v>
      </c>
      <c r="AL75">
        <f t="shared" si="19"/>
        <v>1.5356741231965041</v>
      </c>
      <c r="AN75" t="str">
        <f t="shared" si="20"/>
        <v>Weniger G</v>
      </c>
      <c r="AO75">
        <f t="shared" si="21"/>
        <v>2006</v>
      </c>
      <c r="AP75" t="str">
        <f t="shared" si="22"/>
        <v>Weniger G 2006</v>
      </c>
      <c r="AQ75">
        <f t="shared" si="23"/>
        <v>21</v>
      </c>
      <c r="AR75">
        <f t="shared" si="24"/>
        <v>1461</v>
      </c>
      <c r="AS75">
        <f t="shared" si="25"/>
        <v>110</v>
      </c>
      <c r="AT75">
        <f t="shared" si="26"/>
        <v>23</v>
      </c>
      <c r="AU75">
        <f t="shared" si="27"/>
        <v>1406</v>
      </c>
      <c r="AV75">
        <f t="shared" si="28"/>
        <v>119</v>
      </c>
      <c r="AW75" s="65">
        <f t="shared" si="29"/>
        <v>0.47047811060627465</v>
      </c>
      <c r="AX75">
        <f t="shared" si="30"/>
        <v>0.30636585164759755</v>
      </c>
    </row>
    <row r="76" spans="5:51">
      <c r="E76" t="str">
        <f t="shared" si="32"/>
        <v>Velakoulis D</v>
      </c>
      <c r="F76">
        <f t="shared" si="32"/>
        <v>2006</v>
      </c>
      <c r="G76">
        <v>15</v>
      </c>
      <c r="H76">
        <f t="shared" si="33"/>
        <v>12</v>
      </c>
      <c r="I76">
        <f t="shared" si="33"/>
        <v>87</v>
      </c>
      <c r="J76">
        <f t="shared" si="34"/>
        <v>1401520</v>
      </c>
      <c r="K76">
        <f t="shared" si="35"/>
        <v>114428</v>
      </c>
      <c r="L76">
        <f t="shared" si="36"/>
        <v>1449789</v>
      </c>
      <c r="M76">
        <f t="shared" si="37"/>
        <v>143039</v>
      </c>
      <c r="N76">
        <f>IF($D$3=1,SQRT((((I76-1)*(M76)^2)+((H76-1)*(K76)^2))/(H76+I76-2)),M76)</f>
        <v>140088.51450120614</v>
      </c>
      <c r="O76" s="59">
        <f>IF($D$6=1,LN(J76/L76),IF($D$5=1,(1-3/(4*(H76+I76)-9))*((J76-L76)/N76),(J76-L76)/N76))</f>
        <v>-0.34188971077292701</v>
      </c>
      <c r="P76" s="63">
        <f>IF($D$6=1,(K76^2)/(H76*J76^2)+(M76^2)/(I76*L76^2),(IF($D$5=1,((H76+I76)/(H76*I76))+(O76*O76)/(2*(H76+I76-3.94)),((H76+I76)/(H76*I76))+((O76^2)/(2*(H76+I76-2))))))</f>
        <v>9.5442400925665721E-2</v>
      </c>
      <c r="Q76" s="59">
        <f t="shared" si="7"/>
        <v>0.60551756984916416</v>
      </c>
      <c r="R76" s="59">
        <f>1/P76</f>
        <v>10.477523514720037</v>
      </c>
      <c r="S76" s="59">
        <f>O76*R76</f>
        <v>-3.582157484064175</v>
      </c>
      <c r="T76" s="59">
        <f>R76*(O76^2)</f>
        <v>1.2247027861697768</v>
      </c>
      <c r="U76" s="23">
        <f>R76^2</f>
        <v>109.77849900151132</v>
      </c>
      <c r="V76" s="59">
        <f t="shared" si="12"/>
        <v>7.4210819638216732</v>
      </c>
      <c r="W76" s="59">
        <f>V76*O76</f>
        <v>-2.5371915662331772</v>
      </c>
      <c r="AF76" s="59">
        <f>IF($D$6=1,100*((EXP(O76))-1),O76)</f>
        <v>-0.34188971077292701</v>
      </c>
      <c r="AG76" s="59">
        <f>IF($D$6=1,100*(EXP(O76+Q76)-EXP(O76)),Q76)</f>
        <v>0.60551756984916416</v>
      </c>
      <c r="AH76" s="59">
        <f>IF($D$6=1,100*(EXP(O76)-EXP(O76-Q76)),Q76)</f>
        <v>0.60551756984916416</v>
      </c>
      <c r="AJ76">
        <f>SQRT(P76)</f>
        <v>0.30893753563732868</v>
      </c>
      <c r="AK76">
        <f t="shared" si="18"/>
        <v>3.2369002942197702</v>
      </c>
      <c r="AL76">
        <f>O76/AJ76</f>
        <v>-1.1066629053915997</v>
      </c>
      <c r="AN76" t="str">
        <f>E76</f>
        <v>Velakoulis D</v>
      </c>
      <c r="AO76">
        <f>F76</f>
        <v>2006</v>
      </c>
      <c r="AP76" t="str">
        <f>CONCATENATE(AN76," ",AO76)</f>
        <v>Velakoulis D 2006</v>
      </c>
      <c r="AQ76">
        <f>INT(H76)</f>
        <v>12</v>
      </c>
      <c r="AR76">
        <f>J76</f>
        <v>1401520</v>
      </c>
      <c r="AS76">
        <f>K76</f>
        <v>114428</v>
      </c>
      <c r="AT76">
        <f>INT(I76)</f>
        <v>87</v>
      </c>
      <c r="AU76">
        <f>L76</f>
        <v>1449789</v>
      </c>
      <c r="AV76">
        <f>M76</f>
        <v>143039</v>
      </c>
      <c r="AW76" s="65">
        <f>O76</f>
        <v>-0.34188971077292701</v>
      </c>
      <c r="AX76">
        <f>SQRT(P76)</f>
        <v>0.30893753563732868</v>
      </c>
    </row>
    <row r="77" spans="5:51">
      <c r="E77" t="str">
        <f t="shared" si="32"/>
        <v>Colla M</v>
      </c>
      <c r="F77">
        <f t="shared" si="32"/>
        <v>2007</v>
      </c>
      <c r="G77">
        <v>14</v>
      </c>
      <c r="H77">
        <f t="shared" si="33"/>
        <v>24</v>
      </c>
      <c r="I77">
        <f t="shared" si="33"/>
        <v>14</v>
      </c>
      <c r="J77">
        <f t="shared" si="34"/>
        <v>1057.5</v>
      </c>
      <c r="K77">
        <f t="shared" si="35"/>
        <v>96.1</v>
      </c>
      <c r="L77">
        <f t="shared" si="36"/>
        <v>1096.7</v>
      </c>
      <c r="M77">
        <f t="shared" si="37"/>
        <v>113.5</v>
      </c>
      <c r="N77">
        <f t="shared" si="4"/>
        <v>102.72388557033202</v>
      </c>
      <c r="O77" s="59">
        <f t="shared" si="5"/>
        <v>-0.37359979292592471</v>
      </c>
      <c r="P77" s="63">
        <f t="shared" si="6"/>
        <v>0.11514422231828997</v>
      </c>
      <c r="Q77" s="59">
        <f t="shared" si="7"/>
        <v>0.66508499040193558</v>
      </c>
      <c r="R77" s="59">
        <f t="shared" si="8"/>
        <v>8.6847605539054129</v>
      </c>
      <c r="S77" s="59">
        <f t="shared" si="9"/>
        <v>-3.2446247445503014</v>
      </c>
      <c r="T77" s="59">
        <f t="shared" si="10"/>
        <v>1.2121911326863242</v>
      </c>
      <c r="U77" s="23">
        <f t="shared" si="11"/>
        <v>75.425065878671461</v>
      </c>
      <c r="V77" s="59">
        <f t="shared" si="12"/>
        <v>6.4744588949067401</v>
      </c>
      <c r="W77" s="59">
        <f t="shared" si="13"/>
        <v>-2.4188565024445694</v>
      </c>
      <c r="AF77" s="59">
        <f t="shared" si="14"/>
        <v>-0.37359979292592471</v>
      </c>
      <c r="AG77" s="59">
        <f t="shared" si="15"/>
        <v>0.66508499040193558</v>
      </c>
      <c r="AH77" s="59">
        <f t="shared" si="16"/>
        <v>0.66508499040193558</v>
      </c>
      <c r="AJ77">
        <f t="shared" si="17"/>
        <v>0.33932907673568141</v>
      </c>
      <c r="AK77">
        <f t="shared" si="18"/>
        <v>2.9469917804271888</v>
      </c>
      <c r="AL77">
        <f t="shared" si="19"/>
        <v>-1.100995518922</v>
      </c>
      <c r="AN77" t="str">
        <f t="shared" si="20"/>
        <v>Colla M</v>
      </c>
      <c r="AO77">
        <f t="shared" si="21"/>
        <v>2007</v>
      </c>
      <c r="AP77" t="str">
        <f t="shared" si="22"/>
        <v>Colla M 2007</v>
      </c>
      <c r="AQ77">
        <f t="shared" si="23"/>
        <v>24</v>
      </c>
      <c r="AR77">
        <f t="shared" si="24"/>
        <v>1057.5</v>
      </c>
      <c r="AS77">
        <f t="shared" si="25"/>
        <v>96.1</v>
      </c>
      <c r="AT77">
        <f t="shared" si="26"/>
        <v>14</v>
      </c>
      <c r="AU77">
        <f t="shared" si="27"/>
        <v>1096.7</v>
      </c>
      <c r="AV77">
        <f t="shared" si="28"/>
        <v>113.5</v>
      </c>
      <c r="AW77" s="65">
        <f t="shared" si="29"/>
        <v>-0.37359979292592471</v>
      </c>
      <c r="AX77">
        <f t="shared" si="30"/>
        <v>0.33932907673568141</v>
      </c>
    </row>
    <row r="78" spans="5:51">
      <c r="E78" t="str">
        <f t="shared" si="32"/>
        <v>Hickie IB (A)</v>
      </c>
      <c r="F78">
        <f t="shared" si="32"/>
        <v>2007</v>
      </c>
      <c r="G78">
        <v>13</v>
      </c>
      <c r="H78">
        <f t="shared" si="33"/>
        <v>45</v>
      </c>
      <c r="I78">
        <f t="shared" si="33"/>
        <v>16</v>
      </c>
      <c r="J78">
        <f t="shared" si="34"/>
        <v>1272.3</v>
      </c>
      <c r="K78">
        <f t="shared" si="35"/>
        <v>111.6</v>
      </c>
      <c r="L78">
        <f t="shared" si="36"/>
        <v>1325.4</v>
      </c>
      <c r="M78">
        <f t="shared" si="37"/>
        <v>118.5</v>
      </c>
      <c r="N78">
        <f t="shared" si="4"/>
        <v>113.39404746281879</v>
      </c>
      <c r="O78" s="59">
        <f t="shared" si="5"/>
        <v>-0.46230052487334922</v>
      </c>
      <c r="P78" s="63">
        <f t="shared" si="6"/>
        <v>8.6595003288627542E-2</v>
      </c>
      <c r="Q78" s="59">
        <f t="shared" si="7"/>
        <v>0.57676976744069341</v>
      </c>
      <c r="R78" s="59">
        <f t="shared" si="8"/>
        <v>11.548010416570182</v>
      </c>
      <c r="S78" s="59">
        <f t="shared" si="9"/>
        <v>-5.3386512768232999</v>
      </c>
      <c r="T78" s="59">
        <f t="shared" si="10"/>
        <v>2.4680612873911874</v>
      </c>
      <c r="U78" s="23">
        <f t="shared" si="11"/>
        <v>133.35654458121343</v>
      </c>
      <c r="V78" s="59">
        <f t="shared" si="12"/>
        <v>7.9425693272850406</v>
      </c>
      <c r="W78" s="59">
        <f t="shared" si="13"/>
        <v>-3.6718539688468383</v>
      </c>
      <c r="AF78" s="59">
        <f t="shared" si="14"/>
        <v>-0.46230052487334922</v>
      </c>
      <c r="AG78" s="59">
        <f t="shared" si="15"/>
        <v>0.57676976744069341</v>
      </c>
      <c r="AH78" s="59">
        <f t="shared" si="16"/>
        <v>0.57676976744069341</v>
      </c>
      <c r="AJ78">
        <f t="shared" si="17"/>
        <v>0.29427028951055789</v>
      </c>
      <c r="AK78">
        <f t="shared" si="18"/>
        <v>3.398236368555045</v>
      </c>
      <c r="AL78">
        <f t="shared" si="19"/>
        <v>-1.5710064568267015</v>
      </c>
      <c r="AN78" t="str">
        <f t="shared" si="20"/>
        <v>Hickie IB (A)</v>
      </c>
      <c r="AO78">
        <f t="shared" si="21"/>
        <v>2007</v>
      </c>
      <c r="AP78" t="str">
        <f t="shared" si="22"/>
        <v>Hickie IB (A) 2007</v>
      </c>
      <c r="AQ78">
        <f t="shared" si="23"/>
        <v>45</v>
      </c>
      <c r="AR78">
        <f t="shared" si="24"/>
        <v>1272.3</v>
      </c>
      <c r="AS78">
        <f t="shared" si="25"/>
        <v>111.6</v>
      </c>
      <c r="AT78">
        <f t="shared" si="26"/>
        <v>16</v>
      </c>
      <c r="AU78">
        <f t="shared" si="27"/>
        <v>1325.4</v>
      </c>
      <c r="AV78">
        <f t="shared" si="28"/>
        <v>118.5</v>
      </c>
      <c r="AW78" s="65">
        <f t="shared" si="29"/>
        <v>-0.46230052487334922</v>
      </c>
      <c r="AX78">
        <f t="shared" si="30"/>
        <v>0.29427028951055789</v>
      </c>
    </row>
    <row r="79" spans="5:51">
      <c r="E79" t="str">
        <f>E37</f>
        <v>Maller JJ</v>
      </c>
      <c r="F79">
        <f>F37</f>
        <v>2007</v>
      </c>
      <c r="G79">
        <v>12</v>
      </c>
      <c r="H79">
        <f>H37</f>
        <v>22</v>
      </c>
      <c r="I79">
        <f>I37</f>
        <v>13</v>
      </c>
      <c r="J79">
        <f t="shared" ref="J79:M80" si="38">IF($D$4="Total",T37,IF($D$4="Left",L37,IF($D$4="Right",P37,"error")))</f>
        <v>1.5640000000000001</v>
      </c>
      <c r="K79">
        <f t="shared" si="38"/>
        <v>8.3299999999999999E-2</v>
      </c>
      <c r="L79">
        <f t="shared" si="38"/>
        <v>1.488</v>
      </c>
      <c r="M79">
        <f t="shared" si="38"/>
        <v>0.13500000000000001</v>
      </c>
      <c r="N79">
        <f t="shared" ref="N79:N86" si="39">IF($D$3=1,SQRT((((I79-1)*(M79)^2)+((H79-1)*(K79)^2))/(H79+I79-2)),M79)</f>
        <v>0.10508534626673692</v>
      </c>
      <c r="O79" s="59">
        <f t="shared" ref="O79:O86" si="40">IF($D$6=1,LN(J79/L79),IF($D$5=1,(1-3/(4*(H79+I79)-9))*((J79-L79)/N79),(J79-L79)/N79))</f>
        <v>0.70665934521679874</v>
      </c>
      <c r="P79" s="63">
        <f t="shared" ref="P79:P86" si="41">IF($D$6=1,(K79^2)/(H79*J79^2)+(M79^2)/(I79*L79^2),(IF($D$5=1,((H79+I79)/(H79*I79))+(O79*O79)/(2*(H79+I79-3.94)),((H79+I79)/(H79*I79))+((O79^2)/(2*(H79+I79-2))))))</f>
        <v>0.13041637688796101</v>
      </c>
      <c r="Q79" s="59">
        <f t="shared" si="7"/>
        <v>0.70781887051193471</v>
      </c>
      <c r="R79" s="59">
        <f t="shared" ref="R79:R86" si="42">1/P79</f>
        <v>7.6677486667114421</v>
      </c>
      <c r="S79" s="59">
        <f t="shared" ref="S79:S86" si="43">O79*R79</f>
        <v>5.4184862521052892</v>
      </c>
      <c r="T79" s="59">
        <f t="shared" ref="T79:T86" si="44">R79*(O79^2)</f>
        <v>3.8290239469789493</v>
      </c>
      <c r="U79" s="23">
        <f t="shared" ref="U79:U86" si="45">R79^2</f>
        <v>58.794369615855096</v>
      </c>
      <c r="V79" s="59">
        <f t="shared" si="12"/>
        <v>5.8918764177919085</v>
      </c>
      <c r="W79" s="59">
        <f t="shared" ref="W79:W86" si="46">V79*O79</f>
        <v>4.1635495314951276</v>
      </c>
      <c r="AF79" s="59">
        <f t="shared" ref="AF79:AF86" si="47">IF($D$6=1,100*((EXP(O79))-1),O79)</f>
        <v>0.70665934521679874</v>
      </c>
      <c r="AG79" s="59">
        <f t="shared" ref="AG79:AG86" si="48">IF($D$6=1,100*(EXP(O79+Q79)-EXP(O79)),Q79)</f>
        <v>0.70781887051193471</v>
      </c>
      <c r="AH79" s="59">
        <f t="shared" ref="AH79:AH86" si="49">IF($D$6=1,100*(EXP(O79)-EXP(O79-Q79)),Q79)</f>
        <v>0.70781887051193471</v>
      </c>
      <c r="AJ79">
        <f t="shared" ref="AJ79:AJ86" si="50">SQRT(P79)</f>
        <v>0.36113207679180342</v>
      </c>
      <c r="AK79">
        <f t="shared" si="18"/>
        <v>2.7690700003270852</v>
      </c>
      <c r="AL79">
        <f t="shared" ref="AL79:AL86" si="51">O79/AJ79</f>
        <v>1.9567891932906185</v>
      </c>
      <c r="AN79" t="str">
        <f>E79</f>
        <v>Maller JJ</v>
      </c>
      <c r="AO79">
        <f>F79</f>
        <v>2007</v>
      </c>
      <c r="AP79" t="str">
        <f t="shared" ref="AP79:AP86" si="52">CONCATENATE(AN79," ",AO79)</f>
        <v>Maller JJ 2007</v>
      </c>
      <c r="AQ79">
        <f t="shared" ref="AQ79:AQ86" si="53">INT(H79)</f>
        <v>22</v>
      </c>
      <c r="AR79">
        <f>J79</f>
        <v>1.5640000000000001</v>
      </c>
      <c r="AS79">
        <f>K79</f>
        <v>8.3299999999999999E-2</v>
      </c>
      <c r="AT79">
        <f t="shared" ref="AT79:AT86" si="54">INT(I79)</f>
        <v>13</v>
      </c>
      <c r="AU79">
        <f>L79</f>
        <v>1.488</v>
      </c>
      <c r="AV79">
        <f>M79</f>
        <v>0.13500000000000001</v>
      </c>
      <c r="AW79" s="65">
        <f t="shared" ref="AW79:AW86" si="55">O79</f>
        <v>0.70665934521679874</v>
      </c>
      <c r="AX79">
        <f t="shared" ref="AX79:AX86" si="56">SQRT(P79)</f>
        <v>0.36113207679180342</v>
      </c>
    </row>
    <row r="80" spans="5:51">
      <c r="E80" t="str">
        <f>E38</f>
        <v>Maller JJ</v>
      </c>
      <c r="F80">
        <f>F38</f>
        <v>2007</v>
      </c>
      <c r="G80">
        <v>11</v>
      </c>
      <c r="H80">
        <f>H38</f>
        <v>23</v>
      </c>
      <c r="I80">
        <f>I38</f>
        <v>17</v>
      </c>
      <c r="J80">
        <f t="shared" si="38"/>
        <v>1.39</v>
      </c>
      <c r="K80">
        <f t="shared" si="38"/>
        <v>9.5500000000000002E-2</v>
      </c>
      <c r="L80">
        <f t="shared" si="38"/>
        <v>1.446</v>
      </c>
      <c r="M80">
        <f t="shared" si="38"/>
        <v>0.11269999999999999</v>
      </c>
      <c r="N80">
        <f t="shared" si="39"/>
        <v>0.10309246488366389</v>
      </c>
      <c r="O80" s="59">
        <f t="shared" si="40"/>
        <v>-0.53240959250010722</v>
      </c>
      <c r="P80" s="63">
        <f t="shared" si="41"/>
        <v>0.1062321837115314</v>
      </c>
      <c r="Q80" s="59">
        <f t="shared" si="7"/>
        <v>0.63882826874381426</v>
      </c>
      <c r="R80" s="59">
        <f t="shared" si="42"/>
        <v>9.4133431608207729</v>
      </c>
      <c r="S80" s="59">
        <f t="shared" si="43"/>
        <v>-5.0117541963162591</v>
      </c>
      <c r="T80" s="59">
        <f t="shared" si="44"/>
        <v>2.6683060093714417</v>
      </c>
      <c r="U80" s="23">
        <f t="shared" si="45"/>
        <v>88.611029463371224</v>
      </c>
      <c r="V80" s="59">
        <f t="shared" si="12"/>
        <v>6.8709150029652752</v>
      </c>
      <c r="W80" s="59">
        <f t="shared" si="46"/>
        <v>-3.6581410568316151</v>
      </c>
      <c r="AF80" s="59">
        <f t="shared" si="47"/>
        <v>-0.53240959250010722</v>
      </c>
      <c r="AG80" s="59">
        <f t="shared" si="48"/>
        <v>0.63882826874381426</v>
      </c>
      <c r="AH80" s="59">
        <f t="shared" si="49"/>
        <v>0.63882826874381426</v>
      </c>
      <c r="AJ80">
        <f t="shared" si="50"/>
        <v>0.32593279017541543</v>
      </c>
      <c r="AK80">
        <f t="shared" si="18"/>
        <v>3.0681172012849793</v>
      </c>
      <c r="AL80">
        <f t="shared" si="51"/>
        <v>-1.6334950288787053</v>
      </c>
      <c r="AN80" t="str">
        <f>E80</f>
        <v>Maller JJ</v>
      </c>
      <c r="AO80">
        <f>F80</f>
        <v>2007</v>
      </c>
      <c r="AP80" t="str">
        <f t="shared" si="52"/>
        <v>Maller JJ 2007</v>
      </c>
      <c r="AQ80">
        <f t="shared" si="53"/>
        <v>23</v>
      </c>
      <c r="AR80">
        <f>J80</f>
        <v>1.39</v>
      </c>
      <c r="AS80">
        <f>K80</f>
        <v>9.5500000000000002E-2</v>
      </c>
      <c r="AT80">
        <f t="shared" si="54"/>
        <v>17</v>
      </c>
      <c r="AU80">
        <f>L80</f>
        <v>1.446</v>
      </c>
      <c r="AV80">
        <f>M80</f>
        <v>0.11269999999999999</v>
      </c>
      <c r="AW80" s="65">
        <f t="shared" si="55"/>
        <v>-0.53240959250010722</v>
      </c>
      <c r="AX80">
        <f t="shared" si="56"/>
        <v>0.32593279017541543</v>
      </c>
    </row>
    <row r="81" spans="5:50">
      <c r="E81" t="str">
        <f t="shared" ref="E81:F83" si="57">E39</f>
        <v>Tae WS</v>
      </c>
      <c r="F81">
        <f t="shared" si="57"/>
        <v>2008</v>
      </c>
      <c r="G81">
        <v>10</v>
      </c>
      <c r="H81">
        <f t="shared" ref="H81:I83" si="58">H39</f>
        <v>21</v>
      </c>
      <c r="I81">
        <f t="shared" si="58"/>
        <v>20</v>
      </c>
      <c r="J81">
        <f t="shared" ref="J81:M83" si="59">IF($D$4="Total",T39,IF($D$4="Left",L39,IF($D$4="Right",P39,"error")))</f>
        <v>1393.6</v>
      </c>
      <c r="K81">
        <f t="shared" si="59"/>
        <v>170.84</v>
      </c>
      <c r="L81">
        <f t="shared" si="59"/>
        <v>1397</v>
      </c>
      <c r="M81">
        <f t="shared" si="59"/>
        <v>123.52</v>
      </c>
      <c r="N81">
        <f t="shared" si="39"/>
        <v>149.66738589285242</v>
      </c>
      <c r="O81" s="59">
        <f t="shared" si="40"/>
        <v>-2.2277355407103523E-2</v>
      </c>
      <c r="P81" s="63">
        <f t="shared" si="41"/>
        <v>9.7625743255366215E-2</v>
      </c>
      <c r="Q81" s="59">
        <f t="shared" si="7"/>
        <v>0.61240432337616202</v>
      </c>
      <c r="R81" s="59">
        <f t="shared" si="42"/>
        <v>10.243199863628519</v>
      </c>
      <c r="S81" s="59">
        <f t="shared" si="43"/>
        <v>-0.22819140386804684</v>
      </c>
      <c r="T81" s="59">
        <f t="shared" si="44"/>
        <v>5.083501004814377E-3</v>
      </c>
      <c r="U81" s="23">
        <f t="shared" si="45"/>
        <v>104.92314344623931</v>
      </c>
      <c r="V81" s="59">
        <f t="shared" si="12"/>
        <v>7.3027571253727386</v>
      </c>
      <c r="W81" s="59">
        <f t="shared" si="46"/>
        <v>-0.16268611593368615</v>
      </c>
      <c r="AF81" s="59">
        <f t="shared" si="47"/>
        <v>-2.2277355407103523E-2</v>
      </c>
      <c r="AG81" s="59">
        <f t="shared" si="48"/>
        <v>0.61240432337616202</v>
      </c>
      <c r="AH81" s="59">
        <f t="shared" si="49"/>
        <v>0.61240432337616202</v>
      </c>
      <c r="AJ81">
        <f t="shared" si="50"/>
        <v>0.31245118539600103</v>
      </c>
      <c r="AK81">
        <f t="shared" si="18"/>
        <v>3.2004999396388869</v>
      </c>
      <c r="AL81">
        <f t="shared" si="51"/>
        <v>-7.1298674635748863E-2</v>
      </c>
      <c r="AN81" t="str">
        <f t="shared" ref="AN81:AO83" si="60">E81</f>
        <v>Tae WS</v>
      </c>
      <c r="AO81">
        <f t="shared" si="60"/>
        <v>2008</v>
      </c>
      <c r="AP81" t="str">
        <f t="shared" si="52"/>
        <v>Tae WS 2008</v>
      </c>
      <c r="AQ81">
        <f t="shared" si="53"/>
        <v>21</v>
      </c>
      <c r="AR81">
        <f t="shared" ref="AR81:AS83" si="61">J81</f>
        <v>1393.6</v>
      </c>
      <c r="AS81">
        <f t="shared" si="61"/>
        <v>170.84</v>
      </c>
      <c r="AT81">
        <f t="shared" si="54"/>
        <v>20</v>
      </c>
      <c r="AU81">
        <f t="shared" ref="AU81:AV83" si="62">L81</f>
        <v>1397</v>
      </c>
      <c r="AV81">
        <f t="shared" si="62"/>
        <v>123.52</v>
      </c>
      <c r="AW81" s="65">
        <f t="shared" si="55"/>
        <v>-2.2277355407103523E-2</v>
      </c>
      <c r="AX81">
        <f t="shared" si="56"/>
        <v>0.31245118539600103</v>
      </c>
    </row>
    <row r="82" spans="5:50">
      <c r="E82" t="str">
        <f t="shared" si="57"/>
        <v>Eker C</v>
      </c>
      <c r="F82">
        <f t="shared" si="57"/>
        <v>2008</v>
      </c>
      <c r="G82">
        <v>9</v>
      </c>
      <c r="H82">
        <f t="shared" si="58"/>
        <v>34</v>
      </c>
      <c r="I82">
        <f t="shared" si="58"/>
        <v>39</v>
      </c>
      <c r="J82">
        <f t="shared" si="59"/>
        <v>1438.8</v>
      </c>
      <c r="K82">
        <f t="shared" si="59"/>
        <v>155</v>
      </c>
      <c r="L82">
        <f t="shared" si="59"/>
        <v>1494.6</v>
      </c>
      <c r="M82">
        <f t="shared" si="59"/>
        <v>137.30000000000001</v>
      </c>
      <c r="N82">
        <f t="shared" si="39"/>
        <v>145.79428010959845</v>
      </c>
      <c r="O82" s="59">
        <f t="shared" si="40"/>
        <v>-0.3786738445696835</v>
      </c>
      <c r="P82" s="63">
        <f t="shared" si="41"/>
        <v>5.6090973669824185E-2</v>
      </c>
      <c r="Q82" s="59">
        <f t="shared" si="7"/>
        <v>0.46419724735288614</v>
      </c>
      <c r="R82" s="59">
        <f t="shared" si="42"/>
        <v>17.828180446401841</v>
      </c>
      <c r="S82" s="59">
        <f t="shared" si="43"/>
        <v>-6.7510656313210413</v>
      </c>
      <c r="T82" s="59">
        <f t="shared" si="44"/>
        <v>2.5564519775545964</v>
      </c>
      <c r="U82" s="23">
        <f t="shared" si="45"/>
        <v>317.84401802946496</v>
      </c>
      <c r="V82" s="59">
        <f t="shared" si="12"/>
        <v>10.482200820610062</v>
      </c>
      <c r="W82" s="59">
        <f t="shared" si="46"/>
        <v>-3.9693352842919034</v>
      </c>
      <c r="AF82" s="59">
        <f t="shared" si="47"/>
        <v>-0.3786738445696835</v>
      </c>
      <c r="AG82" s="59">
        <f t="shared" si="48"/>
        <v>0.46419724735288614</v>
      </c>
      <c r="AH82" s="59">
        <f t="shared" si="49"/>
        <v>0.46419724735288614</v>
      </c>
      <c r="AJ82">
        <f t="shared" si="50"/>
        <v>0.23683533028208478</v>
      </c>
      <c r="AK82">
        <f t="shared" si="18"/>
        <v>4.2223430043521857</v>
      </c>
      <c r="AL82">
        <f t="shared" si="51"/>
        <v>-1.5988908585499499</v>
      </c>
      <c r="AN82" t="str">
        <f t="shared" si="60"/>
        <v>Eker C</v>
      </c>
      <c r="AO82">
        <f t="shared" si="60"/>
        <v>2008</v>
      </c>
      <c r="AP82" t="str">
        <f t="shared" si="52"/>
        <v>Eker C 2008</v>
      </c>
      <c r="AQ82">
        <f t="shared" si="53"/>
        <v>34</v>
      </c>
      <c r="AR82">
        <f t="shared" si="61"/>
        <v>1438.8</v>
      </c>
      <c r="AS82">
        <f t="shared" si="61"/>
        <v>155</v>
      </c>
      <c r="AT82">
        <f t="shared" si="54"/>
        <v>39</v>
      </c>
      <c r="AU82">
        <f t="shared" si="62"/>
        <v>1494.6</v>
      </c>
      <c r="AV82">
        <f t="shared" si="62"/>
        <v>137.30000000000001</v>
      </c>
      <c r="AW82" s="65">
        <f t="shared" si="55"/>
        <v>-0.3786738445696835</v>
      </c>
      <c r="AX82">
        <f t="shared" si="56"/>
        <v>0.23683533028208478</v>
      </c>
    </row>
    <row r="83" spans="5:50">
      <c r="E83" t="str">
        <f t="shared" si="57"/>
        <v>Elderkin-Thompson V (A)</v>
      </c>
      <c r="F83">
        <f t="shared" si="57"/>
        <v>2008</v>
      </c>
      <c r="G83">
        <v>8</v>
      </c>
      <c r="H83">
        <f t="shared" si="58"/>
        <v>18</v>
      </c>
      <c r="I83">
        <f t="shared" si="58"/>
        <v>20.5</v>
      </c>
      <c r="J83">
        <f t="shared" si="59"/>
        <v>1285.32</v>
      </c>
      <c r="K83">
        <f t="shared" si="59"/>
        <v>146.93</v>
      </c>
      <c r="L83">
        <f t="shared" si="59"/>
        <v>1311.71</v>
      </c>
      <c r="M83">
        <f t="shared" si="59"/>
        <v>152.96</v>
      </c>
      <c r="N83">
        <f t="shared" si="39"/>
        <v>150.18163199619684</v>
      </c>
      <c r="O83" s="59">
        <f t="shared" si="40"/>
        <v>-0.17208495910241917</v>
      </c>
      <c r="P83" s="63">
        <f t="shared" si="41"/>
        <v>0.10476447555298686</v>
      </c>
      <c r="Q83" s="59">
        <f t="shared" si="7"/>
        <v>0.63439988121401336</v>
      </c>
      <c r="R83" s="59">
        <f t="shared" si="42"/>
        <v>9.5452203117671193</v>
      </c>
      <c r="S83" s="59">
        <f t="shared" si="43"/>
        <v>-1.6425888469740255</v>
      </c>
      <c r="T83" s="59">
        <f t="shared" si="44"/>
        <v>0.28266483455361502</v>
      </c>
      <c r="U83" s="23">
        <f t="shared" si="45"/>
        <v>91.111230800171583</v>
      </c>
      <c r="V83" s="59">
        <f t="shared" si="12"/>
        <v>6.9409106020955278</v>
      </c>
      <c r="W83" s="59">
        <f t="shared" si="46"/>
        <v>-1.1944263170951566</v>
      </c>
      <c r="AF83" s="59">
        <f t="shared" si="47"/>
        <v>-0.17208495910241917</v>
      </c>
      <c r="AG83" s="59">
        <f t="shared" si="48"/>
        <v>0.63439988121401336</v>
      </c>
      <c r="AH83" s="59">
        <f t="shared" si="49"/>
        <v>0.63439988121401336</v>
      </c>
      <c r="AJ83">
        <f t="shared" si="50"/>
        <v>0.32367340878265988</v>
      </c>
      <c r="AK83">
        <f t="shared" si="18"/>
        <v>3.0895339958911476</v>
      </c>
      <c r="AL83">
        <f t="shared" si="51"/>
        <v>-0.53166233132846175</v>
      </c>
      <c r="AN83" t="str">
        <f t="shared" si="60"/>
        <v>Elderkin-Thompson V (A)</v>
      </c>
      <c r="AO83">
        <f t="shared" si="60"/>
        <v>2008</v>
      </c>
      <c r="AP83" t="str">
        <f t="shared" si="52"/>
        <v>Elderkin-Thompson V (A) 2008</v>
      </c>
      <c r="AQ83">
        <f t="shared" si="53"/>
        <v>18</v>
      </c>
      <c r="AR83">
        <f t="shared" si="61"/>
        <v>1285.32</v>
      </c>
      <c r="AS83">
        <f t="shared" si="61"/>
        <v>146.93</v>
      </c>
      <c r="AT83">
        <f t="shared" si="54"/>
        <v>20</v>
      </c>
      <c r="AU83">
        <f t="shared" si="62"/>
        <v>1311.71</v>
      </c>
      <c r="AV83">
        <f t="shared" si="62"/>
        <v>152.96</v>
      </c>
      <c r="AW83" s="65">
        <f t="shared" si="55"/>
        <v>-0.17208495910241917</v>
      </c>
      <c r="AX83">
        <f t="shared" si="56"/>
        <v>0.32367340878265988</v>
      </c>
    </row>
    <row r="84" spans="5:50">
      <c r="E84" t="str">
        <f t="shared" ref="E84:F86" si="63">E42</f>
        <v>Elderkin-Thompson V (A)</v>
      </c>
      <c r="F84">
        <f t="shared" si="63"/>
        <v>2008</v>
      </c>
      <c r="G84">
        <v>7</v>
      </c>
      <c r="H84">
        <f t="shared" ref="H84:I86" si="64">H42</f>
        <v>25</v>
      </c>
      <c r="I84">
        <f t="shared" si="64"/>
        <v>20.5</v>
      </c>
      <c r="J84">
        <f t="shared" ref="J84:M85" si="65">IF($D$4="Total",T42,IF($D$4="Left",L42,IF($D$4="Right",P42,"error")))</f>
        <v>1294.07</v>
      </c>
      <c r="K84">
        <f t="shared" si="65"/>
        <v>125.99</v>
      </c>
      <c r="L84">
        <f t="shared" si="65"/>
        <v>1311.71</v>
      </c>
      <c r="M84">
        <f t="shared" si="65"/>
        <v>152.96</v>
      </c>
      <c r="N84">
        <f t="shared" si="39"/>
        <v>138.72990160740403</v>
      </c>
      <c r="O84" s="59">
        <f t="shared" si="40"/>
        <v>-0.1249485788240316</v>
      </c>
      <c r="P84" s="63">
        <f t="shared" si="41"/>
        <v>8.8968314409186816E-2</v>
      </c>
      <c r="Q84" s="59">
        <f t="shared" si="7"/>
        <v>0.58462011309424866</v>
      </c>
      <c r="R84" s="59">
        <f t="shared" si="42"/>
        <v>11.239956681664866</v>
      </c>
      <c r="S84" s="59">
        <f t="shared" si="43"/>
        <v>-1.4044166134177032</v>
      </c>
      <c r="T84" s="59">
        <f t="shared" si="44"/>
        <v>0.1754798599234014</v>
      </c>
      <c r="U84" s="23">
        <f t="shared" si="45"/>
        <v>126.33662620570267</v>
      </c>
      <c r="V84" s="59">
        <f t="shared" si="12"/>
        <v>7.7956204160071341</v>
      </c>
      <c r="W84" s="59">
        <f t="shared" si="46"/>
        <v>-0.97405169203169739</v>
      </c>
      <c r="AF84" s="59">
        <f t="shared" si="47"/>
        <v>-0.1249485788240316</v>
      </c>
      <c r="AG84" s="59">
        <f t="shared" si="48"/>
        <v>0.58462011309424866</v>
      </c>
      <c r="AH84" s="59">
        <f t="shared" si="49"/>
        <v>0.58462011309424866</v>
      </c>
      <c r="AJ84">
        <f t="shared" si="50"/>
        <v>0.29827556790522891</v>
      </c>
      <c r="AK84">
        <f t="shared" si="18"/>
        <v>3.3526044624537601</v>
      </c>
      <c r="AL84">
        <f t="shared" si="51"/>
        <v>-0.41890316294270374</v>
      </c>
      <c r="AN84" t="str">
        <f t="shared" ref="AN84:AO86" si="66">E84</f>
        <v>Elderkin-Thompson V (A)</v>
      </c>
      <c r="AO84">
        <f t="shared" si="66"/>
        <v>2008</v>
      </c>
      <c r="AP84" t="str">
        <f t="shared" si="52"/>
        <v>Elderkin-Thompson V (A) 2008</v>
      </c>
      <c r="AQ84">
        <f t="shared" si="53"/>
        <v>25</v>
      </c>
      <c r="AR84">
        <f t="shared" ref="AR84:AS86" si="67">J84</f>
        <v>1294.07</v>
      </c>
      <c r="AS84">
        <f t="shared" si="67"/>
        <v>125.99</v>
      </c>
      <c r="AT84">
        <f t="shared" si="54"/>
        <v>20</v>
      </c>
      <c r="AU84">
        <f t="shared" ref="AU84:AV86" si="68">L84</f>
        <v>1311.71</v>
      </c>
      <c r="AV84">
        <f t="shared" si="68"/>
        <v>152.96</v>
      </c>
      <c r="AW84" s="65">
        <f t="shared" si="55"/>
        <v>-0.1249485788240316</v>
      </c>
      <c r="AX84">
        <f t="shared" si="56"/>
        <v>0.29827556790522891</v>
      </c>
    </row>
    <row r="85" spans="5:50">
      <c r="E85" t="str">
        <f t="shared" si="63"/>
        <v>Lorenzetti V</v>
      </c>
      <c r="F85">
        <f t="shared" si="63"/>
        <v>2009</v>
      </c>
      <c r="G85">
        <v>6</v>
      </c>
      <c r="H85">
        <f t="shared" si="64"/>
        <v>31</v>
      </c>
      <c r="I85">
        <f t="shared" si="64"/>
        <v>16.5</v>
      </c>
      <c r="J85">
        <f t="shared" si="65"/>
        <v>1477353.4</v>
      </c>
      <c r="K85">
        <f t="shared" si="65"/>
        <v>138105.30851</v>
      </c>
      <c r="L85">
        <f t="shared" si="65"/>
        <v>1492735.8</v>
      </c>
      <c r="M85">
        <f t="shared" si="65"/>
        <v>143141.43346999999</v>
      </c>
      <c r="N85">
        <f t="shared" si="39"/>
        <v>139841.28144175548</v>
      </c>
      <c r="O85" s="59">
        <f t="shared" si="40"/>
        <v>-0.10817580429726996</v>
      </c>
      <c r="P85" s="63">
        <f t="shared" si="41"/>
        <v>9.2998445652898568E-2</v>
      </c>
      <c r="Q85" s="59">
        <f t="shared" si="7"/>
        <v>0.59771467174578796</v>
      </c>
      <c r="R85" s="59">
        <f t="shared" si="42"/>
        <v>10.752867889129414</v>
      </c>
      <c r="S85" s="59">
        <f t="shared" si="43"/>
        <v>-1.1632001324088619</v>
      </c>
      <c r="T85" s="59">
        <f t="shared" si="44"/>
        <v>0.12583010988201954</v>
      </c>
      <c r="U85" s="23">
        <f t="shared" si="45"/>
        <v>115.62416784107046</v>
      </c>
      <c r="V85" s="59">
        <f t="shared" si="12"/>
        <v>7.5581627932921256</v>
      </c>
      <c r="W85" s="59">
        <f t="shared" si="46"/>
        <v>-0.81761033917407622</v>
      </c>
      <c r="AF85" s="59">
        <f t="shared" si="47"/>
        <v>-0.10817580429726996</v>
      </c>
      <c r="AG85" s="59">
        <f t="shared" si="48"/>
        <v>0.59771467174578796</v>
      </c>
      <c r="AH85" s="59">
        <f t="shared" si="49"/>
        <v>0.59771467174578796</v>
      </c>
      <c r="AJ85">
        <f t="shared" si="50"/>
        <v>0.30495646517642244</v>
      </c>
      <c r="AK85">
        <f t="shared" si="18"/>
        <v>3.2791565819779658</v>
      </c>
      <c r="AL85">
        <f t="shared" si="51"/>
        <v>-0.35472540067215313</v>
      </c>
      <c r="AN85" t="str">
        <f t="shared" si="66"/>
        <v>Lorenzetti V</v>
      </c>
      <c r="AO85">
        <f t="shared" si="66"/>
        <v>2009</v>
      </c>
      <c r="AP85" t="str">
        <f t="shared" si="52"/>
        <v>Lorenzetti V 2009</v>
      </c>
      <c r="AQ85">
        <f t="shared" si="53"/>
        <v>31</v>
      </c>
      <c r="AR85">
        <f t="shared" si="67"/>
        <v>1477353.4</v>
      </c>
      <c r="AS85">
        <f t="shared" si="67"/>
        <v>138105.30851</v>
      </c>
      <c r="AT85">
        <f t="shared" si="54"/>
        <v>16</v>
      </c>
      <c r="AU85">
        <f t="shared" si="68"/>
        <v>1492735.8</v>
      </c>
      <c r="AV85">
        <f t="shared" si="68"/>
        <v>143141.43346999999</v>
      </c>
      <c r="AW85" s="65">
        <f t="shared" si="55"/>
        <v>-0.10817580429726996</v>
      </c>
      <c r="AX85">
        <f t="shared" si="56"/>
        <v>0.30495646517642244</v>
      </c>
    </row>
    <row r="86" spans="5:50">
      <c r="E86" t="str">
        <f t="shared" si="63"/>
        <v>Lorenzetti V</v>
      </c>
      <c r="F86">
        <f t="shared" si="63"/>
        <v>2009</v>
      </c>
      <c r="G86">
        <v>5</v>
      </c>
      <c r="H86">
        <f t="shared" si="64"/>
        <v>31</v>
      </c>
      <c r="I86">
        <f t="shared" si="64"/>
        <v>16.5</v>
      </c>
      <c r="J86">
        <f t="shared" ref="J86:M87" si="69">IF($D$4="Total",T44,IF($D$4="Left",L44,IF($D$4="Right",P44,"error")))</f>
        <v>1469842.6</v>
      </c>
      <c r="K86">
        <f t="shared" si="69"/>
        <v>150256.46468999999</v>
      </c>
      <c r="L86">
        <f t="shared" si="69"/>
        <v>1492735.8</v>
      </c>
      <c r="M86">
        <f t="shared" si="69"/>
        <v>143141.43346999999</v>
      </c>
      <c r="N86">
        <f t="shared" si="39"/>
        <v>147871.11555168472</v>
      </c>
      <c r="O86" s="59">
        <f t="shared" si="40"/>
        <v>-0.15225255190736303</v>
      </c>
      <c r="P86" s="63">
        <f t="shared" si="41"/>
        <v>9.3130204547835924E-2</v>
      </c>
      <c r="Q86" s="59">
        <f t="shared" si="7"/>
        <v>0.59813793876577204</v>
      </c>
      <c r="R86" s="59">
        <f t="shared" si="42"/>
        <v>10.737654930053916</v>
      </c>
      <c r="S86" s="59">
        <f t="shared" si="43"/>
        <v>-1.6348353646013865</v>
      </c>
      <c r="T86" s="59">
        <f t="shared" si="44"/>
        <v>0.24890785620896536</v>
      </c>
      <c r="U86" s="23">
        <f t="shared" si="45"/>
        <v>115.29723339691117</v>
      </c>
      <c r="V86" s="59">
        <f t="shared" si="12"/>
        <v>7.5506434459237948</v>
      </c>
      <c r="W86" s="59">
        <f t="shared" si="46"/>
        <v>-1.149604733184503</v>
      </c>
      <c r="AF86" s="59">
        <f t="shared" si="47"/>
        <v>-0.15225255190736303</v>
      </c>
      <c r="AG86" s="59">
        <f t="shared" si="48"/>
        <v>0.59813793876577204</v>
      </c>
      <c r="AH86" s="59">
        <f t="shared" si="49"/>
        <v>0.59813793876577204</v>
      </c>
      <c r="AJ86">
        <f t="shared" si="50"/>
        <v>0.30517241773763881</v>
      </c>
      <c r="AK86">
        <f t="shared" si="18"/>
        <v>3.2768361158370301</v>
      </c>
      <c r="AL86">
        <f t="shared" si="51"/>
        <v>-0.49890666081839929</v>
      </c>
      <c r="AN86" t="str">
        <f t="shared" si="66"/>
        <v>Lorenzetti V</v>
      </c>
      <c r="AO86">
        <f t="shared" si="66"/>
        <v>2009</v>
      </c>
      <c r="AP86" t="str">
        <f t="shared" si="52"/>
        <v>Lorenzetti V 2009</v>
      </c>
      <c r="AQ86">
        <f t="shared" si="53"/>
        <v>31</v>
      </c>
      <c r="AR86">
        <f t="shared" si="67"/>
        <v>1469842.6</v>
      </c>
      <c r="AS86">
        <f t="shared" si="67"/>
        <v>150256.46468999999</v>
      </c>
      <c r="AT86">
        <f t="shared" si="54"/>
        <v>16</v>
      </c>
      <c r="AU86">
        <f t="shared" si="68"/>
        <v>1492735.8</v>
      </c>
      <c r="AV86">
        <f t="shared" si="68"/>
        <v>143141.43346999999</v>
      </c>
      <c r="AW86" s="65">
        <f t="shared" si="55"/>
        <v>-0.15225255190736303</v>
      </c>
      <c r="AX86">
        <f t="shared" si="56"/>
        <v>0.30517241773763881</v>
      </c>
    </row>
    <row r="87" spans="5:50">
      <c r="E87" t="str">
        <f t="shared" ref="E87:F90" si="70">E45</f>
        <v>Pizzagalli DA</v>
      </c>
      <c r="F87">
        <f t="shared" si="70"/>
        <v>2009</v>
      </c>
      <c r="G87">
        <v>4</v>
      </c>
      <c r="H87">
        <f t="shared" ref="H87:I90" si="71">H45</f>
        <v>26</v>
      </c>
      <c r="I87">
        <f t="shared" si="71"/>
        <v>31</v>
      </c>
      <c r="J87">
        <f t="shared" si="69"/>
        <v>1520071</v>
      </c>
      <c r="K87">
        <f t="shared" si="69"/>
        <v>150388</v>
      </c>
      <c r="L87">
        <f t="shared" si="69"/>
        <v>1562421</v>
      </c>
      <c r="M87">
        <f t="shared" si="69"/>
        <v>191574</v>
      </c>
      <c r="N87">
        <f>IF($D$3=1,SQRT((((I87-1)*(M87)^2)+((H87-1)*(K87)^2))/(H87+I87-2)),M87)</f>
        <v>174065.38415622603</v>
      </c>
      <c r="O87" s="59">
        <f>IF($D$6=1,LN(J87/L87),IF($D$5=1,(1-3/(4*(H87+I87)-9))*((J87-L87)/N87),(J87-L87)/N87))</f>
        <v>-0.23996651152770046</v>
      </c>
      <c r="P87" s="63">
        <f>IF($D$6=1,(K87^2)/(H87*J87^2)+(M87^2)/(I87*L87^2),(IF($D$5=1,((H87+I87)/(H87*I87))+(O87*O87)/(2*(H87+I87-3.94)),((H87+I87)/(H87*I87))+((O87^2)/(2*(H87+I87-2))))))</f>
        <v>7.1262233270305772E-2</v>
      </c>
      <c r="Q87" s="59">
        <f t="shared" si="7"/>
        <v>0.52322174585084535</v>
      </c>
      <c r="R87" s="59">
        <f>1/P87</f>
        <v>14.032678378277678</v>
      </c>
      <c r="S87" s="59">
        <f>O87*R87</f>
        <v>-3.3673728778254834</v>
      </c>
      <c r="T87" s="59">
        <f>R87*(O87^2)</f>
        <v>0.80805672250477478</v>
      </c>
      <c r="U87" s="23">
        <f>R87^2</f>
        <v>196.91606246818185</v>
      </c>
      <c r="V87" s="59">
        <f t="shared" si="12"/>
        <v>9.0439567497600351</v>
      </c>
      <c r="W87" s="59">
        <f>V87*O87</f>
        <v>-2.1702467516473156</v>
      </c>
      <c r="AF87" s="59">
        <f>IF($D$6=1,100*((EXP(O87))-1),O87)</f>
        <v>-0.23996651152770046</v>
      </c>
      <c r="AG87" s="59">
        <f>IF($D$6=1,100*(EXP(O87+Q87)-EXP(O87)),Q87)</f>
        <v>0.52322174585084535</v>
      </c>
      <c r="AH87" s="59">
        <f>IF($D$6=1,100*(EXP(O87)-EXP(O87-Q87)),Q87)</f>
        <v>0.52322174585084535</v>
      </c>
      <c r="AJ87">
        <f>SQRT(P87)</f>
        <v>0.26694987033206397</v>
      </c>
      <c r="AK87">
        <f t="shared" si="18"/>
        <v>3.746021673492784</v>
      </c>
      <c r="AL87">
        <f>O87/AJ87</f>
        <v>-0.89891975309522199</v>
      </c>
      <c r="AN87" t="str">
        <f t="shared" ref="AN87:AO90" si="72">E87</f>
        <v>Pizzagalli DA</v>
      </c>
      <c r="AO87">
        <f t="shared" si="72"/>
        <v>2009</v>
      </c>
      <c r="AP87" t="str">
        <f>CONCATENATE(AN87," ",AO87)</f>
        <v>Pizzagalli DA 2009</v>
      </c>
      <c r="AQ87">
        <f>INT(H87)</f>
        <v>26</v>
      </c>
      <c r="AR87">
        <f t="shared" ref="AR87:AS90" si="73">J87</f>
        <v>1520071</v>
      </c>
      <c r="AS87">
        <f t="shared" si="73"/>
        <v>150388</v>
      </c>
      <c r="AT87">
        <f>INT(I87)</f>
        <v>31</v>
      </c>
      <c r="AU87">
        <f t="shared" ref="AU87:AV90" si="74">L87</f>
        <v>1562421</v>
      </c>
      <c r="AV87">
        <f t="shared" si="74"/>
        <v>191574</v>
      </c>
      <c r="AW87" s="65">
        <f>O87</f>
        <v>-0.23996651152770046</v>
      </c>
      <c r="AX87">
        <f>SQRT(P87)</f>
        <v>0.26694987033206397</v>
      </c>
    </row>
    <row r="88" spans="5:50">
      <c r="E88" t="str">
        <f t="shared" si="70"/>
        <v>Meisenzahl EM</v>
      </c>
      <c r="F88">
        <f t="shared" si="70"/>
        <v>2009</v>
      </c>
      <c r="G88">
        <v>3</v>
      </c>
      <c r="H88">
        <f t="shared" si="71"/>
        <v>92</v>
      </c>
      <c r="I88">
        <f t="shared" si="71"/>
        <v>138</v>
      </c>
      <c r="J88">
        <f t="shared" ref="J88:M90" si="75">IF($D$4="Total",T46,IF($D$4="Left",L46,IF($D$4="Right",P46,"error")))</f>
        <v>1251.2</v>
      </c>
      <c r="K88">
        <f t="shared" si="75"/>
        <v>105.88</v>
      </c>
      <c r="L88">
        <f t="shared" si="75"/>
        <v>1295.4000000000001</v>
      </c>
      <c r="M88">
        <f t="shared" si="75"/>
        <v>141.97999999999999</v>
      </c>
      <c r="N88">
        <f>IF($D$3=1,SQRT((((I88-1)*(M88)^2)+((H88-1)*(K88)^2))/(H88+I88-2)),M88)</f>
        <v>128.79080285486225</v>
      </c>
      <c r="O88" s="59">
        <f>IF($D$6=1,LN(J88/L88),IF($D$5=1,(1-3/(4*(H88+I88)-9))*((J88-L88)/N88),(J88-L88)/N88))</f>
        <v>-0.34206204703725263</v>
      </c>
      <c r="P88" s="63">
        <f>IF($D$6=1,(K88^2)/(H88*J88^2)+(M88^2)/(I88*L88^2),(IF($D$5=1,((H88+I88)/(H88*I88))+(O88*O88)/(2*(H88+I88-3.94)),((H88+I88)/(H88*I88))+((O88^2)/(2*(H88+I88-2))))))</f>
        <v>1.8374737136530664E-2</v>
      </c>
      <c r="Q88" s="59">
        <f t="shared" si="7"/>
        <v>0.26568475715346601</v>
      </c>
      <c r="R88" s="59">
        <f>1/P88</f>
        <v>54.422547248956732</v>
      </c>
      <c r="S88" s="59">
        <f>O88*R88</f>
        <v>-18.615887916959743</v>
      </c>
      <c r="T88" s="59">
        <f>R88*(O88^2)</f>
        <v>6.3677887282913055</v>
      </c>
      <c r="U88" s="23">
        <f>R88^2</f>
        <v>2961.8136490649281</v>
      </c>
      <c r="V88" s="59">
        <f t="shared" si="12"/>
        <v>17.335956924569135</v>
      </c>
      <c r="W88" s="59">
        <f>V88*O88</f>
        <v>-5.9299729129677532</v>
      </c>
      <c r="AF88" s="59">
        <f>IF($D$6=1,100*((EXP(O88))-1),O88)</f>
        <v>-0.34206204703725263</v>
      </c>
      <c r="AG88" s="59">
        <f>IF($D$6=1,100*(EXP(O88+Q88)-EXP(O88)),Q88)</f>
        <v>0.26568475715346601</v>
      </c>
      <c r="AH88" s="59">
        <f>IF($D$6=1,100*(EXP(O88)-EXP(O88-Q88)),Q88)</f>
        <v>0.26568475715346601</v>
      </c>
      <c r="AJ88">
        <f>SQRT(P88)</f>
        <v>0.13555344752727858</v>
      </c>
      <c r="AK88">
        <f t="shared" si="18"/>
        <v>7.3771639028122946</v>
      </c>
      <c r="AL88">
        <f>O88/AJ88</f>
        <v>-2.5234477859253013</v>
      </c>
      <c r="AN88" t="str">
        <f t="shared" si="72"/>
        <v>Meisenzahl EM</v>
      </c>
      <c r="AO88">
        <f t="shared" si="72"/>
        <v>2009</v>
      </c>
      <c r="AP88" t="str">
        <f>CONCATENATE(AN88," ",AO88)</f>
        <v>Meisenzahl EM 2009</v>
      </c>
      <c r="AQ88">
        <f>INT(H88)</f>
        <v>92</v>
      </c>
      <c r="AR88">
        <f t="shared" si="73"/>
        <v>1251.2</v>
      </c>
      <c r="AS88">
        <f t="shared" si="73"/>
        <v>105.88</v>
      </c>
      <c r="AT88">
        <f>INT(I88)</f>
        <v>138</v>
      </c>
      <c r="AU88">
        <f t="shared" si="74"/>
        <v>1295.4000000000001</v>
      </c>
      <c r="AV88">
        <f t="shared" si="74"/>
        <v>141.97999999999999</v>
      </c>
      <c r="AW88" s="65">
        <f>O88</f>
        <v>-0.34206204703725263</v>
      </c>
      <c r="AX88">
        <f>SQRT(P88)</f>
        <v>0.13555344752727858</v>
      </c>
    </row>
    <row r="89" spans="5:50">
      <c r="E89" t="str">
        <f t="shared" si="70"/>
        <v>Sun J</v>
      </c>
      <c r="F89">
        <f t="shared" si="70"/>
        <v>2009</v>
      </c>
      <c r="G89">
        <v>2</v>
      </c>
      <c r="H89">
        <f t="shared" si="71"/>
        <v>45</v>
      </c>
      <c r="I89">
        <f t="shared" si="71"/>
        <v>30</v>
      </c>
      <c r="J89">
        <f t="shared" si="75"/>
        <v>1475390.81</v>
      </c>
      <c r="K89">
        <f t="shared" si="75"/>
        <v>125172.95</v>
      </c>
      <c r="L89">
        <f t="shared" si="75"/>
        <v>1464585.54</v>
      </c>
      <c r="M89">
        <f t="shared" si="75"/>
        <v>122448.93</v>
      </c>
      <c r="N89">
        <f>IF($D$3=1,SQRT((((I89-1)*(M89)^2)+((H89-1)*(K89)^2))/(H89+I89-2)),M89)</f>
        <v>124097.96392096971</v>
      </c>
      <c r="O89" s="59">
        <f>IF($D$6=1,LN(J89/L89),IF($D$5=1,(1-3/(4*(H89+I89)-9))*((J89-L89)/N89),(J89-L89)/N89))</f>
        <v>8.6172851882790044E-2</v>
      </c>
      <c r="P89" s="63">
        <f>IF($D$6=1,(K89^2)/(H89*J89^2)+(M89^2)/(I89*L89^2),(IF($D$5=1,((H89+I89)/(H89*I89))+(O89*O89)/(2*(H89+I89-3.94)),((H89+I89)/(H89*I89))+((O89^2)/(2*(H89+I89-2))))))</f>
        <v>5.5607805488018351E-2</v>
      </c>
      <c r="Q89" s="59">
        <f>$R$107*SQRT(P89)</f>
        <v>0.46219362345533421</v>
      </c>
      <c r="R89" s="59">
        <f>1/P89</f>
        <v>17.98308692860514</v>
      </c>
      <c r="S89" s="59">
        <f>O89*R89</f>
        <v>1.5496538862940283</v>
      </c>
      <c r="T89" s="59">
        <f>R89*(O89^2)</f>
        <v>0.13353809481320528</v>
      </c>
      <c r="U89" s="23">
        <f>R89^2</f>
        <v>323.39141548176906</v>
      </c>
      <c r="V89" s="59">
        <f>1/((1/R89)+$I$104)</f>
        <v>10.535559911757051</v>
      </c>
      <c r="W89" s="59">
        <f>V89*O89</f>
        <v>0.90787924377810092</v>
      </c>
      <c r="AF89" s="59">
        <f>IF($D$6=1,100*((EXP(O89))-1),O89)</f>
        <v>8.6172851882790044E-2</v>
      </c>
      <c r="AG89" s="59">
        <f>IF($D$6=1,100*(EXP(O89+Q89)-EXP(O89)),Q89)</f>
        <v>0.46219362345533421</v>
      </c>
      <c r="AH89" s="59">
        <f>IF($D$6=1,100*(EXP(O89)-EXP(O89-Q89)),Q89)</f>
        <v>0.46219362345533421</v>
      </c>
      <c r="AJ89">
        <f>SQRT(P89)</f>
        <v>0.23581307319149705</v>
      </c>
      <c r="AK89">
        <f>1/AJ89</f>
        <v>4.2406469941042184</v>
      </c>
      <c r="AL89">
        <f>O89/AJ89</f>
        <v>0.36542864531014163</v>
      </c>
      <c r="AN89" t="str">
        <f t="shared" si="72"/>
        <v>Sun J</v>
      </c>
      <c r="AO89">
        <f t="shared" si="72"/>
        <v>2009</v>
      </c>
      <c r="AP89" t="str">
        <f>CONCATENATE(AN89," ",AO89)</f>
        <v>Sun J 2009</v>
      </c>
      <c r="AQ89">
        <f>INT(H89)</f>
        <v>45</v>
      </c>
      <c r="AR89">
        <f t="shared" si="73"/>
        <v>1475390.81</v>
      </c>
      <c r="AS89">
        <f t="shared" si="73"/>
        <v>125172.95</v>
      </c>
      <c r="AT89">
        <f>INT(I89)</f>
        <v>30</v>
      </c>
      <c r="AU89">
        <f t="shared" si="74"/>
        <v>1464585.54</v>
      </c>
      <c r="AV89">
        <f t="shared" si="74"/>
        <v>122448.93</v>
      </c>
      <c r="AW89" s="65">
        <f>O89</f>
        <v>8.6172851882790044E-2</v>
      </c>
      <c r="AX89">
        <f>SQRT(P89)</f>
        <v>0.23581307319149705</v>
      </c>
    </row>
    <row r="90" spans="5:50">
      <c r="E90" t="str">
        <f t="shared" si="70"/>
        <v>Weber K</v>
      </c>
      <c r="F90">
        <f t="shared" si="70"/>
        <v>2009</v>
      </c>
      <c r="G90">
        <v>1</v>
      </c>
      <c r="H90">
        <f t="shared" si="71"/>
        <v>38</v>
      </c>
      <c r="I90">
        <f t="shared" si="71"/>
        <v>62</v>
      </c>
      <c r="J90">
        <f t="shared" si="75"/>
        <v>1525.6</v>
      </c>
      <c r="K90">
        <f t="shared" si="75"/>
        <v>162.88</v>
      </c>
      <c r="L90">
        <f t="shared" si="75"/>
        <v>1578.48</v>
      </c>
      <c r="M90">
        <f t="shared" si="75"/>
        <v>148.33000000000001</v>
      </c>
      <c r="N90">
        <f>IF($D$3=1,SQRT((((I90-1)*(M90)^2)+((H90-1)*(K90)^2))/(H90+I90-2)),M90)</f>
        <v>153.98499846426864</v>
      </c>
      <c r="O90" s="59">
        <f>IF($D$6=1,LN(J90/L90),IF($D$5=1,(1-3/(4*(H90+I90)-9))*((J90-L90)/N90),(J90-L90)/N90))</f>
        <v>-0.34077521591767729</v>
      </c>
      <c r="P90" s="63">
        <f>IF($D$6=1,(K90^2)/(H90*J90^2)+(M90^2)/(I90*L90^2),(IF($D$5=1,((H90+I90)/(H90*I90))+(O90*O90)/(2*(H90+I90-3.94)),((H90+I90)/(H90*I90))+((O90^2)/(2*(H90+I90-2))))))</f>
        <v>4.3049275967558323E-2</v>
      </c>
      <c r="Q90" s="59">
        <f>$R$107*SQRT(P90)</f>
        <v>0.40666706106712414</v>
      </c>
      <c r="R90" s="59">
        <f>1/P90</f>
        <v>23.229194394665175</v>
      </c>
      <c r="S90" s="59">
        <f>O90*R90</f>
        <v>-7.9159337354357238</v>
      </c>
      <c r="T90" s="59">
        <f>R90*(O90^2)</f>
        <v>2.6975540278831347</v>
      </c>
      <c r="U90" s="23">
        <f>R90^2</f>
        <v>539.59547222514402</v>
      </c>
      <c r="V90" s="59">
        <f>1/((1/R90)+$I$104)</f>
        <v>12.142094245369481</v>
      </c>
      <c r="W90" s="59">
        <f>V90*O90</f>
        <v>-4.1377247881585717</v>
      </c>
      <c r="AF90" s="59">
        <f>IF($D$6=1,100*((EXP(O90))-1),O90)</f>
        <v>-0.34077521591767729</v>
      </c>
      <c r="AG90" s="59">
        <f>IF($D$6=1,100*(EXP(O90+Q90)-EXP(O90)),Q90)</f>
        <v>0.40666706106712414</v>
      </c>
      <c r="AH90" s="59">
        <f>IF($D$6=1,100*(EXP(O90)-EXP(O90-Q90)),Q90)</f>
        <v>0.40666706106712414</v>
      </c>
      <c r="AJ90">
        <f>SQRT(P90)</f>
        <v>0.20748319442200211</v>
      </c>
      <c r="AK90">
        <f>1/AJ90</f>
        <v>4.8196674568547957</v>
      </c>
      <c r="AL90">
        <f>O90/AJ90</f>
        <v>-1.6424232182610956</v>
      </c>
      <c r="AN90" t="str">
        <f t="shared" si="72"/>
        <v>Weber K</v>
      </c>
      <c r="AO90">
        <f t="shared" si="72"/>
        <v>2009</v>
      </c>
      <c r="AP90" t="str">
        <f>CONCATENATE(AN90," ",AO90)</f>
        <v>Weber K 2009</v>
      </c>
      <c r="AQ90">
        <f>INT(H90)</f>
        <v>38</v>
      </c>
      <c r="AR90">
        <f t="shared" si="73"/>
        <v>1525.6</v>
      </c>
      <c r="AS90">
        <f t="shared" si="73"/>
        <v>162.88</v>
      </c>
      <c r="AT90">
        <f>INT(I90)</f>
        <v>62</v>
      </c>
      <c r="AU90">
        <f t="shared" si="74"/>
        <v>1578.48</v>
      </c>
      <c r="AV90">
        <f t="shared" si="74"/>
        <v>148.33000000000001</v>
      </c>
      <c r="AW90" s="65">
        <f>O90</f>
        <v>-0.34077521591767729</v>
      </c>
      <c r="AX90">
        <f>SQRT(P90)</f>
        <v>0.20748319442200211</v>
      </c>
    </row>
    <row r="91" spans="5:50">
      <c r="U91" s="23"/>
    </row>
    <row r="92" spans="5:50">
      <c r="L92" t="s">
        <v>500</v>
      </c>
      <c r="N92" s="7"/>
      <c r="O92" s="66">
        <f>COUNT(O66:O90)</f>
        <v>25</v>
      </c>
      <c r="Q92" t="s">
        <v>885</v>
      </c>
      <c r="R92" s="59">
        <f t="shared" ref="R92:W92" si="76">SUM(R66:R90)</f>
        <v>361.16427687750524</v>
      </c>
      <c r="S92" s="59">
        <f t="shared" si="76"/>
        <v>-35.704141142155322</v>
      </c>
      <c r="T92" s="59">
        <f t="shared" si="76"/>
        <v>40.926858702977391</v>
      </c>
      <c r="U92" s="23">
        <f t="shared" si="76"/>
        <v>7347.9575781421245</v>
      </c>
      <c r="V92" s="59">
        <f t="shared" si="76"/>
        <v>216.42583964630489</v>
      </c>
      <c r="W92" s="59">
        <f t="shared" si="76"/>
        <v>-15.142605330432019</v>
      </c>
    </row>
    <row r="93" spans="5:50">
      <c r="L93" t="s">
        <v>501</v>
      </c>
      <c r="N93" s="7"/>
      <c r="O93" s="2">
        <v>4</v>
      </c>
    </row>
    <row r="94" spans="5:50">
      <c r="N94" s="7"/>
      <c r="O94" s="7"/>
    </row>
    <row r="95" spans="5:50">
      <c r="G95" s="67" t="s">
        <v>502</v>
      </c>
      <c r="H95" s="40"/>
      <c r="I95" s="40">
        <f>S92/R92</f>
        <v>-9.8858451480418608E-2</v>
      </c>
      <c r="J95" s="40"/>
      <c r="K95" s="68" t="s">
        <v>879</v>
      </c>
      <c r="L95" s="40"/>
      <c r="M95" s="42"/>
      <c r="N95" s="7"/>
      <c r="O95" s="69" t="s">
        <v>503</v>
      </c>
      <c r="P95" s="70">
        <f>T92-((S92^2)/R92)</f>
        <v>37.397202598225611</v>
      </c>
      <c r="Q95" s="71" t="s">
        <v>824</v>
      </c>
      <c r="R95" s="28"/>
      <c r="S95" s="29"/>
      <c r="T95" s="30"/>
      <c r="U95" s="31"/>
      <c r="AF95" s="2" t="s">
        <v>1518</v>
      </c>
    </row>
    <row r="96" spans="5:50">
      <c r="G96" s="43" t="s">
        <v>504</v>
      </c>
      <c r="H96" s="31"/>
      <c r="I96" s="31">
        <f>1/R92</f>
        <v>2.7688231201757705E-3</v>
      </c>
      <c r="J96" s="31"/>
      <c r="K96" s="31"/>
      <c r="L96" s="31"/>
      <c r="M96" s="44"/>
      <c r="N96" s="7"/>
      <c r="O96" s="30" t="s">
        <v>505</v>
      </c>
      <c r="P96" s="31">
        <f>CHIDIST(P95,I100-1)</f>
        <v>3.9924565103934273E-2</v>
      </c>
      <c r="Q96" s="31"/>
      <c r="R96" s="31"/>
      <c r="S96" s="34"/>
      <c r="T96" s="30"/>
      <c r="U96" s="31"/>
      <c r="AF96" s="2"/>
    </row>
    <row r="97" spans="7:34">
      <c r="G97" s="72" t="s">
        <v>506</v>
      </c>
      <c r="H97" s="31"/>
      <c r="I97" s="31">
        <f>$R$107*SQRT(I96)</f>
        <v>0.10313443119767152</v>
      </c>
      <c r="J97" s="31"/>
      <c r="K97" s="31" t="s">
        <v>507</v>
      </c>
      <c r="L97" s="31"/>
      <c r="M97" s="44">
        <f>ABS(I95/SQRT(I96))</f>
        <v>1.8787379020905977</v>
      </c>
      <c r="N97" s="7"/>
      <c r="O97" s="35" t="s">
        <v>508</v>
      </c>
      <c r="P97" s="37">
        <f>IF(((P95-(I100-1))/P95)&lt;0,0,100*((P95-(I100-1))/P95))</f>
        <v>35.824076849163227</v>
      </c>
      <c r="Q97" s="36"/>
      <c r="R97" s="36"/>
      <c r="S97" s="38"/>
      <c r="T97" s="30"/>
      <c r="U97" s="31"/>
      <c r="AF97" s="2" t="s">
        <v>1535</v>
      </c>
      <c r="AH97">
        <f>IF($D$6=1,100*((EXP(I95))-1),I95)</f>
        <v>-9.8858451480418608E-2</v>
      </c>
    </row>
    <row r="98" spans="7:34">
      <c r="G98" s="45" t="s">
        <v>509</v>
      </c>
      <c r="H98" s="46"/>
      <c r="I98" s="46">
        <v>-2</v>
      </c>
      <c r="J98" s="46"/>
      <c r="K98" s="46" t="s">
        <v>825</v>
      </c>
      <c r="L98" s="46"/>
      <c r="M98" s="47">
        <f>2*(1-NORMDIST(M97,0,1,1))</f>
        <v>6.0280289807908449E-2</v>
      </c>
      <c r="N98" s="7"/>
      <c r="O98" s="7"/>
      <c r="AF98" s="79" t="s">
        <v>834</v>
      </c>
      <c r="AH98">
        <f>IF($D$6=1,100*(EXP(I95+I97)-EXP(I95)),I97)</f>
        <v>0.10313443119767152</v>
      </c>
    </row>
    <row r="99" spans="7:34">
      <c r="G99" s="40"/>
      <c r="H99" s="40"/>
      <c r="I99" s="40"/>
      <c r="J99" s="40"/>
      <c r="K99" s="40"/>
      <c r="L99" s="40"/>
      <c r="M99" s="40"/>
      <c r="N99" s="7"/>
      <c r="O99" s="7"/>
      <c r="AF99" s="79" t="s">
        <v>835</v>
      </c>
      <c r="AH99">
        <f>IF($D$6=1,100*(EXP(I95)-EXP(I95-I97)),I97)</f>
        <v>0.10313443119767152</v>
      </c>
    </row>
    <row r="100" spans="7:34">
      <c r="G100" s="73" t="s">
        <v>1110</v>
      </c>
      <c r="H100" s="74"/>
      <c r="I100" s="74">
        <f>O92</f>
        <v>25</v>
      </c>
      <c r="J100" s="74"/>
      <c r="K100" s="75" t="s">
        <v>1167</v>
      </c>
      <c r="L100" s="74"/>
      <c r="M100" s="76"/>
      <c r="N100" s="77"/>
      <c r="O100" s="101" t="s">
        <v>1513</v>
      </c>
      <c r="P100" s="102"/>
      <c r="Q100" s="103"/>
      <c r="AF100" s="7"/>
    </row>
    <row r="101" spans="7:34">
      <c r="G101" s="77" t="s">
        <v>1531</v>
      </c>
      <c r="H101" s="31"/>
      <c r="I101" s="31">
        <f>R92/I100</f>
        <v>14.446571075100209</v>
      </c>
      <c r="J101" s="31"/>
      <c r="K101" s="31"/>
      <c r="L101" s="31"/>
      <c r="M101" s="78"/>
      <c r="N101" s="77"/>
      <c r="O101" s="104" t="s">
        <v>1514</v>
      </c>
      <c r="P101" s="31"/>
      <c r="Q101" s="105">
        <f>INDEX(LINEST(AL66:AL90,AK66:AK90,TRUE,TRUE),1,2)</f>
        <v>2.0501444366761481</v>
      </c>
      <c r="AF101" s="2" t="s">
        <v>1687</v>
      </c>
      <c r="AH101">
        <f>IF($D$6=1,100*((EXP(I106))-1),I106)</f>
        <v>-6.9966716336546983E-2</v>
      </c>
    </row>
    <row r="102" spans="7:34">
      <c r="G102" s="77" t="s">
        <v>1532</v>
      </c>
      <c r="H102" s="31"/>
      <c r="I102" s="31">
        <f>(1/(I100-1))*(U92-(I100*I101^2))</f>
        <v>88.765507601836433</v>
      </c>
      <c r="J102" s="31"/>
      <c r="K102" s="31"/>
      <c r="L102" s="31"/>
      <c r="M102" s="78"/>
      <c r="N102" s="77"/>
      <c r="O102" s="104" t="s">
        <v>1516</v>
      </c>
      <c r="P102" s="31"/>
      <c r="Q102" s="105">
        <f>INDEX(LINEST(AL66:AL90,AK66:AK90,TRUE,TRUE),2,2)</f>
        <v>0.92072462964519675</v>
      </c>
      <c r="AF102" s="79" t="s">
        <v>834</v>
      </c>
      <c r="AG102" s="7"/>
      <c r="AH102">
        <f>IF($D$6=1,100*(EXP(I106+I108)-EXP(I106)),I108)</f>
        <v>0.13322984290811127</v>
      </c>
    </row>
    <row r="103" spans="7:34">
      <c r="G103" s="77" t="s">
        <v>1669</v>
      </c>
      <c r="H103" s="31"/>
      <c r="I103" s="31">
        <f>(I100-1)*(I101-(I102/(I100*I101)))</f>
        <v>340.81908204907455</v>
      </c>
      <c r="J103" s="31"/>
      <c r="K103" s="31"/>
      <c r="L103" s="31"/>
      <c r="M103" s="78"/>
      <c r="N103" s="77"/>
      <c r="O103" s="104" t="s">
        <v>1349</v>
      </c>
      <c r="P103" s="31"/>
      <c r="Q103" s="105">
        <f>ABS(Q101/Q102)</f>
        <v>2.2266640542310419</v>
      </c>
      <c r="AF103" s="79" t="s">
        <v>835</v>
      </c>
      <c r="AH103">
        <f>IF($D$6=1,100*(EXP(I106)-EXP(I106-I108)),I108)</f>
        <v>0.13322984290811127</v>
      </c>
    </row>
    <row r="104" spans="7:34">
      <c r="G104" s="77" t="s">
        <v>1685</v>
      </c>
      <c r="H104" s="31"/>
      <c r="I104" s="31">
        <f>IF(P95&gt;(I100-1),(P95-(I100-1))/I103,0)</f>
        <v>3.9308839510038197E-2</v>
      </c>
      <c r="J104" s="31"/>
      <c r="K104" s="31"/>
      <c r="L104" s="31"/>
      <c r="M104" s="78"/>
      <c r="N104" s="77"/>
      <c r="O104" s="106" t="s">
        <v>1515</v>
      </c>
      <c r="P104" s="107"/>
      <c r="Q104" s="108">
        <f>TDIST(Q103,I100-2,2)</f>
        <v>3.6046549673064976E-2</v>
      </c>
    </row>
    <row r="105" spans="7:34">
      <c r="G105" s="77"/>
      <c r="H105" s="31"/>
      <c r="I105" s="31"/>
      <c r="J105" s="31"/>
      <c r="K105" s="31"/>
      <c r="L105" s="31"/>
      <c r="M105" s="78"/>
      <c r="N105" s="77"/>
    </row>
    <row r="106" spans="7:34">
      <c r="G106" s="77" t="s">
        <v>1686</v>
      </c>
      <c r="H106" s="31"/>
      <c r="I106" s="31">
        <f>W92/V92</f>
        <v>-6.9966716336546983E-2</v>
      </c>
      <c r="J106" s="31"/>
      <c r="N106" s="77"/>
    </row>
    <row r="107" spans="7:34">
      <c r="G107" s="77" t="s">
        <v>504</v>
      </c>
      <c r="H107" s="31"/>
      <c r="I107" s="31">
        <f>1/V92</f>
        <v>4.6205203668575594E-3</v>
      </c>
      <c r="J107" s="31"/>
      <c r="N107" s="77"/>
      <c r="O107" t="s">
        <v>805</v>
      </c>
      <c r="R107">
        <v>1.96</v>
      </c>
    </row>
    <row r="108" spans="7:34">
      <c r="G108" s="80" t="s">
        <v>506</v>
      </c>
      <c r="H108" s="31"/>
      <c r="I108" s="31">
        <f>$R$107*SQRT(I107)</f>
        <v>0.13322984290811127</v>
      </c>
      <c r="J108" s="31"/>
      <c r="K108" s="31" t="s">
        <v>507</v>
      </c>
      <c r="L108" s="31"/>
      <c r="M108" s="78">
        <f>ABS(I106/(SQRT(I107)))</f>
        <v>1.0293096578535641</v>
      </c>
      <c r="N108" s="77"/>
    </row>
    <row r="109" spans="7:34">
      <c r="G109" s="81" t="s">
        <v>509</v>
      </c>
      <c r="H109" s="82"/>
      <c r="I109" s="82">
        <v>-3</v>
      </c>
      <c r="J109" s="82"/>
      <c r="K109" s="31" t="s">
        <v>825</v>
      </c>
      <c r="L109" s="31"/>
      <c r="M109" s="78">
        <f>2*(1-NORMDIST(M108,0,1,1))</f>
        <v>0.30333418639919518</v>
      </c>
      <c r="N109" s="77"/>
    </row>
    <row r="110" spans="7:34">
      <c r="G110" s="74"/>
      <c r="H110" s="74"/>
      <c r="I110" s="74"/>
      <c r="J110" s="74"/>
      <c r="K110" s="74"/>
      <c r="L110" s="74"/>
      <c r="M110" s="74"/>
      <c r="N110" s="31"/>
      <c r="O110" s="7"/>
    </row>
  </sheetData>
  <phoneticPr fontId="10" type="noConversion"/>
  <conditionalFormatting sqref="D17 D13 F13">
    <cfRule type="cellIs" dxfId="138" priority="0" stopIfTrue="1" operator="lessThan">
      <formula>0.05</formula>
    </cfRule>
  </conditionalFormatting>
  <conditionalFormatting sqref="D21">
    <cfRule type="cellIs" dxfId="137" priority="0" stopIfTrue="1" operator="lessThan">
      <formula>0.05</formula>
    </cfRule>
  </conditionalFormatting>
  <hyperlinks>
    <hyperlink ref="F1" location="Summary!A1" display="Summary"/>
  </hyperlinks>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77</vt:i4>
      </vt:variant>
      <vt:variant>
        <vt:lpstr>Named Ranges</vt:lpstr>
      </vt:variant>
      <vt:variant>
        <vt:i4>2</vt:i4>
      </vt:variant>
    </vt:vector>
  </HeadingPairs>
  <TitlesOfParts>
    <vt:vector size="79" baseType="lpstr">
      <vt:lpstr>Intro</vt:lpstr>
      <vt:lpstr>Database</vt:lpstr>
      <vt:lpstr>Summary</vt:lpstr>
      <vt:lpstr>LatVent</vt:lpstr>
      <vt:lpstr>LatVent_MRI</vt:lpstr>
      <vt:lpstr>LatVent_CT</vt:lpstr>
      <vt:lpstr>4v</vt:lpstr>
      <vt:lpstr>CSF</vt:lpstr>
      <vt:lpstr>ICV</vt:lpstr>
      <vt:lpstr>Brain</vt:lpstr>
      <vt:lpstr>Cerebrum</vt:lpstr>
      <vt:lpstr>Gray</vt:lpstr>
      <vt:lpstr>White</vt:lpstr>
      <vt:lpstr>L_caud</vt:lpstr>
      <vt:lpstr>R_caud</vt:lpstr>
      <vt:lpstr>caud_TLR</vt:lpstr>
      <vt:lpstr>L_putamen</vt:lpstr>
      <vt:lpstr>R_putamen</vt:lpstr>
      <vt:lpstr>putamen_TLR</vt:lpstr>
      <vt:lpstr>globus_pallidus</vt:lpstr>
      <vt:lpstr>thalamus</vt:lpstr>
      <vt:lpstr>L_Temporal</vt:lpstr>
      <vt:lpstr>R_Temporal</vt:lpstr>
      <vt:lpstr>Temporal_TLR</vt:lpstr>
      <vt:lpstr>L_hipp</vt:lpstr>
      <vt:lpstr>R_hipp</vt:lpstr>
      <vt:lpstr>T_hipp_TLR</vt:lpstr>
      <vt:lpstr>T_hipp_TLR_recov</vt:lpstr>
      <vt:lpstr>T_hipp_TLR_recov_vs_dep</vt:lpstr>
      <vt:lpstr>T_hipp_TLR_early_late</vt:lpstr>
      <vt:lpstr>T_hipp_TLR_single_vs_mult</vt:lpstr>
      <vt:lpstr>T_hipp_TLR_first_episode</vt:lpstr>
      <vt:lpstr>T_hipp_no_comorbid_anx</vt:lpstr>
      <vt:lpstr>T_hipp_TLR _noAlcSubs</vt:lpstr>
      <vt:lpstr>T_hipp_TLR_adolescents</vt:lpstr>
      <vt:lpstr>T_hipp_TLR_20to60</vt:lpstr>
      <vt:lpstr>T_hipp_TLR_60_over</vt:lpstr>
      <vt:lpstr>L_amhpc</vt:lpstr>
      <vt:lpstr>R_amhpc</vt:lpstr>
      <vt:lpstr>amhpc_TLR</vt:lpstr>
      <vt:lpstr>L_amyg</vt:lpstr>
      <vt:lpstr>R_amyg</vt:lpstr>
      <vt:lpstr>amyg_TLR</vt:lpstr>
      <vt:lpstr>Ant_cing</vt:lpstr>
      <vt:lpstr>L_Ant_cing</vt:lpstr>
      <vt:lpstr>R_Ant_cing</vt:lpstr>
      <vt:lpstr>L_Frontal</vt:lpstr>
      <vt:lpstr>R_Frontal</vt:lpstr>
      <vt:lpstr>Frontal_TLR</vt:lpstr>
      <vt:lpstr>L_Frontal_G</vt:lpstr>
      <vt:lpstr>R_Frontal_G</vt:lpstr>
      <vt:lpstr>Frontal_G_TLR</vt:lpstr>
      <vt:lpstr>L_Frontal_W</vt:lpstr>
      <vt:lpstr>R_Frontal_W</vt:lpstr>
      <vt:lpstr>Frontal_W_TLR</vt:lpstr>
      <vt:lpstr>orb_TLR</vt:lpstr>
      <vt:lpstr>L_orb_G</vt:lpstr>
      <vt:lpstr>R_orb_G</vt:lpstr>
      <vt:lpstr>orb_G_TLR</vt:lpstr>
      <vt:lpstr>Gmedorb</vt:lpstr>
      <vt:lpstr>Glatorb</vt:lpstr>
      <vt:lpstr>L_sgPFC</vt:lpstr>
      <vt:lpstr>R_sgPFC</vt:lpstr>
      <vt:lpstr>sgPFC_TLR</vt:lpstr>
      <vt:lpstr>gyrus_rectus</vt:lpstr>
      <vt:lpstr>cc</vt:lpstr>
      <vt:lpstr>cca</vt:lpstr>
      <vt:lpstr>ccl</vt:lpstr>
      <vt:lpstr>pty</vt:lpstr>
      <vt:lpstr>All_hyperintensities</vt:lpstr>
      <vt:lpstr>DWMH</vt:lpstr>
      <vt:lpstr>DWMH_rating</vt:lpstr>
      <vt:lpstr>PVH</vt:lpstr>
      <vt:lpstr>PVH_rating</vt:lpstr>
      <vt:lpstr>ScGMH</vt:lpstr>
      <vt:lpstr>ScGMH_rating</vt:lpstr>
      <vt:lpstr>Graphs</vt:lpstr>
      <vt:lpstr>Database!content</vt:lpstr>
      <vt:lpstr>Database!toccontent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Kempton</dc:creator>
  <cp:lastModifiedBy>Matthew Kempton</cp:lastModifiedBy>
  <dcterms:created xsi:type="dcterms:W3CDTF">2011-06-07T09:55:09Z</dcterms:created>
  <dcterms:modified xsi:type="dcterms:W3CDTF">2011-08-19T15:31:43Z</dcterms:modified>
</cp:coreProperties>
</file>